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4.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01" codeName="{009DFEA7-8C9C-09C3-8CAF-802165E75F88}"/>
  <workbookPr showObjects="none" codeName="ThisWorkbook" defaultThemeVersion="124226"/>
  <mc:AlternateContent xmlns:mc="http://schemas.openxmlformats.org/markup-compatibility/2006">
    <mc:Choice Requires="x15">
      <x15ac:absPath xmlns:x15ac="http://schemas.microsoft.com/office/spreadsheetml/2010/11/ac" url="C:\Users\wuzhe\Desktop\"/>
    </mc:Choice>
  </mc:AlternateContent>
  <xr:revisionPtr revIDLastSave="0" documentId="13_ncr:1_{FF053672-4707-426C-BB01-DFD73CB22198}" xr6:coauthVersionLast="43" xr6:coauthVersionMax="43" xr10:uidLastSave="{00000000-0000-0000-0000-000000000000}"/>
  <bookViews>
    <workbookView xWindow="-110" yWindow="-110" windowWidth="38620" windowHeight="21220" tabRatio="856" activeTab="2" xr2:uid="{00000000-000D-0000-FFFF-FFFF00000000}"/>
  </bookViews>
  <sheets>
    <sheet name="说明" sheetId="48" r:id="rId1"/>
    <sheet name="基础属性系数" sheetId="1" r:id="rId2"/>
    <sheet name="基础经济系数" sheetId="28" r:id="rId3"/>
    <sheet name="游戏时长规划" sheetId="27" r:id="rId4"/>
    <sheet name="玩家资源获取模拟" sheetId="45" r:id="rId5"/>
    <sheet name="匹配分段" sheetId="35" r:id="rId6"/>
    <sheet name="商店道具" sheetId="10" r:id="rId7"/>
    <sheet name="图鉴" sheetId="43" r:id="rId8"/>
    <sheet name="道具价值" sheetId="32" r:id="rId9"/>
    <sheet name="道具ID" sheetId="40" r:id="rId10"/>
    <sheet name="推送礼包" sheetId="47" r:id="rId11"/>
    <sheet name="活动奖励" sheetId="41" r:id="rId12"/>
    <sheet name="坦克升星消耗" sheetId="31" r:id="rId13"/>
    <sheet name="宝箱设定" sheetId="29" r:id="rId14"/>
    <sheet name="宝箱内容" sheetId="36" r:id="rId15"/>
    <sheet name="任务设定" sheetId="30" r:id="rId16"/>
    <sheet name="坦克部件养成" sheetId="46" r:id="rId17"/>
    <sheet name="属性说明" sheetId="4" r:id="rId18"/>
    <sheet name="坦克类型系数" sheetId="5" r:id="rId19"/>
    <sheet name="标准坦克设计" sheetId="2" r:id="rId20"/>
    <sheet name="坦克等级成长" sheetId="7" r:id="rId21"/>
    <sheet name="坦克标准养成属性" sheetId="26" r:id="rId22"/>
    <sheet name="坦克个性化设定" sheetId="6" r:id="rId23"/>
    <sheet name="坦克个性化细分" sheetId="23" r:id="rId24"/>
    <sheet name="坦克属性对比" sheetId="34" r:id="rId25"/>
    <sheet name="坦克部件" sheetId="25" r:id="rId26"/>
    <sheet name="坦克属性统计" sheetId="24" r:id="rId27"/>
    <sheet name="坦克技能" sheetId="39" r:id="rId28"/>
    <sheet name="战斗力计算" sheetId="9" r:id="rId29"/>
    <sheet name="坦克涂装-作废" sheetId="37" r:id="rId30"/>
    <sheet name="天梯分(无效)" sheetId="38" r:id="rId31"/>
    <sheet name="科技点-作废" sheetId="49" r:id="rId32"/>
  </sheets>
  <definedNames>
    <definedName name="T1低星级">坦克升星消耗!$AA$4:$AB$7</definedName>
    <definedName name="T2低星级">坦克升星消耗!$AA$8:$AB$14</definedName>
    <definedName name="T2中星级">坦克升星消耗!$AA$15:$AB$18</definedName>
    <definedName name="T3低星级">坦克升星消耗!$AA$19:$AB$28</definedName>
    <definedName name="T3高星级">坦克升星消耗!$AA$36:$AB$39</definedName>
    <definedName name="T3中星级">坦克升星消耗!$AA$29:$AB$35</definedName>
    <definedName name="T4低星级">坦克升星消耗!$AA$40:$AB$49</definedName>
    <definedName name="T4高星级">坦克升星消耗!$AA$57:$AB$60</definedName>
    <definedName name="T4中星级">坦克升星消耗!$AA$50:$AB$56</definedName>
    <definedName name="T5低星级">坦克升星消耗!$AA$61:$AB$70</definedName>
    <definedName name="T5高星级">坦克升星消耗!$AA$78:$AB$81</definedName>
    <definedName name="T5中星级">坦克升星消耗!$AA$71:$AB$77</definedName>
    <definedName name="宝箱ID">道具ID!$B$299:$C$476</definedName>
    <definedName name="部件价值">道具价值!$N$99:$Q$123</definedName>
    <definedName name="部件价值标头">道具价值!$N$99:$Q$99</definedName>
    <definedName name="道具ID">道具ID!$L$2:$N$509</definedName>
    <definedName name="货币ID">道具ID!$B$2:$C$10</definedName>
    <definedName name="货币价值">道具价值!$N$71:$R$96</definedName>
    <definedName name="货币价值标头">道具价值!$N$72:$S$72</definedName>
    <definedName name="加速道具价值">道具价值!$B$75:$J$83</definedName>
    <definedName name="加速道具价值标头">道具价值!$B$75:$J$75</definedName>
    <definedName name="轻坦半自动_阶段属性">坦克等级成长!$AD$3:$AJ$27</definedName>
    <definedName name="轻坦单发_阶段属性">坦克等级成长!$AT$3:$AZ$27</definedName>
    <definedName name="轻坦弹夹_阶段属性">坦克等级成长!$AL$3:$AR$27</definedName>
    <definedName name="属性标头_阶段属性">坦克等级成长!$AD$3:$AJ$3</definedName>
    <definedName name="所有坦克升星属性">坦克标准养成属性!$AU$3:$BL$372</definedName>
    <definedName name="所有坦克升星属性标头">坦克标准养成属性!$AU$3:$BL$3</definedName>
    <definedName name="坦克ID">道具ID!$B$15:$F$45</definedName>
    <definedName name="坦克价值">道具价值!$N$17:$AR$42</definedName>
    <definedName name="坦克价值标头">道具价值!$N$18:$AR$18</definedName>
    <definedName name="坦克属性分配比例">坦克标准养成属性!$E$3:$M$15</definedName>
    <definedName name="坦克属性分配比例标头">坦克标准养成属性!$E$3:$M$3</definedName>
    <definedName name="坦克碎片价值">道具价值!$N$44:$AR$69</definedName>
    <definedName name="坦克碎片价值标头">道具价值!$N$45:$AR$45</definedName>
    <definedName name="坦克涂装价值">'坦克涂装-作废'!$T$6:$Z$234</definedName>
    <definedName name="坦克涂装价值标头">'坦克涂装-作废'!$T$6:$Z$6</definedName>
    <definedName name="涂装ID">道具ID!$B$47:$D$197</definedName>
    <definedName name="中坦单发_阶段属性">坦克等级成长!$BJ$3:$BP$27</definedName>
    <definedName name="中坦弹夹_阶段属性">坦克等级成长!$BB$3:$BH$27</definedName>
    <definedName name="重坦单发_阶段属性">坦克等级成长!$BZ$3:$CF$27</definedName>
    <definedName name="重坦自动_阶段属性">坦克等级成长!$BR$3:$BX$27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14" i="37" l="1"/>
  <c r="V17" i="37" s="1"/>
  <c r="V12" i="37"/>
  <c r="V15" i="37" s="1"/>
  <c r="V11" i="37"/>
  <c r="V10" i="37"/>
  <c r="U8" i="37"/>
  <c r="U9" i="37" s="1"/>
  <c r="X9" i="37" s="1"/>
  <c r="Y7" i="37"/>
  <c r="X7" i="37"/>
  <c r="W7" i="37"/>
  <c r="C29" i="32"/>
  <c r="I16" i="41"/>
  <c r="F16" i="41"/>
  <c r="F13" i="41"/>
  <c r="D11" i="41"/>
  <c r="D26" i="49"/>
  <c r="F26" i="49" s="1"/>
  <c r="D25" i="49"/>
  <c r="F25" i="49" s="1"/>
  <c r="D24" i="49"/>
  <c r="F24" i="49" s="1"/>
  <c r="D23" i="49"/>
  <c r="F23" i="49" s="1"/>
  <c r="D22" i="49"/>
  <c r="F22" i="49" s="1"/>
  <c r="D21" i="49"/>
  <c r="F21" i="49" s="1"/>
  <c r="D20" i="49"/>
  <c r="F20" i="49" s="1"/>
  <c r="D19" i="49"/>
  <c r="F19" i="49" s="1"/>
  <c r="D18" i="49"/>
  <c r="F18" i="49" s="1"/>
  <c r="D17" i="49"/>
  <c r="F17" i="49" s="1"/>
  <c r="D16" i="49"/>
  <c r="F16" i="49" s="1"/>
  <c r="D15" i="49"/>
  <c r="F15" i="49" s="1"/>
  <c r="D14" i="49"/>
  <c r="F14" i="49" s="1"/>
  <c r="D13" i="49"/>
  <c r="F13" i="49" s="1"/>
  <c r="D12" i="49"/>
  <c r="F12" i="49" s="1"/>
  <c r="D11" i="49"/>
  <c r="F11" i="49" s="1"/>
  <c r="D10" i="49"/>
  <c r="F10" i="49" s="1"/>
  <c r="D9" i="49"/>
  <c r="F9" i="49" s="1"/>
  <c r="D8" i="49"/>
  <c r="F8" i="49" s="1"/>
  <c r="D7" i="49"/>
  <c r="F7" i="49" s="1"/>
  <c r="D6" i="49"/>
  <c r="F6" i="49" s="1"/>
  <c r="D5" i="49"/>
  <c r="F5" i="49" s="1"/>
  <c r="D4" i="49"/>
  <c r="F4" i="49" s="1"/>
  <c r="D3" i="49"/>
  <c r="F3" i="49" s="1"/>
  <c r="D38" i="5"/>
  <c r="D39" i="5"/>
  <c r="D37" i="5"/>
  <c r="AJ13" i="25"/>
  <c r="AK13" i="25"/>
  <c r="AM13" i="25" s="1"/>
  <c r="AN13" i="25" s="1"/>
  <c r="AL13" i="25"/>
  <c r="AJ12" i="25"/>
  <c r="AK12" i="25"/>
  <c r="AL12" i="25"/>
  <c r="V20" i="37" l="1"/>
  <c r="T7" i="37"/>
  <c r="V18" i="37"/>
  <c r="W9" i="37"/>
  <c r="U10" i="37"/>
  <c r="Y9" i="37"/>
  <c r="V13" i="37"/>
  <c r="W8" i="37"/>
  <c r="X8" i="37"/>
  <c r="Y8" i="37"/>
  <c r="AM12" i="25"/>
  <c r="AN12" i="25" s="1"/>
  <c r="E4" i="29"/>
  <c r="J14" i="7"/>
  <c r="F6" i="25"/>
  <c r="T9" i="37" l="1"/>
  <c r="T8" i="37"/>
  <c r="V16" i="37"/>
  <c r="V23" i="37"/>
  <c r="Y10" i="37"/>
  <c r="X10" i="37"/>
  <c r="W10" i="37"/>
  <c r="U11" i="37"/>
  <c r="V21" i="37"/>
  <c r="AE7" i="46"/>
  <c r="AE8" i="46"/>
  <c r="AE9" i="46"/>
  <c r="AE10" i="46"/>
  <c r="AE11" i="46"/>
  <c r="AE12" i="46"/>
  <c r="AE13" i="46"/>
  <c r="AE14" i="46"/>
  <c r="AE15" i="46"/>
  <c r="AE16" i="46"/>
  <c r="AE17" i="46"/>
  <c r="AE18" i="46"/>
  <c r="AE19" i="46"/>
  <c r="AE20" i="46"/>
  <c r="AE21" i="46"/>
  <c r="AE22" i="46"/>
  <c r="AE23" i="46"/>
  <c r="AE24" i="46"/>
  <c r="AE25" i="46"/>
  <c r="AE26" i="46"/>
  <c r="AE27" i="46"/>
  <c r="AE28" i="46"/>
  <c r="AE29" i="46"/>
  <c r="AE30" i="46"/>
  <c r="AE31" i="46"/>
  <c r="AE32" i="46"/>
  <c r="AE33" i="46"/>
  <c r="AE34" i="46"/>
  <c r="AE35" i="46"/>
  <c r="AE36" i="46"/>
  <c r="AE37" i="46"/>
  <c r="AE38" i="46"/>
  <c r="AE39" i="46"/>
  <c r="AE40" i="46"/>
  <c r="AE41" i="46"/>
  <c r="AE42" i="46"/>
  <c r="AE43" i="46"/>
  <c r="AE44" i="46"/>
  <c r="AE45" i="46"/>
  <c r="AE46" i="46"/>
  <c r="AE47" i="46"/>
  <c r="AE48" i="46"/>
  <c r="AE49" i="46"/>
  <c r="AE50" i="46"/>
  <c r="AE51" i="46"/>
  <c r="AE52" i="46"/>
  <c r="AE53" i="46"/>
  <c r="AE54" i="46"/>
  <c r="AE55" i="46"/>
  <c r="AE56" i="46"/>
  <c r="AE57" i="46"/>
  <c r="AE5" i="46"/>
  <c r="AE6" i="46"/>
  <c r="AE4" i="46"/>
  <c r="Y5" i="46"/>
  <c r="Y6" i="46" s="1"/>
  <c r="Y7" i="46" s="1"/>
  <c r="Y8" i="46" s="1"/>
  <c r="Y9" i="46" s="1"/>
  <c r="Y10" i="46" s="1"/>
  <c r="X11" i="37" l="1"/>
  <c r="W11" i="37"/>
  <c r="Y11" i="37"/>
  <c r="U12" i="37"/>
  <c r="V26" i="37"/>
  <c r="V24" i="37"/>
  <c r="T10" i="37"/>
  <c r="V19" i="37"/>
  <c r="E22" i="7"/>
  <c r="V22" i="37" l="1"/>
  <c r="V29" i="37"/>
  <c r="V27" i="37"/>
  <c r="Y12" i="37"/>
  <c r="W12" i="37"/>
  <c r="T12" i="37" s="1"/>
  <c r="X12" i="37"/>
  <c r="U13" i="37"/>
  <c r="T11" i="37"/>
  <c r="V5" i="46"/>
  <c r="U5" i="46" s="1"/>
  <c r="U4" i="46"/>
  <c r="AD4" i="46" s="1"/>
  <c r="AF4" i="46" s="1"/>
  <c r="E6" i="25"/>
  <c r="E23" i="7"/>
  <c r="E24" i="7"/>
  <c r="Q7" i="7"/>
  <c r="Q8" i="7"/>
  <c r="Q9" i="7"/>
  <c r="Q6" i="7"/>
  <c r="P6" i="7"/>
  <c r="P7" i="7"/>
  <c r="P8" i="7"/>
  <c r="P9" i="7"/>
  <c r="P5" i="7"/>
  <c r="O5" i="7"/>
  <c r="O6" i="7"/>
  <c r="O7" i="7"/>
  <c r="O8" i="7"/>
  <c r="O9" i="7"/>
  <c r="O4" i="7"/>
  <c r="L16" i="27"/>
  <c r="L17" i="27"/>
  <c r="V30" i="37" l="1"/>
  <c r="V32" i="37"/>
  <c r="Y13" i="37"/>
  <c r="X13" i="37"/>
  <c r="W13" i="37"/>
  <c r="T13" i="37" s="1"/>
  <c r="U14" i="37"/>
  <c r="V25" i="37"/>
  <c r="V6" i="46"/>
  <c r="V7" i="46" s="1"/>
  <c r="V8" i="46" s="1"/>
  <c r="V9" i="46" s="1"/>
  <c r="V10" i="46" s="1"/>
  <c r="H41" i="2"/>
  <c r="C4" i="27"/>
  <c r="T4" i="25"/>
  <c r="F4" i="25"/>
  <c r="V28" i="37" l="1"/>
  <c r="X14" i="37"/>
  <c r="W14" i="37"/>
  <c r="Y14" i="37"/>
  <c r="U15" i="37"/>
  <c r="V35" i="37"/>
  <c r="V33" i="37"/>
  <c r="G4" i="25"/>
  <c r="F15" i="27"/>
  <c r="F16" i="27"/>
  <c r="F17" i="27"/>
  <c r="F18" i="27"/>
  <c r="F19" i="27"/>
  <c r="F20" i="27"/>
  <c r="F21" i="27"/>
  <c r="F22" i="27"/>
  <c r="F23" i="27"/>
  <c r="F24" i="27"/>
  <c r="F25" i="27"/>
  <c r="F26" i="27"/>
  <c r="F27" i="27"/>
  <c r="F28" i="27"/>
  <c r="F29" i="27"/>
  <c r="F30" i="27"/>
  <c r="F31" i="27"/>
  <c r="F32" i="27"/>
  <c r="F33" i="27"/>
  <c r="F34" i="27"/>
  <c r="F35" i="27"/>
  <c r="F36" i="27"/>
  <c r="F14" i="27"/>
  <c r="G14" i="27" s="1"/>
  <c r="C15" i="28"/>
  <c r="C27" i="28"/>
  <c r="C13" i="28"/>
  <c r="M13" i="28" s="1"/>
  <c r="V36" i="37" l="1"/>
  <c r="V38" i="37"/>
  <c r="Y15" i="37"/>
  <c r="X15" i="37"/>
  <c r="W15" i="37"/>
  <c r="T15" i="37" s="1"/>
  <c r="U16" i="37"/>
  <c r="T14" i="37"/>
  <c r="V31" i="37"/>
  <c r="C6" i="46"/>
  <c r="Y16" i="37" l="1"/>
  <c r="X16" i="37"/>
  <c r="W16" i="37"/>
  <c r="T16" i="37" s="1"/>
  <c r="U17" i="37"/>
  <c r="V41" i="37"/>
  <c r="V34" i="37"/>
  <c r="V39" i="37"/>
  <c r="L11" i="29"/>
  <c r="L9" i="29"/>
  <c r="K10" i="29"/>
  <c r="K5" i="29"/>
  <c r="K6" i="29"/>
  <c r="K7" i="29"/>
  <c r="K8" i="29"/>
  <c r="K4" i="29"/>
  <c r="V13" i="43"/>
  <c r="U13" i="43"/>
  <c r="W13" i="43" s="1"/>
  <c r="S13" i="43"/>
  <c r="S12" i="43" s="1"/>
  <c r="X5" i="25"/>
  <c r="X6" i="25" s="1"/>
  <c r="AL5" i="25"/>
  <c r="AL6" i="25"/>
  <c r="AL7" i="25"/>
  <c r="AL8" i="25"/>
  <c r="AL9" i="25"/>
  <c r="AL10" i="25"/>
  <c r="AL11" i="25"/>
  <c r="AL14" i="25"/>
  <c r="AL15" i="25"/>
  <c r="AL16" i="25"/>
  <c r="AL17" i="25"/>
  <c r="AL18" i="25"/>
  <c r="AL19" i="25"/>
  <c r="AL20" i="25"/>
  <c r="AL21" i="25"/>
  <c r="AL22" i="25"/>
  <c r="AL23" i="25"/>
  <c r="AL24" i="25"/>
  <c r="AL25" i="25"/>
  <c r="AL26" i="25"/>
  <c r="AL27" i="25"/>
  <c r="AL28" i="25"/>
  <c r="AL29" i="25"/>
  <c r="AL30" i="25"/>
  <c r="AL31" i="25"/>
  <c r="AL32" i="25"/>
  <c r="AL33" i="25"/>
  <c r="AL4" i="25"/>
  <c r="AJ5" i="25"/>
  <c r="AK5" i="25"/>
  <c r="AJ6" i="25"/>
  <c r="AK6" i="25"/>
  <c r="AJ7" i="25"/>
  <c r="AK7" i="25"/>
  <c r="AJ8" i="25"/>
  <c r="AK8" i="25"/>
  <c r="AJ9" i="25"/>
  <c r="AK9" i="25"/>
  <c r="AJ10" i="25"/>
  <c r="AK10" i="25"/>
  <c r="AJ11" i="25"/>
  <c r="AK11" i="25"/>
  <c r="AJ14" i="25"/>
  <c r="AK14" i="25"/>
  <c r="AJ15" i="25"/>
  <c r="AK15" i="25"/>
  <c r="AJ16" i="25"/>
  <c r="AK16" i="25"/>
  <c r="AJ17" i="25"/>
  <c r="AK17" i="25"/>
  <c r="AJ18" i="25"/>
  <c r="AK18" i="25"/>
  <c r="AJ19" i="25"/>
  <c r="AK19" i="25"/>
  <c r="AJ20" i="25"/>
  <c r="AK20" i="25"/>
  <c r="AJ21" i="25"/>
  <c r="AK21" i="25"/>
  <c r="AJ22" i="25"/>
  <c r="AK22" i="25"/>
  <c r="AJ23" i="25"/>
  <c r="AK23" i="25"/>
  <c r="AJ24" i="25"/>
  <c r="AK24" i="25"/>
  <c r="AJ25" i="25"/>
  <c r="AK25" i="25"/>
  <c r="AJ26" i="25"/>
  <c r="AK26" i="25"/>
  <c r="AJ27" i="25"/>
  <c r="AK27" i="25"/>
  <c r="AJ28" i="25"/>
  <c r="AK28" i="25"/>
  <c r="AJ29" i="25"/>
  <c r="AK29" i="25"/>
  <c r="AJ30" i="25"/>
  <c r="AK30" i="25"/>
  <c r="AJ31" i="25"/>
  <c r="AK31" i="25"/>
  <c r="AJ32" i="25"/>
  <c r="AK32" i="25"/>
  <c r="AJ33" i="25"/>
  <c r="AK33" i="25"/>
  <c r="AK4" i="25"/>
  <c r="AJ4" i="25"/>
  <c r="V37" i="37" l="1"/>
  <c r="V42" i="37"/>
  <c r="V44" i="37"/>
  <c r="X17" i="37"/>
  <c r="W17" i="37"/>
  <c r="Y17" i="37"/>
  <c r="U18" i="37"/>
  <c r="X7" i="25"/>
  <c r="T12" i="43"/>
  <c r="U12" i="43" s="1"/>
  <c r="V12" i="43" s="1"/>
  <c r="S11" i="43"/>
  <c r="AD18" i="7"/>
  <c r="T17" i="37" l="1"/>
  <c r="Y18" i="37"/>
  <c r="W18" i="37"/>
  <c r="X18" i="37"/>
  <c r="U19" i="37"/>
  <c r="V47" i="37"/>
  <c r="V45" i="37"/>
  <c r="V40" i="37"/>
  <c r="S10" i="43"/>
  <c r="T11" i="43"/>
  <c r="U11" i="43" s="1"/>
  <c r="V11" i="43" s="1"/>
  <c r="X8" i="25"/>
  <c r="G44" i="28"/>
  <c r="G43" i="28"/>
  <c r="G42" i="28"/>
  <c r="G41" i="28"/>
  <c r="G40" i="28"/>
  <c r="G39" i="28"/>
  <c r="G38" i="28"/>
  <c r="G37" i="28"/>
  <c r="G36" i="28"/>
  <c r="G35" i="28"/>
  <c r="G34" i="28"/>
  <c r="G33" i="28"/>
  <c r="C4" i="28"/>
  <c r="C22" i="28"/>
  <c r="V43" i="37" l="1"/>
  <c r="V48" i="37"/>
  <c r="Y19" i="37"/>
  <c r="X19" i="37"/>
  <c r="W19" i="37"/>
  <c r="T19" i="37" s="1"/>
  <c r="U20" i="37"/>
  <c r="T18" i="37"/>
  <c r="V50" i="37"/>
  <c r="L5" i="29"/>
  <c r="L7" i="29"/>
  <c r="L10" i="29"/>
  <c r="L8" i="29"/>
  <c r="L4" i="29"/>
  <c r="L6" i="29"/>
  <c r="X9" i="25"/>
  <c r="S9" i="43"/>
  <c r="T10" i="43"/>
  <c r="U10" i="43" s="1"/>
  <c r="V10" i="43" s="1"/>
  <c r="E5" i="25"/>
  <c r="E4" i="25"/>
  <c r="AF4" i="25"/>
  <c r="AE4" i="25"/>
  <c r="R4" i="25"/>
  <c r="Y8" i="25" s="1"/>
  <c r="Z8" i="25" s="1"/>
  <c r="AX5" i="46"/>
  <c r="AX6" i="46"/>
  <c r="AX7" i="46"/>
  <c r="AX8" i="46"/>
  <c r="AX9" i="46"/>
  <c r="AX4" i="46"/>
  <c r="AD5" i="46"/>
  <c r="AF5" i="46" s="1"/>
  <c r="G22" i="31"/>
  <c r="G23" i="31"/>
  <c r="G24" i="31"/>
  <c r="G25" i="31"/>
  <c r="G26" i="31"/>
  <c r="G27" i="31"/>
  <c r="G28" i="31"/>
  <c r="G29" i="31"/>
  <c r="G30" i="31"/>
  <c r="G31" i="31"/>
  <c r="G32" i="31"/>
  <c r="G21" i="31"/>
  <c r="E6" i="31"/>
  <c r="G6" i="31" s="1"/>
  <c r="I6" i="31" s="1"/>
  <c r="L6" i="31" s="1"/>
  <c r="G4" i="26"/>
  <c r="G4" i="34"/>
  <c r="N7" i="7"/>
  <c r="H21" i="7" s="1"/>
  <c r="N8" i="7"/>
  <c r="H24" i="7" s="1"/>
  <c r="N9" i="7"/>
  <c r="N6" i="7"/>
  <c r="H18" i="7" s="1"/>
  <c r="M6" i="7"/>
  <c r="H17" i="7" s="1"/>
  <c r="M7" i="7"/>
  <c r="H20" i="7" s="1"/>
  <c r="M8" i="7"/>
  <c r="H23" i="7" s="1"/>
  <c r="M9" i="7"/>
  <c r="M5" i="7"/>
  <c r="H15" i="7" s="1"/>
  <c r="L5" i="7"/>
  <c r="H14" i="7" s="1"/>
  <c r="L6" i="7"/>
  <c r="H16" i="7" s="1"/>
  <c r="L7" i="7"/>
  <c r="H19" i="7" s="1"/>
  <c r="L8" i="7"/>
  <c r="H22" i="7" s="1"/>
  <c r="L9" i="7"/>
  <c r="L4" i="7"/>
  <c r="H13" i="7" s="1"/>
  <c r="V53" i="37" l="1"/>
  <c r="Y20" i="37"/>
  <c r="X20" i="37"/>
  <c r="W20" i="37"/>
  <c r="T20" i="37" s="1"/>
  <c r="U21" i="37"/>
  <c r="V51" i="37"/>
  <c r="V46" i="37"/>
  <c r="AE5" i="25"/>
  <c r="AC5" i="25" s="1"/>
  <c r="AD5" i="25"/>
  <c r="AC4" i="25"/>
  <c r="Q4" i="25"/>
  <c r="Q8" i="25"/>
  <c r="Q6" i="25"/>
  <c r="Q9" i="25"/>
  <c r="Q7" i="25"/>
  <c r="Q5" i="25"/>
  <c r="X10" i="25"/>
  <c r="Y4" i="25"/>
  <c r="Y5" i="25"/>
  <c r="Z5" i="25" s="1"/>
  <c r="Y6" i="25"/>
  <c r="Z6" i="25" s="1"/>
  <c r="Y7" i="25"/>
  <c r="Z7" i="25" s="1"/>
  <c r="H33" i="28"/>
  <c r="E33" i="28"/>
  <c r="S8" i="43"/>
  <c r="T9" i="43"/>
  <c r="U9" i="43" s="1"/>
  <c r="V9" i="43" s="1"/>
  <c r="H18" i="46"/>
  <c r="H17" i="46"/>
  <c r="H16" i="46"/>
  <c r="BB9" i="46"/>
  <c r="BB17" i="46"/>
  <c r="BB25" i="46"/>
  <c r="BB33" i="46"/>
  <c r="BB41" i="46"/>
  <c r="BB49" i="46"/>
  <c r="BB57" i="46"/>
  <c r="BB10" i="46"/>
  <c r="BB18" i="46"/>
  <c r="BB26" i="46"/>
  <c r="BB34" i="46"/>
  <c r="BB42" i="46"/>
  <c r="BB50" i="46"/>
  <c r="BB58" i="46"/>
  <c r="BB11" i="46"/>
  <c r="BB19" i="46"/>
  <c r="BB27" i="46"/>
  <c r="BB35" i="46"/>
  <c r="BB43" i="46"/>
  <c r="BB51" i="46"/>
  <c r="BB59" i="46"/>
  <c r="BB48" i="46"/>
  <c r="BB12" i="46"/>
  <c r="BB20" i="46"/>
  <c r="BB28" i="46"/>
  <c r="BB36" i="46"/>
  <c r="BB44" i="46"/>
  <c r="BB52" i="46"/>
  <c r="BB60" i="46"/>
  <c r="BB32" i="46"/>
  <c r="BB5" i="46"/>
  <c r="BB13" i="46"/>
  <c r="BB21" i="46"/>
  <c r="BB29" i="46"/>
  <c r="BB37" i="46"/>
  <c r="BB45" i="46"/>
  <c r="BB53" i="46"/>
  <c r="BB61" i="46"/>
  <c r="BB16" i="46"/>
  <c r="BB56" i="46"/>
  <c r="BB6" i="46"/>
  <c r="BB14" i="46"/>
  <c r="BB22" i="46"/>
  <c r="BB30" i="46"/>
  <c r="BB38" i="46"/>
  <c r="BB46" i="46"/>
  <c r="BB54" i="46"/>
  <c r="BB62" i="46"/>
  <c r="BB24" i="46"/>
  <c r="BB4" i="46"/>
  <c r="BB7" i="46"/>
  <c r="BB15" i="46"/>
  <c r="BB23" i="46"/>
  <c r="BB31" i="46"/>
  <c r="BB39" i="46"/>
  <c r="BB47" i="46"/>
  <c r="BB55" i="46"/>
  <c r="BB63" i="46"/>
  <c r="BB8" i="46"/>
  <c r="BB40" i="46"/>
  <c r="AD6" i="46"/>
  <c r="AF6" i="46" s="1"/>
  <c r="U6" i="46"/>
  <c r="W21" i="37" l="1"/>
  <c r="Y21" i="37"/>
  <c r="X21" i="37"/>
  <c r="U22" i="37"/>
  <c r="V54" i="37"/>
  <c r="V49" i="37"/>
  <c r="V56" i="37"/>
  <c r="Z4" i="25"/>
  <c r="AA4" i="25" s="1"/>
  <c r="AG4" i="25"/>
  <c r="AH4" i="25" s="1"/>
  <c r="H21" i="31"/>
  <c r="M6" i="31"/>
  <c r="S7" i="43"/>
  <c r="T8" i="43"/>
  <c r="U8" i="43" s="1"/>
  <c r="V8" i="43" s="1"/>
  <c r="X11" i="25"/>
  <c r="X12" i="25" s="1"/>
  <c r="AF5" i="25"/>
  <c r="AD6" i="25" s="1"/>
  <c r="AD7" i="46"/>
  <c r="AF7" i="46" s="1"/>
  <c r="U7" i="46"/>
  <c r="V57" i="37" l="1"/>
  <c r="Y22" i="37"/>
  <c r="X22" i="37"/>
  <c r="W22" i="37"/>
  <c r="U23" i="37"/>
  <c r="V52" i="37"/>
  <c r="V59" i="37"/>
  <c r="T21" i="37"/>
  <c r="X13" i="25"/>
  <c r="F33" i="28"/>
  <c r="C4" i="46" s="1"/>
  <c r="D4" i="46" s="1"/>
  <c r="AE6" i="25"/>
  <c r="BY5" i="24"/>
  <c r="BY24" i="24"/>
  <c r="BY4" i="24"/>
  <c r="AA5" i="25"/>
  <c r="AA6" i="25" s="1"/>
  <c r="AA7" i="25" s="1"/>
  <c r="BY25" i="24"/>
  <c r="H4" i="25"/>
  <c r="C4" i="25" s="1"/>
  <c r="BY14" i="24"/>
  <c r="BY15" i="24"/>
  <c r="AD8" i="46"/>
  <c r="AF8" i="46" s="1"/>
  <c r="S6" i="43"/>
  <c r="T7" i="43"/>
  <c r="U7" i="43" s="1"/>
  <c r="V7" i="43" s="1"/>
  <c r="U8" i="46"/>
  <c r="V55" i="37" l="1"/>
  <c r="X23" i="37"/>
  <c r="W23" i="37"/>
  <c r="T23" i="37" s="1"/>
  <c r="Y23" i="37"/>
  <c r="U24" i="37"/>
  <c r="V62" i="37"/>
  <c r="T22" i="37"/>
  <c r="V60" i="37"/>
  <c r="D16" i="46"/>
  <c r="G16" i="46" s="1"/>
  <c r="C28" i="32" s="1"/>
  <c r="AC6" i="25"/>
  <c r="S5" i="43"/>
  <c r="T6" i="43"/>
  <c r="U6" i="43" s="1"/>
  <c r="V6" i="43" s="1"/>
  <c r="AA8" i="25"/>
  <c r="AF6" i="25"/>
  <c r="AD7" i="25" s="1"/>
  <c r="AD9" i="46"/>
  <c r="AF9" i="46" s="1"/>
  <c r="U9" i="46"/>
  <c r="V65" i="37" l="1"/>
  <c r="V63" i="37"/>
  <c r="Y24" i="37"/>
  <c r="W24" i="37"/>
  <c r="X24" i="37"/>
  <c r="U25" i="37"/>
  <c r="V58" i="37"/>
  <c r="AE7" i="25"/>
  <c r="X14" i="25"/>
  <c r="S4" i="43"/>
  <c r="T4" i="43" s="1"/>
  <c r="U4" i="43" s="1"/>
  <c r="V4" i="43" s="1"/>
  <c r="T5" i="43"/>
  <c r="U5" i="43" s="1"/>
  <c r="V5" i="43" s="1"/>
  <c r="U4" i="25"/>
  <c r="AF7" i="25"/>
  <c r="AD10" i="46"/>
  <c r="AF10" i="46" s="1"/>
  <c r="U10" i="46"/>
  <c r="P14" i="27"/>
  <c r="P15" i="27"/>
  <c r="P16" i="27"/>
  <c r="P17" i="27"/>
  <c r="P18" i="27"/>
  <c r="P19" i="27"/>
  <c r="P20" i="27"/>
  <c r="P21" i="27"/>
  <c r="P22" i="27"/>
  <c r="P23" i="27"/>
  <c r="P24" i="27"/>
  <c r="P25" i="27"/>
  <c r="P26" i="27"/>
  <c r="P27" i="27"/>
  <c r="P28" i="27"/>
  <c r="P29" i="27"/>
  <c r="P30" i="27"/>
  <c r="P31" i="27"/>
  <c r="P32" i="27"/>
  <c r="P33" i="27"/>
  <c r="P34" i="27"/>
  <c r="P35" i="27"/>
  <c r="P36" i="27"/>
  <c r="P13" i="27"/>
  <c r="V61" i="37" l="1"/>
  <c r="Y25" i="37"/>
  <c r="X25" i="37"/>
  <c r="W25" i="37"/>
  <c r="T25" i="37" s="1"/>
  <c r="U26" i="37"/>
  <c r="T24" i="37"/>
  <c r="V66" i="37"/>
  <c r="V68" i="37"/>
  <c r="AD8" i="25"/>
  <c r="AE8" i="25" s="1"/>
  <c r="AC7" i="25"/>
  <c r="X15" i="25"/>
  <c r="AD11" i="46"/>
  <c r="AF11" i="46" s="1"/>
  <c r="AL24" i="47"/>
  <c r="AL25" i="47"/>
  <c r="AL26" i="47"/>
  <c r="AL27" i="47"/>
  <c r="AL28" i="47"/>
  <c r="AL29" i="47"/>
  <c r="AL30" i="47"/>
  <c r="AL31" i="47"/>
  <c r="AL32" i="47"/>
  <c r="AL33" i="47"/>
  <c r="AL34" i="47"/>
  <c r="AL35" i="47"/>
  <c r="AL36" i="47"/>
  <c r="AL37" i="47"/>
  <c r="AL38" i="47"/>
  <c r="AL39" i="47"/>
  <c r="AL40" i="47"/>
  <c r="AL41" i="47"/>
  <c r="AL42" i="47"/>
  <c r="AL43" i="47"/>
  <c r="AL44" i="47"/>
  <c r="AL45" i="47"/>
  <c r="AL46" i="47"/>
  <c r="AL47" i="47"/>
  <c r="AL48" i="47"/>
  <c r="AL49" i="47"/>
  <c r="AL50" i="47"/>
  <c r="AL51" i="47"/>
  <c r="AL52" i="47"/>
  <c r="AL53" i="47"/>
  <c r="AL54" i="47"/>
  <c r="AL55" i="47"/>
  <c r="AL56" i="47"/>
  <c r="AL57" i="47"/>
  <c r="AL58" i="47"/>
  <c r="AL59" i="47"/>
  <c r="AL60" i="47"/>
  <c r="AL61" i="47"/>
  <c r="AL62" i="47"/>
  <c r="AL63" i="47"/>
  <c r="AL64" i="47"/>
  <c r="AL65" i="47"/>
  <c r="AL66" i="47"/>
  <c r="AL67" i="47"/>
  <c r="AL68" i="47"/>
  <c r="AL69" i="47"/>
  <c r="AL70" i="47"/>
  <c r="AL71" i="47"/>
  <c r="AL72" i="47"/>
  <c r="AL73" i="47"/>
  <c r="AL74" i="47"/>
  <c r="AL75" i="47"/>
  <c r="AL76" i="47"/>
  <c r="AL77" i="47"/>
  <c r="AL78" i="47"/>
  <c r="AL79" i="47"/>
  <c r="AL80" i="47"/>
  <c r="AL81" i="47"/>
  <c r="AL82" i="47"/>
  <c r="AL83" i="47"/>
  <c r="AL84" i="47"/>
  <c r="AL85" i="47"/>
  <c r="AL86" i="47"/>
  <c r="AL87" i="47"/>
  <c r="AL88" i="47"/>
  <c r="AL89" i="47"/>
  <c r="AL90" i="47"/>
  <c r="AL91" i="47"/>
  <c r="AL92" i="47"/>
  <c r="AL93" i="47"/>
  <c r="AL94" i="47"/>
  <c r="AL95" i="47"/>
  <c r="AL96" i="47"/>
  <c r="AL97" i="47"/>
  <c r="AL98" i="47"/>
  <c r="AL99" i="47"/>
  <c r="AL100" i="47"/>
  <c r="AL101" i="47"/>
  <c r="AL102" i="47"/>
  <c r="AL103" i="47"/>
  <c r="AL104" i="47"/>
  <c r="AL105" i="47"/>
  <c r="AL106" i="47"/>
  <c r="AL107" i="47"/>
  <c r="AL108" i="47"/>
  <c r="AL109" i="47"/>
  <c r="AL110" i="47"/>
  <c r="AL111" i="47"/>
  <c r="AL112" i="47"/>
  <c r="AL113" i="47"/>
  <c r="AL114" i="47"/>
  <c r="AL115" i="47"/>
  <c r="AL116" i="47"/>
  <c r="AL117" i="47"/>
  <c r="AL118" i="47"/>
  <c r="AL119" i="47"/>
  <c r="AL120" i="47"/>
  <c r="AL121" i="47"/>
  <c r="AL122" i="47"/>
  <c r="AL123" i="47"/>
  <c r="AL124" i="47"/>
  <c r="AL125" i="47"/>
  <c r="AL126" i="47"/>
  <c r="AL127" i="47"/>
  <c r="AL128" i="47"/>
  <c r="AL129" i="47"/>
  <c r="AL130" i="47"/>
  <c r="AL131" i="47"/>
  <c r="AL132" i="47"/>
  <c r="AL133" i="47"/>
  <c r="AL134" i="47"/>
  <c r="AL135" i="47"/>
  <c r="AL136" i="47"/>
  <c r="AL137" i="47"/>
  <c r="AL138" i="47"/>
  <c r="AL139" i="47"/>
  <c r="AL140" i="47"/>
  <c r="AL141" i="47"/>
  <c r="AL142" i="47"/>
  <c r="AL143" i="47"/>
  <c r="AL144" i="47"/>
  <c r="AL145" i="47"/>
  <c r="AL146" i="47"/>
  <c r="AL147" i="47"/>
  <c r="AL148" i="47"/>
  <c r="AL149" i="47"/>
  <c r="AL150" i="47"/>
  <c r="AL151" i="47"/>
  <c r="AL152" i="47"/>
  <c r="AL153" i="47"/>
  <c r="AL154" i="47"/>
  <c r="AL155" i="47"/>
  <c r="AL156" i="47"/>
  <c r="AL157" i="47"/>
  <c r="AL158" i="47"/>
  <c r="AL159" i="47"/>
  <c r="AL160" i="47"/>
  <c r="AL23" i="47"/>
  <c r="V69" i="37" l="1"/>
  <c r="X26" i="37"/>
  <c r="W26" i="37"/>
  <c r="Y26" i="37"/>
  <c r="U27" i="37"/>
  <c r="V71" i="37"/>
  <c r="V64" i="37"/>
  <c r="AC8" i="25"/>
  <c r="AF8" i="25"/>
  <c r="AD9" i="25" s="1"/>
  <c r="X16" i="25"/>
  <c r="AD12" i="46"/>
  <c r="AF12" i="46" s="1"/>
  <c r="AJ24" i="47"/>
  <c r="AJ25" i="47"/>
  <c r="AJ26" i="47"/>
  <c r="AJ27" i="47"/>
  <c r="AJ28" i="47"/>
  <c r="AJ29" i="47"/>
  <c r="AJ30" i="47"/>
  <c r="AJ31" i="47"/>
  <c r="AJ32" i="47"/>
  <c r="AJ33" i="47"/>
  <c r="AJ34" i="47"/>
  <c r="AJ35" i="47"/>
  <c r="AJ36" i="47"/>
  <c r="AJ37" i="47"/>
  <c r="AJ38" i="47"/>
  <c r="AJ39" i="47"/>
  <c r="AJ40" i="47"/>
  <c r="AJ59" i="47"/>
  <c r="AJ60" i="47"/>
  <c r="AJ61" i="47"/>
  <c r="AJ62" i="47"/>
  <c r="AJ63" i="47"/>
  <c r="AJ64" i="47"/>
  <c r="AJ65" i="47"/>
  <c r="AJ66" i="47"/>
  <c r="AJ67" i="47"/>
  <c r="AJ68" i="47"/>
  <c r="AJ69" i="47"/>
  <c r="AJ70" i="47"/>
  <c r="AJ71" i="47"/>
  <c r="AJ72" i="47"/>
  <c r="AJ73" i="47"/>
  <c r="AJ74" i="47"/>
  <c r="AJ75" i="47"/>
  <c r="AJ76" i="47"/>
  <c r="AJ77" i="47"/>
  <c r="AJ78" i="47"/>
  <c r="AJ79" i="47"/>
  <c r="AJ80" i="47"/>
  <c r="AJ81" i="47"/>
  <c r="AJ82" i="47"/>
  <c r="AJ83" i="47"/>
  <c r="AJ84" i="47"/>
  <c r="AJ85" i="47"/>
  <c r="AJ86" i="47"/>
  <c r="AJ87" i="47"/>
  <c r="AJ88" i="47"/>
  <c r="AJ89" i="47"/>
  <c r="AJ90" i="47"/>
  <c r="AJ91" i="47"/>
  <c r="AJ92" i="47"/>
  <c r="AJ93" i="47"/>
  <c r="AJ94" i="47"/>
  <c r="AJ95" i="47"/>
  <c r="AJ96" i="47"/>
  <c r="AJ97" i="47"/>
  <c r="AJ98" i="47"/>
  <c r="AJ99" i="47"/>
  <c r="AJ100" i="47"/>
  <c r="AJ101" i="47"/>
  <c r="AJ102" i="47"/>
  <c r="AJ103" i="47"/>
  <c r="AJ104" i="47"/>
  <c r="AJ105" i="47"/>
  <c r="AJ106" i="47"/>
  <c r="AJ107" i="47"/>
  <c r="AJ108" i="47"/>
  <c r="AJ109" i="47"/>
  <c r="AJ110" i="47"/>
  <c r="AJ111" i="47"/>
  <c r="AJ112" i="47"/>
  <c r="AJ113" i="47"/>
  <c r="AJ114" i="47"/>
  <c r="AJ115" i="47"/>
  <c r="AJ116" i="47"/>
  <c r="AJ117" i="47"/>
  <c r="AJ118" i="47"/>
  <c r="AJ119" i="47"/>
  <c r="AJ120" i="47"/>
  <c r="AJ121" i="47"/>
  <c r="AJ122" i="47"/>
  <c r="AJ123" i="47"/>
  <c r="AJ124" i="47"/>
  <c r="AJ125" i="47"/>
  <c r="AJ126" i="47"/>
  <c r="AJ127" i="47"/>
  <c r="AJ128" i="47"/>
  <c r="AJ129" i="47"/>
  <c r="AJ130" i="47"/>
  <c r="AJ131" i="47"/>
  <c r="AJ132" i="47"/>
  <c r="AJ133" i="47"/>
  <c r="AJ134" i="47"/>
  <c r="AJ135" i="47"/>
  <c r="AJ136" i="47"/>
  <c r="AJ137" i="47"/>
  <c r="AJ138" i="47"/>
  <c r="AJ139" i="47"/>
  <c r="AJ140" i="47"/>
  <c r="AJ141" i="47"/>
  <c r="AJ142" i="47"/>
  <c r="AJ143" i="47"/>
  <c r="AJ144" i="47"/>
  <c r="AJ145" i="47"/>
  <c r="AJ146" i="47"/>
  <c r="AJ147" i="47"/>
  <c r="AJ148" i="47"/>
  <c r="AJ149" i="47"/>
  <c r="AJ150" i="47"/>
  <c r="AJ151" i="47"/>
  <c r="AJ152" i="47"/>
  <c r="AJ153" i="47"/>
  <c r="AJ154" i="47"/>
  <c r="AJ155" i="47"/>
  <c r="AJ156" i="47"/>
  <c r="AJ157" i="47"/>
  <c r="AJ158" i="47"/>
  <c r="AJ159" i="47"/>
  <c r="AJ160" i="47"/>
  <c r="AJ23" i="47"/>
  <c r="AF24" i="47"/>
  <c r="AK24" i="47" s="1"/>
  <c r="AG24" i="47"/>
  <c r="AH24" i="47"/>
  <c r="AF25" i="47"/>
  <c r="AG25" i="47"/>
  <c r="AH25" i="47"/>
  <c r="AF26" i="47"/>
  <c r="AG26" i="47"/>
  <c r="AH26" i="47"/>
  <c r="AF27" i="47"/>
  <c r="AG27" i="47"/>
  <c r="AH27" i="47"/>
  <c r="AF28" i="47"/>
  <c r="AG28" i="47"/>
  <c r="AH28" i="47"/>
  <c r="AF29" i="47"/>
  <c r="AK29" i="47" s="1"/>
  <c r="AG29" i="47"/>
  <c r="AH29" i="47"/>
  <c r="AF30" i="47"/>
  <c r="AG30" i="47"/>
  <c r="AH30" i="47"/>
  <c r="AF31" i="47"/>
  <c r="AG31" i="47"/>
  <c r="AH31" i="47"/>
  <c r="AF32" i="47"/>
  <c r="AK32" i="47" s="1"/>
  <c r="AG32" i="47"/>
  <c r="AH32" i="47"/>
  <c r="AF33" i="47"/>
  <c r="AG33" i="47"/>
  <c r="AH33" i="47"/>
  <c r="AF34" i="47"/>
  <c r="AG34" i="47"/>
  <c r="AH34" i="47"/>
  <c r="AF35" i="47"/>
  <c r="AG35" i="47"/>
  <c r="AH35" i="47"/>
  <c r="AF36" i="47"/>
  <c r="AG36" i="47"/>
  <c r="AH36" i="47"/>
  <c r="AF37" i="47"/>
  <c r="AK37" i="47" s="1"/>
  <c r="AG37" i="47"/>
  <c r="AH37" i="47"/>
  <c r="AF38" i="47"/>
  <c r="AG38" i="47"/>
  <c r="AH38" i="47"/>
  <c r="AF39" i="47"/>
  <c r="AG39" i="47"/>
  <c r="AH39" i="47"/>
  <c r="AF40" i="47"/>
  <c r="AK40" i="47" s="1"/>
  <c r="AG40" i="47"/>
  <c r="AH40" i="47"/>
  <c r="AF41" i="47"/>
  <c r="AG41" i="47"/>
  <c r="AF42" i="47"/>
  <c r="AG42" i="47"/>
  <c r="AF43" i="47"/>
  <c r="AG43" i="47"/>
  <c r="AF44" i="47"/>
  <c r="AG44" i="47"/>
  <c r="AF45" i="47"/>
  <c r="AG45" i="47"/>
  <c r="AF46" i="47"/>
  <c r="AG46" i="47"/>
  <c r="AF47" i="47"/>
  <c r="AG47" i="47"/>
  <c r="AF48" i="47"/>
  <c r="AG48" i="47"/>
  <c r="AF49" i="47"/>
  <c r="AG49" i="47"/>
  <c r="AF50" i="47"/>
  <c r="AG50" i="47"/>
  <c r="AF51" i="47"/>
  <c r="AG51" i="47"/>
  <c r="AF52" i="47"/>
  <c r="AG52" i="47"/>
  <c r="AF53" i="47"/>
  <c r="AG53" i="47"/>
  <c r="AF54" i="47"/>
  <c r="AG54" i="47"/>
  <c r="AF55" i="47"/>
  <c r="AG55" i="47"/>
  <c r="AF56" i="47"/>
  <c r="AG56" i="47"/>
  <c r="AF57" i="47"/>
  <c r="AG57" i="47"/>
  <c r="AF58" i="47"/>
  <c r="AG58" i="47"/>
  <c r="AF59" i="47"/>
  <c r="AK59" i="47" s="1"/>
  <c r="AG59" i="47"/>
  <c r="AH59" i="47"/>
  <c r="AF60" i="47"/>
  <c r="AG60" i="47"/>
  <c r="AH60" i="47"/>
  <c r="AF61" i="47"/>
  <c r="AG61" i="47"/>
  <c r="AH61" i="47"/>
  <c r="AF62" i="47"/>
  <c r="AG62" i="47"/>
  <c r="AH62" i="47"/>
  <c r="AF63" i="47"/>
  <c r="AG63" i="47"/>
  <c r="AH63" i="47"/>
  <c r="AF64" i="47"/>
  <c r="AG64" i="47"/>
  <c r="AH64" i="47"/>
  <c r="AF65" i="47"/>
  <c r="AG65" i="47"/>
  <c r="AH65" i="47"/>
  <c r="AF66" i="47"/>
  <c r="AG66" i="47"/>
  <c r="AH66" i="47"/>
  <c r="AF67" i="47"/>
  <c r="AK67" i="47" s="1"/>
  <c r="AG67" i="47"/>
  <c r="AH67" i="47"/>
  <c r="AF68" i="47"/>
  <c r="AG68" i="47"/>
  <c r="AH68" i="47"/>
  <c r="AF69" i="47"/>
  <c r="AG69" i="47"/>
  <c r="AH69" i="47"/>
  <c r="AF70" i="47"/>
  <c r="AG70" i="47"/>
  <c r="AH70" i="47"/>
  <c r="AF71" i="47"/>
  <c r="AG71" i="47"/>
  <c r="AH71" i="47"/>
  <c r="AF72" i="47"/>
  <c r="AG72" i="47"/>
  <c r="AH72" i="47"/>
  <c r="AF73" i="47"/>
  <c r="AG73" i="47"/>
  <c r="AH73" i="47"/>
  <c r="AF74" i="47"/>
  <c r="AG74" i="47"/>
  <c r="AH74" i="47"/>
  <c r="AF75" i="47"/>
  <c r="AK75" i="47" s="1"/>
  <c r="AG75" i="47"/>
  <c r="AH75" i="47"/>
  <c r="AF76" i="47"/>
  <c r="AG76" i="47"/>
  <c r="AH76" i="47"/>
  <c r="AF77" i="47"/>
  <c r="AG77" i="47"/>
  <c r="AH77" i="47"/>
  <c r="AF78" i="47"/>
  <c r="AG78" i="47"/>
  <c r="AH78" i="47"/>
  <c r="AF79" i="47"/>
  <c r="AG79" i="47"/>
  <c r="AH79" i="47"/>
  <c r="AF80" i="47"/>
  <c r="AG80" i="47"/>
  <c r="AH80" i="47"/>
  <c r="AF81" i="47"/>
  <c r="AG81" i="47"/>
  <c r="AH81" i="47"/>
  <c r="AF82" i="47"/>
  <c r="AG82" i="47"/>
  <c r="AH82" i="47"/>
  <c r="AF83" i="47"/>
  <c r="AK83" i="47" s="1"/>
  <c r="AG83" i="47"/>
  <c r="AH83" i="47"/>
  <c r="AF84" i="47"/>
  <c r="AG84" i="47"/>
  <c r="AH84" i="47"/>
  <c r="AF85" i="47"/>
  <c r="AG85" i="47"/>
  <c r="AH85" i="47"/>
  <c r="AF86" i="47"/>
  <c r="AG86" i="47"/>
  <c r="AH86" i="47"/>
  <c r="AF87" i="47"/>
  <c r="AG87" i="47"/>
  <c r="AH87" i="47"/>
  <c r="AF88" i="47"/>
  <c r="AG88" i="47"/>
  <c r="AH88" i="47"/>
  <c r="AF89" i="47"/>
  <c r="AG89" i="47"/>
  <c r="AH89" i="47"/>
  <c r="AF90" i="47"/>
  <c r="AG90" i="47"/>
  <c r="AH90" i="47"/>
  <c r="AF91" i="47"/>
  <c r="AK91" i="47" s="1"/>
  <c r="AG91" i="47"/>
  <c r="AH91" i="47"/>
  <c r="AF92" i="47"/>
  <c r="AG92" i="47"/>
  <c r="AH92" i="47"/>
  <c r="AF93" i="47"/>
  <c r="AG93" i="47"/>
  <c r="AH93" i="47"/>
  <c r="AF94" i="47"/>
  <c r="AG94" i="47"/>
  <c r="AH94" i="47"/>
  <c r="AF95" i="47"/>
  <c r="AG95" i="47"/>
  <c r="AH95" i="47"/>
  <c r="AF96" i="47"/>
  <c r="AG96" i="47"/>
  <c r="AH96" i="47"/>
  <c r="AF97" i="47"/>
  <c r="AG97" i="47"/>
  <c r="AH97" i="47"/>
  <c r="AF98" i="47"/>
  <c r="AG98" i="47"/>
  <c r="AH98" i="47"/>
  <c r="AF99" i="47"/>
  <c r="AK99" i="47" s="1"/>
  <c r="AG99" i="47"/>
  <c r="AH99" i="47"/>
  <c r="AF100" i="47"/>
  <c r="AG100" i="47"/>
  <c r="AH100" i="47"/>
  <c r="AF101" i="47"/>
  <c r="AG101" i="47"/>
  <c r="AH101" i="47"/>
  <c r="AF102" i="47"/>
  <c r="AG102" i="47"/>
  <c r="AH102" i="47"/>
  <c r="AF103" i="47"/>
  <c r="AG103" i="47"/>
  <c r="AH103" i="47"/>
  <c r="AF104" i="47"/>
  <c r="AG104" i="47"/>
  <c r="AH104" i="47"/>
  <c r="AF105" i="47"/>
  <c r="AG105" i="47"/>
  <c r="AH105" i="47"/>
  <c r="AF106" i="47"/>
  <c r="AG106" i="47"/>
  <c r="AH106" i="47"/>
  <c r="AF107" i="47"/>
  <c r="AK107" i="47" s="1"/>
  <c r="AG107" i="47"/>
  <c r="AH107" i="47"/>
  <c r="AF108" i="47"/>
  <c r="AG108" i="47"/>
  <c r="AH108" i="47"/>
  <c r="AF109" i="47"/>
  <c r="AG109" i="47"/>
  <c r="AH109" i="47"/>
  <c r="AF110" i="47"/>
  <c r="AG110" i="47"/>
  <c r="AH110" i="47"/>
  <c r="AF111" i="47"/>
  <c r="AG111" i="47"/>
  <c r="AH111" i="47"/>
  <c r="AF112" i="47"/>
  <c r="AG112" i="47"/>
  <c r="AH112" i="47"/>
  <c r="AF113" i="47"/>
  <c r="AG113" i="47"/>
  <c r="AH113" i="47"/>
  <c r="AF114" i="47"/>
  <c r="AG114" i="47"/>
  <c r="AH114" i="47"/>
  <c r="AF115" i="47"/>
  <c r="AK115" i="47" s="1"/>
  <c r="AG115" i="47"/>
  <c r="AH115" i="47"/>
  <c r="AF116" i="47"/>
  <c r="AG116" i="47"/>
  <c r="AH116" i="47"/>
  <c r="AF117" i="47"/>
  <c r="AG117" i="47"/>
  <c r="AH117" i="47"/>
  <c r="AF118" i="47"/>
  <c r="AG118" i="47"/>
  <c r="AH118" i="47"/>
  <c r="AF119" i="47"/>
  <c r="AG119" i="47"/>
  <c r="AH119" i="47"/>
  <c r="AF120" i="47"/>
  <c r="AG120" i="47"/>
  <c r="AH120" i="47"/>
  <c r="AF121" i="47"/>
  <c r="AG121" i="47"/>
  <c r="AH121" i="47"/>
  <c r="AF122" i="47"/>
  <c r="AG122" i="47"/>
  <c r="AH122" i="47"/>
  <c r="AF123" i="47"/>
  <c r="AK123" i="47" s="1"/>
  <c r="AG123" i="47"/>
  <c r="AH123" i="47"/>
  <c r="AF124" i="47"/>
  <c r="AG124" i="47"/>
  <c r="AH124" i="47"/>
  <c r="AF125" i="47"/>
  <c r="AG125" i="47"/>
  <c r="AH125" i="47"/>
  <c r="AF126" i="47"/>
  <c r="AG126" i="47"/>
  <c r="AH126" i="47"/>
  <c r="AF127" i="47"/>
  <c r="AG127" i="47"/>
  <c r="AH127" i="47"/>
  <c r="AF128" i="47"/>
  <c r="AG128" i="47"/>
  <c r="AH128" i="47"/>
  <c r="AF129" i="47"/>
  <c r="AK129" i="47" s="1"/>
  <c r="AG129" i="47"/>
  <c r="AH129" i="47"/>
  <c r="AF130" i="47"/>
  <c r="AG130" i="47"/>
  <c r="AH130" i="47"/>
  <c r="AF131" i="47"/>
  <c r="AK131" i="47" s="1"/>
  <c r="AG131" i="47"/>
  <c r="AH131" i="47"/>
  <c r="AF132" i="47"/>
  <c r="AG132" i="47"/>
  <c r="AH132" i="47"/>
  <c r="AF133" i="47"/>
  <c r="AG133" i="47"/>
  <c r="AH133" i="47"/>
  <c r="AF134" i="47"/>
  <c r="AG134" i="47"/>
  <c r="AH134" i="47"/>
  <c r="AF135" i="47"/>
  <c r="AG135" i="47"/>
  <c r="AH135" i="47"/>
  <c r="AF136" i="47"/>
  <c r="AG136" i="47"/>
  <c r="AH136" i="47"/>
  <c r="AF137" i="47"/>
  <c r="AK137" i="47" s="1"/>
  <c r="AG137" i="47"/>
  <c r="AH137" i="47"/>
  <c r="AF138" i="47"/>
  <c r="AG138" i="47"/>
  <c r="AH138" i="47"/>
  <c r="AF139" i="47"/>
  <c r="AK139" i="47" s="1"/>
  <c r="AG139" i="47"/>
  <c r="AH139" i="47"/>
  <c r="AF140" i="47"/>
  <c r="AG140" i="47"/>
  <c r="AH140" i="47"/>
  <c r="AF141" i="47"/>
  <c r="AG141" i="47"/>
  <c r="AH141" i="47"/>
  <c r="AF142" i="47"/>
  <c r="AG142" i="47"/>
  <c r="AH142" i="47"/>
  <c r="AF143" i="47"/>
  <c r="AG143" i="47"/>
  <c r="AH143" i="47"/>
  <c r="AF144" i="47"/>
  <c r="AG144" i="47"/>
  <c r="AH144" i="47"/>
  <c r="AF145" i="47"/>
  <c r="AK145" i="47" s="1"/>
  <c r="AG145" i="47"/>
  <c r="AH145" i="47"/>
  <c r="AF146" i="47"/>
  <c r="AG146" i="47"/>
  <c r="AH146" i="47"/>
  <c r="AF147" i="47"/>
  <c r="AK147" i="47" s="1"/>
  <c r="AG147" i="47"/>
  <c r="AH147" i="47"/>
  <c r="AF148" i="47"/>
  <c r="AG148" i="47"/>
  <c r="AH148" i="47"/>
  <c r="AF149" i="47"/>
  <c r="AG149" i="47"/>
  <c r="AH149" i="47"/>
  <c r="AF150" i="47"/>
  <c r="AG150" i="47"/>
  <c r="AH150" i="47"/>
  <c r="AF151" i="47"/>
  <c r="AG151" i="47"/>
  <c r="AH151" i="47"/>
  <c r="AF152" i="47"/>
  <c r="AG152" i="47"/>
  <c r="AH152" i="47"/>
  <c r="AF153" i="47"/>
  <c r="AK153" i="47" s="1"/>
  <c r="AG153" i="47"/>
  <c r="AH153" i="47"/>
  <c r="AF154" i="47"/>
  <c r="AG154" i="47"/>
  <c r="AH154" i="47"/>
  <c r="AF155" i="47"/>
  <c r="AK155" i="47" s="1"/>
  <c r="AG155" i="47"/>
  <c r="AH155" i="47"/>
  <c r="AF156" i="47"/>
  <c r="AG156" i="47"/>
  <c r="AH156" i="47"/>
  <c r="AF157" i="47"/>
  <c r="AG157" i="47"/>
  <c r="AH157" i="47"/>
  <c r="AF158" i="47"/>
  <c r="AG158" i="47"/>
  <c r="AH158" i="47"/>
  <c r="AF159" i="47"/>
  <c r="AG159" i="47"/>
  <c r="AH159" i="47"/>
  <c r="AF160" i="47"/>
  <c r="AG160" i="47"/>
  <c r="AH160" i="47"/>
  <c r="AG23" i="47"/>
  <c r="AH23" i="47"/>
  <c r="AF23" i="47"/>
  <c r="AD23" i="47"/>
  <c r="AE23" i="47"/>
  <c r="AD24" i="47"/>
  <c r="AE24" i="47"/>
  <c r="AD25" i="47"/>
  <c r="AE25" i="47"/>
  <c r="AD26" i="47"/>
  <c r="AE26" i="47"/>
  <c r="AD27" i="47"/>
  <c r="AE27" i="47"/>
  <c r="AD28" i="47"/>
  <c r="AE28" i="47"/>
  <c r="AD29" i="47"/>
  <c r="AE29" i="47"/>
  <c r="AD30" i="47"/>
  <c r="AE30" i="47"/>
  <c r="AD31" i="47"/>
  <c r="AE31" i="47"/>
  <c r="AD32" i="47"/>
  <c r="AE32" i="47"/>
  <c r="AD33" i="47"/>
  <c r="AE33" i="47"/>
  <c r="AD34" i="47"/>
  <c r="AE34" i="47"/>
  <c r="AD35" i="47"/>
  <c r="AE35" i="47"/>
  <c r="AD36" i="47"/>
  <c r="AE36" i="47"/>
  <c r="AD37" i="47"/>
  <c r="AE37" i="47"/>
  <c r="AD38" i="47"/>
  <c r="AE38" i="47"/>
  <c r="AD39" i="47"/>
  <c r="AE39" i="47"/>
  <c r="AD40" i="47"/>
  <c r="AE40" i="47"/>
  <c r="AD41" i="47"/>
  <c r="AD42" i="47"/>
  <c r="AD43" i="47"/>
  <c r="AD44" i="47"/>
  <c r="AD45" i="47"/>
  <c r="AD46" i="47"/>
  <c r="AD47" i="47"/>
  <c r="AD48" i="47"/>
  <c r="AD49" i="47"/>
  <c r="AD50" i="47"/>
  <c r="AD51" i="47"/>
  <c r="AD52" i="47"/>
  <c r="AD53" i="47"/>
  <c r="AD54" i="47"/>
  <c r="AD55" i="47"/>
  <c r="AD56" i="47"/>
  <c r="AD57" i="47"/>
  <c r="AD58" i="47"/>
  <c r="AD59" i="47"/>
  <c r="AE59" i="47"/>
  <c r="AD60" i="47"/>
  <c r="AE60" i="47"/>
  <c r="AD61" i="47"/>
  <c r="AE61" i="47"/>
  <c r="AD62" i="47"/>
  <c r="AE62" i="47"/>
  <c r="AD63" i="47"/>
  <c r="AE63" i="47"/>
  <c r="AD64" i="47"/>
  <c r="AE64" i="47"/>
  <c r="AD65" i="47"/>
  <c r="AE65" i="47"/>
  <c r="AD66" i="47"/>
  <c r="AE66" i="47"/>
  <c r="AD67" i="47"/>
  <c r="AE67" i="47"/>
  <c r="AD68" i="47"/>
  <c r="AE68" i="47"/>
  <c r="AD69" i="47"/>
  <c r="AE69" i="47"/>
  <c r="AD70" i="47"/>
  <c r="AE70" i="47"/>
  <c r="AD71" i="47"/>
  <c r="AE71" i="47"/>
  <c r="AD72" i="47"/>
  <c r="AE72" i="47"/>
  <c r="AD73" i="47"/>
  <c r="AE73" i="47"/>
  <c r="AD74" i="47"/>
  <c r="AE74" i="47"/>
  <c r="AD75" i="47"/>
  <c r="AE75" i="47"/>
  <c r="AD76" i="47"/>
  <c r="AE76" i="47"/>
  <c r="AD77" i="47"/>
  <c r="AE77" i="47"/>
  <c r="AD78" i="47"/>
  <c r="AE78" i="47"/>
  <c r="AD79" i="47"/>
  <c r="AE79" i="47"/>
  <c r="AD80" i="47"/>
  <c r="AE80" i="47"/>
  <c r="AD81" i="47"/>
  <c r="AE81" i="47"/>
  <c r="AD82" i="47"/>
  <c r="AE82" i="47"/>
  <c r="AD83" i="47"/>
  <c r="AE83" i="47"/>
  <c r="AD84" i="47"/>
  <c r="AE84" i="47"/>
  <c r="AD85" i="47"/>
  <c r="AE85" i="47"/>
  <c r="AD86" i="47"/>
  <c r="AE86" i="47"/>
  <c r="AD87" i="47"/>
  <c r="AE87" i="47"/>
  <c r="AD88" i="47"/>
  <c r="AE88" i="47"/>
  <c r="AD89" i="47"/>
  <c r="AE89" i="47"/>
  <c r="AD90" i="47"/>
  <c r="AE90" i="47"/>
  <c r="AD91" i="47"/>
  <c r="AE91" i="47"/>
  <c r="AD92" i="47"/>
  <c r="AE92" i="47"/>
  <c r="AD93" i="47"/>
  <c r="AE93" i="47"/>
  <c r="AD94" i="47"/>
  <c r="AE94" i="47"/>
  <c r="AD95" i="47"/>
  <c r="AE95" i="47"/>
  <c r="AD96" i="47"/>
  <c r="AE96" i="47"/>
  <c r="AD97" i="47"/>
  <c r="AE97" i="47"/>
  <c r="AD98" i="47"/>
  <c r="AE98" i="47"/>
  <c r="AD99" i="47"/>
  <c r="AE99" i="47"/>
  <c r="AD100" i="47"/>
  <c r="AE100" i="47"/>
  <c r="AD101" i="47"/>
  <c r="AE101" i="47"/>
  <c r="AD102" i="47"/>
  <c r="AE102" i="47"/>
  <c r="AD103" i="47"/>
  <c r="AE103" i="47"/>
  <c r="AD104" i="47"/>
  <c r="AE104" i="47"/>
  <c r="AD105" i="47"/>
  <c r="AE105" i="47"/>
  <c r="AD106" i="47"/>
  <c r="AE106" i="47"/>
  <c r="AD107" i="47"/>
  <c r="AE107" i="47"/>
  <c r="AD108" i="47"/>
  <c r="AE108" i="47"/>
  <c r="AD109" i="47"/>
  <c r="AE109" i="47"/>
  <c r="AD110" i="47"/>
  <c r="AE110" i="47"/>
  <c r="AD111" i="47"/>
  <c r="AE111" i="47"/>
  <c r="AD112" i="47"/>
  <c r="AE112" i="47"/>
  <c r="AD113" i="47"/>
  <c r="AE113" i="47"/>
  <c r="AD114" i="47"/>
  <c r="AE114" i="47"/>
  <c r="AD115" i="47"/>
  <c r="AE115" i="47"/>
  <c r="AD116" i="47"/>
  <c r="AE116" i="47"/>
  <c r="AD117" i="47"/>
  <c r="AE117" i="47"/>
  <c r="AD118" i="47"/>
  <c r="AE118" i="47"/>
  <c r="AD119" i="47"/>
  <c r="AE119" i="47"/>
  <c r="AD120" i="47"/>
  <c r="AE120" i="47"/>
  <c r="AD121" i="47"/>
  <c r="AE121" i="47"/>
  <c r="AD122" i="47"/>
  <c r="AE122" i="47"/>
  <c r="AD123" i="47"/>
  <c r="AE123" i="47"/>
  <c r="AD124" i="47"/>
  <c r="AE124" i="47"/>
  <c r="AD125" i="47"/>
  <c r="AE125" i="47"/>
  <c r="AD126" i="47"/>
  <c r="AE126" i="47"/>
  <c r="AD127" i="47"/>
  <c r="AE127" i="47"/>
  <c r="AD128" i="47"/>
  <c r="AE128" i="47"/>
  <c r="AD129" i="47"/>
  <c r="AE129" i="47"/>
  <c r="AD130" i="47"/>
  <c r="AE130" i="47"/>
  <c r="AD131" i="47"/>
  <c r="AE131" i="47"/>
  <c r="AD132" i="47"/>
  <c r="AE132" i="47"/>
  <c r="AD133" i="47"/>
  <c r="AE133" i="47"/>
  <c r="AD134" i="47"/>
  <c r="AE134" i="47"/>
  <c r="AD135" i="47"/>
  <c r="AE135" i="47"/>
  <c r="AD136" i="47"/>
  <c r="AE136" i="47"/>
  <c r="AD137" i="47"/>
  <c r="AE137" i="47"/>
  <c r="AD138" i="47"/>
  <c r="AE138" i="47"/>
  <c r="AD139" i="47"/>
  <c r="AE139" i="47"/>
  <c r="AD140" i="47"/>
  <c r="AE140" i="47"/>
  <c r="AD141" i="47"/>
  <c r="AE141" i="47"/>
  <c r="AD142" i="47"/>
  <c r="AE142" i="47"/>
  <c r="AD143" i="47"/>
  <c r="AE143" i="47"/>
  <c r="AD144" i="47"/>
  <c r="AE144" i="47"/>
  <c r="AD145" i="47"/>
  <c r="AE145" i="47"/>
  <c r="AD146" i="47"/>
  <c r="AE146" i="47"/>
  <c r="AD147" i="47"/>
  <c r="AE147" i="47"/>
  <c r="AD148" i="47"/>
  <c r="AE148" i="47"/>
  <c r="AD149" i="47"/>
  <c r="AE149" i="47"/>
  <c r="AD150" i="47"/>
  <c r="AE150" i="47"/>
  <c r="AD151" i="47"/>
  <c r="AE151" i="47"/>
  <c r="AD152" i="47"/>
  <c r="AE152" i="47"/>
  <c r="AD153" i="47"/>
  <c r="AE153" i="47"/>
  <c r="AD154" i="47"/>
  <c r="AE154" i="47"/>
  <c r="AD155" i="47"/>
  <c r="AE155" i="47"/>
  <c r="AD156" i="47"/>
  <c r="AE156" i="47"/>
  <c r="AD157" i="47"/>
  <c r="AE157" i="47"/>
  <c r="AD158" i="47"/>
  <c r="AE158" i="47"/>
  <c r="AD159" i="47"/>
  <c r="AE159" i="47"/>
  <c r="AD160" i="47"/>
  <c r="AE160" i="47"/>
  <c r="AC24" i="47"/>
  <c r="AC25" i="47"/>
  <c r="AI25" i="47" s="1"/>
  <c r="AC26" i="47"/>
  <c r="AC27" i="47"/>
  <c r="AI27" i="47" s="1"/>
  <c r="AC28" i="47"/>
  <c r="AC29" i="47"/>
  <c r="AC30" i="47"/>
  <c r="AI30" i="47" s="1"/>
  <c r="AC31" i="47"/>
  <c r="AC32" i="47"/>
  <c r="AC33" i="47"/>
  <c r="AC34" i="47"/>
  <c r="AC35" i="47"/>
  <c r="AC36" i="47"/>
  <c r="AC37" i="47"/>
  <c r="AC38" i="47"/>
  <c r="AC39" i="47"/>
  <c r="AC40" i="47"/>
  <c r="AC41" i="47"/>
  <c r="AC42" i="47"/>
  <c r="AC43" i="47"/>
  <c r="AC44" i="47"/>
  <c r="AC45" i="47"/>
  <c r="AC46" i="47"/>
  <c r="AI46" i="47" s="1"/>
  <c r="AC47" i="47"/>
  <c r="AC48" i="47"/>
  <c r="AC49" i="47"/>
  <c r="AI49" i="47" s="1"/>
  <c r="AC50" i="47"/>
  <c r="AC51" i="47"/>
  <c r="AC52" i="47"/>
  <c r="AI52" i="47" s="1"/>
  <c r="AC53" i="47"/>
  <c r="AC54" i="47"/>
  <c r="AI54" i="47" s="1"/>
  <c r="AC55" i="47"/>
  <c r="AC56" i="47"/>
  <c r="AC57" i="47"/>
  <c r="AI57" i="47" s="1"/>
  <c r="AC58" i="47"/>
  <c r="AC59" i="47"/>
  <c r="AC60" i="47"/>
  <c r="AC61" i="47"/>
  <c r="AC62" i="47"/>
  <c r="AC63" i="47"/>
  <c r="AI63" i="47" s="1"/>
  <c r="AC64" i="47"/>
  <c r="AI64" i="47" s="1"/>
  <c r="AC65" i="47"/>
  <c r="AC66" i="47"/>
  <c r="AC67" i="47"/>
  <c r="AI67" i="47" s="1"/>
  <c r="AC68" i="47"/>
  <c r="AC69" i="47"/>
  <c r="AC70" i="47"/>
  <c r="AI70" i="47" s="1"/>
  <c r="AC71" i="47"/>
  <c r="AC72" i="47"/>
  <c r="AC73" i="47"/>
  <c r="AI73" i="47" s="1"/>
  <c r="AC74" i="47"/>
  <c r="AC75" i="47"/>
  <c r="AI75" i="47" s="1"/>
  <c r="AC76" i="47"/>
  <c r="AC77" i="47"/>
  <c r="AC78" i="47"/>
  <c r="AC79" i="47"/>
  <c r="AI79" i="47" s="1"/>
  <c r="AC80" i="47"/>
  <c r="AC81" i="47"/>
  <c r="AI81" i="47" s="1"/>
  <c r="AC82" i="47"/>
  <c r="AC83" i="47"/>
  <c r="AC84" i="47"/>
  <c r="AC85" i="47"/>
  <c r="AC86" i="47"/>
  <c r="AC87" i="47"/>
  <c r="AI87" i="47" s="1"/>
  <c r="AC88" i="47"/>
  <c r="AI88" i="47" s="1"/>
  <c r="AC89" i="47"/>
  <c r="AC90" i="47"/>
  <c r="AC91" i="47"/>
  <c r="AI91" i="47" s="1"/>
  <c r="AC92" i="47"/>
  <c r="AC93" i="47"/>
  <c r="AC94" i="47"/>
  <c r="AI94" i="47" s="1"/>
  <c r="AC95" i="47"/>
  <c r="AC96" i="47"/>
  <c r="AI96" i="47" s="1"/>
  <c r="AC97" i="47"/>
  <c r="AI97" i="47" s="1"/>
  <c r="AC98" i="47"/>
  <c r="AC99" i="47"/>
  <c r="AI99" i="47" s="1"/>
  <c r="AC100" i="47"/>
  <c r="AC101" i="47"/>
  <c r="AC102" i="47"/>
  <c r="AC103" i="47"/>
  <c r="AI103" i="47" s="1"/>
  <c r="AC104" i="47"/>
  <c r="AC105" i="47"/>
  <c r="AI105" i="47" s="1"/>
  <c r="AC106" i="47"/>
  <c r="AC107" i="47"/>
  <c r="AC108" i="47"/>
  <c r="AC109" i="47"/>
  <c r="AC110" i="47"/>
  <c r="AC111" i="47"/>
  <c r="AI111" i="47" s="1"/>
  <c r="AC112" i="47"/>
  <c r="AI112" i="47" s="1"/>
  <c r="AC113" i="47"/>
  <c r="AC114" i="47"/>
  <c r="AC115" i="47"/>
  <c r="AI115" i="47" s="1"/>
  <c r="AC116" i="47"/>
  <c r="AC117" i="47"/>
  <c r="AC118" i="47"/>
  <c r="AI118" i="47" s="1"/>
  <c r="AC119" i="47"/>
  <c r="AC120" i="47"/>
  <c r="AI120" i="47" s="1"/>
  <c r="AC121" i="47"/>
  <c r="AI121" i="47" s="1"/>
  <c r="AC122" i="47"/>
  <c r="AC123" i="47"/>
  <c r="AI123" i="47" s="1"/>
  <c r="AC124" i="47"/>
  <c r="AC125" i="47"/>
  <c r="AC126" i="47"/>
  <c r="AI126" i="47" s="1"/>
  <c r="AC127" i="47"/>
  <c r="AI127" i="47" s="1"/>
  <c r="AC128" i="47"/>
  <c r="AC129" i="47"/>
  <c r="AI129" i="47" s="1"/>
  <c r="AC130" i="47"/>
  <c r="AC131" i="47"/>
  <c r="AC132" i="47"/>
  <c r="AC133" i="47"/>
  <c r="AC134" i="47"/>
  <c r="AC135" i="47"/>
  <c r="AI135" i="47" s="1"/>
  <c r="AC136" i="47"/>
  <c r="AI136" i="47" s="1"/>
  <c r="AC137" i="47"/>
  <c r="AC138" i="47"/>
  <c r="AC139" i="47"/>
  <c r="AI139" i="47" s="1"/>
  <c r="AC140" i="47"/>
  <c r="AC141" i="47"/>
  <c r="AC142" i="47"/>
  <c r="AI142" i="47" s="1"/>
  <c r="AC143" i="47"/>
  <c r="AC144" i="47"/>
  <c r="AI144" i="47" s="1"/>
  <c r="AC145" i="47"/>
  <c r="AI145" i="47" s="1"/>
  <c r="AC146" i="47"/>
  <c r="AC147" i="47"/>
  <c r="AI147" i="47" s="1"/>
  <c r="AC148" i="47"/>
  <c r="AC149" i="47"/>
  <c r="AC150" i="47"/>
  <c r="AI150" i="47" s="1"/>
  <c r="AC151" i="47"/>
  <c r="AI151" i="47" s="1"/>
  <c r="AC152" i="47"/>
  <c r="AC153" i="47"/>
  <c r="AI153" i="47" s="1"/>
  <c r="AC154" i="47"/>
  <c r="AC155" i="47"/>
  <c r="AC156" i="47"/>
  <c r="AC157" i="47"/>
  <c r="AC158" i="47"/>
  <c r="AC159" i="47"/>
  <c r="AI159" i="47" s="1"/>
  <c r="AC160" i="47"/>
  <c r="AI160" i="47" s="1"/>
  <c r="AC23" i="47"/>
  <c r="P154" i="47"/>
  <c r="P153" i="47"/>
  <c r="P152" i="47"/>
  <c r="P151" i="47"/>
  <c r="P150" i="47"/>
  <c r="P149" i="47"/>
  <c r="P148" i="47"/>
  <c r="P147" i="47"/>
  <c r="P146" i="47"/>
  <c r="P145" i="47"/>
  <c r="P144" i="47"/>
  <c r="P143" i="47"/>
  <c r="P155" i="47"/>
  <c r="P156" i="47"/>
  <c r="P157" i="47"/>
  <c r="P158" i="47"/>
  <c r="P159" i="47"/>
  <c r="P160" i="47"/>
  <c r="O160" i="47"/>
  <c r="M160" i="47"/>
  <c r="O159" i="47"/>
  <c r="O158" i="47"/>
  <c r="M158" i="47"/>
  <c r="O157" i="47"/>
  <c r="O156" i="47"/>
  <c r="M156" i="47"/>
  <c r="O155" i="47"/>
  <c r="O154" i="47"/>
  <c r="M154" i="47"/>
  <c r="O153" i="47"/>
  <c r="O152" i="47"/>
  <c r="M152" i="47"/>
  <c r="O151" i="47"/>
  <c r="O150" i="47"/>
  <c r="Q150" i="47" s="1"/>
  <c r="M150" i="47"/>
  <c r="O149" i="47"/>
  <c r="P128" i="47"/>
  <c r="P129" i="47"/>
  <c r="P130" i="47"/>
  <c r="P131" i="47"/>
  <c r="P132" i="47"/>
  <c r="P133" i="47"/>
  <c r="P134" i="47"/>
  <c r="P127" i="47"/>
  <c r="P119" i="47"/>
  <c r="P120" i="47"/>
  <c r="P121" i="47"/>
  <c r="P122" i="47"/>
  <c r="P123" i="47"/>
  <c r="P124" i="47"/>
  <c r="P125" i="47"/>
  <c r="P126" i="47"/>
  <c r="P142" i="47"/>
  <c r="O142" i="47"/>
  <c r="M142" i="47"/>
  <c r="P141" i="47"/>
  <c r="O141" i="47"/>
  <c r="P140" i="47"/>
  <c r="O140" i="47"/>
  <c r="M140" i="47"/>
  <c r="P139" i="47"/>
  <c r="O139" i="47"/>
  <c r="P138" i="47"/>
  <c r="O138" i="47"/>
  <c r="M138" i="47"/>
  <c r="P137" i="47"/>
  <c r="O137" i="47"/>
  <c r="P136" i="47"/>
  <c r="O136" i="47"/>
  <c r="M136" i="47"/>
  <c r="P135" i="47"/>
  <c r="O135" i="47"/>
  <c r="O134" i="47"/>
  <c r="M134" i="47"/>
  <c r="O133" i="47"/>
  <c r="O132" i="47"/>
  <c r="M132" i="47"/>
  <c r="O131" i="47"/>
  <c r="O130" i="47"/>
  <c r="M130" i="47"/>
  <c r="O129" i="47"/>
  <c r="O128" i="47"/>
  <c r="Q128" i="47" s="1"/>
  <c r="M128" i="47"/>
  <c r="O127" i="47"/>
  <c r="O118" i="47"/>
  <c r="Q118" i="47" s="1"/>
  <c r="M118" i="47"/>
  <c r="O117" i="47"/>
  <c r="Q117" i="47" s="1"/>
  <c r="O116" i="47"/>
  <c r="Q116" i="47" s="1"/>
  <c r="M116" i="47"/>
  <c r="O115" i="47"/>
  <c r="Q115" i="47" s="1"/>
  <c r="O114" i="47"/>
  <c r="Q114" i="47" s="1"/>
  <c r="M114" i="47"/>
  <c r="O113" i="47"/>
  <c r="Q113" i="47" s="1"/>
  <c r="O112" i="47"/>
  <c r="Q112" i="47" s="1"/>
  <c r="M112" i="47"/>
  <c r="O111" i="47"/>
  <c r="Q111" i="47" s="1"/>
  <c r="O110" i="47"/>
  <c r="Q110" i="47" s="1"/>
  <c r="M110" i="47"/>
  <c r="O109" i="47"/>
  <c r="Q109" i="47" s="1"/>
  <c r="O108" i="47"/>
  <c r="Q108" i="47" s="1"/>
  <c r="M108" i="47"/>
  <c r="O107" i="47"/>
  <c r="Q107" i="47" s="1"/>
  <c r="O106" i="47"/>
  <c r="Q106" i="47" s="1"/>
  <c r="M106" i="47"/>
  <c r="O105" i="47"/>
  <c r="Q105" i="47" s="1"/>
  <c r="O104" i="47"/>
  <c r="Q104" i="47" s="1"/>
  <c r="M104" i="47"/>
  <c r="O103" i="47"/>
  <c r="Q103" i="47" s="1"/>
  <c r="O94" i="47"/>
  <c r="Q94" i="47" s="1"/>
  <c r="M94" i="47"/>
  <c r="O93" i="47"/>
  <c r="Q93" i="47" s="1"/>
  <c r="O92" i="47"/>
  <c r="Q92" i="47" s="1"/>
  <c r="M92" i="47"/>
  <c r="O91" i="47"/>
  <c r="Q91" i="47" s="1"/>
  <c r="O90" i="47"/>
  <c r="Q90" i="47" s="1"/>
  <c r="M90" i="47"/>
  <c r="O89" i="47"/>
  <c r="Q89" i="47" s="1"/>
  <c r="O88" i="47"/>
  <c r="Q88" i="47" s="1"/>
  <c r="M88" i="47"/>
  <c r="O87" i="47"/>
  <c r="Q87" i="47" s="1"/>
  <c r="O86" i="47"/>
  <c r="Q86" i="47" s="1"/>
  <c r="M86" i="47"/>
  <c r="O85" i="47"/>
  <c r="Q85" i="47" s="1"/>
  <c r="O84" i="47"/>
  <c r="Q84" i="47" s="1"/>
  <c r="M84" i="47"/>
  <c r="O83" i="47"/>
  <c r="Q83" i="47" s="1"/>
  <c r="O76" i="47"/>
  <c r="Q76" i="47" s="1"/>
  <c r="M76" i="47"/>
  <c r="O75" i="47"/>
  <c r="Q75" i="47" s="1"/>
  <c r="O74" i="47"/>
  <c r="Q74" i="47" s="1"/>
  <c r="M74" i="47"/>
  <c r="O73" i="47"/>
  <c r="Q73" i="47" s="1"/>
  <c r="O72" i="47"/>
  <c r="Q72" i="47" s="1"/>
  <c r="M72" i="47"/>
  <c r="O71" i="47"/>
  <c r="Q71" i="47" s="1"/>
  <c r="O70" i="47"/>
  <c r="Q70" i="47" s="1"/>
  <c r="M70" i="47"/>
  <c r="O69" i="47"/>
  <c r="Q69" i="47" s="1"/>
  <c r="O68" i="47"/>
  <c r="Q68" i="47" s="1"/>
  <c r="M68" i="47"/>
  <c r="O67" i="47"/>
  <c r="Q67" i="47" s="1"/>
  <c r="O66" i="47"/>
  <c r="Q66" i="47" s="1"/>
  <c r="M66" i="47"/>
  <c r="O65" i="47"/>
  <c r="Q65" i="47" s="1"/>
  <c r="O58" i="47"/>
  <c r="Q58" i="47" s="1"/>
  <c r="L58" i="47"/>
  <c r="O57" i="47"/>
  <c r="Q57" i="47" s="1"/>
  <c r="L57" i="47"/>
  <c r="O56" i="47"/>
  <c r="Q56" i="47" s="1"/>
  <c r="L56" i="47"/>
  <c r="O55" i="47"/>
  <c r="Q55" i="47" s="1"/>
  <c r="L55" i="47"/>
  <c r="O54" i="47"/>
  <c r="Q54" i="47" s="1"/>
  <c r="L54" i="47"/>
  <c r="O53" i="47"/>
  <c r="Q53" i="47" s="1"/>
  <c r="L53" i="47"/>
  <c r="O52" i="47"/>
  <c r="Q52" i="47" s="1"/>
  <c r="L52" i="47"/>
  <c r="O51" i="47"/>
  <c r="Q51" i="47" s="1"/>
  <c r="L51" i="47"/>
  <c r="O50" i="47"/>
  <c r="Q50" i="47" s="1"/>
  <c r="L50" i="47"/>
  <c r="O40" i="47"/>
  <c r="Q40" i="47" s="1"/>
  <c r="M40" i="47"/>
  <c r="O39" i="47"/>
  <c r="Q39" i="47" s="1"/>
  <c r="O38" i="47"/>
  <c r="Q38" i="47" s="1"/>
  <c r="M38" i="47"/>
  <c r="O37" i="47"/>
  <c r="Q37" i="47" s="1"/>
  <c r="O36" i="47"/>
  <c r="Q36" i="47" s="1"/>
  <c r="M36" i="47"/>
  <c r="O35" i="47"/>
  <c r="Q35" i="47" s="1"/>
  <c r="V67" i="37" l="1"/>
  <c r="V74" i="37"/>
  <c r="Y27" i="37"/>
  <c r="X27" i="37"/>
  <c r="W27" i="37"/>
  <c r="T27" i="37" s="1"/>
  <c r="U28" i="37"/>
  <c r="T26" i="37"/>
  <c r="V72" i="37"/>
  <c r="AI72" i="47"/>
  <c r="AI155" i="47"/>
  <c r="AI143" i="47"/>
  <c r="AI131" i="47"/>
  <c r="AI119" i="47"/>
  <c r="AI107" i="47"/>
  <c r="AI95" i="47"/>
  <c r="AI83" i="47"/>
  <c r="AI71" i="47"/>
  <c r="AI59" i="47"/>
  <c r="AI35" i="47"/>
  <c r="AI33" i="47"/>
  <c r="AI152" i="47"/>
  <c r="AI128" i="47"/>
  <c r="AI104" i="47"/>
  <c r="AI80" i="47"/>
  <c r="AI44" i="47"/>
  <c r="AI102" i="47"/>
  <c r="AI23" i="47"/>
  <c r="AI137" i="47"/>
  <c r="AI113" i="47"/>
  <c r="AI89" i="47"/>
  <c r="AI65" i="47"/>
  <c r="AI41" i="47"/>
  <c r="AI78" i="47"/>
  <c r="AI158" i="47"/>
  <c r="AI134" i="47"/>
  <c r="AI110" i="47"/>
  <c r="AI86" i="47"/>
  <c r="AI62" i="47"/>
  <c r="AI38" i="47"/>
  <c r="AE9" i="25"/>
  <c r="AC9" i="25" s="1"/>
  <c r="AI24" i="47"/>
  <c r="AK152" i="47"/>
  <c r="AK128" i="47"/>
  <c r="AK120" i="47"/>
  <c r="AK112" i="47"/>
  <c r="AK104" i="47"/>
  <c r="AK96" i="47"/>
  <c r="AK88" i="47"/>
  <c r="AK80" i="47"/>
  <c r="AK72" i="47"/>
  <c r="AK64" i="47"/>
  <c r="AK34" i="47"/>
  <c r="AK26" i="47"/>
  <c r="AI55" i="47"/>
  <c r="AI47" i="47"/>
  <c r="AI39" i="47"/>
  <c r="AI31" i="47"/>
  <c r="AK157" i="47"/>
  <c r="AK149" i="47"/>
  <c r="AK141" i="47"/>
  <c r="AK133" i="47"/>
  <c r="AK125" i="47"/>
  <c r="AK117" i="47"/>
  <c r="AK109" i="47"/>
  <c r="AK101" i="47"/>
  <c r="AK93" i="47"/>
  <c r="AK85" i="47"/>
  <c r="AK77" i="47"/>
  <c r="AK69" i="47"/>
  <c r="AK61" i="47"/>
  <c r="AK58" i="47"/>
  <c r="AK54" i="47"/>
  <c r="AK50" i="47"/>
  <c r="AK46" i="47"/>
  <c r="AK42" i="47"/>
  <c r="AK39" i="47"/>
  <c r="AK31" i="47"/>
  <c r="AI32" i="47"/>
  <c r="AK136" i="47"/>
  <c r="AK146" i="47"/>
  <c r="AK130" i="47"/>
  <c r="AK114" i="47"/>
  <c r="AK98" i="47"/>
  <c r="AK90" i="47"/>
  <c r="AK82" i="47"/>
  <c r="AK74" i="47"/>
  <c r="AK66" i="47"/>
  <c r="AK36" i="47"/>
  <c r="AK28" i="47"/>
  <c r="AI56" i="47"/>
  <c r="AI48" i="47"/>
  <c r="AK160" i="47"/>
  <c r="AK144" i="47"/>
  <c r="AK154" i="47"/>
  <c r="AK138" i="47"/>
  <c r="AK122" i="47"/>
  <c r="AK106" i="47"/>
  <c r="AI157" i="47"/>
  <c r="AI149" i="47"/>
  <c r="AI141" i="47"/>
  <c r="AI133" i="47"/>
  <c r="AI125" i="47"/>
  <c r="AI117" i="47"/>
  <c r="AI109" i="47"/>
  <c r="AI101" i="47"/>
  <c r="AI93" i="47"/>
  <c r="AI85" i="47"/>
  <c r="AI77" i="47"/>
  <c r="AI69" i="47"/>
  <c r="AI61" i="47"/>
  <c r="AI53" i="47"/>
  <c r="AI45" i="47"/>
  <c r="AI37" i="47"/>
  <c r="AI29" i="47"/>
  <c r="AK23" i="47"/>
  <c r="AK159" i="47"/>
  <c r="AK151" i="47"/>
  <c r="AK143" i="47"/>
  <c r="AK135" i="47"/>
  <c r="AK127" i="47"/>
  <c r="AK119" i="47"/>
  <c r="AK111" i="47"/>
  <c r="AK103" i="47"/>
  <c r="AK95" i="47"/>
  <c r="AK87" i="47"/>
  <c r="AK79" i="47"/>
  <c r="AK71" i="47"/>
  <c r="AK63" i="47"/>
  <c r="AK57" i="47"/>
  <c r="AK53" i="47"/>
  <c r="AK49" i="47"/>
  <c r="AK45" i="47"/>
  <c r="AK41" i="47"/>
  <c r="AK33" i="47"/>
  <c r="AK25" i="47"/>
  <c r="AI40" i="47"/>
  <c r="Q133" i="47"/>
  <c r="AI156" i="47"/>
  <c r="AI148" i="47"/>
  <c r="AI140" i="47"/>
  <c r="AI132" i="47"/>
  <c r="AI124" i="47"/>
  <c r="AI116" i="47"/>
  <c r="AI108" i="47"/>
  <c r="AI100" i="47"/>
  <c r="AI92" i="47"/>
  <c r="AI84" i="47"/>
  <c r="AI76" i="47"/>
  <c r="AI68" i="47"/>
  <c r="AI60" i="47"/>
  <c r="AI36" i="47"/>
  <c r="AI28" i="47"/>
  <c r="AK156" i="47"/>
  <c r="AK148" i="47"/>
  <c r="AK140" i="47"/>
  <c r="AK132" i="47"/>
  <c r="AK124" i="47"/>
  <c r="AK116" i="47"/>
  <c r="AK108" i="47"/>
  <c r="AK100" i="47"/>
  <c r="AK92" i="47"/>
  <c r="AK84" i="47"/>
  <c r="AK76" i="47"/>
  <c r="AK68" i="47"/>
  <c r="AK60" i="47"/>
  <c r="AK38" i="47"/>
  <c r="AK30" i="47"/>
  <c r="AK121" i="47"/>
  <c r="AK113" i="47"/>
  <c r="AK105" i="47"/>
  <c r="AK97" i="47"/>
  <c r="AK89" i="47"/>
  <c r="AK81" i="47"/>
  <c r="AK73" i="47"/>
  <c r="AK65" i="47"/>
  <c r="AK56" i="47"/>
  <c r="AK52" i="47"/>
  <c r="AK48" i="47"/>
  <c r="AK44" i="47"/>
  <c r="AK35" i="47"/>
  <c r="AK27" i="47"/>
  <c r="X17" i="25"/>
  <c r="AI154" i="47"/>
  <c r="AI146" i="47"/>
  <c r="AI138" i="47"/>
  <c r="AI130" i="47"/>
  <c r="AI122" i="47"/>
  <c r="AI114" i="47"/>
  <c r="AI106" i="47"/>
  <c r="AI98" i="47"/>
  <c r="AI90" i="47"/>
  <c r="AI82" i="47"/>
  <c r="AI74" i="47"/>
  <c r="AI66" i="47"/>
  <c r="AI58" i="47"/>
  <c r="AI50" i="47"/>
  <c r="AI42" i="47"/>
  <c r="AI34" i="47"/>
  <c r="AI26" i="47"/>
  <c r="AK158" i="47"/>
  <c r="AK150" i="47"/>
  <c r="AK142" i="47"/>
  <c r="AK134" i="47"/>
  <c r="AK126" i="47"/>
  <c r="AK118" i="47"/>
  <c r="AK110" i="47"/>
  <c r="AK102" i="47"/>
  <c r="AK94" i="47"/>
  <c r="AK86" i="47"/>
  <c r="AK78" i="47"/>
  <c r="AK70" i="47"/>
  <c r="AK62" i="47"/>
  <c r="AF9" i="25"/>
  <c r="AD13" i="46"/>
  <c r="AF13" i="46" s="1"/>
  <c r="AK55" i="47"/>
  <c r="AK51" i="47"/>
  <c r="AK47" i="47"/>
  <c r="AK43" i="47"/>
  <c r="Q137" i="47"/>
  <c r="Q140" i="47"/>
  <c r="AI51" i="47"/>
  <c r="AI43" i="47"/>
  <c r="Q132" i="47"/>
  <c r="Q131" i="47"/>
  <c r="Q159" i="47"/>
  <c r="Q149" i="47"/>
  <c r="Q142" i="47"/>
  <c r="Q155" i="47"/>
  <c r="Q157" i="47"/>
  <c r="Q136" i="47"/>
  <c r="Q139" i="47"/>
  <c r="Q151" i="47"/>
  <c r="Q152" i="47"/>
  <c r="Q158" i="47"/>
  <c r="Q154" i="47"/>
  <c r="Q153" i="47"/>
  <c r="Q160" i="47"/>
  <c r="Q156" i="47"/>
  <c r="Q135" i="47"/>
  <c r="Q138" i="47"/>
  <c r="Q129" i="47"/>
  <c r="Q141" i="47"/>
  <c r="Q134" i="47"/>
  <c r="Q130" i="47"/>
  <c r="Q127" i="47"/>
  <c r="V75" i="37" l="1"/>
  <c r="Y28" i="37"/>
  <c r="X28" i="37"/>
  <c r="W28" i="37"/>
  <c r="T28" i="37" s="1"/>
  <c r="U29" i="37"/>
  <c r="V77" i="37"/>
  <c r="V70" i="37"/>
  <c r="AD10" i="25"/>
  <c r="AE10" i="25"/>
  <c r="X18" i="25"/>
  <c r="AD14" i="46"/>
  <c r="AF14" i="46" s="1"/>
  <c r="M148" i="47"/>
  <c r="M146" i="47"/>
  <c r="M144" i="47"/>
  <c r="M126" i="47"/>
  <c r="M124" i="47"/>
  <c r="M122" i="47"/>
  <c r="M120" i="47"/>
  <c r="M102" i="47"/>
  <c r="M100" i="47"/>
  <c r="M98" i="47"/>
  <c r="M96" i="47"/>
  <c r="M82" i="47"/>
  <c r="M80" i="47"/>
  <c r="M78" i="47"/>
  <c r="M64" i="47"/>
  <c r="M62" i="47"/>
  <c r="M60" i="47"/>
  <c r="L49" i="47"/>
  <c r="L48" i="47"/>
  <c r="L47" i="47"/>
  <c r="L46" i="47"/>
  <c r="L45" i="47"/>
  <c r="L44" i="47"/>
  <c r="L43" i="47"/>
  <c r="L42" i="47"/>
  <c r="L41" i="47"/>
  <c r="M34" i="47"/>
  <c r="M32" i="47"/>
  <c r="M30" i="47"/>
  <c r="M28" i="47"/>
  <c r="M26" i="47"/>
  <c r="M24" i="47"/>
  <c r="O24" i="47"/>
  <c r="Q24" i="47" s="1"/>
  <c r="O25" i="47"/>
  <c r="Q25" i="47" s="1"/>
  <c r="O26" i="47"/>
  <c r="Q26" i="47" s="1"/>
  <c r="O27" i="47"/>
  <c r="Q27" i="47" s="1"/>
  <c r="O28" i="47"/>
  <c r="Q28" i="47" s="1"/>
  <c r="O29" i="47"/>
  <c r="Q29" i="47" s="1"/>
  <c r="O30" i="47"/>
  <c r="Q30" i="47" s="1"/>
  <c r="O31" i="47"/>
  <c r="Q31" i="47" s="1"/>
  <c r="O32" i="47"/>
  <c r="Q32" i="47" s="1"/>
  <c r="O33" i="47"/>
  <c r="Q33" i="47" s="1"/>
  <c r="O34" i="47"/>
  <c r="Q34" i="47" s="1"/>
  <c r="O41" i="47"/>
  <c r="Q41" i="47" s="1"/>
  <c r="O42" i="47"/>
  <c r="Q42" i="47" s="1"/>
  <c r="O43" i="47"/>
  <c r="Q43" i="47" s="1"/>
  <c r="O44" i="47"/>
  <c r="Q44" i="47" s="1"/>
  <c r="O45" i="47"/>
  <c r="Q45" i="47" s="1"/>
  <c r="O46" i="47"/>
  <c r="Q46" i="47" s="1"/>
  <c r="O47" i="47"/>
  <c r="Q47" i="47" s="1"/>
  <c r="O48" i="47"/>
  <c r="Q48" i="47" s="1"/>
  <c r="O49" i="47"/>
  <c r="Q49" i="47" s="1"/>
  <c r="O59" i="47"/>
  <c r="Q59" i="47" s="1"/>
  <c r="O60" i="47"/>
  <c r="Q60" i="47" s="1"/>
  <c r="O61" i="47"/>
  <c r="Q61" i="47" s="1"/>
  <c r="O62" i="47"/>
  <c r="Q62" i="47" s="1"/>
  <c r="O63" i="47"/>
  <c r="Q63" i="47" s="1"/>
  <c r="O64" i="47"/>
  <c r="Q64" i="47" s="1"/>
  <c r="O77" i="47"/>
  <c r="Q77" i="47" s="1"/>
  <c r="O78" i="47"/>
  <c r="Q78" i="47" s="1"/>
  <c r="O79" i="47"/>
  <c r="Q79" i="47" s="1"/>
  <c r="O80" i="47"/>
  <c r="Q80" i="47" s="1"/>
  <c r="O81" i="47"/>
  <c r="Q81" i="47" s="1"/>
  <c r="O82" i="47"/>
  <c r="Q82" i="47" s="1"/>
  <c r="O95" i="47"/>
  <c r="Q95" i="47" s="1"/>
  <c r="O96" i="47"/>
  <c r="Q96" i="47" s="1"/>
  <c r="O97" i="47"/>
  <c r="Q97" i="47" s="1"/>
  <c r="O98" i="47"/>
  <c r="Q98" i="47" s="1"/>
  <c r="O99" i="47"/>
  <c r="Q99" i="47" s="1"/>
  <c r="O100" i="47"/>
  <c r="Q100" i="47" s="1"/>
  <c r="O101" i="47"/>
  <c r="Q101" i="47" s="1"/>
  <c r="O102" i="47"/>
  <c r="Q102" i="47" s="1"/>
  <c r="O119" i="47"/>
  <c r="O120" i="47"/>
  <c r="O121" i="47"/>
  <c r="O122" i="47"/>
  <c r="O123" i="47"/>
  <c r="O124" i="47"/>
  <c r="O125" i="47"/>
  <c r="O126" i="47"/>
  <c r="O143" i="47"/>
  <c r="O144" i="47"/>
  <c r="O145" i="47"/>
  <c r="O146" i="47"/>
  <c r="O147" i="47"/>
  <c r="O148" i="47"/>
  <c r="O23" i="47"/>
  <c r="Q23" i="47" s="1"/>
  <c r="N3" i="47"/>
  <c r="N4" i="47"/>
  <c r="N5" i="47"/>
  <c r="N6" i="47"/>
  <c r="N7" i="47"/>
  <c r="N8" i="47"/>
  <c r="N9" i="47"/>
  <c r="N10" i="47"/>
  <c r="N11" i="47"/>
  <c r="N12" i="47"/>
  <c r="N13" i="47"/>
  <c r="N14" i="47"/>
  <c r="N15" i="47"/>
  <c r="N16" i="47"/>
  <c r="N17" i="47"/>
  <c r="N18" i="47"/>
  <c r="N19" i="47"/>
  <c r="M13" i="47"/>
  <c r="M14" i="47"/>
  <c r="M15" i="47"/>
  <c r="M16" i="47"/>
  <c r="M17" i="47"/>
  <c r="M18" i="47"/>
  <c r="M19" i="47"/>
  <c r="M12" i="47"/>
  <c r="M4" i="47"/>
  <c r="M5" i="47"/>
  <c r="M6" i="47"/>
  <c r="M7" i="47"/>
  <c r="M8" i="47"/>
  <c r="M9" i="47"/>
  <c r="M10" i="47"/>
  <c r="M11" i="47"/>
  <c r="M3" i="47"/>
  <c r="H13" i="47"/>
  <c r="I13" i="47"/>
  <c r="J13" i="47"/>
  <c r="K13" i="47"/>
  <c r="H14" i="47"/>
  <c r="I14" i="47"/>
  <c r="J14" i="47"/>
  <c r="K14" i="47"/>
  <c r="H15" i="47"/>
  <c r="I15" i="47"/>
  <c r="J15" i="47"/>
  <c r="K15" i="47"/>
  <c r="H16" i="47"/>
  <c r="I16" i="47"/>
  <c r="J16" i="47"/>
  <c r="K16" i="47"/>
  <c r="H17" i="47"/>
  <c r="I17" i="47"/>
  <c r="J17" i="47"/>
  <c r="K17" i="47"/>
  <c r="H18" i="47"/>
  <c r="I18" i="47"/>
  <c r="J18" i="47"/>
  <c r="K18" i="47"/>
  <c r="H19" i="47"/>
  <c r="I19" i="47"/>
  <c r="J19" i="47"/>
  <c r="K19" i="47"/>
  <c r="I12" i="47"/>
  <c r="J12" i="47"/>
  <c r="K12" i="47"/>
  <c r="H12" i="47"/>
  <c r="H4" i="47"/>
  <c r="I4" i="47"/>
  <c r="J4" i="47"/>
  <c r="K4" i="47"/>
  <c r="H5" i="47"/>
  <c r="I5" i="47"/>
  <c r="J5" i="47"/>
  <c r="K5" i="47"/>
  <c r="H6" i="47"/>
  <c r="I6" i="47"/>
  <c r="J6" i="47"/>
  <c r="K6" i="47"/>
  <c r="H7" i="47"/>
  <c r="I7" i="47"/>
  <c r="J7" i="47"/>
  <c r="K7" i="47"/>
  <c r="H8" i="47"/>
  <c r="I8" i="47"/>
  <c r="J8" i="47"/>
  <c r="K8" i="47"/>
  <c r="H9" i="47"/>
  <c r="I9" i="47"/>
  <c r="J9" i="47"/>
  <c r="K9" i="47"/>
  <c r="H10" i="47"/>
  <c r="I10" i="47"/>
  <c r="J10" i="47"/>
  <c r="K10" i="47"/>
  <c r="H11" i="47"/>
  <c r="I11" i="47"/>
  <c r="J11" i="47"/>
  <c r="K11" i="47"/>
  <c r="J3" i="47"/>
  <c r="K3" i="47"/>
  <c r="I3" i="47"/>
  <c r="H3" i="47"/>
  <c r="V73" i="37" l="1"/>
  <c r="V80" i="37"/>
  <c r="X29" i="37"/>
  <c r="W29" i="37"/>
  <c r="T29" i="37" s="1"/>
  <c r="Y29" i="37"/>
  <c r="U30" i="37"/>
  <c r="V78" i="37"/>
  <c r="AC10" i="25"/>
  <c r="X19" i="25"/>
  <c r="AF10" i="25"/>
  <c r="AD11" i="25" s="1"/>
  <c r="AD15" i="46"/>
  <c r="AF15" i="46" s="1"/>
  <c r="Q145" i="47"/>
  <c r="Q124" i="47"/>
  <c r="Q148" i="47"/>
  <c r="Q122" i="47"/>
  <c r="Q125" i="47"/>
  <c r="Q123" i="47"/>
  <c r="Q144" i="47"/>
  <c r="Q120" i="47"/>
  <c r="Q146" i="47"/>
  <c r="Q126" i="47"/>
  <c r="Q143" i="47"/>
  <c r="Q121" i="47"/>
  <c r="Q147" i="47"/>
  <c r="Q119" i="47"/>
  <c r="V81" i="37" l="1"/>
  <c r="Y30" i="37"/>
  <c r="W30" i="37"/>
  <c r="T30" i="37" s="1"/>
  <c r="X30" i="37"/>
  <c r="U31" i="37"/>
  <c r="V83" i="37"/>
  <c r="V76" i="37"/>
  <c r="AE11" i="25"/>
  <c r="AF11" i="25"/>
  <c r="AG11" i="25"/>
  <c r="AH11" i="25" s="1"/>
  <c r="X20" i="25"/>
  <c r="AD16" i="46"/>
  <c r="AF16" i="46" s="1"/>
  <c r="V86" i="37" l="1"/>
  <c r="Y31" i="37"/>
  <c r="X31" i="37"/>
  <c r="W31" i="37"/>
  <c r="U32" i="37"/>
  <c r="V79" i="37"/>
  <c r="V84" i="37"/>
  <c r="AD12" i="25"/>
  <c r="AE12" i="25"/>
  <c r="AC11" i="25"/>
  <c r="X21" i="25"/>
  <c r="AD17" i="46"/>
  <c r="AF17" i="46" s="1"/>
  <c r="V82" i="37" l="1"/>
  <c r="Y32" i="37"/>
  <c r="X32" i="37"/>
  <c r="W32" i="37"/>
  <c r="U33" i="37"/>
  <c r="V87" i="37"/>
  <c r="T31" i="37"/>
  <c r="V89" i="37"/>
  <c r="AC12" i="25"/>
  <c r="AF12" i="25"/>
  <c r="AE13" i="25" s="1"/>
  <c r="AC13" i="25" s="1"/>
  <c r="AH12" i="25"/>
  <c r="AG12" i="25"/>
  <c r="X22" i="25"/>
  <c r="I33" i="29"/>
  <c r="V90" i="37" l="1"/>
  <c r="W33" i="37"/>
  <c r="Y33" i="37"/>
  <c r="X33" i="37"/>
  <c r="U34" i="37"/>
  <c r="V92" i="37"/>
  <c r="T32" i="37"/>
  <c r="V85" i="37"/>
  <c r="AD13" i="25"/>
  <c r="X23" i="25"/>
  <c r="AD18" i="46"/>
  <c r="AF18" i="46" s="1"/>
  <c r="DD48" i="36"/>
  <c r="DD60" i="36"/>
  <c r="DD49" i="36"/>
  <c r="DD38" i="36"/>
  <c r="DD43" i="36"/>
  <c r="DD56" i="36"/>
  <c r="DD78" i="36"/>
  <c r="DD67" i="36"/>
  <c r="DD36" i="36"/>
  <c r="DD54" i="36"/>
  <c r="DD73" i="36"/>
  <c r="DD44" i="36"/>
  <c r="DD79" i="36"/>
  <c r="DD61" i="36"/>
  <c r="DD68" i="36"/>
  <c r="DD37" i="36"/>
  <c r="DD42" i="36"/>
  <c r="DD55" i="36"/>
  <c r="DD74" i="36"/>
  <c r="DD66" i="36"/>
  <c r="DD80" i="36"/>
  <c r="DD50" i="36"/>
  <c r="DD62" i="36"/>
  <c r="DD72" i="36"/>
  <c r="I30" i="29"/>
  <c r="I31" i="29"/>
  <c r="I32" i="29"/>
  <c r="I34" i="29"/>
  <c r="I35" i="29"/>
  <c r="I36" i="29"/>
  <c r="I29" i="29"/>
  <c r="V88" i="37" l="1"/>
  <c r="V95" i="37"/>
  <c r="Y34" i="37"/>
  <c r="X34" i="37"/>
  <c r="W34" i="37"/>
  <c r="T34" i="37" s="1"/>
  <c r="U35" i="37"/>
  <c r="T33" i="37"/>
  <c r="V93" i="37"/>
  <c r="AF13" i="25"/>
  <c r="AG13" i="25"/>
  <c r="AH13" i="25"/>
  <c r="X24" i="25"/>
  <c r="AD19" i="46"/>
  <c r="AF19" i="46" s="1"/>
  <c r="DE47" i="36"/>
  <c r="DE35" i="36"/>
  <c r="DD1" i="36" s="1"/>
  <c r="DE59" i="36"/>
  <c r="DE41" i="36"/>
  <c r="DE53" i="36"/>
  <c r="DE65" i="36"/>
  <c r="DE77" i="36"/>
  <c r="DE71" i="36"/>
  <c r="V96" i="37" l="1"/>
  <c r="X35" i="37"/>
  <c r="W35" i="37"/>
  <c r="T35" i="37" s="1"/>
  <c r="Y35" i="37"/>
  <c r="U36" i="37"/>
  <c r="V98" i="37"/>
  <c r="V91" i="37"/>
  <c r="X25" i="25"/>
  <c r="AD20" i="46"/>
  <c r="AF20" i="46" s="1"/>
  <c r="CT164" i="36"/>
  <c r="CT163" i="36"/>
  <c r="CT162" i="36"/>
  <c r="CT161" i="36"/>
  <c r="CT160" i="36"/>
  <c r="CT159" i="36"/>
  <c r="CT158" i="36"/>
  <c r="CT157" i="36"/>
  <c r="CT156" i="36"/>
  <c r="CT155" i="36"/>
  <c r="CT154" i="36"/>
  <c r="CT153" i="36"/>
  <c r="CT152" i="36"/>
  <c r="CT151" i="36"/>
  <c r="CT150" i="36"/>
  <c r="CT149" i="36"/>
  <c r="CT148" i="36"/>
  <c r="CT147" i="36"/>
  <c r="CT143" i="36"/>
  <c r="CT142" i="36"/>
  <c r="CT141" i="36"/>
  <c r="CT140" i="36"/>
  <c r="CT139" i="36"/>
  <c r="CT138" i="36"/>
  <c r="CT137" i="36"/>
  <c r="CT136" i="36"/>
  <c r="CT135" i="36"/>
  <c r="CT131" i="36"/>
  <c r="CT130" i="36"/>
  <c r="CT129" i="36"/>
  <c r="CT128" i="36"/>
  <c r="CT127" i="36"/>
  <c r="CT126" i="36"/>
  <c r="CT125" i="36"/>
  <c r="CT124" i="36"/>
  <c r="CT123" i="36"/>
  <c r="CT122" i="36"/>
  <c r="CT121" i="36"/>
  <c r="CT120" i="36"/>
  <c r="CT119" i="36"/>
  <c r="CT118" i="36"/>
  <c r="CT117" i="36"/>
  <c r="CT116" i="36"/>
  <c r="CT115" i="36"/>
  <c r="CT114" i="36"/>
  <c r="CT110" i="36"/>
  <c r="CT109" i="36"/>
  <c r="CT108" i="36"/>
  <c r="CT107" i="36"/>
  <c r="CT106" i="36"/>
  <c r="CT105" i="36"/>
  <c r="CT104" i="36"/>
  <c r="CT103" i="36"/>
  <c r="CT102" i="36"/>
  <c r="CT82" i="36"/>
  <c r="CT83" i="36"/>
  <c r="CT84" i="36"/>
  <c r="CT85" i="36"/>
  <c r="CT86" i="36"/>
  <c r="CT87" i="36"/>
  <c r="CT88" i="36"/>
  <c r="CT89" i="36"/>
  <c r="CT90" i="36"/>
  <c r="CT91" i="36"/>
  <c r="CT92" i="36"/>
  <c r="CT93" i="36"/>
  <c r="CT94" i="36"/>
  <c r="CT95" i="36"/>
  <c r="CT96" i="36"/>
  <c r="CT97" i="36"/>
  <c r="CT98" i="36"/>
  <c r="CT81" i="36"/>
  <c r="CT70" i="36"/>
  <c r="CT71" i="36"/>
  <c r="CT72" i="36"/>
  <c r="CT73" i="36"/>
  <c r="CT74" i="36"/>
  <c r="CT75" i="36"/>
  <c r="CT76" i="36"/>
  <c r="CT77" i="36"/>
  <c r="CT69" i="36"/>
  <c r="CT44" i="36"/>
  <c r="CT43" i="36"/>
  <c r="CT42" i="36"/>
  <c r="CT41" i="36"/>
  <c r="CT40" i="36"/>
  <c r="CT39" i="36"/>
  <c r="CT38" i="36"/>
  <c r="CT37" i="36"/>
  <c r="CT36" i="36"/>
  <c r="CT49" i="36"/>
  <c r="CT50" i="36"/>
  <c r="CT51" i="36"/>
  <c r="CT52" i="36"/>
  <c r="CT53" i="36"/>
  <c r="CT54" i="36"/>
  <c r="CT55" i="36"/>
  <c r="CT56" i="36"/>
  <c r="CT57" i="36"/>
  <c r="CT58" i="36"/>
  <c r="CT59" i="36"/>
  <c r="CT60" i="36"/>
  <c r="CT61" i="36"/>
  <c r="CT62" i="36"/>
  <c r="CT63" i="36"/>
  <c r="CT64" i="36"/>
  <c r="CT65" i="36"/>
  <c r="CT48" i="36"/>
  <c r="CT2" i="36"/>
  <c r="CN4" i="36"/>
  <c r="CO4" i="36"/>
  <c r="CP4" i="36"/>
  <c r="CQ4" i="36"/>
  <c r="CR4" i="36"/>
  <c r="CU4" i="36"/>
  <c r="I18" i="29"/>
  <c r="CN3" i="36"/>
  <c r="CO3" i="36"/>
  <c r="CP3" i="36"/>
  <c r="CQ3" i="36"/>
  <c r="CR3" i="36"/>
  <c r="CU3" i="36"/>
  <c r="CN5" i="36"/>
  <c r="CO5" i="36"/>
  <c r="CP5" i="36"/>
  <c r="CQ5" i="36"/>
  <c r="CR5" i="36"/>
  <c r="CU5" i="36"/>
  <c r="CN6" i="36"/>
  <c r="CO6" i="36"/>
  <c r="CP6" i="36"/>
  <c r="CQ6" i="36"/>
  <c r="CR6" i="36"/>
  <c r="CU6" i="36"/>
  <c r="CN7" i="36"/>
  <c r="CO7" i="36"/>
  <c r="CP7" i="36"/>
  <c r="CQ7" i="36"/>
  <c r="CR7" i="36"/>
  <c r="CU7" i="36"/>
  <c r="CN8" i="36"/>
  <c r="CO8" i="36"/>
  <c r="CP8" i="36"/>
  <c r="CQ8" i="36"/>
  <c r="CR8" i="36"/>
  <c r="CU8" i="36"/>
  <c r="CN9" i="36"/>
  <c r="CO9" i="36"/>
  <c r="CP9" i="36"/>
  <c r="CQ9" i="36"/>
  <c r="CR9" i="36"/>
  <c r="CU9" i="36"/>
  <c r="CN10" i="36"/>
  <c r="CO10" i="36"/>
  <c r="CP10" i="36"/>
  <c r="CQ10" i="36"/>
  <c r="CR10" i="36"/>
  <c r="CU10" i="36"/>
  <c r="CN11" i="36"/>
  <c r="CO11" i="36"/>
  <c r="CP11" i="36"/>
  <c r="CQ11" i="36"/>
  <c r="CR11" i="36"/>
  <c r="CU11" i="36"/>
  <c r="CO2" i="36"/>
  <c r="CP2" i="36"/>
  <c r="CQ2" i="36"/>
  <c r="CR2" i="36"/>
  <c r="CS2" i="36"/>
  <c r="CU2" i="36"/>
  <c r="CN2" i="36"/>
  <c r="I19" i="29"/>
  <c r="I20" i="29"/>
  <c r="I21" i="29"/>
  <c r="I22" i="29"/>
  <c r="I23" i="29"/>
  <c r="I24" i="29"/>
  <c r="I25" i="29"/>
  <c r="I17" i="29"/>
  <c r="V94" i="37" l="1"/>
  <c r="V101" i="37"/>
  <c r="Y36" i="37"/>
  <c r="W36" i="37"/>
  <c r="X36" i="37"/>
  <c r="U37" i="37"/>
  <c r="V99" i="37"/>
  <c r="X26" i="25"/>
  <c r="AD21" i="46"/>
  <c r="AF21" i="46" s="1"/>
  <c r="CU39" i="36"/>
  <c r="CU44" i="36"/>
  <c r="CU37" i="36"/>
  <c r="CU38" i="36"/>
  <c r="CU41" i="36"/>
  <c r="CU36" i="36"/>
  <c r="CU52" i="36"/>
  <c r="CU60" i="36"/>
  <c r="CU74" i="36"/>
  <c r="CU88" i="36"/>
  <c r="CU96" i="36"/>
  <c r="CU108" i="36"/>
  <c r="CU49" i="36"/>
  <c r="CU57" i="36"/>
  <c r="CU65" i="36"/>
  <c r="CU71" i="36"/>
  <c r="CU85" i="36"/>
  <c r="CU93" i="36"/>
  <c r="CU130" i="36"/>
  <c r="CU55" i="36"/>
  <c r="CU63" i="36"/>
  <c r="CU69" i="36"/>
  <c r="CU77" i="36"/>
  <c r="CU83" i="36"/>
  <c r="CU91" i="36"/>
  <c r="CU114" i="36"/>
  <c r="CU149" i="36"/>
  <c r="CU42" i="36"/>
  <c r="CU50" i="36"/>
  <c r="CU58" i="36"/>
  <c r="CU72" i="36"/>
  <c r="CU86" i="36"/>
  <c r="CU94" i="36"/>
  <c r="CU105" i="36"/>
  <c r="CU110" i="36"/>
  <c r="CU139" i="36"/>
  <c r="CU53" i="36"/>
  <c r="CU61" i="36"/>
  <c r="CU75" i="36"/>
  <c r="CU81" i="36"/>
  <c r="CU89" i="36"/>
  <c r="CU97" i="36"/>
  <c r="CU102" i="36"/>
  <c r="CU159" i="36"/>
  <c r="CU151" i="36"/>
  <c r="CU141" i="36"/>
  <c r="CU124" i="36"/>
  <c r="CU116" i="36"/>
  <c r="CU104" i="36"/>
  <c r="CU164" i="36"/>
  <c r="CU156" i="36"/>
  <c r="CU148" i="36"/>
  <c r="CU138" i="36"/>
  <c r="CU129" i="36"/>
  <c r="CU121" i="36"/>
  <c r="CU109" i="36"/>
  <c r="CU161" i="36"/>
  <c r="CU153" i="36"/>
  <c r="CU143" i="36"/>
  <c r="CU135" i="36"/>
  <c r="CU126" i="36"/>
  <c r="CU118" i="36"/>
  <c r="CU158" i="36"/>
  <c r="CU150" i="36"/>
  <c r="CU140" i="36"/>
  <c r="CU131" i="36"/>
  <c r="CU123" i="36"/>
  <c r="CU115" i="36"/>
  <c r="CU163" i="36"/>
  <c r="CU155" i="36"/>
  <c r="CU147" i="36"/>
  <c r="CU137" i="36"/>
  <c r="CU128" i="36"/>
  <c r="CU120" i="36"/>
  <c r="CU160" i="36"/>
  <c r="CU152" i="36"/>
  <c r="CU142" i="36"/>
  <c r="CU125" i="36"/>
  <c r="CU117" i="36"/>
  <c r="CU162" i="36"/>
  <c r="CU154" i="36"/>
  <c r="CU136" i="36"/>
  <c r="CU127" i="36"/>
  <c r="CU119" i="36"/>
  <c r="CU40" i="36"/>
  <c r="CU48" i="36"/>
  <c r="CU56" i="36"/>
  <c r="CU64" i="36"/>
  <c r="CU70" i="36"/>
  <c r="CU84" i="36"/>
  <c r="CU92" i="36"/>
  <c r="CU106" i="36"/>
  <c r="CU122" i="36"/>
  <c r="CU157" i="36"/>
  <c r="CU43" i="36"/>
  <c r="CU51" i="36"/>
  <c r="CU59" i="36"/>
  <c r="CU73" i="36"/>
  <c r="CU87" i="36"/>
  <c r="CU95" i="36"/>
  <c r="CU107" i="36"/>
  <c r="CU54" i="36"/>
  <c r="CU62" i="36"/>
  <c r="CU76" i="36"/>
  <c r="CU82" i="36"/>
  <c r="CU90" i="36"/>
  <c r="CU98" i="36"/>
  <c r="CU103" i="36"/>
  <c r="Y37" i="37" l="1"/>
  <c r="X37" i="37"/>
  <c r="W37" i="37"/>
  <c r="T37" i="37" s="1"/>
  <c r="U38" i="37"/>
  <c r="V102" i="37"/>
  <c r="V104" i="37"/>
  <c r="T36" i="37"/>
  <c r="V97" i="37"/>
  <c r="X27" i="25"/>
  <c r="AD22" i="46"/>
  <c r="AF22" i="46" s="1"/>
  <c r="CV146" i="36"/>
  <c r="CV134" i="36"/>
  <c r="CV80" i="36"/>
  <c r="CV47" i="36"/>
  <c r="CV113" i="36"/>
  <c r="CV101" i="36"/>
  <c r="CV35" i="36"/>
  <c r="CV68" i="36"/>
  <c r="V100" i="37" l="1"/>
  <c r="V105" i="37"/>
  <c r="X38" i="37"/>
  <c r="W38" i="37"/>
  <c r="T38" i="37" s="1"/>
  <c r="Y38" i="37"/>
  <c r="U39" i="37"/>
  <c r="V107" i="37"/>
  <c r="X28" i="25"/>
  <c r="AD23" i="46"/>
  <c r="AF23" i="46" s="1"/>
  <c r="U63" i="41"/>
  <c r="V110" i="37" l="1"/>
  <c r="Y39" i="37"/>
  <c r="X39" i="37"/>
  <c r="W39" i="37"/>
  <c r="T39" i="37" s="1"/>
  <c r="U40" i="37"/>
  <c r="V108" i="37"/>
  <c r="V103" i="37"/>
  <c r="X29" i="25"/>
  <c r="AD24" i="46"/>
  <c r="AF24" i="46" s="1"/>
  <c r="I89" i="41"/>
  <c r="I93" i="41"/>
  <c r="I97" i="41"/>
  <c r="I101" i="41"/>
  <c r="I105" i="41"/>
  <c r="I109" i="41"/>
  <c r="I113" i="41"/>
  <c r="K87" i="41"/>
  <c r="K88" i="41"/>
  <c r="K89" i="41"/>
  <c r="K90" i="41"/>
  <c r="K91" i="41"/>
  <c r="K92" i="41"/>
  <c r="K93" i="41"/>
  <c r="K94" i="41"/>
  <c r="K95" i="41"/>
  <c r="K96" i="41"/>
  <c r="K97" i="41"/>
  <c r="K98" i="41"/>
  <c r="K99" i="41"/>
  <c r="K100" i="41"/>
  <c r="K101" i="41"/>
  <c r="K102" i="41"/>
  <c r="K103" i="41"/>
  <c r="K104" i="41"/>
  <c r="K105" i="41"/>
  <c r="K106" i="41"/>
  <c r="K107" i="41"/>
  <c r="K108" i="41"/>
  <c r="K109" i="41"/>
  <c r="K110" i="41"/>
  <c r="K111" i="41"/>
  <c r="K112" i="41"/>
  <c r="K113" i="41"/>
  <c r="K114" i="41"/>
  <c r="K86" i="41"/>
  <c r="M38" i="41"/>
  <c r="M48" i="41"/>
  <c r="M56" i="41"/>
  <c r="M64" i="41"/>
  <c r="M72" i="41"/>
  <c r="M80"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35" i="41"/>
  <c r="M81" i="41"/>
  <c r="U59" i="41"/>
  <c r="M51" i="41" s="1"/>
  <c r="U60" i="41"/>
  <c r="M59" i="41" s="1"/>
  <c r="U61" i="41"/>
  <c r="M67" i="41" s="1"/>
  <c r="U62" i="41"/>
  <c r="M75" i="41" s="1"/>
  <c r="U58" i="41"/>
  <c r="M43" i="41" s="1"/>
  <c r="U49" i="41"/>
  <c r="M45" i="41" s="1"/>
  <c r="U50" i="41"/>
  <c r="M49" i="41" s="1"/>
  <c r="U51" i="41"/>
  <c r="M53" i="41" s="1"/>
  <c r="U52" i="41"/>
  <c r="M57" i="41" s="1"/>
  <c r="U53" i="41"/>
  <c r="M61" i="41" s="1"/>
  <c r="U54" i="41"/>
  <c r="M65" i="41" s="1"/>
  <c r="U55" i="41"/>
  <c r="M69" i="41" s="1"/>
  <c r="U56" i="41"/>
  <c r="M73" i="41" s="1"/>
  <c r="U57" i="41"/>
  <c r="M77" i="41" s="1"/>
  <c r="U48" i="41"/>
  <c r="M40" i="41" s="1"/>
  <c r="U43" i="41"/>
  <c r="M47" i="41" s="1"/>
  <c r="U44" i="41"/>
  <c r="M55" i="41" s="1"/>
  <c r="U45" i="41"/>
  <c r="M63" i="41" s="1"/>
  <c r="U46" i="41"/>
  <c r="M71" i="41" s="1"/>
  <c r="U47" i="41"/>
  <c r="M79" i="41" s="1"/>
  <c r="U42" i="41"/>
  <c r="M39" i="41" s="1"/>
  <c r="U41" i="41"/>
  <c r="M35" i="41" s="1"/>
  <c r="V106" i="37" l="1"/>
  <c r="V111" i="37"/>
  <c r="Y40" i="37"/>
  <c r="X40" i="37"/>
  <c r="W40" i="37"/>
  <c r="U41" i="37"/>
  <c r="V113" i="37"/>
  <c r="X30" i="25"/>
  <c r="AD25" i="46"/>
  <c r="AF25" i="46" s="1"/>
  <c r="I11" i="41"/>
  <c r="G14" i="41"/>
  <c r="I14" i="41" s="1"/>
  <c r="G12" i="41"/>
  <c r="I12" i="41" s="1"/>
  <c r="G9" i="41"/>
  <c r="I9" i="41" s="1"/>
  <c r="F10" i="41"/>
  <c r="F12" i="41"/>
  <c r="F11" i="41"/>
  <c r="F14" i="41"/>
  <c r="F15" i="41"/>
  <c r="F17" i="41"/>
  <c r="F9" i="41"/>
  <c r="D10" i="41"/>
  <c r="D12" i="41"/>
  <c r="D13" i="41"/>
  <c r="D14" i="41"/>
  <c r="D15" i="41"/>
  <c r="D16" i="41"/>
  <c r="D17" i="41"/>
  <c r="D9" i="41"/>
  <c r="V116" i="37" l="1"/>
  <c r="Y41" i="37"/>
  <c r="X41" i="37"/>
  <c r="W41" i="37"/>
  <c r="T41" i="37" s="1"/>
  <c r="U42" i="37"/>
  <c r="V114" i="37"/>
  <c r="T40" i="37"/>
  <c r="V109" i="37"/>
  <c r="X31" i="25"/>
  <c r="AD26" i="46"/>
  <c r="AF26" i="46" s="1"/>
  <c r="C46" i="47"/>
  <c r="C47" i="47"/>
  <c r="C48" i="47"/>
  <c r="C49" i="47"/>
  <c r="C50" i="47"/>
  <c r="V117" i="37" l="1"/>
  <c r="V112" i="37"/>
  <c r="Y42" i="37"/>
  <c r="W42" i="37"/>
  <c r="X42" i="37"/>
  <c r="U43" i="37"/>
  <c r="V119" i="37"/>
  <c r="X32" i="25"/>
  <c r="AD27" i="46"/>
  <c r="AF27" i="46" s="1"/>
  <c r="G77" i="32"/>
  <c r="G78" i="32"/>
  <c r="G79" i="32"/>
  <c r="G80" i="32"/>
  <c r="G81" i="32"/>
  <c r="G82" i="32"/>
  <c r="G83" i="32"/>
  <c r="G76" i="32"/>
  <c r="F77" i="32"/>
  <c r="F78" i="32"/>
  <c r="F79" i="32"/>
  <c r="F80" i="32"/>
  <c r="F81" i="32"/>
  <c r="F82" i="32"/>
  <c r="F83" i="32"/>
  <c r="F76" i="32"/>
  <c r="E77" i="32"/>
  <c r="E78" i="32"/>
  <c r="E79" i="32"/>
  <c r="E80" i="32"/>
  <c r="E81" i="32"/>
  <c r="E82" i="32"/>
  <c r="E83" i="32"/>
  <c r="E76" i="32"/>
  <c r="B64" i="32"/>
  <c r="C64" i="32"/>
  <c r="D64" i="32"/>
  <c r="E64" i="32"/>
  <c r="B65" i="32"/>
  <c r="D65" i="32"/>
  <c r="B66" i="32"/>
  <c r="D66" i="32"/>
  <c r="B67" i="32"/>
  <c r="D67" i="32"/>
  <c r="B68" i="32"/>
  <c r="D68" i="32"/>
  <c r="B69" i="32"/>
  <c r="D69" i="32"/>
  <c r="B70" i="32"/>
  <c r="D70" i="32"/>
  <c r="B71" i="32"/>
  <c r="D71" i="32"/>
  <c r="B72" i="32"/>
  <c r="D72" i="32"/>
  <c r="C63" i="32"/>
  <c r="D63" i="32"/>
  <c r="E63" i="32"/>
  <c r="F63" i="32"/>
  <c r="B63" i="32"/>
  <c r="C58" i="32"/>
  <c r="C59" i="32"/>
  <c r="C60" i="32"/>
  <c r="C57" i="32"/>
  <c r="E22" i="47"/>
  <c r="D24" i="47"/>
  <c r="C24" i="47"/>
  <c r="D23" i="47"/>
  <c r="C23" i="47"/>
  <c r="D22" i="47"/>
  <c r="C22" i="47"/>
  <c r="D19" i="47"/>
  <c r="C19" i="47"/>
  <c r="C17" i="47"/>
  <c r="C16" i="47"/>
  <c r="C15" i="47"/>
  <c r="B24" i="47"/>
  <c r="B23" i="47"/>
  <c r="B22" i="47"/>
  <c r="B21" i="47"/>
  <c r="B20" i="47"/>
  <c r="B19" i="47"/>
  <c r="B18" i="47"/>
  <c r="B17" i="47"/>
  <c r="B16" i="47"/>
  <c r="D37" i="47"/>
  <c r="D36" i="47"/>
  <c r="D35" i="47"/>
  <c r="D34" i="47"/>
  <c r="D33" i="47"/>
  <c r="D32" i="47"/>
  <c r="D31" i="47"/>
  <c r="D30" i="47"/>
  <c r="D29" i="47"/>
  <c r="C37" i="47"/>
  <c r="C36" i="47"/>
  <c r="C35" i="47"/>
  <c r="C34" i="47"/>
  <c r="C33" i="47"/>
  <c r="C32" i="47"/>
  <c r="C31" i="47"/>
  <c r="C30" i="47"/>
  <c r="C29" i="47"/>
  <c r="C28" i="47"/>
  <c r="B37" i="47"/>
  <c r="B36" i="47"/>
  <c r="B35" i="47"/>
  <c r="B34" i="47"/>
  <c r="B33" i="47"/>
  <c r="B32" i="47"/>
  <c r="B31" i="47"/>
  <c r="B30" i="47"/>
  <c r="B29" i="47"/>
  <c r="B28" i="47"/>
  <c r="B15" i="47"/>
  <c r="V122" i="37" l="1"/>
  <c r="Y43" i="37"/>
  <c r="X43" i="37"/>
  <c r="W43" i="37"/>
  <c r="T43" i="37" s="1"/>
  <c r="U44" i="37"/>
  <c r="T42" i="37"/>
  <c r="V115" i="37"/>
  <c r="V120" i="37"/>
  <c r="X33" i="25"/>
  <c r="AD28" i="46"/>
  <c r="AF28" i="46" s="1"/>
  <c r="V118" i="37" l="1"/>
  <c r="Y44" i="37"/>
  <c r="X44" i="37"/>
  <c r="W44" i="37"/>
  <c r="T44" i="37" s="1"/>
  <c r="U45" i="37"/>
  <c r="V123" i="37"/>
  <c r="V125" i="37"/>
  <c r="X34" i="25"/>
  <c r="AD29" i="46"/>
  <c r="AF29" i="46" s="1"/>
  <c r="C4" i="43"/>
  <c r="V128" i="37" l="1"/>
  <c r="V126" i="37"/>
  <c r="W45" i="37"/>
  <c r="T45" i="37" s="1"/>
  <c r="Y45" i="37"/>
  <c r="X45" i="37"/>
  <c r="U46" i="37"/>
  <c r="V121" i="37"/>
  <c r="X35" i="25"/>
  <c r="AD30" i="46"/>
  <c r="AF30" i="46" s="1"/>
  <c r="N83" i="28"/>
  <c r="V129" i="37" l="1"/>
  <c r="V124" i="37"/>
  <c r="Y46" i="37"/>
  <c r="X46" i="37"/>
  <c r="W46" i="37"/>
  <c r="U47" i="37"/>
  <c r="V131" i="37"/>
  <c r="X36" i="25"/>
  <c r="AD31" i="46"/>
  <c r="AF31" i="46" s="1"/>
  <c r="C38" i="5"/>
  <c r="C39" i="5"/>
  <c r="C37" i="5"/>
  <c r="E38" i="5"/>
  <c r="F38" i="5" s="1"/>
  <c r="E39" i="5"/>
  <c r="E37" i="5"/>
  <c r="F37" i="5" s="1"/>
  <c r="G38" i="5"/>
  <c r="G39" i="5"/>
  <c r="G37" i="5"/>
  <c r="V134" i="37" l="1"/>
  <c r="T46" i="37"/>
  <c r="V127" i="37"/>
  <c r="X47" i="37"/>
  <c r="W47" i="37"/>
  <c r="Y47" i="37"/>
  <c r="U48" i="37"/>
  <c r="V132" i="37"/>
  <c r="H38" i="5"/>
  <c r="AG4" i="46"/>
  <c r="AG5" i="46"/>
  <c r="I37" i="5"/>
  <c r="K37" i="5" s="1"/>
  <c r="H37" i="5"/>
  <c r="H39" i="5"/>
  <c r="I38" i="5"/>
  <c r="K38" i="5" s="1"/>
  <c r="J38" i="5"/>
  <c r="L38" i="5" s="1"/>
  <c r="J37" i="5"/>
  <c r="L37" i="5" s="1"/>
  <c r="F39" i="5"/>
  <c r="X37" i="25"/>
  <c r="AD32" i="46"/>
  <c r="AF32" i="46" s="1"/>
  <c r="AG7" i="46"/>
  <c r="AG8" i="46"/>
  <c r="M85" i="28"/>
  <c r="M86" i="28"/>
  <c r="M87" i="28"/>
  <c r="M88" i="28"/>
  <c r="M89" i="28"/>
  <c r="M90" i="28"/>
  <c r="M91" i="28"/>
  <c r="M92" i="28"/>
  <c r="M93" i="28"/>
  <c r="M94" i="28"/>
  <c r="M95" i="28"/>
  <c r="M96" i="28"/>
  <c r="M97" i="28"/>
  <c r="M98" i="28"/>
  <c r="M99" i="28"/>
  <c r="M100" i="28"/>
  <c r="M101" i="28"/>
  <c r="M102" i="28"/>
  <c r="M103" i="28"/>
  <c r="M104" i="28"/>
  <c r="M105" i="28"/>
  <c r="M106" i="28"/>
  <c r="M84" i="28"/>
  <c r="I21" i="35"/>
  <c r="H21" i="35"/>
  <c r="G21" i="35"/>
  <c r="I37" i="35"/>
  <c r="H37" i="35"/>
  <c r="G37" i="35"/>
  <c r="I36" i="35"/>
  <c r="H36" i="35"/>
  <c r="G36" i="35"/>
  <c r="I35" i="35"/>
  <c r="H35" i="35"/>
  <c r="G35" i="35"/>
  <c r="I34" i="35"/>
  <c r="H34" i="35"/>
  <c r="G34" i="35"/>
  <c r="I33" i="35"/>
  <c r="H33" i="35"/>
  <c r="G33" i="35"/>
  <c r="I32" i="35"/>
  <c r="H32" i="35"/>
  <c r="G32" i="35"/>
  <c r="I31" i="35"/>
  <c r="H31" i="35"/>
  <c r="G31" i="35"/>
  <c r="I30" i="35"/>
  <c r="H30" i="35"/>
  <c r="G30" i="35"/>
  <c r="I29" i="35"/>
  <c r="H29" i="35"/>
  <c r="G29" i="35"/>
  <c r="I28" i="35"/>
  <c r="H28" i="35"/>
  <c r="G28" i="35"/>
  <c r="I27" i="35"/>
  <c r="H27" i="35"/>
  <c r="G27" i="35"/>
  <c r="I26" i="35"/>
  <c r="H26" i="35"/>
  <c r="G26" i="35"/>
  <c r="I17" i="35"/>
  <c r="H17" i="35"/>
  <c r="G17" i="35"/>
  <c r="I16" i="35"/>
  <c r="H16" i="35"/>
  <c r="G16" i="35"/>
  <c r="I13" i="35"/>
  <c r="H13" i="35"/>
  <c r="G13" i="35"/>
  <c r="I12" i="35"/>
  <c r="H12" i="35"/>
  <c r="G12" i="35"/>
  <c r="I20" i="35"/>
  <c r="H20" i="35"/>
  <c r="G20" i="35"/>
  <c r="I25" i="35"/>
  <c r="H25" i="35"/>
  <c r="G25" i="35"/>
  <c r="I24" i="35"/>
  <c r="H24" i="35"/>
  <c r="G24" i="35"/>
  <c r="I23" i="35"/>
  <c r="H23" i="35"/>
  <c r="G23" i="35"/>
  <c r="I22" i="35"/>
  <c r="H22" i="35"/>
  <c r="G22" i="35"/>
  <c r="I19" i="35"/>
  <c r="H19" i="35"/>
  <c r="G19" i="35"/>
  <c r="I18" i="35"/>
  <c r="H18" i="35"/>
  <c r="G18" i="35"/>
  <c r="I15" i="35"/>
  <c r="H15" i="35"/>
  <c r="G15" i="35"/>
  <c r="I14" i="35"/>
  <c r="H14" i="35"/>
  <c r="G14" i="35"/>
  <c r="I11" i="35"/>
  <c r="H11" i="35"/>
  <c r="G11" i="35"/>
  <c r="I10" i="35"/>
  <c r="H10" i="35"/>
  <c r="G10" i="35"/>
  <c r="I9" i="35"/>
  <c r="H9" i="35"/>
  <c r="G9" i="35"/>
  <c r="I8" i="35"/>
  <c r="H8" i="35"/>
  <c r="G8" i="35"/>
  <c r="I7" i="35"/>
  <c r="H7" i="35"/>
  <c r="G7" i="35"/>
  <c r="I6" i="35"/>
  <c r="H6" i="35"/>
  <c r="G6" i="35"/>
  <c r="I5" i="35"/>
  <c r="H5" i="35"/>
  <c r="G5" i="35"/>
  <c r="H4" i="35"/>
  <c r="I4" i="35"/>
  <c r="G4" i="35"/>
  <c r="T47" i="37" l="1"/>
  <c r="V130" i="37"/>
  <c r="V135" i="37"/>
  <c r="Y48" i="37"/>
  <c r="X48" i="37"/>
  <c r="W48" i="37"/>
  <c r="T48" i="37" s="1"/>
  <c r="U49" i="37"/>
  <c r="V137" i="37"/>
  <c r="AG6" i="46"/>
  <c r="AG18" i="46"/>
  <c r="AG19" i="46"/>
  <c r="AG20" i="46"/>
  <c r="X38" i="25"/>
  <c r="I39" i="5"/>
  <c r="K39" i="5" s="1"/>
  <c r="J39" i="5"/>
  <c r="L39" i="5" s="1"/>
  <c r="AD33" i="46"/>
  <c r="AF33" i="46" s="1"/>
  <c r="AG21" i="46"/>
  <c r="AG9" i="46"/>
  <c r="AG11" i="46"/>
  <c r="AG10" i="46"/>
  <c r="AG12" i="46"/>
  <c r="AG13" i="46"/>
  <c r="AG17" i="46"/>
  <c r="AG22" i="46"/>
  <c r="AG26" i="46"/>
  <c r="AG28" i="46"/>
  <c r="AG14" i="46"/>
  <c r="AG29" i="46"/>
  <c r="AG24" i="46"/>
  <c r="AG23" i="46"/>
  <c r="AG16" i="46"/>
  <c r="AG30" i="46"/>
  <c r="AG15" i="46"/>
  <c r="AG27" i="46"/>
  <c r="AG25" i="46"/>
  <c r="C7" i="26"/>
  <c r="AM5" i="26" s="1"/>
  <c r="C37" i="7"/>
  <c r="C47" i="7" s="1"/>
  <c r="H47" i="7" s="1"/>
  <c r="F4" i="5"/>
  <c r="I19" i="6" s="1"/>
  <c r="F5" i="5"/>
  <c r="F6" i="5"/>
  <c r="F7" i="5"/>
  <c r="F8" i="5"/>
  <c r="F9" i="5"/>
  <c r="I24" i="6" s="1"/>
  <c r="F10" i="5"/>
  <c r="C98" i="1" s="1"/>
  <c r="F11" i="5"/>
  <c r="I26" i="6" s="1"/>
  <c r="F12" i="5"/>
  <c r="F13" i="5"/>
  <c r="H15" i="2"/>
  <c r="C25" i="2"/>
  <c r="CB4" i="5"/>
  <c r="CC4" i="5"/>
  <c r="E72" i="1"/>
  <c r="F72" i="1"/>
  <c r="E73" i="1"/>
  <c r="I4" i="5"/>
  <c r="V4" i="5" s="1"/>
  <c r="AC4" i="5" s="1"/>
  <c r="I5" i="5"/>
  <c r="W5" i="5" s="1"/>
  <c r="AD5" i="5" s="1"/>
  <c r="I6" i="5"/>
  <c r="I7" i="5"/>
  <c r="I8" i="5"/>
  <c r="I9" i="5"/>
  <c r="I10" i="5"/>
  <c r="I11" i="5"/>
  <c r="I12" i="5"/>
  <c r="I13" i="5"/>
  <c r="E74" i="1"/>
  <c r="E75" i="1"/>
  <c r="E76" i="1"/>
  <c r="E78" i="1"/>
  <c r="E79" i="1"/>
  <c r="F79" i="1" s="1"/>
  <c r="F14" i="5"/>
  <c r="F15" i="5"/>
  <c r="F16" i="5"/>
  <c r="I31" i="6" s="1"/>
  <c r="F17" i="5"/>
  <c r="F18" i="5"/>
  <c r="F19" i="5"/>
  <c r="F20" i="5"/>
  <c r="F21" i="5"/>
  <c r="F22" i="5"/>
  <c r="F23" i="5"/>
  <c r="R23" i="5" s="1"/>
  <c r="Y23" i="5" s="1"/>
  <c r="E80" i="1"/>
  <c r="I14" i="5"/>
  <c r="I15" i="5"/>
  <c r="I16" i="5"/>
  <c r="I17" i="5"/>
  <c r="I18" i="5"/>
  <c r="I19" i="5"/>
  <c r="I20" i="5"/>
  <c r="I21" i="5"/>
  <c r="I22" i="5"/>
  <c r="I23" i="5"/>
  <c r="E81" i="1"/>
  <c r="E82" i="1"/>
  <c r="F82" i="1" s="1"/>
  <c r="G82" i="1" s="1"/>
  <c r="H82" i="1" s="1"/>
  <c r="E83" i="1"/>
  <c r="E84" i="1"/>
  <c r="E85" i="1"/>
  <c r="E86" i="1"/>
  <c r="F86" i="1" s="1"/>
  <c r="F24" i="5"/>
  <c r="F25" i="5"/>
  <c r="F26" i="5"/>
  <c r="I41" i="6" s="1"/>
  <c r="F27" i="5"/>
  <c r="F28" i="5"/>
  <c r="F29" i="5"/>
  <c r="F30" i="5"/>
  <c r="X30" i="5" s="1"/>
  <c r="AE30" i="5" s="1"/>
  <c r="F31" i="5"/>
  <c r="S31" i="5" s="1"/>
  <c r="Z31" i="5" s="1"/>
  <c r="F32" i="5"/>
  <c r="F33" i="5"/>
  <c r="E87" i="1"/>
  <c r="I24" i="5"/>
  <c r="I25" i="5"/>
  <c r="I26" i="5"/>
  <c r="I27" i="5"/>
  <c r="I28" i="5"/>
  <c r="I29" i="5"/>
  <c r="I30" i="5"/>
  <c r="I31" i="5"/>
  <c r="I32" i="5"/>
  <c r="S32" i="5" s="1"/>
  <c r="Z32" i="5" s="1"/>
  <c r="I33" i="5"/>
  <c r="E88" i="1"/>
  <c r="E89" i="1"/>
  <c r="E90" i="1"/>
  <c r="E91" i="1"/>
  <c r="E92" i="1"/>
  <c r="P25" i="2"/>
  <c r="Q25" i="2"/>
  <c r="AI10" i="5"/>
  <c r="CA28" i="5" s="1"/>
  <c r="AI11" i="5"/>
  <c r="CR5" i="5" s="1"/>
  <c r="CU5" i="5" s="1"/>
  <c r="CA29" i="5"/>
  <c r="AI12" i="5"/>
  <c r="AU5" i="5"/>
  <c r="AV5" i="5"/>
  <c r="J92" i="7" s="1"/>
  <c r="H92" i="7"/>
  <c r="K92" i="7"/>
  <c r="I92" i="7"/>
  <c r="T19" i="6"/>
  <c r="E37" i="7"/>
  <c r="E47" i="7" s="1"/>
  <c r="E13" i="7"/>
  <c r="K13" i="7" s="1"/>
  <c r="AL5" i="7"/>
  <c r="AL6" i="7"/>
  <c r="AL7" i="7"/>
  <c r="D15" i="7"/>
  <c r="F15" i="7" s="1"/>
  <c r="D17" i="7"/>
  <c r="F17" i="7" s="1"/>
  <c r="D19" i="7"/>
  <c r="F19" i="7" s="1"/>
  <c r="AD37" i="7" s="1"/>
  <c r="P14" i="7"/>
  <c r="B86" i="6"/>
  <c r="I20" i="6"/>
  <c r="D53" i="6"/>
  <c r="E53" i="6" s="1"/>
  <c r="F53" i="6"/>
  <c r="B53" i="6"/>
  <c r="T20" i="6"/>
  <c r="L53" i="6" s="1"/>
  <c r="H53" i="6"/>
  <c r="AL9" i="7"/>
  <c r="C8" i="26"/>
  <c r="AD6" i="26" s="1"/>
  <c r="P15" i="7"/>
  <c r="AD5" i="7"/>
  <c r="AD6" i="7"/>
  <c r="C36" i="7"/>
  <c r="C46" i="7" s="1"/>
  <c r="B87" i="6"/>
  <c r="I21" i="6"/>
  <c r="AU4" i="5"/>
  <c r="AV4" i="5" s="1"/>
  <c r="J91" i="7" s="1"/>
  <c r="H91" i="7"/>
  <c r="K91" i="7"/>
  <c r="I91" i="7"/>
  <c r="D54" i="6"/>
  <c r="E54" i="6" s="1"/>
  <c r="G54" i="6" s="1"/>
  <c r="F54" i="6"/>
  <c r="B54" i="6"/>
  <c r="T21" i="6"/>
  <c r="L54" i="6" s="1"/>
  <c r="B88" i="6"/>
  <c r="D55" i="6"/>
  <c r="E55" i="6"/>
  <c r="G55" i="6" s="1"/>
  <c r="B55" i="6"/>
  <c r="T22" i="6"/>
  <c r="L55" i="6"/>
  <c r="H55" i="6"/>
  <c r="J55" i="6" s="1"/>
  <c r="B89" i="6"/>
  <c r="F89" i="6" s="1"/>
  <c r="I23" i="6"/>
  <c r="D56" i="6"/>
  <c r="E56" i="6" s="1"/>
  <c r="G56" i="6" s="1"/>
  <c r="B56" i="6"/>
  <c r="T23" i="6"/>
  <c r="L56" i="6" s="1"/>
  <c r="J56" i="6"/>
  <c r="H56" i="6"/>
  <c r="B90" i="6"/>
  <c r="F90" i="6" s="1"/>
  <c r="F11" i="6"/>
  <c r="D57" i="6"/>
  <c r="H57" i="6"/>
  <c r="J57" i="6" s="1"/>
  <c r="E57" i="6"/>
  <c r="G57" i="6" s="1"/>
  <c r="V57" i="6" s="1"/>
  <c r="B91" i="6"/>
  <c r="F91" i="6" s="1"/>
  <c r="D58" i="6"/>
  <c r="E58" i="6"/>
  <c r="G58" i="6"/>
  <c r="B58" i="6"/>
  <c r="L58" i="6" s="1"/>
  <c r="T25" i="6"/>
  <c r="H58" i="6"/>
  <c r="J58" i="6" s="1"/>
  <c r="B92" i="6"/>
  <c r="D59" i="6"/>
  <c r="E59" i="6" s="1"/>
  <c r="G59" i="6" s="1"/>
  <c r="V59" i="6" s="1"/>
  <c r="B93" i="6"/>
  <c r="I27" i="6"/>
  <c r="D27" i="6"/>
  <c r="I12" i="32" s="1"/>
  <c r="D60" i="6"/>
  <c r="F60" i="6"/>
  <c r="B60" i="6"/>
  <c r="T27" i="6"/>
  <c r="B94" i="6"/>
  <c r="I28" i="6"/>
  <c r="D61" i="6"/>
  <c r="B95" i="6"/>
  <c r="I29" i="6"/>
  <c r="CB29" i="5"/>
  <c r="CE29" i="5" s="1"/>
  <c r="CD29" i="5"/>
  <c r="CF29" i="5"/>
  <c r="AU8" i="5"/>
  <c r="AV8" i="5"/>
  <c r="J94" i="7" s="1"/>
  <c r="H94" i="7"/>
  <c r="K94" i="7"/>
  <c r="H17" i="2"/>
  <c r="G94" i="7" s="1"/>
  <c r="I94" i="7"/>
  <c r="D62" i="6"/>
  <c r="J62" i="6" s="1"/>
  <c r="B62" i="6"/>
  <c r="L62" i="6" s="1"/>
  <c r="T29" i="6"/>
  <c r="H62" i="6"/>
  <c r="I30" i="6"/>
  <c r="T30" i="6"/>
  <c r="H11" i="6"/>
  <c r="B98" i="6"/>
  <c r="I32" i="6"/>
  <c r="D65" i="6"/>
  <c r="E65" i="6" s="1"/>
  <c r="G65" i="6" s="1"/>
  <c r="B65" i="6"/>
  <c r="T32" i="6"/>
  <c r="I33" i="6"/>
  <c r="I34" i="6"/>
  <c r="I35" i="6"/>
  <c r="D35" i="6"/>
  <c r="AR35" i="6" s="1"/>
  <c r="T35" i="6"/>
  <c r="I36" i="6"/>
  <c r="D36" i="6"/>
  <c r="I37" i="6"/>
  <c r="D37" i="6"/>
  <c r="D38" i="6"/>
  <c r="I39" i="6"/>
  <c r="D39" i="6"/>
  <c r="CB30" i="5"/>
  <c r="CC30" i="5" s="1"/>
  <c r="CE30" i="5"/>
  <c r="CF30" i="5"/>
  <c r="AU10" i="5"/>
  <c r="AV10" i="5"/>
  <c r="J96" i="7" s="1"/>
  <c r="H96" i="7"/>
  <c r="K96" i="7"/>
  <c r="H19" i="2"/>
  <c r="G96" i="7" s="1"/>
  <c r="I96" i="7"/>
  <c r="I40" i="6"/>
  <c r="D40" i="6"/>
  <c r="D41" i="6"/>
  <c r="J11" i="6"/>
  <c r="F20" i="2"/>
  <c r="J20" i="2" s="1"/>
  <c r="B108" i="6"/>
  <c r="F108" i="6" s="1"/>
  <c r="I42" i="6"/>
  <c r="D42" i="6"/>
  <c r="D75" i="6"/>
  <c r="E75" i="6" s="1"/>
  <c r="G75" i="6" s="1"/>
  <c r="V75" i="6" s="1"/>
  <c r="I43" i="6"/>
  <c r="D43" i="6"/>
  <c r="B110" i="6"/>
  <c r="I44" i="6"/>
  <c r="D44" i="6"/>
  <c r="I45" i="6"/>
  <c r="I46" i="6"/>
  <c r="B113" i="6"/>
  <c r="I47" i="6"/>
  <c r="D47" i="6"/>
  <c r="B114" i="6"/>
  <c r="I48" i="6"/>
  <c r="C24" i="2"/>
  <c r="E36" i="7"/>
  <c r="E46" i="7" s="1"/>
  <c r="AD7" i="7"/>
  <c r="AD9" i="7"/>
  <c r="AD10" i="7"/>
  <c r="AD12" i="7"/>
  <c r="AD13" i="7"/>
  <c r="AD20" i="7"/>
  <c r="AD21" i="7"/>
  <c r="AD22" i="7"/>
  <c r="AD23" i="7"/>
  <c r="AD24" i="7"/>
  <c r="AD25" i="7"/>
  <c r="AD26" i="7"/>
  <c r="AD27" i="7"/>
  <c r="C9" i="26"/>
  <c r="C10" i="26"/>
  <c r="AD8" i="26" s="1"/>
  <c r="AL10" i="7"/>
  <c r="AL12" i="7"/>
  <c r="AL13" i="7"/>
  <c r="C11" i="26"/>
  <c r="AM9" i="26" s="1"/>
  <c r="AT5" i="7"/>
  <c r="AT6" i="7"/>
  <c r="AT7" i="7"/>
  <c r="AT9" i="7"/>
  <c r="C38" i="7"/>
  <c r="C48" i="7" s="1"/>
  <c r="C26" i="2"/>
  <c r="D26" i="2"/>
  <c r="G6" i="2"/>
  <c r="P26" i="2"/>
  <c r="Q26" i="2"/>
  <c r="H42" i="2"/>
  <c r="E38" i="7" s="1"/>
  <c r="F48" i="7" s="1"/>
  <c r="AT10" i="7"/>
  <c r="AT12" i="7"/>
  <c r="AT13" i="7"/>
  <c r="AT20" i="7"/>
  <c r="AT21" i="7"/>
  <c r="AT22" i="7"/>
  <c r="AT23" i="7"/>
  <c r="AT24" i="7"/>
  <c r="AT25" i="7"/>
  <c r="AT26" i="7"/>
  <c r="AT27" i="7"/>
  <c r="C12" i="26"/>
  <c r="AD10" i="26" s="1"/>
  <c r="C13" i="26"/>
  <c r="AM11" i="26" s="1"/>
  <c r="P20" i="7"/>
  <c r="C14" i="26"/>
  <c r="AD12" i="26" s="1"/>
  <c r="P21" i="7"/>
  <c r="C15" i="26"/>
  <c r="AD13" i="26" s="1"/>
  <c r="P22" i="7"/>
  <c r="C16" i="26"/>
  <c r="AM14" i="26" s="1"/>
  <c r="C27" i="2"/>
  <c r="CB5" i="5"/>
  <c r="CC5" i="5" s="1"/>
  <c r="C28" i="2"/>
  <c r="C29" i="2"/>
  <c r="CB6" i="5"/>
  <c r="CC6" i="5"/>
  <c r="C30" i="2"/>
  <c r="P27" i="2"/>
  <c r="P28" i="2"/>
  <c r="P29" i="2"/>
  <c r="P30" i="2"/>
  <c r="Q27" i="2"/>
  <c r="H43" i="2"/>
  <c r="E39" i="7" s="1"/>
  <c r="F49" i="7" s="1"/>
  <c r="BB5" i="7"/>
  <c r="BB6" i="7"/>
  <c r="BB7" i="7"/>
  <c r="BB9" i="7"/>
  <c r="BJ5" i="7"/>
  <c r="BJ6" i="7"/>
  <c r="Q28" i="2"/>
  <c r="H44" i="2"/>
  <c r="E40" i="7" s="1"/>
  <c r="E50" i="7" s="1"/>
  <c r="BJ7" i="7"/>
  <c r="BJ9" i="7"/>
  <c r="BJ10" i="7"/>
  <c r="BJ12" i="7"/>
  <c r="BJ13" i="7"/>
  <c r="BJ20" i="7"/>
  <c r="BJ21" i="7"/>
  <c r="BJ22" i="7"/>
  <c r="BJ23" i="7"/>
  <c r="BJ24" i="7"/>
  <c r="BJ25" i="7"/>
  <c r="BJ26" i="7"/>
  <c r="BJ27" i="7"/>
  <c r="C19" i="26"/>
  <c r="AD17" i="26" s="1"/>
  <c r="BB10" i="7"/>
  <c r="BB12" i="7"/>
  <c r="BB13" i="7"/>
  <c r="BB20" i="7"/>
  <c r="Q29" i="2"/>
  <c r="Q30" i="2"/>
  <c r="H45" i="2"/>
  <c r="E41" i="7" s="1"/>
  <c r="E51" i="7" s="1"/>
  <c r="F36" i="2"/>
  <c r="BR5" i="7"/>
  <c r="BR6" i="7"/>
  <c r="BR7" i="7"/>
  <c r="BR9" i="7"/>
  <c r="BZ5" i="7"/>
  <c r="BZ6" i="7"/>
  <c r="H46" i="2"/>
  <c r="E42" i="7" s="1"/>
  <c r="E52" i="7" s="1"/>
  <c r="BZ7" i="7"/>
  <c r="BZ9" i="7"/>
  <c r="BZ10" i="7"/>
  <c r="BZ12" i="7"/>
  <c r="BZ13" i="7"/>
  <c r="BZ20" i="7"/>
  <c r="BZ21" i="7"/>
  <c r="BZ22" i="7"/>
  <c r="BZ23" i="7"/>
  <c r="BZ24" i="7"/>
  <c r="BZ25" i="7"/>
  <c r="BZ26" i="7"/>
  <c r="BZ27" i="7"/>
  <c r="C29" i="26"/>
  <c r="C31" i="26"/>
  <c r="AD29" i="26" s="1"/>
  <c r="BR10" i="7"/>
  <c r="BR12" i="7"/>
  <c r="BR13" i="7"/>
  <c r="BR20" i="7"/>
  <c r="BR21" i="7"/>
  <c r="BR22" i="7"/>
  <c r="C34" i="26"/>
  <c r="AD32" i="26" s="1"/>
  <c r="C35" i="26"/>
  <c r="AD33" i="26" s="1"/>
  <c r="C50" i="9"/>
  <c r="E50" i="9"/>
  <c r="D50" i="9"/>
  <c r="E5" i="26"/>
  <c r="E6" i="26"/>
  <c r="F4" i="26"/>
  <c r="D4" i="34" s="1"/>
  <c r="F5" i="26"/>
  <c r="D5" i="34" s="1"/>
  <c r="F6" i="26"/>
  <c r="D6" i="34" s="1"/>
  <c r="F7" i="26"/>
  <c r="D7" i="34" s="1"/>
  <c r="F8" i="26"/>
  <c r="D8" i="34" s="1"/>
  <c r="F9" i="26"/>
  <c r="D9" i="34" s="1"/>
  <c r="F10" i="26"/>
  <c r="D10" i="34" s="1"/>
  <c r="E11" i="26"/>
  <c r="F11" i="26"/>
  <c r="D11" i="34" s="1"/>
  <c r="E12" i="26"/>
  <c r="F12" i="26"/>
  <c r="D12" i="34" s="1"/>
  <c r="E13" i="26"/>
  <c r="S22" i="7"/>
  <c r="E14" i="26"/>
  <c r="F14" i="26"/>
  <c r="D14" i="34" s="1"/>
  <c r="E15" i="26"/>
  <c r="F15" i="26"/>
  <c r="D15" i="34" s="1"/>
  <c r="C12" i="23"/>
  <c r="R19" i="6"/>
  <c r="F86" i="6"/>
  <c r="AD20" i="6"/>
  <c r="R20" i="6"/>
  <c r="O53" i="6" s="1"/>
  <c r="F87" i="6"/>
  <c r="AD21" i="6"/>
  <c r="AT4" i="5"/>
  <c r="R21" i="6"/>
  <c r="O54" i="6" s="1"/>
  <c r="F88" i="6"/>
  <c r="AD22" i="6"/>
  <c r="R22" i="6"/>
  <c r="O55" i="6"/>
  <c r="AM8" i="26"/>
  <c r="AD23" i="6"/>
  <c r="R23" i="6"/>
  <c r="O56" i="6" s="1"/>
  <c r="AD24" i="6"/>
  <c r="B57" i="6"/>
  <c r="T24" i="6"/>
  <c r="R24" i="6"/>
  <c r="AD25" i="6"/>
  <c r="R25" i="6"/>
  <c r="O58" i="6" s="1"/>
  <c r="F92" i="6"/>
  <c r="AD26" i="6"/>
  <c r="B59" i="6"/>
  <c r="T26" i="6"/>
  <c r="L59" i="6" s="1"/>
  <c r="R26" i="6"/>
  <c r="O59" i="6" s="1"/>
  <c r="F93" i="6"/>
  <c r="AD27" i="6"/>
  <c r="AA12" i="23"/>
  <c r="R12" i="23"/>
  <c r="R27" i="6"/>
  <c r="O60" i="6" s="1"/>
  <c r="F94" i="6"/>
  <c r="AD28" i="6"/>
  <c r="B61" i="6"/>
  <c r="T28" i="6"/>
  <c r="L61" i="6" s="1"/>
  <c r="R28" i="6"/>
  <c r="F95" i="6"/>
  <c r="AD29" i="6"/>
  <c r="CA23" i="5"/>
  <c r="AH37" i="6" s="1"/>
  <c r="AT8" i="5"/>
  <c r="R29" i="6"/>
  <c r="O62" i="6" s="1"/>
  <c r="R30" i="6"/>
  <c r="T31" i="6"/>
  <c r="R31" i="6"/>
  <c r="F98" i="6"/>
  <c r="AD32" i="6"/>
  <c r="R32" i="6"/>
  <c r="O65" i="6" s="1"/>
  <c r="T33" i="6"/>
  <c r="R33" i="6"/>
  <c r="T34" i="6"/>
  <c r="R34" i="6"/>
  <c r="AA20" i="23"/>
  <c r="AK20" i="23"/>
  <c r="R20" i="23"/>
  <c r="R35" i="6"/>
  <c r="AA21" i="23"/>
  <c r="AK21" i="23" s="1"/>
  <c r="R21" i="23"/>
  <c r="T36" i="6"/>
  <c r="R36" i="6"/>
  <c r="AA22" i="23"/>
  <c r="AK22" i="23" s="1"/>
  <c r="R22" i="23"/>
  <c r="T37" i="6"/>
  <c r="R37" i="6"/>
  <c r="AA23" i="23"/>
  <c r="AK23" i="23" s="1"/>
  <c r="R23" i="23"/>
  <c r="T38" i="6"/>
  <c r="R38" i="6"/>
  <c r="CA24" i="5"/>
  <c r="AH39" i="6" s="1"/>
  <c r="AA24" i="23"/>
  <c r="AK24" i="23" s="1"/>
  <c r="R24" i="23"/>
  <c r="T39" i="6"/>
  <c r="AT10" i="5"/>
  <c r="R39" i="6"/>
  <c r="AH40" i="6"/>
  <c r="AA25" i="23"/>
  <c r="AK25" i="23" s="1"/>
  <c r="R25" i="23"/>
  <c r="T40" i="6"/>
  <c r="R40" i="6"/>
  <c r="AA26" i="23"/>
  <c r="AK26" i="23"/>
  <c r="R26" i="23"/>
  <c r="T41" i="6"/>
  <c r="AT9" i="5"/>
  <c r="R41" i="6"/>
  <c r="AD42" i="6"/>
  <c r="AA27" i="23"/>
  <c r="AK27" i="23" s="1"/>
  <c r="B75" i="6"/>
  <c r="R27" i="23"/>
  <c r="T42" i="6"/>
  <c r="L75" i="6"/>
  <c r="R42" i="6"/>
  <c r="O75" i="6"/>
  <c r="AA28" i="23"/>
  <c r="AK28" i="23"/>
  <c r="R28" i="23"/>
  <c r="T43" i="6"/>
  <c r="R43" i="6"/>
  <c r="F110" i="6"/>
  <c r="AA29" i="23"/>
  <c r="B77" i="6"/>
  <c r="AK29" i="23"/>
  <c r="R29" i="23"/>
  <c r="T44" i="6"/>
  <c r="R44" i="6"/>
  <c r="T45" i="6"/>
  <c r="R45" i="6"/>
  <c r="T46" i="6"/>
  <c r="R46" i="6"/>
  <c r="F113" i="6"/>
  <c r="M113" i="6" s="1"/>
  <c r="AM32" i="26"/>
  <c r="AA32" i="23"/>
  <c r="B80" i="6"/>
  <c r="L80" i="6" s="1"/>
  <c r="AK32" i="23"/>
  <c r="R32" i="23"/>
  <c r="T47" i="6"/>
  <c r="R47" i="6"/>
  <c r="F114" i="6"/>
  <c r="AA33" i="23"/>
  <c r="B81" i="6"/>
  <c r="AK33" i="23"/>
  <c r="R33" i="23"/>
  <c r="T48" i="6"/>
  <c r="R48" i="6"/>
  <c r="C60" i="9"/>
  <c r="E60" i="9"/>
  <c r="D60" i="9"/>
  <c r="C70" i="9"/>
  <c r="E70" i="9"/>
  <c r="D70" i="9"/>
  <c r="B5" i="24"/>
  <c r="BO8" i="26"/>
  <c r="BQ8" i="26" s="1"/>
  <c r="BO10" i="26"/>
  <c r="BQ10" i="26" s="1"/>
  <c r="BO11" i="26"/>
  <c r="BQ11" i="26" s="1"/>
  <c r="BO32" i="26"/>
  <c r="BQ32" i="26" s="1"/>
  <c r="B6" i="24"/>
  <c r="R6" i="24" s="1"/>
  <c r="B7" i="24"/>
  <c r="W7" i="24" s="1"/>
  <c r="B8" i="24"/>
  <c r="W8" i="24" s="1"/>
  <c r="B9" i="24"/>
  <c r="V9" i="24" s="1"/>
  <c r="H19" i="6"/>
  <c r="AJ16" i="5"/>
  <c r="BB4" i="5"/>
  <c r="BC4" i="5" s="1"/>
  <c r="BB5" i="5"/>
  <c r="BC5" i="5"/>
  <c r="BA15" i="5" s="1"/>
  <c r="BB15" i="5" s="1"/>
  <c r="BB6" i="5"/>
  <c r="BC6" i="5" s="1"/>
  <c r="BA16" i="5" s="1"/>
  <c r="BB7" i="5"/>
  <c r="BC7" i="5" s="1"/>
  <c r="BB8" i="5"/>
  <c r="BC8" i="5" s="1"/>
  <c r="BB9" i="5"/>
  <c r="BC9" i="5" s="1"/>
  <c r="BE9" i="5" s="1"/>
  <c r="BA39" i="5" s="1"/>
  <c r="BB10" i="5"/>
  <c r="BC10" i="5"/>
  <c r="BA20" i="5" s="1"/>
  <c r="AO19" i="6"/>
  <c r="AJ10" i="5"/>
  <c r="AT27" i="6" s="1"/>
  <c r="AK10" i="5"/>
  <c r="H20" i="6"/>
  <c r="AO20" i="6"/>
  <c r="G6" i="24"/>
  <c r="H6" i="24" s="1"/>
  <c r="H21" i="6"/>
  <c r="V6" i="24"/>
  <c r="AO21" i="6"/>
  <c r="BN6" i="24"/>
  <c r="BO6" i="24" s="1"/>
  <c r="H22" i="6"/>
  <c r="AO22" i="6"/>
  <c r="K55" i="6"/>
  <c r="H23" i="6"/>
  <c r="AO23" i="6"/>
  <c r="H24" i="6"/>
  <c r="J9" i="24" s="1"/>
  <c r="AO24" i="6"/>
  <c r="K57" i="6"/>
  <c r="B10" i="24"/>
  <c r="C10" i="24" s="1"/>
  <c r="H25" i="6"/>
  <c r="AO25" i="6"/>
  <c r="K58" i="6"/>
  <c r="B11" i="24"/>
  <c r="C11" i="24"/>
  <c r="G11" i="24"/>
  <c r="H11" i="24" s="1"/>
  <c r="H26" i="6"/>
  <c r="V11" i="24"/>
  <c r="W11" i="24"/>
  <c r="AO26" i="6"/>
  <c r="B12" i="24"/>
  <c r="D12" i="24"/>
  <c r="G27" i="6"/>
  <c r="H27" i="6"/>
  <c r="AS27" i="6"/>
  <c r="V27" i="6"/>
  <c r="AO27" i="6"/>
  <c r="B13" i="24"/>
  <c r="G13" i="24" s="1"/>
  <c r="AY13" i="24" s="1"/>
  <c r="H28" i="6"/>
  <c r="W13" i="24"/>
  <c r="AO28" i="6"/>
  <c r="B14" i="24"/>
  <c r="H29" i="6"/>
  <c r="AJ17" i="5"/>
  <c r="BD5" i="5"/>
  <c r="BA25" i="5" s="1"/>
  <c r="BB25" i="5" s="1"/>
  <c r="BD6" i="5"/>
  <c r="BA26" i="5"/>
  <c r="BD10" i="5"/>
  <c r="BA30" i="5" s="1"/>
  <c r="CC17" i="5"/>
  <c r="CD23" i="5" s="1"/>
  <c r="AI36" i="6" s="1"/>
  <c r="CD11" i="5"/>
  <c r="CC23" i="5" s="1"/>
  <c r="AO29" i="6"/>
  <c r="AJ11" i="5"/>
  <c r="AK11" i="5"/>
  <c r="AU36" i="6" s="1"/>
  <c r="H30" i="6"/>
  <c r="AO30" i="6"/>
  <c r="H31" i="6"/>
  <c r="AO31" i="6"/>
  <c r="B17" i="24"/>
  <c r="G17" i="24" s="1"/>
  <c r="H17" i="24" s="1"/>
  <c r="H32" i="6"/>
  <c r="AO32" i="6"/>
  <c r="H33" i="6"/>
  <c r="AO33" i="6"/>
  <c r="AO34" i="6"/>
  <c r="D20" i="24"/>
  <c r="G35" i="6"/>
  <c r="H35" i="6"/>
  <c r="AQ35" i="6"/>
  <c r="AO35" i="6"/>
  <c r="D21" i="24"/>
  <c r="BP21" i="24" s="1"/>
  <c r="G36" i="6"/>
  <c r="H36" i="6"/>
  <c r="AQ36" i="6"/>
  <c r="AR36" i="6"/>
  <c r="AS36" i="6"/>
  <c r="V36" i="6"/>
  <c r="AO36" i="6"/>
  <c r="AT36" i="6"/>
  <c r="D22" i="24"/>
  <c r="BP22" i="24" s="1"/>
  <c r="G37" i="6"/>
  <c r="H37" i="6"/>
  <c r="AQ37" i="6"/>
  <c r="AR37" i="6"/>
  <c r="AS37" i="6"/>
  <c r="V37" i="6"/>
  <c r="AO37" i="6"/>
  <c r="AU37" i="6"/>
  <c r="D23" i="24"/>
  <c r="G38" i="6"/>
  <c r="H38" i="6"/>
  <c r="AQ38" i="6"/>
  <c r="AR38" i="6"/>
  <c r="AS38" i="6"/>
  <c r="V38" i="6"/>
  <c r="AO38" i="6"/>
  <c r="AT38" i="6"/>
  <c r="AU38" i="6"/>
  <c r="D24" i="24"/>
  <c r="G39" i="6"/>
  <c r="H39" i="6"/>
  <c r="AJ18" i="5"/>
  <c r="BE6" i="5"/>
  <c r="BA36" i="5" s="1"/>
  <c r="CI24" i="5"/>
  <c r="CK24" i="5" s="1"/>
  <c r="AL47" i="6" s="1"/>
  <c r="M32" i="24" s="1"/>
  <c r="CD18" i="5"/>
  <c r="CL24" i="5"/>
  <c r="CN24" i="5" s="1"/>
  <c r="AQ39" i="6"/>
  <c r="AR39" i="6"/>
  <c r="AS39" i="6"/>
  <c r="V39" i="6"/>
  <c r="CC18" i="5"/>
  <c r="CF18" i="5" s="1"/>
  <c r="CF24" i="5" s="1"/>
  <c r="AK44" i="6" s="1"/>
  <c r="CD24" i="5"/>
  <c r="AI44" i="6" s="1"/>
  <c r="K110" i="6" s="1"/>
  <c r="CD12" i="5"/>
  <c r="CC24" i="5" s="1"/>
  <c r="AJ43" i="6" s="1"/>
  <c r="AO39" i="6"/>
  <c r="AJ12" i="5"/>
  <c r="AT40" i="6" s="1"/>
  <c r="AK12" i="5"/>
  <c r="AU43" i="6" s="1"/>
  <c r="AU39" i="6"/>
  <c r="D25" i="24"/>
  <c r="G40" i="6"/>
  <c r="H40" i="6"/>
  <c r="AQ40" i="6"/>
  <c r="AR40" i="6"/>
  <c r="AS40" i="6"/>
  <c r="V40" i="6"/>
  <c r="AI40" i="6"/>
  <c r="AK40" i="6"/>
  <c r="AO40" i="6"/>
  <c r="D26" i="24"/>
  <c r="G41" i="6"/>
  <c r="H41" i="6"/>
  <c r="AQ41" i="6"/>
  <c r="AR41" i="6"/>
  <c r="AS41" i="6"/>
  <c r="V41" i="6"/>
  <c r="AO41" i="6"/>
  <c r="AT41" i="6"/>
  <c r="B27" i="24"/>
  <c r="D27" i="24"/>
  <c r="G42" i="6"/>
  <c r="H42" i="6"/>
  <c r="AQ42" i="6"/>
  <c r="AR42" i="6"/>
  <c r="AS42" i="6"/>
  <c r="R27" i="24"/>
  <c r="V42" i="6"/>
  <c r="X27" i="24"/>
  <c r="AK42" i="6"/>
  <c r="AO42" i="6"/>
  <c r="D28" i="24"/>
  <c r="G43" i="6"/>
  <c r="H43" i="6"/>
  <c r="AQ43" i="6"/>
  <c r="AR43" i="6"/>
  <c r="AS43" i="6"/>
  <c r="V43" i="6"/>
  <c r="AO43" i="6"/>
  <c r="B29" i="24"/>
  <c r="BN29" i="24" s="1"/>
  <c r="BO29" i="24" s="1"/>
  <c r="D29" i="24"/>
  <c r="BP29" i="24" s="1"/>
  <c r="G44" i="6"/>
  <c r="H44" i="6"/>
  <c r="AQ44" i="6"/>
  <c r="AR44" i="6"/>
  <c r="AS44" i="6"/>
  <c r="V44" i="6"/>
  <c r="AO44" i="6"/>
  <c r="H45" i="6"/>
  <c r="AO45" i="6"/>
  <c r="AO46" i="6"/>
  <c r="B32" i="24"/>
  <c r="G32" i="24" s="1"/>
  <c r="H32" i="24" s="1"/>
  <c r="C32" i="24"/>
  <c r="D32" i="24"/>
  <c r="E32" i="24"/>
  <c r="F32" i="24"/>
  <c r="G47" i="6"/>
  <c r="H47" i="6"/>
  <c r="AQ47" i="6"/>
  <c r="AR47" i="6"/>
  <c r="AS47" i="6"/>
  <c r="Q32" i="24"/>
  <c r="R32" i="24"/>
  <c r="V47" i="6"/>
  <c r="X32" i="24" s="1"/>
  <c r="AK47" i="6"/>
  <c r="AD32" i="24" s="1"/>
  <c r="AO47" i="6"/>
  <c r="BN32" i="24"/>
  <c r="BO32" i="24" s="1"/>
  <c r="B33" i="24"/>
  <c r="C33" i="24" s="1"/>
  <c r="R33" i="24"/>
  <c r="W33" i="24"/>
  <c r="AO48" i="6"/>
  <c r="BN33" i="24"/>
  <c r="BO33" i="24" s="1"/>
  <c r="B29" i="9"/>
  <c r="B28" i="9"/>
  <c r="C28" i="9"/>
  <c r="C41" i="9"/>
  <c r="E41" i="9"/>
  <c r="D41" i="9"/>
  <c r="C51" i="9"/>
  <c r="E51" i="9"/>
  <c r="D51" i="9"/>
  <c r="C61" i="9"/>
  <c r="E61" i="9"/>
  <c r="D61" i="9"/>
  <c r="B27" i="9"/>
  <c r="C27" i="9" s="1"/>
  <c r="B37" i="9"/>
  <c r="C37" i="9" s="1"/>
  <c r="B16" i="9"/>
  <c r="C16" i="9" s="1"/>
  <c r="B26" i="9"/>
  <c r="C26" i="9" s="1"/>
  <c r="B36" i="9"/>
  <c r="C36" i="9" s="1"/>
  <c r="C49" i="9"/>
  <c r="E49" i="9"/>
  <c r="D49" i="9"/>
  <c r="C59" i="9"/>
  <c r="E59" i="9"/>
  <c r="D59" i="9"/>
  <c r="C69" i="9"/>
  <c r="E69" i="9"/>
  <c r="D69" i="9"/>
  <c r="M95" i="9"/>
  <c r="N95" i="9" s="1"/>
  <c r="C62" i="9"/>
  <c r="E62" i="9"/>
  <c r="D62" i="9"/>
  <c r="M94" i="9"/>
  <c r="M93" i="9"/>
  <c r="M92" i="9"/>
  <c r="N92" i="9" s="1"/>
  <c r="C92" i="9"/>
  <c r="M91" i="9"/>
  <c r="N91" i="9" s="1"/>
  <c r="B25" i="9"/>
  <c r="C25" i="9"/>
  <c r="M90" i="9"/>
  <c r="N90" i="9" s="1"/>
  <c r="B24" i="9"/>
  <c r="C24" i="9" s="1"/>
  <c r="M89" i="9"/>
  <c r="N89" i="9" s="1"/>
  <c r="M88" i="9"/>
  <c r="N88" i="9" s="1"/>
  <c r="M87" i="9"/>
  <c r="M86" i="9"/>
  <c r="M85" i="9"/>
  <c r="N85" i="9" s="1"/>
  <c r="C52" i="9"/>
  <c r="E52" i="9"/>
  <c r="D52" i="9"/>
  <c r="M84" i="9"/>
  <c r="N84" i="9" s="1"/>
  <c r="M83" i="9"/>
  <c r="N83" i="9" s="1"/>
  <c r="M82" i="9"/>
  <c r="N82" i="9" s="1"/>
  <c r="C82" i="9"/>
  <c r="M81" i="9"/>
  <c r="N81" i="9" s="1"/>
  <c r="C48" i="9"/>
  <c r="E48" i="9"/>
  <c r="D48" i="9"/>
  <c r="C58" i="9"/>
  <c r="E58" i="9"/>
  <c r="D58" i="9"/>
  <c r="C68" i="9"/>
  <c r="E68" i="9"/>
  <c r="D68" i="9"/>
  <c r="M80" i="9"/>
  <c r="M79" i="9"/>
  <c r="N79" i="9" s="1"/>
  <c r="M78" i="9"/>
  <c r="M77" i="9"/>
  <c r="N77" i="9" s="1"/>
  <c r="M76" i="9"/>
  <c r="M75" i="9"/>
  <c r="C42" i="9"/>
  <c r="E42" i="9"/>
  <c r="D42" i="9"/>
  <c r="M74" i="9"/>
  <c r="N74" i="9" s="1"/>
  <c r="C67" i="9"/>
  <c r="E67" i="9"/>
  <c r="D67" i="9"/>
  <c r="C66" i="9"/>
  <c r="E66" i="9"/>
  <c r="D66" i="9"/>
  <c r="C65" i="9"/>
  <c r="E65" i="9"/>
  <c r="D65" i="9"/>
  <c r="C64" i="9"/>
  <c r="E64" i="9"/>
  <c r="D64" i="9"/>
  <c r="C63" i="9"/>
  <c r="E63" i="9"/>
  <c r="D63" i="9"/>
  <c r="C57" i="9"/>
  <c r="E57" i="9"/>
  <c r="D57" i="9"/>
  <c r="C56" i="9"/>
  <c r="E56" i="9"/>
  <c r="D56" i="9"/>
  <c r="C55" i="9"/>
  <c r="E55" i="9"/>
  <c r="D55" i="9"/>
  <c r="C54" i="9"/>
  <c r="E54" i="9"/>
  <c r="D54" i="9"/>
  <c r="C53" i="9"/>
  <c r="E53" i="9"/>
  <c r="D53" i="9"/>
  <c r="C47" i="9"/>
  <c r="E47" i="9"/>
  <c r="D47" i="9"/>
  <c r="C46" i="9"/>
  <c r="E46" i="9"/>
  <c r="D46" i="9"/>
  <c r="C45" i="9"/>
  <c r="E45" i="9"/>
  <c r="D45" i="9"/>
  <c r="C44" i="9"/>
  <c r="E44" i="9"/>
  <c r="D44" i="9"/>
  <c r="C43" i="9"/>
  <c r="E43" i="9"/>
  <c r="D43" i="9"/>
  <c r="D36" i="9"/>
  <c r="B33" i="9"/>
  <c r="C33" i="9" s="1"/>
  <c r="D33" i="9"/>
  <c r="E33" i="9" s="1"/>
  <c r="B32" i="9"/>
  <c r="D32" i="9"/>
  <c r="B31" i="9"/>
  <c r="D31" i="9"/>
  <c r="B30" i="9"/>
  <c r="C30" i="9"/>
  <c r="D30" i="9"/>
  <c r="D29" i="9"/>
  <c r="E29" i="9" s="1"/>
  <c r="D28" i="9"/>
  <c r="D27" i="9"/>
  <c r="E27" i="9" s="1"/>
  <c r="D26" i="9"/>
  <c r="E26" i="9"/>
  <c r="D25" i="9"/>
  <c r="E25" i="9" s="1"/>
  <c r="D24" i="9"/>
  <c r="D16" i="9"/>
  <c r="O129" i="39"/>
  <c r="E129" i="39"/>
  <c r="N80" i="39"/>
  <c r="M80" i="39"/>
  <c r="L80" i="39"/>
  <c r="K80" i="39"/>
  <c r="E128" i="39"/>
  <c r="K128" i="39" s="1"/>
  <c r="K81" i="39"/>
  <c r="L81" i="39"/>
  <c r="L131" i="39" s="1"/>
  <c r="M81" i="39"/>
  <c r="M130" i="39" s="1"/>
  <c r="N81" i="39"/>
  <c r="O81" i="39"/>
  <c r="O128" i="39"/>
  <c r="E127" i="39"/>
  <c r="O80" i="39"/>
  <c r="N127" i="39"/>
  <c r="O127" i="39"/>
  <c r="D127" i="39"/>
  <c r="E126" i="39"/>
  <c r="K126" i="39" s="1"/>
  <c r="N126" i="39"/>
  <c r="O126" i="39"/>
  <c r="D126" i="39"/>
  <c r="E125" i="39"/>
  <c r="K125" i="39" s="1"/>
  <c r="N125" i="39"/>
  <c r="O125" i="39"/>
  <c r="D125" i="39"/>
  <c r="C125" i="39"/>
  <c r="E124" i="39"/>
  <c r="K124" i="39"/>
  <c r="N124" i="39"/>
  <c r="O124" i="39"/>
  <c r="D124" i="39"/>
  <c r="E123" i="39"/>
  <c r="K123" i="39"/>
  <c r="N123" i="39"/>
  <c r="O123" i="39"/>
  <c r="D123" i="39"/>
  <c r="E122" i="39"/>
  <c r="K122" i="39"/>
  <c r="M122" i="39"/>
  <c r="N122" i="39"/>
  <c r="O122" i="39"/>
  <c r="D122" i="39"/>
  <c r="E121" i="39"/>
  <c r="K79" i="39"/>
  <c r="L79" i="39"/>
  <c r="M79" i="39"/>
  <c r="N79" i="39"/>
  <c r="O79" i="39"/>
  <c r="D121" i="39"/>
  <c r="E120" i="39"/>
  <c r="O120" i="39"/>
  <c r="D120" i="39"/>
  <c r="E119" i="39"/>
  <c r="K119" i="39" s="1"/>
  <c r="D119" i="39"/>
  <c r="E118" i="39"/>
  <c r="K78" i="39"/>
  <c r="L78" i="39"/>
  <c r="M78" i="39"/>
  <c r="N78" i="39"/>
  <c r="O78" i="39"/>
  <c r="D118" i="39"/>
  <c r="E117" i="39"/>
  <c r="E116" i="39"/>
  <c r="E115" i="39"/>
  <c r="K115" i="39" s="1"/>
  <c r="C115" i="39"/>
  <c r="E114" i="39"/>
  <c r="E113" i="39"/>
  <c r="E112" i="39"/>
  <c r="K112" i="39"/>
  <c r="M112" i="39"/>
  <c r="N112" i="39"/>
  <c r="O112" i="39"/>
  <c r="C112" i="39"/>
  <c r="E111" i="39"/>
  <c r="K77" i="39"/>
  <c r="L77" i="39"/>
  <c r="L111" i="39" s="1"/>
  <c r="M77" i="39"/>
  <c r="P77" i="39" s="1"/>
  <c r="T109" i="39" s="1"/>
  <c r="N77" i="39"/>
  <c r="O77" i="39"/>
  <c r="C111" i="39"/>
  <c r="E110" i="39"/>
  <c r="K75" i="39"/>
  <c r="L75" i="39"/>
  <c r="M75" i="39"/>
  <c r="N75" i="39"/>
  <c r="O75" i="39"/>
  <c r="D110" i="39"/>
  <c r="C110" i="39"/>
  <c r="E109" i="39"/>
  <c r="N109" i="39" s="1"/>
  <c r="C109" i="39"/>
  <c r="E108" i="39"/>
  <c r="C108" i="39"/>
  <c r="E107" i="39"/>
  <c r="C107" i="39"/>
  <c r="E106" i="39"/>
  <c r="K76" i="39"/>
  <c r="L76" i="39"/>
  <c r="M76" i="39"/>
  <c r="N76" i="39"/>
  <c r="O76" i="39"/>
  <c r="C106" i="39"/>
  <c r="E105" i="39"/>
  <c r="C105" i="39"/>
  <c r="E104" i="39"/>
  <c r="C104" i="39"/>
  <c r="E103" i="39"/>
  <c r="C103" i="39"/>
  <c r="E102" i="39"/>
  <c r="K102" i="39"/>
  <c r="M102" i="39"/>
  <c r="N102" i="39"/>
  <c r="O102" i="39"/>
  <c r="U61" i="39"/>
  <c r="W61" i="39" s="1"/>
  <c r="U60" i="39"/>
  <c r="W60" i="39"/>
  <c r="K58" i="39"/>
  <c r="M22" i="39"/>
  <c r="N22" i="39"/>
  <c r="L22" i="39"/>
  <c r="L21" i="39"/>
  <c r="L20" i="39"/>
  <c r="BP32" i="24"/>
  <c r="BI32" i="24"/>
  <c r="BH32" i="24"/>
  <c r="BG32" i="24"/>
  <c r="BF32" i="24"/>
  <c r="BE32" i="24"/>
  <c r="BD32" i="24"/>
  <c r="BC32" i="24"/>
  <c r="BG29" i="24"/>
  <c r="BE29" i="24"/>
  <c r="BC29" i="24"/>
  <c r="BP28" i="24"/>
  <c r="BP27" i="24"/>
  <c r="BI27" i="24"/>
  <c r="BH27" i="24"/>
  <c r="BG27" i="24"/>
  <c r="BF27" i="24"/>
  <c r="BE27" i="24"/>
  <c r="BD27" i="24"/>
  <c r="BC27" i="24"/>
  <c r="BP26" i="24"/>
  <c r="BP25" i="24"/>
  <c r="BP24" i="24"/>
  <c r="BP23" i="24"/>
  <c r="BP20" i="24"/>
  <c r="BP12" i="24"/>
  <c r="BI12" i="24"/>
  <c r="BH12" i="24"/>
  <c r="BG12" i="24"/>
  <c r="BF12" i="24"/>
  <c r="BE12" i="24"/>
  <c r="BD12" i="24"/>
  <c r="BC12" i="24"/>
  <c r="C15" i="34"/>
  <c r="C14" i="34"/>
  <c r="C13" i="34"/>
  <c r="C12" i="34"/>
  <c r="C11" i="34"/>
  <c r="C6" i="34"/>
  <c r="C5" i="34"/>
  <c r="C75" i="6"/>
  <c r="C65" i="6"/>
  <c r="C62" i="6"/>
  <c r="C61" i="6"/>
  <c r="C60" i="6"/>
  <c r="C59" i="6"/>
  <c r="C58" i="6"/>
  <c r="C57" i="6"/>
  <c r="C56" i="6"/>
  <c r="C55" i="6"/>
  <c r="C54" i="6"/>
  <c r="C53" i="6"/>
  <c r="D77" i="7"/>
  <c r="H77" i="7"/>
  <c r="W77" i="7" s="1"/>
  <c r="D76" i="7"/>
  <c r="H76" i="7"/>
  <c r="BB42" i="6"/>
  <c r="BA42" i="6"/>
  <c r="AZ42" i="6"/>
  <c r="AY42" i="6"/>
  <c r="AX42" i="6"/>
  <c r="AW42" i="6"/>
  <c r="AV42" i="6"/>
  <c r="D75" i="7"/>
  <c r="H75" i="7"/>
  <c r="W75" i="7" s="1"/>
  <c r="D74" i="7"/>
  <c r="H74" i="7"/>
  <c r="BB32" i="6"/>
  <c r="BA32" i="6"/>
  <c r="AZ32" i="6"/>
  <c r="AY32" i="6"/>
  <c r="AX32" i="6"/>
  <c r="AW32" i="6"/>
  <c r="AV32" i="6"/>
  <c r="BB29" i="6"/>
  <c r="BA29" i="6"/>
  <c r="AZ29" i="6"/>
  <c r="AY29" i="6"/>
  <c r="AX29" i="6"/>
  <c r="AW29" i="6"/>
  <c r="AV29" i="6"/>
  <c r="BB28" i="6"/>
  <c r="BA28" i="6"/>
  <c r="AZ28" i="6"/>
  <c r="AY28" i="6"/>
  <c r="AX28" i="6"/>
  <c r="AW28" i="6"/>
  <c r="AV28" i="6"/>
  <c r="D73" i="7"/>
  <c r="H73" i="7"/>
  <c r="BB27" i="6"/>
  <c r="BA27" i="6"/>
  <c r="AZ27" i="6"/>
  <c r="AY27" i="6"/>
  <c r="AX27" i="6"/>
  <c r="AW27" i="6"/>
  <c r="AV27" i="6"/>
  <c r="D71" i="7"/>
  <c r="BB26" i="6"/>
  <c r="BA26" i="6"/>
  <c r="AZ26" i="6"/>
  <c r="AY26" i="6"/>
  <c r="AX26" i="6"/>
  <c r="AW26" i="6"/>
  <c r="AV26" i="6"/>
  <c r="BB25" i="6"/>
  <c r="BA25" i="6"/>
  <c r="AZ25" i="6"/>
  <c r="AY25" i="6"/>
  <c r="AX25" i="6"/>
  <c r="AW25" i="6"/>
  <c r="AV25" i="6"/>
  <c r="BB24" i="6"/>
  <c r="BA24" i="6"/>
  <c r="AZ24" i="6"/>
  <c r="AY24" i="6"/>
  <c r="AX24" i="6"/>
  <c r="AW24" i="6"/>
  <c r="AV24" i="6"/>
  <c r="BB23" i="6"/>
  <c r="BA23" i="6"/>
  <c r="AZ23" i="6"/>
  <c r="AY23" i="6"/>
  <c r="AX23" i="6"/>
  <c r="AW23" i="6"/>
  <c r="AV23" i="6"/>
  <c r="D72" i="7"/>
  <c r="H72" i="7"/>
  <c r="W72" i="7" s="1"/>
  <c r="BB22" i="6"/>
  <c r="BA22" i="6"/>
  <c r="AZ22" i="6"/>
  <c r="AY22" i="6"/>
  <c r="AX22" i="6"/>
  <c r="AW22" i="6"/>
  <c r="AV22" i="6"/>
  <c r="BB21" i="6"/>
  <c r="BA21" i="6"/>
  <c r="AZ21" i="6"/>
  <c r="AY21" i="6"/>
  <c r="AX21" i="6"/>
  <c r="AW21" i="6"/>
  <c r="AV21" i="6"/>
  <c r="BB20" i="6"/>
  <c r="BA20" i="6"/>
  <c r="AZ20" i="6"/>
  <c r="AY20" i="6"/>
  <c r="AX20" i="6"/>
  <c r="AW20" i="6"/>
  <c r="AV20" i="6"/>
  <c r="D87" i="7"/>
  <c r="H87" i="7"/>
  <c r="D86" i="7"/>
  <c r="H86" i="7"/>
  <c r="D85" i="7"/>
  <c r="H85" i="7"/>
  <c r="D84" i="7"/>
  <c r="H84" i="7"/>
  <c r="D83" i="7"/>
  <c r="H83" i="7"/>
  <c r="D82" i="7"/>
  <c r="H82" i="7"/>
  <c r="D81" i="7"/>
  <c r="J6" i="6"/>
  <c r="J8" i="6" s="1"/>
  <c r="I6" i="6"/>
  <c r="I8" i="6" s="1"/>
  <c r="H6" i="6"/>
  <c r="G6" i="6"/>
  <c r="G8" i="6" s="1"/>
  <c r="F6" i="6"/>
  <c r="F8" i="6" s="1"/>
  <c r="E6" i="6"/>
  <c r="D6" i="6"/>
  <c r="D7" i="6" s="1"/>
  <c r="F96" i="7"/>
  <c r="D96" i="7"/>
  <c r="C96" i="7"/>
  <c r="I95" i="7"/>
  <c r="G95" i="7"/>
  <c r="F95" i="7"/>
  <c r="D95" i="7"/>
  <c r="C95" i="7"/>
  <c r="E94" i="7"/>
  <c r="D94" i="7"/>
  <c r="C94" i="7"/>
  <c r="I93" i="7"/>
  <c r="G93" i="7"/>
  <c r="F93" i="7"/>
  <c r="D93" i="7"/>
  <c r="C93" i="7"/>
  <c r="E92" i="7"/>
  <c r="D92" i="7"/>
  <c r="C92" i="7"/>
  <c r="F91" i="7"/>
  <c r="D91" i="7"/>
  <c r="C91" i="7"/>
  <c r="G87" i="7"/>
  <c r="E87" i="7"/>
  <c r="G86" i="7"/>
  <c r="E86" i="7"/>
  <c r="G85" i="7"/>
  <c r="E85" i="7"/>
  <c r="F84" i="7"/>
  <c r="E84" i="7"/>
  <c r="G83" i="7"/>
  <c r="E83" i="7"/>
  <c r="F82" i="7"/>
  <c r="E82" i="7"/>
  <c r="G81" i="7"/>
  <c r="E81" i="7"/>
  <c r="G77" i="7"/>
  <c r="E77" i="7"/>
  <c r="G76" i="7"/>
  <c r="E76" i="7"/>
  <c r="G75" i="7"/>
  <c r="E75" i="7"/>
  <c r="F74" i="7"/>
  <c r="E74" i="7"/>
  <c r="G73" i="7"/>
  <c r="E73" i="7"/>
  <c r="F72" i="7"/>
  <c r="E72" i="7"/>
  <c r="G71" i="7"/>
  <c r="E71" i="7"/>
  <c r="H67" i="7"/>
  <c r="G67" i="7"/>
  <c r="E67" i="7"/>
  <c r="H66" i="7"/>
  <c r="G66" i="7"/>
  <c r="E66" i="7"/>
  <c r="H65" i="7"/>
  <c r="F65" i="7"/>
  <c r="E65" i="7"/>
  <c r="H64" i="7"/>
  <c r="F64" i="7"/>
  <c r="E64" i="7"/>
  <c r="H63" i="7"/>
  <c r="F63" i="7"/>
  <c r="E63" i="7"/>
  <c r="H59" i="7"/>
  <c r="H62" i="7"/>
  <c r="F62" i="7"/>
  <c r="E62" i="7"/>
  <c r="H61" i="7"/>
  <c r="F61" i="7"/>
  <c r="E61" i="7"/>
  <c r="H60" i="7"/>
  <c r="F60" i="7"/>
  <c r="E60" i="7"/>
  <c r="F59" i="7"/>
  <c r="E59" i="7"/>
  <c r="G58" i="7"/>
  <c r="E58" i="7"/>
  <c r="G57" i="7"/>
  <c r="E57" i="7"/>
  <c r="G56" i="7"/>
  <c r="E56" i="7"/>
  <c r="BR23" i="7"/>
  <c r="BB21" i="7"/>
  <c r="BB22" i="7"/>
  <c r="BB23" i="7"/>
  <c r="AL20" i="7"/>
  <c r="AL21" i="7"/>
  <c r="AL22" i="7"/>
  <c r="AL23" i="7"/>
  <c r="AL24" i="7"/>
  <c r="AL25" i="7"/>
  <c r="AL26" i="7"/>
  <c r="AL27" i="7"/>
  <c r="BR27" i="7"/>
  <c r="BB27" i="7"/>
  <c r="BR26" i="7"/>
  <c r="BB26" i="7"/>
  <c r="BR25" i="7"/>
  <c r="BB25" i="7"/>
  <c r="BR24" i="7"/>
  <c r="BB24" i="7"/>
  <c r="P24" i="7"/>
  <c r="P23" i="7"/>
  <c r="W33" i="5"/>
  <c r="U33" i="5"/>
  <c r="T33" i="5"/>
  <c r="S33" i="5"/>
  <c r="R33" i="5"/>
  <c r="R32" i="5"/>
  <c r="Y32" i="5" s="1"/>
  <c r="R31" i="5"/>
  <c r="Y31" i="5" s="1"/>
  <c r="CR30" i="5"/>
  <c r="CR29" i="5"/>
  <c r="R29" i="5"/>
  <c r="Y29" i="5" s="1"/>
  <c r="S29" i="5"/>
  <c r="Z29" i="5" s="1"/>
  <c r="T29" i="5"/>
  <c r="AA29" i="5" s="1"/>
  <c r="U29" i="5"/>
  <c r="AB29" i="5" s="1"/>
  <c r="V29" i="5"/>
  <c r="AC29" i="5" s="1"/>
  <c r="W29" i="5"/>
  <c r="AD29" i="5" s="1"/>
  <c r="X29" i="5"/>
  <c r="AE29" i="5" s="1"/>
  <c r="CR28" i="5"/>
  <c r="R28" i="5"/>
  <c r="Y28" i="5" s="1"/>
  <c r="S28" i="5"/>
  <c r="Z28" i="5" s="1"/>
  <c r="T28" i="5"/>
  <c r="AA28" i="5"/>
  <c r="U28" i="5"/>
  <c r="AB28" i="5" s="1"/>
  <c r="V28" i="5"/>
  <c r="AC28" i="5" s="1"/>
  <c r="W28" i="5"/>
  <c r="AD28" i="5" s="1"/>
  <c r="X28" i="5"/>
  <c r="AE28" i="5" s="1"/>
  <c r="R27" i="5"/>
  <c r="Y27" i="5" s="1"/>
  <c r="S27" i="5"/>
  <c r="Z27" i="5" s="1"/>
  <c r="T27" i="5"/>
  <c r="AA27" i="5"/>
  <c r="U27" i="5"/>
  <c r="AB27" i="5" s="1"/>
  <c r="V27" i="5"/>
  <c r="AC27" i="5" s="1"/>
  <c r="W27" i="5"/>
  <c r="AD27" i="5" s="1"/>
  <c r="X27" i="5"/>
  <c r="AE27" i="5"/>
  <c r="BB26" i="5"/>
  <c r="R26" i="5"/>
  <c r="Y26" i="5" s="1"/>
  <c r="S26" i="5"/>
  <c r="Z26" i="5"/>
  <c r="T26" i="5"/>
  <c r="AA26" i="5" s="1"/>
  <c r="U26" i="5"/>
  <c r="AB26" i="5"/>
  <c r="V26" i="5"/>
  <c r="AC26" i="5" s="1"/>
  <c r="W26" i="5"/>
  <c r="AD26" i="5" s="1"/>
  <c r="X26" i="5"/>
  <c r="AE26" i="5" s="1"/>
  <c r="R25" i="5"/>
  <c r="Y25" i="5" s="1"/>
  <c r="S25" i="5"/>
  <c r="Z25" i="5" s="1"/>
  <c r="T25" i="5"/>
  <c r="AA25" i="5" s="1"/>
  <c r="U25" i="5"/>
  <c r="AB25" i="5" s="1"/>
  <c r="V25" i="5"/>
  <c r="AC25" i="5" s="1"/>
  <c r="W25" i="5"/>
  <c r="AD25" i="5" s="1"/>
  <c r="X25" i="5"/>
  <c r="AE25" i="5" s="1"/>
  <c r="CB24" i="5"/>
  <c r="R24" i="5"/>
  <c r="Y24" i="5" s="1"/>
  <c r="S24" i="5"/>
  <c r="Z24" i="5" s="1"/>
  <c r="T24" i="5"/>
  <c r="AA24" i="5" s="1"/>
  <c r="U24" i="5"/>
  <c r="AB24" i="5" s="1"/>
  <c r="V24" i="5"/>
  <c r="AC24" i="5" s="1"/>
  <c r="W24" i="5"/>
  <c r="AD24" i="5" s="1"/>
  <c r="X24" i="5"/>
  <c r="AE24" i="5" s="1"/>
  <c r="W23" i="5"/>
  <c r="AD23" i="5" s="1"/>
  <c r="R22" i="5"/>
  <c r="Y22" i="5" s="1"/>
  <c r="S22" i="5"/>
  <c r="Z22" i="5" s="1"/>
  <c r="T22" i="5"/>
  <c r="AA22" i="5" s="1"/>
  <c r="AF22" i="5" s="1"/>
  <c r="U22" i="5"/>
  <c r="AB22" i="5" s="1"/>
  <c r="V22" i="5"/>
  <c r="AC22" i="5" s="1"/>
  <c r="W22" i="5"/>
  <c r="AD22" i="5" s="1"/>
  <c r="X22" i="5"/>
  <c r="AE22" i="5"/>
  <c r="R21" i="5"/>
  <c r="Y21" i="5"/>
  <c r="S21" i="5"/>
  <c r="Z21" i="5"/>
  <c r="T21" i="5"/>
  <c r="AA21" i="5"/>
  <c r="U21" i="5"/>
  <c r="AB21" i="5"/>
  <c r="V21" i="5"/>
  <c r="AC21" i="5" s="1"/>
  <c r="W21" i="5"/>
  <c r="AD21" i="5"/>
  <c r="X21" i="5"/>
  <c r="AE21" i="5"/>
  <c r="BB20" i="5"/>
  <c r="R20" i="5"/>
  <c r="Y20" i="5" s="1"/>
  <c r="S20" i="5"/>
  <c r="Z20" i="5" s="1"/>
  <c r="T20" i="5"/>
  <c r="AA20" i="5"/>
  <c r="U20" i="5"/>
  <c r="AB20" i="5" s="1"/>
  <c r="V20" i="5"/>
  <c r="AC20" i="5"/>
  <c r="W20" i="5"/>
  <c r="AD20" i="5"/>
  <c r="X20" i="5"/>
  <c r="AE20" i="5"/>
  <c r="W19" i="5"/>
  <c r="U19" i="5"/>
  <c r="T19" i="5"/>
  <c r="S19" i="5"/>
  <c r="R19" i="5"/>
  <c r="Y19" i="5" s="1"/>
  <c r="W18" i="5"/>
  <c r="U18" i="5"/>
  <c r="T18" i="5"/>
  <c r="S18" i="5"/>
  <c r="R18" i="5"/>
  <c r="CU17" i="5"/>
  <c r="CR17" i="5"/>
  <c r="W17" i="5"/>
  <c r="U17" i="5"/>
  <c r="AB17" i="5" s="1"/>
  <c r="T17" i="5"/>
  <c r="AA17" i="5" s="1"/>
  <c r="S17" i="5"/>
  <c r="R17" i="5"/>
  <c r="W16" i="5"/>
  <c r="U16" i="5"/>
  <c r="T16" i="5"/>
  <c r="S16" i="5"/>
  <c r="R16" i="5"/>
  <c r="W15" i="5"/>
  <c r="U15" i="5"/>
  <c r="T15" i="5"/>
  <c r="S15" i="5"/>
  <c r="Z15" i="5" s="1"/>
  <c r="R15" i="5"/>
  <c r="Y15" i="5" s="1"/>
  <c r="W14" i="5"/>
  <c r="U14" i="5"/>
  <c r="T14" i="5"/>
  <c r="S14" i="5"/>
  <c r="R14" i="5"/>
  <c r="W13" i="5"/>
  <c r="U13" i="5"/>
  <c r="T13" i="5"/>
  <c r="S13" i="5"/>
  <c r="R13" i="5"/>
  <c r="CF12" i="5"/>
  <c r="CE12" i="5"/>
  <c r="R12" i="5"/>
  <c r="Y12" i="5"/>
  <c r="S12" i="5"/>
  <c r="Z12" i="5"/>
  <c r="T12" i="5"/>
  <c r="AA12" i="5" s="1"/>
  <c r="U12" i="5"/>
  <c r="AB12" i="5" s="1"/>
  <c r="V12" i="5"/>
  <c r="AC12" i="5"/>
  <c r="W12" i="5"/>
  <c r="AD12" i="5"/>
  <c r="X12" i="5"/>
  <c r="AE12" i="5" s="1"/>
  <c r="W11" i="5"/>
  <c r="U11" i="5"/>
  <c r="T11" i="5"/>
  <c r="S11" i="5"/>
  <c r="R11" i="5"/>
  <c r="W9" i="5"/>
  <c r="U9" i="5"/>
  <c r="AB9" i="5" s="1"/>
  <c r="W8" i="5"/>
  <c r="U8" i="5"/>
  <c r="T8" i="5"/>
  <c r="S8" i="5"/>
  <c r="R8" i="5"/>
  <c r="W7" i="5"/>
  <c r="U7" i="5"/>
  <c r="AB7" i="5" s="1"/>
  <c r="T7" i="5"/>
  <c r="AA7" i="5" s="1"/>
  <c r="S7" i="5"/>
  <c r="R7" i="5"/>
  <c r="AJ6" i="5"/>
  <c r="R6" i="5"/>
  <c r="AJ5" i="5"/>
  <c r="AJ4" i="5"/>
  <c r="R4" i="5"/>
  <c r="F83" i="28"/>
  <c r="D13" i="28"/>
  <c r="C2" i="30"/>
  <c r="C4" i="30" s="1"/>
  <c r="C17" i="28" s="1"/>
  <c r="D17" i="28" s="1"/>
  <c r="C6" i="30"/>
  <c r="N17" i="28" s="1"/>
  <c r="E85" i="28"/>
  <c r="N85" i="28" s="1"/>
  <c r="E88" i="28"/>
  <c r="N88" i="28" s="1"/>
  <c r="C28" i="46"/>
  <c r="C26" i="46"/>
  <c r="C27" i="46"/>
  <c r="E94" i="28"/>
  <c r="N94" i="28" s="1"/>
  <c r="E96" i="28"/>
  <c r="N96" i="28" s="1"/>
  <c r="E95" i="28"/>
  <c r="N95" i="28" s="1"/>
  <c r="S18" i="7"/>
  <c r="R4" i="31"/>
  <c r="S4" i="31"/>
  <c r="S13" i="7"/>
  <c r="B22" i="31"/>
  <c r="S14" i="7"/>
  <c r="D7" i="31" s="1"/>
  <c r="B23" i="31"/>
  <c r="S15" i="7"/>
  <c r="S16" i="7"/>
  <c r="S17" i="7"/>
  <c r="D29" i="10"/>
  <c r="S19" i="7"/>
  <c r="S20" i="7"/>
  <c r="B29" i="31"/>
  <c r="S21" i="7"/>
  <c r="S23" i="7"/>
  <c r="S24" i="7"/>
  <c r="E86" i="28"/>
  <c r="N86" i="28" s="1"/>
  <c r="F86" i="28"/>
  <c r="C29" i="46"/>
  <c r="C30" i="46"/>
  <c r="E97" i="28"/>
  <c r="N97" i="28" s="1"/>
  <c r="E98" i="28"/>
  <c r="N98" i="28" s="1"/>
  <c r="E99" i="28"/>
  <c r="N99" i="28" s="1"/>
  <c r="E100" i="28"/>
  <c r="N100" i="28" s="1"/>
  <c r="E101" i="28"/>
  <c r="N101" i="28" s="1"/>
  <c r="E102" i="28"/>
  <c r="N102" i="28" s="1"/>
  <c r="E103" i="28"/>
  <c r="N103" i="28" s="1"/>
  <c r="E104" i="28"/>
  <c r="N104" i="28" s="1"/>
  <c r="E105" i="28"/>
  <c r="N105" i="28" s="1"/>
  <c r="E106" i="28"/>
  <c r="N106" i="28" s="1"/>
  <c r="R32" i="30"/>
  <c r="R29" i="30"/>
  <c r="R28" i="30"/>
  <c r="R27" i="30"/>
  <c r="R26" i="30"/>
  <c r="C5" i="30"/>
  <c r="F12" i="30"/>
  <c r="G9" i="29"/>
  <c r="H9" i="29" s="1"/>
  <c r="AV4" i="36" s="1"/>
  <c r="F8" i="29"/>
  <c r="AM3" i="36" s="1"/>
  <c r="F7" i="29"/>
  <c r="AD3" i="36" s="1"/>
  <c r="F6" i="29"/>
  <c r="U3" i="36" s="1"/>
  <c r="F5" i="29"/>
  <c r="L3" i="36" s="1"/>
  <c r="F4" i="29"/>
  <c r="C3" i="36" s="1"/>
  <c r="J32" i="32"/>
  <c r="K32" i="32"/>
  <c r="J22" i="32"/>
  <c r="K22" i="32"/>
  <c r="J12" i="32"/>
  <c r="K12" i="32"/>
  <c r="J11" i="32"/>
  <c r="K11" i="32"/>
  <c r="J31" i="32"/>
  <c r="K31" i="32"/>
  <c r="J21" i="32"/>
  <c r="K21" i="32"/>
  <c r="J30" i="32"/>
  <c r="K30" i="32"/>
  <c r="J20" i="32"/>
  <c r="K20" i="32"/>
  <c r="J10" i="32"/>
  <c r="K10" i="32"/>
  <c r="J28" i="32"/>
  <c r="K28" i="32"/>
  <c r="J18" i="32"/>
  <c r="K18" i="32"/>
  <c r="J8" i="32"/>
  <c r="K8" i="32"/>
  <c r="J27" i="32"/>
  <c r="K27" i="32"/>
  <c r="J17" i="32"/>
  <c r="K17" i="32"/>
  <c r="J7" i="32"/>
  <c r="K7" i="32"/>
  <c r="J26" i="32"/>
  <c r="K26" i="32"/>
  <c r="J16" i="32"/>
  <c r="K16" i="32"/>
  <c r="J6" i="32"/>
  <c r="K6" i="32"/>
  <c r="O226" i="29"/>
  <c r="O225" i="29"/>
  <c r="O224" i="29"/>
  <c r="O223" i="29"/>
  <c r="O222" i="29"/>
  <c r="O221" i="29"/>
  <c r="O219" i="29"/>
  <c r="O218" i="29"/>
  <c r="O220" i="29"/>
  <c r="G12" i="29"/>
  <c r="H12" i="29" s="1"/>
  <c r="BW4" i="36" s="1"/>
  <c r="J25" i="32"/>
  <c r="K25" i="32"/>
  <c r="J15" i="32"/>
  <c r="K15" i="32"/>
  <c r="J5" i="32"/>
  <c r="K5" i="32"/>
  <c r="J24" i="32"/>
  <c r="K24" i="32"/>
  <c r="C16" i="32"/>
  <c r="C34" i="32" s="1"/>
  <c r="E34" i="32" s="1"/>
  <c r="J14" i="32"/>
  <c r="K14" i="32"/>
  <c r="J4" i="32"/>
  <c r="K4" i="32"/>
  <c r="AV3" i="36"/>
  <c r="D235" i="29"/>
  <c r="D234" i="29"/>
  <c r="D233" i="29"/>
  <c r="D232" i="29"/>
  <c r="D231" i="29"/>
  <c r="D230" i="29"/>
  <c r="D229" i="29"/>
  <c r="D228" i="29"/>
  <c r="D227" i="29"/>
  <c r="L226" i="29"/>
  <c r="D226" i="29"/>
  <c r="L225" i="29"/>
  <c r="D225" i="29"/>
  <c r="L224" i="29"/>
  <c r="D224" i="29"/>
  <c r="L223" i="29"/>
  <c r="D223" i="29"/>
  <c r="L222" i="29"/>
  <c r="D222" i="29"/>
  <c r="L221" i="29"/>
  <c r="D221" i="29"/>
  <c r="L220" i="29"/>
  <c r="D220" i="29"/>
  <c r="L219" i="29"/>
  <c r="D219" i="29"/>
  <c r="L218" i="29"/>
  <c r="D218" i="29"/>
  <c r="L217" i="29"/>
  <c r="L216" i="29"/>
  <c r="L215" i="29"/>
  <c r="L214" i="29"/>
  <c r="D214" i="29"/>
  <c r="L213" i="29"/>
  <c r="D213" i="29"/>
  <c r="L212" i="29"/>
  <c r="D212" i="29"/>
  <c r="L211" i="29"/>
  <c r="D211" i="29"/>
  <c r="L210" i="29"/>
  <c r="D210" i="29"/>
  <c r="L209" i="29"/>
  <c r="D209" i="29"/>
  <c r="D208" i="29"/>
  <c r="D207" i="29"/>
  <c r="D206" i="29"/>
  <c r="L205" i="29"/>
  <c r="D205" i="29"/>
  <c r="L204" i="29"/>
  <c r="D204" i="29"/>
  <c r="L203" i="29"/>
  <c r="D203" i="29"/>
  <c r="L202" i="29"/>
  <c r="D202" i="29"/>
  <c r="L201" i="29"/>
  <c r="D201" i="29"/>
  <c r="L200" i="29"/>
  <c r="D200" i="29"/>
  <c r="L199" i="29"/>
  <c r="D199" i="29"/>
  <c r="L198" i="29"/>
  <c r="L197" i="29"/>
  <c r="L196" i="29"/>
  <c r="L195" i="29"/>
  <c r="D195" i="29"/>
  <c r="L194" i="29"/>
  <c r="D194" i="29"/>
  <c r="L193" i="29"/>
  <c r="D193" i="29"/>
  <c r="L192" i="29"/>
  <c r="D192" i="29"/>
  <c r="D191" i="29"/>
  <c r="D190" i="29"/>
  <c r="D189" i="29"/>
  <c r="L188" i="29"/>
  <c r="D188" i="29"/>
  <c r="L187" i="29"/>
  <c r="D187" i="29"/>
  <c r="L186" i="29"/>
  <c r="D186" i="29"/>
  <c r="L185" i="29"/>
  <c r="D185" i="29"/>
  <c r="L184" i="29"/>
  <c r="D184" i="29"/>
  <c r="L183" i="29"/>
  <c r="D183" i="29"/>
  <c r="L182" i="29"/>
  <c r="D182" i="29"/>
  <c r="L181" i="29"/>
  <c r="D181" i="29"/>
  <c r="L180" i="29"/>
  <c r="D180" i="29"/>
  <c r="L179" i="29"/>
  <c r="D179" i="29"/>
  <c r="L178" i="29"/>
  <c r="L177" i="29"/>
  <c r="L176" i="29"/>
  <c r="L175" i="29"/>
  <c r="D175" i="29"/>
  <c r="L174" i="29"/>
  <c r="D174" i="29"/>
  <c r="L173" i="29"/>
  <c r="D173" i="29"/>
  <c r="T172" i="29"/>
  <c r="D172" i="29"/>
  <c r="T171" i="29"/>
  <c r="D171" i="29"/>
  <c r="T170" i="29"/>
  <c r="D170" i="29"/>
  <c r="T169" i="29"/>
  <c r="L169" i="29"/>
  <c r="D169" i="29"/>
  <c r="T168" i="29"/>
  <c r="L168" i="29"/>
  <c r="D168" i="29"/>
  <c r="T167" i="29"/>
  <c r="L167" i="29"/>
  <c r="D167" i="29"/>
  <c r="T166" i="29"/>
  <c r="L166" i="29"/>
  <c r="D166" i="29"/>
  <c r="T165" i="29"/>
  <c r="L165" i="29"/>
  <c r="D165" i="29"/>
  <c r="T164" i="29"/>
  <c r="L164" i="29"/>
  <c r="D164" i="29"/>
  <c r="L163" i="29"/>
  <c r="D163" i="29"/>
  <c r="L162" i="29"/>
  <c r="D162" i="29"/>
  <c r="L161" i="29"/>
  <c r="D161" i="29"/>
  <c r="T160" i="29"/>
  <c r="L160" i="29"/>
  <c r="T159" i="29"/>
  <c r="L159" i="29"/>
  <c r="T158" i="29"/>
  <c r="L158" i="29"/>
  <c r="T157" i="29"/>
  <c r="D157" i="29"/>
  <c r="T156" i="29"/>
  <c r="D156" i="29"/>
  <c r="T155" i="29"/>
  <c r="D155" i="29"/>
  <c r="T154" i="29"/>
  <c r="L154" i="29"/>
  <c r="D154" i="29"/>
  <c r="L153" i="29"/>
  <c r="D153" i="29"/>
  <c r="L152" i="29"/>
  <c r="D152" i="29"/>
  <c r="L151" i="29"/>
  <c r="D151" i="29"/>
  <c r="T150" i="29"/>
  <c r="L150" i="29"/>
  <c r="D150" i="29"/>
  <c r="T149" i="29"/>
  <c r="L149" i="29"/>
  <c r="D149" i="29"/>
  <c r="T148" i="29"/>
  <c r="L148" i="29"/>
  <c r="D148" i="29"/>
  <c r="T147" i="29"/>
  <c r="L147" i="29"/>
  <c r="D147" i="29"/>
  <c r="T146" i="29"/>
  <c r="L146" i="29"/>
  <c r="D146" i="29"/>
  <c r="T145" i="29"/>
  <c r="L145" i="29"/>
  <c r="D145" i="29"/>
  <c r="T144" i="29"/>
  <c r="L144" i="29"/>
  <c r="D144" i="29"/>
  <c r="T143" i="29"/>
  <c r="L143" i="29"/>
  <c r="D143" i="29"/>
  <c r="T139" i="29"/>
  <c r="L139" i="29"/>
  <c r="D139" i="29"/>
  <c r="T138" i="29"/>
  <c r="L138" i="29"/>
  <c r="D138" i="29"/>
  <c r="T137" i="29"/>
  <c r="L137" i="29"/>
  <c r="D137" i="29"/>
  <c r="T136" i="29"/>
  <c r="L136" i="29"/>
  <c r="D136" i="29"/>
  <c r="T135" i="29"/>
  <c r="L135" i="29"/>
  <c r="D135" i="29"/>
  <c r="T134" i="29"/>
  <c r="L134" i="29"/>
  <c r="D134" i="29"/>
  <c r="L133" i="29"/>
  <c r="D133" i="29"/>
  <c r="L132" i="29"/>
  <c r="D132" i="29"/>
  <c r="L131" i="29"/>
  <c r="D131" i="29"/>
  <c r="T130" i="29"/>
  <c r="L130" i="29"/>
  <c r="D130" i="29"/>
  <c r="T129" i="29"/>
  <c r="L129" i="29"/>
  <c r="D129" i="29"/>
  <c r="T128" i="29"/>
  <c r="L128" i="29"/>
  <c r="D128" i="29"/>
  <c r="T127" i="29"/>
  <c r="L127" i="29"/>
  <c r="D127" i="29"/>
  <c r="T126" i="29"/>
  <c r="L126" i="29"/>
  <c r="D126" i="29"/>
  <c r="T125" i="29"/>
  <c r="L125" i="29"/>
  <c r="D125" i="29"/>
  <c r="T124" i="29"/>
  <c r="L124" i="29"/>
  <c r="D124" i="29"/>
  <c r="T123" i="29"/>
  <c r="L123" i="29"/>
  <c r="D123" i="29"/>
  <c r="T122" i="29"/>
  <c r="L122" i="29"/>
  <c r="D122" i="29"/>
  <c r="T118" i="29"/>
  <c r="L118" i="29"/>
  <c r="D118" i="29"/>
  <c r="T117" i="29"/>
  <c r="L117" i="29"/>
  <c r="D117" i="29"/>
  <c r="T116" i="29"/>
  <c r="L116" i="29"/>
  <c r="D116" i="29"/>
  <c r="T115" i="29"/>
  <c r="L115" i="29"/>
  <c r="D115" i="29"/>
  <c r="T114" i="29"/>
  <c r="L114" i="29"/>
  <c r="D114" i="29"/>
  <c r="T113" i="29"/>
  <c r="L113" i="29"/>
  <c r="D113" i="29"/>
  <c r="T112" i="29"/>
  <c r="L112" i="29"/>
  <c r="D112" i="29"/>
  <c r="T111" i="29"/>
  <c r="L111" i="29"/>
  <c r="D111" i="29"/>
  <c r="T110" i="29"/>
  <c r="L110" i="29"/>
  <c r="D110" i="29"/>
  <c r="L109" i="29"/>
  <c r="D109" i="29"/>
  <c r="L108" i="29"/>
  <c r="D108" i="29"/>
  <c r="L107" i="29"/>
  <c r="D107" i="29"/>
  <c r="T106" i="29"/>
  <c r="T105" i="29"/>
  <c r="T104" i="29"/>
  <c r="T103" i="29"/>
  <c r="L103" i="29"/>
  <c r="D103" i="29"/>
  <c r="T102" i="29"/>
  <c r="L102" i="29"/>
  <c r="D102" i="29"/>
  <c r="T101" i="29"/>
  <c r="L101" i="29"/>
  <c r="D101" i="29"/>
  <c r="L100" i="29"/>
  <c r="D100" i="29"/>
  <c r="L99" i="29"/>
  <c r="D99" i="29"/>
  <c r="L98" i="29"/>
  <c r="D98" i="29"/>
  <c r="T97" i="29"/>
  <c r="L97" i="29"/>
  <c r="D97" i="29"/>
  <c r="T96" i="29"/>
  <c r="L96" i="29"/>
  <c r="D96" i="29"/>
  <c r="T95" i="29"/>
  <c r="L95" i="29"/>
  <c r="D95" i="29"/>
  <c r="T94" i="29"/>
  <c r="L94" i="29"/>
  <c r="D94" i="29"/>
  <c r="T93" i="29"/>
  <c r="L93" i="29"/>
  <c r="D93" i="29"/>
  <c r="T92" i="29"/>
  <c r="L92" i="29"/>
  <c r="D92" i="29"/>
  <c r="T91" i="29"/>
  <c r="T90" i="29"/>
  <c r="T89" i="29"/>
  <c r="L88" i="29"/>
  <c r="D88" i="29"/>
  <c r="L87" i="29"/>
  <c r="D87" i="29"/>
  <c r="L86" i="29"/>
  <c r="D86" i="29"/>
  <c r="T85" i="29"/>
  <c r="L85" i="29"/>
  <c r="D85" i="29"/>
  <c r="T84" i="29"/>
  <c r="L84" i="29"/>
  <c r="D84" i="29"/>
  <c r="T83" i="29"/>
  <c r="L83" i="29"/>
  <c r="D83" i="29"/>
  <c r="T82" i="29"/>
  <c r="L82" i="29"/>
  <c r="D82" i="29"/>
  <c r="T81" i="29"/>
  <c r="L81" i="29"/>
  <c r="D81" i="29"/>
  <c r="T80" i="29"/>
  <c r="L80" i="29"/>
  <c r="D80" i="29"/>
  <c r="T76" i="29"/>
  <c r="L76" i="29"/>
  <c r="D76" i="29"/>
  <c r="T75" i="29"/>
  <c r="L75" i="29"/>
  <c r="D75" i="29"/>
  <c r="T74" i="29"/>
  <c r="L74" i="29"/>
  <c r="D74" i="29"/>
  <c r="B63" i="29"/>
  <c r="B49" i="29"/>
  <c r="P49" i="29" s="1"/>
  <c r="N49" i="29"/>
  <c r="M49" i="29"/>
  <c r="L49" i="29"/>
  <c r="K49" i="29"/>
  <c r="J49" i="29"/>
  <c r="I49" i="29"/>
  <c r="H49" i="29"/>
  <c r="G49" i="29"/>
  <c r="F49" i="29"/>
  <c r="E49" i="29"/>
  <c r="D49" i="29"/>
  <c r="C49" i="29"/>
  <c r="B42" i="29"/>
  <c r="P42" i="29" s="1"/>
  <c r="C89" i="41"/>
  <c r="C90" i="41"/>
  <c r="C91" i="41"/>
  <c r="C92" i="41"/>
  <c r="C93" i="41"/>
  <c r="E93" i="41" s="1"/>
  <c r="G93" i="41" s="1"/>
  <c r="C94" i="41"/>
  <c r="C95" i="41"/>
  <c r="C96" i="41"/>
  <c r="E96" i="41" s="1"/>
  <c r="G96" i="41" s="1"/>
  <c r="C97" i="41"/>
  <c r="C98" i="41"/>
  <c r="E98" i="41" s="1"/>
  <c r="G98" i="41" s="1"/>
  <c r="C99" i="41"/>
  <c r="E99" i="41" s="1"/>
  <c r="G99" i="41" s="1"/>
  <c r="C100" i="41"/>
  <c r="E100" i="41" s="1"/>
  <c r="G100" i="41" s="1"/>
  <c r="C101" i="41"/>
  <c r="C102" i="41"/>
  <c r="C104" i="41"/>
  <c r="C111" i="41"/>
  <c r="C112" i="41"/>
  <c r="C21" i="41"/>
  <c r="E21" i="41" s="1"/>
  <c r="C22" i="41"/>
  <c r="E22" i="41" s="1"/>
  <c r="C23" i="41"/>
  <c r="E23" i="41" s="1"/>
  <c r="C24" i="41"/>
  <c r="E24" i="41" s="1"/>
  <c r="C25" i="41"/>
  <c r="E25" i="41" s="1"/>
  <c r="C26" i="41"/>
  <c r="E26" i="41" s="1"/>
  <c r="C27" i="41"/>
  <c r="E27" i="41" s="1"/>
  <c r="C28" i="41"/>
  <c r="E28" i="41" s="1"/>
  <c r="C29" i="41"/>
  <c r="E29" i="41" s="1"/>
  <c r="C30" i="41"/>
  <c r="E30" i="41" s="1"/>
  <c r="C31" i="41"/>
  <c r="E31" i="41" s="1"/>
  <c r="Q79" i="41"/>
  <c r="R74" i="41"/>
  <c r="Q74" i="41"/>
  <c r="F35" i="41"/>
  <c r="Q73" i="41"/>
  <c r="Q68" i="41"/>
  <c r="Q65" i="41"/>
  <c r="R64" i="41"/>
  <c r="Q63" i="41"/>
  <c r="Q58" i="41"/>
  <c r="Q55" i="41"/>
  <c r="R54" i="41"/>
  <c r="Q51" i="41"/>
  <c r="Q47" i="41"/>
  <c r="Q44" i="41"/>
  <c r="D17" i="40"/>
  <c r="F44" i="40"/>
  <c r="E44" i="40"/>
  <c r="D44" i="40"/>
  <c r="F34" i="40"/>
  <c r="E34" i="40"/>
  <c r="D34" i="40"/>
  <c r="F31" i="40"/>
  <c r="E31" i="40"/>
  <c r="D31" i="40"/>
  <c r="F30" i="40"/>
  <c r="E30" i="40"/>
  <c r="D30" i="40"/>
  <c r="F29" i="40"/>
  <c r="E29" i="40"/>
  <c r="D29" i="40"/>
  <c r="F28" i="40"/>
  <c r="E28" i="40"/>
  <c r="D28" i="40"/>
  <c r="F27" i="40"/>
  <c r="E27" i="40"/>
  <c r="D27" i="40"/>
  <c r="F26" i="40"/>
  <c r="E26" i="40"/>
  <c r="D26" i="40"/>
  <c r="F25" i="40"/>
  <c r="E25" i="40"/>
  <c r="D25" i="40"/>
  <c r="F24" i="40"/>
  <c r="E24" i="40"/>
  <c r="D24" i="40"/>
  <c r="F23" i="40"/>
  <c r="E23" i="40"/>
  <c r="D23" i="40"/>
  <c r="F22" i="40"/>
  <c r="E22" i="40"/>
  <c r="D22" i="40"/>
  <c r="J33" i="32"/>
  <c r="K33" i="32"/>
  <c r="J29" i="32"/>
  <c r="K29" i="32"/>
  <c r="J23" i="32"/>
  <c r="K23" i="32"/>
  <c r="J19" i="32"/>
  <c r="K19" i="32"/>
  <c r="J13" i="32"/>
  <c r="K13" i="32"/>
  <c r="J9" i="32"/>
  <c r="K9" i="32"/>
  <c r="C4" i="32"/>
  <c r="I32" i="32"/>
  <c r="I29" i="32"/>
  <c r="I28" i="32"/>
  <c r="I27" i="32"/>
  <c r="I26" i="32"/>
  <c r="I25" i="32"/>
  <c r="I24" i="32"/>
  <c r="I23" i="32"/>
  <c r="I22" i="32"/>
  <c r="I21" i="32"/>
  <c r="T13" i="32"/>
  <c r="S13" i="32"/>
  <c r="R13" i="32"/>
  <c r="E43" i="40"/>
  <c r="E33" i="40"/>
  <c r="E32" i="40"/>
  <c r="D27" i="10"/>
  <c r="E40" i="40"/>
  <c r="E20" i="40"/>
  <c r="E38" i="40"/>
  <c r="E18" i="40"/>
  <c r="E37" i="40"/>
  <c r="E17" i="40"/>
  <c r="D32" i="10"/>
  <c r="D28" i="10"/>
  <c r="D26" i="10"/>
  <c r="E19" i="10"/>
  <c r="D19" i="10"/>
  <c r="C19" i="10"/>
  <c r="H18" i="10"/>
  <c r="G18" i="10"/>
  <c r="F18" i="10"/>
  <c r="N13" i="28"/>
  <c r="U4" i="45"/>
  <c r="AK4" i="45" s="1"/>
  <c r="AL4" i="45" s="1"/>
  <c r="C6" i="45"/>
  <c r="D12" i="45" s="1"/>
  <c r="E12" i="45" s="1"/>
  <c r="D112" i="27"/>
  <c r="D113" i="27" s="1"/>
  <c r="D51" i="45" s="1"/>
  <c r="F50" i="45"/>
  <c r="F56" i="45"/>
  <c r="F58" i="45"/>
  <c r="F59" i="45"/>
  <c r="F60" i="45"/>
  <c r="F61" i="45"/>
  <c r="F62" i="45"/>
  <c r="F63" i="45"/>
  <c r="F64" i="45"/>
  <c r="F65" i="45"/>
  <c r="F66" i="45"/>
  <c r="F67" i="45"/>
  <c r="F70" i="45"/>
  <c r="F76" i="45"/>
  <c r="F80" i="45"/>
  <c r="F81" i="45"/>
  <c r="F82" i="45"/>
  <c r="F84" i="45"/>
  <c r="F85" i="45"/>
  <c r="F86" i="45"/>
  <c r="F87" i="45"/>
  <c r="F88" i="45"/>
  <c r="F89" i="45"/>
  <c r="F90" i="45"/>
  <c r="F91" i="45"/>
  <c r="F92" i="45"/>
  <c r="F93" i="45"/>
  <c r="F94" i="45"/>
  <c r="F95" i="45"/>
  <c r="F96" i="45"/>
  <c r="F97" i="45"/>
  <c r="F98" i="45"/>
  <c r="F99" i="45"/>
  <c r="F100" i="45"/>
  <c r="F101" i="45"/>
  <c r="F102" i="45"/>
  <c r="F103" i="45"/>
  <c r="F104" i="45"/>
  <c r="F105" i="45"/>
  <c r="F106" i="45"/>
  <c r="F107" i="45"/>
  <c r="F108" i="45"/>
  <c r="F110" i="45"/>
  <c r="F111" i="45"/>
  <c r="F112" i="45"/>
  <c r="F113" i="45"/>
  <c r="F114" i="45"/>
  <c r="F115" i="45"/>
  <c r="F118" i="45"/>
  <c r="F119" i="45"/>
  <c r="F120" i="45"/>
  <c r="F121" i="45"/>
  <c r="F123" i="45"/>
  <c r="E24" i="45"/>
  <c r="L14" i="27"/>
  <c r="F41" i="27" s="1"/>
  <c r="E25" i="45"/>
  <c r="L15" i="27"/>
  <c r="F25" i="45" s="1"/>
  <c r="E26" i="45"/>
  <c r="F26" i="45"/>
  <c r="E27" i="45"/>
  <c r="F27" i="45"/>
  <c r="E28" i="45"/>
  <c r="L18" i="27"/>
  <c r="F28" i="45" s="1"/>
  <c r="E29" i="45"/>
  <c r="L19" i="27"/>
  <c r="F29" i="45" s="1"/>
  <c r="E30" i="45"/>
  <c r="L20" i="27"/>
  <c r="F30" i="45" s="1"/>
  <c r="E31" i="45"/>
  <c r="L21" i="27"/>
  <c r="F31" i="45" s="1"/>
  <c r="E32" i="45"/>
  <c r="L22" i="27"/>
  <c r="F32" i="45" s="1"/>
  <c r="E33" i="45"/>
  <c r="L23" i="27"/>
  <c r="F33" i="45" s="1"/>
  <c r="E34" i="45"/>
  <c r="L24" i="27"/>
  <c r="F34" i="45" s="1"/>
  <c r="E35" i="45"/>
  <c r="L25" i="27"/>
  <c r="F52" i="27" s="1"/>
  <c r="E36" i="45"/>
  <c r="L26" i="27"/>
  <c r="F36" i="45" s="1"/>
  <c r="E37" i="45"/>
  <c r="L27" i="27"/>
  <c r="F37" i="45" s="1"/>
  <c r="E38" i="45"/>
  <c r="L28" i="27"/>
  <c r="F38" i="45" s="1"/>
  <c r="E39" i="45"/>
  <c r="L29" i="27"/>
  <c r="F39" i="45" s="1"/>
  <c r="E40" i="45"/>
  <c r="L30" i="27"/>
  <c r="F40" i="45" s="1"/>
  <c r="E41" i="45"/>
  <c r="L31" i="27"/>
  <c r="F41" i="45" s="1"/>
  <c r="E42" i="45"/>
  <c r="L32" i="27"/>
  <c r="E43" i="45"/>
  <c r="L33" i="27"/>
  <c r="F43" i="45"/>
  <c r="E44" i="45"/>
  <c r="L34" i="27"/>
  <c r="F44" i="45" s="1"/>
  <c r="M96" i="9"/>
  <c r="N96" i="9" s="1"/>
  <c r="E45" i="45"/>
  <c r="L35" i="27"/>
  <c r="F45" i="45" s="1"/>
  <c r="M97" i="9"/>
  <c r="N97" i="9" s="1"/>
  <c r="E46" i="45"/>
  <c r="L36" i="27"/>
  <c r="F46" i="45"/>
  <c r="J48" i="45"/>
  <c r="J49" i="45"/>
  <c r="J50" i="45"/>
  <c r="J51" i="45"/>
  <c r="J53" i="45"/>
  <c r="J54" i="45"/>
  <c r="C120" i="45"/>
  <c r="C110" i="45"/>
  <c r="C100" i="45"/>
  <c r="C90" i="45"/>
  <c r="K85" i="45"/>
  <c r="J85" i="45"/>
  <c r="I85" i="45"/>
  <c r="C80" i="45"/>
  <c r="K75" i="45"/>
  <c r="I72" i="45"/>
  <c r="K72" i="45"/>
  <c r="K71" i="45"/>
  <c r="K70" i="45"/>
  <c r="J70" i="45"/>
  <c r="I70" i="45"/>
  <c r="M70" i="45" s="1"/>
  <c r="C70" i="45"/>
  <c r="K69" i="45"/>
  <c r="K68" i="45"/>
  <c r="K67" i="45"/>
  <c r="C67" i="45"/>
  <c r="K66" i="45"/>
  <c r="C66" i="45"/>
  <c r="K65" i="45"/>
  <c r="C65" i="45"/>
  <c r="K64" i="45"/>
  <c r="C64" i="45"/>
  <c r="K63" i="45"/>
  <c r="L63" i="45" s="1"/>
  <c r="C63" i="45"/>
  <c r="C62" i="45"/>
  <c r="C61" i="45"/>
  <c r="J60" i="45"/>
  <c r="C60" i="45"/>
  <c r="C59" i="45"/>
  <c r="C58" i="45"/>
  <c r="J57" i="45"/>
  <c r="J56" i="45"/>
  <c r="K55" i="45"/>
  <c r="J55" i="45"/>
  <c r="I55" i="45"/>
  <c r="J52" i="45"/>
  <c r="C50" i="45"/>
  <c r="M182" i="27"/>
  <c r="E51" i="27"/>
  <c r="M172" i="27"/>
  <c r="E50" i="27"/>
  <c r="M162" i="27"/>
  <c r="E49" i="27"/>
  <c r="M152" i="27"/>
  <c r="E48" i="27"/>
  <c r="F48" i="27"/>
  <c r="M142" i="27"/>
  <c r="E46" i="27"/>
  <c r="M132" i="27"/>
  <c r="E44" i="27"/>
  <c r="F44" i="27"/>
  <c r="M129" i="27"/>
  <c r="M128" i="27"/>
  <c r="M127" i="27"/>
  <c r="M126" i="27"/>
  <c r="E43" i="27"/>
  <c r="F43" i="27"/>
  <c r="M125" i="27"/>
  <c r="M124" i="27"/>
  <c r="M123" i="27"/>
  <c r="M122" i="27"/>
  <c r="M121" i="27"/>
  <c r="M120" i="27"/>
  <c r="E42" i="27"/>
  <c r="M112" i="27"/>
  <c r="E59" i="27"/>
  <c r="F56" i="27"/>
  <c r="E56" i="27"/>
  <c r="E55" i="27"/>
  <c r="F54" i="27"/>
  <c r="E54" i="27"/>
  <c r="E53" i="27"/>
  <c r="E52" i="27"/>
  <c r="E47" i="27"/>
  <c r="X42" i="27"/>
  <c r="AC42" i="27" s="1"/>
  <c r="X13" i="27"/>
  <c r="Z14" i="27" s="1"/>
  <c r="X14" i="27"/>
  <c r="Z15" i="27"/>
  <c r="X15" i="27"/>
  <c r="Z16" i="27" s="1"/>
  <c r="X16" i="27"/>
  <c r="Z17" i="27" s="1"/>
  <c r="X17" i="27"/>
  <c r="Z18" i="27" s="1"/>
  <c r="X18" i="27"/>
  <c r="Z19" i="27" s="1"/>
  <c r="X19" i="27"/>
  <c r="Z20" i="27"/>
  <c r="X20" i="27"/>
  <c r="X21" i="27"/>
  <c r="Z22" i="27" s="1"/>
  <c r="X22" i="27"/>
  <c r="AC22" i="27" s="1"/>
  <c r="X23" i="27"/>
  <c r="Z24" i="27"/>
  <c r="X24" i="27"/>
  <c r="Z25" i="27" s="1"/>
  <c r="X25" i="27"/>
  <c r="Z26" i="27" s="1"/>
  <c r="X26" i="27"/>
  <c r="Z27" i="27" s="1"/>
  <c r="X27" i="27"/>
  <c r="Z28" i="27" s="1"/>
  <c r="X28" i="27"/>
  <c r="X29" i="27"/>
  <c r="Z30" i="27" s="1"/>
  <c r="X30" i="27"/>
  <c r="AC30" i="27" s="1"/>
  <c r="Z31" i="27"/>
  <c r="X31" i="27"/>
  <c r="Z32" i="27"/>
  <c r="X32" i="27"/>
  <c r="X33" i="27"/>
  <c r="Z34" i="27" s="1"/>
  <c r="X34" i="27"/>
  <c r="AC34" i="27" s="1"/>
  <c r="X35" i="27"/>
  <c r="Z36" i="27" s="1"/>
  <c r="X36" i="27"/>
  <c r="AC36" i="27" s="1"/>
  <c r="X37" i="27"/>
  <c r="Z38" i="27" s="1"/>
  <c r="X38" i="27"/>
  <c r="AC38" i="27" s="1"/>
  <c r="X39" i="27"/>
  <c r="AC39" i="27" s="1"/>
  <c r="X40" i="27"/>
  <c r="X41" i="27"/>
  <c r="Z42" i="27" s="1"/>
  <c r="AC37" i="27"/>
  <c r="AC35" i="27"/>
  <c r="AC33" i="27"/>
  <c r="M33" i="27"/>
  <c r="N33" i="27" s="1"/>
  <c r="M32" i="27"/>
  <c r="N32" i="27"/>
  <c r="M31" i="27"/>
  <c r="N31" i="27" s="1"/>
  <c r="M30" i="27"/>
  <c r="N30" i="27" s="1"/>
  <c r="M29" i="27"/>
  <c r="N29" i="27" s="1"/>
  <c r="M28" i="27"/>
  <c r="N28" i="27"/>
  <c r="M27" i="27"/>
  <c r="N27" i="27" s="1"/>
  <c r="M26" i="27"/>
  <c r="N26" i="27" s="1"/>
  <c r="M25" i="27"/>
  <c r="N25" i="27" s="1"/>
  <c r="M24" i="27"/>
  <c r="N24" i="27"/>
  <c r="M23" i="27"/>
  <c r="N23" i="27" s="1"/>
  <c r="M22" i="27"/>
  <c r="N22" i="27"/>
  <c r="M21" i="27"/>
  <c r="N21" i="27" s="1"/>
  <c r="M20" i="27"/>
  <c r="N20" i="27" s="1"/>
  <c r="M19" i="27"/>
  <c r="N19" i="27" s="1"/>
  <c r="M18" i="27"/>
  <c r="N18" i="27" s="1"/>
  <c r="M17" i="27"/>
  <c r="N17" i="27" s="1"/>
  <c r="M16" i="27"/>
  <c r="N16" i="27" s="1"/>
  <c r="M15" i="27"/>
  <c r="N15" i="27" s="1"/>
  <c r="M14" i="27"/>
  <c r="N14" i="27" s="1"/>
  <c r="I32" i="27"/>
  <c r="I29" i="27"/>
  <c r="I28" i="27"/>
  <c r="I27" i="27"/>
  <c r="I26" i="27"/>
  <c r="I25" i="27"/>
  <c r="I24" i="27"/>
  <c r="I23" i="27"/>
  <c r="I22" i="27"/>
  <c r="I21" i="27"/>
  <c r="I20" i="27"/>
  <c r="I18" i="27"/>
  <c r="I17" i="27"/>
  <c r="I16" i="27"/>
  <c r="AC31" i="27"/>
  <c r="AC29" i="27"/>
  <c r="AC26" i="27"/>
  <c r="AC25" i="27"/>
  <c r="AC24" i="27"/>
  <c r="AC23" i="27"/>
  <c r="AC19" i="27"/>
  <c r="AC14" i="27"/>
  <c r="AO79" i="28"/>
  <c r="AN79" i="28"/>
  <c r="AM79" i="28"/>
  <c r="AL79" i="28"/>
  <c r="AK79" i="28"/>
  <c r="AJ79" i="28"/>
  <c r="AI79" i="28"/>
  <c r="AH79" i="28"/>
  <c r="AG79" i="28"/>
  <c r="AO78" i="28"/>
  <c r="AN78" i="28"/>
  <c r="AM78" i="28"/>
  <c r="AL78" i="28"/>
  <c r="AK78" i="28"/>
  <c r="AJ78" i="28"/>
  <c r="AI78" i="28"/>
  <c r="AH78" i="28"/>
  <c r="AG78" i="28"/>
  <c r="AO77" i="28"/>
  <c r="AN77" i="28"/>
  <c r="AM77" i="28"/>
  <c r="AL77" i="28"/>
  <c r="AK77" i="28"/>
  <c r="AJ77" i="28"/>
  <c r="AI77" i="28"/>
  <c r="AH77" i="28"/>
  <c r="AG77" i="28"/>
  <c r="AO76" i="28"/>
  <c r="AN76" i="28"/>
  <c r="AM76" i="28"/>
  <c r="AL76" i="28"/>
  <c r="AK76" i="28"/>
  <c r="AJ76" i="28"/>
  <c r="AI76" i="28"/>
  <c r="AH76" i="28"/>
  <c r="AG76" i="28"/>
  <c r="AG75" i="28"/>
  <c r="AH75" i="28"/>
  <c r="AI75" i="28"/>
  <c r="AJ75" i="28"/>
  <c r="AK75" i="28"/>
  <c r="AL75" i="28"/>
  <c r="AM75" i="28"/>
  <c r="AN75" i="28"/>
  <c r="AO75" i="28"/>
  <c r="AO74" i="28"/>
  <c r="AN74" i="28"/>
  <c r="AM74" i="28"/>
  <c r="AL74" i="28"/>
  <c r="AK74" i="28"/>
  <c r="AJ74" i="28"/>
  <c r="AI74" i="28"/>
  <c r="AH74" i="28"/>
  <c r="AG74" i="28"/>
  <c r="AO73" i="28"/>
  <c r="AN73" i="28"/>
  <c r="AM73" i="28"/>
  <c r="AL73" i="28"/>
  <c r="AK73" i="28"/>
  <c r="AJ73" i="28"/>
  <c r="AI73" i="28"/>
  <c r="AH73" i="28"/>
  <c r="AG73" i="28"/>
  <c r="AO72" i="28"/>
  <c r="AN72" i="28"/>
  <c r="AM72" i="28"/>
  <c r="AL72" i="28"/>
  <c r="AK72" i="28"/>
  <c r="AJ72" i="28"/>
  <c r="AI72" i="28"/>
  <c r="AH72" i="28"/>
  <c r="AG72" i="28"/>
  <c r="AO71" i="28"/>
  <c r="AN71" i="28"/>
  <c r="AM71" i="28"/>
  <c r="AL71" i="28"/>
  <c r="AK71" i="28"/>
  <c r="AJ71" i="28"/>
  <c r="AI71" i="28"/>
  <c r="AH71" i="28"/>
  <c r="AG71" i="28"/>
  <c r="AO70" i="28"/>
  <c r="AN70" i="28"/>
  <c r="AM70" i="28"/>
  <c r="AL70" i="28"/>
  <c r="AK70" i="28"/>
  <c r="AJ70" i="28"/>
  <c r="AI70" i="28"/>
  <c r="AH70" i="28"/>
  <c r="AG70" i="28"/>
  <c r="U65" i="28"/>
  <c r="U64" i="28"/>
  <c r="E53" i="28"/>
  <c r="F53" i="28" s="1"/>
  <c r="E52" i="28"/>
  <c r="G52" i="28" s="1"/>
  <c r="E51" i="28"/>
  <c r="F51" i="28" s="1"/>
  <c r="E50" i="28"/>
  <c r="H50" i="28" s="1"/>
  <c r="E49" i="28"/>
  <c r="G49" i="28" s="1"/>
  <c r="E48" i="28"/>
  <c r="F48" i="28" s="1"/>
  <c r="C37" i="28"/>
  <c r="E13" i="28"/>
  <c r="F13" i="28"/>
  <c r="G68" i="1"/>
  <c r="G67" i="1"/>
  <c r="G66" i="1"/>
  <c r="G65" i="1"/>
  <c r="D99" i="1"/>
  <c r="C114" i="41"/>
  <c r="W4" i="5"/>
  <c r="AD4" i="5" s="1"/>
  <c r="AI4" i="5"/>
  <c r="R5" i="5"/>
  <c r="AI5" i="5"/>
  <c r="W6" i="5"/>
  <c r="U6" i="5"/>
  <c r="T6" i="5"/>
  <c r="S6" i="5"/>
  <c r="AI6" i="5"/>
  <c r="I97" i="7"/>
  <c r="G97" i="7"/>
  <c r="F97" i="7"/>
  <c r="D97" i="7"/>
  <c r="C97" i="7"/>
  <c r="E131" i="39"/>
  <c r="E130" i="39"/>
  <c r="D130" i="39"/>
  <c r="C102" i="9"/>
  <c r="K97" i="7"/>
  <c r="K93" i="7"/>
  <c r="K95" i="7"/>
  <c r="M110" i="6"/>
  <c r="O119" i="39"/>
  <c r="K118" i="39"/>
  <c r="L118" i="39"/>
  <c r="M118" i="39"/>
  <c r="N118" i="39"/>
  <c r="O118" i="39"/>
  <c r="K117" i="39"/>
  <c r="L117" i="39"/>
  <c r="M117" i="39"/>
  <c r="N117" i="39"/>
  <c r="O117" i="39"/>
  <c r="K116" i="39"/>
  <c r="L116" i="39"/>
  <c r="M116" i="39"/>
  <c r="N116" i="39"/>
  <c r="O116" i="39"/>
  <c r="N115" i="39"/>
  <c r="O115" i="39"/>
  <c r="K114" i="39"/>
  <c r="L114" i="39"/>
  <c r="M114" i="39"/>
  <c r="N114" i="39"/>
  <c r="O114" i="39"/>
  <c r="K113" i="39"/>
  <c r="L113" i="39"/>
  <c r="M113" i="39"/>
  <c r="N113" i="39"/>
  <c r="O113" i="39"/>
  <c r="K111" i="39"/>
  <c r="N111" i="39"/>
  <c r="O111" i="39"/>
  <c r="K110" i="39"/>
  <c r="L110" i="39"/>
  <c r="M110" i="39"/>
  <c r="N110" i="39"/>
  <c r="O110" i="39"/>
  <c r="Z19" i="5"/>
  <c r="AA19" i="5"/>
  <c r="AB19" i="5"/>
  <c r="V19" i="5"/>
  <c r="AC19" i="5" s="1"/>
  <c r="AD19" i="5"/>
  <c r="X19" i="5"/>
  <c r="AE19" i="5" s="1"/>
  <c r="Y18" i="5"/>
  <c r="Z18" i="5"/>
  <c r="AA18" i="5"/>
  <c r="AB18" i="5"/>
  <c r="AF18" i="5" s="1"/>
  <c r="V18" i="5"/>
  <c r="AC18" i="5"/>
  <c r="AD18" i="5"/>
  <c r="X18" i="5"/>
  <c r="AE18" i="5"/>
  <c r="Y17" i="5"/>
  <c r="Z17" i="5"/>
  <c r="V17" i="5"/>
  <c r="AC17" i="5" s="1"/>
  <c r="AD17" i="5"/>
  <c r="X17" i="5"/>
  <c r="AE17" i="5" s="1"/>
  <c r="Y16" i="5"/>
  <c r="Z16" i="5"/>
  <c r="AA16" i="5"/>
  <c r="AB16" i="5"/>
  <c r="V16" i="5"/>
  <c r="AC16" i="5" s="1"/>
  <c r="AD16" i="5"/>
  <c r="X16" i="5"/>
  <c r="AE16" i="5" s="1"/>
  <c r="AA15" i="5"/>
  <c r="AB15" i="5"/>
  <c r="V15" i="5"/>
  <c r="AC15" i="5" s="1"/>
  <c r="AD15" i="5"/>
  <c r="X15" i="5"/>
  <c r="AE15" i="5" s="1"/>
  <c r="Y14" i="5"/>
  <c r="Z14" i="5"/>
  <c r="AA14" i="5"/>
  <c r="AB14" i="5"/>
  <c r="V14" i="5"/>
  <c r="AC14" i="5"/>
  <c r="AD14" i="5"/>
  <c r="X14" i="5"/>
  <c r="AE14" i="5" s="1"/>
  <c r="AF14" i="5" s="1"/>
  <c r="Y13" i="5"/>
  <c r="Z13" i="5"/>
  <c r="AA13" i="5"/>
  <c r="AB13" i="5"/>
  <c r="V13" i="5"/>
  <c r="AC13" i="5" s="1"/>
  <c r="AD13" i="5"/>
  <c r="X13" i="5"/>
  <c r="AE13" i="5" s="1"/>
  <c r="Y11" i="5"/>
  <c r="Z11" i="5"/>
  <c r="AA11" i="5"/>
  <c r="AB11" i="5"/>
  <c r="V11" i="5"/>
  <c r="AC11" i="5" s="1"/>
  <c r="AD11" i="5"/>
  <c r="X11" i="5"/>
  <c r="AE11" i="5" s="1"/>
  <c r="AC10" i="5"/>
  <c r="AE10" i="5"/>
  <c r="E112" i="41"/>
  <c r="G112" i="41" s="1"/>
  <c r="E102" i="41"/>
  <c r="G102" i="41" s="1"/>
  <c r="E15" i="10"/>
  <c r="E14" i="10"/>
  <c r="D14" i="10"/>
  <c r="I71" i="45"/>
  <c r="E41" i="27"/>
  <c r="E45" i="27"/>
  <c r="A12" i="29"/>
  <c r="A13" i="29"/>
  <c r="G10" i="29"/>
  <c r="H10" i="29" s="1"/>
  <c r="BE4" i="36" s="1"/>
  <c r="E69" i="29"/>
  <c r="F98" i="29" s="1"/>
  <c r="H98" i="29" s="1"/>
  <c r="BI87" i="36" s="1"/>
  <c r="E70" i="29"/>
  <c r="V81" i="29" s="1"/>
  <c r="X81" i="29" s="1"/>
  <c r="O210" i="29"/>
  <c r="O211" i="29"/>
  <c r="O212" i="29"/>
  <c r="O213" i="29"/>
  <c r="O214" i="29"/>
  <c r="O215" i="29"/>
  <c r="O216" i="29"/>
  <c r="O217" i="29"/>
  <c r="O209" i="29"/>
  <c r="N152" i="29"/>
  <c r="P152" i="29" s="1"/>
  <c r="BR204" i="36" s="1"/>
  <c r="N163" i="29"/>
  <c r="P163" i="29" s="1"/>
  <c r="N174" i="29"/>
  <c r="P174" i="29" s="1"/>
  <c r="F117" i="29"/>
  <c r="H117" i="29" s="1"/>
  <c r="F136" i="29"/>
  <c r="H136" i="29" s="1"/>
  <c r="F204" i="29"/>
  <c r="H204" i="29" s="1"/>
  <c r="BI445" i="36" s="1"/>
  <c r="B9" i="9"/>
  <c r="B10" i="9"/>
  <c r="B11" i="9"/>
  <c r="B12" i="9"/>
  <c r="B13" i="9"/>
  <c r="B14" i="9"/>
  <c r="E14" i="9" s="1"/>
  <c r="B15" i="9"/>
  <c r="B17" i="9"/>
  <c r="E17" i="9" s="1"/>
  <c r="B18" i="9"/>
  <c r="B19" i="9"/>
  <c r="B20" i="9"/>
  <c r="B21" i="9"/>
  <c r="B22" i="9"/>
  <c r="B23" i="9"/>
  <c r="B34" i="9"/>
  <c r="B35" i="9"/>
  <c r="B8" i="9"/>
  <c r="D13" i="27"/>
  <c r="D14" i="27" s="1"/>
  <c r="R15" i="27" s="1"/>
  <c r="N75" i="9"/>
  <c r="N76" i="9"/>
  <c r="N78" i="9"/>
  <c r="N80" i="9"/>
  <c r="N86" i="9"/>
  <c r="N87" i="9"/>
  <c r="N93" i="9"/>
  <c r="N94" i="9"/>
  <c r="F15" i="28"/>
  <c r="C7" i="28" s="1"/>
  <c r="C16" i="28"/>
  <c r="M16" i="28" s="1"/>
  <c r="E91" i="28"/>
  <c r="N91" i="28" s="1"/>
  <c r="E23" i="45"/>
  <c r="F52" i="45"/>
  <c r="F51" i="45"/>
  <c r="F53" i="45"/>
  <c r="F54" i="45"/>
  <c r="F55" i="45"/>
  <c r="F57" i="45"/>
  <c r="F68" i="45"/>
  <c r="F69" i="45"/>
  <c r="F71" i="45"/>
  <c r="F72" i="45"/>
  <c r="F73" i="45"/>
  <c r="F74" i="45"/>
  <c r="F75" i="45"/>
  <c r="F77" i="45"/>
  <c r="F78" i="45"/>
  <c r="F79" i="45"/>
  <c r="F83" i="45"/>
  <c r="D24" i="2"/>
  <c r="E24" i="2" s="1"/>
  <c r="E77" i="1"/>
  <c r="D25" i="2"/>
  <c r="D27" i="2"/>
  <c r="E27" i="2" s="1"/>
  <c r="D28" i="2"/>
  <c r="D29" i="2"/>
  <c r="D30" i="2"/>
  <c r="E30" i="2" s="1"/>
  <c r="M130" i="27"/>
  <c r="M131" i="27"/>
  <c r="M133" i="27"/>
  <c r="M134" i="27"/>
  <c r="M135" i="27"/>
  <c r="M136" i="27"/>
  <c r="M137" i="27"/>
  <c r="M138" i="27"/>
  <c r="M139" i="27"/>
  <c r="M140" i="27"/>
  <c r="M141" i="27"/>
  <c r="M143" i="27"/>
  <c r="M144" i="27"/>
  <c r="M145" i="27"/>
  <c r="M146" i="27"/>
  <c r="M147" i="27"/>
  <c r="M148" i="27"/>
  <c r="M149" i="27"/>
  <c r="M150" i="27"/>
  <c r="M151" i="27"/>
  <c r="M153" i="27"/>
  <c r="M154" i="27"/>
  <c r="M155" i="27"/>
  <c r="M156" i="27"/>
  <c r="M157" i="27"/>
  <c r="M158" i="27"/>
  <c r="M159" i="27"/>
  <c r="M160" i="27"/>
  <c r="M161" i="27"/>
  <c r="M163" i="27"/>
  <c r="M164" i="27"/>
  <c r="M165" i="27"/>
  <c r="M166" i="27"/>
  <c r="M167" i="27"/>
  <c r="M168" i="27"/>
  <c r="M169" i="27"/>
  <c r="M170" i="27"/>
  <c r="M171" i="27"/>
  <c r="M173" i="27"/>
  <c r="M174" i="27"/>
  <c r="M175" i="27"/>
  <c r="M176" i="27"/>
  <c r="M177" i="27"/>
  <c r="M178" i="27"/>
  <c r="M179" i="27"/>
  <c r="M180" i="27"/>
  <c r="M181" i="27"/>
  <c r="M183" i="27"/>
  <c r="M184" i="27"/>
  <c r="M185" i="27"/>
  <c r="M113" i="27"/>
  <c r="M114" i="27"/>
  <c r="M115" i="27"/>
  <c r="M116" i="27"/>
  <c r="M117" i="27"/>
  <c r="M118" i="27"/>
  <c r="M119" i="27"/>
  <c r="G13" i="29"/>
  <c r="H13" i="29" s="1"/>
  <c r="CF4" i="36" s="1"/>
  <c r="G11" i="29"/>
  <c r="H11" i="29" s="1"/>
  <c r="BN4" i="36" s="1"/>
  <c r="J47" i="45"/>
  <c r="L47" i="45" s="1"/>
  <c r="V4" i="45" s="1"/>
  <c r="W4" i="45" s="1"/>
  <c r="K47" i="45"/>
  <c r="I81" i="45"/>
  <c r="K48" i="45"/>
  <c r="I83" i="45"/>
  <c r="K50" i="45"/>
  <c r="I86" i="45"/>
  <c r="K53" i="45"/>
  <c r="I89" i="45"/>
  <c r="C25" i="46"/>
  <c r="C23" i="46"/>
  <c r="E23" i="46" s="1"/>
  <c r="E65" i="32" s="1"/>
  <c r="C24" i="46"/>
  <c r="F14" i="30"/>
  <c r="I14" i="30" s="1"/>
  <c r="O42" i="30"/>
  <c r="O44" i="30" s="1"/>
  <c r="P42" i="30"/>
  <c r="P46" i="30" s="1"/>
  <c r="Q42" i="30"/>
  <c r="Q46" i="30" s="1"/>
  <c r="F15" i="30"/>
  <c r="O43" i="30"/>
  <c r="O45" i="30" s="1"/>
  <c r="P43" i="30"/>
  <c r="P45" i="30" s="1"/>
  <c r="Q43" i="30"/>
  <c r="Q45" i="30" s="1"/>
  <c r="F13" i="30"/>
  <c r="O41" i="30"/>
  <c r="O47" i="30" s="1"/>
  <c r="P41" i="30"/>
  <c r="P47" i="30" s="1"/>
  <c r="Q41" i="30"/>
  <c r="Q47" i="30" s="1"/>
  <c r="E84" i="28"/>
  <c r="N84" i="28" s="1"/>
  <c r="E87" i="28"/>
  <c r="N87" i="28" s="1"/>
  <c r="E89" i="28"/>
  <c r="N89" i="28" s="1"/>
  <c r="E90" i="28"/>
  <c r="N90" i="28" s="1"/>
  <c r="E92" i="28"/>
  <c r="N92" i="28" s="1"/>
  <c r="E93" i="28"/>
  <c r="N93" i="28" s="1"/>
  <c r="L94" i="41"/>
  <c r="L99" i="41"/>
  <c r="L109" i="41"/>
  <c r="Q37" i="41"/>
  <c r="R37" i="41"/>
  <c r="Q38" i="41"/>
  <c r="Q40" i="41"/>
  <c r="R40" i="41"/>
  <c r="Q41" i="41"/>
  <c r="Q43" i="41"/>
  <c r="R43" i="41"/>
  <c r="R46" i="41"/>
  <c r="R47" i="41"/>
  <c r="Q48" i="41"/>
  <c r="Q49" i="41"/>
  <c r="R50" i="41"/>
  <c r="R51" i="41"/>
  <c r="Q52" i="41"/>
  <c r="R55" i="41"/>
  <c r="Q56" i="41"/>
  <c r="Q57" i="41"/>
  <c r="R58" i="41"/>
  <c r="R59" i="41"/>
  <c r="Q60" i="41"/>
  <c r="R60" i="41"/>
  <c r="Q61" i="41"/>
  <c r="R63" i="41"/>
  <c r="R65" i="41"/>
  <c r="Q66" i="41"/>
  <c r="R68" i="41"/>
  <c r="Q69" i="41"/>
  <c r="R69" i="41"/>
  <c r="Q70" i="41"/>
  <c r="R70" i="41"/>
  <c r="Q71" i="41"/>
  <c r="Q72" i="41"/>
  <c r="R73" i="41"/>
  <c r="R75" i="41"/>
  <c r="Q76" i="41"/>
  <c r="R76" i="41"/>
  <c r="Q77" i="41"/>
  <c r="R79" i="41"/>
  <c r="Q80" i="41"/>
  <c r="R80" i="41"/>
  <c r="R81" i="41"/>
  <c r="Q35" i="41"/>
  <c r="Q81" i="41"/>
  <c r="Q75" i="41"/>
  <c r="Q64" i="41"/>
  <c r="Q59" i="41"/>
  <c r="Q54" i="41"/>
  <c r="Q50" i="41"/>
  <c r="Q46" i="41"/>
  <c r="Q78" i="41"/>
  <c r="Q67" i="41"/>
  <c r="Q62" i="41"/>
  <c r="Q53" i="41"/>
  <c r="Q45" i="41"/>
  <c r="Q42" i="41"/>
  <c r="Q39" i="41"/>
  <c r="Q36" i="41"/>
  <c r="CF5" i="36"/>
  <c r="CF3" i="36"/>
  <c r="CF2" i="36"/>
  <c r="BN5" i="36"/>
  <c r="BN3" i="36"/>
  <c r="BN2" i="36"/>
  <c r="A11" i="29"/>
  <c r="AV2" i="36"/>
  <c r="AV5" i="36"/>
  <c r="A9" i="29"/>
  <c r="A10" i="29"/>
  <c r="BE6" i="24"/>
  <c r="BE7" i="24"/>
  <c r="BE8" i="24"/>
  <c r="BE9" i="24"/>
  <c r="BE11" i="24"/>
  <c r="BE14" i="24"/>
  <c r="BE33" i="24"/>
  <c r="AY30" i="6"/>
  <c r="AY31" i="6"/>
  <c r="AY33" i="6"/>
  <c r="AY34" i="6"/>
  <c r="AY35" i="6"/>
  <c r="AY36" i="6"/>
  <c r="AY37" i="6"/>
  <c r="AY38" i="6"/>
  <c r="AY39" i="6"/>
  <c r="AY40" i="6"/>
  <c r="AY41" i="6"/>
  <c r="AY43" i="6"/>
  <c r="AY44" i="6"/>
  <c r="AY45" i="6"/>
  <c r="AY46" i="6"/>
  <c r="AY47" i="6"/>
  <c r="AY48" i="6"/>
  <c r="AY19" i="6"/>
  <c r="AA6" i="5"/>
  <c r="AA8" i="5"/>
  <c r="AA33" i="5"/>
  <c r="C86" i="41"/>
  <c r="E86" i="41" s="1"/>
  <c r="G86" i="41" s="1"/>
  <c r="C87" i="41"/>
  <c r="E87" i="41" s="1"/>
  <c r="G87" i="41" s="1"/>
  <c r="C88" i="41"/>
  <c r="E88" i="41" s="1"/>
  <c r="G88" i="41" s="1"/>
  <c r="E89" i="41"/>
  <c r="G89" i="41" s="1"/>
  <c r="E90" i="41"/>
  <c r="G90" i="41" s="1"/>
  <c r="E91" i="41"/>
  <c r="G91" i="41" s="1"/>
  <c r="E94" i="41"/>
  <c r="G94" i="41" s="1"/>
  <c r="E95" i="41"/>
  <c r="G95" i="41" s="1"/>
  <c r="E97" i="41"/>
  <c r="G97" i="41" s="1"/>
  <c r="E101" i="41"/>
  <c r="G101" i="41" s="1"/>
  <c r="C103" i="41"/>
  <c r="E103" i="41" s="1"/>
  <c r="G103" i="41" s="1"/>
  <c r="E104" i="41"/>
  <c r="G104" i="41" s="1"/>
  <c r="C105" i="41"/>
  <c r="E105" i="41" s="1"/>
  <c r="G105" i="41" s="1"/>
  <c r="C106" i="41"/>
  <c r="E106" i="41" s="1"/>
  <c r="G106" i="41" s="1"/>
  <c r="C107" i="41"/>
  <c r="E107" i="41" s="1"/>
  <c r="G107" i="41" s="1"/>
  <c r="C108" i="41"/>
  <c r="E108" i="41" s="1"/>
  <c r="G108" i="41" s="1"/>
  <c r="C109" i="41"/>
  <c r="E109" i="41" s="1"/>
  <c r="G109" i="41" s="1"/>
  <c r="C110" i="41"/>
  <c r="E110" i="41" s="1"/>
  <c r="G110" i="41" s="1"/>
  <c r="E111" i="41"/>
  <c r="G111" i="41" s="1"/>
  <c r="C113" i="41"/>
  <c r="E113" i="41" s="1"/>
  <c r="G113" i="41" s="1"/>
  <c r="E114" i="41"/>
  <c r="G114" i="41" s="1"/>
  <c r="C85" i="41"/>
  <c r="AA13" i="27"/>
  <c r="F11" i="10"/>
  <c r="G11" i="10"/>
  <c r="H11" i="10"/>
  <c r="F12" i="10"/>
  <c r="G12" i="10"/>
  <c r="H12" i="10"/>
  <c r="F13" i="10"/>
  <c r="G13" i="10"/>
  <c r="H13" i="10"/>
  <c r="F14" i="10"/>
  <c r="G14" i="10"/>
  <c r="H14" i="10"/>
  <c r="F15" i="10"/>
  <c r="G15" i="10"/>
  <c r="H15" i="10"/>
  <c r="F16" i="10"/>
  <c r="G16" i="10"/>
  <c r="H16" i="10"/>
  <c r="F17" i="10"/>
  <c r="G17" i="10"/>
  <c r="H17" i="10"/>
  <c r="F19" i="10"/>
  <c r="G19" i="10"/>
  <c r="H19" i="10"/>
  <c r="F20" i="10"/>
  <c r="G20" i="10"/>
  <c r="H20" i="10"/>
  <c r="G10" i="10"/>
  <c r="H10" i="10"/>
  <c r="F10" i="10"/>
  <c r="E57" i="27"/>
  <c r="E58" i="27"/>
  <c r="E60" i="27"/>
  <c r="E61" i="27"/>
  <c r="E62" i="27"/>
  <c r="E63" i="27"/>
  <c r="R13" i="27"/>
  <c r="C75" i="9"/>
  <c r="C76" i="9"/>
  <c r="C77" i="9"/>
  <c r="C78" i="9"/>
  <c r="C79" i="9"/>
  <c r="C80" i="9"/>
  <c r="C81" i="9"/>
  <c r="C83" i="9"/>
  <c r="C84" i="9"/>
  <c r="C85" i="9"/>
  <c r="C86" i="9"/>
  <c r="C87" i="9"/>
  <c r="C88" i="9"/>
  <c r="C89" i="9"/>
  <c r="C90" i="9"/>
  <c r="C91" i="9"/>
  <c r="C93" i="9"/>
  <c r="C94" i="9"/>
  <c r="C95" i="9"/>
  <c r="C96" i="9"/>
  <c r="C97" i="9"/>
  <c r="C98" i="9"/>
  <c r="C99" i="9"/>
  <c r="C100" i="9"/>
  <c r="C101" i="9"/>
  <c r="C103" i="9"/>
  <c r="C74" i="9"/>
  <c r="AZ5" i="24"/>
  <c r="AZ6" i="24"/>
  <c r="AZ7" i="24"/>
  <c r="AZ8" i="24"/>
  <c r="AZ9" i="24"/>
  <c r="AZ10" i="24"/>
  <c r="AZ11" i="24"/>
  <c r="AZ12" i="24"/>
  <c r="AZ13" i="24"/>
  <c r="AZ14" i="24"/>
  <c r="AZ15" i="24"/>
  <c r="AZ16" i="24"/>
  <c r="AZ17" i="24"/>
  <c r="AZ18" i="24"/>
  <c r="AZ19" i="24"/>
  <c r="AZ20" i="24"/>
  <c r="AZ21" i="24"/>
  <c r="AZ22" i="24"/>
  <c r="AZ23" i="24"/>
  <c r="AZ24" i="24"/>
  <c r="AZ25" i="24"/>
  <c r="AZ26" i="24"/>
  <c r="AZ27" i="24"/>
  <c r="AZ28" i="24"/>
  <c r="AZ29" i="24"/>
  <c r="AZ30" i="24"/>
  <c r="AZ31" i="24"/>
  <c r="AZ32" i="24"/>
  <c r="AZ33" i="24"/>
  <c r="AZ4" i="24"/>
  <c r="H93" i="7"/>
  <c r="H95" i="7"/>
  <c r="H97" i="7"/>
  <c r="D5" i="32"/>
  <c r="D6" i="32" s="1"/>
  <c r="D7" i="32" s="1"/>
  <c r="AV30" i="6"/>
  <c r="AW30" i="6"/>
  <c r="AX30" i="6"/>
  <c r="AZ30" i="6"/>
  <c r="BA30" i="6"/>
  <c r="BB30" i="6"/>
  <c r="AV31" i="6"/>
  <c r="AW31" i="6"/>
  <c r="AX31" i="6"/>
  <c r="AZ31" i="6"/>
  <c r="BA31" i="6"/>
  <c r="BB31" i="6"/>
  <c r="AV33" i="6"/>
  <c r="AW33" i="6"/>
  <c r="AX33" i="6"/>
  <c r="AZ33" i="6"/>
  <c r="BA33" i="6"/>
  <c r="BB33" i="6"/>
  <c r="AV34" i="6"/>
  <c r="AW34" i="6"/>
  <c r="AX34" i="6"/>
  <c r="AZ34" i="6"/>
  <c r="BA34" i="6"/>
  <c r="BB34" i="6"/>
  <c r="AV35" i="6"/>
  <c r="AW35" i="6"/>
  <c r="AX35" i="6"/>
  <c r="AZ35" i="6"/>
  <c r="BA35" i="6"/>
  <c r="BB35" i="6"/>
  <c r="AV36" i="6"/>
  <c r="AW36" i="6"/>
  <c r="AX36" i="6"/>
  <c r="AZ36" i="6"/>
  <c r="BA36" i="6"/>
  <c r="BB36" i="6"/>
  <c r="AV37" i="6"/>
  <c r="AW37" i="6"/>
  <c r="AX37" i="6"/>
  <c r="AZ37" i="6"/>
  <c r="BA37" i="6"/>
  <c r="BB37" i="6"/>
  <c r="AV38" i="6"/>
  <c r="AW38" i="6"/>
  <c r="AX38" i="6"/>
  <c r="AZ38" i="6"/>
  <c r="BA38" i="6"/>
  <c r="BB38" i="6"/>
  <c r="AV39" i="6"/>
  <c r="AW39" i="6"/>
  <c r="AX39" i="6"/>
  <c r="AZ39" i="6"/>
  <c r="BA39" i="6"/>
  <c r="BB39" i="6"/>
  <c r="AV40" i="6"/>
  <c r="AW40" i="6"/>
  <c r="AX40" i="6"/>
  <c r="AZ40" i="6"/>
  <c r="BA40" i="6"/>
  <c r="BB40" i="6"/>
  <c r="AV41" i="6"/>
  <c r="AW41" i="6"/>
  <c r="AX41" i="6"/>
  <c r="AZ41" i="6"/>
  <c r="BA41" i="6"/>
  <c r="BB41" i="6"/>
  <c r="AV43" i="6"/>
  <c r="AW43" i="6"/>
  <c r="AX43" i="6"/>
  <c r="AZ43" i="6"/>
  <c r="BA43" i="6"/>
  <c r="BB43" i="6"/>
  <c r="AV44" i="6"/>
  <c r="AW44" i="6"/>
  <c r="AX44" i="6"/>
  <c r="AZ44" i="6"/>
  <c r="BA44" i="6"/>
  <c r="BB44" i="6"/>
  <c r="AV45" i="6"/>
  <c r="AW45" i="6"/>
  <c r="AX45" i="6"/>
  <c r="AZ45" i="6"/>
  <c r="BA45" i="6"/>
  <c r="BB45" i="6"/>
  <c r="AV46" i="6"/>
  <c r="AW46" i="6"/>
  <c r="AX46" i="6"/>
  <c r="AZ46" i="6"/>
  <c r="BA46" i="6"/>
  <c r="BB46" i="6"/>
  <c r="AV47" i="6"/>
  <c r="AW47" i="6"/>
  <c r="AX47" i="6"/>
  <c r="AZ47" i="6"/>
  <c r="BA47" i="6"/>
  <c r="BB47" i="6"/>
  <c r="AV48" i="6"/>
  <c r="AW48" i="6"/>
  <c r="AX48" i="6"/>
  <c r="AZ48" i="6"/>
  <c r="BA48" i="6"/>
  <c r="BB48" i="6"/>
  <c r="AW19" i="6"/>
  <c r="AX19" i="6"/>
  <c r="AZ19" i="6"/>
  <c r="BA19" i="6"/>
  <c r="BB19" i="6"/>
  <c r="AV19" i="6"/>
  <c r="E8" i="6"/>
  <c r="G7" i="6"/>
  <c r="H7" i="6"/>
  <c r="E7" i="6"/>
  <c r="H8" i="6"/>
  <c r="F35" i="2"/>
  <c r="F34" i="2"/>
  <c r="AX5" i="5"/>
  <c r="AX6" i="5"/>
  <c r="AX8" i="5"/>
  <c r="AX7" i="5"/>
  <c r="AX10" i="5"/>
  <c r="AX9" i="5"/>
  <c r="AX4" i="5"/>
  <c r="AU6" i="5"/>
  <c r="AV6" i="5"/>
  <c r="J93" i="7" s="1"/>
  <c r="AU7" i="5"/>
  <c r="AV7" i="5" s="1"/>
  <c r="AU9" i="5"/>
  <c r="AV9" i="5"/>
  <c r="J97" i="7" s="1"/>
  <c r="AT5" i="5"/>
  <c r="AT6" i="5"/>
  <c r="AT7" i="5"/>
  <c r="C6" i="26"/>
  <c r="AD4" i="26" s="1"/>
  <c r="E4" i="26"/>
  <c r="T6" i="26"/>
  <c r="T8" i="26" s="1"/>
  <c r="T10" i="26" s="1"/>
  <c r="T12" i="26" s="1"/>
  <c r="T14" i="26" s="1"/>
  <c r="T16" i="26" s="1"/>
  <c r="T18" i="26" s="1"/>
  <c r="T20" i="26" s="1"/>
  <c r="T22" i="26" s="1"/>
  <c r="T24" i="26" s="1"/>
  <c r="T26" i="26" s="1"/>
  <c r="T28" i="26" s="1"/>
  <c r="T30" i="26" s="1"/>
  <c r="T32" i="26" s="1"/>
  <c r="T34" i="26" s="1"/>
  <c r="T36" i="26" s="1"/>
  <c r="T38" i="26" s="1"/>
  <c r="T40" i="26" s="1"/>
  <c r="T42" i="26" s="1"/>
  <c r="T44" i="26" s="1"/>
  <c r="T46" i="26" s="1"/>
  <c r="T48" i="26" s="1"/>
  <c r="T50" i="26" s="1"/>
  <c r="T52" i="26" s="1"/>
  <c r="T54" i="26" s="1"/>
  <c r="T56" i="26" s="1"/>
  <c r="T58" i="26" s="1"/>
  <c r="T60" i="26" s="1"/>
  <c r="T62" i="26" s="1"/>
  <c r="T7" i="26"/>
  <c r="T9" i="26" s="1"/>
  <c r="T11" i="26" s="1"/>
  <c r="T13" i="26" s="1"/>
  <c r="T15" i="26" s="1"/>
  <c r="T17" i="26" s="1"/>
  <c r="T19" i="26" s="1"/>
  <c r="T21" i="26" s="1"/>
  <c r="T23" i="26" s="1"/>
  <c r="T25" i="26" s="1"/>
  <c r="T27" i="26" s="1"/>
  <c r="T29" i="26" s="1"/>
  <c r="T31" i="26" s="1"/>
  <c r="T33" i="26" s="1"/>
  <c r="T35" i="26" s="1"/>
  <c r="T37" i="26" s="1"/>
  <c r="T39" i="26" s="1"/>
  <c r="T41" i="26" s="1"/>
  <c r="T43" i="26" s="1"/>
  <c r="T45" i="26" s="1"/>
  <c r="T47" i="26" s="1"/>
  <c r="T49" i="26" s="1"/>
  <c r="T51" i="26" s="1"/>
  <c r="T53" i="26" s="1"/>
  <c r="T55" i="26" s="1"/>
  <c r="T57" i="26" s="1"/>
  <c r="T59" i="26" s="1"/>
  <c r="T61" i="26" s="1"/>
  <c r="T63" i="26" s="1"/>
  <c r="C17" i="26"/>
  <c r="AD15" i="26" s="1"/>
  <c r="C18" i="26"/>
  <c r="AD16" i="26" s="1"/>
  <c r="C20" i="26"/>
  <c r="BO18" i="26" s="1"/>
  <c r="BP18" i="26" s="1"/>
  <c r="C21" i="26"/>
  <c r="C22" i="26"/>
  <c r="AD20" i="26" s="1"/>
  <c r="C23" i="26"/>
  <c r="AD21" i="26" s="1"/>
  <c r="C24" i="26"/>
  <c r="AD22" i="26" s="1"/>
  <c r="C25" i="26"/>
  <c r="BO23" i="26" s="1"/>
  <c r="C26" i="26"/>
  <c r="C27" i="26"/>
  <c r="BO25" i="26" s="1"/>
  <c r="C28" i="26"/>
  <c r="C30" i="26"/>
  <c r="C32" i="26"/>
  <c r="AD30" i="26" s="1"/>
  <c r="C33" i="26"/>
  <c r="BO31" i="26" s="1"/>
  <c r="E7" i="26"/>
  <c r="E8" i="26"/>
  <c r="E9" i="26"/>
  <c r="E10" i="26"/>
  <c r="B32" i="31"/>
  <c r="B24" i="31"/>
  <c r="B25" i="31"/>
  <c r="B26" i="31"/>
  <c r="B27" i="31"/>
  <c r="B28" i="31"/>
  <c r="B30" i="31"/>
  <c r="B31" i="31"/>
  <c r="B21" i="31"/>
  <c r="I4" i="45"/>
  <c r="B54" i="29"/>
  <c r="B55" i="29"/>
  <c r="B56" i="29"/>
  <c r="B57" i="29"/>
  <c r="B58" i="29"/>
  <c r="B59" i="29"/>
  <c r="B60" i="29"/>
  <c r="B61" i="29"/>
  <c r="B62" i="29"/>
  <c r="B64" i="29"/>
  <c r="B65" i="29"/>
  <c r="K103" i="39"/>
  <c r="N103" i="39"/>
  <c r="O103" i="39"/>
  <c r="K104" i="39"/>
  <c r="N104" i="39"/>
  <c r="O104" i="39"/>
  <c r="N105" i="39"/>
  <c r="O105" i="39"/>
  <c r="N106" i="39"/>
  <c r="O106" i="39"/>
  <c r="N107" i="39"/>
  <c r="O107" i="39"/>
  <c r="O108" i="39"/>
  <c r="O109" i="39"/>
  <c r="O130" i="39"/>
  <c r="D103" i="39"/>
  <c r="D104" i="39"/>
  <c r="D105" i="39"/>
  <c r="D106" i="39"/>
  <c r="D107" i="39"/>
  <c r="D108" i="39"/>
  <c r="D109" i="39"/>
  <c r="D111" i="39"/>
  <c r="D112" i="39"/>
  <c r="D113" i="39"/>
  <c r="D114" i="39"/>
  <c r="D115" i="39"/>
  <c r="D116" i="39"/>
  <c r="D117" i="39"/>
  <c r="D128" i="39"/>
  <c r="D129" i="39"/>
  <c r="D131" i="39"/>
  <c r="D102" i="39"/>
  <c r="C113" i="39"/>
  <c r="C114" i="39"/>
  <c r="C116" i="39"/>
  <c r="C117" i="39"/>
  <c r="C118" i="39"/>
  <c r="C119" i="39"/>
  <c r="C120" i="39"/>
  <c r="C121" i="39"/>
  <c r="C122" i="39"/>
  <c r="C123" i="39"/>
  <c r="C124" i="39"/>
  <c r="C126" i="39"/>
  <c r="C127" i="39"/>
  <c r="C128" i="39"/>
  <c r="C129" i="39"/>
  <c r="C130" i="39"/>
  <c r="C131" i="39"/>
  <c r="C102" i="39"/>
  <c r="F16" i="28"/>
  <c r="U61" i="28"/>
  <c r="U58" i="28"/>
  <c r="U59" i="28"/>
  <c r="U57" i="28"/>
  <c r="C118" i="45"/>
  <c r="C119" i="45"/>
  <c r="C121" i="45"/>
  <c r="C122" i="45"/>
  <c r="F122" i="45"/>
  <c r="C123" i="45"/>
  <c r="C97" i="45"/>
  <c r="C98" i="45"/>
  <c r="C99" i="45"/>
  <c r="C101" i="45"/>
  <c r="C102" i="45"/>
  <c r="C103" i="45"/>
  <c r="C104" i="45"/>
  <c r="C105" i="45"/>
  <c r="C106" i="45"/>
  <c r="C107" i="45"/>
  <c r="C108" i="45"/>
  <c r="C109" i="45"/>
  <c r="F109" i="45"/>
  <c r="C111" i="45"/>
  <c r="C112" i="45"/>
  <c r="C113" i="45"/>
  <c r="C114" i="45"/>
  <c r="C115" i="45"/>
  <c r="C116" i="45"/>
  <c r="F116" i="45"/>
  <c r="C117" i="45"/>
  <c r="F117" i="45"/>
  <c r="C51" i="45"/>
  <c r="C52" i="45"/>
  <c r="C53" i="45"/>
  <c r="C54" i="45"/>
  <c r="C55" i="45"/>
  <c r="C56" i="45"/>
  <c r="C57" i="45"/>
  <c r="C68" i="45"/>
  <c r="C69" i="45"/>
  <c r="C71" i="45"/>
  <c r="C72" i="45"/>
  <c r="C73" i="45"/>
  <c r="C74" i="45"/>
  <c r="C75" i="45"/>
  <c r="C76" i="45"/>
  <c r="C77" i="45"/>
  <c r="C78" i="45"/>
  <c r="C79" i="45"/>
  <c r="C81" i="45"/>
  <c r="C82" i="45"/>
  <c r="C83" i="45"/>
  <c r="C84" i="45"/>
  <c r="C85" i="45"/>
  <c r="C86" i="45"/>
  <c r="C87" i="45"/>
  <c r="C88" i="45"/>
  <c r="C89" i="45"/>
  <c r="C91" i="45"/>
  <c r="C92" i="45"/>
  <c r="C93" i="45"/>
  <c r="C94" i="45"/>
  <c r="C95" i="45"/>
  <c r="C96" i="45"/>
  <c r="M34" i="27"/>
  <c r="M35" i="27"/>
  <c r="N35" i="27" s="1"/>
  <c r="M36" i="27"/>
  <c r="M13" i="27"/>
  <c r="N13" i="27" s="1"/>
  <c r="O13" i="27" s="1"/>
  <c r="N60" i="45"/>
  <c r="N81" i="45"/>
  <c r="J81" i="45"/>
  <c r="K81" i="45"/>
  <c r="I82" i="45"/>
  <c r="J82" i="45"/>
  <c r="K82" i="45"/>
  <c r="J83" i="45"/>
  <c r="K83" i="45"/>
  <c r="I84" i="45"/>
  <c r="J84" i="45"/>
  <c r="K84" i="45"/>
  <c r="J86" i="45"/>
  <c r="K86" i="45"/>
  <c r="I87" i="45"/>
  <c r="J87" i="45"/>
  <c r="K87" i="45"/>
  <c r="I88" i="45"/>
  <c r="J88" i="45"/>
  <c r="K88" i="45"/>
  <c r="J89" i="45"/>
  <c r="K89" i="45"/>
  <c r="K80" i="45"/>
  <c r="J80" i="45"/>
  <c r="I80" i="45"/>
  <c r="K49" i="45"/>
  <c r="K51" i="45"/>
  <c r="L51" i="45" s="1"/>
  <c r="K52" i="45"/>
  <c r="K54" i="45"/>
  <c r="K56" i="45"/>
  <c r="K57" i="45"/>
  <c r="L57" i="45" s="1"/>
  <c r="K58" i="45"/>
  <c r="K59" i="45"/>
  <c r="K60" i="45"/>
  <c r="K61" i="45"/>
  <c r="K62" i="45"/>
  <c r="K73" i="45"/>
  <c r="K74" i="45"/>
  <c r="K76" i="45"/>
  <c r="J58" i="45"/>
  <c r="L58" i="45" s="1"/>
  <c r="J59" i="45"/>
  <c r="J61" i="45"/>
  <c r="L61" i="45" s="1"/>
  <c r="J62" i="45"/>
  <c r="L62" i="45" s="1"/>
  <c r="J63" i="45"/>
  <c r="J64" i="45"/>
  <c r="J65" i="45"/>
  <c r="L65" i="45" s="1"/>
  <c r="J66" i="45"/>
  <c r="J67" i="45"/>
  <c r="J68" i="45"/>
  <c r="J69" i="45"/>
  <c r="J71" i="45"/>
  <c r="J72" i="45"/>
  <c r="M72" i="45" s="1"/>
  <c r="J73" i="45"/>
  <c r="J74" i="45"/>
  <c r="L74" i="45" s="1"/>
  <c r="J75" i="45"/>
  <c r="L75" i="45" s="1"/>
  <c r="J76" i="45"/>
  <c r="V65" i="39"/>
  <c r="V64" i="39"/>
  <c r="V63" i="39"/>
  <c r="C11" i="10"/>
  <c r="D11" i="10"/>
  <c r="E11" i="10"/>
  <c r="C12" i="10"/>
  <c r="D12" i="10"/>
  <c r="E12" i="10"/>
  <c r="C13" i="10"/>
  <c r="D13" i="10"/>
  <c r="E13" i="10"/>
  <c r="C14" i="10"/>
  <c r="C15" i="10"/>
  <c r="D15" i="10"/>
  <c r="C16" i="10"/>
  <c r="D16" i="10"/>
  <c r="E16" i="10"/>
  <c r="C17" i="10"/>
  <c r="D17" i="10"/>
  <c r="E17" i="10"/>
  <c r="C18" i="10"/>
  <c r="D18" i="10"/>
  <c r="E18" i="10"/>
  <c r="C20" i="10"/>
  <c r="D20" i="10"/>
  <c r="E20" i="10"/>
  <c r="D10" i="10"/>
  <c r="E10" i="10"/>
  <c r="C10" i="10"/>
  <c r="L103" i="39"/>
  <c r="L104" i="39"/>
  <c r="L105" i="39"/>
  <c r="L107" i="39"/>
  <c r="K109" i="39"/>
  <c r="K57" i="39"/>
  <c r="K56" i="39"/>
  <c r="C98" i="27"/>
  <c r="E40" i="27"/>
  <c r="F17" i="40"/>
  <c r="F18" i="40"/>
  <c r="F19" i="40"/>
  <c r="F20" i="40"/>
  <c r="F21" i="40"/>
  <c r="F32" i="40"/>
  <c r="F33" i="40"/>
  <c r="F35" i="40"/>
  <c r="F36" i="40"/>
  <c r="F37" i="40"/>
  <c r="F38" i="40"/>
  <c r="F39" i="40"/>
  <c r="F40" i="40"/>
  <c r="F41" i="40"/>
  <c r="F42" i="40"/>
  <c r="F43" i="40"/>
  <c r="F45" i="40"/>
  <c r="F16" i="40"/>
  <c r="E19" i="40"/>
  <c r="E21" i="40"/>
  <c r="E35" i="40"/>
  <c r="E36" i="40"/>
  <c r="E39" i="40"/>
  <c r="E41" i="40"/>
  <c r="E42" i="40"/>
  <c r="E45" i="40"/>
  <c r="E16" i="40"/>
  <c r="D18" i="40"/>
  <c r="D19" i="40"/>
  <c r="D20" i="40"/>
  <c r="D21" i="40"/>
  <c r="D32" i="40"/>
  <c r="D33" i="40"/>
  <c r="D35" i="40"/>
  <c r="D36" i="40"/>
  <c r="D37" i="40"/>
  <c r="D38" i="40"/>
  <c r="D39" i="40"/>
  <c r="D40" i="40"/>
  <c r="D41" i="40"/>
  <c r="D42" i="40"/>
  <c r="D43" i="40"/>
  <c r="D45" i="40"/>
  <c r="D16" i="40"/>
  <c r="BW5" i="36"/>
  <c r="BW2" i="36"/>
  <c r="H14" i="2"/>
  <c r="BE5" i="36"/>
  <c r="BE2" i="36"/>
  <c r="AM5" i="36"/>
  <c r="AM2" i="36"/>
  <c r="AD5" i="36"/>
  <c r="AD2" i="36"/>
  <c r="U5" i="36"/>
  <c r="U2" i="36"/>
  <c r="L5" i="36"/>
  <c r="L2" i="36"/>
  <c r="R30" i="30"/>
  <c r="R31" i="30"/>
  <c r="R33" i="30"/>
  <c r="R34" i="30"/>
  <c r="R35" i="30"/>
  <c r="C5" i="36"/>
  <c r="C2" i="36"/>
  <c r="W73" i="7"/>
  <c r="G5" i="2"/>
  <c r="G7" i="2"/>
  <c r="G8" i="2"/>
  <c r="G9" i="2"/>
  <c r="G10" i="2"/>
  <c r="G4" i="2"/>
  <c r="F5" i="2"/>
  <c r="F6" i="2"/>
  <c r="F7" i="2"/>
  <c r="F8" i="2"/>
  <c r="F9" i="2"/>
  <c r="F10" i="2"/>
  <c r="F4" i="2"/>
  <c r="F19" i="2"/>
  <c r="F18" i="2"/>
  <c r="G17" i="2"/>
  <c r="F16" i="2"/>
  <c r="G15" i="2"/>
  <c r="F14" i="2"/>
  <c r="D33" i="24"/>
  <c r="E33" i="24" s="1"/>
  <c r="D31" i="24"/>
  <c r="BP31" i="24" s="1"/>
  <c r="B31" i="24"/>
  <c r="D30" i="24"/>
  <c r="BP30" i="24" s="1"/>
  <c r="B30" i="24"/>
  <c r="BE30" i="24" s="1"/>
  <c r="B28" i="24"/>
  <c r="B26" i="24"/>
  <c r="B25" i="24"/>
  <c r="B24" i="24"/>
  <c r="B23" i="24"/>
  <c r="B22" i="24"/>
  <c r="BE22" i="24" s="1"/>
  <c r="B21" i="24"/>
  <c r="B20" i="24"/>
  <c r="D19" i="24"/>
  <c r="B19" i="24"/>
  <c r="D18" i="24"/>
  <c r="BP18" i="24" s="1"/>
  <c r="B18" i="24"/>
  <c r="W18" i="24" s="1"/>
  <c r="D17" i="24"/>
  <c r="BP17" i="24" s="1"/>
  <c r="D16" i="24"/>
  <c r="BP16" i="24" s="1"/>
  <c r="B16" i="24"/>
  <c r="D15" i="24"/>
  <c r="B15" i="24"/>
  <c r="BN15" i="24" s="1"/>
  <c r="BO15" i="24" s="1"/>
  <c r="D14" i="24"/>
  <c r="D13" i="24"/>
  <c r="BP13" i="24" s="1"/>
  <c r="D11" i="24"/>
  <c r="D10" i="24"/>
  <c r="BP10" i="24" s="1"/>
  <c r="D9" i="24"/>
  <c r="BP9" i="24" s="1"/>
  <c r="D8" i="24"/>
  <c r="D7" i="24"/>
  <c r="D6" i="24"/>
  <c r="D5" i="24"/>
  <c r="BP5" i="24" s="1"/>
  <c r="D4" i="24"/>
  <c r="B4" i="24"/>
  <c r="G4" i="24" s="1"/>
  <c r="AY4" i="24" s="1"/>
  <c r="D37" i="9"/>
  <c r="D35" i="9"/>
  <c r="D34" i="9"/>
  <c r="E34" i="9" s="1"/>
  <c r="D23" i="9"/>
  <c r="D22" i="9"/>
  <c r="D21" i="9"/>
  <c r="D20" i="9"/>
  <c r="D19" i="9"/>
  <c r="D18" i="9"/>
  <c r="D17" i="9"/>
  <c r="D15" i="9"/>
  <c r="D14" i="9"/>
  <c r="D13" i="9"/>
  <c r="E13" i="9" s="1"/>
  <c r="D12" i="9"/>
  <c r="D11" i="9"/>
  <c r="E11" i="9" s="1"/>
  <c r="D10" i="9"/>
  <c r="D9" i="9"/>
  <c r="E9" i="9" s="1"/>
  <c r="D8" i="9"/>
  <c r="C10" i="34"/>
  <c r="C9" i="34"/>
  <c r="C8" i="34"/>
  <c r="C7" i="34"/>
  <c r="M4" i="34"/>
  <c r="C4" i="34"/>
  <c r="L4" i="34" s="1"/>
  <c r="AA31" i="23"/>
  <c r="R31" i="23"/>
  <c r="AA30" i="23"/>
  <c r="R30" i="23"/>
  <c r="AA19" i="23"/>
  <c r="R19" i="23"/>
  <c r="AA18" i="23"/>
  <c r="R18" i="23"/>
  <c r="AA17" i="23"/>
  <c r="R17" i="23"/>
  <c r="AA16" i="23"/>
  <c r="R16" i="23"/>
  <c r="AA15" i="23"/>
  <c r="R15" i="23"/>
  <c r="AA14" i="23"/>
  <c r="R14" i="23"/>
  <c r="AA13" i="23"/>
  <c r="R13" i="23"/>
  <c r="AA11" i="23"/>
  <c r="R11" i="23"/>
  <c r="AA10" i="23"/>
  <c r="R10" i="23"/>
  <c r="S10" i="23" s="1"/>
  <c r="AB10" i="23" s="1"/>
  <c r="AA9" i="23"/>
  <c r="AK9" i="23" s="1"/>
  <c r="R9" i="23"/>
  <c r="AA8" i="23"/>
  <c r="AK8" i="23" s="1"/>
  <c r="R8" i="23"/>
  <c r="AA7" i="23"/>
  <c r="R7" i="23"/>
  <c r="AA6" i="23"/>
  <c r="AK6" i="23" s="1"/>
  <c r="R6" i="23"/>
  <c r="AA5" i="23"/>
  <c r="AK5" i="23" s="1"/>
  <c r="R5" i="23"/>
  <c r="AA4" i="23"/>
  <c r="AK4" i="23" s="1"/>
  <c r="R4" i="23"/>
  <c r="B112" i="6"/>
  <c r="F112" i="6" s="1"/>
  <c r="B111" i="6"/>
  <c r="F111" i="6"/>
  <c r="B109" i="6"/>
  <c r="F109" i="6"/>
  <c r="B107" i="6"/>
  <c r="F107" i="6" s="1"/>
  <c r="B106" i="6"/>
  <c r="F106" i="6" s="1"/>
  <c r="B105" i="6"/>
  <c r="F105" i="6"/>
  <c r="B104" i="6"/>
  <c r="F104" i="6"/>
  <c r="B103" i="6"/>
  <c r="F103" i="6" s="1"/>
  <c r="B102" i="6"/>
  <c r="F102" i="6" s="1"/>
  <c r="B101" i="6"/>
  <c r="F101" i="6" s="1"/>
  <c r="B100" i="6"/>
  <c r="F100" i="6" s="1"/>
  <c r="B99" i="6"/>
  <c r="F99" i="6" s="1"/>
  <c r="B97" i="6"/>
  <c r="F97" i="6" s="1"/>
  <c r="B96" i="6"/>
  <c r="F96" i="6" s="1"/>
  <c r="B85" i="6"/>
  <c r="F85" i="6" s="1"/>
  <c r="D81" i="6"/>
  <c r="C81" i="6"/>
  <c r="D80" i="6"/>
  <c r="C80" i="6"/>
  <c r="D79" i="6"/>
  <c r="C79" i="6"/>
  <c r="B79" i="6"/>
  <c r="L79" i="6" s="1"/>
  <c r="D78" i="6"/>
  <c r="C78" i="6"/>
  <c r="B78" i="6"/>
  <c r="O78" i="6" s="1"/>
  <c r="D77" i="6"/>
  <c r="C77" i="6"/>
  <c r="D76" i="6"/>
  <c r="C76" i="6"/>
  <c r="B76" i="6"/>
  <c r="D74" i="6"/>
  <c r="C74" i="6"/>
  <c r="B74" i="6"/>
  <c r="L74" i="6" s="1"/>
  <c r="D73" i="6"/>
  <c r="C73" i="6"/>
  <c r="B73" i="6"/>
  <c r="D72" i="6"/>
  <c r="C72" i="6"/>
  <c r="B72" i="6"/>
  <c r="D71" i="6"/>
  <c r="C71" i="6"/>
  <c r="B71" i="6"/>
  <c r="D70" i="6"/>
  <c r="C70" i="6"/>
  <c r="B70" i="6"/>
  <c r="O70" i="6" s="1"/>
  <c r="D69" i="6"/>
  <c r="C69" i="6"/>
  <c r="B69" i="6"/>
  <c r="D68" i="6"/>
  <c r="C68" i="6"/>
  <c r="B68" i="6"/>
  <c r="O68" i="6" s="1"/>
  <c r="D67" i="6"/>
  <c r="C67" i="6"/>
  <c r="B67" i="6"/>
  <c r="D66" i="6"/>
  <c r="C66" i="6"/>
  <c r="B66" i="6"/>
  <c r="D64" i="6"/>
  <c r="C64" i="6"/>
  <c r="B64" i="6"/>
  <c r="D63" i="6"/>
  <c r="C63" i="6"/>
  <c r="B63" i="6"/>
  <c r="O63" i="6" s="1"/>
  <c r="D52" i="6"/>
  <c r="C52" i="6"/>
  <c r="B52" i="6"/>
  <c r="T8" i="23" s="1"/>
  <c r="AP48" i="6"/>
  <c r="K33" i="24" s="1"/>
  <c r="AD48" i="6"/>
  <c r="H48" i="6"/>
  <c r="J33" i="24" s="1"/>
  <c r="G48" i="6"/>
  <c r="I33" i="24" s="1"/>
  <c r="D48" i="6"/>
  <c r="I33" i="32" s="1"/>
  <c r="AP47" i="6"/>
  <c r="K32" i="24" s="1"/>
  <c r="AD47" i="6"/>
  <c r="AP46" i="6"/>
  <c r="AD46" i="6"/>
  <c r="H46" i="6"/>
  <c r="G46" i="6"/>
  <c r="D46" i="6"/>
  <c r="AE46" i="6" s="1"/>
  <c r="I112" i="6" s="1"/>
  <c r="AP45" i="6"/>
  <c r="K30" i="24" s="1"/>
  <c r="AD45" i="6"/>
  <c r="G45" i="6"/>
  <c r="I30" i="24" s="1"/>
  <c r="D45" i="6"/>
  <c r="AE45" i="6" s="1"/>
  <c r="I111" i="6" s="1"/>
  <c r="AP44" i="6"/>
  <c r="K29" i="24" s="1"/>
  <c r="AD44" i="6"/>
  <c r="AP43" i="6"/>
  <c r="AD43" i="6"/>
  <c r="AP42" i="6"/>
  <c r="K27" i="24" s="1"/>
  <c r="AP41" i="6"/>
  <c r="AD41" i="6"/>
  <c r="AP40" i="6"/>
  <c r="K25" i="24" s="1"/>
  <c r="AD40" i="6"/>
  <c r="AP39" i="6"/>
  <c r="K24" i="24" s="1"/>
  <c r="AD39" i="6"/>
  <c r="AP38" i="6"/>
  <c r="AD38" i="6"/>
  <c r="AP37" i="6"/>
  <c r="AD37" i="6"/>
  <c r="AP36" i="6"/>
  <c r="AD36" i="6"/>
  <c r="AP35" i="6"/>
  <c r="K20" i="24" s="1"/>
  <c r="AD35" i="6"/>
  <c r="AP34" i="6"/>
  <c r="K19" i="24" s="1"/>
  <c r="AD34" i="6"/>
  <c r="H34" i="6"/>
  <c r="G34" i="6"/>
  <c r="D34" i="6"/>
  <c r="I62" i="45" s="1"/>
  <c r="AP33" i="6"/>
  <c r="K18" i="24" s="1"/>
  <c r="AD33" i="6"/>
  <c r="G33" i="6"/>
  <c r="I18" i="24" s="1"/>
  <c r="D33" i="6"/>
  <c r="AP32" i="6"/>
  <c r="G32" i="6"/>
  <c r="D32" i="6"/>
  <c r="I60" i="45" s="1"/>
  <c r="M60" i="45" s="1"/>
  <c r="AP31" i="6"/>
  <c r="AD31" i="6"/>
  <c r="G31" i="6"/>
  <c r="D31" i="6"/>
  <c r="AP30" i="6"/>
  <c r="AD30" i="6"/>
  <c r="G30" i="6"/>
  <c r="D30" i="6"/>
  <c r="I58" i="45" s="1"/>
  <c r="M58" i="45" s="1"/>
  <c r="AP29" i="6"/>
  <c r="K14" i="24" s="1"/>
  <c r="G29" i="6"/>
  <c r="I14" i="24" s="1"/>
  <c r="D29" i="6"/>
  <c r="AP28" i="6"/>
  <c r="K13" i="24" s="1"/>
  <c r="G28" i="6"/>
  <c r="I13" i="24" s="1"/>
  <c r="D28" i="6"/>
  <c r="I13" i="32" s="1"/>
  <c r="AP27" i="6"/>
  <c r="K12" i="24" s="1"/>
  <c r="AP26" i="6"/>
  <c r="K11" i="24" s="1"/>
  <c r="G26" i="6"/>
  <c r="I11" i="24" s="1"/>
  <c r="D26" i="6"/>
  <c r="AP25" i="6"/>
  <c r="G25" i="6"/>
  <c r="D25" i="6"/>
  <c r="I53" i="45" s="1"/>
  <c r="M53" i="45" s="1"/>
  <c r="AP24" i="6"/>
  <c r="K9" i="24" s="1"/>
  <c r="G24" i="6"/>
  <c r="I9" i="24" s="1"/>
  <c r="D24" i="6"/>
  <c r="I9" i="32" s="1"/>
  <c r="AP23" i="6"/>
  <c r="K8" i="24" s="1"/>
  <c r="G23" i="6"/>
  <c r="I8" i="24" s="1"/>
  <c r="D23" i="6"/>
  <c r="AP22" i="6"/>
  <c r="K7" i="24" s="1"/>
  <c r="G22" i="6"/>
  <c r="I7" i="24" s="1"/>
  <c r="D22" i="6"/>
  <c r="I50" i="45" s="1"/>
  <c r="M50" i="45" s="1"/>
  <c r="AP21" i="6"/>
  <c r="K6" i="24" s="1"/>
  <c r="G21" i="6"/>
  <c r="I6" i="24" s="1"/>
  <c r="D21" i="6"/>
  <c r="I49" i="45" s="1"/>
  <c r="AP20" i="6"/>
  <c r="G20" i="6"/>
  <c r="D20" i="6"/>
  <c r="I5" i="32" s="1"/>
  <c r="AP19" i="6"/>
  <c r="K4" i="24" s="1"/>
  <c r="AD19" i="6"/>
  <c r="G19" i="6"/>
  <c r="I4" i="24" s="1"/>
  <c r="D19" i="6"/>
  <c r="I47" i="45" s="1"/>
  <c r="M47" i="45" s="1"/>
  <c r="E9" i="6"/>
  <c r="F9" i="6" s="1"/>
  <c r="G9" i="6" s="1"/>
  <c r="H9" i="6"/>
  <c r="I9" i="6" s="1"/>
  <c r="J9" i="6" s="1"/>
  <c r="M5" i="6"/>
  <c r="AL37" i="7"/>
  <c r="AT37" i="7" s="1"/>
  <c r="BB37" i="7" s="1"/>
  <c r="BJ37" i="7" s="1"/>
  <c r="BR37" i="7" s="1"/>
  <c r="BZ37" i="7" s="1"/>
  <c r="G36" i="7"/>
  <c r="D24" i="7"/>
  <c r="F24" i="7" s="1"/>
  <c r="AD42" i="7" s="1"/>
  <c r="AL42" i="7" s="1"/>
  <c r="AT42" i="7" s="1"/>
  <c r="BB42" i="7" s="1"/>
  <c r="BJ42" i="7" s="1"/>
  <c r="BR42" i="7" s="1"/>
  <c r="BZ42" i="7" s="1"/>
  <c r="D23" i="7"/>
  <c r="F23" i="7" s="1"/>
  <c r="AD41" i="7" s="1"/>
  <c r="AL41" i="7" s="1"/>
  <c r="AT41" i="7" s="1"/>
  <c r="BB41" i="7" s="1"/>
  <c r="BJ41" i="7" s="1"/>
  <c r="BR41" i="7" s="1"/>
  <c r="BZ41" i="7" s="1"/>
  <c r="D22" i="7"/>
  <c r="F22" i="7" s="1"/>
  <c r="AD40" i="7" s="1"/>
  <c r="AL40" i="7" s="1"/>
  <c r="AT40" i="7" s="1"/>
  <c r="BB40" i="7" s="1"/>
  <c r="BJ40" i="7" s="1"/>
  <c r="BR40" i="7" s="1"/>
  <c r="BZ40" i="7" s="1"/>
  <c r="E21" i="7"/>
  <c r="D21" i="7"/>
  <c r="F21" i="7" s="1"/>
  <c r="AD39" i="7" s="1"/>
  <c r="AL39" i="7" s="1"/>
  <c r="AT39" i="7" s="1"/>
  <c r="BB39" i="7" s="1"/>
  <c r="BJ39" i="7" s="1"/>
  <c r="BR39" i="7" s="1"/>
  <c r="BZ39" i="7" s="1"/>
  <c r="E20" i="7"/>
  <c r="D20" i="7"/>
  <c r="F20" i="7" s="1"/>
  <c r="AD38" i="7" s="1"/>
  <c r="AL38" i="7" s="1"/>
  <c r="AT38" i="7" s="1"/>
  <c r="BB38" i="7" s="1"/>
  <c r="BJ38" i="7" s="1"/>
  <c r="BR38" i="7" s="1"/>
  <c r="BZ38" i="7" s="1"/>
  <c r="BZ19" i="7"/>
  <c r="BR19" i="7"/>
  <c r="BJ19" i="7"/>
  <c r="BB19" i="7"/>
  <c r="AT19" i="7"/>
  <c r="AL19" i="7"/>
  <c r="AD19" i="7"/>
  <c r="P19" i="7"/>
  <c r="E19" i="7"/>
  <c r="BZ18" i="7"/>
  <c r="BR18" i="7"/>
  <c r="BJ18" i="7"/>
  <c r="BB18" i="7"/>
  <c r="AT18" i="7"/>
  <c r="AL18" i="7"/>
  <c r="P18" i="7"/>
  <c r="E18" i="7"/>
  <c r="D18" i="7"/>
  <c r="F18" i="7" s="1"/>
  <c r="AD36" i="7" s="1"/>
  <c r="AL36" i="7" s="1"/>
  <c r="AT36" i="7" s="1"/>
  <c r="BB36" i="7" s="1"/>
  <c r="BJ36" i="7" s="1"/>
  <c r="BR36" i="7" s="1"/>
  <c r="BZ36" i="7" s="1"/>
  <c r="BZ17" i="7"/>
  <c r="BR17" i="7"/>
  <c r="BJ17" i="7"/>
  <c r="BB17" i="7"/>
  <c r="AT17" i="7"/>
  <c r="AL17" i="7"/>
  <c r="AD17" i="7"/>
  <c r="P17" i="7"/>
  <c r="E17" i="7"/>
  <c r="BZ16" i="7"/>
  <c r="BR16" i="7"/>
  <c r="BJ16" i="7"/>
  <c r="BB16" i="7"/>
  <c r="AT16" i="7"/>
  <c r="AL16" i="7"/>
  <c r="AD16" i="7"/>
  <c r="P16" i="7"/>
  <c r="E16" i="7"/>
  <c r="D16" i="7"/>
  <c r="F16" i="7" s="1"/>
  <c r="AD34" i="7" s="1"/>
  <c r="AL34" i="7" s="1"/>
  <c r="AT34" i="7" s="1"/>
  <c r="BB34" i="7" s="1"/>
  <c r="BJ34" i="7" s="1"/>
  <c r="BR34" i="7" s="1"/>
  <c r="BZ34" i="7" s="1"/>
  <c r="BZ15" i="7"/>
  <c r="BR15" i="7"/>
  <c r="BJ15" i="7"/>
  <c r="BB15" i="7"/>
  <c r="AT15" i="7"/>
  <c r="AL15" i="7"/>
  <c r="AD15" i="7"/>
  <c r="E15" i="7"/>
  <c r="BZ14" i="7"/>
  <c r="BR14" i="7"/>
  <c r="BJ14" i="7"/>
  <c r="BB14" i="7"/>
  <c r="AT14" i="7"/>
  <c r="AL14" i="7"/>
  <c r="AD14" i="7"/>
  <c r="E14" i="7"/>
  <c r="D14" i="7"/>
  <c r="F14" i="7" s="1"/>
  <c r="AD32" i="7" s="1"/>
  <c r="AL32" i="7" s="1"/>
  <c r="AT32" i="7" s="1"/>
  <c r="BB32" i="7" s="1"/>
  <c r="BJ32" i="7" s="1"/>
  <c r="BR32" i="7" s="1"/>
  <c r="BZ32" i="7" s="1"/>
  <c r="P13" i="7"/>
  <c r="D13" i="7"/>
  <c r="BZ11" i="7"/>
  <c r="BR11" i="7"/>
  <c r="BJ11" i="7"/>
  <c r="BB11" i="7"/>
  <c r="AT11" i="7"/>
  <c r="AL11" i="7"/>
  <c r="AD11" i="7"/>
  <c r="BZ8" i="7"/>
  <c r="BR8" i="7"/>
  <c r="BJ8" i="7"/>
  <c r="BB8" i="7"/>
  <c r="AT8" i="7"/>
  <c r="AL8" i="7"/>
  <c r="AD8" i="7"/>
  <c r="BZ4" i="7"/>
  <c r="BR4" i="7"/>
  <c r="BJ4" i="7"/>
  <c r="BB4" i="7"/>
  <c r="AT4" i="7"/>
  <c r="AL4" i="7"/>
  <c r="AD4" i="7"/>
  <c r="C42" i="2"/>
  <c r="C41" i="2"/>
  <c r="C40" i="2"/>
  <c r="CB28" i="5"/>
  <c r="CI23" i="5"/>
  <c r="CK23" i="5" s="1"/>
  <c r="CB23" i="5"/>
  <c r="CI22" i="5"/>
  <c r="CK22" i="5" s="1"/>
  <c r="AL27" i="6" s="1"/>
  <c r="CB22" i="5"/>
  <c r="CA22" i="5"/>
  <c r="CD17" i="5"/>
  <c r="CL23" i="5"/>
  <c r="CN23" i="5" s="1"/>
  <c r="CD16" i="5"/>
  <c r="CC16" i="5"/>
  <c r="CD22" i="5" s="1"/>
  <c r="AI27" i="6" s="1"/>
  <c r="CD10" i="5"/>
  <c r="DH6" i="5"/>
  <c r="DG6" i="5"/>
  <c r="DH5" i="5"/>
  <c r="DG5" i="5"/>
  <c r="AE34" i="6" s="1"/>
  <c r="DH4" i="5"/>
  <c r="DG4" i="5"/>
  <c r="CD4" i="5"/>
  <c r="I36" i="27"/>
  <c r="I35" i="27"/>
  <c r="I34" i="27"/>
  <c r="I33" i="27"/>
  <c r="I31" i="27"/>
  <c r="I30" i="27"/>
  <c r="I19" i="27"/>
  <c r="I15" i="27"/>
  <c r="I14" i="27"/>
  <c r="T15" i="32"/>
  <c r="S15" i="32"/>
  <c r="R15" i="32"/>
  <c r="T14" i="32"/>
  <c r="S14" i="32"/>
  <c r="R14" i="32"/>
  <c r="T12" i="32"/>
  <c r="S12" i="32"/>
  <c r="R12" i="32"/>
  <c r="T11" i="32"/>
  <c r="S11" i="32"/>
  <c r="R11" i="32"/>
  <c r="T10" i="32"/>
  <c r="S10" i="32"/>
  <c r="R10" i="32"/>
  <c r="T9" i="32"/>
  <c r="S9" i="32"/>
  <c r="R9" i="32"/>
  <c r="T8" i="32"/>
  <c r="S8" i="32"/>
  <c r="R8" i="32"/>
  <c r="T7" i="32"/>
  <c r="S7" i="32"/>
  <c r="R7" i="32"/>
  <c r="T6" i="32"/>
  <c r="S6" i="32"/>
  <c r="R6" i="32"/>
  <c r="T5" i="32"/>
  <c r="S5" i="32"/>
  <c r="R5" i="32"/>
  <c r="T4" i="32"/>
  <c r="S4" i="32"/>
  <c r="R4" i="32"/>
  <c r="N50" i="29"/>
  <c r="M50" i="29"/>
  <c r="L50" i="29"/>
  <c r="K50" i="29"/>
  <c r="J50" i="29"/>
  <c r="I50" i="29"/>
  <c r="H50" i="29"/>
  <c r="G50" i="29"/>
  <c r="F50" i="29"/>
  <c r="E50" i="29"/>
  <c r="D50" i="29"/>
  <c r="C50" i="29"/>
  <c r="B50" i="29"/>
  <c r="P50" i="29" s="1"/>
  <c r="N48" i="29"/>
  <c r="M48" i="29"/>
  <c r="L48" i="29"/>
  <c r="K48" i="29"/>
  <c r="J48" i="29"/>
  <c r="I48" i="29"/>
  <c r="H48" i="29"/>
  <c r="G48" i="29"/>
  <c r="F48" i="29"/>
  <c r="E48" i="29"/>
  <c r="D48" i="29"/>
  <c r="C48" i="29"/>
  <c r="B48" i="29"/>
  <c r="P48" i="29" s="1"/>
  <c r="N47" i="29"/>
  <c r="M47" i="29"/>
  <c r="L47" i="29"/>
  <c r="K47" i="29"/>
  <c r="J47" i="29"/>
  <c r="I47" i="29"/>
  <c r="H47" i="29"/>
  <c r="G47" i="29"/>
  <c r="F47" i="29"/>
  <c r="E47" i="29"/>
  <c r="D47" i="29"/>
  <c r="C47" i="29"/>
  <c r="B47" i="29"/>
  <c r="P47" i="29" s="1"/>
  <c r="N46" i="29"/>
  <c r="M46" i="29"/>
  <c r="L46" i="29"/>
  <c r="K46" i="29"/>
  <c r="J46" i="29"/>
  <c r="I46" i="29"/>
  <c r="H46" i="29"/>
  <c r="G46" i="29"/>
  <c r="F46" i="29"/>
  <c r="E46" i="29"/>
  <c r="D46" i="29"/>
  <c r="C46" i="29"/>
  <c r="B46" i="29"/>
  <c r="P46" i="29" s="1"/>
  <c r="N45" i="29"/>
  <c r="M45" i="29"/>
  <c r="L45" i="29"/>
  <c r="K45" i="29"/>
  <c r="J45" i="29"/>
  <c r="I45" i="29"/>
  <c r="H45" i="29"/>
  <c r="G45" i="29"/>
  <c r="F45" i="29"/>
  <c r="E45" i="29"/>
  <c r="D45" i="29"/>
  <c r="C45" i="29"/>
  <c r="B45" i="29"/>
  <c r="P45" i="29" s="1"/>
  <c r="N44" i="29"/>
  <c r="M44" i="29"/>
  <c r="L44" i="29"/>
  <c r="K44" i="29"/>
  <c r="J44" i="29"/>
  <c r="I44" i="29"/>
  <c r="H44" i="29"/>
  <c r="G44" i="29"/>
  <c r="F44" i="29"/>
  <c r="E44" i="29"/>
  <c r="D44" i="29"/>
  <c r="C44" i="29"/>
  <c r="B44" i="29"/>
  <c r="P44" i="29" s="1"/>
  <c r="N43" i="29"/>
  <c r="M43" i="29"/>
  <c r="L43" i="29"/>
  <c r="K43" i="29"/>
  <c r="J43" i="29"/>
  <c r="I43" i="29"/>
  <c r="H43" i="29"/>
  <c r="G43" i="29"/>
  <c r="F43" i="29"/>
  <c r="E43" i="29"/>
  <c r="D43" i="29"/>
  <c r="C43" i="29"/>
  <c r="B43" i="29"/>
  <c r="P43" i="29" s="1"/>
  <c r="N42" i="29"/>
  <c r="M42" i="29"/>
  <c r="L42" i="29"/>
  <c r="K42" i="29"/>
  <c r="J42" i="29"/>
  <c r="I42" i="29"/>
  <c r="H42" i="29"/>
  <c r="G42" i="29"/>
  <c r="F42" i="29"/>
  <c r="E42" i="29"/>
  <c r="D42" i="29"/>
  <c r="C42" i="29"/>
  <c r="N41" i="29"/>
  <c r="M41" i="29"/>
  <c r="L41" i="29"/>
  <c r="K41" i="29"/>
  <c r="J41" i="29"/>
  <c r="I41" i="29"/>
  <c r="H41" i="29"/>
  <c r="G41" i="29"/>
  <c r="F41" i="29"/>
  <c r="E41" i="29"/>
  <c r="D41" i="29"/>
  <c r="C41" i="29"/>
  <c r="B41" i="29"/>
  <c r="P41" i="29" s="1"/>
  <c r="N40" i="29"/>
  <c r="M40" i="29"/>
  <c r="L40" i="29"/>
  <c r="K40" i="29"/>
  <c r="J40" i="29"/>
  <c r="I40" i="29"/>
  <c r="H40" i="29"/>
  <c r="G40" i="29"/>
  <c r="F40" i="29"/>
  <c r="E40" i="29"/>
  <c r="D40" i="29"/>
  <c r="C40" i="29"/>
  <c r="B40" i="29"/>
  <c r="P40" i="29" s="1"/>
  <c r="BW3" i="36"/>
  <c r="BE3" i="36"/>
  <c r="U4" i="31"/>
  <c r="AB4" i="31" s="1"/>
  <c r="C111" i="1"/>
  <c r="J68" i="1"/>
  <c r="H68" i="1"/>
  <c r="I68" i="1"/>
  <c r="K68" i="1" s="1"/>
  <c r="J67" i="1"/>
  <c r="H67" i="1"/>
  <c r="I67" i="1" s="1"/>
  <c r="J66" i="1"/>
  <c r="H66" i="1"/>
  <c r="I66" i="1" s="1"/>
  <c r="K66" i="1" s="1"/>
  <c r="J65" i="1"/>
  <c r="H65" i="1"/>
  <c r="I65" i="1" s="1"/>
  <c r="K65" i="1" s="1"/>
  <c r="L66" i="45"/>
  <c r="BC4" i="45"/>
  <c r="F57" i="27"/>
  <c r="F61" i="27"/>
  <c r="F63" i="27"/>
  <c r="F60" i="27"/>
  <c r="N36" i="27"/>
  <c r="N34" i="27"/>
  <c r="CH8" i="7"/>
  <c r="CQ8" i="7" s="1"/>
  <c r="CZ8" i="7" s="1"/>
  <c r="DI8" i="7" s="1"/>
  <c r="DR8" i="7" s="1"/>
  <c r="EA8" i="7" s="1"/>
  <c r="EJ8" i="7" s="1"/>
  <c r="G18" i="7"/>
  <c r="CI9" i="7" s="1"/>
  <c r="CR9" i="7" s="1"/>
  <c r="DA9" i="7" s="1"/>
  <c r="DJ9" i="7" s="1"/>
  <c r="DS9" i="7" s="1"/>
  <c r="EB9" i="7" s="1"/>
  <c r="EK9" i="7" s="1"/>
  <c r="BG4" i="24"/>
  <c r="BH4" i="24"/>
  <c r="BI4" i="24"/>
  <c r="BC4" i="24"/>
  <c r="BD4" i="24"/>
  <c r="BF4" i="24"/>
  <c r="BC8" i="24"/>
  <c r="BD8" i="24"/>
  <c r="BH8" i="24"/>
  <c r="BF8" i="24"/>
  <c r="BG8" i="24"/>
  <c r="BI8" i="24"/>
  <c r="BD16" i="24"/>
  <c r="BF16" i="24"/>
  <c r="BC5" i="24"/>
  <c r="BC9" i="24"/>
  <c r="BD9" i="24"/>
  <c r="BF9" i="24"/>
  <c r="BG9" i="24"/>
  <c r="BH9" i="24"/>
  <c r="BI9" i="24"/>
  <c r="BC13" i="24"/>
  <c r="BG13" i="24"/>
  <c r="BH13" i="24"/>
  <c r="BG17" i="24"/>
  <c r="BC33" i="24"/>
  <c r="BD33" i="24"/>
  <c r="BF33" i="24"/>
  <c r="BG33" i="24"/>
  <c r="BH33" i="24"/>
  <c r="BI33" i="24"/>
  <c r="BF6" i="24"/>
  <c r="BG6" i="24"/>
  <c r="BH6" i="24"/>
  <c r="BI6" i="24"/>
  <c r="BC6" i="24"/>
  <c r="BD6" i="24"/>
  <c r="BF14" i="24"/>
  <c r="BG14" i="24"/>
  <c r="BH14" i="24"/>
  <c r="BI14" i="24"/>
  <c r="BD14" i="24"/>
  <c r="BC14" i="24"/>
  <c r="BF18" i="24"/>
  <c r="BG18" i="24"/>
  <c r="BH18" i="24"/>
  <c r="BI18" i="24"/>
  <c r="BC18" i="24"/>
  <c r="BD18" i="24"/>
  <c r="BF30" i="24"/>
  <c r="BG30" i="24"/>
  <c r="BH30" i="24"/>
  <c r="BI30" i="24"/>
  <c r="BD30" i="24"/>
  <c r="BC30" i="24"/>
  <c r="BH7" i="24"/>
  <c r="BI7" i="24"/>
  <c r="BC7" i="24"/>
  <c r="BF7" i="24"/>
  <c r="BD7" i="24"/>
  <c r="BG7" i="24"/>
  <c r="BH11" i="24"/>
  <c r="BI11" i="24"/>
  <c r="BF11" i="24"/>
  <c r="BC11" i="24"/>
  <c r="BD11" i="24"/>
  <c r="BG11" i="24"/>
  <c r="BH15" i="24"/>
  <c r="BC15" i="24"/>
  <c r="BG15" i="24"/>
  <c r="BI19" i="24"/>
  <c r="BC19" i="24"/>
  <c r="BD31" i="24"/>
  <c r="BP4" i="24"/>
  <c r="BP33" i="24"/>
  <c r="BP14" i="24"/>
  <c r="BP7" i="24"/>
  <c r="BP11" i="24"/>
  <c r="BP15" i="24"/>
  <c r="BP19" i="24"/>
  <c r="E30" i="9"/>
  <c r="BN19" i="24"/>
  <c r="BO19" i="24" s="1"/>
  <c r="E35" i="9"/>
  <c r="E31" i="9"/>
  <c r="BN30" i="24"/>
  <c r="BO30" i="24" s="1"/>
  <c r="BN18" i="24"/>
  <c r="BO18" i="24" s="1"/>
  <c r="E8" i="9"/>
  <c r="E15" i="9"/>
  <c r="E19" i="9"/>
  <c r="L69" i="45"/>
  <c r="E10" i="9"/>
  <c r="E36" i="9"/>
  <c r="L55" i="45"/>
  <c r="L70" i="45"/>
  <c r="L76" i="45"/>
  <c r="L68" i="45"/>
  <c r="L60" i="45"/>
  <c r="L67" i="45"/>
  <c r="L59" i="45"/>
  <c r="L73" i="45"/>
  <c r="L64" i="45"/>
  <c r="L56" i="45"/>
  <c r="BN4" i="24"/>
  <c r="BO4" i="24" s="1"/>
  <c r="CE23" i="5"/>
  <c r="AD7" i="5"/>
  <c r="X7" i="5"/>
  <c r="AE7" i="5" s="1"/>
  <c r="Z7" i="5"/>
  <c r="V7" i="5"/>
  <c r="AC7" i="5"/>
  <c r="AD8" i="5"/>
  <c r="V8" i="5"/>
  <c r="AC8" i="5" s="1"/>
  <c r="X8" i="5"/>
  <c r="AE8" i="5" s="1"/>
  <c r="Z8" i="5"/>
  <c r="AB8" i="5"/>
  <c r="V33" i="5"/>
  <c r="AC33" i="5" s="1"/>
  <c r="AD33" i="5"/>
  <c r="X33" i="5"/>
  <c r="AE33" i="5" s="1"/>
  <c r="Z33" i="5"/>
  <c r="AB33" i="5"/>
  <c r="X6" i="5"/>
  <c r="AE6" i="5" s="1"/>
  <c r="Z6" i="5"/>
  <c r="AB6" i="5"/>
  <c r="AD6" i="5"/>
  <c r="V6" i="5"/>
  <c r="AC6" i="5"/>
  <c r="V30" i="5"/>
  <c r="AC30" i="5" s="1"/>
  <c r="V9" i="5"/>
  <c r="AC9" i="5" s="1"/>
  <c r="AD9" i="5"/>
  <c r="X9" i="5"/>
  <c r="AE9" i="5" s="1"/>
  <c r="BB16" i="5"/>
  <c r="Y33" i="5"/>
  <c r="Y10" i="5"/>
  <c r="AD10" i="5"/>
  <c r="Y7" i="5"/>
  <c r="Y8" i="5"/>
  <c r="W74" i="7"/>
  <c r="I8" i="32"/>
  <c r="AE33" i="6"/>
  <c r="I99" i="6" s="1"/>
  <c r="Y6" i="5"/>
  <c r="Y5" i="5"/>
  <c r="Y4" i="5"/>
  <c r="AE30" i="6"/>
  <c r="I96" i="6" s="1"/>
  <c r="AE19" i="6"/>
  <c r="I85" i="6" s="1"/>
  <c r="M4" i="23" s="1"/>
  <c r="CE24" i="5"/>
  <c r="BB36" i="5"/>
  <c r="I69" i="45"/>
  <c r="M69" i="45" s="1"/>
  <c r="K105" i="39"/>
  <c r="I6" i="32"/>
  <c r="L108" i="39"/>
  <c r="N108" i="39"/>
  <c r="U9" i="23"/>
  <c r="I67" i="45"/>
  <c r="K131" i="39"/>
  <c r="N130" i="39"/>
  <c r="M105" i="39"/>
  <c r="M103" i="39"/>
  <c r="I75" i="45"/>
  <c r="K107" i="39"/>
  <c r="I65" i="45"/>
  <c r="M65" i="45" s="1"/>
  <c r="W76" i="7"/>
  <c r="I19" i="32"/>
  <c r="I66" i="45"/>
  <c r="M66" i="45" s="1"/>
  <c r="K108" i="39"/>
  <c r="M108" i="39"/>
  <c r="K130" i="39"/>
  <c r="K106" i="39"/>
  <c r="L106" i="39"/>
  <c r="M106" i="39"/>
  <c r="I14" i="32"/>
  <c r="I68" i="45"/>
  <c r="M68" i="45" s="1"/>
  <c r="O131" i="39"/>
  <c r="I64" i="45"/>
  <c r="M64" i="45" s="1"/>
  <c r="N131" i="39"/>
  <c r="M104" i="39"/>
  <c r="CD5" i="5"/>
  <c r="CD6" i="5"/>
  <c r="V140" i="37" l="1"/>
  <c r="Y49" i="37"/>
  <c r="X49" i="37"/>
  <c r="W49" i="37"/>
  <c r="T49" i="37" s="1"/>
  <c r="U50" i="37"/>
  <c r="V138" i="37"/>
  <c r="V133" i="37"/>
  <c r="F212" i="29"/>
  <c r="H212" i="29" s="1"/>
  <c r="F128" i="29"/>
  <c r="H128" i="29" s="1"/>
  <c r="AA17" i="27"/>
  <c r="AB16" i="27" s="1"/>
  <c r="AD16" i="27" s="1"/>
  <c r="AJ38" i="6"/>
  <c r="AJ36" i="6"/>
  <c r="AJ37" i="6"/>
  <c r="M108" i="6"/>
  <c r="BB30" i="5"/>
  <c r="N60" i="6"/>
  <c r="BE4" i="5"/>
  <c r="BA34" i="5" s="1"/>
  <c r="BB34" i="5" s="1"/>
  <c r="N58" i="6"/>
  <c r="BD4" i="5"/>
  <c r="BA24" i="5" s="1"/>
  <c r="BB24" i="5" s="1"/>
  <c r="AF16" i="5"/>
  <c r="BF39" i="5"/>
  <c r="BB39" i="5"/>
  <c r="N65" i="6"/>
  <c r="S17" i="24" s="1"/>
  <c r="N62" i="6"/>
  <c r="AF15" i="5"/>
  <c r="AF17" i="5"/>
  <c r="BA17" i="5"/>
  <c r="BB17" i="5" s="1"/>
  <c r="BD7" i="5"/>
  <c r="BA27" i="5" s="1"/>
  <c r="BE7" i="5"/>
  <c r="BA37" i="5" s="1"/>
  <c r="AF8" i="5"/>
  <c r="F91" i="1"/>
  <c r="G91" i="1" s="1"/>
  <c r="H91" i="1" s="1"/>
  <c r="U10" i="23"/>
  <c r="AF6" i="5"/>
  <c r="E18" i="9"/>
  <c r="M131" i="39"/>
  <c r="P131" i="39" s="1"/>
  <c r="Q131" i="39" s="1"/>
  <c r="P108" i="39"/>
  <c r="Q108" i="39" s="1"/>
  <c r="X5" i="5"/>
  <c r="AE5" i="5" s="1"/>
  <c r="BD17" i="24"/>
  <c r="F62" i="27"/>
  <c r="G48" i="28"/>
  <c r="I17" i="24"/>
  <c r="E28" i="2"/>
  <c r="C41" i="27"/>
  <c r="AF11" i="5"/>
  <c r="AA14" i="27"/>
  <c r="AB13" i="27" s="1"/>
  <c r="AD13" i="27" s="1"/>
  <c r="F35" i="45"/>
  <c r="F24" i="45"/>
  <c r="S10" i="5"/>
  <c r="Z10" i="5" s="1"/>
  <c r="V23" i="5"/>
  <c r="AC23" i="5" s="1"/>
  <c r="T31" i="5"/>
  <c r="AA31" i="5" s="1"/>
  <c r="AF31" i="5" s="1"/>
  <c r="P29" i="24"/>
  <c r="N75" i="6"/>
  <c r="AK41" i="6"/>
  <c r="AJ40" i="6"/>
  <c r="L106" i="6" s="1"/>
  <c r="AT39" i="6"/>
  <c r="AR27" i="6"/>
  <c r="AF6" i="24"/>
  <c r="AH42" i="6"/>
  <c r="J108" i="6" s="1"/>
  <c r="O27" i="23" s="1"/>
  <c r="P27" i="23" s="1"/>
  <c r="I20" i="2"/>
  <c r="D46" i="2" s="1"/>
  <c r="E46" i="2" s="1"/>
  <c r="CD30" i="5"/>
  <c r="CC29" i="5"/>
  <c r="J53" i="6"/>
  <c r="D98" i="1"/>
  <c r="AC13" i="27"/>
  <c r="F47" i="27"/>
  <c r="F42" i="27"/>
  <c r="I20" i="32"/>
  <c r="S4" i="5"/>
  <c r="Z4" i="5" s="1"/>
  <c r="T10" i="5"/>
  <c r="AA10" i="5" s="1"/>
  <c r="AF10" i="5" s="1"/>
  <c r="AF26" i="5"/>
  <c r="AF28" i="5"/>
  <c r="R30" i="5"/>
  <c r="Y30" i="5" s="1"/>
  <c r="U31" i="5"/>
  <c r="AB31" i="5" s="1"/>
  <c r="K20" i="2"/>
  <c r="T111" i="39"/>
  <c r="H31" i="9"/>
  <c r="I25" i="6"/>
  <c r="BF17" i="24"/>
  <c r="C100" i="1"/>
  <c r="L97" i="7"/>
  <c r="L109" i="39"/>
  <c r="P106" i="39"/>
  <c r="Q106" i="39" s="1"/>
  <c r="T10" i="23"/>
  <c r="P105" i="39"/>
  <c r="Q105" i="39" s="1"/>
  <c r="X4" i="5"/>
  <c r="AE4" i="5" s="1"/>
  <c r="BF15" i="24"/>
  <c r="BD10" i="24"/>
  <c r="CF16" i="5"/>
  <c r="CF22" i="5" s="1"/>
  <c r="AK27" i="6" s="1"/>
  <c r="M93" i="6" s="1"/>
  <c r="M49" i="45"/>
  <c r="L71" i="45"/>
  <c r="X31" i="5"/>
  <c r="AE31" i="5" s="1"/>
  <c r="N119" i="39"/>
  <c r="D100" i="1"/>
  <c r="AA15" i="27"/>
  <c r="AC27" i="27"/>
  <c r="F50" i="27"/>
  <c r="T4" i="5"/>
  <c r="AA4" i="5" s="1"/>
  <c r="U10" i="5"/>
  <c r="AB10" i="5" s="1"/>
  <c r="U23" i="5"/>
  <c r="AB23" i="5" s="1"/>
  <c r="S30" i="5"/>
  <c r="Z30" i="5" s="1"/>
  <c r="W31" i="5"/>
  <c r="AD31" i="5" s="1"/>
  <c r="AL43" i="6"/>
  <c r="M28" i="24" s="1"/>
  <c r="BE10" i="5"/>
  <c r="BA40" i="5" s="1"/>
  <c r="AU35" i="6"/>
  <c r="AQ27" i="6"/>
  <c r="O12" i="24" s="1"/>
  <c r="G9" i="24"/>
  <c r="H9" i="24" s="1"/>
  <c r="W6" i="24"/>
  <c r="O80" i="6"/>
  <c r="AH38" i="6"/>
  <c r="J104" i="6" s="1"/>
  <c r="O23" i="23" s="1"/>
  <c r="AH36" i="6"/>
  <c r="J102" i="6" s="1"/>
  <c r="O21" i="23" s="1"/>
  <c r="AK21" i="24" s="1"/>
  <c r="L25" i="9" s="1"/>
  <c r="E62" i="6"/>
  <c r="G62" i="6" s="1"/>
  <c r="T14" i="23"/>
  <c r="I10" i="24"/>
  <c r="K28" i="24"/>
  <c r="F77" i="1"/>
  <c r="G77" i="1" s="1"/>
  <c r="M119" i="39"/>
  <c r="U4" i="5"/>
  <c r="AB4" i="5" s="1"/>
  <c r="T30" i="5"/>
  <c r="AA30" i="5" s="1"/>
  <c r="BN10" i="24"/>
  <c r="BO10" i="24" s="1"/>
  <c r="O76" i="6"/>
  <c r="BC17" i="24"/>
  <c r="F58" i="27"/>
  <c r="K17" i="24"/>
  <c r="M18" i="23"/>
  <c r="L130" i="39"/>
  <c r="P130" i="39" s="1"/>
  <c r="Q130" i="39" s="1"/>
  <c r="M75" i="45"/>
  <c r="T9" i="23"/>
  <c r="I15" i="32"/>
  <c r="BD15" i="24"/>
  <c r="BC10" i="24"/>
  <c r="E16" i="9"/>
  <c r="CF17" i="5"/>
  <c r="CF23" i="5" s="1"/>
  <c r="AK38" i="6" s="1"/>
  <c r="K10" i="24"/>
  <c r="I15" i="24"/>
  <c r="S14" i="23"/>
  <c r="AB14" i="23" s="1"/>
  <c r="V31" i="5"/>
  <c r="AC31" i="5" s="1"/>
  <c r="M111" i="39"/>
  <c r="P111" i="39" s="1"/>
  <c r="Q111" i="39" s="1"/>
  <c r="L119" i="39"/>
  <c r="AC15" i="27"/>
  <c r="Z35" i="27"/>
  <c r="C99" i="1"/>
  <c r="T23" i="5"/>
  <c r="AA23" i="5" s="1"/>
  <c r="U30" i="5"/>
  <c r="AB30" i="5" s="1"/>
  <c r="AF30" i="5" s="1"/>
  <c r="X32" i="5"/>
  <c r="AE32" i="5" s="1"/>
  <c r="AI39" i="6"/>
  <c r="AJ35" i="6"/>
  <c r="J6" i="24"/>
  <c r="L65" i="6"/>
  <c r="M65" i="6" s="1"/>
  <c r="G53" i="6"/>
  <c r="V53" i="6" s="1"/>
  <c r="F92" i="1"/>
  <c r="G92" i="1" s="1"/>
  <c r="H92" i="1" s="1"/>
  <c r="AK6" i="5"/>
  <c r="AK18" i="5" s="1"/>
  <c r="BD39" i="5" s="1"/>
  <c r="T5" i="23"/>
  <c r="BH10" i="24"/>
  <c r="L69" i="6"/>
  <c r="V21" i="23" s="1"/>
  <c r="AC21" i="23" s="1"/>
  <c r="I41" i="2"/>
  <c r="I40" i="2"/>
  <c r="I42" i="2"/>
  <c r="F53" i="27"/>
  <c r="F51" i="27"/>
  <c r="AF21" i="5"/>
  <c r="W30" i="5"/>
  <c r="AD30" i="5" s="1"/>
  <c r="W32" i="5"/>
  <c r="AD32" i="5" s="1"/>
  <c r="M128" i="39"/>
  <c r="AL42" i="6"/>
  <c r="AL41" i="6"/>
  <c r="AI35" i="6"/>
  <c r="K101" i="6" s="1"/>
  <c r="F12" i="24"/>
  <c r="N56" i="6"/>
  <c r="I38" i="6"/>
  <c r="BE10" i="24"/>
  <c r="BI10" i="24"/>
  <c r="M109" i="39"/>
  <c r="AH27" i="6"/>
  <c r="J93" i="6" s="1"/>
  <c r="I30" i="32"/>
  <c r="BP6" i="24"/>
  <c r="BI15" i="24"/>
  <c r="BG10" i="24"/>
  <c r="K67" i="1"/>
  <c r="AE27" i="6"/>
  <c r="I93" i="6" s="1"/>
  <c r="M12" i="23" s="1"/>
  <c r="K15" i="24"/>
  <c r="M62" i="45"/>
  <c r="K23" i="24"/>
  <c r="I73" i="45"/>
  <c r="M73" i="45" s="1"/>
  <c r="S8" i="23"/>
  <c r="AB8" i="23" s="1"/>
  <c r="I44" i="2"/>
  <c r="I43" i="2"/>
  <c r="BE4" i="24"/>
  <c r="F45" i="27"/>
  <c r="S5" i="5"/>
  <c r="Z5" i="5" s="1"/>
  <c r="AF5" i="5" s="1"/>
  <c r="AC17" i="27"/>
  <c r="AC41" i="27"/>
  <c r="F46" i="27"/>
  <c r="S23" i="5"/>
  <c r="Z23" i="5" s="1"/>
  <c r="V32" i="5"/>
  <c r="AC32" i="5" s="1"/>
  <c r="F87" i="7"/>
  <c r="W87" i="7" s="1"/>
  <c r="AU44" i="6"/>
  <c r="AT43" i="6"/>
  <c r="AU42" i="6"/>
  <c r="AL40" i="6"/>
  <c r="AI38" i="6"/>
  <c r="AI37" i="6"/>
  <c r="AF17" i="24"/>
  <c r="W10" i="24"/>
  <c r="C6" i="24"/>
  <c r="E6" i="24" s="1"/>
  <c r="AF13" i="5"/>
  <c r="M115" i="39"/>
  <c r="E97" i="7"/>
  <c r="M97" i="7" s="1"/>
  <c r="N97" i="7" s="1"/>
  <c r="T5" i="5"/>
  <c r="AA5" i="5" s="1"/>
  <c r="AC18" i="27"/>
  <c r="R9" i="5"/>
  <c r="Y9" i="5" s="1"/>
  <c r="U32" i="5"/>
  <c r="AB32" i="5" s="1"/>
  <c r="P81" i="39"/>
  <c r="T131" i="39" s="1"/>
  <c r="AT44" i="6"/>
  <c r="AT42" i="6"/>
  <c r="V35" i="6"/>
  <c r="O81" i="6"/>
  <c r="AH35" i="6"/>
  <c r="F41" i="7"/>
  <c r="G51" i="7" s="1"/>
  <c r="I45" i="2"/>
  <c r="I46" i="2"/>
  <c r="S75" i="6"/>
  <c r="M107" i="39"/>
  <c r="P107" i="39" s="1"/>
  <c r="Q107" i="39" s="1"/>
  <c r="I17" i="32"/>
  <c r="I4" i="32"/>
  <c r="E37" i="9"/>
  <c r="Q13" i="27"/>
  <c r="I100" i="6"/>
  <c r="M19" i="23" s="1"/>
  <c r="S9" i="23"/>
  <c r="AB9" i="23" s="1"/>
  <c r="BE17" i="24"/>
  <c r="AF19" i="5"/>
  <c r="L115" i="39"/>
  <c r="P115" i="39" s="1"/>
  <c r="Q115" i="39" s="1"/>
  <c r="U5" i="5"/>
  <c r="AB5" i="5" s="1"/>
  <c r="D50" i="45"/>
  <c r="S9" i="5"/>
  <c r="Z9" i="5" s="1"/>
  <c r="CE11" i="5"/>
  <c r="X23" i="5"/>
  <c r="AE23" i="5" s="1"/>
  <c r="AF27" i="5"/>
  <c r="T32" i="5"/>
  <c r="AA32" i="5" s="1"/>
  <c r="F77" i="7"/>
  <c r="AU47" i="6"/>
  <c r="AK43" i="6"/>
  <c r="BE5" i="5"/>
  <c r="BA35" i="5" s="1"/>
  <c r="BB35" i="5" s="1"/>
  <c r="AS35" i="6"/>
  <c r="AU27" i="6"/>
  <c r="AH12" i="24" s="1"/>
  <c r="R10" i="24"/>
  <c r="AF7" i="24"/>
  <c r="N53" i="6"/>
  <c r="L81" i="6"/>
  <c r="L60" i="6"/>
  <c r="V12" i="23" s="1"/>
  <c r="AC12" i="23" s="1"/>
  <c r="AM12" i="23" s="1"/>
  <c r="AR12" i="26" s="1"/>
  <c r="F84" i="1"/>
  <c r="G84" i="1" s="1"/>
  <c r="H84" i="1" s="1"/>
  <c r="AK5" i="5"/>
  <c r="J35" i="6" s="1"/>
  <c r="C101" i="6" s="1"/>
  <c r="O89" i="6"/>
  <c r="M15" i="23"/>
  <c r="AJ15" i="24" s="1"/>
  <c r="BF10" i="24"/>
  <c r="AE39" i="6"/>
  <c r="I105" i="6" s="1"/>
  <c r="M24" i="23" s="1"/>
  <c r="I63" i="45"/>
  <c r="M63" i="45" s="1"/>
  <c r="T7" i="23"/>
  <c r="BI17" i="24"/>
  <c r="U7" i="23"/>
  <c r="M67" i="45"/>
  <c r="V5" i="5"/>
  <c r="AC5" i="5" s="1"/>
  <c r="BH17" i="24"/>
  <c r="R14" i="27"/>
  <c r="F193" i="29"/>
  <c r="H193" i="29" s="1"/>
  <c r="AC21" i="27"/>
  <c r="Z40" i="27"/>
  <c r="AB14" i="27"/>
  <c r="AD14" i="27" s="1"/>
  <c r="L52" i="45"/>
  <c r="T9" i="5"/>
  <c r="AA9" i="5" s="1"/>
  <c r="CF11" i="5"/>
  <c r="AF29" i="5"/>
  <c r="M126" i="39"/>
  <c r="AT47" i="6"/>
  <c r="F13" i="7"/>
  <c r="C33" i="28" s="1"/>
  <c r="C35" i="28"/>
  <c r="CH6" i="7"/>
  <c r="CQ6" i="7" s="1"/>
  <c r="CZ6" i="7" s="1"/>
  <c r="DI6" i="7" s="1"/>
  <c r="DR6" i="7" s="1"/>
  <c r="EA6" i="7" s="1"/>
  <c r="EJ6" i="7" s="1"/>
  <c r="L95" i="7"/>
  <c r="L96" i="7"/>
  <c r="M96" i="7" s="1"/>
  <c r="N96" i="7" s="1"/>
  <c r="L93" i="7"/>
  <c r="AG31" i="46"/>
  <c r="G37" i="7"/>
  <c r="G38" i="7"/>
  <c r="E19" i="30"/>
  <c r="F19" i="30" s="1"/>
  <c r="E20" i="30"/>
  <c r="F20" i="30" s="1"/>
  <c r="C6" i="29" s="1"/>
  <c r="A6" i="29" s="1"/>
  <c r="E22" i="30"/>
  <c r="F22" i="30" s="1"/>
  <c r="C8" i="29" s="1"/>
  <c r="A8" i="29" s="1"/>
  <c r="D14" i="28"/>
  <c r="C14" i="28" s="1"/>
  <c r="F14" i="28" s="1"/>
  <c r="Q13" i="7"/>
  <c r="AF33" i="5"/>
  <c r="CF10" i="5"/>
  <c r="CE10" i="5"/>
  <c r="CC22" i="5"/>
  <c r="AJ27" i="6" s="1"/>
  <c r="L93" i="6" s="1"/>
  <c r="O100" i="6"/>
  <c r="K106" i="6"/>
  <c r="M106" i="6"/>
  <c r="BP8" i="24"/>
  <c r="W16" i="24"/>
  <c r="C16" i="24"/>
  <c r="J16" i="24"/>
  <c r="BI16" i="24"/>
  <c r="BE16" i="24"/>
  <c r="BH16" i="24"/>
  <c r="BN16" i="24"/>
  <c r="BO16" i="24" s="1"/>
  <c r="BC16" i="24"/>
  <c r="C21" i="24"/>
  <c r="E21" i="24" s="1"/>
  <c r="F21" i="24"/>
  <c r="AC21" i="24"/>
  <c r="AG21" i="24"/>
  <c r="BC21" i="24"/>
  <c r="BH21" i="24"/>
  <c r="BG21" i="24"/>
  <c r="BG16" i="24"/>
  <c r="CE22" i="5"/>
  <c r="AL35" i="6"/>
  <c r="AL37" i="6"/>
  <c r="M22" i="24" s="1"/>
  <c r="AL36" i="6"/>
  <c r="AL38" i="6"/>
  <c r="AE38" i="6"/>
  <c r="I104" i="6" s="1"/>
  <c r="M23" i="23" s="1"/>
  <c r="J52" i="6"/>
  <c r="T4" i="23" s="1"/>
  <c r="H52" i="6"/>
  <c r="E52" i="6"/>
  <c r="G52" i="6" s="1"/>
  <c r="V52" i="6" s="1"/>
  <c r="N52" i="6"/>
  <c r="S4" i="24" s="1"/>
  <c r="E71" i="6"/>
  <c r="G71" i="6" s="1"/>
  <c r="V71" i="6" s="1"/>
  <c r="N71" i="6"/>
  <c r="H71" i="6"/>
  <c r="J71" i="6" s="1"/>
  <c r="T23" i="23" s="1"/>
  <c r="S81" i="6"/>
  <c r="H81" i="6"/>
  <c r="J81" i="6" s="1"/>
  <c r="E81" i="6"/>
  <c r="G81" i="6" s="1"/>
  <c r="V81" i="6" s="1"/>
  <c r="N81" i="6"/>
  <c r="S33" i="24" s="1"/>
  <c r="L109" i="6"/>
  <c r="M109" i="6"/>
  <c r="AK14" i="23"/>
  <c r="AJ18" i="23"/>
  <c r="AK18" i="23"/>
  <c r="M107" i="6"/>
  <c r="CC28" i="5"/>
  <c r="CE28" i="5"/>
  <c r="CD28" i="5"/>
  <c r="CF28" i="5"/>
  <c r="T18" i="7"/>
  <c r="AM9" i="25" s="1"/>
  <c r="I9" i="26"/>
  <c r="J9" i="26" s="1"/>
  <c r="T19" i="7"/>
  <c r="AM20" i="25" s="1"/>
  <c r="I10" i="26"/>
  <c r="J10" i="26" s="1"/>
  <c r="G19" i="7"/>
  <c r="T23" i="7"/>
  <c r="I14" i="26"/>
  <c r="J14" i="26" s="1"/>
  <c r="J103" i="6"/>
  <c r="O22" i="23" s="1"/>
  <c r="AK22" i="24" s="1"/>
  <c r="L26" i="9" s="1"/>
  <c r="N103" i="6"/>
  <c r="AL22" i="24" s="1"/>
  <c r="K103" i="6"/>
  <c r="L103" i="6"/>
  <c r="M30" i="23"/>
  <c r="AM37" i="6"/>
  <c r="N22" i="24" s="1"/>
  <c r="AM36" i="6"/>
  <c r="AM35" i="6"/>
  <c r="AM38" i="6"/>
  <c r="J15" i="7"/>
  <c r="AE31" i="6"/>
  <c r="I97" i="6" s="1"/>
  <c r="M16" i="23" s="1"/>
  <c r="AJ16" i="24" s="1"/>
  <c r="K20" i="9" s="1"/>
  <c r="I74" i="45"/>
  <c r="M74" i="45" s="1"/>
  <c r="I31" i="32"/>
  <c r="H69" i="6"/>
  <c r="J69" i="6" s="1"/>
  <c r="K69" i="6" s="1"/>
  <c r="E69" i="6"/>
  <c r="G69" i="6" s="1"/>
  <c r="N69" i="6"/>
  <c r="X28" i="23"/>
  <c r="AE28" i="23" s="1"/>
  <c r="AF28" i="23" s="1"/>
  <c r="Q96" i="6"/>
  <c r="N104" i="6"/>
  <c r="K104" i="6"/>
  <c r="L104" i="6"/>
  <c r="AB12" i="24"/>
  <c r="K93" i="6"/>
  <c r="CL22" i="5"/>
  <c r="CN22" i="5" s="1"/>
  <c r="AM27" i="6" s="1"/>
  <c r="J95" i="7"/>
  <c r="J101" i="6"/>
  <c r="O20" i="23" s="1"/>
  <c r="AK20" i="24" s="1"/>
  <c r="L24" i="9" s="1"/>
  <c r="L101" i="6"/>
  <c r="Q101" i="6"/>
  <c r="M31" i="23"/>
  <c r="N31" i="23" s="1"/>
  <c r="P109" i="39"/>
  <c r="Q109" i="39" s="1"/>
  <c r="AF7" i="5"/>
  <c r="I16" i="2"/>
  <c r="D42" i="2" s="1"/>
  <c r="E42" i="2" s="1"/>
  <c r="J16" i="2"/>
  <c r="E93" i="7"/>
  <c r="M93" i="7" s="1"/>
  <c r="N93" i="7" s="1"/>
  <c r="F83" i="7"/>
  <c r="W83" i="7" s="1"/>
  <c r="K16" i="2"/>
  <c r="F73" i="7"/>
  <c r="Q14" i="27"/>
  <c r="D15" i="27"/>
  <c r="C42" i="27"/>
  <c r="AF9" i="5"/>
  <c r="G14" i="7"/>
  <c r="T14" i="7"/>
  <c r="AM25" i="25" s="1"/>
  <c r="I5" i="26"/>
  <c r="J5" i="26" s="1"/>
  <c r="G15" i="7"/>
  <c r="T15" i="7"/>
  <c r="AM16" i="25" s="1"/>
  <c r="I6" i="26"/>
  <c r="J6" i="26" s="1"/>
  <c r="G21" i="7"/>
  <c r="T21" i="7"/>
  <c r="AM22" i="25" s="1"/>
  <c r="I12" i="26"/>
  <c r="J12" i="26" s="1"/>
  <c r="K16" i="24"/>
  <c r="K21" i="24"/>
  <c r="O99" i="6"/>
  <c r="C23" i="9"/>
  <c r="E23" i="9"/>
  <c r="C14" i="9"/>
  <c r="Q93" i="6"/>
  <c r="O91" i="6"/>
  <c r="AA19" i="27"/>
  <c r="AB18" i="27" s="1"/>
  <c r="AD18" i="27" s="1"/>
  <c r="Z39" i="27"/>
  <c r="Z23" i="27"/>
  <c r="L49" i="45"/>
  <c r="E66" i="6"/>
  <c r="G66" i="6" s="1"/>
  <c r="V66" i="6" s="1"/>
  <c r="H66" i="6"/>
  <c r="J66" i="6" s="1"/>
  <c r="N66" i="6"/>
  <c r="O72" i="6"/>
  <c r="X24" i="23" s="1"/>
  <c r="AE24" i="23" s="1"/>
  <c r="AF24" i="23" s="1"/>
  <c r="L72" i="6"/>
  <c r="V24" i="23" s="1"/>
  <c r="AC24" i="23" s="1"/>
  <c r="AM24" i="23" s="1"/>
  <c r="S74" i="6"/>
  <c r="H74" i="6"/>
  <c r="J74" i="6" s="1"/>
  <c r="E74" i="6"/>
  <c r="G74" i="6" s="1"/>
  <c r="V74" i="6" s="1"/>
  <c r="N74" i="6"/>
  <c r="E78" i="6"/>
  <c r="G78" i="6" s="1"/>
  <c r="V78" i="6" s="1"/>
  <c r="S78" i="6"/>
  <c r="H78" i="6"/>
  <c r="J78" i="6" s="1"/>
  <c r="N78" i="6"/>
  <c r="I17" i="2"/>
  <c r="D43" i="2" s="1"/>
  <c r="E43" i="2" s="1"/>
  <c r="J17" i="2"/>
  <c r="S63" i="6" s="1"/>
  <c r="G65" i="7"/>
  <c r="G63" i="7"/>
  <c r="F94" i="7"/>
  <c r="G74" i="7"/>
  <c r="G64" i="7"/>
  <c r="K17" i="2"/>
  <c r="G84" i="7"/>
  <c r="W84" i="7" s="1"/>
  <c r="F36" i="7"/>
  <c r="G46" i="7" s="1"/>
  <c r="F37" i="7"/>
  <c r="G47" i="7" s="1"/>
  <c r="F38" i="7"/>
  <c r="G48" i="7" s="1"/>
  <c r="C22" i="9"/>
  <c r="E22" i="9"/>
  <c r="C13" i="9"/>
  <c r="P117" i="39"/>
  <c r="Q117" i="39" s="1"/>
  <c r="P90" i="6"/>
  <c r="O93" i="7"/>
  <c r="Z33" i="27"/>
  <c r="AC32" i="27"/>
  <c r="L48" i="45"/>
  <c r="D114" i="27"/>
  <c r="V31" i="23"/>
  <c r="AC31" i="23" s="1"/>
  <c r="J105" i="6"/>
  <c r="O24" i="23" s="1"/>
  <c r="P24" i="23" s="1"/>
  <c r="N111" i="6"/>
  <c r="AJ10" i="23"/>
  <c r="AJ10" i="26" s="1"/>
  <c r="AK10" i="23"/>
  <c r="AK15" i="23"/>
  <c r="AJ19" i="23"/>
  <c r="AK19" i="23"/>
  <c r="BH23" i="24"/>
  <c r="J18" i="2"/>
  <c r="S66" i="6" s="1"/>
  <c r="I18" i="2"/>
  <c r="D44" i="2" s="1"/>
  <c r="E44" i="2" s="1"/>
  <c r="F75" i="7"/>
  <c r="F85" i="7"/>
  <c r="W85" i="7" s="1"/>
  <c r="E95" i="7"/>
  <c r="K18" i="2"/>
  <c r="F40" i="7"/>
  <c r="G50" i="7" s="1"/>
  <c r="F39" i="7"/>
  <c r="G49" i="7" s="1"/>
  <c r="C21" i="9"/>
  <c r="E21" i="9"/>
  <c r="E12" i="9"/>
  <c r="C12" i="9"/>
  <c r="M71" i="45"/>
  <c r="O90" i="6"/>
  <c r="O86" i="6"/>
  <c r="AF20" i="5"/>
  <c r="AK35" i="6"/>
  <c r="M101" i="6" s="1"/>
  <c r="AK36" i="6"/>
  <c r="M102" i="6" s="1"/>
  <c r="AK37" i="6"/>
  <c r="AM6" i="25"/>
  <c r="AM32" i="25"/>
  <c r="G20" i="7"/>
  <c r="T20" i="7"/>
  <c r="I11" i="26"/>
  <c r="J11" i="26" s="1"/>
  <c r="T24" i="7"/>
  <c r="I15" i="26"/>
  <c r="J15" i="26" s="1"/>
  <c r="I16" i="24"/>
  <c r="J63" i="6"/>
  <c r="T15" i="23" s="1"/>
  <c r="H63" i="6"/>
  <c r="N63" i="6"/>
  <c r="S15" i="24" s="1"/>
  <c r="E63" i="6"/>
  <c r="G63" i="6" s="1"/>
  <c r="X22" i="23"/>
  <c r="AE22" i="23" s="1"/>
  <c r="AF22" i="23" s="1"/>
  <c r="H72" i="6"/>
  <c r="J72" i="6" s="1"/>
  <c r="E72" i="6"/>
  <c r="G72" i="6" s="1"/>
  <c r="V72" i="6" s="1"/>
  <c r="N72" i="6"/>
  <c r="S24" i="24" s="1"/>
  <c r="S11" i="23"/>
  <c r="AB11" i="23" s="1"/>
  <c r="P24" i="24"/>
  <c r="BE24" i="24"/>
  <c r="V24" i="24"/>
  <c r="J19" i="2"/>
  <c r="S72" i="6" s="1"/>
  <c r="I19" i="2"/>
  <c r="D45" i="2" s="1"/>
  <c r="E45" i="2" s="1"/>
  <c r="F86" i="7"/>
  <c r="W86" i="7" s="1"/>
  <c r="E96" i="7"/>
  <c r="F67" i="7"/>
  <c r="K19" i="2"/>
  <c r="F66" i="7"/>
  <c r="F76" i="7"/>
  <c r="P104" i="39"/>
  <c r="Q104" i="39" s="1"/>
  <c r="P103" i="39"/>
  <c r="Q103" i="39" s="1"/>
  <c r="C20" i="9"/>
  <c r="E20" i="9"/>
  <c r="C11" i="9"/>
  <c r="F185" i="29"/>
  <c r="H185" i="29" s="1"/>
  <c r="BI372" i="36" s="1"/>
  <c r="F109" i="29"/>
  <c r="N144" i="29"/>
  <c r="P144" i="29" s="1"/>
  <c r="P114" i="39"/>
  <c r="Q114" i="39" s="1"/>
  <c r="K105" i="6"/>
  <c r="Q89" i="6"/>
  <c r="AC16" i="27"/>
  <c r="AA23" i="27"/>
  <c r="AB22" i="27" s="1"/>
  <c r="AD22" i="27" s="1"/>
  <c r="Z37" i="27"/>
  <c r="Z21" i="27"/>
  <c r="AA21" i="27" s="1"/>
  <c r="AB20" i="27" s="1"/>
  <c r="AD20" i="27" s="1"/>
  <c r="AC20" i="27"/>
  <c r="L54" i="45"/>
  <c r="O12" i="23"/>
  <c r="AG12" i="26" s="1"/>
  <c r="AE36" i="6"/>
  <c r="I102" i="6" s="1"/>
  <c r="M21" i="23" s="1"/>
  <c r="N21" i="23" s="1"/>
  <c r="AE40" i="6"/>
  <c r="I106" i="6" s="1"/>
  <c r="M25" i="23" s="1"/>
  <c r="AJ25" i="24" s="1"/>
  <c r="K29" i="9" s="1"/>
  <c r="S67" i="6"/>
  <c r="H67" i="6"/>
  <c r="J67" i="6" s="1"/>
  <c r="K67" i="6" s="1"/>
  <c r="P100" i="6" s="1"/>
  <c r="E67" i="6"/>
  <c r="G67" i="6" s="1"/>
  <c r="V67" i="6" s="1"/>
  <c r="N67" i="6"/>
  <c r="S19" i="24" s="1"/>
  <c r="L73" i="6"/>
  <c r="V25" i="23" s="1"/>
  <c r="AC25" i="23" s="1"/>
  <c r="AM25" i="23" s="1"/>
  <c r="O73" i="6"/>
  <c r="Q106" i="6" s="1"/>
  <c r="S76" i="6"/>
  <c r="H76" i="6"/>
  <c r="J76" i="6" s="1"/>
  <c r="E76" i="6"/>
  <c r="G76" i="6" s="1"/>
  <c r="V76" i="6" s="1"/>
  <c r="N76" i="6"/>
  <c r="S28" i="24" s="1"/>
  <c r="H79" i="6"/>
  <c r="J79" i="6" s="1"/>
  <c r="O112" i="6" s="1"/>
  <c r="E79" i="6"/>
  <c r="G79" i="6" s="1"/>
  <c r="V79" i="6" s="1"/>
  <c r="N79" i="6"/>
  <c r="AK7" i="23"/>
  <c r="AJ7" i="23"/>
  <c r="AK11" i="23"/>
  <c r="AK16" i="23"/>
  <c r="AK30" i="23"/>
  <c r="BD25" i="24"/>
  <c r="F25" i="24"/>
  <c r="Q25" i="24"/>
  <c r="R25" i="24"/>
  <c r="W25" i="24"/>
  <c r="BG25" i="24"/>
  <c r="BN25" i="24"/>
  <c r="BO25" i="24" s="1"/>
  <c r="BC25" i="24"/>
  <c r="C19" i="9"/>
  <c r="C10" i="9"/>
  <c r="F175" i="29"/>
  <c r="H175" i="29" s="1"/>
  <c r="AZ308" i="36" s="1"/>
  <c r="F97" i="29"/>
  <c r="H97" i="29" s="1"/>
  <c r="AZ86" i="36" s="1"/>
  <c r="N133" i="29"/>
  <c r="P133" i="29" s="1"/>
  <c r="P110" i="39"/>
  <c r="Q110" i="39" s="1"/>
  <c r="P119" i="39"/>
  <c r="Q119" i="39" s="1"/>
  <c r="AA28" i="27"/>
  <c r="AB27" i="27" s="1"/>
  <c r="AD27" i="27" s="1"/>
  <c r="L53" i="45"/>
  <c r="X20" i="23"/>
  <c r="AE20" i="23" s="1"/>
  <c r="AF20" i="23" s="1"/>
  <c r="E70" i="6"/>
  <c r="G70" i="6" s="1"/>
  <c r="V70" i="6" s="1"/>
  <c r="H70" i="6"/>
  <c r="J70" i="6" s="1"/>
  <c r="N70" i="6"/>
  <c r="S22" i="24" s="1"/>
  <c r="L102" i="6"/>
  <c r="K102" i="6"/>
  <c r="P102" i="6"/>
  <c r="O102" i="6"/>
  <c r="S17" i="23"/>
  <c r="AB17" i="23" s="1"/>
  <c r="R19" i="24"/>
  <c r="H23" i="9" s="1"/>
  <c r="G26" i="24"/>
  <c r="AY26" i="24" s="1"/>
  <c r="BD26" i="24"/>
  <c r="C8" i="9"/>
  <c r="C18" i="9"/>
  <c r="C9" i="9"/>
  <c r="F167" i="29"/>
  <c r="H167" i="29" s="1"/>
  <c r="F86" i="29"/>
  <c r="H86" i="29" s="1"/>
  <c r="AZ57" i="36" s="1"/>
  <c r="N125" i="29"/>
  <c r="P125" i="29" s="1"/>
  <c r="BR159" i="36" s="1"/>
  <c r="P113" i="39"/>
  <c r="Q113" i="39" s="1"/>
  <c r="P116" i="39"/>
  <c r="Q116" i="39" s="1"/>
  <c r="Q114" i="6"/>
  <c r="O95" i="6"/>
  <c r="AA18" i="27"/>
  <c r="AB17" i="27" s="1"/>
  <c r="AD17" i="27" s="1"/>
  <c r="AA24" i="27"/>
  <c r="AB23" i="27" s="1"/>
  <c r="AD23" i="27" s="1"/>
  <c r="AA26" i="27"/>
  <c r="AB25" i="27" s="1"/>
  <c r="AD25" i="27" s="1"/>
  <c r="Z41" i="27"/>
  <c r="F55" i="27"/>
  <c r="G16" i="7"/>
  <c r="T16" i="7"/>
  <c r="AM7" i="25" s="1"/>
  <c r="I7" i="26"/>
  <c r="J7" i="26" s="1"/>
  <c r="AE37" i="6"/>
  <c r="I103" i="6" s="1"/>
  <c r="M22" i="23" s="1"/>
  <c r="AJ22" i="24" s="1"/>
  <c r="K26" i="9" s="1"/>
  <c r="AE41" i="6"/>
  <c r="I107" i="6" s="1"/>
  <c r="M26" i="23" s="1"/>
  <c r="AJ26" i="24" s="1"/>
  <c r="K30" i="9" s="1"/>
  <c r="H70" i="9"/>
  <c r="S23" i="23"/>
  <c r="AB23" i="23" s="1"/>
  <c r="F7" i="23"/>
  <c r="AM7" i="24" s="1"/>
  <c r="F15" i="23"/>
  <c r="AM15" i="24" s="1"/>
  <c r="N19" i="9" s="1"/>
  <c r="H60" i="9"/>
  <c r="F10" i="23"/>
  <c r="AM10" i="24" s="1"/>
  <c r="N14" i="9" s="1"/>
  <c r="F21" i="23"/>
  <c r="AM21" i="24" s="1"/>
  <c r="N25" i="9" s="1"/>
  <c r="N88" i="6"/>
  <c r="AL7" i="24" s="1"/>
  <c r="AG21" i="35" s="1"/>
  <c r="F9" i="23"/>
  <c r="AM9" i="24" s="1"/>
  <c r="F18" i="23"/>
  <c r="F19" i="23"/>
  <c r="F4" i="23"/>
  <c r="AM4" i="24" s="1"/>
  <c r="N8" i="9" s="1"/>
  <c r="N92" i="6"/>
  <c r="AL11" i="24" s="1"/>
  <c r="AG29" i="35" s="1"/>
  <c r="H52" i="9"/>
  <c r="AJ21" i="23"/>
  <c r="AJ21" i="26" s="1"/>
  <c r="N91" i="6"/>
  <c r="AL10" i="24" s="1"/>
  <c r="H51" i="9"/>
  <c r="N89" i="6"/>
  <c r="AL8" i="24" s="1"/>
  <c r="AG23" i="35" s="1"/>
  <c r="N95" i="6"/>
  <c r="AL14" i="24" s="1"/>
  <c r="AT5" i="35" s="1"/>
  <c r="N108" i="6"/>
  <c r="AL27" i="24" s="1"/>
  <c r="M31" i="9" s="1"/>
  <c r="AJ23" i="23"/>
  <c r="S33" i="23"/>
  <c r="AB33" i="23" s="1"/>
  <c r="N87" i="6"/>
  <c r="AL6" i="24" s="1"/>
  <c r="AG20" i="35" s="1"/>
  <c r="F8" i="23"/>
  <c r="AM8" i="24" s="1"/>
  <c r="N12" i="9" s="1"/>
  <c r="S14" i="24"/>
  <c r="F5" i="23"/>
  <c r="AM5" i="24" s="1"/>
  <c r="N9" i="9" s="1"/>
  <c r="U21" i="23"/>
  <c r="H41" i="9"/>
  <c r="H56" i="9"/>
  <c r="T21" i="23"/>
  <c r="H59" i="9"/>
  <c r="H48" i="9"/>
  <c r="H67" i="9"/>
  <c r="H65" i="9"/>
  <c r="S22" i="23"/>
  <c r="AB22" i="23" s="1"/>
  <c r="H42" i="9"/>
  <c r="H44" i="9"/>
  <c r="F14" i="23"/>
  <c r="AM14" i="24" s="1"/>
  <c r="N18" i="9" s="1"/>
  <c r="N90" i="6"/>
  <c r="H53" i="9"/>
  <c r="H46" i="9"/>
  <c r="G21" i="23"/>
  <c r="AN21" i="24" s="1"/>
  <c r="O25" i="9" s="1"/>
  <c r="H64" i="9"/>
  <c r="H47" i="9"/>
  <c r="H54" i="9"/>
  <c r="T22" i="23"/>
  <c r="H43" i="9"/>
  <c r="H45" i="9"/>
  <c r="H64" i="6"/>
  <c r="J64" i="6" s="1"/>
  <c r="AJ16" i="23" s="1"/>
  <c r="AJ16" i="26" s="1"/>
  <c r="E64" i="6"/>
  <c r="G64" i="6" s="1"/>
  <c r="V64" i="6" s="1"/>
  <c r="N64" i="6"/>
  <c r="S16" i="24" s="1"/>
  <c r="H73" i="6"/>
  <c r="J73" i="6" s="1"/>
  <c r="K73" i="6" s="1"/>
  <c r="P106" i="6" s="1"/>
  <c r="E73" i="6"/>
  <c r="G73" i="6" s="1"/>
  <c r="V73" i="6" s="1"/>
  <c r="N73" i="6"/>
  <c r="H77" i="6"/>
  <c r="J77" i="6" s="1"/>
  <c r="K77" i="6" s="1"/>
  <c r="G29" i="23" s="1"/>
  <c r="AN29" i="24" s="1"/>
  <c r="O33" i="9" s="1"/>
  <c r="E77" i="6"/>
  <c r="G77" i="6" s="1"/>
  <c r="N77" i="6"/>
  <c r="S80" i="6"/>
  <c r="E80" i="6"/>
  <c r="G80" i="6" s="1"/>
  <c r="V80" i="6" s="1"/>
  <c r="H80" i="6"/>
  <c r="J80" i="6" s="1"/>
  <c r="K80" i="6" s="1"/>
  <c r="G32" i="23" s="1"/>
  <c r="AN32" i="24" s="1"/>
  <c r="O36" i="9" s="1"/>
  <c r="N80" i="6"/>
  <c r="S32" i="24" s="1"/>
  <c r="AK13" i="23"/>
  <c r="AK17" i="23"/>
  <c r="AK31" i="23"/>
  <c r="G15" i="24"/>
  <c r="AY15" i="24" s="1"/>
  <c r="AF15" i="24"/>
  <c r="J15" i="24"/>
  <c r="G28" i="24"/>
  <c r="AY28" i="24" s="1"/>
  <c r="F28" i="24"/>
  <c r="Q28" i="24"/>
  <c r="BH28" i="24"/>
  <c r="X28" i="24"/>
  <c r="F81" i="7"/>
  <c r="W81" i="7" s="1"/>
  <c r="E91" i="7"/>
  <c r="F56" i="7"/>
  <c r="F58" i="7"/>
  <c r="F71" i="7"/>
  <c r="F57" i="7"/>
  <c r="C35" i="9"/>
  <c r="C17" i="9"/>
  <c r="F231" i="29"/>
  <c r="H231" i="29" s="1"/>
  <c r="BI535" i="36" s="1"/>
  <c r="F155" i="29"/>
  <c r="H155" i="29" s="1"/>
  <c r="AZ243" i="36" s="1"/>
  <c r="F75" i="29"/>
  <c r="H75" i="29" s="1"/>
  <c r="BI37" i="36" s="1"/>
  <c r="N114" i="29"/>
  <c r="P114" i="29" s="1"/>
  <c r="BR130" i="36" s="1"/>
  <c r="P88" i="6"/>
  <c r="AA20" i="27"/>
  <c r="AB19" i="27" s="1"/>
  <c r="AD19" i="27" s="1"/>
  <c r="AA22" i="27"/>
  <c r="AB21" i="27" s="1"/>
  <c r="AD21" i="27" s="1"/>
  <c r="AA36" i="27"/>
  <c r="AB35" i="27" s="1"/>
  <c r="AD35" i="27" s="1"/>
  <c r="AA27" i="27"/>
  <c r="AB26" i="27" s="1"/>
  <c r="AD26" i="27" s="1"/>
  <c r="AA25" i="27"/>
  <c r="AB24" i="27" s="1"/>
  <c r="AD24" i="27" s="1"/>
  <c r="L72" i="45"/>
  <c r="AF32" i="5"/>
  <c r="G17" i="7"/>
  <c r="R17" i="7" s="1"/>
  <c r="T17" i="7"/>
  <c r="AM28" i="25" s="1"/>
  <c r="I8" i="26"/>
  <c r="J8" i="26" s="1"/>
  <c r="T22" i="7"/>
  <c r="AM33" i="25" s="1"/>
  <c r="I13" i="26"/>
  <c r="J13" i="26" s="1"/>
  <c r="E68" i="6"/>
  <c r="G68" i="6" s="1"/>
  <c r="V68" i="6" s="1"/>
  <c r="J68" i="6"/>
  <c r="F20" i="23" s="1"/>
  <c r="AM20" i="24" s="1"/>
  <c r="N24" i="9" s="1"/>
  <c r="H68" i="6"/>
  <c r="K68" i="6" s="1"/>
  <c r="G20" i="23" s="1"/>
  <c r="AN20" i="24" s="1"/>
  <c r="O24" i="9" s="1"/>
  <c r="S68" i="6"/>
  <c r="N68" i="6"/>
  <c r="S20" i="24" s="1"/>
  <c r="X30" i="23"/>
  <c r="AE30" i="23" s="1"/>
  <c r="AF30" i="23" s="1"/>
  <c r="K4" i="34"/>
  <c r="C20" i="24"/>
  <c r="E20" i="24" s="1"/>
  <c r="BH20" i="24"/>
  <c r="BG20" i="24"/>
  <c r="BC20" i="24"/>
  <c r="C30" i="24"/>
  <c r="E30" i="24" s="1"/>
  <c r="J30" i="24"/>
  <c r="G61" i="7"/>
  <c r="F92" i="7"/>
  <c r="G59" i="7"/>
  <c r="G82" i="7"/>
  <c r="W82" i="7" s="1"/>
  <c r="K15" i="2"/>
  <c r="G72" i="7"/>
  <c r="G62" i="7"/>
  <c r="G60" i="7"/>
  <c r="D93" i="41"/>
  <c r="F93" i="41" s="1"/>
  <c r="BE15" i="24"/>
  <c r="C34" i="9"/>
  <c r="C15" i="9"/>
  <c r="F223" i="29"/>
  <c r="H223" i="29" s="1"/>
  <c r="F147" i="29"/>
  <c r="H147" i="29" s="1"/>
  <c r="BI235" i="36" s="1"/>
  <c r="N182" i="29"/>
  <c r="P182" i="29" s="1"/>
  <c r="P118" i="39"/>
  <c r="Q118" i="39" s="1"/>
  <c r="P91" i="6"/>
  <c r="O88" i="6"/>
  <c r="AA16" i="27"/>
  <c r="AB15" i="27" s="1"/>
  <c r="AD15" i="27" s="1"/>
  <c r="AC40" i="27"/>
  <c r="Z29" i="27"/>
  <c r="AA29" i="27" s="1"/>
  <c r="AB28" i="27" s="1"/>
  <c r="AD28" i="27" s="1"/>
  <c r="AC28" i="27"/>
  <c r="AB42" i="27"/>
  <c r="AD42" i="27" s="1"/>
  <c r="L50" i="45"/>
  <c r="F42" i="45"/>
  <c r="F59" i="27"/>
  <c r="AF12" i="5"/>
  <c r="AF24" i="5"/>
  <c r="F22" i="31"/>
  <c r="E37" i="31" s="1"/>
  <c r="G83" i="28"/>
  <c r="L9" i="36" s="1"/>
  <c r="F28" i="31"/>
  <c r="E43" i="31" s="1"/>
  <c r="D13" i="31"/>
  <c r="AF25" i="5"/>
  <c r="M55" i="45"/>
  <c r="F101" i="28"/>
  <c r="F27" i="31"/>
  <c r="E42" i="31" s="1"/>
  <c r="D12" i="31"/>
  <c r="P75" i="39"/>
  <c r="T105" i="39" s="1"/>
  <c r="P79" i="39"/>
  <c r="T114" i="39" s="1"/>
  <c r="C32" i="9"/>
  <c r="E32" i="9"/>
  <c r="F21" i="31"/>
  <c r="E36" i="31" s="1"/>
  <c r="D6" i="31"/>
  <c r="AF23" i="5"/>
  <c r="AM39" i="6"/>
  <c r="AM44" i="6"/>
  <c r="N29" i="24" s="1"/>
  <c r="AM47" i="6"/>
  <c r="N32" i="24" s="1"/>
  <c r="AM42" i="6"/>
  <c r="N27" i="24" s="1"/>
  <c r="AM41" i="6"/>
  <c r="AM40" i="6"/>
  <c r="AM43" i="6"/>
  <c r="N28" i="24" s="1"/>
  <c r="E21" i="30"/>
  <c r="F21" i="30" s="1"/>
  <c r="C7" i="29" s="1"/>
  <c r="C44" i="47" s="1"/>
  <c r="F25" i="31"/>
  <c r="E40" i="31" s="1"/>
  <c r="D10" i="31"/>
  <c r="P76" i="39"/>
  <c r="T106" i="39" s="1"/>
  <c r="P78" i="39"/>
  <c r="T118" i="39" s="1"/>
  <c r="C7" i="30"/>
  <c r="F32" i="31"/>
  <c r="E47" i="31" s="1"/>
  <c r="D17" i="31"/>
  <c r="F24" i="31"/>
  <c r="E39" i="31" s="1"/>
  <c r="D9" i="31"/>
  <c r="F49" i="27"/>
  <c r="F31" i="31"/>
  <c r="E46" i="31" s="1"/>
  <c r="D16" i="31"/>
  <c r="F23" i="31"/>
  <c r="E38" i="31" s="1"/>
  <c r="D8" i="31"/>
  <c r="F26" i="31"/>
  <c r="E41" i="31" s="1"/>
  <c r="D11" i="31"/>
  <c r="T116" i="39"/>
  <c r="T128" i="39"/>
  <c r="T126" i="39"/>
  <c r="T125" i="39"/>
  <c r="L122" i="39"/>
  <c r="P122" i="39" s="1"/>
  <c r="Q122" i="39" s="1"/>
  <c r="P80" i="39"/>
  <c r="T123" i="39" s="1"/>
  <c r="F103" i="28"/>
  <c r="F97" i="28"/>
  <c r="F29" i="31"/>
  <c r="E44" i="31" s="1"/>
  <c r="D14" i="31"/>
  <c r="AK26" i="5"/>
  <c r="BN10" i="5"/>
  <c r="L44" i="6"/>
  <c r="N44" i="6" s="1"/>
  <c r="L41" i="6"/>
  <c r="N41" i="6" s="1"/>
  <c r="O41" i="6" s="1"/>
  <c r="L39" i="6"/>
  <c r="N39" i="6" s="1"/>
  <c r="O39" i="6" s="1"/>
  <c r="S8" i="24"/>
  <c r="N114" i="6"/>
  <c r="AL33" i="24" s="1"/>
  <c r="M37" i="9" s="1"/>
  <c r="E28" i="9"/>
  <c r="BN20" i="5"/>
  <c r="X32" i="23"/>
  <c r="AE32" i="23" s="1"/>
  <c r="AF32" i="23" s="1"/>
  <c r="L121" i="39"/>
  <c r="L126" i="39"/>
  <c r="P126" i="39" s="1"/>
  <c r="Q126" i="39" s="1"/>
  <c r="C29" i="9"/>
  <c r="BN19" i="5"/>
  <c r="AK39" i="6"/>
  <c r="M105" i="6" s="1"/>
  <c r="AL39" i="6"/>
  <c r="M24" i="24" s="1"/>
  <c r="AL44" i="6"/>
  <c r="M29" i="24" s="1"/>
  <c r="W5" i="24"/>
  <c r="C5" i="24"/>
  <c r="E5" i="24" s="1"/>
  <c r="T113" i="39"/>
  <c r="K121" i="39"/>
  <c r="M127" i="39"/>
  <c r="K129" i="39"/>
  <c r="L129" i="39"/>
  <c r="E24" i="9"/>
  <c r="C27" i="24"/>
  <c r="E27" i="24" s="1"/>
  <c r="G27" i="24"/>
  <c r="H27" i="24" s="1"/>
  <c r="AF27" i="24"/>
  <c r="V27" i="24"/>
  <c r="I31" i="9" s="1"/>
  <c r="W27" i="24"/>
  <c r="P27" i="24"/>
  <c r="AJ44" i="6"/>
  <c r="L110" i="6" s="1"/>
  <c r="AJ39" i="6"/>
  <c r="L105" i="6" s="1"/>
  <c r="AJ41" i="6"/>
  <c r="L107" i="6" s="1"/>
  <c r="AJ42" i="6"/>
  <c r="AJ47" i="6"/>
  <c r="BA19" i="5"/>
  <c r="BD9" i="5"/>
  <c r="BA29" i="5" s="1"/>
  <c r="V8" i="24"/>
  <c r="C8" i="24"/>
  <c r="E8" i="24" s="1"/>
  <c r="AF8" i="24"/>
  <c r="G8" i="24"/>
  <c r="H8" i="24" s="1"/>
  <c r="R8" i="24"/>
  <c r="H12" i="9" s="1"/>
  <c r="BN8" i="24"/>
  <c r="BO8" i="24" s="1"/>
  <c r="N98" i="6"/>
  <c r="AL17" i="24" s="1"/>
  <c r="C31" i="9"/>
  <c r="BN9" i="5"/>
  <c r="M26" i="24"/>
  <c r="L40" i="6"/>
  <c r="N40" i="6" s="1"/>
  <c r="T107" i="39"/>
  <c r="T119" i="39"/>
  <c r="L47" i="6"/>
  <c r="N47" i="6" s="1"/>
  <c r="L43" i="6"/>
  <c r="N43" i="6" s="1"/>
  <c r="O43" i="6" s="1"/>
  <c r="M27" i="24"/>
  <c r="AI47" i="6"/>
  <c r="K113" i="6" s="1"/>
  <c r="AI41" i="6"/>
  <c r="AI42" i="6"/>
  <c r="K108" i="6" s="1"/>
  <c r="AI43" i="6"/>
  <c r="K109" i="6" s="1"/>
  <c r="BF37" i="5"/>
  <c r="AC20" i="24"/>
  <c r="M123" i="39"/>
  <c r="T124" i="39"/>
  <c r="L128" i="39"/>
  <c r="L42" i="6"/>
  <c r="N42" i="6" s="1"/>
  <c r="O42" i="6" s="1"/>
  <c r="AD29" i="24"/>
  <c r="BF40" i="5"/>
  <c r="P12" i="24"/>
  <c r="E11" i="24"/>
  <c r="J110" i="6"/>
  <c r="O29" i="23" s="1"/>
  <c r="AG29" i="26" s="1"/>
  <c r="T115" i="39"/>
  <c r="L123" i="39"/>
  <c r="BN27" i="24"/>
  <c r="BO27" i="24" s="1"/>
  <c r="AD27" i="24"/>
  <c r="J23" i="24"/>
  <c r="X33" i="23"/>
  <c r="AE33" i="23" s="1"/>
  <c r="AF33" i="23" s="1"/>
  <c r="X27" i="23"/>
  <c r="AE27" i="23" s="1"/>
  <c r="AF27" i="23" s="1"/>
  <c r="L70" i="6"/>
  <c r="V22" i="23" s="1"/>
  <c r="AC22" i="23" s="1"/>
  <c r="AM22" i="23" s="1"/>
  <c r="AR22" i="26" s="1"/>
  <c r="O67" i="6"/>
  <c r="X19" i="23" s="1"/>
  <c r="AE19" i="23" s="1"/>
  <c r="AF19" i="23" s="1"/>
  <c r="X11" i="23"/>
  <c r="AE11" i="23" s="1"/>
  <c r="AF11" i="23" s="1"/>
  <c r="BO7" i="26"/>
  <c r="AM7" i="26"/>
  <c r="Q88" i="6"/>
  <c r="BN11" i="24"/>
  <c r="BO11" i="24" s="1"/>
  <c r="R11" i="24"/>
  <c r="H15" i="9" s="1"/>
  <c r="S10" i="24"/>
  <c r="BA14" i="5"/>
  <c r="R7" i="24"/>
  <c r="H11" i="9" s="1"/>
  <c r="V7" i="24"/>
  <c r="I11" i="9" s="1"/>
  <c r="BN7" i="24"/>
  <c r="BO7" i="24" s="1"/>
  <c r="S20" i="23"/>
  <c r="AB20" i="23" s="1"/>
  <c r="O64" i="6"/>
  <c r="X16" i="23" s="1"/>
  <c r="AE16" i="23" s="1"/>
  <c r="AF16" i="23" s="1"/>
  <c r="J41" i="6"/>
  <c r="C107" i="6" s="1"/>
  <c r="E25" i="2"/>
  <c r="I22" i="6"/>
  <c r="AK4" i="5"/>
  <c r="BF35" i="5" s="1"/>
  <c r="J8" i="24"/>
  <c r="BD8" i="5"/>
  <c r="BA28" i="5" s="1"/>
  <c r="BA18" i="5"/>
  <c r="V27" i="23"/>
  <c r="AC27" i="23" s="1"/>
  <c r="J44" i="6"/>
  <c r="C110" i="6" s="1"/>
  <c r="AF29" i="24"/>
  <c r="X29" i="24"/>
  <c r="J28" i="24"/>
  <c r="W12" i="24"/>
  <c r="J12" i="24"/>
  <c r="G10" i="23"/>
  <c r="AN10" i="24" s="1"/>
  <c r="O14" i="9" s="1"/>
  <c r="N55" i="6"/>
  <c r="S7" i="24" s="1"/>
  <c r="N54" i="6"/>
  <c r="S6" i="24" s="1"/>
  <c r="J106" i="6"/>
  <c r="O25" i="23" s="1"/>
  <c r="P25" i="23" s="1"/>
  <c r="L66" i="6"/>
  <c r="V18" i="23" s="1"/>
  <c r="AC18" i="23" s="1"/>
  <c r="AH32" i="24"/>
  <c r="AB32" i="24"/>
  <c r="W32" i="24"/>
  <c r="J32" i="24"/>
  <c r="AU41" i="6"/>
  <c r="AH26" i="24" s="1"/>
  <c r="AU40" i="6"/>
  <c r="AH25" i="24" s="1"/>
  <c r="AF12" i="24"/>
  <c r="N59" i="6"/>
  <c r="S11" i="24" s="1"/>
  <c r="J7" i="24"/>
  <c r="X10" i="23"/>
  <c r="AE10" i="23" s="1"/>
  <c r="AF10" i="23" s="1"/>
  <c r="X6" i="23"/>
  <c r="AE6" i="23" s="1"/>
  <c r="AF6" i="23" s="1"/>
  <c r="AE47" i="6"/>
  <c r="I113" i="6" s="1"/>
  <c r="M32" i="23" s="1"/>
  <c r="AJ32" i="24" s="1"/>
  <c r="K36" i="9" s="1"/>
  <c r="AG32" i="24"/>
  <c r="V32" i="24"/>
  <c r="I36" i="9" s="1"/>
  <c r="P32" i="24"/>
  <c r="O27" i="24"/>
  <c r="I27" i="24"/>
  <c r="BE8" i="5"/>
  <c r="BA38" i="5" s="1"/>
  <c r="AT35" i="6"/>
  <c r="AG20" i="24" s="1"/>
  <c r="AT37" i="6"/>
  <c r="BN14" i="24"/>
  <c r="BO14" i="24" s="1"/>
  <c r="R14" i="24"/>
  <c r="H18" i="9" s="1"/>
  <c r="N61" i="6"/>
  <c r="I12" i="24"/>
  <c r="J11" i="24"/>
  <c r="G7" i="23"/>
  <c r="AN7" i="24" s="1"/>
  <c r="O11" i="9" s="1"/>
  <c r="G7" i="24"/>
  <c r="H7" i="24" s="1"/>
  <c r="O79" i="6"/>
  <c r="Q112" i="6" s="1"/>
  <c r="AH41" i="6"/>
  <c r="J107" i="6" s="1"/>
  <c r="O26" i="23" s="1"/>
  <c r="AK26" i="24" s="1"/>
  <c r="L30" i="9" s="1"/>
  <c r="AH44" i="6"/>
  <c r="AH43" i="6"/>
  <c r="J109" i="6" s="1"/>
  <c r="O28" i="23" s="1"/>
  <c r="AG28" i="26" s="1"/>
  <c r="J47" i="6"/>
  <c r="C113" i="6" s="1"/>
  <c r="V65" i="6"/>
  <c r="AF32" i="24"/>
  <c r="O32" i="24"/>
  <c r="I32" i="24"/>
  <c r="AF26" i="24"/>
  <c r="AF11" i="24"/>
  <c r="N57" i="6"/>
  <c r="S9" i="24" s="1"/>
  <c r="C7" i="24"/>
  <c r="BF17" i="5"/>
  <c r="O77" i="6"/>
  <c r="X29" i="23" s="1"/>
  <c r="AE29" i="23" s="1"/>
  <c r="AF29" i="23" s="1"/>
  <c r="X14" i="23"/>
  <c r="AE14" i="23" s="1"/>
  <c r="AF14" i="23" s="1"/>
  <c r="J39" i="6"/>
  <c r="C105" i="6" s="1"/>
  <c r="H61" i="6"/>
  <c r="J61" i="6" s="1"/>
  <c r="E61" i="6"/>
  <c r="G61" i="6" s="1"/>
  <c r="V61" i="6" s="1"/>
  <c r="K56" i="6"/>
  <c r="P89" i="6" s="1"/>
  <c r="V56" i="6"/>
  <c r="V33" i="23"/>
  <c r="AC33" i="23" s="1"/>
  <c r="AI33" i="26" s="1"/>
  <c r="S27" i="23"/>
  <c r="AB27" i="23" s="1"/>
  <c r="V11" i="23"/>
  <c r="AC11" i="23" s="1"/>
  <c r="AM11" i="23" s="1"/>
  <c r="AE44" i="6"/>
  <c r="I110" i="6" s="1"/>
  <c r="M29" i="23" s="1"/>
  <c r="AF29" i="26" s="1"/>
  <c r="AE42" i="6"/>
  <c r="I108" i="6" s="1"/>
  <c r="M27" i="23" s="1"/>
  <c r="AJ27" i="24" s="1"/>
  <c r="K31" i="9" s="1"/>
  <c r="J30" i="6"/>
  <c r="G92" i="7"/>
  <c r="L92" i="7" s="1"/>
  <c r="M92" i="7" s="1"/>
  <c r="N92" i="7" s="1"/>
  <c r="J15" i="2"/>
  <c r="I15" i="2"/>
  <c r="D41" i="2" s="1"/>
  <c r="E41" i="2" s="1"/>
  <c r="O71" i="6"/>
  <c r="X23" i="23" s="1"/>
  <c r="AE23" i="23" s="1"/>
  <c r="AF23" i="23" s="1"/>
  <c r="L67" i="6"/>
  <c r="V19" i="23" s="1"/>
  <c r="AC19" i="23" s="1"/>
  <c r="AM19" i="23" s="1"/>
  <c r="AK12" i="23"/>
  <c r="X5" i="23"/>
  <c r="AE5" i="23" s="1"/>
  <c r="AF5" i="23" s="1"/>
  <c r="E26" i="2"/>
  <c r="J42" i="6"/>
  <c r="C108" i="6" s="1"/>
  <c r="AE35" i="6"/>
  <c r="I101" i="6" s="1"/>
  <c r="M20" i="23" s="1"/>
  <c r="N20" i="23" s="1"/>
  <c r="J65" i="6"/>
  <c r="H65" i="6"/>
  <c r="S65" i="6"/>
  <c r="J17" i="24"/>
  <c r="AK16" i="5"/>
  <c r="X17" i="23"/>
  <c r="AE17" i="23" s="1"/>
  <c r="AF17" i="23" s="1"/>
  <c r="E29" i="2"/>
  <c r="AD35" i="7"/>
  <c r="AL35" i="7" s="1"/>
  <c r="AT35" i="7" s="1"/>
  <c r="BB35" i="7" s="1"/>
  <c r="BJ35" i="7" s="1"/>
  <c r="BR35" i="7" s="1"/>
  <c r="BZ35" i="7" s="1"/>
  <c r="Q17" i="7"/>
  <c r="CT5" i="5"/>
  <c r="CW5" i="5"/>
  <c r="F76" i="1"/>
  <c r="G76" i="1" s="1"/>
  <c r="H76" i="1" s="1"/>
  <c r="O74" i="6"/>
  <c r="X26" i="23" s="1"/>
  <c r="AE26" i="23" s="1"/>
  <c r="AF26" i="23" s="1"/>
  <c r="L71" i="6"/>
  <c r="V23" i="23" s="1"/>
  <c r="AC23" i="23" s="1"/>
  <c r="AI23" i="26" s="1"/>
  <c r="O61" i="6"/>
  <c r="X13" i="23" s="1"/>
  <c r="AE13" i="23" s="1"/>
  <c r="AF13" i="23" s="1"/>
  <c r="J43" i="6"/>
  <c r="C109" i="6" s="1"/>
  <c r="AE43" i="6"/>
  <c r="I109" i="6" s="1"/>
  <c r="M28" i="23" s="1"/>
  <c r="N28" i="23" s="1"/>
  <c r="J40" i="6"/>
  <c r="C106" i="6" s="1"/>
  <c r="H60" i="6"/>
  <c r="J60" i="6" s="1"/>
  <c r="K60" i="6" s="1"/>
  <c r="G12" i="23" s="1"/>
  <c r="AN12" i="24" s="1"/>
  <c r="O16" i="9" s="1"/>
  <c r="E60" i="6"/>
  <c r="G60" i="6" s="1"/>
  <c r="S12" i="23" s="1"/>
  <c r="AB12" i="23" s="1"/>
  <c r="S6" i="23"/>
  <c r="AB6" i="23" s="1"/>
  <c r="CR6" i="5"/>
  <c r="CA30" i="5"/>
  <c r="Q21" i="24"/>
  <c r="J20" i="24"/>
  <c r="G9" i="23"/>
  <c r="AN9" i="24" s="1"/>
  <c r="O13" i="9" s="1"/>
  <c r="S32" i="23"/>
  <c r="AB32" i="23" s="1"/>
  <c r="L77" i="6"/>
  <c r="V29" i="23" s="1"/>
  <c r="AC29" i="23" s="1"/>
  <c r="AM29" i="23" s="1"/>
  <c r="AR29" i="26" s="1"/>
  <c r="S28" i="23"/>
  <c r="AB28" i="23" s="1"/>
  <c r="O57" i="6"/>
  <c r="X9" i="23" s="1"/>
  <c r="AE9" i="23" s="1"/>
  <c r="AF9" i="23" s="1"/>
  <c r="N86" i="6"/>
  <c r="AL5" i="24" s="1"/>
  <c r="K62" i="6"/>
  <c r="U14" i="23" s="1"/>
  <c r="V62" i="6"/>
  <c r="F78" i="1"/>
  <c r="G78" i="1" s="1"/>
  <c r="H78" i="1" s="1"/>
  <c r="S62" i="6"/>
  <c r="H59" i="6"/>
  <c r="J59" i="6" s="1"/>
  <c r="L52" i="6"/>
  <c r="V4" i="23" s="1"/>
  <c r="AC4" i="23" s="1"/>
  <c r="AI4" i="26" s="1"/>
  <c r="F83" i="1"/>
  <c r="G83" i="1" s="1"/>
  <c r="H83" i="1" s="1"/>
  <c r="J37" i="6"/>
  <c r="C103" i="6" s="1"/>
  <c r="P56" i="6"/>
  <c r="Q56" i="6" s="1"/>
  <c r="V7" i="23"/>
  <c r="AC7" i="23" s="1"/>
  <c r="AM7" i="23" s="1"/>
  <c r="H54" i="6"/>
  <c r="J54" i="6" s="1"/>
  <c r="O87" i="6" s="1"/>
  <c r="G13" i="7"/>
  <c r="CI4" i="7" s="1"/>
  <c r="CR4" i="7" s="1"/>
  <c r="DA4" i="7" s="1"/>
  <c r="DJ4" i="7" s="1"/>
  <c r="DS4" i="7" s="1"/>
  <c r="EB4" i="7" s="1"/>
  <c r="EK4" i="7" s="1"/>
  <c r="T13" i="7"/>
  <c r="AM24" i="25" s="1"/>
  <c r="I4" i="26"/>
  <c r="F81" i="1"/>
  <c r="G81" i="1" s="1"/>
  <c r="H81" i="1" s="1"/>
  <c r="G72" i="1"/>
  <c r="H72" i="1" s="1"/>
  <c r="AH47" i="6"/>
  <c r="J113" i="6" s="1"/>
  <c r="O32" i="23" s="1"/>
  <c r="L76" i="6"/>
  <c r="V28" i="23" s="1"/>
  <c r="AC28" i="23" s="1"/>
  <c r="O69" i="6"/>
  <c r="X21" i="23" s="1"/>
  <c r="AE21" i="23" s="1"/>
  <c r="AF21" i="23" s="1"/>
  <c r="L64" i="6"/>
  <c r="V16" i="23" s="1"/>
  <c r="AC16" i="23" s="1"/>
  <c r="AI16" i="26" s="1"/>
  <c r="O52" i="6"/>
  <c r="X4" i="23" s="1"/>
  <c r="AE4" i="23" s="1"/>
  <c r="AF4" i="23" s="1"/>
  <c r="F30" i="31"/>
  <c r="E45" i="31" s="1"/>
  <c r="D15" i="31"/>
  <c r="H75" i="6"/>
  <c r="J75" i="6" s="1"/>
  <c r="J27" i="6"/>
  <c r="C93" i="6" s="1"/>
  <c r="CR4" i="5"/>
  <c r="L78" i="6"/>
  <c r="V30" i="23" s="1"/>
  <c r="AC30" i="23" s="1"/>
  <c r="AM30" i="23" s="1"/>
  <c r="AR30" i="26" s="1"/>
  <c r="O66" i="6"/>
  <c r="X18" i="23" s="1"/>
  <c r="AE18" i="23" s="1"/>
  <c r="AF18" i="23" s="1"/>
  <c r="J38" i="6"/>
  <c r="C104" i="6" s="1"/>
  <c r="L68" i="6"/>
  <c r="F90" i="1"/>
  <c r="G90" i="1" s="1"/>
  <c r="H90" i="1" s="1"/>
  <c r="F75" i="1"/>
  <c r="G75" i="1" s="1"/>
  <c r="H75" i="1" s="1"/>
  <c r="S7" i="23"/>
  <c r="AB7" i="23" s="1"/>
  <c r="Q15" i="7"/>
  <c r="AD33" i="7"/>
  <c r="AL33" i="7" s="1"/>
  <c r="AT33" i="7" s="1"/>
  <c r="BB33" i="7" s="1"/>
  <c r="BJ33" i="7" s="1"/>
  <c r="BR33" i="7" s="1"/>
  <c r="BZ33" i="7" s="1"/>
  <c r="F89" i="1"/>
  <c r="G89" i="1" s="1"/>
  <c r="H89" i="1" s="1"/>
  <c r="F85" i="1"/>
  <c r="G85" i="1" s="1"/>
  <c r="H85" i="1" s="1"/>
  <c r="F74" i="1"/>
  <c r="G74" i="1" s="1"/>
  <c r="H74" i="1" s="1"/>
  <c r="L57" i="6"/>
  <c r="V9" i="23" s="1"/>
  <c r="AC9" i="23" s="1"/>
  <c r="AM9" i="23" s="1"/>
  <c r="L63" i="6"/>
  <c r="M63" i="6" s="1"/>
  <c r="T15" i="24" s="1"/>
  <c r="O94" i="7"/>
  <c r="O92" i="7"/>
  <c r="F88" i="1"/>
  <c r="G88" i="1" s="1"/>
  <c r="H88" i="1" s="1"/>
  <c r="X39" i="25"/>
  <c r="K46" i="30"/>
  <c r="K42" i="30"/>
  <c r="K44" i="30"/>
  <c r="I15" i="30"/>
  <c r="I13" i="30"/>
  <c r="Q44" i="30"/>
  <c r="H14" i="30"/>
  <c r="O46" i="30"/>
  <c r="P44" i="30"/>
  <c r="G14" i="30"/>
  <c r="G31" i="24"/>
  <c r="AF31" i="24"/>
  <c r="W31" i="24"/>
  <c r="H29" i="9"/>
  <c r="G23" i="24"/>
  <c r="H23" i="24" s="1"/>
  <c r="X23" i="24"/>
  <c r="AG23" i="24"/>
  <c r="Q23" i="24"/>
  <c r="AC23" i="24"/>
  <c r="W23" i="24"/>
  <c r="AF23" i="24"/>
  <c r="BN23" i="24"/>
  <c r="BO23" i="24" s="1"/>
  <c r="BI23" i="24"/>
  <c r="BE26" i="24"/>
  <c r="R23" i="24"/>
  <c r="H27" i="9" s="1"/>
  <c r="AH22" i="24"/>
  <c r="I22" i="24"/>
  <c r="AF19" i="24"/>
  <c r="C19" i="24"/>
  <c r="E19" i="24" s="1"/>
  <c r="H10" i="9"/>
  <c r="BN31" i="24"/>
  <c r="BO31" i="24" s="1"/>
  <c r="BI31" i="24"/>
  <c r="BH19" i="24"/>
  <c r="BF13" i="24"/>
  <c r="I5" i="24"/>
  <c r="I31" i="24"/>
  <c r="J4" i="24"/>
  <c r="R4" i="24"/>
  <c r="H8" i="9" s="1"/>
  <c r="V4" i="24"/>
  <c r="I8" i="9" s="1"/>
  <c r="J18" i="24"/>
  <c r="R18" i="24"/>
  <c r="H22" i="9" s="1"/>
  <c r="AF18" i="24"/>
  <c r="S18" i="24"/>
  <c r="G18" i="24"/>
  <c r="H18" i="24" s="1"/>
  <c r="C24" i="24"/>
  <c r="E24" i="24" s="1"/>
  <c r="BN24" i="24"/>
  <c r="BO24" i="24" s="1"/>
  <c r="N24" i="24"/>
  <c r="F24" i="24"/>
  <c r="O24" i="24"/>
  <c r="W24" i="24"/>
  <c r="BI24" i="24"/>
  <c r="BE5" i="24"/>
  <c r="BI20" i="24"/>
  <c r="BI21" i="24"/>
  <c r="BC24" i="24"/>
  <c r="BG26" i="24"/>
  <c r="I29" i="24"/>
  <c r="R29" i="24"/>
  <c r="H33" i="9" s="1"/>
  <c r="BF29" i="24"/>
  <c r="C29" i="24"/>
  <c r="E29" i="24" s="1"/>
  <c r="BD29" i="24"/>
  <c r="F29" i="24"/>
  <c r="W29" i="24"/>
  <c r="BI29" i="24"/>
  <c r="J26" i="24"/>
  <c r="X24" i="24"/>
  <c r="F23" i="24"/>
  <c r="J21" i="24"/>
  <c r="Q20" i="24"/>
  <c r="V18" i="24"/>
  <c r="I22" i="9" s="1"/>
  <c r="V17" i="24"/>
  <c r="I21" i="9" s="1"/>
  <c r="W17" i="24"/>
  <c r="C17" i="24"/>
  <c r="E17" i="24" s="1"/>
  <c r="BN17" i="24"/>
  <c r="BO17" i="24" s="1"/>
  <c r="R17" i="24"/>
  <c r="H21" i="9" s="1"/>
  <c r="J13" i="24"/>
  <c r="BH22" i="24"/>
  <c r="S26" i="24"/>
  <c r="BF31" i="24"/>
  <c r="BD13" i="24"/>
  <c r="BI5" i="24"/>
  <c r="K5" i="24"/>
  <c r="J31" i="24"/>
  <c r="O25" i="24"/>
  <c r="J25" i="24"/>
  <c r="V25" i="24"/>
  <c r="I29" i="9" s="1"/>
  <c r="BF25" i="24"/>
  <c r="AG25" i="24"/>
  <c r="G25" i="24"/>
  <c r="AY25" i="24" s="1"/>
  <c r="AD25" i="24"/>
  <c r="BI25" i="24"/>
  <c r="BE31" i="24"/>
  <c r="BE13" i="24"/>
  <c r="BC23" i="24"/>
  <c r="BD24" i="24"/>
  <c r="BE25" i="24"/>
  <c r="BH26" i="24"/>
  <c r="H37" i="9"/>
  <c r="V31" i="24"/>
  <c r="I35" i="9" s="1"/>
  <c r="AF30" i="24"/>
  <c r="V29" i="24"/>
  <c r="I33" i="9" s="1"/>
  <c r="AD28" i="24"/>
  <c r="R26" i="24"/>
  <c r="H30" i="9" s="1"/>
  <c r="AC25" i="24"/>
  <c r="P25" i="24"/>
  <c r="I25" i="24"/>
  <c r="AH24" i="24"/>
  <c r="P23" i="24"/>
  <c r="AF22" i="24"/>
  <c r="O22" i="24"/>
  <c r="G22" i="24"/>
  <c r="H22" i="24" s="1"/>
  <c r="R21" i="24"/>
  <c r="H25" i="9" s="1"/>
  <c r="I21" i="24"/>
  <c r="P20" i="24"/>
  <c r="G20" i="24"/>
  <c r="AY20" i="24" s="1"/>
  <c r="G16" i="24"/>
  <c r="AY16" i="24" s="1"/>
  <c r="H14" i="9"/>
  <c r="BC31" i="24"/>
  <c r="BG22" i="24"/>
  <c r="BH5" i="24"/>
  <c r="BC22" i="24"/>
  <c r="BD23" i="24"/>
  <c r="S31" i="24"/>
  <c r="I28" i="9"/>
  <c r="C23" i="24"/>
  <c r="E23" i="24" s="1"/>
  <c r="S13" i="24"/>
  <c r="V13" i="24"/>
  <c r="I17" i="9" s="1"/>
  <c r="C13" i="24"/>
  <c r="E13" i="24" s="1"/>
  <c r="BN13" i="24"/>
  <c r="BO13" i="24" s="1"/>
  <c r="R13" i="24"/>
  <c r="H17" i="9" s="1"/>
  <c r="AF13" i="24"/>
  <c r="BF19" i="24"/>
  <c r="BG5" i="24"/>
  <c r="I19" i="24"/>
  <c r="K31" i="24"/>
  <c r="V15" i="24"/>
  <c r="I19" i="9" s="1"/>
  <c r="C15" i="24"/>
  <c r="E15" i="24" s="1"/>
  <c r="W15" i="24"/>
  <c r="P28" i="24"/>
  <c r="W28" i="24"/>
  <c r="AF28" i="24"/>
  <c r="BN28" i="24"/>
  <c r="BO28" i="24" s="1"/>
  <c r="AB28" i="24"/>
  <c r="BF28" i="24"/>
  <c r="R28" i="24"/>
  <c r="H32" i="9" s="1"/>
  <c r="AH28" i="24"/>
  <c r="BD28" i="24"/>
  <c r="U28" i="24"/>
  <c r="F32" i="9" s="1"/>
  <c r="BI28" i="24"/>
  <c r="BE19" i="24"/>
  <c r="BD20" i="24"/>
  <c r="BD21" i="24"/>
  <c r="BD22" i="24"/>
  <c r="BE23" i="24"/>
  <c r="BF24" i="24"/>
  <c r="BH25" i="24"/>
  <c r="BC28" i="24"/>
  <c r="BH29" i="24"/>
  <c r="AC29" i="24"/>
  <c r="J29" i="24"/>
  <c r="AC28" i="24"/>
  <c r="AB25" i="24"/>
  <c r="AG24" i="24"/>
  <c r="N23" i="24"/>
  <c r="W22" i="24"/>
  <c r="C22" i="24"/>
  <c r="E22" i="24" s="1"/>
  <c r="O20" i="24"/>
  <c r="V19" i="24"/>
  <c r="I23" i="9" s="1"/>
  <c r="C18" i="24"/>
  <c r="E18" i="24" s="1"/>
  <c r="C12" i="24"/>
  <c r="E12" i="24" s="1"/>
  <c r="AD12" i="24"/>
  <c r="BN12" i="24"/>
  <c r="BO12" i="24" s="1"/>
  <c r="R12" i="24"/>
  <c r="H16" i="9" s="1"/>
  <c r="G12" i="24"/>
  <c r="AY12" i="24" s="1"/>
  <c r="N12" i="24"/>
  <c r="S12" i="24"/>
  <c r="V12" i="24"/>
  <c r="I16" i="9" s="1"/>
  <c r="AC12" i="24"/>
  <c r="E10" i="24"/>
  <c r="C4" i="24"/>
  <c r="E4" i="24" s="1"/>
  <c r="BN5" i="24"/>
  <c r="BO5" i="24" s="1"/>
  <c r="R5" i="24"/>
  <c r="H9" i="9" s="1"/>
  <c r="G5" i="24"/>
  <c r="AY5" i="24" s="1"/>
  <c r="AF5" i="24"/>
  <c r="S5" i="24"/>
  <c r="V5" i="24"/>
  <c r="I9" i="9" s="1"/>
  <c r="BH31" i="24"/>
  <c r="W26" i="24"/>
  <c r="BF26" i="24"/>
  <c r="F26" i="24"/>
  <c r="N26" i="24"/>
  <c r="BN26" i="24"/>
  <c r="BO26" i="24" s="1"/>
  <c r="BI26" i="24"/>
  <c r="K19" i="9"/>
  <c r="BG19" i="24"/>
  <c r="BF5" i="24"/>
  <c r="J19" i="24"/>
  <c r="K22" i="24"/>
  <c r="K26" i="24"/>
  <c r="F20" i="24"/>
  <c r="N20" i="24"/>
  <c r="V20" i="24"/>
  <c r="I24" i="9" s="1"/>
  <c r="AH20" i="24"/>
  <c r="R20" i="24"/>
  <c r="H24" i="9" s="1"/>
  <c r="G30" i="24"/>
  <c r="H30" i="24" s="1"/>
  <c r="R30" i="24"/>
  <c r="H34" i="9" s="1"/>
  <c r="V30" i="24"/>
  <c r="I34" i="9" s="1"/>
  <c r="BE18" i="24"/>
  <c r="BE20" i="24"/>
  <c r="BE21" i="24"/>
  <c r="BF23" i="24"/>
  <c r="BG24" i="24"/>
  <c r="BE28" i="24"/>
  <c r="R31" i="24"/>
  <c r="H35" i="9" s="1"/>
  <c r="W30" i="24"/>
  <c r="S29" i="24"/>
  <c r="V28" i="24"/>
  <c r="I32" i="9" s="1"/>
  <c r="C28" i="24"/>
  <c r="E28" i="24" s="1"/>
  <c r="V26" i="24"/>
  <c r="I30" i="9" s="1"/>
  <c r="O26" i="24"/>
  <c r="S25" i="24"/>
  <c r="I24" i="24"/>
  <c r="AL23" i="24"/>
  <c r="M27" i="9" s="1"/>
  <c r="AB23" i="24"/>
  <c r="V23" i="24"/>
  <c r="I27" i="9" s="1"/>
  <c r="M23" i="24"/>
  <c r="BN21" i="24"/>
  <c r="BO21" i="24" s="1"/>
  <c r="AF21" i="24"/>
  <c r="O21" i="24"/>
  <c r="AF16" i="24"/>
  <c r="I13" i="9"/>
  <c r="Q22" i="24"/>
  <c r="F22" i="24"/>
  <c r="R22" i="24"/>
  <c r="H26" i="9" s="1"/>
  <c r="X22" i="24"/>
  <c r="BN22" i="24"/>
  <c r="BO22" i="24" s="1"/>
  <c r="J22" i="24"/>
  <c r="V22" i="24"/>
  <c r="I26" i="9" s="1"/>
  <c r="AG22" i="24"/>
  <c r="BI22" i="24"/>
  <c r="G19" i="24"/>
  <c r="AY19" i="24" s="1"/>
  <c r="W19" i="24"/>
  <c r="X26" i="24"/>
  <c r="E16" i="24"/>
  <c r="BG31" i="24"/>
  <c r="BD19" i="24"/>
  <c r="BI13" i="24"/>
  <c r="BD5" i="24"/>
  <c r="R16" i="24"/>
  <c r="H20" i="9" s="1"/>
  <c r="V16" i="24"/>
  <c r="I20" i="9" s="1"/>
  <c r="M21" i="24"/>
  <c r="V21" i="24"/>
  <c r="I25" i="9" s="1"/>
  <c r="W21" i="24"/>
  <c r="G21" i="24"/>
  <c r="AY21" i="24" s="1"/>
  <c r="X21" i="24"/>
  <c r="BF20" i="24"/>
  <c r="BF21" i="24"/>
  <c r="BF22" i="24"/>
  <c r="BG23" i="24"/>
  <c r="BH24" i="24"/>
  <c r="BC26" i="24"/>
  <c r="BG28" i="24"/>
  <c r="C31" i="24"/>
  <c r="E31" i="24" s="1"/>
  <c r="S30" i="24"/>
  <c r="G29" i="24"/>
  <c r="H29" i="24" s="1"/>
  <c r="C26" i="24"/>
  <c r="E26" i="24" s="1"/>
  <c r="M25" i="24"/>
  <c r="C25" i="24"/>
  <c r="E25" i="24" s="1"/>
  <c r="R24" i="24"/>
  <c r="H28" i="9" s="1"/>
  <c r="G24" i="24"/>
  <c r="H24" i="24" s="1"/>
  <c r="AB22" i="24"/>
  <c r="BN20" i="24"/>
  <c r="BO20" i="24" s="1"/>
  <c r="AD20" i="24"/>
  <c r="W20" i="24"/>
  <c r="M20" i="24"/>
  <c r="AM19" i="24"/>
  <c r="N23" i="9" s="1"/>
  <c r="R15" i="24"/>
  <c r="H19" i="9" s="1"/>
  <c r="G14" i="24"/>
  <c r="AY14" i="24" s="1"/>
  <c r="V14" i="24"/>
  <c r="I18" i="9" s="1"/>
  <c r="W14" i="24"/>
  <c r="C14" i="24"/>
  <c r="E14" i="24" s="1"/>
  <c r="W4" i="24"/>
  <c r="V33" i="24"/>
  <c r="I37" i="9" s="1"/>
  <c r="O29" i="24"/>
  <c r="O28" i="24"/>
  <c r="I28" i="24"/>
  <c r="U27" i="24"/>
  <c r="F31" i="9" s="1"/>
  <c r="J27" i="24"/>
  <c r="U26" i="24"/>
  <c r="F30" i="9" s="1"/>
  <c r="N25" i="24"/>
  <c r="AB24" i="24"/>
  <c r="Q24" i="24"/>
  <c r="J24" i="24"/>
  <c r="O23" i="24"/>
  <c r="P22" i="24"/>
  <c r="S21" i="24"/>
  <c r="AF20" i="24"/>
  <c r="V10" i="24"/>
  <c r="I14" i="9" s="1"/>
  <c r="BN9" i="24"/>
  <c r="BO9" i="24" s="1"/>
  <c r="R9" i="24"/>
  <c r="H13" i="9" s="1"/>
  <c r="N11" i="9"/>
  <c r="N13" i="9"/>
  <c r="AF33" i="24"/>
  <c r="G33" i="24"/>
  <c r="AY33" i="24" s="1"/>
  <c r="H36" i="9"/>
  <c r="AL30" i="24"/>
  <c r="M34" i="9" s="1"/>
  <c r="AB29" i="24"/>
  <c r="AH27" i="24"/>
  <c r="S27" i="24"/>
  <c r="F27" i="24"/>
  <c r="AD26" i="24"/>
  <c r="X25" i="24"/>
  <c r="S23" i="24"/>
  <c r="AD21" i="24"/>
  <c r="P21" i="24"/>
  <c r="X20" i="24"/>
  <c r="I20" i="24"/>
  <c r="AM18" i="24"/>
  <c r="N22" i="9" s="1"/>
  <c r="AG12" i="24"/>
  <c r="AF10" i="24"/>
  <c r="J10" i="24"/>
  <c r="AL9" i="24"/>
  <c r="M13" i="9" s="1"/>
  <c r="C9" i="24"/>
  <c r="E9" i="24" s="1"/>
  <c r="E7" i="24"/>
  <c r="I10" i="9"/>
  <c r="I15" i="9"/>
  <c r="G10" i="24"/>
  <c r="H10" i="24" s="1"/>
  <c r="AF9" i="24"/>
  <c r="AH29" i="24"/>
  <c r="AG28" i="24"/>
  <c r="AG27" i="24"/>
  <c r="AB27" i="24"/>
  <c r="Q27" i="24"/>
  <c r="Q26" i="24"/>
  <c r="AF25" i="24"/>
  <c r="AC24" i="24"/>
  <c r="U24" i="24"/>
  <c r="F28" i="9" s="1"/>
  <c r="AH23" i="24"/>
  <c r="I23" i="24"/>
  <c r="N21" i="24"/>
  <c r="AB20" i="24"/>
  <c r="AF14" i="24"/>
  <c r="J14" i="24"/>
  <c r="M12" i="24"/>
  <c r="W9" i="24"/>
  <c r="J5" i="24"/>
  <c r="AG29" i="24"/>
  <c r="Q29" i="24"/>
  <c r="AG26" i="24"/>
  <c r="P26" i="24"/>
  <c r="I26" i="24"/>
  <c r="AF24" i="24"/>
  <c r="AC22" i="24"/>
  <c r="AH21" i="24"/>
  <c r="AB21" i="24"/>
  <c r="X12" i="24"/>
  <c r="Q12" i="24"/>
  <c r="I12" i="9"/>
  <c r="AF4" i="24"/>
  <c r="D8" i="32"/>
  <c r="D9" i="32" s="1"/>
  <c r="AI30" i="32"/>
  <c r="AI31" i="32" s="1"/>
  <c r="AI32" i="32" s="1"/>
  <c r="AI33" i="32" s="1"/>
  <c r="AI34" i="32" s="1"/>
  <c r="AI35" i="32" s="1"/>
  <c r="AI36" i="32" s="1"/>
  <c r="AI37" i="32" s="1"/>
  <c r="AI38" i="32" s="1"/>
  <c r="AI39" i="32" s="1"/>
  <c r="AI40" i="32" s="1"/>
  <c r="AI41" i="32" s="1"/>
  <c r="AI42" i="32" s="1"/>
  <c r="AD34" i="46"/>
  <c r="AF34" i="46" s="1"/>
  <c r="AI28" i="32"/>
  <c r="Q86" i="6"/>
  <c r="E4" i="32"/>
  <c r="Y22" i="32"/>
  <c r="O28" i="32"/>
  <c r="AI27" i="32"/>
  <c r="AI23" i="32"/>
  <c r="AI21" i="32"/>
  <c r="AI24" i="32"/>
  <c r="Y26" i="32"/>
  <c r="O22" i="32"/>
  <c r="Y23" i="32"/>
  <c r="Y27" i="32"/>
  <c r="O26" i="32"/>
  <c r="Y21" i="32"/>
  <c r="Y24" i="32"/>
  <c r="O19" i="32"/>
  <c r="Y19" i="32"/>
  <c r="AI22" i="32"/>
  <c r="O29" i="32"/>
  <c r="AI19" i="32"/>
  <c r="O20" i="32"/>
  <c r="Y20" i="32"/>
  <c r="AI20" i="32"/>
  <c r="O21" i="32"/>
  <c r="O24" i="32"/>
  <c r="AI26" i="32"/>
  <c r="H52" i="28"/>
  <c r="AI47" i="32"/>
  <c r="Y56" i="32"/>
  <c r="AI57" i="32"/>
  <c r="AI58" i="32" s="1"/>
  <c r="AI59" i="32" s="1"/>
  <c r="AI60" i="32" s="1"/>
  <c r="AI61" i="32" s="1"/>
  <c r="AI62" i="32" s="1"/>
  <c r="AI63" i="32" s="1"/>
  <c r="AI64" i="32" s="1"/>
  <c r="AI65" i="32" s="1"/>
  <c r="AI66" i="32" s="1"/>
  <c r="AI67" i="32" s="1"/>
  <c r="AI68" i="32" s="1"/>
  <c r="AI69" i="32" s="1"/>
  <c r="F49" i="28"/>
  <c r="AI56" i="32"/>
  <c r="O14" i="27"/>
  <c r="O15" i="27" s="1"/>
  <c r="O16" i="27" s="1"/>
  <c r="O17" i="27" s="1"/>
  <c r="O18" i="27" s="1"/>
  <c r="O19" i="27" s="1"/>
  <c r="O20" i="27" s="1"/>
  <c r="O21" i="27" s="1"/>
  <c r="O22" i="27" s="1"/>
  <c r="O23" i="27" s="1"/>
  <c r="O24" i="27" s="1"/>
  <c r="O25" i="27" s="1"/>
  <c r="O26" i="27" s="1"/>
  <c r="O27" i="27" s="1"/>
  <c r="O28" i="27" s="1"/>
  <c r="O29" i="27" s="1"/>
  <c r="O30" i="27" s="1"/>
  <c r="O31" i="27" s="1"/>
  <c r="O32" i="27" s="1"/>
  <c r="O33" i="27" s="1"/>
  <c r="O34" i="27" s="1"/>
  <c r="O35" i="27" s="1"/>
  <c r="O36" i="27" s="1"/>
  <c r="H48" i="28"/>
  <c r="H49" i="28"/>
  <c r="H53" i="28"/>
  <c r="G103" i="28"/>
  <c r="E54" i="46" s="1"/>
  <c r="G97" i="28"/>
  <c r="H29" i="29"/>
  <c r="L12" i="47"/>
  <c r="C74" i="47" s="1"/>
  <c r="G50" i="28"/>
  <c r="G101" i="28"/>
  <c r="AV27" i="36" s="1"/>
  <c r="AY27" i="36" s="1"/>
  <c r="G86" i="28"/>
  <c r="L12" i="36" s="1"/>
  <c r="G53" i="28"/>
  <c r="F50" i="28"/>
  <c r="AV24" i="24"/>
  <c r="BO6" i="26"/>
  <c r="BP6" i="26" s="1"/>
  <c r="AD5" i="26"/>
  <c r="AM29" i="26"/>
  <c r="AD11" i="26"/>
  <c r="AM6" i="26"/>
  <c r="AE5" i="35"/>
  <c r="AQ4" i="35"/>
  <c r="AF5" i="35"/>
  <c r="AE4" i="35"/>
  <c r="AD4" i="35"/>
  <c r="AQ5" i="35"/>
  <c r="AF4" i="35"/>
  <c r="BF4" i="35"/>
  <c r="AR5" i="35"/>
  <c r="BF5" i="35"/>
  <c r="AS5" i="35"/>
  <c r="BE4" i="35"/>
  <c r="BD5" i="35"/>
  <c r="AR4" i="35"/>
  <c r="BD4" i="35"/>
  <c r="AS4" i="35"/>
  <c r="AD5" i="35"/>
  <c r="BE5" i="35"/>
  <c r="BZ4" i="24"/>
  <c r="AW4" i="24" s="1"/>
  <c r="W4" i="31"/>
  <c r="AI4" i="31"/>
  <c r="D19" i="43" s="1"/>
  <c r="BP32" i="26"/>
  <c r="AM12" i="26"/>
  <c r="BO33" i="26"/>
  <c r="BP33" i="26" s="1"/>
  <c r="AM10" i="26"/>
  <c r="BO13" i="26"/>
  <c r="BP13" i="26" s="1"/>
  <c r="BO12" i="26"/>
  <c r="BQ12" i="26" s="1"/>
  <c r="BP8" i="26"/>
  <c r="AM31" i="26"/>
  <c r="BP11" i="26"/>
  <c r="AM13" i="26"/>
  <c r="BO9" i="26"/>
  <c r="BQ9" i="26" s="1"/>
  <c r="BO21" i="26"/>
  <c r="BP21" i="26" s="1"/>
  <c r="AD9" i="26"/>
  <c r="BQ25" i="26"/>
  <c r="BP25" i="26"/>
  <c r="AM25" i="26"/>
  <c r="AD14" i="26"/>
  <c r="AD31" i="26"/>
  <c r="AM30" i="26"/>
  <c r="BO30" i="26"/>
  <c r="BO14" i="26"/>
  <c r="BQ6" i="26"/>
  <c r="AM33" i="26"/>
  <c r="AD25" i="26"/>
  <c r="AR25" i="26" s="1"/>
  <c r="AM20" i="26"/>
  <c r="BO29" i="26"/>
  <c r="BP29" i="26" s="1"/>
  <c r="BP10" i="26"/>
  <c r="BO22" i="26"/>
  <c r="AM26" i="26"/>
  <c r="AD26" i="26"/>
  <c r="AD18" i="26"/>
  <c r="AM18" i="26"/>
  <c r="Q4" i="26"/>
  <c r="AM4" i="26"/>
  <c r="AW4" i="26"/>
  <c r="BI4" i="26" s="1"/>
  <c r="BO4" i="26"/>
  <c r="BQ18" i="26"/>
  <c r="BO27" i="26"/>
  <c r="AM27" i="26"/>
  <c r="AD27" i="26"/>
  <c r="AD24" i="26"/>
  <c r="BO24" i="26"/>
  <c r="AM24" i="26"/>
  <c r="AM15" i="26"/>
  <c r="BO15" i="26"/>
  <c r="BQ23" i="26"/>
  <c r="BP23" i="26"/>
  <c r="BO26" i="26"/>
  <c r="BQ7" i="26"/>
  <c r="BP7" i="26"/>
  <c r="BP31" i="26"/>
  <c r="BQ31" i="26"/>
  <c r="AD28" i="26"/>
  <c r="BO28" i="26"/>
  <c r="AM28" i="26"/>
  <c r="BO19" i="26"/>
  <c r="AD19" i="26"/>
  <c r="AM19" i="26"/>
  <c r="BQ21" i="26"/>
  <c r="BO17" i="26"/>
  <c r="BO5" i="26"/>
  <c r="AD7" i="26"/>
  <c r="AI7" i="26" s="1"/>
  <c r="AM23" i="26"/>
  <c r="AM22" i="26"/>
  <c r="AM21" i="26"/>
  <c r="BO20" i="26"/>
  <c r="BO16" i="26"/>
  <c r="AM17" i="26"/>
  <c r="AD23" i="26"/>
  <c r="AM16" i="26"/>
  <c r="J5" i="34"/>
  <c r="M5" i="34" s="1"/>
  <c r="J6" i="34" s="1"/>
  <c r="M6" i="34" s="1"/>
  <c r="J7" i="34" s="1"/>
  <c r="M7" i="34" s="1"/>
  <c r="J8" i="34" s="1"/>
  <c r="M8" i="34" s="1"/>
  <c r="J9" i="34" s="1"/>
  <c r="M9" i="34" s="1"/>
  <c r="J10" i="34" s="1"/>
  <c r="G24" i="7"/>
  <c r="CI15" i="7" s="1"/>
  <c r="CR15" i="7" s="1"/>
  <c r="DA15" i="7" s="1"/>
  <c r="DJ15" i="7" s="1"/>
  <c r="DS15" i="7" s="1"/>
  <c r="EB15" i="7" s="1"/>
  <c r="EK15" i="7" s="1"/>
  <c r="G22" i="7"/>
  <c r="R22" i="7" s="1"/>
  <c r="G23" i="7"/>
  <c r="Q104" i="6"/>
  <c r="CH9" i="7"/>
  <c r="CQ9" i="7" s="1"/>
  <c r="CZ9" i="7" s="1"/>
  <c r="DI9" i="7" s="1"/>
  <c r="DR9" i="7" s="1"/>
  <c r="EA9" i="7" s="1"/>
  <c r="EJ9" i="7" s="1"/>
  <c r="Q18" i="7"/>
  <c r="C38" i="28"/>
  <c r="CH12" i="7"/>
  <c r="CQ12" i="7" s="1"/>
  <c r="CZ12" i="7" s="1"/>
  <c r="DI12" i="7" s="1"/>
  <c r="DR12" i="7" s="1"/>
  <c r="EA12" i="7" s="1"/>
  <c r="EJ12" i="7" s="1"/>
  <c r="Q21" i="7"/>
  <c r="C41" i="28"/>
  <c r="CI5" i="7"/>
  <c r="CR5" i="7" s="1"/>
  <c r="DA5" i="7" s="1"/>
  <c r="DJ5" i="7" s="1"/>
  <c r="DS5" i="7" s="1"/>
  <c r="EB5" i="7" s="1"/>
  <c r="EK5" i="7" s="1"/>
  <c r="R14" i="7"/>
  <c r="Q24" i="7"/>
  <c r="C44" i="28"/>
  <c r="CH15" i="7"/>
  <c r="CQ15" i="7" s="1"/>
  <c r="CZ15" i="7" s="1"/>
  <c r="DI15" i="7" s="1"/>
  <c r="DR15" i="7" s="1"/>
  <c r="EA15" i="7" s="1"/>
  <c r="EJ15" i="7" s="1"/>
  <c r="CH7" i="7"/>
  <c r="CQ7" i="7" s="1"/>
  <c r="CZ7" i="7" s="1"/>
  <c r="DI7" i="7" s="1"/>
  <c r="DR7" i="7" s="1"/>
  <c r="EA7" i="7" s="1"/>
  <c r="EJ7" i="7" s="1"/>
  <c r="Q16" i="7"/>
  <c r="C36" i="28"/>
  <c r="R16" i="7"/>
  <c r="CI7" i="7"/>
  <c r="CR7" i="7" s="1"/>
  <c r="DA7" i="7" s="1"/>
  <c r="DJ7" i="7" s="1"/>
  <c r="DS7" i="7" s="1"/>
  <c r="EB7" i="7" s="1"/>
  <c r="EK7" i="7" s="1"/>
  <c r="O91" i="7"/>
  <c r="U91" i="7" s="1"/>
  <c r="O97" i="7"/>
  <c r="O95" i="7"/>
  <c r="R18" i="7"/>
  <c r="O96" i="7"/>
  <c r="U96" i="7" s="1"/>
  <c r="V96" i="7" s="1"/>
  <c r="Q108" i="6"/>
  <c r="Q103" i="6"/>
  <c r="Q113" i="6"/>
  <c r="Q98" i="6"/>
  <c r="Q87" i="6"/>
  <c r="M56" i="6"/>
  <c r="T8" i="24" s="1"/>
  <c r="G12" i="9" s="1"/>
  <c r="P55" i="6"/>
  <c r="Y7" i="23" s="1"/>
  <c r="AL7" i="23" s="1"/>
  <c r="Q111" i="6"/>
  <c r="Q90" i="6"/>
  <c r="Q91" i="6"/>
  <c r="Q23" i="7"/>
  <c r="C43" i="28"/>
  <c r="CH14" i="7"/>
  <c r="CQ14" i="7" s="1"/>
  <c r="CZ14" i="7" s="1"/>
  <c r="DI14" i="7" s="1"/>
  <c r="DR14" i="7" s="1"/>
  <c r="EA14" i="7" s="1"/>
  <c r="EJ14" i="7" s="1"/>
  <c r="R21" i="7"/>
  <c r="CI12" i="7"/>
  <c r="CR12" i="7" s="1"/>
  <c r="DA12" i="7" s="1"/>
  <c r="DJ12" i="7" s="1"/>
  <c r="DS12" i="7" s="1"/>
  <c r="EB12" i="7" s="1"/>
  <c r="EK12" i="7" s="1"/>
  <c r="CI11" i="7"/>
  <c r="CR11" i="7" s="1"/>
  <c r="DA11" i="7" s="1"/>
  <c r="DJ11" i="7" s="1"/>
  <c r="DS11" i="7" s="1"/>
  <c r="EB11" i="7" s="1"/>
  <c r="EK11" i="7" s="1"/>
  <c r="R20" i="7"/>
  <c r="CH11" i="7"/>
  <c r="CQ11" i="7" s="1"/>
  <c r="CZ11" i="7" s="1"/>
  <c r="DI11" i="7" s="1"/>
  <c r="DR11" i="7" s="1"/>
  <c r="EA11" i="7" s="1"/>
  <c r="EJ11" i="7" s="1"/>
  <c r="Q20" i="7"/>
  <c r="C40" i="28"/>
  <c r="R15" i="7"/>
  <c r="CI6" i="7"/>
  <c r="CR6" i="7" s="1"/>
  <c r="DA6" i="7" s="1"/>
  <c r="DJ6" i="7" s="1"/>
  <c r="DS6" i="7" s="1"/>
  <c r="EB6" i="7" s="1"/>
  <c r="EK6" i="7" s="1"/>
  <c r="C42" i="28"/>
  <c r="CH13" i="7"/>
  <c r="CQ13" i="7" s="1"/>
  <c r="CZ13" i="7" s="1"/>
  <c r="DI13" i="7" s="1"/>
  <c r="DR13" i="7" s="1"/>
  <c r="EA13" i="7" s="1"/>
  <c r="EJ13" i="7" s="1"/>
  <c r="Q22" i="7"/>
  <c r="F13" i="26"/>
  <c r="D13" i="34" s="1"/>
  <c r="Q19" i="7"/>
  <c r="C39" i="28"/>
  <c r="CH10" i="7"/>
  <c r="CQ10" i="7" s="1"/>
  <c r="CZ10" i="7" s="1"/>
  <c r="DI10" i="7" s="1"/>
  <c r="DR10" i="7" s="1"/>
  <c r="EA10" i="7" s="1"/>
  <c r="EJ10" i="7" s="1"/>
  <c r="CH5" i="7"/>
  <c r="CQ5" i="7" s="1"/>
  <c r="CZ5" i="7" s="1"/>
  <c r="DI5" i="7" s="1"/>
  <c r="DR5" i="7" s="1"/>
  <c r="EA5" i="7" s="1"/>
  <c r="EJ5" i="7" s="1"/>
  <c r="C34" i="28"/>
  <c r="Q14" i="7"/>
  <c r="F163" i="29"/>
  <c r="F232" i="29"/>
  <c r="H232" i="29" s="1"/>
  <c r="F224" i="29"/>
  <c r="H224" i="29" s="1"/>
  <c r="BI528" i="36" s="1"/>
  <c r="F213" i="29"/>
  <c r="H213" i="29" s="1"/>
  <c r="BI454" i="36" s="1"/>
  <c r="F205" i="29"/>
  <c r="F194" i="29"/>
  <c r="H194" i="29" s="1"/>
  <c r="BI381" i="36" s="1"/>
  <c r="F186" i="29"/>
  <c r="H186" i="29" s="1"/>
  <c r="BI373" i="36" s="1"/>
  <c r="F179" i="29"/>
  <c r="H179" i="29" s="1"/>
  <c r="BI366" i="36" s="1"/>
  <c r="F168" i="29"/>
  <c r="H168" i="29" s="1"/>
  <c r="F156" i="29"/>
  <c r="H156" i="29" s="1"/>
  <c r="BI244" i="36" s="1"/>
  <c r="F148" i="29"/>
  <c r="H148" i="29" s="1"/>
  <c r="BI236" i="36" s="1"/>
  <c r="F137" i="29"/>
  <c r="H137" i="29" s="1"/>
  <c r="AZ189" i="36" s="1"/>
  <c r="F129" i="29"/>
  <c r="H129" i="29" s="1"/>
  <c r="F118" i="29"/>
  <c r="H118" i="29" s="1"/>
  <c r="BI134" i="36" s="1"/>
  <c r="F110" i="29"/>
  <c r="H110" i="29" s="1"/>
  <c r="BI126" i="36" s="1"/>
  <c r="F99" i="29"/>
  <c r="H99" i="29" s="1"/>
  <c r="F87" i="29"/>
  <c r="H87" i="29" s="1"/>
  <c r="BI58" i="36" s="1"/>
  <c r="F76" i="29"/>
  <c r="H76" i="29" s="1"/>
  <c r="BI38" i="36" s="1"/>
  <c r="N183" i="29"/>
  <c r="P183" i="29" s="1"/>
  <c r="BR298" i="36" s="1"/>
  <c r="N175" i="29"/>
  <c r="P175" i="29" s="1"/>
  <c r="BR290" i="36" s="1"/>
  <c r="N164" i="29"/>
  <c r="P164" i="29" s="1"/>
  <c r="BR243" i="36" s="1"/>
  <c r="N153" i="29"/>
  <c r="P153" i="29" s="1"/>
  <c r="BR205" i="36" s="1"/>
  <c r="N145" i="29"/>
  <c r="P145" i="29" s="1"/>
  <c r="BR197" i="36" s="1"/>
  <c r="N134" i="29"/>
  <c r="P134" i="29" s="1"/>
  <c r="BR168" i="36" s="1"/>
  <c r="N126" i="29"/>
  <c r="P126" i="29" s="1"/>
  <c r="N115" i="29"/>
  <c r="P115" i="29" s="1"/>
  <c r="N107" i="29"/>
  <c r="P107" i="29" s="1"/>
  <c r="BR123" i="36" s="1"/>
  <c r="N96" i="29"/>
  <c r="P96" i="29" s="1"/>
  <c r="BR85" i="36" s="1"/>
  <c r="N85" i="29"/>
  <c r="P85" i="29" s="1"/>
  <c r="N74" i="29"/>
  <c r="P74" i="29" s="1"/>
  <c r="BR36" i="36" s="1"/>
  <c r="N219" i="29"/>
  <c r="P219" i="29" s="1"/>
  <c r="BR415" i="36" s="1"/>
  <c r="N211" i="29"/>
  <c r="P211" i="29" s="1"/>
  <c r="BR407" i="36" s="1"/>
  <c r="N95" i="29"/>
  <c r="P95" i="29" s="1"/>
  <c r="N218" i="29"/>
  <c r="P218" i="29" s="1"/>
  <c r="BR414" i="36" s="1"/>
  <c r="F230" i="29"/>
  <c r="H230" i="29" s="1"/>
  <c r="AZ534" i="36" s="1"/>
  <c r="F222" i="29"/>
  <c r="H222" i="29" s="1"/>
  <c r="BI526" i="36" s="1"/>
  <c r="F211" i="29"/>
  <c r="H211" i="29" s="1"/>
  <c r="F203" i="29"/>
  <c r="H203" i="29" s="1"/>
  <c r="F192" i="29"/>
  <c r="H192" i="29" s="1"/>
  <c r="AZ379" i="36" s="1"/>
  <c r="F184" i="29"/>
  <c r="H184" i="29" s="1"/>
  <c r="BI371" i="36" s="1"/>
  <c r="F174" i="29"/>
  <c r="H174" i="29" s="1"/>
  <c r="BI307" i="36" s="1"/>
  <c r="F166" i="29"/>
  <c r="H165" i="29" s="1"/>
  <c r="BI298" i="36" s="1"/>
  <c r="F154" i="29"/>
  <c r="H154" i="29" s="1"/>
  <c r="AZ242" i="36" s="1"/>
  <c r="F146" i="29"/>
  <c r="H146" i="29" s="1"/>
  <c r="F135" i="29"/>
  <c r="H135" i="29" s="1"/>
  <c r="F127" i="29"/>
  <c r="H127" i="29" s="1"/>
  <c r="AZ179" i="36" s="1"/>
  <c r="F116" i="29"/>
  <c r="H116" i="29" s="1"/>
  <c r="BI132" i="36" s="1"/>
  <c r="F108" i="29"/>
  <c r="H108" i="29" s="1"/>
  <c r="BI124" i="36" s="1"/>
  <c r="F96" i="29"/>
  <c r="H96" i="29" s="1"/>
  <c r="BI85" i="36" s="1"/>
  <c r="F85" i="29"/>
  <c r="H85" i="29" s="1"/>
  <c r="AZ56" i="36" s="1"/>
  <c r="F74" i="29"/>
  <c r="H74" i="29" s="1"/>
  <c r="AZ36" i="36" s="1"/>
  <c r="N181" i="29"/>
  <c r="P181" i="29" s="1"/>
  <c r="BR296" i="36" s="1"/>
  <c r="N173" i="29"/>
  <c r="P173" i="29" s="1"/>
  <c r="N162" i="29"/>
  <c r="P162" i="29" s="1"/>
  <c r="BR241" i="36" s="1"/>
  <c r="N151" i="29"/>
  <c r="P151" i="29" s="1"/>
  <c r="BR203" i="36" s="1"/>
  <c r="N143" i="29"/>
  <c r="P143" i="29" s="1"/>
  <c r="BR195" i="36" s="1"/>
  <c r="N132" i="29"/>
  <c r="P132" i="29" s="1"/>
  <c r="N124" i="29"/>
  <c r="P124" i="29" s="1"/>
  <c r="BR158" i="36" s="1"/>
  <c r="N113" i="29"/>
  <c r="P113" i="29" s="1"/>
  <c r="BR129" i="36" s="1"/>
  <c r="N102" i="29"/>
  <c r="P102" i="29" s="1"/>
  <c r="BR91" i="36" s="1"/>
  <c r="N94" i="29"/>
  <c r="P94" i="29" s="1"/>
  <c r="N83" i="29"/>
  <c r="P83" i="29" s="1"/>
  <c r="BR54" i="36" s="1"/>
  <c r="N225" i="29"/>
  <c r="P225" i="29" s="1"/>
  <c r="BR421" i="36" s="1"/>
  <c r="N217" i="29"/>
  <c r="P217" i="29" s="1"/>
  <c r="N209" i="29"/>
  <c r="P209" i="29" s="1"/>
  <c r="BR405" i="36" s="1"/>
  <c r="N84" i="29"/>
  <c r="P84" i="29" s="1"/>
  <c r="BR55" i="36" s="1"/>
  <c r="N210" i="29"/>
  <c r="P210" i="29" s="1"/>
  <c r="BR406" i="36" s="1"/>
  <c r="F229" i="29"/>
  <c r="H229" i="29" s="1"/>
  <c r="AZ533" i="36" s="1"/>
  <c r="F221" i="29"/>
  <c r="H221" i="29" s="1"/>
  <c r="F210" i="29"/>
  <c r="H210" i="29" s="1"/>
  <c r="BI451" i="36" s="1"/>
  <c r="F202" i="29"/>
  <c r="H202" i="29" s="1"/>
  <c r="F191" i="29"/>
  <c r="H191" i="29" s="1"/>
  <c r="F183" i="29"/>
  <c r="H183" i="29" s="1"/>
  <c r="F173" i="29"/>
  <c r="H173" i="29" s="1"/>
  <c r="F165" i="29"/>
  <c r="H164" i="29" s="1"/>
  <c r="BI297" i="36" s="1"/>
  <c r="F153" i="29"/>
  <c r="H153" i="29" s="1"/>
  <c r="BI241" i="36" s="1"/>
  <c r="F145" i="29"/>
  <c r="H145" i="29" s="1"/>
  <c r="F134" i="29"/>
  <c r="H134" i="29" s="1"/>
  <c r="BI186" i="36" s="1"/>
  <c r="F126" i="29"/>
  <c r="H126" i="29" s="1"/>
  <c r="AZ178" i="36" s="1"/>
  <c r="F115" i="29"/>
  <c r="H115" i="29" s="1"/>
  <c r="BI131" i="36" s="1"/>
  <c r="F107" i="29"/>
  <c r="H107" i="29" s="1"/>
  <c r="F95" i="29"/>
  <c r="H95" i="29" s="1"/>
  <c r="BI84" i="36" s="1"/>
  <c r="F84" i="29"/>
  <c r="H84" i="29" s="1"/>
  <c r="BI55" i="36" s="1"/>
  <c r="N188" i="29"/>
  <c r="P188" i="29" s="1"/>
  <c r="BR303" i="36" s="1"/>
  <c r="N180" i="29"/>
  <c r="P180" i="29" s="1"/>
  <c r="BR295" i="36" s="1"/>
  <c r="N169" i="29"/>
  <c r="P169" i="29" s="1"/>
  <c r="BR248" i="36" s="1"/>
  <c r="N161" i="29"/>
  <c r="P161" i="29" s="1"/>
  <c r="BR240" i="36" s="1"/>
  <c r="N150" i="29"/>
  <c r="P150" i="29" s="1"/>
  <c r="BR202" i="36" s="1"/>
  <c r="N139" i="29"/>
  <c r="P139" i="29" s="1"/>
  <c r="BR173" i="36" s="1"/>
  <c r="N131" i="29"/>
  <c r="P131" i="29" s="1"/>
  <c r="BR165" i="36" s="1"/>
  <c r="N123" i="29"/>
  <c r="P123" i="29" s="1"/>
  <c r="BR157" i="36" s="1"/>
  <c r="N112" i="29"/>
  <c r="P112" i="29" s="1"/>
  <c r="BR128" i="36" s="1"/>
  <c r="N101" i="29"/>
  <c r="P101" i="29" s="1"/>
  <c r="BR90" i="36" s="1"/>
  <c r="N93" i="29"/>
  <c r="P93" i="29" s="1"/>
  <c r="BR82" i="36" s="1"/>
  <c r="N82" i="29"/>
  <c r="P82" i="29" s="1"/>
  <c r="N224" i="29"/>
  <c r="P224" i="29" s="1"/>
  <c r="BR420" i="36" s="1"/>
  <c r="N216" i="29"/>
  <c r="P216" i="29" s="1"/>
  <c r="BR412" i="36" s="1"/>
  <c r="N202" i="29"/>
  <c r="P202" i="29" s="1"/>
  <c r="N103" i="29"/>
  <c r="P103" i="29" s="1"/>
  <c r="BR92" i="36" s="1"/>
  <c r="N226" i="29"/>
  <c r="P226" i="29" s="1"/>
  <c r="BR422" i="36" s="1"/>
  <c r="F228" i="29"/>
  <c r="H228" i="29" s="1"/>
  <c r="F220" i="29"/>
  <c r="H220" i="29" s="1"/>
  <c r="AZ524" i="36" s="1"/>
  <c r="F209" i="29"/>
  <c r="H209" i="29" s="1"/>
  <c r="AZ450" i="36" s="1"/>
  <c r="F201" i="29"/>
  <c r="H201" i="29" s="1"/>
  <c r="BI442" i="36" s="1"/>
  <c r="F190" i="29"/>
  <c r="H190" i="29" s="1"/>
  <c r="BI377" i="36" s="1"/>
  <c r="F182" i="29"/>
  <c r="H182" i="29" s="1"/>
  <c r="BI369" i="36" s="1"/>
  <c r="F172" i="29"/>
  <c r="H172" i="29" s="1"/>
  <c r="BI305" i="36" s="1"/>
  <c r="F164" i="29"/>
  <c r="H163" i="29" s="1"/>
  <c r="BI296" i="36" s="1"/>
  <c r="F152" i="29"/>
  <c r="H152" i="29" s="1"/>
  <c r="F144" i="29"/>
  <c r="H144" i="29" s="1"/>
  <c r="F133" i="29"/>
  <c r="H133" i="29" s="1"/>
  <c r="AZ185" i="36" s="1"/>
  <c r="F125" i="29"/>
  <c r="H125" i="29" s="1"/>
  <c r="F114" i="29"/>
  <c r="H114" i="29" s="1"/>
  <c r="BI130" i="36" s="1"/>
  <c r="F103" i="29"/>
  <c r="H103" i="29" s="1"/>
  <c r="AZ92" i="36" s="1"/>
  <c r="F94" i="29"/>
  <c r="H94" i="29" s="1"/>
  <c r="BI83" i="36" s="1"/>
  <c r="F83" i="29"/>
  <c r="H83" i="29" s="1"/>
  <c r="BI54" i="36" s="1"/>
  <c r="N187" i="29"/>
  <c r="P187" i="29" s="1"/>
  <c r="BR302" i="36" s="1"/>
  <c r="N179" i="29"/>
  <c r="P179" i="29" s="1"/>
  <c r="N168" i="29"/>
  <c r="P168" i="29" s="1"/>
  <c r="BR247" i="36" s="1"/>
  <c r="N160" i="29"/>
  <c r="P160" i="29" s="1"/>
  <c r="N149" i="29"/>
  <c r="P149" i="29" s="1"/>
  <c r="N138" i="29"/>
  <c r="P138" i="29" s="1"/>
  <c r="N130" i="29"/>
  <c r="P130" i="29" s="1"/>
  <c r="N122" i="29"/>
  <c r="P122" i="29" s="1"/>
  <c r="BR156" i="36" s="1"/>
  <c r="N111" i="29"/>
  <c r="P111" i="29" s="1"/>
  <c r="BR127" i="36" s="1"/>
  <c r="N100" i="29"/>
  <c r="P100" i="29" s="1"/>
  <c r="BR89" i="36" s="1"/>
  <c r="N92" i="29"/>
  <c r="P92" i="29" s="1"/>
  <c r="BR81" i="36" s="1"/>
  <c r="N81" i="29"/>
  <c r="P81" i="29" s="1"/>
  <c r="BR52" i="36" s="1"/>
  <c r="N223" i="29"/>
  <c r="P223" i="29" s="1"/>
  <c r="N215" i="29"/>
  <c r="N200" i="29"/>
  <c r="P200" i="29" s="1"/>
  <c r="BR351" i="36" s="1"/>
  <c r="F235" i="29"/>
  <c r="H235" i="29" s="1"/>
  <c r="BI539" i="36" s="1"/>
  <c r="F227" i="29"/>
  <c r="H227" i="29" s="1"/>
  <c r="F219" i="29"/>
  <c r="H219" i="29" s="1"/>
  <c r="F208" i="29"/>
  <c r="H208" i="29" s="1"/>
  <c r="BI449" i="36" s="1"/>
  <c r="F200" i="29"/>
  <c r="H200" i="29" s="1"/>
  <c r="AZ441" i="36" s="1"/>
  <c r="F189" i="29"/>
  <c r="H189" i="29" s="1"/>
  <c r="AZ376" i="36" s="1"/>
  <c r="F171" i="29"/>
  <c r="H171" i="29" s="1"/>
  <c r="BI304" i="36" s="1"/>
  <c r="F162" i="29"/>
  <c r="H162" i="29" s="1"/>
  <c r="AZ295" i="36" s="1"/>
  <c r="F151" i="29"/>
  <c r="H151" i="29" s="1"/>
  <c r="BI239" i="36" s="1"/>
  <c r="F143" i="29"/>
  <c r="F132" i="29"/>
  <c r="H132" i="29" s="1"/>
  <c r="BI184" i="36" s="1"/>
  <c r="F124" i="29"/>
  <c r="H124" i="29" s="1"/>
  <c r="AZ176" i="36" s="1"/>
  <c r="F113" i="29"/>
  <c r="H113" i="29" s="1"/>
  <c r="AZ129" i="36" s="1"/>
  <c r="F102" i="29"/>
  <c r="H102" i="29" s="1"/>
  <c r="AZ91" i="36" s="1"/>
  <c r="F93" i="29"/>
  <c r="H93" i="29" s="1"/>
  <c r="F82" i="29"/>
  <c r="H82" i="29" s="1"/>
  <c r="BI53" i="36" s="1"/>
  <c r="N186" i="29"/>
  <c r="P186" i="29" s="1"/>
  <c r="BR301" i="36" s="1"/>
  <c r="N178" i="29"/>
  <c r="P178" i="29" s="1"/>
  <c r="BR293" i="36" s="1"/>
  <c r="N167" i="29"/>
  <c r="P167" i="29" s="1"/>
  <c r="BR246" i="36" s="1"/>
  <c r="N159" i="29"/>
  <c r="P159" i="29" s="1"/>
  <c r="BR238" i="36" s="1"/>
  <c r="N148" i="29"/>
  <c r="P148" i="29" s="1"/>
  <c r="BR200" i="36" s="1"/>
  <c r="N137" i="29"/>
  <c r="P137" i="29" s="1"/>
  <c r="BR171" i="36" s="1"/>
  <c r="N129" i="29"/>
  <c r="P129" i="29" s="1"/>
  <c r="BR163" i="36" s="1"/>
  <c r="N118" i="29"/>
  <c r="P118" i="29" s="1"/>
  <c r="BR134" i="36" s="1"/>
  <c r="N110" i="29"/>
  <c r="P110" i="29" s="1"/>
  <c r="BR126" i="36" s="1"/>
  <c r="N99" i="29"/>
  <c r="P99" i="29" s="1"/>
  <c r="BR88" i="36" s="1"/>
  <c r="N88" i="29"/>
  <c r="P88" i="29" s="1"/>
  <c r="N80" i="29"/>
  <c r="P80" i="29" s="1"/>
  <c r="BR51" i="36" s="1"/>
  <c r="N222" i="29"/>
  <c r="P222" i="29" s="1"/>
  <c r="BR418" i="36" s="1"/>
  <c r="N214" i="29"/>
  <c r="P214" i="29" s="1"/>
  <c r="BR410" i="36" s="1"/>
  <c r="N198" i="29"/>
  <c r="P198" i="29" s="1"/>
  <c r="BR349" i="36" s="1"/>
  <c r="F234" i="29"/>
  <c r="H234" i="29" s="1"/>
  <c r="BI538" i="36" s="1"/>
  <c r="F226" i="29"/>
  <c r="H226" i="29" s="1"/>
  <c r="F218" i="29"/>
  <c r="F207" i="29"/>
  <c r="H207" i="29" s="1"/>
  <c r="AZ448" i="36" s="1"/>
  <c r="F199" i="29"/>
  <c r="H199" i="29" s="1"/>
  <c r="F188" i="29"/>
  <c r="H188" i="29" s="1"/>
  <c r="AZ375" i="36" s="1"/>
  <c r="F181" i="29"/>
  <c r="H181" i="29" s="1"/>
  <c r="BI368" i="36" s="1"/>
  <c r="F170" i="29"/>
  <c r="H170" i="29" s="1"/>
  <c r="F161" i="29"/>
  <c r="H161" i="29" s="1"/>
  <c r="BI294" i="36" s="1"/>
  <c r="F150" i="29"/>
  <c r="H150" i="29" s="1"/>
  <c r="AZ238" i="36" s="1"/>
  <c r="F139" i="29"/>
  <c r="H139" i="29" s="1"/>
  <c r="F131" i="29"/>
  <c r="H131" i="29" s="1"/>
  <c r="BI183" i="36" s="1"/>
  <c r="F123" i="29"/>
  <c r="H123" i="29" s="1"/>
  <c r="AZ175" i="36" s="1"/>
  <c r="F112" i="29"/>
  <c r="H112" i="29" s="1"/>
  <c r="BI128" i="36" s="1"/>
  <c r="F101" i="29"/>
  <c r="H101" i="29" s="1"/>
  <c r="F92" i="29"/>
  <c r="H92" i="29" s="1"/>
  <c r="BI81" i="36" s="1"/>
  <c r="F81" i="29"/>
  <c r="H81" i="29" s="1"/>
  <c r="AZ52" i="36" s="1"/>
  <c r="N185" i="29"/>
  <c r="P185" i="29" s="1"/>
  <c r="BR300" i="36" s="1"/>
  <c r="N177" i="29"/>
  <c r="P177" i="29" s="1"/>
  <c r="BR292" i="36" s="1"/>
  <c r="N166" i="29"/>
  <c r="P166" i="29" s="1"/>
  <c r="N158" i="29"/>
  <c r="P158" i="29" s="1"/>
  <c r="BR237" i="36" s="1"/>
  <c r="N147" i="29"/>
  <c r="P147" i="29" s="1"/>
  <c r="BR199" i="36" s="1"/>
  <c r="N136" i="29"/>
  <c r="P136" i="29" s="1"/>
  <c r="BR170" i="36" s="1"/>
  <c r="N128" i="29"/>
  <c r="P128" i="29" s="1"/>
  <c r="BR162" i="36" s="1"/>
  <c r="N117" i="29"/>
  <c r="P117" i="29" s="1"/>
  <c r="BR133" i="36" s="1"/>
  <c r="N109" i="29"/>
  <c r="P109" i="29" s="1"/>
  <c r="BR125" i="36" s="1"/>
  <c r="N98" i="29"/>
  <c r="P98" i="29" s="1"/>
  <c r="BR87" i="36" s="1"/>
  <c r="N87" i="29"/>
  <c r="P87" i="29" s="1"/>
  <c r="BR58" i="36" s="1"/>
  <c r="N76" i="29"/>
  <c r="P76" i="29" s="1"/>
  <c r="N221" i="29"/>
  <c r="P221" i="29" s="1"/>
  <c r="BR417" i="36" s="1"/>
  <c r="N213" i="29"/>
  <c r="P213" i="29" s="1"/>
  <c r="BR409" i="36" s="1"/>
  <c r="F233" i="29"/>
  <c r="H233" i="29" s="1"/>
  <c r="F225" i="29"/>
  <c r="H225" i="29" s="1"/>
  <c r="BI529" i="36" s="1"/>
  <c r="F214" i="29"/>
  <c r="H214" i="29" s="1"/>
  <c r="F206" i="29"/>
  <c r="H206" i="29" s="1"/>
  <c r="F195" i="29"/>
  <c r="H195" i="29" s="1"/>
  <c r="AZ382" i="36" s="1"/>
  <c r="F187" i="29"/>
  <c r="H187" i="29" s="1"/>
  <c r="BI374" i="36" s="1"/>
  <c r="F180" i="29"/>
  <c r="H180" i="29" s="1"/>
  <c r="F169" i="29"/>
  <c r="H169" i="29" s="1"/>
  <c r="BI302" i="36" s="1"/>
  <c r="F157" i="29"/>
  <c r="H157" i="29" s="1"/>
  <c r="AZ245" i="36" s="1"/>
  <c r="F149" i="29"/>
  <c r="H149" i="29" s="1"/>
  <c r="AZ237" i="36" s="1"/>
  <c r="F138" i="29"/>
  <c r="H138" i="29" s="1"/>
  <c r="AZ190" i="36" s="1"/>
  <c r="F130" i="29"/>
  <c r="H130" i="29" s="1"/>
  <c r="F122" i="29"/>
  <c r="H122" i="29" s="1"/>
  <c r="F111" i="29"/>
  <c r="H111" i="29" s="1"/>
  <c r="BI127" i="36" s="1"/>
  <c r="F100" i="29"/>
  <c r="H100" i="29" s="1"/>
  <c r="AZ89" i="36" s="1"/>
  <c r="F88" i="29"/>
  <c r="H88" i="29" s="1"/>
  <c r="BI59" i="36" s="1"/>
  <c r="F80" i="29"/>
  <c r="H80" i="29" s="1"/>
  <c r="AZ51" i="36" s="1"/>
  <c r="N184" i="29"/>
  <c r="P184" i="29" s="1"/>
  <c r="BR299" i="36" s="1"/>
  <c r="N176" i="29"/>
  <c r="P176" i="29" s="1"/>
  <c r="BR291" i="36" s="1"/>
  <c r="N165" i="29"/>
  <c r="P165" i="29" s="1"/>
  <c r="BR244" i="36" s="1"/>
  <c r="N154" i="29"/>
  <c r="P154" i="29" s="1"/>
  <c r="BR206" i="36" s="1"/>
  <c r="N146" i="29"/>
  <c r="P146" i="29" s="1"/>
  <c r="N135" i="29"/>
  <c r="P135" i="29" s="1"/>
  <c r="BR169" i="36" s="1"/>
  <c r="N127" i="29"/>
  <c r="P127" i="29" s="1"/>
  <c r="N116" i="29"/>
  <c r="P116" i="29" s="1"/>
  <c r="N108" i="29"/>
  <c r="P108" i="29" s="1"/>
  <c r="N97" i="29"/>
  <c r="P97" i="29" s="1"/>
  <c r="BR86" i="36" s="1"/>
  <c r="N86" i="29"/>
  <c r="P86" i="29" s="1"/>
  <c r="BR57" i="36" s="1"/>
  <c r="N75" i="29"/>
  <c r="P75" i="29" s="1"/>
  <c r="BR37" i="36" s="1"/>
  <c r="N220" i="29"/>
  <c r="P220" i="29" s="1"/>
  <c r="N212" i="29"/>
  <c r="P212" i="29" s="1"/>
  <c r="BR408" i="36" s="1"/>
  <c r="N201" i="29"/>
  <c r="P201" i="29" s="1"/>
  <c r="N196" i="29"/>
  <c r="P196" i="29" s="1"/>
  <c r="BR347" i="36" s="1"/>
  <c r="N205" i="29"/>
  <c r="P205" i="29" s="1"/>
  <c r="BR356" i="36" s="1"/>
  <c r="N204" i="29"/>
  <c r="P204" i="29" s="1"/>
  <c r="BR355" i="36" s="1"/>
  <c r="V171" i="29"/>
  <c r="X171" i="29" s="1"/>
  <c r="N203" i="29"/>
  <c r="P203" i="29" s="1"/>
  <c r="V169" i="29"/>
  <c r="X169" i="29" s="1"/>
  <c r="AQ505" i="36" s="1"/>
  <c r="N197" i="29"/>
  <c r="P197" i="29" s="1"/>
  <c r="BR348" i="36" s="1"/>
  <c r="V170" i="29"/>
  <c r="X170" i="29" s="1"/>
  <c r="AQ506" i="36" s="1"/>
  <c r="N195" i="29"/>
  <c r="P195" i="29" s="1"/>
  <c r="BR346" i="36" s="1"/>
  <c r="V166" i="29"/>
  <c r="X166" i="29" s="1"/>
  <c r="G470" i="36" s="1"/>
  <c r="N194" i="29"/>
  <c r="P194" i="29" s="1"/>
  <c r="V159" i="29"/>
  <c r="X159" i="29" s="1"/>
  <c r="N193" i="29"/>
  <c r="P193" i="29" s="1"/>
  <c r="V156" i="29"/>
  <c r="X156" i="29" s="1"/>
  <c r="G397" i="36" s="1"/>
  <c r="N192" i="29"/>
  <c r="P192" i="29" s="1"/>
  <c r="V154" i="29"/>
  <c r="N199" i="29"/>
  <c r="P199" i="29" s="1"/>
  <c r="V145" i="29"/>
  <c r="X145" i="29" s="1"/>
  <c r="AQ356" i="36" s="1"/>
  <c r="V167" i="29"/>
  <c r="X167" i="29" s="1"/>
  <c r="G471" i="36" s="1"/>
  <c r="V148" i="29"/>
  <c r="X148" i="29" s="1"/>
  <c r="G335" i="36" s="1"/>
  <c r="V165" i="29"/>
  <c r="X165" i="29" s="1"/>
  <c r="AQ501" i="36" s="1"/>
  <c r="V143" i="29"/>
  <c r="X143" i="29" s="1"/>
  <c r="AQ354" i="36" s="1"/>
  <c r="V172" i="29"/>
  <c r="X172" i="29" s="1"/>
  <c r="V164" i="29"/>
  <c r="V135" i="29"/>
  <c r="X135" i="29" s="1"/>
  <c r="G268" i="36" s="1"/>
  <c r="V168" i="29"/>
  <c r="X168" i="29" s="1"/>
  <c r="Y472" i="36" s="1"/>
  <c r="V150" i="29"/>
  <c r="X150" i="29" s="1"/>
  <c r="AQ361" i="36" s="1"/>
  <c r="V160" i="29"/>
  <c r="X160" i="29" s="1"/>
  <c r="V149" i="29"/>
  <c r="X149" i="29" s="1"/>
  <c r="AQ360" i="36" s="1"/>
  <c r="V137" i="29"/>
  <c r="X137" i="29" s="1"/>
  <c r="AQ290" i="36" s="1"/>
  <c r="V158" i="29"/>
  <c r="X158" i="29" s="1"/>
  <c r="AQ427" i="36" s="1"/>
  <c r="V147" i="29"/>
  <c r="X147" i="29" s="1"/>
  <c r="G334" i="36" s="1"/>
  <c r="V128" i="29"/>
  <c r="X128" i="29" s="1"/>
  <c r="Y216" i="36" s="1"/>
  <c r="BI295" i="36"/>
  <c r="V157" i="29"/>
  <c r="X157" i="29" s="1"/>
  <c r="AQ426" i="36" s="1"/>
  <c r="V146" i="29"/>
  <c r="X146" i="29" s="1"/>
  <c r="V126" i="29"/>
  <c r="X126" i="29" s="1"/>
  <c r="Y214" i="36" s="1"/>
  <c r="BI91" i="36"/>
  <c r="V155" i="29"/>
  <c r="X155" i="29" s="1"/>
  <c r="P396" i="36" s="1"/>
  <c r="V144" i="29"/>
  <c r="V139" i="29"/>
  <c r="X139" i="29" s="1"/>
  <c r="F43" i="9"/>
  <c r="F55" i="9"/>
  <c r="F52" i="9"/>
  <c r="F51" i="9"/>
  <c r="F47" i="9"/>
  <c r="F54" i="9"/>
  <c r="F64" i="9"/>
  <c r="F66" i="9"/>
  <c r="F48" i="9"/>
  <c r="F49" i="9"/>
  <c r="F68" i="9"/>
  <c r="F69" i="9"/>
  <c r="F41" i="9"/>
  <c r="F44" i="9"/>
  <c r="F56" i="9"/>
  <c r="F65" i="9"/>
  <c r="F42" i="9"/>
  <c r="F53" i="9"/>
  <c r="F63" i="9"/>
  <c r="F61" i="9"/>
  <c r="F46" i="9"/>
  <c r="F57" i="9"/>
  <c r="F67" i="9"/>
  <c r="F62" i="9"/>
  <c r="F59" i="9"/>
  <c r="F45" i="9"/>
  <c r="F58" i="9"/>
  <c r="Y8" i="23"/>
  <c r="AL8" i="23" s="1"/>
  <c r="W56" i="6"/>
  <c r="E24" i="46"/>
  <c r="F23" i="46" s="1"/>
  <c r="F65" i="32" s="1"/>
  <c r="C66" i="32"/>
  <c r="F22" i="46"/>
  <c r="F64" i="32" s="1"/>
  <c r="C65" i="32"/>
  <c r="C67" i="32"/>
  <c r="C72" i="32"/>
  <c r="C71" i="32"/>
  <c r="C68" i="32"/>
  <c r="C70" i="32"/>
  <c r="C69" i="32"/>
  <c r="Y51" i="32"/>
  <c r="O50" i="32"/>
  <c r="P75" i="32"/>
  <c r="P83" i="32"/>
  <c r="P91" i="32"/>
  <c r="P76" i="32"/>
  <c r="P92" i="32"/>
  <c r="P77" i="32"/>
  <c r="P81" i="32"/>
  <c r="P84" i="32"/>
  <c r="P93" i="32"/>
  <c r="P85" i="32"/>
  <c r="P78" i="32"/>
  <c r="P86" i="32"/>
  <c r="P94" i="32"/>
  <c r="P80" i="32"/>
  <c r="P96" i="32"/>
  <c r="P79" i="32"/>
  <c r="P87" i="32"/>
  <c r="P95" i="32"/>
  <c r="P88" i="32"/>
  <c r="P89" i="32"/>
  <c r="P73" i="32"/>
  <c r="Q73" i="32" s="1"/>
  <c r="P74" i="32"/>
  <c r="P82" i="32"/>
  <c r="P90" i="32"/>
  <c r="V113" i="29"/>
  <c r="X113" i="29" s="1"/>
  <c r="AH171" i="36" s="1"/>
  <c r="AZ372" i="36"/>
  <c r="AZ302" i="36"/>
  <c r="V136" i="29"/>
  <c r="X136" i="29" s="1"/>
  <c r="AH279" i="36" s="1"/>
  <c r="AZ134" i="36"/>
  <c r="BR59" i="36"/>
  <c r="V115" i="29"/>
  <c r="X115" i="29" s="1"/>
  <c r="V134" i="29"/>
  <c r="X134" i="29" s="1"/>
  <c r="V127" i="29"/>
  <c r="X127" i="29" s="1"/>
  <c r="G215" i="36" s="1"/>
  <c r="V138" i="29"/>
  <c r="X138" i="29" s="1"/>
  <c r="V125" i="29"/>
  <c r="X125" i="29" s="1"/>
  <c r="G213" i="36" s="1"/>
  <c r="AZ90" i="36"/>
  <c r="BI90" i="36"/>
  <c r="BR124" i="36"/>
  <c r="V129" i="29"/>
  <c r="X129" i="29" s="1"/>
  <c r="AH225" i="36" s="1"/>
  <c r="V123" i="29"/>
  <c r="X123" i="29" s="1"/>
  <c r="V103" i="29"/>
  <c r="X103" i="29" s="1"/>
  <c r="Y119" i="36" s="1"/>
  <c r="V122" i="29"/>
  <c r="V93" i="29"/>
  <c r="X93" i="29" s="1"/>
  <c r="AH84" i="36" s="1"/>
  <c r="V114" i="29"/>
  <c r="X114" i="29" s="1"/>
  <c r="G166" i="36" s="1"/>
  <c r="V112" i="29"/>
  <c r="X112" i="29" s="1"/>
  <c r="AQ176" i="36" s="1"/>
  <c r="V130" i="29"/>
  <c r="X130" i="29" s="1"/>
  <c r="G218" i="36" s="1"/>
  <c r="V124" i="29"/>
  <c r="X124" i="29" s="1"/>
  <c r="Y212" i="36" s="1"/>
  <c r="V104" i="29"/>
  <c r="X104" i="29" s="1"/>
  <c r="AH124" i="36" s="1"/>
  <c r="D10" i="32"/>
  <c r="O53" i="32"/>
  <c r="O47" i="32"/>
  <c r="O51" i="32"/>
  <c r="G29" i="29"/>
  <c r="O56" i="32"/>
  <c r="O57" i="32"/>
  <c r="O58" i="32" s="1"/>
  <c r="O59" i="32" s="1"/>
  <c r="O60" i="32" s="1"/>
  <c r="O61" i="32" s="1"/>
  <c r="O62" i="32" s="1"/>
  <c r="O63" i="32" s="1"/>
  <c r="O64" i="32" s="1"/>
  <c r="O65" i="32" s="1"/>
  <c r="O66" i="32" s="1"/>
  <c r="O67" i="32" s="1"/>
  <c r="O68" i="32" s="1"/>
  <c r="O69" i="32" s="1"/>
  <c r="Y57" i="32"/>
  <c r="Y58" i="32" s="1"/>
  <c r="Y59" i="32" s="1"/>
  <c r="Y60" i="32" s="1"/>
  <c r="Y61" i="32" s="1"/>
  <c r="Y62" i="32" s="1"/>
  <c r="Y63" i="32" s="1"/>
  <c r="Y64" i="32" s="1"/>
  <c r="Y65" i="32" s="1"/>
  <c r="Y66" i="32" s="1"/>
  <c r="Y67" i="32" s="1"/>
  <c r="Y68" i="32" s="1"/>
  <c r="Y69" i="32" s="1"/>
  <c r="BR353" i="36"/>
  <c r="BR245" i="36"/>
  <c r="AZ37" i="36"/>
  <c r="V117" i="29"/>
  <c r="X117" i="29" s="1"/>
  <c r="AH175" i="36" s="1"/>
  <c r="V110" i="29"/>
  <c r="X110" i="29" s="1"/>
  <c r="AQ174" i="36" s="1"/>
  <c r="V101" i="29"/>
  <c r="X101" i="29" s="1"/>
  <c r="V80" i="29"/>
  <c r="X80" i="29" s="1"/>
  <c r="V116" i="29"/>
  <c r="X116" i="29" s="1"/>
  <c r="AH174" i="36" s="1"/>
  <c r="V106" i="29"/>
  <c r="X106" i="29" s="1"/>
  <c r="AH126" i="36" s="1"/>
  <c r="V97" i="29"/>
  <c r="X97" i="29" s="1"/>
  <c r="AH88" i="36" s="1"/>
  <c r="V75" i="29"/>
  <c r="X75" i="29" s="1"/>
  <c r="AQ37" i="36" s="1"/>
  <c r="V105" i="29"/>
  <c r="X105" i="29" s="1"/>
  <c r="AH125" i="36" s="1"/>
  <c r="V94" i="29"/>
  <c r="X94" i="29" s="1"/>
  <c r="P83" i="36" s="1"/>
  <c r="BR132" i="36"/>
  <c r="V92" i="29"/>
  <c r="X92" i="29" s="1"/>
  <c r="AH83" i="36" s="1"/>
  <c r="V85" i="29"/>
  <c r="X85" i="29" s="1"/>
  <c r="G56" i="36" s="1"/>
  <c r="V118" i="29"/>
  <c r="X118" i="29" s="1"/>
  <c r="P170" i="36" s="1"/>
  <c r="V111" i="29"/>
  <c r="X111" i="29" s="1"/>
  <c r="AQ175" i="36" s="1"/>
  <c r="V102" i="29"/>
  <c r="X102" i="29" s="1"/>
  <c r="AH122" i="36" s="1"/>
  <c r="V82" i="29"/>
  <c r="X82" i="29" s="1"/>
  <c r="AQ53" i="36" s="1"/>
  <c r="BI453" i="36"/>
  <c r="AZ453" i="36"/>
  <c r="BI440" i="36"/>
  <c r="AZ440" i="36"/>
  <c r="BI123" i="36"/>
  <c r="AZ123" i="36"/>
  <c r="BR84" i="36"/>
  <c r="AZ244" i="36"/>
  <c r="BI375" i="36"/>
  <c r="BI242" i="36"/>
  <c r="BI188" i="36"/>
  <c r="AZ188" i="36"/>
  <c r="AZ83" i="36"/>
  <c r="BR131" i="36"/>
  <c r="AZ523" i="36"/>
  <c r="BI523" i="36"/>
  <c r="BI303" i="36"/>
  <c r="AZ303" i="36"/>
  <c r="BI133" i="36"/>
  <c r="AZ133" i="36"/>
  <c r="AZ81" i="36"/>
  <c r="BI455" i="36"/>
  <c r="AZ455" i="36"/>
  <c r="P168" i="36"/>
  <c r="BI301" i="36"/>
  <c r="AZ301" i="36"/>
  <c r="AQ288" i="36"/>
  <c r="P268" i="36"/>
  <c r="AH173" i="36"/>
  <c r="Y167" i="36"/>
  <c r="AQ179" i="36"/>
  <c r="V89" i="29"/>
  <c r="X89" i="29" s="1"/>
  <c r="P78" i="36" s="1"/>
  <c r="V76" i="29"/>
  <c r="X76" i="29" s="1"/>
  <c r="Y38" i="36" s="1"/>
  <c r="BR297" i="36"/>
  <c r="P215" i="29"/>
  <c r="BR411" i="36" s="1"/>
  <c r="AZ368" i="36"/>
  <c r="X154" i="29"/>
  <c r="AQ423" i="36" s="1"/>
  <c r="V91" i="29"/>
  <c r="X91" i="29" s="1"/>
  <c r="AH82" i="36" s="1"/>
  <c r="V84" i="29"/>
  <c r="X84" i="29" s="1"/>
  <c r="AH55" i="36" s="1"/>
  <c r="AQ424" i="36"/>
  <c r="AZ126" i="36"/>
  <c r="H166" i="29"/>
  <c r="AZ299" i="36" s="1"/>
  <c r="V96" i="29"/>
  <c r="X96" i="29" s="1"/>
  <c r="V83" i="29"/>
  <c r="X83" i="29" s="1"/>
  <c r="P54" i="36" s="1"/>
  <c r="V74" i="29"/>
  <c r="AZ377" i="36"/>
  <c r="Y471" i="36"/>
  <c r="V95" i="29"/>
  <c r="X95" i="29" s="1"/>
  <c r="G84" i="36" s="1"/>
  <c r="V90" i="29"/>
  <c r="X90" i="29" s="1"/>
  <c r="AH410" i="36"/>
  <c r="AZ445" i="36"/>
  <c r="D108" i="41"/>
  <c r="F108" i="41" s="1"/>
  <c r="D87" i="41"/>
  <c r="F87" i="41" s="1"/>
  <c r="D96" i="41"/>
  <c r="F96" i="41" s="1"/>
  <c r="D111" i="41"/>
  <c r="F111" i="41" s="1"/>
  <c r="C29" i="36"/>
  <c r="F29" i="36" s="1"/>
  <c r="P399" i="36"/>
  <c r="AH412" i="36"/>
  <c r="Y398" i="36"/>
  <c r="Y272" i="36"/>
  <c r="P272" i="36"/>
  <c r="G272" i="36"/>
  <c r="AQ292" i="36"/>
  <c r="AH282" i="36"/>
  <c r="AH222" i="36"/>
  <c r="G214" i="36"/>
  <c r="G163" i="36"/>
  <c r="P119" i="36"/>
  <c r="G119" i="36"/>
  <c r="AQ127" i="36"/>
  <c r="AH123" i="36"/>
  <c r="Y213" i="36"/>
  <c r="P53" i="36"/>
  <c r="AQ504" i="36"/>
  <c r="P401" i="36"/>
  <c r="G269" i="36"/>
  <c r="Y122" i="36"/>
  <c r="AQ52" i="36"/>
  <c r="AH52" i="36"/>
  <c r="Y52" i="36"/>
  <c r="P52" i="36"/>
  <c r="G52" i="36"/>
  <c r="Y476" i="36"/>
  <c r="AQ508" i="36"/>
  <c r="G476" i="36"/>
  <c r="AH492" i="36"/>
  <c r="P476" i="36"/>
  <c r="AQ357" i="36"/>
  <c r="G170" i="36"/>
  <c r="Y170" i="36"/>
  <c r="G86" i="36"/>
  <c r="AQ90" i="36"/>
  <c r="P165" i="36"/>
  <c r="G165" i="36"/>
  <c r="Y165" i="36"/>
  <c r="AQ177" i="36"/>
  <c r="G81" i="36"/>
  <c r="AQ85" i="36"/>
  <c r="Y81" i="36"/>
  <c r="P330" i="36"/>
  <c r="X144" i="29"/>
  <c r="X164" i="29"/>
  <c r="X122" i="29"/>
  <c r="G336" i="36"/>
  <c r="P167" i="36"/>
  <c r="AH490" i="36"/>
  <c r="G396" i="36"/>
  <c r="G167" i="36"/>
  <c r="P336" i="36"/>
  <c r="P82" i="36"/>
  <c r="Y336" i="36"/>
  <c r="Y82" i="36"/>
  <c r="AH348" i="36"/>
  <c r="BI448" i="36"/>
  <c r="H109" i="29"/>
  <c r="BI56" i="36"/>
  <c r="BR166" i="36"/>
  <c r="BR160" i="36"/>
  <c r="BR38" i="36"/>
  <c r="BR352" i="36"/>
  <c r="BI524" i="36"/>
  <c r="BI306" i="36"/>
  <c r="AZ306" i="36"/>
  <c r="AZ305" i="36"/>
  <c r="AZ235" i="36"/>
  <c r="AZ180" i="36"/>
  <c r="BI180" i="36"/>
  <c r="BI174" i="36"/>
  <c r="AZ174" i="36"/>
  <c r="AZ130" i="36"/>
  <c r="AZ124" i="36"/>
  <c r="AZ538" i="36"/>
  <c r="BI300" i="36"/>
  <c r="AZ300" i="36"/>
  <c r="BI189" i="36"/>
  <c r="BI86" i="36"/>
  <c r="BR354" i="36"/>
  <c r="BI178" i="36"/>
  <c r="BI536" i="36"/>
  <c r="AZ536" i="36"/>
  <c r="AZ443" i="36"/>
  <c r="BI443" i="36"/>
  <c r="BI57" i="36"/>
  <c r="BR201" i="36"/>
  <c r="BR172" i="36"/>
  <c r="BR161" i="36"/>
  <c r="BR419" i="36"/>
  <c r="AZ127" i="36"/>
  <c r="BI527" i="36"/>
  <c r="AZ527" i="36"/>
  <c r="AZ87" i="36"/>
  <c r="BR350" i="36"/>
  <c r="BR167" i="36"/>
  <c r="BR289" i="36"/>
  <c r="BI380" i="36"/>
  <c r="BI537" i="36"/>
  <c r="BI370" i="36"/>
  <c r="AZ370" i="36"/>
  <c r="BI82" i="36"/>
  <c r="AZ82" i="36"/>
  <c r="AZ537" i="36"/>
  <c r="BI232" i="36"/>
  <c r="AZ232" i="36"/>
  <c r="BR242" i="36"/>
  <c r="BR198" i="36"/>
  <c r="BR416" i="36"/>
  <c r="BR53" i="36"/>
  <c r="BR294" i="36"/>
  <c r="BI530" i="36"/>
  <c r="AZ530" i="36"/>
  <c r="BR196" i="36"/>
  <c r="BR164" i="36"/>
  <c r="BR344" i="36"/>
  <c r="BI444" i="36"/>
  <c r="AZ444" i="36"/>
  <c r="BR343" i="36"/>
  <c r="AZ236" i="36"/>
  <c r="AZ380" i="36"/>
  <c r="L114" i="41"/>
  <c r="L104" i="41"/>
  <c r="F52" i="28"/>
  <c r="H51" i="28"/>
  <c r="O46" i="32"/>
  <c r="O49" i="32"/>
  <c r="G51" i="28"/>
  <c r="L89" i="41"/>
  <c r="AQ76" i="28"/>
  <c r="AQ70" i="28"/>
  <c r="AQ71" i="28"/>
  <c r="AQ72" i="28"/>
  <c r="AQ75" i="28"/>
  <c r="AQ73" i="28"/>
  <c r="O23" i="32"/>
  <c r="O25" i="32"/>
  <c r="Y25" i="32"/>
  <c r="AI25" i="32"/>
  <c r="O27" i="32"/>
  <c r="O30" i="32"/>
  <c r="O31" i="32" s="1"/>
  <c r="O32" i="32" s="1"/>
  <c r="O33" i="32" s="1"/>
  <c r="O34" i="32" s="1"/>
  <c r="O35" i="32" s="1"/>
  <c r="O36" i="32" s="1"/>
  <c r="O37" i="32" s="1"/>
  <c r="O38" i="32" s="1"/>
  <c r="O39" i="32" s="1"/>
  <c r="O40" i="32" s="1"/>
  <c r="O41" i="32" s="1"/>
  <c r="O42" i="32" s="1"/>
  <c r="O55" i="32"/>
  <c r="AI51" i="32"/>
  <c r="Y29" i="32"/>
  <c r="AI29" i="32"/>
  <c r="Y50" i="32"/>
  <c r="O52" i="32"/>
  <c r="Y53" i="32"/>
  <c r="Y47" i="32"/>
  <c r="O48" i="32"/>
  <c r="AI53" i="32"/>
  <c r="Y28" i="32"/>
  <c r="Y30" i="32"/>
  <c r="Y31" i="32" s="1"/>
  <c r="Y32" i="32" s="1"/>
  <c r="Y33" i="32" s="1"/>
  <c r="Y34" i="32" s="1"/>
  <c r="Y35" i="32" s="1"/>
  <c r="Y36" i="32" s="1"/>
  <c r="Y37" i="32" s="1"/>
  <c r="Y38" i="32" s="1"/>
  <c r="Y39" i="32" s="1"/>
  <c r="Y40" i="32" s="1"/>
  <c r="Y41" i="32" s="1"/>
  <c r="Y42" i="32" s="1"/>
  <c r="O54" i="32"/>
  <c r="Y55" i="32"/>
  <c r="AI54" i="32"/>
  <c r="Y46" i="32"/>
  <c r="Y52" i="32"/>
  <c r="K103" i="28"/>
  <c r="F17" i="28"/>
  <c r="M17" i="28"/>
  <c r="C4" i="29"/>
  <c r="C41" i="47" s="1"/>
  <c r="M15" i="28"/>
  <c r="C7" i="45" s="1"/>
  <c r="Y4" i="31"/>
  <c r="K83" i="28"/>
  <c r="F99" i="28"/>
  <c r="G99" i="28" s="1"/>
  <c r="E50" i="46" s="1"/>
  <c r="F85" i="28"/>
  <c r="G85" i="28" s="1"/>
  <c r="O75" i="32" s="1"/>
  <c r="F105" i="28"/>
  <c r="G105" i="28" s="1"/>
  <c r="E56" i="46" s="1"/>
  <c r="F89" i="28"/>
  <c r="F91" i="28"/>
  <c r="F92" i="28"/>
  <c r="F90" i="28"/>
  <c r="F87" i="28"/>
  <c r="BW29" i="36"/>
  <c r="BZ29" i="36" s="1"/>
  <c r="BN29" i="36"/>
  <c r="BQ29" i="36" s="1"/>
  <c r="BE29" i="36"/>
  <c r="BH29" i="36" s="1"/>
  <c r="U29" i="36"/>
  <c r="F94" i="28"/>
  <c r="F84" i="28"/>
  <c r="U12" i="36"/>
  <c r="F93" i="28"/>
  <c r="CF27" i="36"/>
  <c r="CI27" i="36" s="1"/>
  <c r="AM27" i="36"/>
  <c r="AD27" i="36"/>
  <c r="F95" i="28"/>
  <c r="F88" i="28"/>
  <c r="F96" i="28"/>
  <c r="F106" i="28"/>
  <c r="F104" i="28"/>
  <c r="F102" i="28"/>
  <c r="F100" i="28"/>
  <c r="F98" i="28"/>
  <c r="Q97" i="7"/>
  <c r="R97" i="7" s="1"/>
  <c r="U97" i="7"/>
  <c r="V97" i="7" s="1"/>
  <c r="AH4" i="45"/>
  <c r="BF4" i="45" s="1"/>
  <c r="U93" i="7"/>
  <c r="V93" i="7" s="1"/>
  <c r="Q93" i="7"/>
  <c r="R93" i="7" s="1"/>
  <c r="S93" i="7" s="1"/>
  <c r="I10" i="32"/>
  <c r="I76" i="45"/>
  <c r="M76" i="45" s="1"/>
  <c r="AE23" i="6"/>
  <c r="I89" i="6" s="1"/>
  <c r="M8" i="23" s="1"/>
  <c r="AH23" i="6"/>
  <c r="J89" i="6" s="1"/>
  <c r="O8" i="23" s="1"/>
  <c r="AK8" i="24" s="1"/>
  <c r="L12" i="9" s="1"/>
  <c r="AM23" i="6"/>
  <c r="N8" i="24" s="1"/>
  <c r="V23" i="6"/>
  <c r="X8" i="24" s="1"/>
  <c r="AI23" i="6"/>
  <c r="AQ23" i="6"/>
  <c r="O8" i="24" s="1"/>
  <c r="AJ23" i="6"/>
  <c r="AT23" i="6"/>
  <c r="AG8" i="24" s="1"/>
  <c r="L23" i="6"/>
  <c r="F8" i="24"/>
  <c r="AR23" i="6"/>
  <c r="P8" i="24" s="1"/>
  <c r="AK23" i="6"/>
  <c r="AS23" i="6"/>
  <c r="Q8" i="24" s="1"/>
  <c r="AL23" i="6"/>
  <c r="M8" i="24" s="1"/>
  <c r="AU23" i="6"/>
  <c r="AH8" i="24" s="1"/>
  <c r="AH29" i="6"/>
  <c r="J95" i="6" s="1"/>
  <c r="O14" i="23" s="1"/>
  <c r="AK14" i="24" s="1"/>
  <c r="L18" i="9" s="1"/>
  <c r="AE29" i="6"/>
  <c r="I95" i="6" s="1"/>
  <c r="M14" i="23" s="1"/>
  <c r="AJ14" i="24" s="1"/>
  <c r="K18" i="9" s="1"/>
  <c r="AL29" i="6"/>
  <c r="M14" i="24" s="1"/>
  <c r="AR29" i="6"/>
  <c r="P14" i="24" s="1"/>
  <c r="AI29" i="6"/>
  <c r="AK29" i="6"/>
  <c r="F14" i="24"/>
  <c r="AS29" i="6"/>
  <c r="Q14" i="24" s="1"/>
  <c r="AT29" i="6"/>
  <c r="AG14" i="24" s="1"/>
  <c r="V29" i="6"/>
  <c r="X14" i="24" s="1"/>
  <c r="AM29" i="6"/>
  <c r="N14" i="24" s="1"/>
  <c r="AJ29" i="6"/>
  <c r="AU29" i="6"/>
  <c r="AH14" i="24" s="1"/>
  <c r="AQ29" i="6"/>
  <c r="O14" i="24" s="1"/>
  <c r="I57" i="45"/>
  <c r="M57" i="45" s="1"/>
  <c r="I51" i="45"/>
  <c r="M51" i="45" s="1"/>
  <c r="J48" i="6"/>
  <c r="C114" i="6" s="1"/>
  <c r="AH48" i="6"/>
  <c r="J114" i="6" s="1"/>
  <c r="O33" i="23" s="1"/>
  <c r="AG33" i="26" s="1"/>
  <c r="F33" i="24"/>
  <c r="AM48" i="6"/>
  <c r="N33" i="24" s="1"/>
  <c r="V48" i="6"/>
  <c r="X33" i="24" s="1"/>
  <c r="AI48" i="6"/>
  <c r="AQ48" i="6"/>
  <c r="O33" i="24" s="1"/>
  <c r="AJ48" i="6"/>
  <c r="AT48" i="6"/>
  <c r="AG33" i="24" s="1"/>
  <c r="L48" i="6"/>
  <c r="N48" i="6" s="1"/>
  <c r="AU48" i="6"/>
  <c r="AH33" i="24" s="1"/>
  <c r="AL48" i="6"/>
  <c r="M33" i="24" s="1"/>
  <c r="AR48" i="6"/>
  <c r="P33" i="24" s="1"/>
  <c r="AS48" i="6"/>
  <c r="Q33" i="24" s="1"/>
  <c r="AK48" i="6"/>
  <c r="J26" i="6"/>
  <c r="C92" i="6" s="1"/>
  <c r="AH26" i="6"/>
  <c r="J92" i="6" s="1"/>
  <c r="O11" i="23" s="1"/>
  <c r="AK11" i="24" s="1"/>
  <c r="L15" i="9" s="1"/>
  <c r="AE26" i="6"/>
  <c r="I92" i="6" s="1"/>
  <c r="M11" i="23" s="1"/>
  <c r="N11" i="23" s="1"/>
  <c r="AO11" i="26" s="1"/>
  <c r="F11" i="24"/>
  <c r="AL26" i="6"/>
  <c r="M11" i="24" s="1"/>
  <c r="AI26" i="6"/>
  <c r="AT26" i="6"/>
  <c r="AG11" i="24" s="1"/>
  <c r="V26" i="6"/>
  <c r="X11" i="24" s="1"/>
  <c r="AJ26" i="6"/>
  <c r="AM26" i="6"/>
  <c r="N11" i="24" s="1"/>
  <c r="AU26" i="6"/>
  <c r="AH11" i="24" s="1"/>
  <c r="AQ26" i="6"/>
  <c r="O11" i="24" s="1"/>
  <c r="AK26" i="6"/>
  <c r="L26" i="6"/>
  <c r="N26" i="6" s="1"/>
  <c r="AR26" i="6"/>
  <c r="P11" i="24" s="1"/>
  <c r="AS26" i="6"/>
  <c r="Q11" i="24" s="1"/>
  <c r="I59" i="45"/>
  <c r="M59" i="45" s="1"/>
  <c r="AE48" i="6"/>
  <c r="I114" i="6" s="1"/>
  <c r="M33" i="23" s="1"/>
  <c r="I54" i="45"/>
  <c r="M54" i="45" s="1"/>
  <c r="AH33" i="6"/>
  <c r="J99" i="6" s="1"/>
  <c r="O18" i="23" s="1"/>
  <c r="AK18" i="24" s="1"/>
  <c r="L22" i="9" s="1"/>
  <c r="AR33" i="6"/>
  <c r="P18" i="24" s="1"/>
  <c r="AK33" i="6"/>
  <c r="AU33" i="6"/>
  <c r="AH18" i="24" s="1"/>
  <c r="F18" i="24"/>
  <c r="AL33" i="6"/>
  <c r="M18" i="24" s="1"/>
  <c r="AS33" i="6"/>
  <c r="Q18" i="24" s="1"/>
  <c r="AM33" i="6"/>
  <c r="N18" i="24" s="1"/>
  <c r="V33" i="6"/>
  <c r="X18" i="24" s="1"/>
  <c r="AI33" i="6"/>
  <c r="AQ33" i="6"/>
  <c r="O18" i="24" s="1"/>
  <c r="AJ33" i="6"/>
  <c r="AT33" i="6"/>
  <c r="AG18" i="24" s="1"/>
  <c r="I16" i="32"/>
  <c r="J21" i="6"/>
  <c r="C87" i="6" s="1"/>
  <c r="AE21" i="6"/>
  <c r="I87" i="6" s="1"/>
  <c r="M6" i="23" s="1"/>
  <c r="N6" i="23" s="1"/>
  <c r="AO6" i="26" s="1"/>
  <c r="AH21" i="6"/>
  <c r="J87" i="6" s="1"/>
  <c r="O6" i="23" s="1"/>
  <c r="AK6" i="24" s="1"/>
  <c r="L10" i="9" s="1"/>
  <c r="AM21" i="6"/>
  <c r="N6" i="24" s="1"/>
  <c r="V21" i="6"/>
  <c r="X6" i="24" s="1"/>
  <c r="AU21" i="6"/>
  <c r="AH6" i="24" s="1"/>
  <c r="AQ21" i="6"/>
  <c r="O6" i="24" s="1"/>
  <c r="AI21" i="6"/>
  <c r="L21" i="6"/>
  <c r="N21" i="6" s="1"/>
  <c r="AR21" i="6"/>
  <c r="P6" i="24" s="1"/>
  <c r="AJ21" i="6"/>
  <c r="AS21" i="6"/>
  <c r="Q6" i="24" s="1"/>
  <c r="AT21" i="6"/>
  <c r="AG6" i="24" s="1"/>
  <c r="F6" i="24"/>
  <c r="AK21" i="6"/>
  <c r="AL21" i="6"/>
  <c r="M6" i="24" s="1"/>
  <c r="J34" i="6"/>
  <c r="C100" i="6" s="1"/>
  <c r="AH34" i="6"/>
  <c r="J100" i="6" s="1"/>
  <c r="O19" i="23" s="1"/>
  <c r="AK19" i="24" s="1"/>
  <c r="L23" i="9" s="1"/>
  <c r="F19" i="24"/>
  <c r="AM34" i="6"/>
  <c r="N19" i="24" s="1"/>
  <c r="V34" i="6"/>
  <c r="X19" i="24" s="1"/>
  <c r="AI34" i="6"/>
  <c r="AQ34" i="6"/>
  <c r="O19" i="24" s="1"/>
  <c r="AJ34" i="6"/>
  <c r="AT34" i="6"/>
  <c r="AG19" i="24" s="1"/>
  <c r="AR34" i="6"/>
  <c r="P19" i="24" s="1"/>
  <c r="AK34" i="6"/>
  <c r="AU34" i="6"/>
  <c r="AH19" i="24" s="1"/>
  <c r="AS34" i="6"/>
  <c r="Q19" i="24" s="1"/>
  <c r="AL34" i="6"/>
  <c r="M19" i="24" s="1"/>
  <c r="I61" i="45"/>
  <c r="M61" i="45" s="1"/>
  <c r="I7" i="32"/>
  <c r="I11" i="32"/>
  <c r="J19" i="6"/>
  <c r="C85" i="6" s="1"/>
  <c r="AH19" i="6"/>
  <c r="J85" i="6" s="1"/>
  <c r="O4" i="23" s="1"/>
  <c r="AK4" i="24" s="1"/>
  <c r="L8" i="9" s="1"/>
  <c r="AS19" i="6"/>
  <c r="Q4" i="24" s="1"/>
  <c r="AK19" i="6"/>
  <c r="AM19" i="6"/>
  <c r="N4" i="24" s="1"/>
  <c r="V19" i="6"/>
  <c r="X4" i="24" s="1"/>
  <c r="AT19" i="6"/>
  <c r="AG4" i="24" s="1"/>
  <c r="AQ19" i="6"/>
  <c r="O4" i="24" s="1"/>
  <c r="L19" i="6"/>
  <c r="N19" i="6" s="1"/>
  <c r="AI19" i="6"/>
  <c r="AU19" i="6"/>
  <c r="AH4" i="24" s="1"/>
  <c r="F4" i="24"/>
  <c r="AR19" i="6"/>
  <c r="P4" i="24" s="1"/>
  <c r="AJ19" i="6"/>
  <c r="AL19" i="6"/>
  <c r="M4" i="24" s="1"/>
  <c r="AH24" i="6"/>
  <c r="J90" i="6" s="1"/>
  <c r="O9" i="23" s="1"/>
  <c r="AK9" i="24" s="1"/>
  <c r="L13" i="9" s="1"/>
  <c r="J24" i="6"/>
  <c r="C90" i="6" s="1"/>
  <c r="AE24" i="6"/>
  <c r="I90" i="6" s="1"/>
  <c r="M9" i="23" s="1"/>
  <c r="AJ9" i="24" s="1"/>
  <c r="K13" i="9" s="1"/>
  <c r="AQ24" i="6"/>
  <c r="O9" i="24" s="1"/>
  <c r="AI24" i="6"/>
  <c r="AR24" i="6"/>
  <c r="P9" i="24" s="1"/>
  <c r="AJ24" i="6"/>
  <c r="AL24" i="6"/>
  <c r="M9" i="24" s="1"/>
  <c r="L24" i="6"/>
  <c r="N24" i="6" s="1"/>
  <c r="AM24" i="6"/>
  <c r="N9" i="24" s="1"/>
  <c r="F9" i="24"/>
  <c r="AT24" i="6"/>
  <c r="AG9" i="24" s="1"/>
  <c r="V24" i="6"/>
  <c r="X9" i="24" s="1"/>
  <c r="AK24" i="6"/>
  <c r="AS24" i="6"/>
  <c r="Q9" i="24" s="1"/>
  <c r="AU24" i="6"/>
  <c r="AH9" i="24" s="1"/>
  <c r="AH30" i="6"/>
  <c r="J96" i="6" s="1"/>
  <c r="O15" i="23" s="1"/>
  <c r="AK15" i="24" s="1"/>
  <c r="L19" i="9" s="1"/>
  <c r="V30" i="6"/>
  <c r="X15" i="24" s="1"/>
  <c r="AI30" i="6"/>
  <c r="AQ30" i="6"/>
  <c r="O15" i="24" s="1"/>
  <c r="AJ30" i="6"/>
  <c r="AT30" i="6"/>
  <c r="AG15" i="24" s="1"/>
  <c r="AR30" i="6"/>
  <c r="P15" i="24" s="1"/>
  <c r="AK30" i="6"/>
  <c r="AU30" i="6"/>
  <c r="AH15" i="24" s="1"/>
  <c r="F15" i="24"/>
  <c r="AL30" i="6"/>
  <c r="M15" i="24" s="1"/>
  <c r="AS30" i="6"/>
  <c r="Q15" i="24" s="1"/>
  <c r="AM30" i="6"/>
  <c r="N15" i="24" s="1"/>
  <c r="J32" i="6"/>
  <c r="C98" i="6" s="1"/>
  <c r="AH32" i="6"/>
  <c r="J98" i="6" s="1"/>
  <c r="O17" i="23" s="1"/>
  <c r="AK17" i="24" s="1"/>
  <c r="L21" i="9" s="1"/>
  <c r="AE32" i="6"/>
  <c r="I98" i="6" s="1"/>
  <c r="M17" i="23" s="1"/>
  <c r="AJ17" i="24" s="1"/>
  <c r="K21" i="9" s="1"/>
  <c r="AM32" i="6"/>
  <c r="N17" i="24" s="1"/>
  <c r="V32" i="6"/>
  <c r="X17" i="24" s="1"/>
  <c r="AI32" i="6"/>
  <c r="AQ32" i="6"/>
  <c r="O17" i="24" s="1"/>
  <c r="AJ32" i="6"/>
  <c r="AT32" i="6"/>
  <c r="AG17" i="24" s="1"/>
  <c r="AR32" i="6"/>
  <c r="P17" i="24" s="1"/>
  <c r="AK32" i="6"/>
  <c r="AU32" i="6"/>
  <c r="AH17" i="24" s="1"/>
  <c r="F17" i="24"/>
  <c r="AL32" i="6"/>
  <c r="M17" i="24" s="1"/>
  <c r="AS32" i="6"/>
  <c r="Q17" i="24" s="1"/>
  <c r="AH45" i="6"/>
  <c r="J111" i="6" s="1"/>
  <c r="O30" i="23" s="1"/>
  <c r="AK30" i="24" s="1"/>
  <c r="L34" i="9" s="1"/>
  <c r="AQ45" i="6"/>
  <c r="O30" i="24" s="1"/>
  <c r="AJ45" i="6"/>
  <c r="AT45" i="6"/>
  <c r="AG30" i="24" s="1"/>
  <c r="L45" i="6"/>
  <c r="N45" i="6" s="1"/>
  <c r="AR45" i="6"/>
  <c r="P30" i="24" s="1"/>
  <c r="AK45" i="6"/>
  <c r="AU45" i="6"/>
  <c r="AH30" i="24" s="1"/>
  <c r="F30" i="24"/>
  <c r="AL45" i="6"/>
  <c r="M30" i="24" s="1"/>
  <c r="V45" i="6"/>
  <c r="X30" i="24" s="1"/>
  <c r="AM45" i="6"/>
  <c r="N30" i="24" s="1"/>
  <c r="AS45" i="6"/>
  <c r="Q30" i="24" s="1"/>
  <c r="AI45" i="6"/>
  <c r="I52" i="45"/>
  <c r="M52" i="45" s="1"/>
  <c r="AH22" i="6"/>
  <c r="J88" i="6" s="1"/>
  <c r="O7" i="23" s="1"/>
  <c r="AE22" i="6"/>
  <c r="I88" i="6" s="1"/>
  <c r="M7" i="23" s="1"/>
  <c r="AJ7" i="24" s="1"/>
  <c r="K11" i="9" s="1"/>
  <c r="F7" i="24"/>
  <c r="AL22" i="6"/>
  <c r="M7" i="24" s="1"/>
  <c r="AM22" i="6"/>
  <c r="N7" i="24" s="1"/>
  <c r="AQ22" i="6"/>
  <c r="O7" i="24" s="1"/>
  <c r="AJ22" i="6"/>
  <c r="AT22" i="6"/>
  <c r="AG7" i="24" s="1"/>
  <c r="L22" i="6"/>
  <c r="N22" i="6" s="1"/>
  <c r="AR22" i="6"/>
  <c r="P7" i="24" s="1"/>
  <c r="V22" i="6"/>
  <c r="X7" i="24" s="1"/>
  <c r="AS22" i="6"/>
  <c r="Q7" i="24" s="1"/>
  <c r="AU22" i="6"/>
  <c r="AH7" i="24" s="1"/>
  <c r="AI22" i="6"/>
  <c r="AK22" i="6"/>
  <c r="AH28" i="6"/>
  <c r="J94" i="6" s="1"/>
  <c r="O13" i="23" s="1"/>
  <c r="AK13" i="24" s="1"/>
  <c r="L17" i="9" s="1"/>
  <c r="AE28" i="6"/>
  <c r="I94" i="6" s="1"/>
  <c r="M13" i="23" s="1"/>
  <c r="AF13" i="26" s="1"/>
  <c r="AM28" i="6"/>
  <c r="N13" i="24" s="1"/>
  <c r="V28" i="6"/>
  <c r="X13" i="24" s="1"/>
  <c r="AI28" i="6"/>
  <c r="AQ28" i="6"/>
  <c r="O13" i="24" s="1"/>
  <c r="AK28" i="6"/>
  <c r="AU28" i="6"/>
  <c r="AH13" i="24" s="1"/>
  <c r="L28" i="6"/>
  <c r="N28" i="6" s="1"/>
  <c r="AR28" i="6"/>
  <c r="P13" i="24" s="1"/>
  <c r="AS28" i="6"/>
  <c r="Q13" i="24" s="1"/>
  <c r="AL28" i="6"/>
  <c r="M13" i="24" s="1"/>
  <c r="AT28" i="6"/>
  <c r="AG13" i="24" s="1"/>
  <c r="F13" i="24"/>
  <c r="AJ28" i="6"/>
  <c r="J14" i="2"/>
  <c r="I14" i="2"/>
  <c r="G91" i="7"/>
  <c r="L91" i="7" s="1"/>
  <c r="H71" i="7"/>
  <c r="W71" i="7" s="1"/>
  <c r="H81" i="7"/>
  <c r="H57" i="7"/>
  <c r="K14" i="2"/>
  <c r="H58" i="7"/>
  <c r="H56" i="7"/>
  <c r="J25" i="6"/>
  <c r="C91" i="6" s="1"/>
  <c r="AH25" i="6"/>
  <c r="J91" i="6" s="1"/>
  <c r="O10" i="23" s="1"/>
  <c r="AG10" i="26" s="1"/>
  <c r="AE25" i="6"/>
  <c r="I91" i="6" s="1"/>
  <c r="M10" i="23" s="1"/>
  <c r="AF10" i="26" s="1"/>
  <c r="AQ25" i="6"/>
  <c r="O10" i="24" s="1"/>
  <c r="AJ25" i="6"/>
  <c r="AT25" i="6"/>
  <c r="AG10" i="24" s="1"/>
  <c r="V25" i="6"/>
  <c r="X10" i="24" s="1"/>
  <c r="AK25" i="6"/>
  <c r="AL25" i="6"/>
  <c r="M10" i="24" s="1"/>
  <c r="F10" i="24"/>
  <c r="AM25" i="6"/>
  <c r="N10" i="24" s="1"/>
  <c r="L25" i="6"/>
  <c r="N25" i="6" s="1"/>
  <c r="AR25" i="6"/>
  <c r="P10" i="24" s="1"/>
  <c r="AI25" i="6"/>
  <c r="AS25" i="6"/>
  <c r="Q10" i="24" s="1"/>
  <c r="AU25" i="6"/>
  <c r="AH10" i="24" s="1"/>
  <c r="H77" i="1"/>
  <c r="I18" i="32"/>
  <c r="J20" i="6"/>
  <c r="C86" i="6" s="1"/>
  <c r="AE20" i="6"/>
  <c r="I86" i="6" s="1"/>
  <c r="M5" i="23" s="1"/>
  <c r="AH20" i="6"/>
  <c r="J86" i="6" s="1"/>
  <c r="O5" i="23" s="1"/>
  <c r="P5" i="23" s="1"/>
  <c r="AP5" i="26" s="1"/>
  <c r="AQ20" i="6"/>
  <c r="O5" i="24" s="1"/>
  <c r="L20" i="6"/>
  <c r="N20" i="6" s="1"/>
  <c r="AK20" i="6"/>
  <c r="AU20" i="6"/>
  <c r="AH5" i="24" s="1"/>
  <c r="AR20" i="6"/>
  <c r="P5" i="24" s="1"/>
  <c r="F5" i="24"/>
  <c r="AL20" i="6"/>
  <c r="M5" i="24" s="1"/>
  <c r="AS20" i="6"/>
  <c r="Q5" i="24" s="1"/>
  <c r="V20" i="6"/>
  <c r="X5" i="24" s="1"/>
  <c r="AI20" i="6"/>
  <c r="AM20" i="6"/>
  <c r="N5" i="24" s="1"/>
  <c r="AJ20" i="6"/>
  <c r="AT20" i="6"/>
  <c r="AG5" i="24" s="1"/>
  <c r="AH31" i="6"/>
  <c r="J97" i="6" s="1"/>
  <c r="O16" i="23" s="1"/>
  <c r="AR31" i="6"/>
  <c r="P16" i="24" s="1"/>
  <c r="AJ31" i="6"/>
  <c r="F16" i="24"/>
  <c r="AL31" i="6"/>
  <c r="M16" i="24" s="1"/>
  <c r="AS31" i="6"/>
  <c r="Q16" i="24" s="1"/>
  <c r="AK31" i="6"/>
  <c r="AT31" i="6"/>
  <c r="AG16" i="24" s="1"/>
  <c r="AM31" i="6"/>
  <c r="N16" i="24" s="1"/>
  <c r="V31" i="6"/>
  <c r="X16" i="24" s="1"/>
  <c r="AU31" i="6"/>
  <c r="AH16" i="24" s="1"/>
  <c r="AQ31" i="6"/>
  <c r="O16" i="24" s="1"/>
  <c r="AI31" i="6"/>
  <c r="AH46" i="6"/>
  <c r="J112" i="6" s="1"/>
  <c r="O31" i="23" s="1"/>
  <c r="P31" i="23" s="1"/>
  <c r="L46" i="6"/>
  <c r="N46" i="6" s="1"/>
  <c r="AL46" i="6"/>
  <c r="M31" i="24" s="1"/>
  <c r="AS46" i="6"/>
  <c r="Q31" i="24" s="1"/>
  <c r="F31" i="24"/>
  <c r="AM46" i="6"/>
  <c r="N31" i="24" s="1"/>
  <c r="V46" i="6"/>
  <c r="X31" i="24" s="1"/>
  <c r="AI46" i="6"/>
  <c r="AJ46" i="6"/>
  <c r="AK46" i="6"/>
  <c r="AQ46" i="6"/>
  <c r="O31" i="24" s="1"/>
  <c r="AR46" i="6"/>
  <c r="P31" i="24" s="1"/>
  <c r="AT46" i="6"/>
  <c r="AG31" i="24" s="1"/>
  <c r="AU46" i="6"/>
  <c r="AH31" i="24" s="1"/>
  <c r="I56" i="45"/>
  <c r="M56" i="45" s="1"/>
  <c r="I48" i="45"/>
  <c r="M48" i="45" s="1"/>
  <c r="Y49" i="32"/>
  <c r="AI48" i="32"/>
  <c r="AI55" i="32"/>
  <c r="T121" i="39"/>
  <c r="AI49" i="32"/>
  <c r="AI52" i="32"/>
  <c r="T112" i="39"/>
  <c r="L112" i="39"/>
  <c r="P112" i="39" s="1"/>
  <c r="Q112" i="39" s="1"/>
  <c r="Y54" i="32"/>
  <c r="T127" i="39"/>
  <c r="K127" i="39"/>
  <c r="L127" i="39"/>
  <c r="AI46" i="32"/>
  <c r="K120" i="39"/>
  <c r="L120" i="39"/>
  <c r="M120" i="39"/>
  <c r="N120" i="39"/>
  <c r="L125" i="39"/>
  <c r="P125" i="39" s="1"/>
  <c r="Q125" i="39" s="1"/>
  <c r="M125" i="39"/>
  <c r="AI50" i="32"/>
  <c r="P123" i="39"/>
  <c r="Q123" i="39" s="1"/>
  <c r="Y48" i="32"/>
  <c r="T102" i="39"/>
  <c r="L102" i="39"/>
  <c r="P102" i="39" s="1"/>
  <c r="Q102" i="39" s="1"/>
  <c r="M121" i="39"/>
  <c r="N121" i="39"/>
  <c r="O121" i="39"/>
  <c r="N129" i="39"/>
  <c r="M129" i="39"/>
  <c r="M124" i="39"/>
  <c r="L124" i="39"/>
  <c r="N128" i="39"/>
  <c r="P128" i="39" s="1"/>
  <c r="Q128" i="39" s="1"/>
  <c r="M14" i="9"/>
  <c r="AG25" i="35"/>
  <c r="AG26" i="35"/>
  <c r="M12" i="9"/>
  <c r="AG24" i="35"/>
  <c r="AT4" i="35"/>
  <c r="AT6" i="35"/>
  <c r="AT9" i="35"/>
  <c r="AG17" i="35"/>
  <c r="J45" i="6"/>
  <c r="C111" i="6" s="1"/>
  <c r="R68" i="6"/>
  <c r="T68" i="6" s="1"/>
  <c r="J33" i="6"/>
  <c r="C99" i="6" s="1"/>
  <c r="Q91" i="7"/>
  <c r="R81" i="6"/>
  <c r="T81" i="6" s="1"/>
  <c r="C96" i="6"/>
  <c r="R56" i="6"/>
  <c r="V8" i="23"/>
  <c r="AC8" i="23" s="1"/>
  <c r="AM8" i="23" s="1"/>
  <c r="AR8" i="26" s="1"/>
  <c r="G79" i="1"/>
  <c r="F80" i="1"/>
  <c r="G80" i="1" s="1"/>
  <c r="R75" i="6"/>
  <c r="T75" i="6" s="1"/>
  <c r="R58" i="6"/>
  <c r="R54" i="6"/>
  <c r="V6" i="23"/>
  <c r="AC6" i="23" s="1"/>
  <c r="S5" i="23"/>
  <c r="AB5" i="23" s="1"/>
  <c r="K53" i="6"/>
  <c r="R53" i="6" s="1"/>
  <c r="S4" i="23"/>
  <c r="AB4" i="23" s="1"/>
  <c r="J46" i="6"/>
  <c r="C112" i="6" s="1"/>
  <c r="J31" i="6"/>
  <c r="C97" i="6" s="1"/>
  <c r="J29" i="6"/>
  <c r="C95" i="6" s="1"/>
  <c r="J28" i="6"/>
  <c r="C94" i="6" s="1"/>
  <c r="R62" i="6"/>
  <c r="T62" i="6" s="1"/>
  <c r="U94" i="7"/>
  <c r="Q94" i="7"/>
  <c r="R78" i="6"/>
  <c r="T78" i="6" s="1"/>
  <c r="R73" i="6"/>
  <c r="R66" i="6"/>
  <c r="P57" i="6"/>
  <c r="W57" i="6" s="1"/>
  <c r="AJ9" i="23"/>
  <c r="R57" i="6"/>
  <c r="G86" i="1"/>
  <c r="F87" i="1"/>
  <c r="G87" i="1" s="1"/>
  <c r="L94" i="7"/>
  <c r="M94" i="7" s="1"/>
  <c r="N94" i="7" s="1"/>
  <c r="J23" i="6"/>
  <c r="C89" i="6" s="1"/>
  <c r="J22" i="6"/>
  <c r="C88" i="6" s="1"/>
  <c r="R69" i="6"/>
  <c r="R67" i="6"/>
  <c r="T67" i="6" s="1"/>
  <c r="U92" i="7"/>
  <c r="Q92" i="7"/>
  <c r="R55" i="6"/>
  <c r="F73" i="1"/>
  <c r="G73" i="1" s="1"/>
  <c r="J76" i="1" s="1"/>
  <c r="K76" i="1" s="1"/>
  <c r="M55" i="6"/>
  <c r="T7" i="24" s="1"/>
  <c r="D24" i="10"/>
  <c r="D33" i="10"/>
  <c r="D31" i="10"/>
  <c r="D30" i="10"/>
  <c r="D25" i="10"/>
  <c r="AG4" i="31"/>
  <c r="D100" i="41"/>
  <c r="F100" i="41" s="1"/>
  <c r="D109" i="41"/>
  <c r="F109" i="41" s="1"/>
  <c r="D110" i="41"/>
  <c r="F110" i="41" s="1"/>
  <c r="D88" i="41"/>
  <c r="F88" i="41" s="1"/>
  <c r="D92" i="41"/>
  <c r="F92" i="41" s="1"/>
  <c r="D97" i="41"/>
  <c r="F97" i="41" s="1"/>
  <c r="D99" i="41"/>
  <c r="F99" i="41" s="1"/>
  <c r="D90" i="41"/>
  <c r="F90" i="41" s="1"/>
  <c r="E92" i="41"/>
  <c r="G92" i="41" s="1"/>
  <c r="D86" i="41"/>
  <c r="F86" i="41" s="1"/>
  <c r="D105" i="41"/>
  <c r="F105" i="41" s="1"/>
  <c r="D107" i="41"/>
  <c r="F107" i="41" s="1"/>
  <c r="D106" i="41"/>
  <c r="F106" i="41" s="1"/>
  <c r="D102" i="41"/>
  <c r="F102" i="41" s="1"/>
  <c r="E85" i="41"/>
  <c r="G85" i="41" s="1"/>
  <c r="D95" i="41"/>
  <c r="F95" i="41" s="1"/>
  <c r="D104" i="41"/>
  <c r="F104" i="41" s="1"/>
  <c r="D113" i="41"/>
  <c r="F113" i="41" s="1"/>
  <c r="D94" i="41"/>
  <c r="F94" i="41" s="1"/>
  <c r="D114" i="41"/>
  <c r="F114" i="41" s="1"/>
  <c r="D85" i="41"/>
  <c r="F85" i="41" s="1"/>
  <c r="D101" i="41"/>
  <c r="F101" i="41" s="1"/>
  <c r="D112" i="41"/>
  <c r="F112" i="41" s="1"/>
  <c r="D103" i="41"/>
  <c r="F103" i="41" s="1"/>
  <c r="D89" i="41"/>
  <c r="F89" i="41" s="1"/>
  <c r="D91" i="41"/>
  <c r="F91" i="41" s="1"/>
  <c r="D98" i="41"/>
  <c r="F98" i="41" s="1"/>
  <c r="V20" i="23"/>
  <c r="AC20" i="23" s="1"/>
  <c r="AI20" i="26" s="1"/>
  <c r="P68" i="6"/>
  <c r="W68" i="6" s="1"/>
  <c r="Q109" i="6"/>
  <c r="P54" i="6"/>
  <c r="W54" i="6" s="1"/>
  <c r="F42" i="7"/>
  <c r="G52" i="7" s="1"/>
  <c r="Q95" i="6"/>
  <c r="D8" i="6"/>
  <c r="Q92" i="6"/>
  <c r="F7" i="6"/>
  <c r="AM31" i="23"/>
  <c r="H26" i="24"/>
  <c r="M54" i="6"/>
  <c r="J7" i="6"/>
  <c r="I7" i="6"/>
  <c r="AY11" i="24"/>
  <c r="P62" i="6"/>
  <c r="W62" i="6" s="1"/>
  <c r="AY32" i="24"/>
  <c r="V17" i="23"/>
  <c r="AC17" i="23" s="1"/>
  <c r="AR17" i="26" s="1"/>
  <c r="V5" i="23"/>
  <c r="AC5" i="23" s="1"/>
  <c r="AM5" i="23" s="1"/>
  <c r="AR5" i="26" s="1"/>
  <c r="AJ18" i="24"/>
  <c r="K22" i="9" s="1"/>
  <c r="AF30" i="26"/>
  <c r="AJ30" i="24"/>
  <c r="K34" i="9" s="1"/>
  <c r="AY27" i="24"/>
  <c r="AY6" i="24"/>
  <c r="M61" i="6"/>
  <c r="R94" i="6" s="1"/>
  <c r="X7" i="23"/>
  <c r="AE7" i="23" s="1"/>
  <c r="AF7" i="23" s="1"/>
  <c r="AF19" i="26"/>
  <c r="AJ19" i="24"/>
  <c r="K23" i="9" s="1"/>
  <c r="H46" i="7"/>
  <c r="AJ28" i="24"/>
  <c r="K32" i="9" s="1"/>
  <c r="N4" i="23"/>
  <c r="AO4" i="26" s="1"/>
  <c r="AF4" i="26"/>
  <c r="AJ4" i="24"/>
  <c r="K8" i="9" s="1"/>
  <c r="H13" i="24"/>
  <c r="M68" i="6"/>
  <c r="V14" i="23"/>
  <c r="AC14" i="23" s="1"/>
  <c r="AM14" i="23" s="1"/>
  <c r="AR14" i="26" s="1"/>
  <c r="AY9" i="24"/>
  <c r="P58" i="6"/>
  <c r="W58" i="6" s="1"/>
  <c r="AY17" i="24"/>
  <c r="N30" i="23"/>
  <c r="N18" i="23"/>
  <c r="AO18" i="26" s="1"/>
  <c r="F52" i="7"/>
  <c r="H15" i="24"/>
  <c r="M81" i="6"/>
  <c r="M62" i="6"/>
  <c r="V13" i="23"/>
  <c r="AC13" i="23" s="1"/>
  <c r="V10" i="23"/>
  <c r="AC10" i="23" s="1"/>
  <c r="AI10" i="26" s="1"/>
  <c r="E48" i="7"/>
  <c r="F46" i="7"/>
  <c r="M58" i="6"/>
  <c r="M75" i="6"/>
  <c r="W27" i="23" s="1"/>
  <c r="AD27" i="23" s="1"/>
  <c r="E49" i="7"/>
  <c r="N32" i="23"/>
  <c r="AO32" i="26" s="1"/>
  <c r="AM33" i="23"/>
  <c r="AR33" i="26" s="1"/>
  <c r="AM27" i="23"/>
  <c r="AR27" i="26" s="1"/>
  <c r="AJ31" i="24"/>
  <c r="K35" i="9" s="1"/>
  <c r="H31" i="24"/>
  <c r="AY31" i="24"/>
  <c r="AG32" i="26"/>
  <c r="P32" i="23"/>
  <c r="AP32" i="26" s="1"/>
  <c r="AK32" i="24"/>
  <c r="L36" i="9" s="1"/>
  <c r="V26" i="23"/>
  <c r="AC26" i="23" s="1"/>
  <c r="H16" i="24"/>
  <c r="H4" i="24"/>
  <c r="V32" i="23"/>
  <c r="AC32" i="23" s="1"/>
  <c r="M80" i="6"/>
  <c r="AF28" i="26"/>
  <c r="M67" i="6"/>
  <c r="N19" i="23"/>
  <c r="AF15" i="26"/>
  <c r="N15" i="23"/>
  <c r="AO15" i="26" s="1"/>
  <c r="H48" i="7"/>
  <c r="X15" i="23"/>
  <c r="AE15" i="23" s="1"/>
  <c r="AF15" i="23" s="1"/>
  <c r="X12" i="23"/>
  <c r="AE12" i="23" s="1"/>
  <c r="AF12" i="23" s="1"/>
  <c r="AR4" i="26"/>
  <c r="M59" i="6"/>
  <c r="F47" i="7"/>
  <c r="F50" i="7"/>
  <c r="M53" i="6"/>
  <c r="X8" i="23"/>
  <c r="AE8" i="23" s="1"/>
  <c r="AF8" i="23" s="1"/>
  <c r="F51" i="7"/>
  <c r="AO83" i="36"/>
  <c r="CH51" i="36"/>
  <c r="AO51" i="36"/>
  <c r="CH178" i="36"/>
  <c r="N53" i="36"/>
  <c r="N79" i="36"/>
  <c r="E80" i="36"/>
  <c r="E79" i="36"/>
  <c r="CH65" i="36"/>
  <c r="W37" i="36"/>
  <c r="BG37" i="36"/>
  <c r="AX54" i="36"/>
  <c r="E78" i="36"/>
  <c r="N52" i="36"/>
  <c r="N78" i="36"/>
  <c r="W79" i="36"/>
  <c r="CH37" i="36"/>
  <c r="CH129" i="36"/>
  <c r="AX56" i="36"/>
  <c r="BP54" i="36"/>
  <c r="CZ38" i="36"/>
  <c r="CH153" i="36"/>
  <c r="BP56" i="36"/>
  <c r="AF82" i="36"/>
  <c r="CH36" i="36"/>
  <c r="CH76" i="36"/>
  <c r="AF52" i="36"/>
  <c r="CH130" i="36"/>
  <c r="CZ37" i="36"/>
  <c r="E38" i="36"/>
  <c r="CH152" i="36"/>
  <c r="AO36" i="36"/>
  <c r="E51" i="36"/>
  <c r="BP36" i="36"/>
  <c r="AF36" i="36"/>
  <c r="CZ36" i="36"/>
  <c r="BG54" i="36"/>
  <c r="W51" i="36"/>
  <c r="CH154" i="36"/>
  <c r="CH44" i="36"/>
  <c r="AF53" i="36"/>
  <c r="BG55" i="36"/>
  <c r="BG36" i="36"/>
  <c r="AO38" i="36"/>
  <c r="AO82" i="36"/>
  <c r="CH75" i="36"/>
  <c r="BP55" i="36"/>
  <c r="CH113" i="36"/>
  <c r="CH53" i="36"/>
  <c r="AO37" i="36"/>
  <c r="CH52" i="36"/>
  <c r="CH111" i="36"/>
  <c r="CH63" i="36"/>
  <c r="AO84" i="36"/>
  <c r="AO52" i="36"/>
  <c r="AO53" i="36"/>
  <c r="CH93" i="36"/>
  <c r="W80" i="36"/>
  <c r="CH94" i="36"/>
  <c r="CH131" i="36"/>
  <c r="BP38" i="36"/>
  <c r="E52" i="36"/>
  <c r="AF38" i="36"/>
  <c r="CH112" i="36"/>
  <c r="AX55" i="36"/>
  <c r="CH43" i="36"/>
  <c r="BG38" i="36"/>
  <c r="W52" i="36"/>
  <c r="AX36" i="36"/>
  <c r="AX37" i="36"/>
  <c r="CH64" i="36"/>
  <c r="N51" i="36"/>
  <c r="CH179" i="36"/>
  <c r="BG56" i="36"/>
  <c r="AF37" i="36"/>
  <c r="CH95" i="36"/>
  <c r="CH77" i="36"/>
  <c r="E53" i="36"/>
  <c r="W53" i="36"/>
  <c r="N37" i="36"/>
  <c r="E36" i="36"/>
  <c r="CH42" i="36"/>
  <c r="N80" i="36"/>
  <c r="AX38" i="36"/>
  <c r="W38" i="36"/>
  <c r="E37" i="36"/>
  <c r="W78" i="36"/>
  <c r="CH177" i="36"/>
  <c r="N36" i="36"/>
  <c r="CH38" i="36"/>
  <c r="W36" i="36"/>
  <c r="AF51" i="36"/>
  <c r="N38" i="36"/>
  <c r="BP37" i="36"/>
  <c r="AF80" i="36"/>
  <c r="AF81" i="36"/>
  <c r="V136" i="37" l="1"/>
  <c r="V141" i="37"/>
  <c r="Y50" i="37"/>
  <c r="X50" i="37"/>
  <c r="W50" i="37"/>
  <c r="U51" i="37"/>
  <c r="V143" i="37"/>
  <c r="AZ183" i="36"/>
  <c r="BI92" i="36"/>
  <c r="BI308" i="36"/>
  <c r="AQ38" i="36"/>
  <c r="AQ232" i="36"/>
  <c r="P469" i="36"/>
  <c r="BI376" i="36"/>
  <c r="AZ381" i="36"/>
  <c r="Y166" i="36"/>
  <c r="G164" i="36"/>
  <c r="AH346" i="36"/>
  <c r="AZ304" i="36"/>
  <c r="Y469" i="36"/>
  <c r="AZ535" i="36"/>
  <c r="P334" i="36"/>
  <c r="AZ298" i="36"/>
  <c r="G469" i="36"/>
  <c r="BI382" i="36"/>
  <c r="BI51" i="36"/>
  <c r="Y474" i="36"/>
  <c r="AQ358" i="36"/>
  <c r="P216" i="36"/>
  <c r="G474" i="36"/>
  <c r="P166" i="36"/>
  <c r="AH485" i="36"/>
  <c r="P169" i="36"/>
  <c r="Y334" i="36"/>
  <c r="Q73" i="29"/>
  <c r="AQ181" i="36"/>
  <c r="AZ58" i="36"/>
  <c r="AZ307" i="36"/>
  <c r="I73" i="29"/>
  <c r="G169" i="36"/>
  <c r="AZ38" i="36"/>
  <c r="G216" i="36"/>
  <c r="P474" i="36"/>
  <c r="AZ186" i="36"/>
  <c r="AZ59" i="36"/>
  <c r="AH224" i="36"/>
  <c r="C5" i="29"/>
  <c r="C42" i="47" s="1"/>
  <c r="G22" i="30"/>
  <c r="E8" i="29" s="1"/>
  <c r="G8" i="29" s="1"/>
  <c r="H8" i="29" s="1"/>
  <c r="AM4" i="36" s="1"/>
  <c r="C45" i="47"/>
  <c r="V15" i="23"/>
  <c r="AC15" i="23" s="1"/>
  <c r="AI15" i="26" s="1"/>
  <c r="P60" i="6"/>
  <c r="Y12" i="23" s="1"/>
  <c r="AL12" i="23" s="1"/>
  <c r="M60" i="6"/>
  <c r="T12" i="24" s="1"/>
  <c r="G16" i="9" s="1"/>
  <c r="R60" i="6"/>
  <c r="AF26" i="26"/>
  <c r="AJ23" i="24"/>
  <c r="K27" i="9" s="1"/>
  <c r="N23" i="23"/>
  <c r="AF23" i="26"/>
  <c r="P72" i="6"/>
  <c r="W72" i="6" s="1"/>
  <c r="AJ24" i="23"/>
  <c r="T24" i="23"/>
  <c r="F24" i="23"/>
  <c r="AM24" i="24" s="1"/>
  <c r="N28" i="9" s="1"/>
  <c r="N24" i="23"/>
  <c r="AJ24" i="24"/>
  <c r="K28" i="9" s="1"/>
  <c r="AK23" i="24"/>
  <c r="L27" i="9" s="1"/>
  <c r="AG23" i="26"/>
  <c r="P23" i="23"/>
  <c r="AP23" i="26" s="1"/>
  <c r="M104" i="6"/>
  <c r="AD23" i="24"/>
  <c r="N12" i="23"/>
  <c r="AO12" i="26" s="1"/>
  <c r="AJ12" i="24"/>
  <c r="K16" i="9" s="1"/>
  <c r="AF12" i="26"/>
  <c r="AM21" i="23"/>
  <c r="AR21" i="26" s="1"/>
  <c r="AI21" i="26"/>
  <c r="AF5" i="26"/>
  <c r="AM29" i="36"/>
  <c r="BI175" i="36"/>
  <c r="AH172" i="36"/>
  <c r="G37" i="36"/>
  <c r="AQ289" i="36"/>
  <c r="AH53" i="36"/>
  <c r="AH169" i="36"/>
  <c r="BI379" i="36"/>
  <c r="AH411" i="36"/>
  <c r="BI176" i="36"/>
  <c r="AZ373" i="36"/>
  <c r="AI28" i="26"/>
  <c r="BF34" i="5"/>
  <c r="AJ26" i="5"/>
  <c r="P67" i="6"/>
  <c r="P110" i="6"/>
  <c r="AD31" i="7"/>
  <c r="AL31" i="7" s="1"/>
  <c r="AT31" i="7" s="1"/>
  <c r="BB31" i="7" s="1"/>
  <c r="BJ31" i="7" s="1"/>
  <c r="BR31" i="7" s="1"/>
  <c r="BZ31" i="7" s="1"/>
  <c r="BE39" i="5"/>
  <c r="AJ7" i="26"/>
  <c r="CF29" i="36"/>
  <c r="CI29" i="36" s="1"/>
  <c r="BI179" i="36"/>
  <c r="BI185" i="36"/>
  <c r="Y83" i="36"/>
  <c r="AH170" i="36"/>
  <c r="AH278" i="36"/>
  <c r="P37" i="36"/>
  <c r="P213" i="36"/>
  <c r="P163" i="36"/>
  <c r="AZ449" i="36"/>
  <c r="AZ369" i="36"/>
  <c r="AQ502" i="36"/>
  <c r="U12" i="23"/>
  <c r="H68" i="9"/>
  <c r="P79" i="6"/>
  <c r="W79" i="6" s="1"/>
  <c r="Z4" i="7"/>
  <c r="AE4" i="7" s="1"/>
  <c r="T4" i="31"/>
  <c r="Q5" i="31" s="1"/>
  <c r="R5" i="31" s="1"/>
  <c r="BE27" i="36"/>
  <c r="BH27" i="36" s="1"/>
  <c r="AV29" i="36"/>
  <c r="AY29" i="36" s="1"/>
  <c r="P395" i="36"/>
  <c r="G82" i="36"/>
  <c r="Y86" i="36"/>
  <c r="AH221" i="36"/>
  <c r="AQ230" i="36"/>
  <c r="BI450" i="36"/>
  <c r="AO20" i="26"/>
  <c r="AA32" i="27"/>
  <c r="AB31" i="27" s="1"/>
  <c r="AD31" i="27" s="1"/>
  <c r="F31" i="23"/>
  <c r="AM31" i="24" s="1"/>
  <c r="N35" i="9" s="1"/>
  <c r="C99" i="27"/>
  <c r="D40" i="27"/>
  <c r="D98" i="27" s="1"/>
  <c r="F98" i="27" s="1"/>
  <c r="AQ87" i="36"/>
  <c r="AQ229" i="36"/>
  <c r="P471" i="36"/>
  <c r="BI243" i="36"/>
  <c r="BQ13" i="26"/>
  <c r="AR11" i="26"/>
  <c r="AI27" i="26"/>
  <c r="S26" i="23"/>
  <c r="AB26" i="23" s="1"/>
  <c r="AK17" i="5"/>
  <c r="BF27" i="5" s="1"/>
  <c r="AZ528" i="36"/>
  <c r="BP12" i="26"/>
  <c r="T20" i="23"/>
  <c r="S31" i="23"/>
  <c r="AB31" i="23" s="1"/>
  <c r="J36" i="6"/>
  <c r="C102" i="6" s="1"/>
  <c r="AF4" i="5"/>
  <c r="AZ132" i="36"/>
  <c r="P164" i="36"/>
  <c r="P214" i="36"/>
  <c r="G399" i="36"/>
  <c r="AZ84" i="36"/>
  <c r="AJ31" i="23"/>
  <c r="AJ31" i="26" s="1"/>
  <c r="AM26" i="25"/>
  <c r="AN26" i="25" s="1"/>
  <c r="BE37" i="5"/>
  <c r="BD37" i="5"/>
  <c r="BB37" i="5"/>
  <c r="AM23" i="23"/>
  <c r="AR23" i="26" s="1"/>
  <c r="AD29" i="36"/>
  <c r="AH176" i="36"/>
  <c r="P218" i="36"/>
  <c r="Y399" i="36"/>
  <c r="AZ55" i="36"/>
  <c r="Q191" i="29"/>
  <c r="O104" i="6"/>
  <c r="BB27" i="5"/>
  <c r="BI238" i="36"/>
  <c r="Y218" i="36"/>
  <c r="AH413" i="36"/>
  <c r="AZ451" i="36"/>
  <c r="AD24" i="24"/>
  <c r="AR19" i="26"/>
  <c r="G25" i="23"/>
  <c r="AN25" i="24" s="1"/>
  <c r="O29" i="9" s="1"/>
  <c r="AM29" i="25"/>
  <c r="AN29" i="25" s="1"/>
  <c r="P101" i="6"/>
  <c r="M71" i="6"/>
  <c r="W23" i="23" s="1"/>
  <c r="AD23" i="23" s="1"/>
  <c r="P53" i="6"/>
  <c r="W53" i="6" s="1"/>
  <c r="J83" i="28"/>
  <c r="AZ529" i="36"/>
  <c r="Y164" i="36"/>
  <c r="Y268" i="36"/>
  <c r="Y169" i="36"/>
  <c r="AQ182" i="36"/>
  <c r="Y270" i="36"/>
  <c r="AH226" i="36"/>
  <c r="AZ374" i="36"/>
  <c r="Y396" i="36"/>
  <c r="AQ180" i="36"/>
  <c r="T103" i="39"/>
  <c r="F23" i="23"/>
  <c r="AM23" i="24" s="1"/>
  <c r="N27" i="9" s="1"/>
  <c r="AC27" i="9" s="1"/>
  <c r="AM19" i="25"/>
  <c r="BN29" i="5"/>
  <c r="BN30" i="5"/>
  <c r="AK27" i="5"/>
  <c r="AJ27" i="5"/>
  <c r="T130" i="39"/>
  <c r="P127" i="39"/>
  <c r="Q127" i="39" s="1"/>
  <c r="G472" i="36"/>
  <c r="Y163" i="36"/>
  <c r="L29" i="36"/>
  <c r="BI245" i="36"/>
  <c r="AQ86" i="36"/>
  <c r="AZ85" i="36"/>
  <c r="AC26" i="24"/>
  <c r="P64" i="6"/>
  <c r="U20" i="23"/>
  <c r="CH4" i="7"/>
  <c r="CQ4" i="7" s="1"/>
  <c r="CZ4" i="7" s="1"/>
  <c r="DI4" i="7" s="1"/>
  <c r="DR4" i="7" s="1"/>
  <c r="EA4" i="7" s="1"/>
  <c r="EJ4" i="7" s="1"/>
  <c r="AG7" i="26"/>
  <c r="I106" i="29"/>
  <c r="G80" i="36"/>
  <c r="G38" i="36"/>
  <c r="T108" i="39"/>
  <c r="P80" i="6"/>
  <c r="W80" i="6" s="1"/>
  <c r="H63" i="9"/>
  <c r="U25" i="23"/>
  <c r="AA38" i="27"/>
  <c r="AB37" i="27" s="1"/>
  <c r="AD37" i="27" s="1"/>
  <c r="N109" i="6"/>
  <c r="AL28" i="24" s="1"/>
  <c r="BG25" i="35" s="1"/>
  <c r="O106" i="6"/>
  <c r="BD40" i="5"/>
  <c r="BB40" i="5"/>
  <c r="BE40" i="5"/>
  <c r="R13" i="7"/>
  <c r="AG16" i="35"/>
  <c r="AG15" i="35"/>
  <c r="R24" i="7"/>
  <c r="AM14" i="25"/>
  <c r="AN14" i="25" s="1"/>
  <c r="AM15" i="25"/>
  <c r="M57" i="6"/>
  <c r="W9" i="23" s="1"/>
  <c r="AD9" i="23" s="1"/>
  <c r="M10" i="9"/>
  <c r="Q94" i="6"/>
  <c r="AG22" i="35"/>
  <c r="J4" i="26"/>
  <c r="K4" i="26" s="1"/>
  <c r="AM5" i="25"/>
  <c r="AN5" i="25" s="1"/>
  <c r="AM30" i="25"/>
  <c r="AN30" i="25" s="1"/>
  <c r="AM10" i="25"/>
  <c r="AN10" i="25" s="1"/>
  <c r="AF16" i="26"/>
  <c r="AG17" i="26"/>
  <c r="AJ20" i="24"/>
  <c r="K24" i="9" s="1"/>
  <c r="Z7" i="7"/>
  <c r="AP7" i="7" s="1"/>
  <c r="M11" i="9"/>
  <c r="AC11" i="9" s="1"/>
  <c r="N5" i="23"/>
  <c r="AO5" i="26" s="1"/>
  <c r="V94" i="7"/>
  <c r="CI8" i="7"/>
  <c r="CR8" i="7" s="1"/>
  <c r="DA8" i="7" s="1"/>
  <c r="DJ8" i="7" s="1"/>
  <c r="DS8" i="7" s="1"/>
  <c r="EB8" i="7" s="1"/>
  <c r="EK8" i="7" s="1"/>
  <c r="AI9" i="26"/>
  <c r="N16" i="23"/>
  <c r="AO16" i="26" s="1"/>
  <c r="P21" i="23"/>
  <c r="P17" i="23"/>
  <c r="AP17" i="26" s="1"/>
  <c r="AF20" i="26"/>
  <c r="AG21" i="26"/>
  <c r="AG14" i="35"/>
  <c r="N7" i="23"/>
  <c r="AO7" i="26" s="1"/>
  <c r="AF7" i="26"/>
  <c r="P29" i="23"/>
  <c r="AP29" i="26" s="1"/>
  <c r="AG27" i="26"/>
  <c r="AK25" i="24"/>
  <c r="L29" i="9" s="1"/>
  <c r="AG20" i="26"/>
  <c r="P12" i="23"/>
  <c r="AP12" i="26" s="1"/>
  <c r="AP27" i="26"/>
  <c r="P20" i="23"/>
  <c r="AP20" i="26" s="1"/>
  <c r="AK28" i="24"/>
  <c r="L32" i="9" s="1"/>
  <c r="AG18" i="35"/>
  <c r="AT7" i="35"/>
  <c r="Y19" i="23"/>
  <c r="AL19" i="23" s="1"/>
  <c r="AK24" i="24"/>
  <c r="L28" i="9" s="1"/>
  <c r="AK27" i="24"/>
  <c r="L31" i="9" s="1"/>
  <c r="AG19" i="35"/>
  <c r="AF24" i="26"/>
  <c r="P6" i="23"/>
  <c r="AP6" i="26" s="1"/>
  <c r="M9" i="9"/>
  <c r="BS4" i="45"/>
  <c r="AG10" i="35"/>
  <c r="AG8" i="35"/>
  <c r="AG11" i="35"/>
  <c r="AG13" i="35"/>
  <c r="AG12" i="35"/>
  <c r="AG9" i="35"/>
  <c r="P15" i="23"/>
  <c r="AP15" i="26" s="1"/>
  <c r="AM28" i="23"/>
  <c r="M76" i="6"/>
  <c r="W28" i="23" s="1"/>
  <c r="AD28" i="23" s="1"/>
  <c r="AG15" i="26"/>
  <c r="AI11" i="26"/>
  <c r="H5" i="24"/>
  <c r="Y32" i="23"/>
  <c r="AL32" i="23" s="1"/>
  <c r="AG30" i="26"/>
  <c r="AG6" i="26"/>
  <c r="M52" i="6"/>
  <c r="T4" i="24" s="1"/>
  <c r="AO4" i="24" s="1"/>
  <c r="P8" i="9" s="1"/>
  <c r="W55" i="6"/>
  <c r="M21" i="9"/>
  <c r="AT21" i="35"/>
  <c r="M72" i="6"/>
  <c r="W24" i="23" s="1"/>
  <c r="AD24" i="23" s="1"/>
  <c r="AH24" i="26" s="1"/>
  <c r="AT10" i="35"/>
  <c r="M32" i="9"/>
  <c r="Y24" i="23"/>
  <c r="AL24" i="23" s="1"/>
  <c r="AR15" i="26"/>
  <c r="AT8" i="35"/>
  <c r="Q97" i="6"/>
  <c r="Q72" i="6"/>
  <c r="M18" i="9"/>
  <c r="Q80" i="6"/>
  <c r="AK29" i="24"/>
  <c r="L33" i="9" s="1"/>
  <c r="AY8" i="24"/>
  <c r="AY7" i="24"/>
  <c r="AY23" i="24"/>
  <c r="AI19" i="26"/>
  <c r="M74" i="6"/>
  <c r="N26" i="23"/>
  <c r="AO26" i="26" s="1"/>
  <c r="H14" i="24"/>
  <c r="Q100" i="6"/>
  <c r="Q105" i="6"/>
  <c r="H19" i="24"/>
  <c r="AY29" i="24"/>
  <c r="M15" i="9"/>
  <c r="AF27" i="26"/>
  <c r="AY10" i="24"/>
  <c r="M66" i="6"/>
  <c r="AC13" i="9"/>
  <c r="P8" i="23"/>
  <c r="AP8" i="26" s="1"/>
  <c r="AI22" i="26"/>
  <c r="N27" i="23"/>
  <c r="AO27" i="26" s="1"/>
  <c r="AI29" i="26"/>
  <c r="N22" i="23"/>
  <c r="AO22" i="26" s="1"/>
  <c r="AG30" i="35"/>
  <c r="AM16" i="23"/>
  <c r="AR16" i="26" s="1"/>
  <c r="AF22" i="26"/>
  <c r="M73" i="6"/>
  <c r="N25" i="23"/>
  <c r="AO25" i="26" s="1"/>
  <c r="AJ5" i="24"/>
  <c r="K9" i="9" s="1"/>
  <c r="M64" i="6"/>
  <c r="AT22" i="35"/>
  <c r="BG28" i="35"/>
  <c r="P26" i="23"/>
  <c r="AP26" i="26" s="1"/>
  <c r="H28" i="24"/>
  <c r="M77" i="6"/>
  <c r="W29" i="23" s="1"/>
  <c r="AD29" i="23" s="1"/>
  <c r="AG26" i="26"/>
  <c r="AG27" i="35"/>
  <c r="AG22" i="26"/>
  <c r="AG28" i="35"/>
  <c r="AJ23" i="26"/>
  <c r="AG4" i="26"/>
  <c r="N9" i="23"/>
  <c r="AO9" i="26" s="1"/>
  <c r="M70" i="6"/>
  <c r="P22" i="23"/>
  <c r="AP22" i="26" s="1"/>
  <c r="AI8" i="26"/>
  <c r="AY22" i="24"/>
  <c r="H12" i="24"/>
  <c r="Q110" i="6"/>
  <c r="W60" i="6"/>
  <c r="M26" i="9"/>
  <c r="AT34" i="35"/>
  <c r="AT33" i="35"/>
  <c r="G19" i="9"/>
  <c r="AO15" i="24"/>
  <c r="P19" i="9" s="1"/>
  <c r="AI30" i="26"/>
  <c r="X25" i="23"/>
  <c r="AE25" i="23" s="1"/>
  <c r="AF25" i="23" s="1"/>
  <c r="N29" i="23"/>
  <c r="AO29" i="26" s="1"/>
  <c r="X31" i="23"/>
  <c r="AE31" i="23" s="1"/>
  <c r="AF31" i="23" s="1"/>
  <c r="BG26" i="35"/>
  <c r="AF21" i="26"/>
  <c r="AJ29" i="24"/>
  <c r="K33" i="9" s="1"/>
  <c r="BG29" i="35"/>
  <c r="Y31" i="23"/>
  <c r="AL31" i="23" s="1"/>
  <c r="AN31" i="23" s="1"/>
  <c r="AO31" i="23" s="1"/>
  <c r="AJ21" i="24"/>
  <c r="K25" i="9" s="1"/>
  <c r="P7" i="23"/>
  <c r="AP7" i="26" s="1"/>
  <c r="BG27" i="35"/>
  <c r="AJ18" i="26"/>
  <c r="AG8" i="26"/>
  <c r="M78" i="6"/>
  <c r="AK12" i="24"/>
  <c r="L16" i="9" s="1"/>
  <c r="Q102" i="6"/>
  <c r="BG23" i="35"/>
  <c r="Q99" i="6"/>
  <c r="BG22" i="35"/>
  <c r="BG21" i="35"/>
  <c r="AC14" i="9"/>
  <c r="M79" i="6"/>
  <c r="W31" i="23" s="1"/>
  <c r="AD31" i="23" s="1"/>
  <c r="AI12" i="26"/>
  <c r="M69" i="6"/>
  <c r="T21" i="24" s="1"/>
  <c r="P4" i="23"/>
  <c r="AP4" i="26" s="1"/>
  <c r="AR20" i="26"/>
  <c r="AY24" i="24"/>
  <c r="AF32" i="26"/>
  <c r="H20" i="24"/>
  <c r="AG5" i="26"/>
  <c r="P28" i="23"/>
  <c r="AP28" i="26" s="1"/>
  <c r="H33" i="24"/>
  <c r="Q79" i="6"/>
  <c r="Q107" i="6"/>
  <c r="AN12" i="23"/>
  <c r="C43" i="47"/>
  <c r="G20" i="30"/>
  <c r="E6" i="29" s="1"/>
  <c r="G6" i="29" s="1"/>
  <c r="H6" i="29" s="1"/>
  <c r="U4" i="36" s="1"/>
  <c r="G19" i="30"/>
  <c r="E5" i="29" s="1"/>
  <c r="O12" i="36" s="1"/>
  <c r="G21" i="30"/>
  <c r="E7" i="29" s="1"/>
  <c r="AG27" i="36" s="1"/>
  <c r="J91" i="1"/>
  <c r="K91" i="1" s="1"/>
  <c r="J88" i="1"/>
  <c r="K88" i="1" s="1"/>
  <c r="J92" i="1"/>
  <c r="K92" i="1" s="1"/>
  <c r="J89" i="1"/>
  <c r="K89" i="1" s="1"/>
  <c r="J90" i="1"/>
  <c r="K90" i="1" s="1"/>
  <c r="AG16" i="26"/>
  <c r="AK16" i="24"/>
  <c r="L20" i="9" s="1"/>
  <c r="P16" i="23"/>
  <c r="AP16" i="26" s="1"/>
  <c r="AH219" i="36"/>
  <c r="Y211" i="36"/>
  <c r="P211" i="36"/>
  <c r="G211" i="36"/>
  <c r="AH281" i="36"/>
  <c r="Y271" i="36"/>
  <c r="G271" i="36"/>
  <c r="AQ291" i="36"/>
  <c r="U95" i="7"/>
  <c r="V95" i="7" s="1"/>
  <c r="Q95" i="7"/>
  <c r="R95" i="7" s="1"/>
  <c r="AM6" i="23"/>
  <c r="AR6" i="26" s="1"/>
  <c r="AI6" i="26"/>
  <c r="AK10" i="24"/>
  <c r="L14" i="9" s="1"/>
  <c r="P10" i="23"/>
  <c r="AP10" i="26" s="1"/>
  <c r="M91" i="7"/>
  <c r="N91" i="7" s="1"/>
  <c r="V91" i="7"/>
  <c r="AJ6" i="24"/>
  <c r="K10" i="9" s="1"/>
  <c r="AF6" i="26"/>
  <c r="AH51" i="36"/>
  <c r="Y51" i="36"/>
  <c r="P51" i="36"/>
  <c r="G51" i="36"/>
  <c r="AQ51" i="36"/>
  <c r="AN28" i="25"/>
  <c r="AK5" i="24"/>
  <c r="L9" i="9" s="1"/>
  <c r="AK7" i="24"/>
  <c r="L11" i="9" s="1"/>
  <c r="AQ128" i="36"/>
  <c r="CI14" i="7"/>
  <c r="CR14" i="7" s="1"/>
  <c r="DA14" i="7" s="1"/>
  <c r="DJ14" i="7" s="1"/>
  <c r="DS14" i="7" s="1"/>
  <c r="EB14" i="7" s="1"/>
  <c r="EK14" i="7" s="1"/>
  <c r="R23" i="7"/>
  <c r="U29" i="24"/>
  <c r="F33" i="9" s="1"/>
  <c r="O44" i="6"/>
  <c r="AF8" i="26"/>
  <c r="N8" i="23"/>
  <c r="AO8" i="26" s="1"/>
  <c r="AJ8" i="24"/>
  <c r="K12" i="9" s="1"/>
  <c r="AQ227" i="36"/>
  <c r="AN24" i="25"/>
  <c r="AI13" i="26"/>
  <c r="AM13" i="23"/>
  <c r="AR13" i="26" s="1"/>
  <c r="AJ33" i="24"/>
  <c r="K37" i="9" s="1"/>
  <c r="AF33" i="26"/>
  <c r="N33" i="23"/>
  <c r="AO33" i="26" s="1"/>
  <c r="P271" i="36"/>
  <c r="Y333" i="36"/>
  <c r="G333" i="36"/>
  <c r="P333" i="36"/>
  <c r="AH345" i="36"/>
  <c r="G401" i="36"/>
  <c r="AQ429" i="36"/>
  <c r="AH415" i="36"/>
  <c r="Y401" i="36"/>
  <c r="AH347" i="36"/>
  <c r="Y335" i="36"/>
  <c r="P335" i="36"/>
  <c r="AQ359" i="36"/>
  <c r="P400" i="36"/>
  <c r="AQ428" i="36"/>
  <c r="G400" i="36"/>
  <c r="Y400" i="36"/>
  <c r="AH414" i="36"/>
  <c r="G475" i="36"/>
  <c r="AQ507" i="36"/>
  <c r="AH491" i="36"/>
  <c r="Y475" i="36"/>
  <c r="P475" i="36"/>
  <c r="AZ182" i="36"/>
  <c r="BI182" i="36"/>
  <c r="BI447" i="36"/>
  <c r="AZ447" i="36"/>
  <c r="AZ191" i="36"/>
  <c r="BI191" i="36"/>
  <c r="H218" i="29"/>
  <c r="H143" i="29"/>
  <c r="I142" i="29" s="1"/>
  <c r="BI531" i="36"/>
  <c r="AZ531" i="36"/>
  <c r="AZ240" i="36"/>
  <c r="BI240" i="36"/>
  <c r="BI532" i="36"/>
  <c r="AZ532" i="36"/>
  <c r="AZ233" i="36"/>
  <c r="BI233" i="36"/>
  <c r="AZ525" i="36"/>
  <c r="BI525" i="36"/>
  <c r="Q91" i="29"/>
  <c r="BR83" i="36"/>
  <c r="BR288" i="36"/>
  <c r="Q172" i="29"/>
  <c r="BI187" i="36"/>
  <c r="AZ187" i="36"/>
  <c r="AZ452" i="36"/>
  <c r="BI452" i="36"/>
  <c r="BR56" i="36"/>
  <c r="Q79" i="29"/>
  <c r="AZ181" i="36"/>
  <c r="BI181" i="36"/>
  <c r="H205" i="29"/>
  <c r="BI237" i="36"/>
  <c r="AZ297" i="36"/>
  <c r="BI299" i="36"/>
  <c r="P332" i="36"/>
  <c r="AH37" i="36"/>
  <c r="AH38" i="36"/>
  <c r="Y269" i="36"/>
  <c r="AH488" i="36"/>
  <c r="P398" i="36"/>
  <c r="G168" i="36"/>
  <c r="AZ239" i="36"/>
  <c r="BR345" i="36"/>
  <c r="R70" i="6"/>
  <c r="K70" i="6"/>
  <c r="AJ22" i="23"/>
  <c r="AJ22" i="26" s="1"/>
  <c r="O103" i="6"/>
  <c r="P70" i="6"/>
  <c r="F22" i="23"/>
  <c r="AM22" i="24" s="1"/>
  <c r="N26" i="9" s="1"/>
  <c r="R76" i="6"/>
  <c r="T76" i="6" s="1"/>
  <c r="K76" i="6"/>
  <c r="P76" i="6"/>
  <c r="AJ28" i="23"/>
  <c r="AJ28" i="26" s="1"/>
  <c r="F28" i="23"/>
  <c r="AM28" i="24" s="1"/>
  <c r="N32" i="9" s="1"/>
  <c r="O109" i="6"/>
  <c r="T28" i="23"/>
  <c r="AM31" i="25"/>
  <c r="AM21" i="25"/>
  <c r="AM11" i="25"/>
  <c r="R74" i="6"/>
  <c r="T74" i="6" s="1"/>
  <c r="K74" i="6"/>
  <c r="P74" i="6"/>
  <c r="F26" i="23"/>
  <c r="AM26" i="24" s="1"/>
  <c r="N30" i="9" s="1"/>
  <c r="T26" i="23"/>
  <c r="AJ26" i="23"/>
  <c r="AJ26" i="26" s="1"/>
  <c r="S59" i="6"/>
  <c r="S57" i="6"/>
  <c r="S61" i="6"/>
  <c r="V69" i="6"/>
  <c r="N102" i="6"/>
  <c r="AL21" i="24" s="1"/>
  <c r="H58" i="9"/>
  <c r="S21" i="23"/>
  <c r="AB21" i="23" s="1"/>
  <c r="P69" i="6"/>
  <c r="C23" i="36"/>
  <c r="F23" i="36" s="1"/>
  <c r="E48" i="46"/>
  <c r="C9" i="36"/>
  <c r="AN7" i="25"/>
  <c r="M103" i="6"/>
  <c r="AD22" i="24"/>
  <c r="P129" i="39"/>
  <c r="Q129" i="39" s="1"/>
  <c r="P38" i="36"/>
  <c r="G337" i="36"/>
  <c r="G398" i="36"/>
  <c r="BI190" i="36"/>
  <c r="Q106" i="29"/>
  <c r="CI13" i="7"/>
  <c r="CR13" i="7" s="1"/>
  <c r="DA13" i="7" s="1"/>
  <c r="DJ13" i="7" s="1"/>
  <c r="DS13" i="7" s="1"/>
  <c r="EB13" i="7" s="1"/>
  <c r="EK13" i="7" s="1"/>
  <c r="BP9" i="26"/>
  <c r="C27" i="36"/>
  <c r="F27" i="36" s="1"/>
  <c r="E52" i="46"/>
  <c r="R61" i="6"/>
  <c r="T61" i="6" s="1"/>
  <c r="K61" i="6"/>
  <c r="T13" i="23"/>
  <c r="AJ13" i="23"/>
  <c r="AJ13" i="26" s="1"/>
  <c r="F13" i="23"/>
  <c r="AM13" i="24" s="1"/>
  <c r="N17" i="9" s="1"/>
  <c r="O94" i="6"/>
  <c r="P61" i="6"/>
  <c r="AA41" i="27"/>
  <c r="AB40" i="27" s="1"/>
  <c r="AD40" i="27" s="1"/>
  <c r="AN9" i="25"/>
  <c r="K78" i="6"/>
  <c r="T30" i="23"/>
  <c r="O111" i="6"/>
  <c r="F30" i="23"/>
  <c r="AM30" i="24" s="1"/>
  <c r="N34" i="9" s="1"/>
  <c r="AC34" i="9" s="1"/>
  <c r="P78" i="6"/>
  <c r="T57" i="6"/>
  <c r="P124" i="39"/>
  <c r="Q124" i="39" s="1"/>
  <c r="CF12" i="36"/>
  <c r="CI12" i="36" s="1"/>
  <c r="BI533" i="36"/>
  <c r="AZ526" i="36"/>
  <c r="AZ454" i="36"/>
  <c r="AZ539" i="36"/>
  <c r="Y332" i="36"/>
  <c r="AQ130" i="36"/>
  <c r="Y53" i="36"/>
  <c r="AQ234" i="36"/>
  <c r="P337" i="36"/>
  <c r="AZ184" i="36"/>
  <c r="AH487" i="36"/>
  <c r="AH486" i="36"/>
  <c r="AN32" i="25"/>
  <c r="O107" i="6"/>
  <c r="J78" i="1"/>
  <c r="K78" i="1" s="1"/>
  <c r="R91" i="7"/>
  <c r="P121" i="39"/>
  <c r="Q121" i="39" s="1"/>
  <c r="BI534" i="36"/>
  <c r="AZ53" i="36"/>
  <c r="BI52" i="36"/>
  <c r="AZ241" i="36"/>
  <c r="AZ296" i="36"/>
  <c r="G332" i="36"/>
  <c r="P56" i="36"/>
  <c r="Y337" i="36"/>
  <c r="Y470" i="36"/>
  <c r="AZ294" i="36"/>
  <c r="BI36" i="36"/>
  <c r="AC32" i="24"/>
  <c r="L113" i="6"/>
  <c r="V77" i="6"/>
  <c r="N110" i="6"/>
  <c r="AL29" i="24" s="1"/>
  <c r="M33" i="9" s="1"/>
  <c r="S29" i="23"/>
  <c r="AB29" i="23" s="1"/>
  <c r="H66" i="9"/>
  <c r="AJ30" i="23"/>
  <c r="AJ30" i="26" s="1"/>
  <c r="AR7" i="26"/>
  <c r="AZ54" i="36"/>
  <c r="AH344" i="36"/>
  <c r="Y37" i="36"/>
  <c r="AH220" i="36"/>
  <c r="P269" i="36"/>
  <c r="P472" i="36"/>
  <c r="Y162" i="36"/>
  <c r="AH349" i="36"/>
  <c r="P470" i="36"/>
  <c r="I79" i="29"/>
  <c r="Q157" i="29"/>
  <c r="I121" i="29"/>
  <c r="AN33" i="25"/>
  <c r="AO30" i="26"/>
  <c r="T66" i="6"/>
  <c r="AH168" i="36"/>
  <c r="AQ503" i="36"/>
  <c r="T17" i="23"/>
  <c r="O98" i="6"/>
  <c r="F17" i="23"/>
  <c r="AM17" i="24" s="1"/>
  <c r="N21" i="9" s="1"/>
  <c r="K65" i="6"/>
  <c r="AJ17" i="23" s="1"/>
  <c r="AJ17" i="26" s="1"/>
  <c r="BF28" i="5"/>
  <c r="BB28" i="5"/>
  <c r="BE28" i="5"/>
  <c r="BD28" i="5"/>
  <c r="AB26" i="24"/>
  <c r="K107" i="6"/>
  <c r="O40" i="6"/>
  <c r="U25" i="24"/>
  <c r="F29" i="9" s="1"/>
  <c r="S71" i="6"/>
  <c r="S69" i="6"/>
  <c r="T69" i="6" s="1"/>
  <c r="S70" i="6"/>
  <c r="S64" i="6"/>
  <c r="K81" i="6"/>
  <c r="O114" i="6"/>
  <c r="P81" i="6"/>
  <c r="T33" i="23"/>
  <c r="F33" i="23"/>
  <c r="AM33" i="24" s="1"/>
  <c r="N37" i="9" s="1"/>
  <c r="AC37" i="9" s="1"/>
  <c r="AJ33" i="23"/>
  <c r="AJ33" i="26" s="1"/>
  <c r="P75" i="6"/>
  <c r="K75" i="6"/>
  <c r="CU6" i="5"/>
  <c r="CR18" i="5"/>
  <c r="AI24" i="5"/>
  <c r="AK24" i="5"/>
  <c r="AJ24" i="5"/>
  <c r="BN14" i="5"/>
  <c r="BN16" i="5"/>
  <c r="BN5" i="5"/>
  <c r="BN6" i="5"/>
  <c r="L27" i="6"/>
  <c r="N27" i="6" s="1"/>
  <c r="BN15" i="5"/>
  <c r="BF20" i="5"/>
  <c r="BN26" i="5"/>
  <c r="BD17" i="5"/>
  <c r="BN4" i="5"/>
  <c r="BN24" i="5"/>
  <c r="BD20" i="5"/>
  <c r="BD16" i="5"/>
  <c r="BE15" i="5"/>
  <c r="BD15" i="5"/>
  <c r="BE17" i="5"/>
  <c r="BN25" i="5"/>
  <c r="BE20" i="5"/>
  <c r="BE16" i="5"/>
  <c r="BF38" i="5"/>
  <c r="BE38" i="5"/>
  <c r="BD38" i="5"/>
  <c r="BB38" i="5"/>
  <c r="BF18" i="5"/>
  <c r="BE18" i="5"/>
  <c r="BD18" i="5"/>
  <c r="BB18" i="5"/>
  <c r="S18" i="23"/>
  <c r="AB18" i="23" s="1"/>
  <c r="AA34" i="27"/>
  <c r="AB33" i="27" s="1"/>
  <c r="AD33" i="27" s="1"/>
  <c r="AA40" i="27"/>
  <c r="AB39" i="27" s="1"/>
  <c r="AD39" i="27" s="1"/>
  <c r="O108" i="6"/>
  <c r="P77" i="6"/>
  <c r="F29" i="23"/>
  <c r="AM29" i="24" s="1"/>
  <c r="N33" i="9" s="1"/>
  <c r="T27" i="23"/>
  <c r="N94" i="6"/>
  <c r="AL13" i="24" s="1"/>
  <c r="M17" i="9" s="1"/>
  <c r="S24" i="23"/>
  <c r="AB24" i="23" s="1"/>
  <c r="H61" i="9"/>
  <c r="AJ32" i="23"/>
  <c r="AJ32" i="26" s="1"/>
  <c r="F6" i="23"/>
  <c r="AM6" i="24" s="1"/>
  <c r="N10" i="9" s="1"/>
  <c r="N97" i="6"/>
  <c r="AL16" i="24" s="1"/>
  <c r="N112" i="6"/>
  <c r="AL31" i="24" s="1"/>
  <c r="G19" i="23"/>
  <c r="AN19" i="24" s="1"/>
  <c r="O23" i="9" s="1"/>
  <c r="U19" i="23"/>
  <c r="K63" i="6"/>
  <c r="V63" i="6"/>
  <c r="AM17" i="25"/>
  <c r="AN6" i="25"/>
  <c r="O93" i="6"/>
  <c r="P93" i="6"/>
  <c r="K66" i="6"/>
  <c r="T18" i="23"/>
  <c r="O105" i="6"/>
  <c r="AA33" i="27"/>
  <c r="AB32" i="27" s="1"/>
  <c r="AD32" i="27" s="1"/>
  <c r="N85" i="6"/>
  <c r="AL4" i="24" s="1"/>
  <c r="X40" i="25"/>
  <c r="AC27" i="24"/>
  <c r="L108" i="6"/>
  <c r="BR10" i="5"/>
  <c r="BO10" i="5"/>
  <c r="BP10" i="5" s="1"/>
  <c r="U32" i="23"/>
  <c r="AJ29" i="23"/>
  <c r="AJ29" i="26" s="1"/>
  <c r="AJ27" i="23"/>
  <c r="AJ27" i="26" s="1"/>
  <c r="AM4" i="25"/>
  <c r="AN16" i="25"/>
  <c r="AN25" i="25"/>
  <c r="O110" i="6"/>
  <c r="O113" i="6"/>
  <c r="AA37" i="27"/>
  <c r="AB36" i="27" s="1"/>
  <c r="AD36" i="27" s="1"/>
  <c r="P113" i="6"/>
  <c r="C100" i="27"/>
  <c r="D41" i="27"/>
  <c r="D99" i="27" s="1"/>
  <c r="F99" i="27" s="1"/>
  <c r="O101" i="6"/>
  <c r="CG35" i="5"/>
  <c r="H4" i="34"/>
  <c r="N4" i="34" s="1"/>
  <c r="F6" i="31"/>
  <c r="H6" i="31" s="1"/>
  <c r="J6" i="31" s="1"/>
  <c r="H4" i="26"/>
  <c r="S53" i="6"/>
  <c r="T53" i="6" s="1"/>
  <c r="S56" i="6"/>
  <c r="T56" i="6" s="1"/>
  <c r="BF15" i="5"/>
  <c r="CT4" i="5"/>
  <c r="CW4" i="5"/>
  <c r="AI25" i="5"/>
  <c r="BE36" i="5"/>
  <c r="AI27" i="5"/>
  <c r="BE25" i="5"/>
  <c r="BD36" i="5"/>
  <c r="BD25" i="5"/>
  <c r="BF24" i="5"/>
  <c r="BE35" i="5"/>
  <c r="BD35" i="5"/>
  <c r="BE26" i="5"/>
  <c r="BE34" i="5"/>
  <c r="BD26" i="5"/>
  <c r="BD34" i="5"/>
  <c r="BE24" i="5"/>
  <c r="BD24" i="5"/>
  <c r="B61" i="1"/>
  <c r="CT6" i="5"/>
  <c r="BR9" i="5"/>
  <c r="BO9" i="5"/>
  <c r="BP9" i="5" s="1"/>
  <c r="BF26" i="5"/>
  <c r="BC40" i="5"/>
  <c r="BG40" i="5" s="1"/>
  <c r="BS19" i="5"/>
  <c r="BS20" i="5"/>
  <c r="BC39" i="5"/>
  <c r="BG39" i="5" s="1"/>
  <c r="BS10" i="5"/>
  <c r="BS9" i="5"/>
  <c r="T117" i="39"/>
  <c r="T120" i="39"/>
  <c r="AA35" i="27"/>
  <c r="AB34" i="27" s="1"/>
  <c r="AD34" i="27" s="1"/>
  <c r="R80" i="6"/>
  <c r="T80" i="6" s="1"/>
  <c r="S77" i="6"/>
  <c r="H55" i="9"/>
  <c r="G14" i="23"/>
  <c r="AN14" i="24" s="1"/>
  <c r="O18" i="9" s="1"/>
  <c r="AJ20" i="23"/>
  <c r="AJ20" i="26" s="1"/>
  <c r="S25" i="23"/>
  <c r="AB25" i="23" s="1"/>
  <c r="H50" i="9"/>
  <c r="AM27" i="25"/>
  <c r="AN19" i="25"/>
  <c r="N105" i="6"/>
  <c r="AL24" i="24" s="1"/>
  <c r="D16" i="27"/>
  <c r="C43" i="27"/>
  <c r="R16" i="27"/>
  <c r="Q15" i="27"/>
  <c r="AA39" i="27"/>
  <c r="AB38" i="27" s="1"/>
  <c r="AD38" i="27" s="1"/>
  <c r="CI10" i="7"/>
  <c r="CR10" i="7" s="1"/>
  <c r="DA10" i="7" s="1"/>
  <c r="DJ10" i="7" s="1"/>
  <c r="DS10" i="7" s="1"/>
  <c r="EB10" i="7" s="1"/>
  <c r="EK10" i="7" s="1"/>
  <c r="R19" i="7"/>
  <c r="CA35" i="5"/>
  <c r="AJ14" i="23"/>
  <c r="AJ14" i="26" s="1"/>
  <c r="R71" i="6"/>
  <c r="K71" i="6"/>
  <c r="S52" i="6"/>
  <c r="N100" i="6"/>
  <c r="AL19" i="24" s="1"/>
  <c r="M23" i="9" s="1"/>
  <c r="AC23" i="9" s="1"/>
  <c r="BF14" i="5"/>
  <c r="BE14" i="5"/>
  <c r="BD14" i="5"/>
  <c r="BB14" i="5"/>
  <c r="BR20" i="5"/>
  <c r="BO20" i="5"/>
  <c r="BP20" i="5" s="1"/>
  <c r="BF36" i="5"/>
  <c r="T122" i="39"/>
  <c r="T129" i="39"/>
  <c r="H49" i="9"/>
  <c r="P95" i="6"/>
  <c r="R79" i="6"/>
  <c r="K79" i="6"/>
  <c r="R72" i="6"/>
  <c r="T72" i="6" s="1"/>
  <c r="K72" i="6"/>
  <c r="AN20" i="25"/>
  <c r="AM18" i="25"/>
  <c r="AA30" i="27"/>
  <c r="AB29" i="27" s="1"/>
  <c r="AD29" i="27" s="1"/>
  <c r="N99" i="6"/>
  <c r="AL18" i="24" s="1"/>
  <c r="J16" i="7"/>
  <c r="E7" i="31"/>
  <c r="G7" i="31" s="1"/>
  <c r="I7" i="31" s="1"/>
  <c r="L7" i="31" s="1"/>
  <c r="G5" i="26"/>
  <c r="K5" i="26" s="1"/>
  <c r="K4" i="25"/>
  <c r="J5" i="25" s="1"/>
  <c r="K14" i="7"/>
  <c r="G5" i="34"/>
  <c r="J17" i="7"/>
  <c r="J18" i="7"/>
  <c r="P71" i="6"/>
  <c r="K52" i="6"/>
  <c r="CU4" i="5"/>
  <c r="CU16" i="5" s="1"/>
  <c r="CR16" i="5"/>
  <c r="R59" i="6"/>
  <c r="P59" i="6"/>
  <c r="K59" i="6"/>
  <c r="T11" i="23"/>
  <c r="U32" i="24"/>
  <c r="F36" i="9" s="1"/>
  <c r="O47" i="6"/>
  <c r="BR19" i="5"/>
  <c r="BO19" i="5"/>
  <c r="BP19" i="5" s="1"/>
  <c r="S73" i="6"/>
  <c r="T73" i="6" s="1"/>
  <c r="R64" i="6"/>
  <c r="K64" i="6"/>
  <c r="T16" i="23"/>
  <c r="O92" i="6"/>
  <c r="F27" i="23"/>
  <c r="AM27" i="24" s="1"/>
  <c r="N31" i="9" s="1"/>
  <c r="AC31" i="9" s="1"/>
  <c r="N93" i="6"/>
  <c r="AL12" i="24" s="1"/>
  <c r="N113" i="6"/>
  <c r="AL32" i="24" s="1"/>
  <c r="F12" i="23"/>
  <c r="AM12" i="24" s="1"/>
  <c r="N16" i="9" s="1"/>
  <c r="AJ11" i="23"/>
  <c r="AJ11" i="26" s="1"/>
  <c r="S79" i="6"/>
  <c r="AM23" i="25"/>
  <c r="AM8" i="25"/>
  <c r="M95" i="7"/>
  <c r="N95" i="7" s="1"/>
  <c r="O96" i="6"/>
  <c r="K15" i="7"/>
  <c r="G6" i="26"/>
  <c r="K6" i="26" s="1"/>
  <c r="E8" i="31"/>
  <c r="G8" i="31" s="1"/>
  <c r="Q85" i="6"/>
  <c r="N107" i="6"/>
  <c r="AL26" i="24" s="1"/>
  <c r="AA42" i="27"/>
  <c r="AB41" i="27" s="1"/>
  <c r="AD41" i="27" s="1"/>
  <c r="Z5" i="7"/>
  <c r="AX5" i="7" s="1"/>
  <c r="R63" i="6"/>
  <c r="T63" i="6" s="1"/>
  <c r="CY5" i="5"/>
  <c r="CM35" i="5" s="1"/>
  <c r="CV11" i="5"/>
  <c r="AJ8" i="23"/>
  <c r="AJ8" i="26" s="1"/>
  <c r="U8" i="23"/>
  <c r="AI26" i="5"/>
  <c r="BF29" i="5"/>
  <c r="BE29" i="5"/>
  <c r="BD29" i="5"/>
  <c r="BB29" i="5"/>
  <c r="T110" i="39"/>
  <c r="AA31" i="27"/>
  <c r="AB30" i="27" s="1"/>
  <c r="AD30" i="27" s="1"/>
  <c r="R77" i="6"/>
  <c r="P73" i="6"/>
  <c r="T32" i="23"/>
  <c r="H69" i="9"/>
  <c r="T12" i="23"/>
  <c r="F25" i="23"/>
  <c r="AM25" i="24" s="1"/>
  <c r="N29" i="9" s="1"/>
  <c r="T25" i="23"/>
  <c r="U29" i="23"/>
  <c r="AJ25" i="23"/>
  <c r="AJ25" i="26" s="1"/>
  <c r="G8" i="23"/>
  <c r="AN8" i="24" s="1"/>
  <c r="O12" i="9" s="1"/>
  <c r="AC12" i="9" s="1"/>
  <c r="S30" i="23"/>
  <c r="AB30" i="23" s="1"/>
  <c r="AN15" i="25"/>
  <c r="S19" i="23"/>
  <c r="AB19" i="23" s="1"/>
  <c r="O97" i="6"/>
  <c r="N96" i="6"/>
  <c r="AL15" i="24" s="1"/>
  <c r="AT16" i="35" s="1"/>
  <c r="T19" i="23"/>
  <c r="N106" i="6"/>
  <c r="AL25" i="24" s="1"/>
  <c r="AJ6" i="23"/>
  <c r="AJ6" i="26" s="1"/>
  <c r="K54" i="6"/>
  <c r="T6" i="23"/>
  <c r="CB35" i="5"/>
  <c r="CH35" i="5"/>
  <c r="CO35" i="5"/>
  <c r="CH42" i="5" s="1"/>
  <c r="CH48" i="5" s="1"/>
  <c r="CC35" i="5"/>
  <c r="CK35" i="5"/>
  <c r="CR11" i="5"/>
  <c r="CU23" i="5"/>
  <c r="CU29" i="5" s="1"/>
  <c r="CS23" i="5"/>
  <c r="CS29" i="5" s="1"/>
  <c r="AJ12" i="23"/>
  <c r="AJ12" i="26" s="1"/>
  <c r="BF16" i="5"/>
  <c r="BF19" i="5"/>
  <c r="BE19" i="5"/>
  <c r="BD19" i="5"/>
  <c r="BB19" i="5"/>
  <c r="BC38" i="5"/>
  <c r="BG38" i="5" s="1"/>
  <c r="BC37" i="5"/>
  <c r="BG37" i="5" s="1"/>
  <c r="T104" i="39"/>
  <c r="F16" i="23"/>
  <c r="AM16" i="24" s="1"/>
  <c r="N20" i="9" s="1"/>
  <c r="F32" i="23"/>
  <c r="AM32" i="24" s="1"/>
  <c r="N36" i="9" s="1"/>
  <c r="H62" i="9"/>
  <c r="T29" i="23"/>
  <c r="F11" i="23"/>
  <c r="AM11" i="24" s="1"/>
  <c r="N15" i="9" s="1"/>
  <c r="H57" i="9"/>
  <c r="S13" i="23"/>
  <c r="AB13" i="23" s="1"/>
  <c r="S16" i="23"/>
  <c r="AB16" i="23" s="1"/>
  <c r="AN22" i="25"/>
  <c r="AJ15" i="23"/>
  <c r="AJ15" i="26" s="1"/>
  <c r="D115" i="27"/>
  <c r="D52" i="45"/>
  <c r="S15" i="23"/>
  <c r="AB15" i="23" s="1"/>
  <c r="P66" i="6"/>
  <c r="N101" i="6"/>
  <c r="AL20" i="24" s="1"/>
  <c r="T31" i="23"/>
  <c r="O85" i="6"/>
  <c r="X8" i="9"/>
  <c r="W28" i="9"/>
  <c r="X4" i="31"/>
  <c r="K41" i="30"/>
  <c r="K47" i="30"/>
  <c r="G13" i="30"/>
  <c r="I42" i="30"/>
  <c r="G15" i="30"/>
  <c r="I44" i="30"/>
  <c r="I46" i="30"/>
  <c r="K43" i="30"/>
  <c r="K45" i="30"/>
  <c r="H15" i="30"/>
  <c r="J46" i="30"/>
  <c r="J42" i="30"/>
  <c r="J44" i="30"/>
  <c r="H13" i="30"/>
  <c r="AY30" i="24"/>
  <c r="H25" i="24"/>
  <c r="AT35" i="35"/>
  <c r="AT36" i="35"/>
  <c r="AV4" i="24"/>
  <c r="AT37" i="35"/>
  <c r="H21" i="24"/>
  <c r="AY18" i="24"/>
  <c r="AG33" i="46"/>
  <c r="AG32" i="46"/>
  <c r="AD35" i="46"/>
  <c r="AF35" i="46" s="1"/>
  <c r="W15" i="23"/>
  <c r="AD15" i="23" s="1"/>
  <c r="AG15" i="23" s="1"/>
  <c r="AI15" i="23" s="1"/>
  <c r="AQ15" i="26" s="1"/>
  <c r="R96" i="6"/>
  <c r="S96" i="6" s="1"/>
  <c r="BE12" i="36"/>
  <c r="BH12" i="36" s="1"/>
  <c r="O76" i="32"/>
  <c r="U23" i="36"/>
  <c r="BN12" i="36"/>
  <c r="BQ12" i="36" s="1"/>
  <c r="AV12" i="36"/>
  <c r="AY12" i="36" s="1"/>
  <c r="BN23" i="36"/>
  <c r="BQ23" i="36" s="1"/>
  <c r="AD12" i="36"/>
  <c r="BW23" i="36"/>
  <c r="BZ23" i="36" s="1"/>
  <c r="BW12" i="36"/>
  <c r="BZ12" i="36" s="1"/>
  <c r="CF23" i="36"/>
  <c r="CI23" i="36" s="1"/>
  <c r="J86" i="28"/>
  <c r="AM23" i="36"/>
  <c r="K86" i="28"/>
  <c r="AV23" i="36"/>
  <c r="AY23" i="36" s="1"/>
  <c r="E37" i="46"/>
  <c r="AM12" i="36"/>
  <c r="C12" i="36"/>
  <c r="F12" i="36" s="1"/>
  <c r="BE23" i="36"/>
  <c r="BH23" i="36" s="1"/>
  <c r="BN27" i="36"/>
  <c r="BQ27" i="36" s="1"/>
  <c r="AM11" i="36"/>
  <c r="AP11" i="36" s="1"/>
  <c r="O91" i="32"/>
  <c r="O87" i="32"/>
  <c r="AD23" i="36"/>
  <c r="BW27" i="36"/>
  <c r="BZ27" i="36" s="1"/>
  <c r="K101" i="28"/>
  <c r="L23" i="36"/>
  <c r="G90" i="28"/>
  <c r="C16" i="36" s="1"/>
  <c r="F16" i="36" s="1"/>
  <c r="G95" i="28"/>
  <c r="C21" i="36" s="1"/>
  <c r="F21" i="36" s="1"/>
  <c r="G98" i="28"/>
  <c r="U27" i="36"/>
  <c r="G93" i="28"/>
  <c r="L19" i="36" s="1"/>
  <c r="G89" i="28"/>
  <c r="C15" i="36" s="1"/>
  <c r="F15" i="36" s="1"/>
  <c r="K97" i="28"/>
  <c r="Q95" i="32"/>
  <c r="T95" i="32" s="1"/>
  <c r="Q85" i="32"/>
  <c r="T85" i="32" s="1"/>
  <c r="Q83" i="32"/>
  <c r="T83" i="32" s="1"/>
  <c r="G100" i="28"/>
  <c r="BN26" i="36" s="1"/>
  <c r="BQ26" i="36" s="1"/>
  <c r="Q93" i="32"/>
  <c r="T93" i="32" s="1"/>
  <c r="G102" i="28"/>
  <c r="Q90" i="32"/>
  <c r="T90" i="32" s="1"/>
  <c r="Q79" i="32"/>
  <c r="T79" i="32" s="1"/>
  <c r="Q84" i="32"/>
  <c r="T84" i="32" s="1"/>
  <c r="G84" i="28"/>
  <c r="C10" i="36" s="1"/>
  <c r="F10" i="36" s="1"/>
  <c r="G104" i="28"/>
  <c r="AV11" i="36"/>
  <c r="AY11" i="36" s="1"/>
  <c r="G94" i="28"/>
  <c r="C20" i="36" s="1"/>
  <c r="F20" i="36" s="1"/>
  <c r="Q82" i="32"/>
  <c r="T82" i="32" s="1"/>
  <c r="Q96" i="32"/>
  <c r="T96" i="32" s="1"/>
  <c r="Q81" i="32"/>
  <c r="T81" i="32" s="1"/>
  <c r="G106" i="28"/>
  <c r="E36" i="46"/>
  <c r="G87" i="28"/>
  <c r="C13" i="36" s="1"/>
  <c r="F13" i="36" s="1"/>
  <c r="Q74" i="32"/>
  <c r="T74" i="32" s="1"/>
  <c r="Q80" i="32"/>
  <c r="T80" i="32" s="1"/>
  <c r="Q77" i="32"/>
  <c r="T77" i="32" s="1"/>
  <c r="J101" i="28"/>
  <c r="J97" i="28"/>
  <c r="Q75" i="32"/>
  <c r="T75" i="32" s="1"/>
  <c r="Q94" i="32"/>
  <c r="T94" i="32" s="1"/>
  <c r="Q92" i="32"/>
  <c r="T92" i="32" s="1"/>
  <c r="Q87" i="32"/>
  <c r="T87" i="32" s="1"/>
  <c r="G96" i="28"/>
  <c r="C22" i="36" s="1"/>
  <c r="F22" i="36" s="1"/>
  <c r="G88" i="28"/>
  <c r="L14" i="36" s="1"/>
  <c r="G92" i="28"/>
  <c r="C18" i="36" s="1"/>
  <c r="F18" i="36" s="1"/>
  <c r="Q89" i="32"/>
  <c r="T89" i="32" s="1"/>
  <c r="Q86" i="32"/>
  <c r="T86" i="32" s="1"/>
  <c r="Q76" i="32"/>
  <c r="T76" i="32" s="1"/>
  <c r="J103" i="28"/>
  <c r="G91" i="28"/>
  <c r="L17" i="36" s="1"/>
  <c r="L27" i="36"/>
  <c r="Q88" i="32"/>
  <c r="T88" i="32" s="1"/>
  <c r="Q78" i="32"/>
  <c r="T78" i="32" s="1"/>
  <c r="Q91" i="32"/>
  <c r="T91" i="32" s="1"/>
  <c r="K28" i="47"/>
  <c r="S28" i="47" s="1"/>
  <c r="T28" i="47" s="1"/>
  <c r="K24" i="47"/>
  <c r="S24" i="47" s="1"/>
  <c r="T24" i="47" s="1"/>
  <c r="K26" i="47"/>
  <c r="S26" i="47" s="1"/>
  <c r="T26" i="47" s="1"/>
  <c r="O93" i="32"/>
  <c r="CA24" i="24"/>
  <c r="AX24" i="24" s="1"/>
  <c r="BZ24" i="24"/>
  <c r="AW24" i="24" s="1"/>
  <c r="L6" i="34"/>
  <c r="K6" i="34" s="1"/>
  <c r="CA4" i="24"/>
  <c r="AX4" i="24" s="1"/>
  <c r="L5" i="34"/>
  <c r="K5" i="34" s="1"/>
  <c r="L7" i="34"/>
  <c r="K7" i="34" s="1"/>
  <c r="L8" i="34"/>
  <c r="K8" i="34" s="1"/>
  <c r="AP25" i="26"/>
  <c r="BQ33" i="26"/>
  <c r="C19" i="43"/>
  <c r="AF25" i="26"/>
  <c r="AI31" i="26"/>
  <c r="AF31" i="26"/>
  <c r="AI25" i="26"/>
  <c r="AF18" i="26"/>
  <c r="AR31" i="26"/>
  <c r="AG18" i="26"/>
  <c r="AR9" i="26"/>
  <c r="AJ9" i="26"/>
  <c r="AG25" i="26"/>
  <c r="AO31" i="26"/>
  <c r="AG24" i="26"/>
  <c r="AP31" i="26"/>
  <c r="AO23" i="26"/>
  <c r="AO21" i="26"/>
  <c r="AO19" i="26"/>
  <c r="AP21" i="26"/>
  <c r="BQ29" i="26"/>
  <c r="AI24" i="26"/>
  <c r="AJ19" i="26"/>
  <c r="AR24" i="26"/>
  <c r="AJ24" i="26"/>
  <c r="AO28" i="26"/>
  <c r="BP22" i="26"/>
  <c r="BQ22" i="26"/>
  <c r="BP14" i="26"/>
  <c r="BQ14" i="26"/>
  <c r="AO24" i="26"/>
  <c r="BQ30" i="26"/>
  <c r="BP30" i="26"/>
  <c r="AP24" i="26"/>
  <c r="BQ20" i="26"/>
  <c r="BP20" i="26"/>
  <c r="BP4" i="26"/>
  <c r="BQ4" i="26"/>
  <c r="BQ19" i="26"/>
  <c r="BP19" i="26"/>
  <c r="AY4" i="26"/>
  <c r="AX4" i="26"/>
  <c r="BP5" i="26"/>
  <c r="BQ5" i="26"/>
  <c r="BP24" i="26"/>
  <c r="BQ24" i="26"/>
  <c r="BQ17" i="26"/>
  <c r="BP17" i="26"/>
  <c r="BQ28" i="26"/>
  <c r="BP28" i="26"/>
  <c r="BP26" i="26"/>
  <c r="BQ26" i="26"/>
  <c r="O4" i="26"/>
  <c r="P5" i="26"/>
  <c r="Q5" i="26" s="1"/>
  <c r="R4" i="26"/>
  <c r="S4" i="26"/>
  <c r="U4" i="26" s="1"/>
  <c r="BQ27" i="26"/>
  <c r="BP27" i="26"/>
  <c r="BQ16" i="26"/>
  <c r="BP16" i="26"/>
  <c r="BQ15" i="26"/>
  <c r="BP15" i="26"/>
  <c r="G6" i="34"/>
  <c r="N13" i="23"/>
  <c r="AO13" i="26" s="1"/>
  <c r="T16" i="24"/>
  <c r="G20" i="9" s="1"/>
  <c r="AJ13" i="24"/>
  <c r="K17" i="9" s="1"/>
  <c r="N14" i="23"/>
  <c r="AO14" i="26" s="1"/>
  <c r="R97" i="6"/>
  <c r="S97" i="6" s="1"/>
  <c r="AF14" i="26"/>
  <c r="Z6" i="7"/>
  <c r="AZ6" i="7" s="1"/>
  <c r="R92" i="7"/>
  <c r="S92" i="7" s="1"/>
  <c r="V92" i="7"/>
  <c r="Q96" i="7"/>
  <c r="R96" i="7" s="1"/>
  <c r="S96" i="7" s="1"/>
  <c r="R94" i="7"/>
  <c r="W94" i="7" s="1"/>
  <c r="Y94" i="7" s="1"/>
  <c r="G11" i="6" s="1"/>
  <c r="AI5" i="26"/>
  <c r="P30" i="23"/>
  <c r="AP30" i="26" s="1"/>
  <c r="AG11" i="26"/>
  <c r="P11" i="23"/>
  <c r="AP11" i="26" s="1"/>
  <c r="AF9" i="26"/>
  <c r="AN7" i="23"/>
  <c r="AO7" i="23" s="1"/>
  <c r="T23" i="24"/>
  <c r="G27" i="9" s="1"/>
  <c r="AK31" i="24"/>
  <c r="L35" i="9" s="1"/>
  <c r="N17" i="23"/>
  <c r="AO17" i="26" s="1"/>
  <c r="AG14" i="26"/>
  <c r="AM10" i="23"/>
  <c r="AR10" i="26" s="1"/>
  <c r="W16" i="23"/>
  <c r="AD16" i="23" s="1"/>
  <c r="AH16" i="26" s="1"/>
  <c r="AG31" i="26"/>
  <c r="R112" i="6"/>
  <c r="S112" i="6" s="1"/>
  <c r="P14" i="23"/>
  <c r="AP14" i="26" s="1"/>
  <c r="AF17" i="26"/>
  <c r="T31" i="24"/>
  <c r="AO31" i="24" s="1"/>
  <c r="P35" i="9" s="1"/>
  <c r="S94" i="6"/>
  <c r="F60" i="9"/>
  <c r="F50" i="9"/>
  <c r="P13" i="23"/>
  <c r="AP13" i="26" s="1"/>
  <c r="AG19" i="26"/>
  <c r="AO12" i="24"/>
  <c r="P16" i="9" s="1"/>
  <c r="AO8" i="24"/>
  <c r="P12" i="9" s="1"/>
  <c r="P9" i="23"/>
  <c r="AP9" i="26" s="1"/>
  <c r="AK33" i="24"/>
  <c r="L37" i="9" s="1"/>
  <c r="AG9" i="26"/>
  <c r="P18" i="23"/>
  <c r="AP18" i="26" s="1"/>
  <c r="P33" i="23"/>
  <c r="AP33" i="26" s="1"/>
  <c r="AG13" i="26"/>
  <c r="P19" i="23"/>
  <c r="AP19" i="26" s="1"/>
  <c r="T27" i="24"/>
  <c r="G31" i="9" s="1"/>
  <c r="W8" i="23"/>
  <c r="AD8" i="23" s="1"/>
  <c r="AG8" i="23" s="1"/>
  <c r="AI8" i="23" s="1"/>
  <c r="AQ8" i="26" s="1"/>
  <c r="R89" i="6"/>
  <c r="S89" i="6" s="1"/>
  <c r="AI17" i="26"/>
  <c r="F70" i="9"/>
  <c r="W12" i="23"/>
  <c r="AD12" i="23" s="1"/>
  <c r="AG12" i="23" s="1"/>
  <c r="AI12" i="23" s="1"/>
  <c r="AQ12" i="26" s="1"/>
  <c r="R93" i="6"/>
  <c r="S93" i="6" s="1"/>
  <c r="Q142" i="29"/>
  <c r="I91" i="29"/>
  <c r="BI129" i="36"/>
  <c r="I198" i="29"/>
  <c r="AQ231" i="36"/>
  <c r="Y330" i="36"/>
  <c r="AQ228" i="36"/>
  <c r="G270" i="36"/>
  <c r="Y121" i="36"/>
  <c r="AZ131" i="36"/>
  <c r="Y168" i="36"/>
  <c r="AZ366" i="36"/>
  <c r="P217" i="36"/>
  <c r="AZ128" i="36"/>
  <c r="BI441" i="36"/>
  <c r="AZ442" i="36"/>
  <c r="Y217" i="36"/>
  <c r="BR239" i="36"/>
  <c r="G330" i="36"/>
  <c r="P270" i="36"/>
  <c r="AZ371" i="36"/>
  <c r="BI88" i="36"/>
  <c r="P473" i="36"/>
  <c r="AH280" i="36"/>
  <c r="BI177" i="36"/>
  <c r="Q121" i="29"/>
  <c r="AZ88" i="36"/>
  <c r="G473" i="36"/>
  <c r="Y397" i="36"/>
  <c r="AQ233" i="36"/>
  <c r="AZ177" i="36"/>
  <c r="AZ378" i="36"/>
  <c r="BI378" i="36"/>
  <c r="Y215" i="36"/>
  <c r="Y473" i="36"/>
  <c r="G212" i="36"/>
  <c r="P397" i="36"/>
  <c r="BI89" i="36"/>
  <c r="P215" i="36"/>
  <c r="AH342" i="36"/>
  <c r="AH489" i="36"/>
  <c r="P212" i="36"/>
  <c r="AQ425" i="36"/>
  <c r="Y56" i="36"/>
  <c r="Q208" i="29"/>
  <c r="AH56" i="36"/>
  <c r="AQ56" i="36"/>
  <c r="G11" i="9"/>
  <c r="AO7" i="24"/>
  <c r="P11" i="9" s="1"/>
  <c r="I76" i="32"/>
  <c r="I78" i="32"/>
  <c r="E66" i="32"/>
  <c r="I80" i="32" s="1"/>
  <c r="E25" i="46"/>
  <c r="O73" i="32"/>
  <c r="BN25" i="36"/>
  <c r="BQ25" i="36" s="1"/>
  <c r="F9" i="36"/>
  <c r="L24" i="36"/>
  <c r="L25" i="36"/>
  <c r="C25" i="36"/>
  <c r="F25" i="36" s="1"/>
  <c r="L16" i="36"/>
  <c r="L31" i="36"/>
  <c r="C31" i="36"/>
  <c r="F31" i="36" s="1"/>
  <c r="C11" i="36"/>
  <c r="F11" i="36" s="1"/>
  <c r="L11" i="36"/>
  <c r="C17" i="36"/>
  <c r="F17" i="36" s="1"/>
  <c r="L15" i="36"/>
  <c r="U31" i="36"/>
  <c r="L18" i="36"/>
  <c r="L20" i="36"/>
  <c r="L10" i="36"/>
  <c r="U36" i="41"/>
  <c r="AQ84" i="36"/>
  <c r="G217" i="36"/>
  <c r="Y80" i="36"/>
  <c r="G122" i="36"/>
  <c r="P80" i="36"/>
  <c r="Y153" i="29"/>
  <c r="P162" i="36"/>
  <c r="I160" i="29"/>
  <c r="Y109" i="29"/>
  <c r="AH409" i="36"/>
  <c r="AQ178" i="36"/>
  <c r="AH223" i="36"/>
  <c r="P122" i="36"/>
  <c r="G162" i="36"/>
  <c r="Y88" i="29"/>
  <c r="P118" i="36"/>
  <c r="G120" i="36"/>
  <c r="P120" i="36"/>
  <c r="Y120" i="36"/>
  <c r="D11" i="32"/>
  <c r="Y118" i="36"/>
  <c r="P81" i="36"/>
  <c r="P86" i="36"/>
  <c r="G53" i="36"/>
  <c r="P121" i="36"/>
  <c r="G118" i="36"/>
  <c r="AQ126" i="36"/>
  <c r="P55" i="36"/>
  <c r="AH54" i="36"/>
  <c r="G83" i="36"/>
  <c r="AH85" i="36"/>
  <c r="G121" i="36"/>
  <c r="AQ129" i="36"/>
  <c r="Y78" i="36"/>
  <c r="AQ55" i="36"/>
  <c r="Y79" i="29"/>
  <c r="G54" i="36"/>
  <c r="AQ83" i="36"/>
  <c r="G79" i="36"/>
  <c r="P79" i="36"/>
  <c r="Y79" i="36"/>
  <c r="AH81" i="36"/>
  <c r="G55" i="36"/>
  <c r="Y54" i="36"/>
  <c r="BR413" i="36"/>
  <c r="Y84" i="36"/>
  <c r="AH86" i="36"/>
  <c r="P84" i="36"/>
  <c r="AQ88" i="36"/>
  <c r="X74" i="29"/>
  <c r="AQ82" i="36"/>
  <c r="Y55" i="36"/>
  <c r="AQ54" i="36"/>
  <c r="AH87" i="36"/>
  <c r="AQ89" i="36"/>
  <c r="G85" i="36"/>
  <c r="P85" i="36"/>
  <c r="Y85" i="36"/>
  <c r="G395" i="36"/>
  <c r="Y395" i="36"/>
  <c r="G78" i="36"/>
  <c r="AH80" i="36"/>
  <c r="G15" i="27"/>
  <c r="Y142" i="29"/>
  <c r="AQ500" i="36"/>
  <c r="G468" i="36"/>
  <c r="AH484" i="36"/>
  <c r="Y163" i="29"/>
  <c r="Y468" i="36"/>
  <c r="P468" i="36"/>
  <c r="AQ287" i="36"/>
  <c r="AH277" i="36"/>
  <c r="G267" i="36"/>
  <c r="Y267" i="36"/>
  <c r="Y133" i="29"/>
  <c r="P267" i="36"/>
  <c r="Y331" i="36"/>
  <c r="P331" i="36"/>
  <c r="G331" i="36"/>
  <c r="AH343" i="36"/>
  <c r="AQ355" i="36"/>
  <c r="Y100" i="29"/>
  <c r="AQ125" i="36"/>
  <c r="AH121" i="36"/>
  <c r="G117" i="36"/>
  <c r="Y117" i="36"/>
  <c r="P117" i="36"/>
  <c r="P210" i="36"/>
  <c r="G210" i="36"/>
  <c r="Y121" i="29"/>
  <c r="Y210" i="36"/>
  <c r="AQ226" i="36"/>
  <c r="AH218" i="36"/>
  <c r="BI234" i="36"/>
  <c r="AZ234" i="36"/>
  <c r="BI125" i="36"/>
  <c r="AZ125" i="36"/>
  <c r="AZ367" i="36"/>
  <c r="BI367" i="36"/>
  <c r="I178" i="29"/>
  <c r="BN31" i="36"/>
  <c r="BQ31" i="36" s="1"/>
  <c r="K105" i="28"/>
  <c r="AD31" i="36"/>
  <c r="J85" i="28"/>
  <c r="BW31" i="36"/>
  <c r="BZ31" i="36" s="1"/>
  <c r="U11" i="36"/>
  <c r="X11" i="36" s="1"/>
  <c r="AP27" i="36"/>
  <c r="AM31" i="36"/>
  <c r="AP31" i="36" s="1"/>
  <c r="BN11" i="36"/>
  <c r="BQ11" i="36" s="1"/>
  <c r="BE11" i="36"/>
  <c r="BH11" i="36" s="1"/>
  <c r="AM25" i="36"/>
  <c r="AV31" i="36"/>
  <c r="AY31" i="36" s="1"/>
  <c r="CF11" i="36"/>
  <c r="CI11" i="36" s="1"/>
  <c r="CF31" i="36"/>
  <c r="CI31" i="36" s="1"/>
  <c r="AP23" i="36"/>
  <c r="K85" i="28"/>
  <c r="M14" i="28"/>
  <c r="N14" i="28" s="1"/>
  <c r="AP29" i="36"/>
  <c r="U25" i="36"/>
  <c r="BE25" i="36"/>
  <c r="BH25" i="36" s="1"/>
  <c r="AD25" i="36"/>
  <c r="CF25" i="36"/>
  <c r="CI25" i="36" s="1"/>
  <c r="BW25" i="36"/>
  <c r="BZ25" i="36" s="1"/>
  <c r="CF9" i="36"/>
  <c r="CI9" i="36" s="1"/>
  <c r="BN9" i="36"/>
  <c r="BQ9" i="36" s="1"/>
  <c r="AV9" i="36"/>
  <c r="AY9" i="36" s="1"/>
  <c r="AM9" i="36"/>
  <c r="AP9" i="36" s="1"/>
  <c r="BE9" i="36"/>
  <c r="BH9" i="36" s="1"/>
  <c r="U9" i="36"/>
  <c r="BW9" i="36"/>
  <c r="BZ9" i="36" s="1"/>
  <c r="E34" i="46"/>
  <c r="AD9" i="36"/>
  <c r="AV25" i="36"/>
  <c r="AY25" i="36" s="1"/>
  <c r="A7" i="29"/>
  <c r="A5" i="29"/>
  <c r="C8" i="45"/>
  <c r="I6" i="45"/>
  <c r="G4" i="29"/>
  <c r="H4" i="29" s="1"/>
  <c r="C4" i="36" s="1"/>
  <c r="A4" i="29"/>
  <c r="L103" i="41"/>
  <c r="S96" i="32"/>
  <c r="S92" i="32"/>
  <c r="S88" i="32"/>
  <c r="S84" i="32"/>
  <c r="S80" i="32"/>
  <c r="S76" i="32"/>
  <c r="L86" i="41"/>
  <c r="L91" i="41"/>
  <c r="P16" i="28"/>
  <c r="S95" i="32"/>
  <c r="S91" i="32"/>
  <c r="S87" i="32"/>
  <c r="S83" i="32"/>
  <c r="S79" i="32"/>
  <c r="S75" i="32"/>
  <c r="L113" i="41"/>
  <c r="L93" i="41"/>
  <c r="L96" i="41"/>
  <c r="L106" i="41"/>
  <c r="S94" i="32"/>
  <c r="S90" i="32"/>
  <c r="S86" i="32"/>
  <c r="S82" i="32"/>
  <c r="S78" i="32"/>
  <c r="S74" i="32"/>
  <c r="L98" i="41"/>
  <c r="L108" i="41"/>
  <c r="S93" i="32"/>
  <c r="S89" i="32"/>
  <c r="S85" i="32"/>
  <c r="S81" i="32"/>
  <c r="S77" i="32"/>
  <c r="S73" i="32"/>
  <c r="L88" i="41"/>
  <c r="L111" i="41"/>
  <c r="L101" i="41"/>
  <c r="O95" i="32"/>
  <c r="J105" i="28"/>
  <c r="BE31" i="36"/>
  <c r="BH31" i="36" s="1"/>
  <c r="BW11" i="36"/>
  <c r="BZ11" i="36" s="1"/>
  <c r="AD11" i="36"/>
  <c r="J99" i="28"/>
  <c r="K99" i="28"/>
  <c r="O89" i="32"/>
  <c r="J90" i="28"/>
  <c r="K90" i="28"/>
  <c r="E41" i="46"/>
  <c r="BE16" i="36"/>
  <c r="BH16" i="36" s="1"/>
  <c r="AV16" i="36"/>
  <c r="AY16" i="36" s="1"/>
  <c r="CF16" i="36"/>
  <c r="CI16" i="36" s="1"/>
  <c r="AM16" i="36"/>
  <c r="AP16" i="36" s="1"/>
  <c r="BW16" i="36"/>
  <c r="BZ16" i="36" s="1"/>
  <c r="AD16" i="36"/>
  <c r="O80" i="32"/>
  <c r="BN16" i="36"/>
  <c r="BQ16" i="36" s="1"/>
  <c r="U16" i="36"/>
  <c r="AM28" i="36"/>
  <c r="AP28" i="36" s="1"/>
  <c r="BE28" i="36"/>
  <c r="BH28" i="36" s="1"/>
  <c r="AV28" i="36"/>
  <c r="AY28" i="36" s="1"/>
  <c r="BN22" i="36"/>
  <c r="BQ22" i="36" s="1"/>
  <c r="BE22" i="36"/>
  <c r="BH22" i="36" s="1"/>
  <c r="U22" i="36"/>
  <c r="X22" i="36" s="1"/>
  <c r="AV22" i="36"/>
  <c r="AY22" i="36" s="1"/>
  <c r="O86" i="32"/>
  <c r="CF22" i="36"/>
  <c r="CI22" i="36" s="1"/>
  <c r="AM22" i="36"/>
  <c r="E47" i="46"/>
  <c r="J96" i="28"/>
  <c r="BW22" i="36"/>
  <c r="BZ22" i="36" s="1"/>
  <c r="K96" i="28"/>
  <c r="J91" i="28"/>
  <c r="O81" i="32"/>
  <c r="BN17" i="36"/>
  <c r="BQ17" i="36" s="1"/>
  <c r="U17" i="36"/>
  <c r="K91" i="28"/>
  <c r="E42" i="46"/>
  <c r="BE17" i="36"/>
  <c r="BH17" i="36" s="1"/>
  <c r="CF17" i="36"/>
  <c r="CI17" i="36" s="1"/>
  <c r="AM17" i="36"/>
  <c r="AP17" i="36" s="1"/>
  <c r="BW17" i="36"/>
  <c r="BZ17" i="36" s="1"/>
  <c r="AV17" i="36"/>
  <c r="AY17" i="36" s="1"/>
  <c r="AD17" i="36"/>
  <c r="J92" i="28"/>
  <c r="K92" i="28"/>
  <c r="E43" i="46"/>
  <c r="AV18" i="36"/>
  <c r="AY18" i="36" s="1"/>
  <c r="CF18" i="36"/>
  <c r="CI18" i="36" s="1"/>
  <c r="AM18" i="36"/>
  <c r="BW18" i="36"/>
  <c r="BZ18" i="36" s="1"/>
  <c r="AD18" i="36"/>
  <c r="BN18" i="36"/>
  <c r="BQ18" i="36" s="1"/>
  <c r="U18" i="36"/>
  <c r="O82" i="32"/>
  <c r="BE18" i="36"/>
  <c r="BH18" i="36" s="1"/>
  <c r="K88" i="28"/>
  <c r="O78" i="32"/>
  <c r="E39" i="46"/>
  <c r="BE14" i="36"/>
  <c r="BH14" i="36" s="1"/>
  <c r="AV14" i="36"/>
  <c r="AY14" i="36" s="1"/>
  <c r="U14" i="36"/>
  <c r="K84" i="28"/>
  <c r="E35" i="46"/>
  <c r="BW10" i="36"/>
  <c r="BZ10" i="36" s="1"/>
  <c r="AD10" i="36"/>
  <c r="BN10" i="36"/>
  <c r="BQ10" i="36" s="1"/>
  <c r="U10" i="36"/>
  <c r="X10" i="36" s="1"/>
  <c r="O74" i="32"/>
  <c r="AV10" i="36"/>
  <c r="AY10" i="36" s="1"/>
  <c r="J84" i="28"/>
  <c r="CF10" i="36"/>
  <c r="CI10" i="36" s="1"/>
  <c r="BE10" i="36"/>
  <c r="BH10" i="36" s="1"/>
  <c r="AM10" i="36"/>
  <c r="AP10" i="36" s="1"/>
  <c r="AD21" i="36"/>
  <c r="O85" i="32"/>
  <c r="BN21" i="36"/>
  <c r="BQ21" i="36" s="1"/>
  <c r="CF21" i="36"/>
  <c r="CI21" i="36" s="1"/>
  <c r="CF13" i="36"/>
  <c r="CI13" i="36" s="1"/>
  <c r="E40" i="46"/>
  <c r="J89" i="28"/>
  <c r="O79" i="32"/>
  <c r="CF15" i="36"/>
  <c r="CI15" i="36" s="1"/>
  <c r="AM15" i="36"/>
  <c r="AP15" i="36" s="1"/>
  <c r="BW15" i="36"/>
  <c r="BZ15" i="36" s="1"/>
  <c r="AD15" i="36"/>
  <c r="BN15" i="36"/>
  <c r="BQ15" i="36" s="1"/>
  <c r="U15" i="36"/>
  <c r="K89" i="28"/>
  <c r="BE15" i="36"/>
  <c r="BH15" i="36" s="1"/>
  <c r="AV15" i="36"/>
  <c r="AY15" i="36" s="1"/>
  <c r="CF20" i="36"/>
  <c r="CI20" i="36" s="1"/>
  <c r="AM20" i="36"/>
  <c r="AP20" i="36" s="1"/>
  <c r="E45" i="46"/>
  <c r="O84" i="32"/>
  <c r="BW20" i="36"/>
  <c r="BZ20" i="36" s="1"/>
  <c r="AD20" i="36"/>
  <c r="J94" i="28"/>
  <c r="BN20" i="36"/>
  <c r="BQ20" i="36" s="1"/>
  <c r="BE20" i="36"/>
  <c r="BH20" i="36" s="1"/>
  <c r="U20" i="36"/>
  <c r="X20" i="36" s="1"/>
  <c r="AV20" i="36"/>
  <c r="AY20" i="36" s="1"/>
  <c r="K94" i="28"/>
  <c r="CF24" i="36"/>
  <c r="CI24" i="36" s="1"/>
  <c r="AM24" i="36"/>
  <c r="BW24" i="36"/>
  <c r="BZ24" i="36" s="1"/>
  <c r="AD24" i="36"/>
  <c r="AG24" i="36" s="1"/>
  <c r="O88" i="32"/>
  <c r="BN24" i="36"/>
  <c r="BQ24" i="36" s="1"/>
  <c r="BE24" i="36"/>
  <c r="BH24" i="36" s="1"/>
  <c r="U24" i="36"/>
  <c r="AV24" i="36"/>
  <c r="AY24" i="36" s="1"/>
  <c r="K98" i="28"/>
  <c r="J98" i="28"/>
  <c r="AG9" i="23"/>
  <c r="AI9" i="23" s="1"/>
  <c r="AQ9" i="26" s="1"/>
  <c r="AH9" i="26"/>
  <c r="AC31" i="24"/>
  <c r="L112" i="6"/>
  <c r="AB5" i="24"/>
  <c r="K86" i="6"/>
  <c r="AD5" i="24"/>
  <c r="M86" i="6"/>
  <c r="U10" i="24"/>
  <c r="F14" i="9" s="1"/>
  <c r="O25" i="6"/>
  <c r="AB13" i="24"/>
  <c r="K94" i="6"/>
  <c r="AB7" i="24"/>
  <c r="K88" i="6"/>
  <c r="AC7" i="24"/>
  <c r="L88" i="6"/>
  <c r="AC30" i="24"/>
  <c r="L111" i="6"/>
  <c r="AB9" i="24"/>
  <c r="K90" i="6"/>
  <c r="AD19" i="24"/>
  <c r="M100" i="6"/>
  <c r="AD18" i="24"/>
  <c r="M99" i="6"/>
  <c r="U11" i="24"/>
  <c r="F15" i="9" s="1"/>
  <c r="O26" i="6"/>
  <c r="AD33" i="24"/>
  <c r="M114" i="6"/>
  <c r="AD14" i="24"/>
  <c r="M95" i="6"/>
  <c r="J73" i="1"/>
  <c r="K73" i="1" s="1"/>
  <c r="H73" i="1"/>
  <c r="I72" i="1" s="1"/>
  <c r="E98" i="1" s="1"/>
  <c r="AB31" i="24"/>
  <c r="K112" i="6"/>
  <c r="AD16" i="24"/>
  <c r="M97" i="6"/>
  <c r="AC10" i="24"/>
  <c r="L91" i="6"/>
  <c r="D40" i="2"/>
  <c r="E40" i="2" s="1"/>
  <c r="Q60" i="6"/>
  <c r="Q55" i="6"/>
  <c r="AD17" i="24"/>
  <c r="M98" i="6"/>
  <c r="AC4" i="24"/>
  <c r="L85" i="6"/>
  <c r="AB19" i="24"/>
  <c r="K100" i="6"/>
  <c r="AD6" i="24"/>
  <c r="M87" i="6"/>
  <c r="U6" i="24"/>
  <c r="F10" i="9" s="1"/>
  <c r="O21" i="6"/>
  <c r="AB18" i="24"/>
  <c r="K99" i="6"/>
  <c r="AD11" i="24"/>
  <c r="M92" i="6"/>
  <c r="AB11" i="24"/>
  <c r="K92" i="6"/>
  <c r="AC33" i="24"/>
  <c r="L114" i="6"/>
  <c r="AB14" i="24"/>
  <c r="K95" i="6"/>
  <c r="N23" i="6"/>
  <c r="W93" i="7"/>
  <c r="U5" i="24"/>
  <c r="F9" i="9" s="1"/>
  <c r="O20" i="6"/>
  <c r="S60" i="6"/>
  <c r="T60" i="6" s="1"/>
  <c r="S55" i="6"/>
  <c r="T55" i="6" s="1"/>
  <c r="S58" i="6"/>
  <c r="S54" i="6"/>
  <c r="T54" i="6" s="1"/>
  <c r="AD30" i="24"/>
  <c r="M111" i="6"/>
  <c r="AB17" i="24"/>
  <c r="K98" i="6"/>
  <c r="U9" i="24"/>
  <c r="F13" i="9" s="1"/>
  <c r="O24" i="6"/>
  <c r="AB6" i="24"/>
  <c r="K87" i="6"/>
  <c r="AC14" i="24"/>
  <c r="L95" i="6"/>
  <c r="BG4" i="45"/>
  <c r="BX4" i="45"/>
  <c r="AJ5" i="23"/>
  <c r="AJ5" i="26" s="1"/>
  <c r="G5" i="23"/>
  <c r="AN5" i="24" s="1"/>
  <c r="O9" i="9" s="1"/>
  <c r="U5" i="23"/>
  <c r="P86" i="6"/>
  <c r="J80" i="1"/>
  <c r="K80" i="1" s="1"/>
  <c r="H80" i="1"/>
  <c r="AB16" i="24"/>
  <c r="K97" i="6"/>
  <c r="J77" i="1"/>
  <c r="K77" i="1" s="1"/>
  <c r="AC13" i="24"/>
  <c r="L94" i="6"/>
  <c r="U13" i="24"/>
  <c r="F17" i="9" s="1"/>
  <c r="O28" i="6"/>
  <c r="AB30" i="24"/>
  <c r="K111" i="6"/>
  <c r="AC8" i="24"/>
  <c r="L89" i="6"/>
  <c r="AI14" i="26"/>
  <c r="T9" i="24"/>
  <c r="AO9" i="24" s="1"/>
  <c r="P13" i="9" s="1"/>
  <c r="P24" i="6"/>
  <c r="J74" i="1"/>
  <c r="K74" i="1" s="1"/>
  <c r="Y9" i="23"/>
  <c r="AL9" i="23" s="1"/>
  <c r="AN9" i="23" s="1"/>
  <c r="AP9" i="23" s="1"/>
  <c r="AS9" i="26" s="1"/>
  <c r="Q57" i="6"/>
  <c r="J79" i="1"/>
  <c r="K79" i="1" s="1"/>
  <c r="H79" i="1"/>
  <c r="N10" i="23"/>
  <c r="AO10" i="26" s="1"/>
  <c r="AJ10" i="24"/>
  <c r="K14" i="9" s="1"/>
  <c r="AC15" i="24"/>
  <c r="L96" i="6"/>
  <c r="AC9" i="24"/>
  <c r="L90" i="6"/>
  <c r="AF11" i="26"/>
  <c r="AJ11" i="24"/>
  <c r="K15" i="9" s="1"/>
  <c r="AB33" i="24"/>
  <c r="K114" i="6"/>
  <c r="R90" i="6"/>
  <c r="S90" i="6" s="1"/>
  <c r="J84" i="1"/>
  <c r="K84" i="1" s="1"/>
  <c r="J85" i="1"/>
  <c r="K85" i="1" s="1"/>
  <c r="J75" i="1"/>
  <c r="K75" i="1" s="1"/>
  <c r="J72" i="1"/>
  <c r="K72" i="1" s="1"/>
  <c r="J83" i="1"/>
  <c r="K83" i="1" s="1"/>
  <c r="AC16" i="24"/>
  <c r="L97" i="6"/>
  <c r="AC5" i="24"/>
  <c r="L86" i="6"/>
  <c r="AD10" i="24"/>
  <c r="M91" i="6"/>
  <c r="AD13" i="24"/>
  <c r="M94" i="6"/>
  <c r="AD9" i="24"/>
  <c r="M90" i="6"/>
  <c r="AB4" i="24"/>
  <c r="K85" i="6"/>
  <c r="AD4" i="24"/>
  <c r="M85" i="6"/>
  <c r="AC6" i="24"/>
  <c r="L87" i="6"/>
  <c r="J87" i="1"/>
  <c r="K87" i="1" s="1"/>
  <c r="H87" i="1"/>
  <c r="AB10" i="24"/>
  <c r="K91" i="6"/>
  <c r="AD7" i="24"/>
  <c r="M88" i="6"/>
  <c r="U7" i="24"/>
  <c r="F11" i="9" s="1"/>
  <c r="O22" i="6"/>
  <c r="U30" i="24"/>
  <c r="F34" i="9" s="1"/>
  <c r="O45" i="6"/>
  <c r="AD15" i="24"/>
  <c r="M96" i="6"/>
  <c r="AC19" i="24"/>
  <c r="L100" i="6"/>
  <c r="AC18" i="24"/>
  <c r="L99" i="6"/>
  <c r="AC11" i="24"/>
  <c r="L92" i="6"/>
  <c r="AD8" i="24"/>
  <c r="M89" i="6"/>
  <c r="AB8" i="24"/>
  <c r="K89" i="6"/>
  <c r="S97" i="7"/>
  <c r="W97" i="7"/>
  <c r="W7" i="23"/>
  <c r="AD7" i="23" s="1"/>
  <c r="R88" i="6"/>
  <c r="S88" i="6" s="1"/>
  <c r="J86" i="1"/>
  <c r="K86" i="1" s="1"/>
  <c r="H86" i="1"/>
  <c r="J81" i="1"/>
  <c r="K81" i="1" s="1"/>
  <c r="J82" i="1"/>
  <c r="K82" i="1" s="1"/>
  <c r="T58" i="6"/>
  <c r="P120" i="39"/>
  <c r="Q120" i="39" s="1"/>
  <c r="AD31" i="24"/>
  <c r="M112" i="6"/>
  <c r="U31" i="24"/>
  <c r="F35" i="9" s="1"/>
  <c r="O46" i="6"/>
  <c r="AC17" i="24"/>
  <c r="L98" i="6"/>
  <c r="AB15" i="24"/>
  <c r="K96" i="6"/>
  <c r="U4" i="24"/>
  <c r="F8" i="9" s="1"/>
  <c r="O19" i="6"/>
  <c r="U33" i="24"/>
  <c r="F37" i="9" s="1"/>
  <c r="O48" i="6"/>
  <c r="Z4" i="31"/>
  <c r="Y20" i="23"/>
  <c r="AL20" i="23" s="1"/>
  <c r="AN20" i="23" s="1"/>
  <c r="Q68" i="6"/>
  <c r="P28" i="6"/>
  <c r="Y6" i="23"/>
  <c r="AL6" i="23" s="1"/>
  <c r="AN6" i="23" s="1"/>
  <c r="Q54" i="6"/>
  <c r="T13" i="24"/>
  <c r="AO13" i="24" s="1"/>
  <c r="P17" i="9" s="1"/>
  <c r="W13" i="23"/>
  <c r="AD13" i="23" s="1"/>
  <c r="W6" i="23"/>
  <c r="AD6" i="23" s="1"/>
  <c r="T6" i="24"/>
  <c r="R87" i="6"/>
  <c r="S87" i="6" s="1"/>
  <c r="AN8" i="23"/>
  <c r="AO8" i="23" s="1"/>
  <c r="AR28" i="26"/>
  <c r="W17" i="23"/>
  <c r="AD17" i="23" s="1"/>
  <c r="R98" i="6"/>
  <c r="S98" i="6" s="1"/>
  <c r="T17" i="24"/>
  <c r="Y14" i="23"/>
  <c r="AL14" i="23" s="1"/>
  <c r="AN14" i="23" s="1"/>
  <c r="AO14" i="23" s="1"/>
  <c r="Q62" i="6"/>
  <c r="Y5" i="23"/>
  <c r="AL5" i="23" s="1"/>
  <c r="AN5" i="23" s="1"/>
  <c r="Q53" i="6"/>
  <c r="AG31" i="23"/>
  <c r="AI31" i="23" s="1"/>
  <c r="AQ31" i="26" s="1"/>
  <c r="W30" i="23"/>
  <c r="AD30" i="23" s="1"/>
  <c r="T30" i="24"/>
  <c r="R111" i="6"/>
  <c r="S111" i="6" s="1"/>
  <c r="P45" i="6"/>
  <c r="Q45" i="6" s="1"/>
  <c r="W14" i="23"/>
  <c r="AD14" i="23" s="1"/>
  <c r="R95" i="6"/>
  <c r="S95" i="6" s="1"/>
  <c r="T14" i="24"/>
  <c r="W18" i="23"/>
  <c r="AD18" i="23" s="1"/>
  <c r="T18" i="24"/>
  <c r="R99" i="6"/>
  <c r="S99" i="6" s="1"/>
  <c r="W20" i="23"/>
  <c r="AD20" i="23" s="1"/>
  <c r="R101" i="6"/>
  <c r="S101" i="6" s="1"/>
  <c r="T20" i="24"/>
  <c r="R104" i="6"/>
  <c r="S104" i="6" s="1"/>
  <c r="T29" i="24"/>
  <c r="G33" i="9" s="1"/>
  <c r="R108" i="6"/>
  <c r="S108" i="6" s="1"/>
  <c r="P42" i="6"/>
  <c r="Q42" i="6" s="1"/>
  <c r="W10" i="23"/>
  <c r="AD10" i="23" s="1"/>
  <c r="T10" i="24"/>
  <c r="R91" i="6"/>
  <c r="S91" i="6" s="1"/>
  <c r="Q58" i="6"/>
  <c r="Y10" i="23"/>
  <c r="AL10" i="23" s="1"/>
  <c r="R110" i="6"/>
  <c r="W33" i="23"/>
  <c r="AD33" i="23" s="1"/>
  <c r="R114" i="6"/>
  <c r="S114" i="6" s="1"/>
  <c r="T33" i="24"/>
  <c r="P48" i="6"/>
  <c r="AH29" i="26"/>
  <c r="AG29" i="23"/>
  <c r="AI29" i="23" s="1"/>
  <c r="AQ29" i="26" s="1"/>
  <c r="W11" i="23"/>
  <c r="AD11" i="23" s="1"/>
  <c r="T11" i="24"/>
  <c r="R92" i="6"/>
  <c r="S92" i="6" s="1"/>
  <c r="P26" i="6"/>
  <c r="AH27" i="26"/>
  <c r="AG27" i="23"/>
  <c r="AI27" i="23" s="1"/>
  <c r="AQ27" i="26" s="1"/>
  <c r="W22" i="23"/>
  <c r="AD22" i="23" s="1"/>
  <c r="R103" i="6"/>
  <c r="S103" i="6" s="1"/>
  <c r="T22" i="24"/>
  <c r="AM18" i="23"/>
  <c r="AI18" i="26"/>
  <c r="W5" i="23"/>
  <c r="AD5" i="23" s="1"/>
  <c r="T5" i="24"/>
  <c r="R86" i="6"/>
  <c r="S86" i="6" s="1"/>
  <c r="W19" i="23"/>
  <c r="AD19" i="23" s="1"/>
  <c r="T19" i="24"/>
  <c r="R100" i="6"/>
  <c r="W25" i="23"/>
  <c r="AD25" i="23" s="1"/>
  <c r="R106" i="6"/>
  <c r="S106" i="6" s="1"/>
  <c r="T25" i="24"/>
  <c r="W32" i="23"/>
  <c r="AD32" i="23" s="1"/>
  <c r="R113" i="6"/>
  <c r="S113" i="6" s="1"/>
  <c r="T32" i="24"/>
  <c r="P47" i="6"/>
  <c r="Q47" i="6" s="1"/>
  <c r="AI26" i="26"/>
  <c r="AM26" i="23"/>
  <c r="AH23" i="26"/>
  <c r="AG23" i="23"/>
  <c r="AI23" i="23" s="1"/>
  <c r="AQ23" i="26" s="1"/>
  <c r="AM32" i="23"/>
  <c r="AI32" i="26"/>
  <c r="W26" i="23"/>
  <c r="AD26" i="23" s="1"/>
  <c r="T26" i="24"/>
  <c r="P41" i="6"/>
  <c r="Q41" i="6" s="1"/>
  <c r="R107" i="6"/>
  <c r="L9" i="34"/>
  <c r="K9" i="34" s="1"/>
  <c r="M10" i="34"/>
  <c r="J11" i="34" s="1"/>
  <c r="L10" i="34"/>
  <c r="V146" i="37" l="1"/>
  <c r="Y51" i="37"/>
  <c r="X51" i="37"/>
  <c r="W51" i="37"/>
  <c r="T51" i="37" s="1"/>
  <c r="U52" i="37"/>
  <c r="T50" i="37"/>
  <c r="V144" i="37"/>
  <c r="V139" i="37"/>
  <c r="I8" i="31"/>
  <c r="L8" i="31" s="1"/>
  <c r="X24" i="36"/>
  <c r="AP24" i="36"/>
  <c r="AP18" i="36"/>
  <c r="AP22" i="36"/>
  <c r="AP25" i="36"/>
  <c r="O9" i="36"/>
  <c r="O10" i="36"/>
  <c r="X23" i="36"/>
  <c r="AP12" i="36"/>
  <c r="S5" i="31"/>
  <c r="T5" i="31" s="1"/>
  <c r="AO16" i="24"/>
  <c r="P20" i="9" s="1"/>
  <c r="AP4" i="7"/>
  <c r="AH4" i="7"/>
  <c r="BN4" i="7"/>
  <c r="CD4" i="7"/>
  <c r="BE4" i="7"/>
  <c r="AZ4" i="7"/>
  <c r="BV4" i="7"/>
  <c r="AI4" i="7"/>
  <c r="AJ4" i="7"/>
  <c r="BF4" i="7"/>
  <c r="AY4" i="7"/>
  <c r="CE4" i="7"/>
  <c r="D33" i="28"/>
  <c r="AQ4" i="7"/>
  <c r="BO4" i="7"/>
  <c r="AG4" i="7"/>
  <c r="AM4" i="7"/>
  <c r="AO4" i="7"/>
  <c r="BG4" i="7"/>
  <c r="AU4" i="7"/>
  <c r="BU4" i="7"/>
  <c r="BM4" i="7"/>
  <c r="CC4" i="7"/>
  <c r="AW4" i="7"/>
  <c r="AX4" i="7"/>
  <c r="BW4" i="7"/>
  <c r="AR4" i="7"/>
  <c r="P29" i="6"/>
  <c r="CF41" i="5"/>
  <c r="CF47" i="5" s="1"/>
  <c r="BG24" i="35"/>
  <c r="W67" i="6"/>
  <c r="Q67" i="6"/>
  <c r="BD27" i="5"/>
  <c r="C14" i="36"/>
  <c r="F14" i="36" s="1"/>
  <c r="W92" i="7"/>
  <c r="Y92" i="7" s="1"/>
  <c r="E11" i="6" s="1"/>
  <c r="P20" i="6" s="1"/>
  <c r="Q20" i="6" s="1"/>
  <c r="BE27" i="5"/>
  <c r="BN18" i="5"/>
  <c r="L37" i="6"/>
  <c r="L38" i="6"/>
  <c r="BN27" i="5"/>
  <c r="BN28" i="5"/>
  <c r="BN17" i="5"/>
  <c r="BN8" i="5"/>
  <c r="BD30" i="5"/>
  <c r="AJ25" i="5"/>
  <c r="L29" i="6"/>
  <c r="N29" i="6" s="1"/>
  <c r="L32" i="6"/>
  <c r="N32" i="6" s="1"/>
  <c r="L31" i="6"/>
  <c r="N31" i="6" s="1"/>
  <c r="L34" i="6"/>
  <c r="BF25" i="5"/>
  <c r="L35" i="6"/>
  <c r="N35" i="6" s="1"/>
  <c r="L36" i="6"/>
  <c r="N36" i="6" s="1"/>
  <c r="BN7" i="5"/>
  <c r="L33" i="6"/>
  <c r="AK25" i="5"/>
  <c r="BF30" i="5"/>
  <c r="L30" i="6"/>
  <c r="N30" i="6" s="1"/>
  <c r="BE30" i="5"/>
  <c r="I79" i="1"/>
  <c r="E99" i="1" s="1"/>
  <c r="BN14" i="36"/>
  <c r="BQ14" i="36" s="1"/>
  <c r="CF14" i="36"/>
  <c r="CI14" i="36" s="1"/>
  <c r="CT23" i="5"/>
  <c r="CT29" i="5" s="1"/>
  <c r="CD35" i="5"/>
  <c r="CE40" i="5" s="1"/>
  <c r="CE46" i="5" s="1"/>
  <c r="T59" i="6"/>
  <c r="AN24" i="23"/>
  <c r="W64" i="6"/>
  <c r="Q64" i="6"/>
  <c r="Y16" i="23"/>
  <c r="AL16" i="23" s="1"/>
  <c r="AN16" i="23" s="1"/>
  <c r="W96" i="7"/>
  <c r="Y96" i="7" s="1"/>
  <c r="I11" i="6" s="1"/>
  <c r="P44" i="6" s="1"/>
  <c r="Q44" i="6" s="1"/>
  <c r="AM14" i="36"/>
  <c r="AP14" i="36" s="1"/>
  <c r="AD14" i="36"/>
  <c r="AG14" i="36" s="1"/>
  <c r="E46" i="46"/>
  <c r="BW14" i="36"/>
  <c r="BZ14" i="36" s="1"/>
  <c r="AD22" i="36"/>
  <c r="AG22" i="36" s="1"/>
  <c r="Q28" i="6"/>
  <c r="J88" i="28"/>
  <c r="CH40" i="5"/>
  <c r="CH46" i="5" s="1"/>
  <c r="BE7" i="7"/>
  <c r="BV7" i="7"/>
  <c r="P43" i="6"/>
  <c r="Q43" i="6" s="1"/>
  <c r="AN19" i="23"/>
  <c r="AO19" i="23" s="1"/>
  <c r="R109" i="6"/>
  <c r="S109" i="6" s="1"/>
  <c r="T28" i="24"/>
  <c r="R85" i="6"/>
  <c r="S85" i="6" s="1"/>
  <c r="G8" i="9"/>
  <c r="W4" i="23"/>
  <c r="AD4" i="23" s="1"/>
  <c r="N7" i="34"/>
  <c r="AC33" i="9"/>
  <c r="BO7" i="7"/>
  <c r="AJ7" i="7"/>
  <c r="BW7" i="7"/>
  <c r="BN7" i="7"/>
  <c r="AH7" i="7"/>
  <c r="AX7" i="7"/>
  <c r="CE7" i="7"/>
  <c r="AI7" i="7"/>
  <c r="AM7" i="7"/>
  <c r="AZ7" i="7"/>
  <c r="CD7" i="7"/>
  <c r="AE7" i="7"/>
  <c r="AW7" i="7"/>
  <c r="BU7" i="7"/>
  <c r="AR7" i="7"/>
  <c r="AU7" i="7"/>
  <c r="BG7" i="7"/>
  <c r="AO7" i="7"/>
  <c r="AY7" i="7"/>
  <c r="AQ7" i="7"/>
  <c r="BM7" i="7"/>
  <c r="BF7" i="7"/>
  <c r="AW6" i="7"/>
  <c r="AP6" i="7"/>
  <c r="BN6" i="7"/>
  <c r="AE6" i="7"/>
  <c r="AC15" i="9"/>
  <c r="AU6" i="7"/>
  <c r="AY6" i="7"/>
  <c r="BU5" i="7"/>
  <c r="BG6" i="7"/>
  <c r="AI5" i="7"/>
  <c r="AW5" i="7"/>
  <c r="AP5" i="7"/>
  <c r="AM5" i="7"/>
  <c r="CC5" i="7"/>
  <c r="BG5" i="7"/>
  <c r="AG5" i="7"/>
  <c r="BE5" i="7"/>
  <c r="BW5" i="7"/>
  <c r="AQ6" i="7"/>
  <c r="BF6" i="7"/>
  <c r="AC10" i="9"/>
  <c r="S91" i="7"/>
  <c r="BW6" i="7"/>
  <c r="S100" i="6"/>
  <c r="AO23" i="24"/>
  <c r="P27" i="9" s="1"/>
  <c r="AG6" i="7"/>
  <c r="AI6" i="7"/>
  <c r="M4" i="26"/>
  <c r="F4" i="34" s="1"/>
  <c r="S94" i="7"/>
  <c r="CC6" i="7"/>
  <c r="AX6" i="7"/>
  <c r="S107" i="6"/>
  <c r="AC9" i="9"/>
  <c r="BM6" i="7"/>
  <c r="D35" i="28"/>
  <c r="CC7" i="7"/>
  <c r="AG7" i="7"/>
  <c r="W91" i="7"/>
  <c r="Y91" i="7" s="1"/>
  <c r="D11" i="6" s="1"/>
  <c r="P25" i="6" s="1"/>
  <c r="Q25" i="6" s="1"/>
  <c r="O18" i="36"/>
  <c r="O24" i="36"/>
  <c r="AG21" i="36"/>
  <c r="G7" i="29"/>
  <c r="H7" i="29" s="1"/>
  <c r="AD4" i="36" s="1"/>
  <c r="AG18" i="36"/>
  <c r="AG17" i="36"/>
  <c r="O15" i="36"/>
  <c r="O25" i="36"/>
  <c r="G5" i="29"/>
  <c r="H5" i="29" s="1"/>
  <c r="L4" i="36" s="1"/>
  <c r="O27" i="36"/>
  <c r="W21" i="23"/>
  <c r="AD21" i="23" s="1"/>
  <c r="AH21" i="26" s="1"/>
  <c r="AG24" i="23"/>
  <c r="AI24" i="23" s="1"/>
  <c r="AQ24" i="26" s="1"/>
  <c r="R105" i="6"/>
  <c r="S105" i="6" s="1"/>
  <c r="P36" i="6"/>
  <c r="S110" i="6"/>
  <c r="R102" i="6"/>
  <c r="S102" i="6" s="1"/>
  <c r="AH8" i="26"/>
  <c r="G35" i="9"/>
  <c r="AC32" i="9"/>
  <c r="AC18" i="9"/>
  <c r="T24" i="24"/>
  <c r="AO24" i="24" s="1"/>
  <c r="P28" i="9" s="1"/>
  <c r="AP31" i="23"/>
  <c r="AS31" i="26" s="1"/>
  <c r="AH15" i="26"/>
  <c r="AC17" i="9"/>
  <c r="AO12" i="23"/>
  <c r="AH31" i="26"/>
  <c r="AT13" i="35"/>
  <c r="AC26" i="9"/>
  <c r="AT12" i="35"/>
  <c r="AT11" i="35"/>
  <c r="X31" i="36"/>
  <c r="X18" i="36"/>
  <c r="X12" i="36"/>
  <c r="X15" i="36"/>
  <c r="X14" i="36"/>
  <c r="X16" i="36"/>
  <c r="X9" i="36"/>
  <c r="X25" i="36"/>
  <c r="AG29" i="36"/>
  <c r="O23" i="36"/>
  <c r="O29" i="36"/>
  <c r="O20" i="36"/>
  <c r="O31" i="36"/>
  <c r="X17" i="36"/>
  <c r="X29" i="36"/>
  <c r="O16" i="36"/>
  <c r="O11" i="36"/>
  <c r="AG20" i="36"/>
  <c r="AG11" i="36"/>
  <c r="AG25" i="36"/>
  <c r="AG23" i="36"/>
  <c r="AG12" i="36"/>
  <c r="AG10" i="36"/>
  <c r="AG16" i="36"/>
  <c r="AG9" i="36"/>
  <c r="AG15" i="36"/>
  <c r="AG31" i="36"/>
  <c r="X27" i="36"/>
  <c r="O17" i="36"/>
  <c r="O19" i="36"/>
  <c r="O14" i="36"/>
  <c r="BR5" i="5"/>
  <c r="BO5" i="5"/>
  <c r="BP5" i="5" s="1"/>
  <c r="G27" i="23"/>
  <c r="AN27" i="24" s="1"/>
  <c r="O31" i="9" s="1"/>
  <c r="P108" i="6"/>
  <c r="U27" i="23"/>
  <c r="C32" i="36"/>
  <c r="F32" i="36" s="1"/>
  <c r="E57" i="46"/>
  <c r="AM30" i="36"/>
  <c r="AP30" i="36" s="1"/>
  <c r="E55" i="46"/>
  <c r="D116" i="27"/>
  <c r="D53" i="45"/>
  <c r="DA23" i="5"/>
  <c r="CY23" i="5"/>
  <c r="CX23" i="5"/>
  <c r="CW23" i="5"/>
  <c r="CZ23" i="5"/>
  <c r="CV23" i="5"/>
  <c r="BG16" i="35"/>
  <c r="BG17" i="35"/>
  <c r="BG14" i="35"/>
  <c r="BG18" i="35"/>
  <c r="BG15" i="35"/>
  <c r="M29" i="9"/>
  <c r="AC29" i="9" s="1"/>
  <c r="AN23" i="25"/>
  <c r="Q71" i="6"/>
  <c r="W71" i="6"/>
  <c r="Y23" i="23"/>
  <c r="AL23" i="23" s="1"/>
  <c r="AN23" i="23" s="1"/>
  <c r="AO23" i="23" s="1"/>
  <c r="BR4" i="5"/>
  <c r="BO4" i="5"/>
  <c r="BP4" i="5" s="1"/>
  <c r="BR16" i="5"/>
  <c r="BO16" i="5"/>
  <c r="BP16" i="5" s="1"/>
  <c r="Q75" i="6"/>
  <c r="Y27" i="23"/>
  <c r="AL27" i="23" s="1"/>
  <c r="AN27" i="23" s="1"/>
  <c r="W75" i="6"/>
  <c r="G30" i="23"/>
  <c r="AN30" i="24" s="1"/>
  <c r="O34" i="9" s="1"/>
  <c r="U30" i="23"/>
  <c r="P111" i="6"/>
  <c r="Q70" i="6"/>
  <c r="Y22" i="23"/>
  <c r="AL22" i="23" s="1"/>
  <c r="AN22" i="23" s="1"/>
  <c r="AP22" i="23" s="1"/>
  <c r="AS22" i="26" s="1"/>
  <c r="W70" i="6"/>
  <c r="BN5" i="7"/>
  <c r="AZ5" i="7"/>
  <c r="AR5" i="7"/>
  <c r="AP8" i="23"/>
  <c r="AS8" i="26" s="1"/>
  <c r="AP7" i="23"/>
  <c r="AS7" i="26" s="1"/>
  <c r="AM21" i="36"/>
  <c r="AP21" i="36" s="1"/>
  <c r="K95" i="28"/>
  <c r="C24" i="36"/>
  <c r="F24" i="36" s="1"/>
  <c r="E49" i="46"/>
  <c r="Q73" i="6"/>
  <c r="Y25" i="23"/>
  <c r="AL25" i="23" s="1"/>
  <c r="AN25" i="23" s="1"/>
  <c r="AP25" i="23" s="1"/>
  <c r="AS25" i="26" s="1"/>
  <c r="W73" i="6"/>
  <c r="H6" i="26"/>
  <c r="M6" i="26" s="1"/>
  <c r="F8" i="31"/>
  <c r="H8" i="31" s="1"/>
  <c r="J8" i="31" s="1"/>
  <c r="G16" i="23"/>
  <c r="AN16" i="24" s="1"/>
  <c r="O20" i="9" s="1"/>
  <c r="U16" i="23"/>
  <c r="P97" i="6"/>
  <c r="U11" i="23"/>
  <c r="G11" i="23"/>
  <c r="AN11" i="24" s="1"/>
  <c r="O15" i="9" s="1"/>
  <c r="P92" i="6"/>
  <c r="E34" i="28"/>
  <c r="P104" i="6"/>
  <c r="G23" i="23"/>
  <c r="AN23" i="24" s="1"/>
  <c r="O27" i="9" s="1"/>
  <c r="U23" i="23"/>
  <c r="M35" i="9"/>
  <c r="AC35" i="9" s="1"/>
  <c r="BG31" i="35"/>
  <c r="BG32" i="35"/>
  <c r="BG30" i="35"/>
  <c r="BG33" i="35"/>
  <c r="BR14" i="5"/>
  <c r="BO14" i="5"/>
  <c r="BP14" i="5" s="1"/>
  <c r="U13" i="23"/>
  <c r="P94" i="6"/>
  <c r="G13" i="23"/>
  <c r="AN13" i="24" s="1"/>
  <c r="O17" i="9" s="1"/>
  <c r="AJ4" i="23"/>
  <c r="AJ4" i="26" s="1"/>
  <c r="U4" i="23"/>
  <c r="P85" i="6"/>
  <c r="G4" i="23"/>
  <c r="AN4" i="24" s="1"/>
  <c r="O8" i="9" s="1"/>
  <c r="R52" i="6"/>
  <c r="T52" i="6" s="1"/>
  <c r="P52" i="6"/>
  <c r="T5" i="25"/>
  <c r="R5" i="25"/>
  <c r="AP12" i="23"/>
  <c r="AS12" i="26" s="1"/>
  <c r="M25" i="9"/>
  <c r="AC25" i="9" s="1"/>
  <c r="AT32" i="35"/>
  <c r="AT31" i="35"/>
  <c r="AT30" i="35"/>
  <c r="AT29" i="35"/>
  <c r="Y26" i="23"/>
  <c r="AL26" i="23" s="1"/>
  <c r="AN26" i="23" s="1"/>
  <c r="W74" i="6"/>
  <c r="Q74" i="6"/>
  <c r="AP24" i="25"/>
  <c r="Z28" i="9" s="1"/>
  <c r="AH5" i="7"/>
  <c r="AY5" i="7"/>
  <c r="CE5" i="7"/>
  <c r="AM19" i="36"/>
  <c r="AP19" i="36" s="1"/>
  <c r="BW21" i="36"/>
  <c r="BZ21" i="36" s="1"/>
  <c r="I96" i="28"/>
  <c r="AV26" i="36"/>
  <c r="AY26" i="36" s="1"/>
  <c r="CE6" i="7"/>
  <c r="AO6" i="7"/>
  <c r="N6" i="34"/>
  <c r="BH4" i="26"/>
  <c r="Z35" i="6"/>
  <c r="Z37" i="6"/>
  <c r="Z36" i="6"/>
  <c r="Z38" i="6"/>
  <c r="CU11" i="5"/>
  <c r="CT11" i="5"/>
  <c r="CS11" i="5"/>
  <c r="Z30" i="6"/>
  <c r="Z29" i="6"/>
  <c r="Z34" i="6"/>
  <c r="Z31" i="6"/>
  <c r="Z33" i="6"/>
  <c r="Z32" i="6"/>
  <c r="S95" i="7"/>
  <c r="W95" i="7"/>
  <c r="G8" i="26"/>
  <c r="K8" i="26" s="1"/>
  <c r="E10" i="31"/>
  <c r="G10" i="31" s="1"/>
  <c r="K17" i="7"/>
  <c r="AT25" i="35"/>
  <c r="AT23" i="35"/>
  <c r="M22" i="9"/>
  <c r="AC22" i="9" s="1"/>
  <c r="AT24" i="35"/>
  <c r="G24" i="23"/>
  <c r="AN24" i="24" s="1"/>
  <c r="O28" i="9" s="1"/>
  <c r="P105" i="6"/>
  <c r="U24" i="23"/>
  <c r="D17" i="27"/>
  <c r="C44" i="27"/>
  <c r="R17" i="27"/>
  <c r="Q16" i="27"/>
  <c r="BC24" i="5"/>
  <c r="BG24" i="5" s="1"/>
  <c r="BC25" i="5"/>
  <c r="BC26" i="5"/>
  <c r="BG26" i="5" s="1"/>
  <c r="BS6" i="5"/>
  <c r="BS16" i="5"/>
  <c r="U18" i="23"/>
  <c r="G18" i="23"/>
  <c r="AN18" i="24" s="1"/>
  <c r="O22" i="9" s="1"/>
  <c r="P99" i="6"/>
  <c r="BC20" i="5"/>
  <c r="BG20" i="5" s="1"/>
  <c r="BC19" i="5"/>
  <c r="BG19" i="5" s="1"/>
  <c r="CI35" i="5"/>
  <c r="CF42" i="5" s="1"/>
  <c r="CF48" i="5" s="1"/>
  <c r="W69" i="6"/>
  <c r="G26" i="23"/>
  <c r="AN26" i="24" s="1"/>
  <c r="O30" i="9" s="1"/>
  <c r="P107" i="6"/>
  <c r="U26" i="23"/>
  <c r="G22" i="23"/>
  <c r="AN22" i="24" s="1"/>
  <c r="O26" i="9" s="1"/>
  <c r="P103" i="6"/>
  <c r="U22" i="23"/>
  <c r="AX4" i="45"/>
  <c r="AG7" i="35"/>
  <c r="AG5" i="35"/>
  <c r="AG6" i="35"/>
  <c r="M8" i="9"/>
  <c r="AG4" i="35"/>
  <c r="AN31" i="25"/>
  <c r="Q48" i="6"/>
  <c r="AT27" i="35"/>
  <c r="AT26" i="35"/>
  <c r="AT28" i="35"/>
  <c r="M24" i="9"/>
  <c r="AC24" i="9" s="1"/>
  <c r="BC36" i="5"/>
  <c r="BG36" i="5" s="1"/>
  <c r="BC35" i="5"/>
  <c r="BG35" i="5" s="1"/>
  <c r="BC34" i="5"/>
  <c r="BG34" i="5" s="1"/>
  <c r="K16" i="7"/>
  <c r="E9" i="31"/>
  <c r="G9" i="31" s="1"/>
  <c r="G7" i="26"/>
  <c r="K7" i="26" s="1"/>
  <c r="J21" i="7"/>
  <c r="J20" i="7"/>
  <c r="J19" i="7"/>
  <c r="K6" i="25" s="1"/>
  <c r="CD5" i="7"/>
  <c r="AO5" i="7"/>
  <c r="AE5" i="7"/>
  <c r="D34" i="28" s="1"/>
  <c r="AJ5" i="7"/>
  <c r="AP6" i="23"/>
  <c r="AS6" i="26" s="1"/>
  <c r="I86" i="1"/>
  <c r="E100" i="1" s="1"/>
  <c r="Q24" i="6"/>
  <c r="CF19" i="36"/>
  <c r="CI19" i="36" s="1"/>
  <c r="AV21" i="36"/>
  <c r="AY21" i="36" s="1"/>
  <c r="J95" i="28"/>
  <c r="U26" i="36"/>
  <c r="X26" i="36" s="1"/>
  <c r="L21" i="36"/>
  <c r="O21" i="36" s="1"/>
  <c r="N5" i="34"/>
  <c r="Q66" i="6"/>
  <c r="Y18" i="23"/>
  <c r="AL18" i="23" s="1"/>
  <c r="AN18" i="23" s="1"/>
  <c r="W66" i="6"/>
  <c r="CG41" i="5"/>
  <c r="CG47" i="5" s="1"/>
  <c r="BG37" i="35"/>
  <c r="BG35" i="35"/>
  <c r="BG36" i="35"/>
  <c r="M36" i="9"/>
  <c r="AC36" i="9" s="1"/>
  <c r="BG34" i="35"/>
  <c r="BG5" i="35"/>
  <c r="BG13" i="35"/>
  <c r="BG7" i="35"/>
  <c r="BG12" i="35"/>
  <c r="BG8" i="35"/>
  <c r="BG10" i="35"/>
  <c r="BG6" i="35"/>
  <c r="M28" i="9"/>
  <c r="AC28" i="9" s="1"/>
  <c r="BG9" i="35"/>
  <c r="BG11" i="35"/>
  <c r="BG4" i="35"/>
  <c r="CY4" i="5"/>
  <c r="CH34" i="5" s="1"/>
  <c r="CV10" i="5"/>
  <c r="CF40" i="5"/>
  <c r="CF46" i="5" s="1"/>
  <c r="AN17" i="25"/>
  <c r="BR15" i="5"/>
  <c r="BO25" i="5" s="1"/>
  <c r="BO15" i="5"/>
  <c r="BP15" i="5" s="1"/>
  <c r="BC15" i="5"/>
  <c r="BG15" i="5" s="1"/>
  <c r="BC14" i="5"/>
  <c r="BG14" i="5" s="1"/>
  <c r="BC16" i="5"/>
  <c r="BG16" i="5" s="1"/>
  <c r="BS14" i="5"/>
  <c r="BS4" i="5"/>
  <c r="BS5" i="5"/>
  <c r="BS15" i="5"/>
  <c r="C61" i="1"/>
  <c r="D61" i="1" s="1"/>
  <c r="Y33" i="23"/>
  <c r="AL33" i="23" s="1"/>
  <c r="AN33" i="23" s="1"/>
  <c r="W81" i="6"/>
  <c r="Q81" i="6"/>
  <c r="AP14" i="25"/>
  <c r="Z18" i="9" s="1"/>
  <c r="Q78" i="6"/>
  <c r="Y30" i="23"/>
  <c r="AL30" i="23" s="1"/>
  <c r="AN30" i="23" s="1"/>
  <c r="W78" i="6"/>
  <c r="Y13" i="23"/>
  <c r="AL13" i="23" s="1"/>
  <c r="AN13" i="23" s="1"/>
  <c r="W61" i="6"/>
  <c r="Q61" i="6"/>
  <c r="Q76" i="6"/>
  <c r="Y28" i="23"/>
  <c r="AL28" i="23" s="1"/>
  <c r="AN28" i="23" s="1"/>
  <c r="W76" i="6"/>
  <c r="T70" i="6"/>
  <c r="BI446" i="36"/>
  <c r="AZ446" i="36"/>
  <c r="AZ231" i="36"/>
  <c r="BI231" i="36"/>
  <c r="E35" i="28"/>
  <c r="AN18" i="25"/>
  <c r="AN27" i="25"/>
  <c r="Y21" i="23"/>
  <c r="AL21" i="23" s="1"/>
  <c r="AN21" i="23" s="1"/>
  <c r="Q69" i="6"/>
  <c r="J100" i="28"/>
  <c r="Q26" i="6"/>
  <c r="T77" i="6"/>
  <c r="AT18" i="35"/>
  <c r="M20" i="9"/>
  <c r="AC20" i="9" s="1"/>
  <c r="AT20" i="35"/>
  <c r="AT17" i="35"/>
  <c r="AT19" i="35"/>
  <c r="T71" i="6"/>
  <c r="BO5" i="7"/>
  <c r="BM5" i="7"/>
  <c r="BV5" i="7"/>
  <c r="AQ5" i="7"/>
  <c r="L86" i="1"/>
  <c r="U21" i="36"/>
  <c r="X21" i="36" s="1"/>
  <c r="BO6" i="7"/>
  <c r="AJ6" i="7"/>
  <c r="CF28" i="36"/>
  <c r="CI28" i="36" s="1"/>
  <c r="E53" i="46"/>
  <c r="AA38" i="6"/>
  <c r="H104" i="6" s="1"/>
  <c r="K23" i="23" s="1"/>
  <c r="AA36" i="6"/>
  <c r="H102" i="6" s="1"/>
  <c r="K21" i="23" s="1"/>
  <c r="AA37" i="6"/>
  <c r="H103" i="6" s="1"/>
  <c r="K22" i="23" s="1"/>
  <c r="AA35" i="6"/>
  <c r="H101" i="6" s="1"/>
  <c r="K20" i="23" s="1"/>
  <c r="CY11" i="5"/>
  <c r="CX11" i="5"/>
  <c r="CW11" i="5"/>
  <c r="AA32" i="6"/>
  <c r="H98" i="6" s="1"/>
  <c r="K17" i="23" s="1"/>
  <c r="AA33" i="6"/>
  <c r="H99" i="6" s="1"/>
  <c r="K18" i="23" s="1"/>
  <c r="AA34" i="6"/>
  <c r="H100" i="6" s="1"/>
  <c r="K19" i="23" s="1"/>
  <c r="AA29" i="6"/>
  <c r="H95" i="6" s="1"/>
  <c r="K14" i="23" s="1"/>
  <c r="AA30" i="6"/>
  <c r="H96" i="6" s="1"/>
  <c r="K15" i="23" s="1"/>
  <c r="AA31" i="6"/>
  <c r="H97" i="6" s="1"/>
  <c r="K16" i="23" s="1"/>
  <c r="CJ35" i="5"/>
  <c r="CG40" i="5" s="1"/>
  <c r="CG46" i="5" s="1"/>
  <c r="AN8" i="25"/>
  <c r="AG31" i="35"/>
  <c r="M16" i="9"/>
  <c r="AC16" i="9" s="1"/>
  <c r="AG37" i="35"/>
  <c r="AG36" i="35"/>
  <c r="AG35" i="35"/>
  <c r="AG32" i="35"/>
  <c r="AG34" i="35"/>
  <c r="AG33" i="35"/>
  <c r="AN43" i="6"/>
  <c r="AE28" i="24" s="1"/>
  <c r="AN42" i="6"/>
  <c r="AE27" i="24" s="1"/>
  <c r="AN47" i="6"/>
  <c r="AE32" i="24" s="1"/>
  <c r="AN45" i="6"/>
  <c r="AE30" i="24" s="1"/>
  <c r="AN41" i="6"/>
  <c r="AE26" i="24" s="1"/>
  <c r="AN48" i="6"/>
  <c r="AE33" i="24" s="1"/>
  <c r="BT19" i="5"/>
  <c r="BV19" i="5"/>
  <c r="BU19" i="5"/>
  <c r="F7" i="31"/>
  <c r="H7" i="31" s="1"/>
  <c r="J7" i="31" s="1"/>
  <c r="H5" i="26"/>
  <c r="M5" i="26" s="1"/>
  <c r="U31" i="23"/>
  <c r="G31" i="23"/>
  <c r="AN31" i="24" s="1"/>
  <c r="O35" i="9" s="1"/>
  <c r="P112" i="6"/>
  <c r="AC42" i="6"/>
  <c r="AA27" i="24" s="1"/>
  <c r="AC41" i="6"/>
  <c r="AA26" i="24" s="1"/>
  <c r="AC43" i="6"/>
  <c r="AA28" i="24" s="1"/>
  <c r="AC45" i="6"/>
  <c r="AA30" i="24" s="1"/>
  <c r="AC48" i="6"/>
  <c r="AA33" i="24" s="1"/>
  <c r="AC47" i="6"/>
  <c r="AA32" i="24" s="1"/>
  <c r="BT9" i="5"/>
  <c r="BV9" i="5"/>
  <c r="BU9" i="5"/>
  <c r="BO29" i="5"/>
  <c r="CR10" i="5"/>
  <c r="CK34" i="5"/>
  <c r="X41" i="25"/>
  <c r="U12" i="24"/>
  <c r="F16" i="9" s="1"/>
  <c r="O27" i="6"/>
  <c r="AN11" i="25"/>
  <c r="G28" i="23"/>
  <c r="AN28" i="24" s="1"/>
  <c r="O32" i="9" s="1"/>
  <c r="U28" i="23"/>
  <c r="P109" i="6"/>
  <c r="C26" i="36"/>
  <c r="F26" i="36" s="1"/>
  <c r="E51" i="46"/>
  <c r="AC39" i="6"/>
  <c r="AA24" i="24" s="1"/>
  <c r="AC40" i="6"/>
  <c r="AA25" i="24" s="1"/>
  <c r="AC44" i="6"/>
  <c r="AA29" i="24" s="1"/>
  <c r="AC46" i="6"/>
  <c r="AA31" i="24" s="1"/>
  <c r="BT10" i="5"/>
  <c r="BU10" i="5"/>
  <c r="BV10" i="5"/>
  <c r="BO30" i="5"/>
  <c r="BW19" i="36"/>
  <c r="BZ19" i="36" s="1"/>
  <c r="AD26" i="36"/>
  <c r="AG26" i="36" s="1"/>
  <c r="BG20" i="35"/>
  <c r="M30" i="9"/>
  <c r="AC30" i="9" s="1"/>
  <c r="BG19" i="35"/>
  <c r="T64" i="6"/>
  <c r="Q59" i="6"/>
  <c r="Y11" i="23"/>
  <c r="AL11" i="23" s="1"/>
  <c r="AN11" i="23" s="1"/>
  <c r="AP11" i="23" s="1"/>
  <c r="AS11" i="26" s="1"/>
  <c r="W59" i="6"/>
  <c r="G9" i="26"/>
  <c r="K9" i="26" s="1"/>
  <c r="E11" i="31"/>
  <c r="G11" i="31" s="1"/>
  <c r="K18" i="7"/>
  <c r="D42" i="27"/>
  <c r="D100" i="27" s="1"/>
  <c r="F100" i="27" s="1"/>
  <c r="C101" i="27"/>
  <c r="AN4" i="25"/>
  <c r="AP4" i="25"/>
  <c r="Z8" i="9" s="1"/>
  <c r="Y29" i="23"/>
  <c r="AL29" i="23" s="1"/>
  <c r="AN29" i="23" s="1"/>
  <c r="Q77" i="6"/>
  <c r="BC18" i="5"/>
  <c r="BG18" i="5" s="1"/>
  <c r="BC17" i="5"/>
  <c r="BG17" i="5" s="1"/>
  <c r="BE19" i="36"/>
  <c r="BH19" i="36" s="1"/>
  <c r="AU5" i="7"/>
  <c r="BF5" i="7"/>
  <c r="J93" i="28"/>
  <c r="BE21" i="36"/>
  <c r="BH21" i="36" s="1"/>
  <c r="CD6" i="7"/>
  <c r="AM6" i="7"/>
  <c r="U6" i="23"/>
  <c r="P87" i="6"/>
  <c r="G6" i="23"/>
  <c r="AN6" i="24" s="1"/>
  <c r="O10" i="9" s="1"/>
  <c r="AT14" i="35"/>
  <c r="M19" i="9"/>
  <c r="AT15" i="35"/>
  <c r="AB37" i="6"/>
  <c r="Z22" i="24" s="1"/>
  <c r="AB36" i="6"/>
  <c r="Z21" i="24" s="1"/>
  <c r="AB38" i="6"/>
  <c r="Z23" i="24" s="1"/>
  <c r="CX29" i="5"/>
  <c r="CW29" i="5"/>
  <c r="CV29" i="5"/>
  <c r="AB35" i="6"/>
  <c r="Z20" i="24" s="1"/>
  <c r="CZ29" i="5"/>
  <c r="CY29" i="5"/>
  <c r="CY17" i="5"/>
  <c r="CZ17" i="5" s="1"/>
  <c r="DA29" i="5"/>
  <c r="CV17" i="5"/>
  <c r="CW17" i="5" s="1"/>
  <c r="DB17" i="5"/>
  <c r="DC17" i="5" s="1"/>
  <c r="CL35" i="5"/>
  <c r="CG42" i="5" s="1"/>
  <c r="CG48" i="5" s="1"/>
  <c r="CS17" i="5"/>
  <c r="CT17" i="5" s="1"/>
  <c r="CE35" i="5"/>
  <c r="CE41" i="5" s="1"/>
  <c r="CE47" i="5" s="1"/>
  <c r="CF35" i="5"/>
  <c r="CE42" i="5" s="1"/>
  <c r="CE48" i="5" s="1"/>
  <c r="CN35" i="5"/>
  <c r="CH41" i="5" s="1"/>
  <c r="CH47" i="5" s="1"/>
  <c r="AB31" i="6"/>
  <c r="Z16" i="24" s="1"/>
  <c r="AB32" i="6"/>
  <c r="Z17" i="24" s="1"/>
  <c r="AB29" i="6"/>
  <c r="Z14" i="24" s="1"/>
  <c r="AB30" i="6"/>
  <c r="Z15" i="24" s="1"/>
  <c r="AB33" i="6"/>
  <c r="Z18" i="24" s="1"/>
  <c r="AB34" i="6"/>
  <c r="Z19" i="24" s="1"/>
  <c r="K5" i="25"/>
  <c r="J6" i="25" s="1"/>
  <c r="T79" i="6"/>
  <c r="AN44" i="6"/>
  <c r="AE29" i="24" s="1"/>
  <c r="AN39" i="6"/>
  <c r="AE24" i="24" s="1"/>
  <c r="AN40" i="6"/>
  <c r="AE25" i="24" s="1"/>
  <c r="BU20" i="5"/>
  <c r="AN46" i="6"/>
  <c r="AE31" i="24" s="1"/>
  <c r="BV20" i="5"/>
  <c r="BT20" i="5"/>
  <c r="CR12" i="5"/>
  <c r="U15" i="23"/>
  <c r="P63" i="6"/>
  <c r="W63" i="6" s="1"/>
  <c r="P96" i="6"/>
  <c r="G15" i="23"/>
  <c r="AN15" i="24" s="1"/>
  <c r="O19" i="9" s="1"/>
  <c r="BR6" i="5"/>
  <c r="BO26" i="5" s="1"/>
  <c r="BO6" i="5"/>
  <c r="BP6" i="5" s="1"/>
  <c r="CU18" i="5"/>
  <c r="CW6" i="5"/>
  <c r="U33" i="23"/>
  <c r="G33" i="23"/>
  <c r="AN33" i="24" s="1"/>
  <c r="O37" i="9" s="1"/>
  <c r="P114" i="6"/>
  <c r="U17" i="23"/>
  <c r="R65" i="6"/>
  <c r="T65" i="6" s="1"/>
  <c r="G17" i="23"/>
  <c r="AN17" i="24" s="1"/>
  <c r="O21" i="9" s="1"/>
  <c r="AC21" i="9" s="1"/>
  <c r="P98" i="6"/>
  <c r="P65" i="6"/>
  <c r="W77" i="6"/>
  <c r="AN21" i="25"/>
  <c r="BI522" i="36"/>
  <c r="I217" i="29"/>
  <c r="AZ522" i="36"/>
  <c r="Y8" i="9"/>
  <c r="W8" i="9"/>
  <c r="X28" i="9"/>
  <c r="Y28" i="9"/>
  <c r="E19" i="43"/>
  <c r="F19" i="43" s="1"/>
  <c r="I45" i="30"/>
  <c r="I43" i="30"/>
  <c r="J43" i="30"/>
  <c r="J45" i="30"/>
  <c r="I47" i="30"/>
  <c r="I41" i="30"/>
  <c r="J47" i="30"/>
  <c r="J41" i="30"/>
  <c r="I95" i="28"/>
  <c r="AD36" i="46"/>
  <c r="AF36" i="46" s="1"/>
  <c r="K104" i="28"/>
  <c r="AD32" i="36"/>
  <c r="AG32" i="36" s="1"/>
  <c r="BN32" i="36"/>
  <c r="BQ32" i="36" s="1"/>
  <c r="AD30" i="36"/>
  <c r="AG30" i="36" s="1"/>
  <c r="I94" i="28"/>
  <c r="I92" i="28"/>
  <c r="I84" i="28"/>
  <c r="I98" i="28"/>
  <c r="I88" i="28"/>
  <c r="AM32" i="36"/>
  <c r="AP32" i="36" s="1"/>
  <c r="CF30" i="36"/>
  <c r="CI30" i="36" s="1"/>
  <c r="L32" i="36"/>
  <c r="O32" i="36" s="1"/>
  <c r="BN30" i="36"/>
  <c r="BQ30" i="36" s="1"/>
  <c r="K106" i="28"/>
  <c r="BW32" i="36"/>
  <c r="BZ32" i="36" s="1"/>
  <c r="O94" i="32"/>
  <c r="BE32" i="36"/>
  <c r="BH32" i="36" s="1"/>
  <c r="U32" i="36"/>
  <c r="X32" i="36" s="1"/>
  <c r="O96" i="32"/>
  <c r="J106" i="28"/>
  <c r="AV32" i="36"/>
  <c r="AY32" i="36" s="1"/>
  <c r="CF32" i="36"/>
  <c r="CI32" i="36" s="1"/>
  <c r="I93" i="28"/>
  <c r="BW26" i="36"/>
  <c r="BZ26" i="36" s="1"/>
  <c r="AD19" i="36"/>
  <c r="AG19" i="36" s="1"/>
  <c r="E44" i="46"/>
  <c r="AM26" i="36"/>
  <c r="AP26" i="36" s="1"/>
  <c r="U19" i="36"/>
  <c r="X19" i="36" s="1"/>
  <c r="K93" i="28"/>
  <c r="CF26" i="36"/>
  <c r="CI26" i="36" s="1"/>
  <c r="L26" i="36"/>
  <c r="O26" i="36" s="1"/>
  <c r="C19" i="36"/>
  <c r="F19" i="36" s="1"/>
  <c r="BN19" i="36"/>
  <c r="BQ19" i="36" s="1"/>
  <c r="O83" i="32"/>
  <c r="O90" i="32"/>
  <c r="AV19" i="36"/>
  <c r="AY19" i="36" s="1"/>
  <c r="K100" i="28"/>
  <c r="BE26" i="36"/>
  <c r="BH26" i="36" s="1"/>
  <c r="L22" i="36"/>
  <c r="O22" i="36" s="1"/>
  <c r="BE13" i="36"/>
  <c r="BH13" i="36" s="1"/>
  <c r="AM13" i="36"/>
  <c r="AP13" i="36" s="1"/>
  <c r="U13" i="36"/>
  <c r="X13" i="36" s="1"/>
  <c r="E38" i="46"/>
  <c r="L13" i="36"/>
  <c r="O13" i="36" s="1"/>
  <c r="AV13" i="36"/>
  <c r="AY13" i="36" s="1"/>
  <c r="J87" i="28"/>
  <c r="I87" i="28"/>
  <c r="AD13" i="36"/>
  <c r="AG13" i="36" s="1"/>
  <c r="O77" i="32"/>
  <c r="I85" i="28"/>
  <c r="BN13" i="36"/>
  <c r="BQ13" i="36" s="1"/>
  <c r="BW13" i="36"/>
  <c r="BZ13" i="36" s="1"/>
  <c r="K87" i="28"/>
  <c r="K102" i="28"/>
  <c r="BN28" i="36"/>
  <c r="BQ28" i="36" s="1"/>
  <c r="C30" i="36"/>
  <c r="F30" i="36" s="1"/>
  <c r="L30" i="36"/>
  <c r="O30" i="36" s="1"/>
  <c r="C28" i="36"/>
  <c r="F28" i="36" s="1"/>
  <c r="J104" i="28"/>
  <c r="J102" i="28"/>
  <c r="O92" i="32"/>
  <c r="BW30" i="36"/>
  <c r="BZ30" i="36" s="1"/>
  <c r="U30" i="36"/>
  <c r="X30" i="36" s="1"/>
  <c r="AD28" i="36"/>
  <c r="AG28" i="36" s="1"/>
  <c r="L28" i="36"/>
  <c r="O28" i="36" s="1"/>
  <c r="AV30" i="36"/>
  <c r="AY30" i="36" s="1"/>
  <c r="BE30" i="36"/>
  <c r="BH30" i="36" s="1"/>
  <c r="I102" i="28"/>
  <c r="BW28" i="36"/>
  <c r="BZ28" i="36" s="1"/>
  <c r="I104" i="28"/>
  <c r="U28" i="36"/>
  <c r="X28" i="36" s="1"/>
  <c r="I86" i="28"/>
  <c r="I97" i="28"/>
  <c r="BZ14" i="24"/>
  <c r="AW14" i="24" s="1"/>
  <c r="AV14" i="24"/>
  <c r="CA14" i="24"/>
  <c r="AX14" i="24" s="1"/>
  <c r="AQ6" i="35"/>
  <c r="BF6" i="35"/>
  <c r="AE6" i="35"/>
  <c r="BE6" i="35"/>
  <c r="AD6" i="35"/>
  <c r="AF6" i="35"/>
  <c r="BD6" i="35"/>
  <c r="AS6" i="35"/>
  <c r="AR6" i="35"/>
  <c r="I77" i="32"/>
  <c r="BG4" i="26"/>
  <c r="AV5" i="26"/>
  <c r="BK4" i="26"/>
  <c r="R5" i="26"/>
  <c r="S5" i="26"/>
  <c r="U5" i="26" s="1"/>
  <c r="O5" i="26"/>
  <c r="P6" i="26"/>
  <c r="Q6" i="26" s="1"/>
  <c r="AU4" i="26"/>
  <c r="Z8" i="7"/>
  <c r="G7" i="34"/>
  <c r="H5" i="34"/>
  <c r="N10" i="34" s="1"/>
  <c r="G9" i="34"/>
  <c r="Z10" i="7"/>
  <c r="D38" i="28" s="1"/>
  <c r="G8" i="34"/>
  <c r="Z9" i="7"/>
  <c r="AX9" i="7" s="1"/>
  <c r="Z16" i="7"/>
  <c r="AY16" i="7" s="1"/>
  <c r="H6" i="34"/>
  <c r="AG16" i="23"/>
  <c r="AI16" i="23" s="1"/>
  <c r="AQ16" i="26" s="1"/>
  <c r="G28" i="9"/>
  <c r="BV6" i="7"/>
  <c r="BU6" i="7"/>
  <c r="AR6" i="7"/>
  <c r="Z11" i="7"/>
  <c r="BW11" i="7" s="1"/>
  <c r="AH6" i="7"/>
  <c r="BE6" i="7"/>
  <c r="AO9" i="23"/>
  <c r="P19" i="6"/>
  <c r="Q19" i="6" s="1"/>
  <c r="P23" i="6"/>
  <c r="AP14" i="23"/>
  <c r="AS14" i="26" s="1"/>
  <c r="AO29" i="24"/>
  <c r="P33" i="9" s="1"/>
  <c r="AO6" i="23"/>
  <c r="P35" i="6"/>
  <c r="P30" i="6"/>
  <c r="AN10" i="23"/>
  <c r="AP10" i="23" s="1"/>
  <c r="AS10" i="26" s="1"/>
  <c r="P32" i="6"/>
  <c r="P21" i="6"/>
  <c r="Q21" i="6" s="1"/>
  <c r="AH12" i="26"/>
  <c r="AO27" i="24"/>
  <c r="P31" i="9" s="1"/>
  <c r="G13" i="9"/>
  <c r="G17" i="9"/>
  <c r="H76" i="32"/>
  <c r="I81" i="32"/>
  <c r="H78" i="32"/>
  <c r="I79" i="32"/>
  <c r="E67" i="32"/>
  <c r="F24" i="46"/>
  <c r="F66" i="32" s="1"/>
  <c r="E26" i="46"/>
  <c r="I82" i="32"/>
  <c r="H77" i="32"/>
  <c r="I102" i="41"/>
  <c r="M46" i="41"/>
  <c r="I94" i="41"/>
  <c r="M37" i="41"/>
  <c r="M54" i="41"/>
  <c r="I86" i="41"/>
  <c r="I110" i="41"/>
  <c r="M78" i="41"/>
  <c r="M70" i="41"/>
  <c r="M62" i="41"/>
  <c r="T73" i="32"/>
  <c r="U38" i="41"/>
  <c r="G10" i="41"/>
  <c r="I10" i="41" s="1"/>
  <c r="CQ56" i="36"/>
  <c r="CQ64" i="36"/>
  <c r="CQ42" i="36"/>
  <c r="CQ49" i="36"/>
  <c r="CQ57" i="36"/>
  <c r="CQ65" i="36"/>
  <c r="CQ43" i="36"/>
  <c r="CQ50" i="36"/>
  <c r="CQ58" i="36"/>
  <c r="CQ48" i="36"/>
  <c r="CQ44" i="36"/>
  <c r="CQ51" i="36"/>
  <c r="CQ59" i="36"/>
  <c r="CQ37" i="36"/>
  <c r="CQ36" i="36"/>
  <c r="CQ52" i="36"/>
  <c r="CQ60" i="36"/>
  <c r="CQ38" i="36"/>
  <c r="G17" i="29"/>
  <c r="CS3" i="36" s="1"/>
  <c r="CQ53" i="36"/>
  <c r="CQ61" i="36"/>
  <c r="CQ39" i="36"/>
  <c r="G18" i="29"/>
  <c r="CS4" i="36" s="1"/>
  <c r="CQ54" i="36"/>
  <c r="CQ62" i="36"/>
  <c r="CQ40" i="36"/>
  <c r="CQ55" i="36"/>
  <c r="CQ63" i="36"/>
  <c r="CQ41" i="36"/>
  <c r="D12" i="32"/>
  <c r="CQ153" i="36"/>
  <c r="CQ161" i="36"/>
  <c r="CQ139" i="36"/>
  <c r="CQ154" i="36"/>
  <c r="CQ162" i="36"/>
  <c r="CQ140" i="36"/>
  <c r="CQ147" i="36"/>
  <c r="CQ155" i="36"/>
  <c r="CQ163" i="36"/>
  <c r="CQ141" i="36"/>
  <c r="CQ148" i="36"/>
  <c r="CQ156" i="36"/>
  <c r="CQ164" i="36"/>
  <c r="CQ142" i="36"/>
  <c r="CQ149" i="36"/>
  <c r="CQ157" i="36"/>
  <c r="CQ135" i="36"/>
  <c r="CQ143" i="36"/>
  <c r="CQ150" i="36"/>
  <c r="CQ158" i="36"/>
  <c r="CQ136" i="36"/>
  <c r="CQ151" i="36"/>
  <c r="CQ159" i="36"/>
  <c r="CQ137" i="36"/>
  <c r="CQ152" i="36"/>
  <c r="CQ160" i="36"/>
  <c r="CQ138" i="36"/>
  <c r="Y36" i="36"/>
  <c r="P36" i="36"/>
  <c r="G36" i="36"/>
  <c r="AH36" i="36"/>
  <c r="AQ36" i="36"/>
  <c r="Y73" i="29"/>
  <c r="G16" i="27"/>
  <c r="I91" i="28"/>
  <c r="I90" i="28"/>
  <c r="I101" i="28"/>
  <c r="I103" i="28"/>
  <c r="I105" i="28"/>
  <c r="I83" i="28"/>
  <c r="I89" i="28"/>
  <c r="I100" i="28"/>
  <c r="I106" i="28"/>
  <c r="I99" i="28"/>
  <c r="V99" i="32"/>
  <c r="O100" i="32"/>
  <c r="O101" i="32" s="1"/>
  <c r="O102" i="32" s="1"/>
  <c r="O103" i="32" s="1"/>
  <c r="O104" i="32" s="1"/>
  <c r="O105" i="32" s="1"/>
  <c r="O106" i="32" s="1"/>
  <c r="O107" i="32" s="1"/>
  <c r="O108" i="32" s="1"/>
  <c r="O109" i="32" s="1"/>
  <c r="O110" i="32" s="1"/>
  <c r="O111" i="32" s="1"/>
  <c r="C5" i="45"/>
  <c r="N16" i="28"/>
  <c r="C26" i="28" s="1"/>
  <c r="C28" i="28" s="1"/>
  <c r="J33" i="5"/>
  <c r="J32" i="5"/>
  <c r="J24" i="5"/>
  <c r="J29" i="5"/>
  <c r="J25" i="5"/>
  <c r="J26" i="5"/>
  <c r="J28" i="5"/>
  <c r="J27" i="5"/>
  <c r="J31" i="5"/>
  <c r="J30" i="5"/>
  <c r="L79" i="1"/>
  <c r="U15" i="24"/>
  <c r="F19" i="9" s="1"/>
  <c r="O30" i="6"/>
  <c r="AH7" i="26"/>
  <c r="AG7" i="23"/>
  <c r="AI7" i="23" s="1"/>
  <c r="AQ7" i="26" s="1"/>
  <c r="L72" i="1"/>
  <c r="U8" i="24"/>
  <c r="F12" i="9" s="1"/>
  <c r="O23" i="6"/>
  <c r="P46" i="6"/>
  <c r="Q46" i="6" s="1"/>
  <c r="P27" i="6"/>
  <c r="J23" i="5"/>
  <c r="J19" i="5"/>
  <c r="J18" i="5"/>
  <c r="J17" i="5"/>
  <c r="J16" i="5"/>
  <c r="J15" i="5"/>
  <c r="J14" i="5"/>
  <c r="J22" i="5"/>
  <c r="J21" i="5"/>
  <c r="J20" i="5"/>
  <c r="J10" i="5"/>
  <c r="J9" i="5"/>
  <c r="J8" i="5"/>
  <c r="J7" i="5"/>
  <c r="J5" i="5"/>
  <c r="J4" i="5"/>
  <c r="J11" i="5"/>
  <c r="J13" i="5"/>
  <c r="J12" i="5"/>
  <c r="J6" i="5"/>
  <c r="P22" i="6"/>
  <c r="Q22" i="6" s="1"/>
  <c r="AO20" i="23"/>
  <c r="AP20" i="23"/>
  <c r="AS20" i="26" s="1"/>
  <c r="AG4" i="23"/>
  <c r="AI4" i="23" s="1"/>
  <c r="AQ4" i="26" s="1"/>
  <c r="AH4" i="26"/>
  <c r="AG13" i="23"/>
  <c r="AI13" i="23" s="1"/>
  <c r="AQ13" i="26" s="1"/>
  <c r="AH13" i="26"/>
  <c r="G10" i="9"/>
  <c r="AO6" i="24"/>
  <c r="P10" i="9" s="1"/>
  <c r="AH6" i="26"/>
  <c r="AG6" i="23"/>
  <c r="AI6" i="23" s="1"/>
  <c r="AQ6" i="26" s="1"/>
  <c r="AO5" i="23"/>
  <c r="AP5" i="23"/>
  <c r="AS5" i="26" s="1"/>
  <c r="G21" i="9"/>
  <c r="AO17" i="24"/>
  <c r="P21" i="9" s="1"/>
  <c r="AH17" i="26"/>
  <c r="AG17" i="23"/>
  <c r="AI17" i="23" s="1"/>
  <c r="AQ17" i="26" s="1"/>
  <c r="AO30" i="24"/>
  <c r="P34" i="9" s="1"/>
  <c r="G34" i="9"/>
  <c r="AG30" i="23"/>
  <c r="AI30" i="23" s="1"/>
  <c r="AQ30" i="26" s="1"/>
  <c r="AH30" i="26"/>
  <c r="AG14" i="23"/>
  <c r="AI14" i="23" s="1"/>
  <c r="AQ14" i="26" s="1"/>
  <c r="AH14" i="26"/>
  <c r="AO18" i="24"/>
  <c r="P22" i="9" s="1"/>
  <c r="G22" i="9"/>
  <c r="AO10" i="24"/>
  <c r="P14" i="9" s="1"/>
  <c r="G14" i="9"/>
  <c r="G24" i="9"/>
  <c r="AO20" i="24"/>
  <c r="P24" i="9" s="1"/>
  <c r="AG18" i="23"/>
  <c r="AI18" i="23" s="1"/>
  <c r="AQ18" i="26" s="1"/>
  <c r="AH18" i="26"/>
  <c r="AO33" i="24"/>
  <c r="P37" i="9" s="1"/>
  <c r="G37" i="9"/>
  <c r="AH10" i="26"/>
  <c r="AG10" i="23"/>
  <c r="AI10" i="23" s="1"/>
  <c r="AQ10" i="26" s="1"/>
  <c r="AO14" i="24"/>
  <c r="P18" i="9" s="1"/>
  <c r="G18" i="9"/>
  <c r="AO28" i="24"/>
  <c r="P32" i="9" s="1"/>
  <c r="G32" i="9"/>
  <c r="AH20" i="26"/>
  <c r="AG20" i="23"/>
  <c r="AI20" i="23" s="1"/>
  <c r="AQ20" i="26" s="1"/>
  <c r="AG33" i="23"/>
  <c r="AI33" i="23" s="1"/>
  <c r="AQ33" i="26" s="1"/>
  <c r="AH33" i="26"/>
  <c r="AH28" i="26"/>
  <c r="AG28" i="23"/>
  <c r="AI28" i="23" s="1"/>
  <c r="AQ28" i="26" s="1"/>
  <c r="AO32" i="24"/>
  <c r="P36" i="9" s="1"/>
  <c r="G36" i="9"/>
  <c r="AO5" i="24"/>
  <c r="P9" i="9" s="1"/>
  <c r="G9" i="9"/>
  <c r="AO26" i="24"/>
  <c r="P30" i="9" s="1"/>
  <c r="G30" i="9"/>
  <c r="AH5" i="26"/>
  <c r="AG5" i="23"/>
  <c r="AI5" i="23" s="1"/>
  <c r="AQ5" i="26" s="1"/>
  <c r="AH22" i="26"/>
  <c r="AG22" i="23"/>
  <c r="AI22" i="23" s="1"/>
  <c r="AQ22" i="26" s="1"/>
  <c r="AH26" i="26"/>
  <c r="AG26" i="23"/>
  <c r="AI26" i="23" s="1"/>
  <c r="AQ26" i="26" s="1"/>
  <c r="AH32" i="26"/>
  <c r="AG32" i="23"/>
  <c r="AI32" i="23" s="1"/>
  <c r="AQ32" i="26" s="1"/>
  <c r="AO11" i="24"/>
  <c r="P15" i="9" s="1"/>
  <c r="G15" i="9"/>
  <c r="AO25" i="24"/>
  <c r="P29" i="9" s="1"/>
  <c r="G29" i="9"/>
  <c r="AO19" i="24"/>
  <c r="P23" i="9" s="1"/>
  <c r="G23" i="9"/>
  <c r="AR18" i="26"/>
  <c r="AO21" i="24"/>
  <c r="P25" i="9" s="1"/>
  <c r="G25" i="9"/>
  <c r="AG11" i="23"/>
  <c r="AI11" i="23" s="1"/>
  <c r="AQ11" i="26" s="1"/>
  <c r="AH11" i="26"/>
  <c r="AR32" i="26"/>
  <c r="AN32" i="23"/>
  <c r="AH19" i="26"/>
  <c r="AG19" i="23"/>
  <c r="AI19" i="23" s="1"/>
  <c r="AQ19" i="26" s="1"/>
  <c r="AR26" i="26"/>
  <c r="AG25" i="23"/>
  <c r="AI25" i="23" s="1"/>
  <c r="AQ25" i="26" s="1"/>
  <c r="AH25" i="26"/>
  <c r="G26" i="9"/>
  <c r="AO22" i="24"/>
  <c r="P26" i="9" s="1"/>
  <c r="K10" i="34"/>
  <c r="M11" i="34"/>
  <c r="J12" i="34" s="1"/>
  <c r="L11" i="34"/>
  <c r="N8" i="34"/>
  <c r="V142" i="37" l="1"/>
  <c r="V147" i="37"/>
  <c r="W52" i="37"/>
  <c r="Y52" i="37"/>
  <c r="X52" i="37"/>
  <c r="U53" i="37"/>
  <c r="V149" i="37"/>
  <c r="R86" i="32"/>
  <c r="R73" i="32"/>
  <c r="D49" i="32" s="1"/>
  <c r="R91" i="32"/>
  <c r="R78" i="32"/>
  <c r="R79" i="32"/>
  <c r="R84" i="32"/>
  <c r="R80" i="32"/>
  <c r="R87" i="32"/>
  <c r="R94" i="32"/>
  <c r="R92" i="32"/>
  <c r="R81" i="32"/>
  <c r="R74" i="32"/>
  <c r="D50" i="32" s="1"/>
  <c r="F50" i="32" s="1"/>
  <c r="R82" i="32"/>
  <c r="R88" i="32"/>
  <c r="R96" i="32"/>
  <c r="R75" i="32"/>
  <c r="D51" i="32" s="1"/>
  <c r="R93" i="32"/>
  <c r="R89" i="32"/>
  <c r="R95" i="32"/>
  <c r="R76" i="32"/>
  <c r="D52" i="32" s="1"/>
  <c r="F52" i="32" s="1"/>
  <c r="R83" i="32"/>
  <c r="R90" i="32"/>
  <c r="R85" i="32"/>
  <c r="R77" i="32"/>
  <c r="D53" i="32" s="1"/>
  <c r="F53" i="32" s="1"/>
  <c r="I11" i="31"/>
  <c r="L11" i="31" s="1"/>
  <c r="I10" i="31"/>
  <c r="L10" i="31" s="1"/>
  <c r="I9" i="31"/>
  <c r="L9" i="31" s="1"/>
  <c r="Y12" i="25"/>
  <c r="Z12" i="25" s="1"/>
  <c r="Y13" i="25"/>
  <c r="Z13" i="25" s="1"/>
  <c r="Y5" i="31"/>
  <c r="U5" i="31"/>
  <c r="Q6" i="31" s="1"/>
  <c r="R6" i="31" s="1"/>
  <c r="AO16" i="23"/>
  <c r="AP16" i="23"/>
  <c r="AS16" i="26" s="1"/>
  <c r="P40" i="6"/>
  <c r="Q40" i="6" s="1"/>
  <c r="AP19" i="23"/>
  <c r="AS19" i="26" s="1"/>
  <c r="P39" i="6"/>
  <c r="Q39" i="6" s="1"/>
  <c r="CO34" i="5"/>
  <c r="CC34" i="5"/>
  <c r="N34" i="6"/>
  <c r="P34" i="6" s="1"/>
  <c r="BR18" i="5"/>
  <c r="BO18" i="5"/>
  <c r="BP18" i="5" s="1"/>
  <c r="CA34" i="5"/>
  <c r="CN34" i="5"/>
  <c r="CD41" i="5" s="1"/>
  <c r="CD47" i="5" s="1"/>
  <c r="U16" i="24"/>
  <c r="F20" i="9" s="1"/>
  <c r="O31" i="6"/>
  <c r="P31" i="6"/>
  <c r="CI34" i="5"/>
  <c r="CV16" i="5"/>
  <c r="CW16" i="5" s="1"/>
  <c r="O32" i="6"/>
  <c r="Q32" i="6" s="1"/>
  <c r="U17" i="24"/>
  <c r="F21" i="9" s="1"/>
  <c r="CF34" i="5"/>
  <c r="CA42" i="5" s="1"/>
  <c r="CA48" i="5" s="1"/>
  <c r="BK6" i="5"/>
  <c r="U14" i="24"/>
  <c r="F18" i="9" s="1"/>
  <c r="O29" i="6"/>
  <c r="CB34" i="5"/>
  <c r="CB41" i="5" s="1"/>
  <c r="CB47" i="5" s="1"/>
  <c r="CM34" i="5"/>
  <c r="BC27" i="5"/>
  <c r="BG27" i="5" s="1"/>
  <c r="BK5" i="5" s="1"/>
  <c r="BC28" i="5"/>
  <c r="BG28" i="5" s="1"/>
  <c r="BS17" i="5"/>
  <c r="BS7" i="5"/>
  <c r="BS8" i="5"/>
  <c r="BS18" i="5"/>
  <c r="CE34" i="5"/>
  <c r="CA41" i="5" s="1"/>
  <c r="CA47" i="5" s="1"/>
  <c r="CU22" i="5"/>
  <c r="CU28" i="5" s="1"/>
  <c r="BC30" i="5"/>
  <c r="BG30" i="5" s="1"/>
  <c r="BC29" i="5"/>
  <c r="BG29" i="5" s="1"/>
  <c r="BR8" i="5"/>
  <c r="BO8" i="5"/>
  <c r="BP8" i="5" s="1"/>
  <c r="Q35" i="6"/>
  <c r="CT22" i="5"/>
  <c r="CT28" i="5" s="1"/>
  <c r="N33" i="6"/>
  <c r="P33" i="6" s="1"/>
  <c r="BR17" i="5"/>
  <c r="BO17" i="5"/>
  <c r="BP17" i="5" s="1"/>
  <c r="CS22" i="5"/>
  <c r="CS28" i="5" s="1"/>
  <c r="AP24" i="23"/>
  <c r="AS24" i="26" s="1"/>
  <c r="AO24" i="23"/>
  <c r="BR7" i="5"/>
  <c r="BO7" i="5"/>
  <c r="BP7" i="5" s="1"/>
  <c r="N37" i="6"/>
  <c r="P37" i="6"/>
  <c r="CL34" i="5"/>
  <c r="CC42" i="5" s="1"/>
  <c r="CC48" i="5" s="1"/>
  <c r="U21" i="24"/>
  <c r="F25" i="9" s="1"/>
  <c r="O36" i="6"/>
  <c r="Q36" i="6" s="1"/>
  <c r="BG25" i="5"/>
  <c r="O35" i="6"/>
  <c r="U20" i="24"/>
  <c r="F24" i="9" s="1"/>
  <c r="N38" i="6"/>
  <c r="P38" i="6" s="1"/>
  <c r="Q29" i="6"/>
  <c r="AG5" i="25"/>
  <c r="AH5" i="25" s="1"/>
  <c r="L4" i="26"/>
  <c r="E4" i="34" s="1"/>
  <c r="AG21" i="23"/>
  <c r="AI21" i="23" s="1"/>
  <c r="AQ21" i="26" s="1"/>
  <c r="BO31" i="7"/>
  <c r="N9" i="34"/>
  <c r="BM32" i="7"/>
  <c r="BU31" i="7"/>
  <c r="AO25" i="23"/>
  <c r="AG35" i="46"/>
  <c r="T6" i="25"/>
  <c r="AG7" i="25" s="1"/>
  <c r="J7" i="25"/>
  <c r="R7" i="25" s="1"/>
  <c r="AP25" i="25"/>
  <c r="Z29" i="9" s="1"/>
  <c r="AP15" i="25"/>
  <c r="Z19" i="9" s="1"/>
  <c r="AP5" i="25"/>
  <c r="Z9" i="9" s="1"/>
  <c r="R6" i="25"/>
  <c r="BR26" i="5"/>
  <c r="BQ26" i="5"/>
  <c r="BX26" i="5"/>
  <c r="BP26" i="5"/>
  <c r="BW26" i="5"/>
  <c r="BV26" i="5"/>
  <c r="BU26" i="5"/>
  <c r="BT26" i="5"/>
  <c r="BS26" i="5"/>
  <c r="AO13" i="23"/>
  <c r="AP13" i="23"/>
  <c r="AS13" i="26" s="1"/>
  <c r="L5" i="26"/>
  <c r="E5" i="34" s="1"/>
  <c r="F5" i="34"/>
  <c r="BW25" i="5"/>
  <c r="BV25" i="5"/>
  <c r="BU25" i="5"/>
  <c r="BT25" i="5"/>
  <c r="BS25" i="5"/>
  <c r="BX25" i="5"/>
  <c r="BR25" i="5"/>
  <c r="BQ25" i="5"/>
  <c r="BP25" i="5"/>
  <c r="L6" i="26"/>
  <c r="E6" i="34" s="1"/>
  <c r="F6" i="34"/>
  <c r="AP21" i="23"/>
  <c r="AS21" i="26" s="1"/>
  <c r="AO21" i="23"/>
  <c r="AI14" i="24"/>
  <c r="J18" i="9" s="1"/>
  <c r="L14" i="23"/>
  <c r="AN14" i="26" s="1"/>
  <c r="AE14" i="26"/>
  <c r="AI22" i="24"/>
  <c r="J26" i="9" s="1"/>
  <c r="L22" i="23"/>
  <c r="AN22" i="26" s="1"/>
  <c r="AE22" i="26"/>
  <c r="G11" i="26"/>
  <c r="K11" i="26" s="1"/>
  <c r="E13" i="31"/>
  <c r="G13" i="31" s="1"/>
  <c r="K20" i="7"/>
  <c r="Y15" i="24"/>
  <c r="G96" i="6"/>
  <c r="AO22" i="23"/>
  <c r="AO27" i="23"/>
  <c r="AP27" i="23"/>
  <c r="AS27" i="26" s="1"/>
  <c r="F10" i="31"/>
  <c r="H10" i="31" s="1"/>
  <c r="J10" i="31" s="1"/>
  <c r="H8" i="26"/>
  <c r="M8" i="26" s="1"/>
  <c r="AC24" i="6"/>
  <c r="AA9" i="24" s="1"/>
  <c r="AC28" i="6"/>
  <c r="AA13" i="24" s="1"/>
  <c r="AC26" i="6"/>
  <c r="AA11" i="24" s="1"/>
  <c r="BT6" i="5"/>
  <c r="BV6" i="5"/>
  <c r="BU6" i="5"/>
  <c r="L19" i="23"/>
  <c r="AN19" i="26" s="1"/>
  <c r="AE19" i="26"/>
  <c r="AI19" i="24"/>
  <c r="J23" i="9" s="1"/>
  <c r="AE21" i="26"/>
  <c r="AI21" i="24"/>
  <c r="J25" i="9" s="1"/>
  <c r="L21" i="23"/>
  <c r="AN21" i="26" s="1"/>
  <c r="G12" i="26"/>
  <c r="K12" i="26" s="1"/>
  <c r="E14" i="31"/>
  <c r="G14" i="31" s="1"/>
  <c r="K21" i="7"/>
  <c r="AC8" i="9"/>
  <c r="X42" i="25"/>
  <c r="AI18" i="24"/>
  <c r="J22" i="9" s="1"/>
  <c r="L18" i="23"/>
  <c r="AN18" i="26" s="1"/>
  <c r="AE18" i="26"/>
  <c r="AI23" i="24"/>
  <c r="J27" i="9" s="1"/>
  <c r="L23" i="23"/>
  <c r="AN23" i="26" s="1"/>
  <c r="AE23" i="26"/>
  <c r="H35" i="28"/>
  <c r="C18" i="32" s="1"/>
  <c r="H23" i="31"/>
  <c r="M8" i="31"/>
  <c r="AO28" i="23"/>
  <c r="AP28" i="23"/>
  <c r="AS28" i="26" s="1"/>
  <c r="Y9" i="25"/>
  <c r="Z9" i="25" s="1"/>
  <c r="AA9" i="25" s="1"/>
  <c r="Y10" i="25"/>
  <c r="Z10" i="25" s="1"/>
  <c r="Y11" i="25"/>
  <c r="Z11" i="25" s="1"/>
  <c r="H22" i="31"/>
  <c r="H34" i="28"/>
  <c r="C17" i="32" s="1"/>
  <c r="M7" i="31"/>
  <c r="D117" i="27"/>
  <c r="D54" i="45"/>
  <c r="CD40" i="5"/>
  <c r="CD46" i="5" s="1"/>
  <c r="W65" i="6"/>
  <c r="Y17" i="23"/>
  <c r="AL17" i="23" s="1"/>
  <c r="AN17" i="23" s="1"/>
  <c r="Q65" i="6"/>
  <c r="CY6" i="5"/>
  <c r="CV12" i="5"/>
  <c r="AE16" i="26"/>
  <c r="L16" i="23"/>
  <c r="AN16" i="26" s="1"/>
  <c r="AI16" i="24"/>
  <c r="J20" i="9" s="1"/>
  <c r="AE15" i="26"/>
  <c r="L15" i="23"/>
  <c r="AN15" i="26" s="1"/>
  <c r="AI15" i="24"/>
  <c r="J19" i="9" s="1"/>
  <c r="Y14" i="24"/>
  <c r="G95" i="6"/>
  <c r="AN25" i="6"/>
  <c r="AE10" i="24" s="1"/>
  <c r="AN21" i="6"/>
  <c r="AE6" i="24" s="1"/>
  <c r="AN27" i="6"/>
  <c r="AE12" i="24" s="1"/>
  <c r="AN22" i="6"/>
  <c r="AE7" i="24" s="1"/>
  <c r="BT14" i="5"/>
  <c r="BU14" i="5"/>
  <c r="BV14" i="5"/>
  <c r="AO11" i="23"/>
  <c r="H83" i="28"/>
  <c r="L83" i="28" s="1"/>
  <c r="Q30" i="6"/>
  <c r="E38" i="28"/>
  <c r="CC41" i="5"/>
  <c r="CC47" i="5" s="1"/>
  <c r="BS29" i="5"/>
  <c r="BR29" i="5"/>
  <c r="BQ29" i="5"/>
  <c r="BX29" i="5"/>
  <c r="BP29" i="5"/>
  <c r="BW29" i="5"/>
  <c r="BT29" i="5"/>
  <c r="BV29" i="5"/>
  <c r="BU29" i="5"/>
  <c r="L17" i="23"/>
  <c r="AN17" i="26" s="1"/>
  <c r="AI17" i="24"/>
  <c r="J21" i="9" s="1"/>
  <c r="AE17" i="26"/>
  <c r="AP30" i="23"/>
  <c r="AS30" i="26" s="1"/>
  <c r="AO30" i="23"/>
  <c r="AA27" i="6"/>
  <c r="H93" i="6" s="1"/>
  <c r="K12" i="23" s="1"/>
  <c r="CX10" i="5"/>
  <c r="CW10" i="5"/>
  <c r="CY10" i="5"/>
  <c r="AA23" i="6"/>
  <c r="H89" i="6" s="1"/>
  <c r="K8" i="23" s="1"/>
  <c r="AA28" i="6"/>
  <c r="H94" i="6" s="1"/>
  <c r="K13" i="23" s="1"/>
  <c r="AA26" i="6"/>
  <c r="H92" i="6" s="1"/>
  <c r="K11" i="23" s="1"/>
  <c r="AA24" i="6"/>
  <c r="H90" i="6" s="1"/>
  <c r="K9" i="23" s="1"/>
  <c r="AA20" i="6"/>
  <c r="H86" i="6" s="1"/>
  <c r="K5" i="23" s="1"/>
  <c r="AA21" i="6"/>
  <c r="H87" i="6" s="1"/>
  <c r="K6" i="23" s="1"/>
  <c r="AA22" i="6"/>
  <c r="H88" i="6" s="1"/>
  <c r="K7" i="23" s="1"/>
  <c r="AA25" i="6"/>
  <c r="H91" i="6" s="1"/>
  <c r="K10" i="23" s="1"/>
  <c r="AA19" i="6"/>
  <c r="H85" i="6" s="1"/>
  <c r="K4" i="23" s="1"/>
  <c r="L4" i="23" s="1"/>
  <c r="G98" i="6"/>
  <c r="Y17" i="24"/>
  <c r="AN28" i="6"/>
  <c r="AE13" i="24" s="1"/>
  <c r="AN24" i="6"/>
  <c r="AE9" i="24" s="1"/>
  <c r="BT16" i="5"/>
  <c r="AN26" i="6"/>
  <c r="AE11" i="24" s="1"/>
  <c r="BU16" i="5"/>
  <c r="BV16" i="5"/>
  <c r="Y22" i="24"/>
  <c r="G103" i="6"/>
  <c r="AN20" i="6"/>
  <c r="AE5" i="24" s="1"/>
  <c r="AN23" i="6"/>
  <c r="AE8" i="24" s="1"/>
  <c r="AN19" i="6"/>
  <c r="AE4" i="24" s="1"/>
  <c r="BT15" i="5"/>
  <c r="BV15" i="5"/>
  <c r="BU15" i="5"/>
  <c r="E37" i="28"/>
  <c r="G101" i="6"/>
  <c r="Y20" i="24"/>
  <c r="AP11" i="7"/>
  <c r="CV5" i="7" s="1"/>
  <c r="AP23" i="23"/>
  <c r="AS23" i="26" s="1"/>
  <c r="AO10" i="23"/>
  <c r="Y15" i="23"/>
  <c r="AL15" i="23" s="1"/>
  <c r="AN15" i="23" s="1"/>
  <c r="Q63" i="6"/>
  <c r="AP29" i="23"/>
  <c r="AS29" i="26" s="1"/>
  <c r="AO29" i="23"/>
  <c r="CD42" i="5"/>
  <c r="CD48" i="5" s="1"/>
  <c r="CV22" i="5"/>
  <c r="CZ22" i="5"/>
  <c r="CY22" i="5"/>
  <c r="CX22" i="5"/>
  <c r="CW22" i="5"/>
  <c r="DA22" i="5"/>
  <c r="BK4" i="5"/>
  <c r="CZ28" i="5"/>
  <c r="CY28" i="5"/>
  <c r="AB27" i="6"/>
  <c r="Z12" i="24" s="1"/>
  <c r="CX28" i="5"/>
  <c r="CW28" i="5"/>
  <c r="CV28" i="5"/>
  <c r="DA28" i="5"/>
  <c r="AB21" i="6"/>
  <c r="Z6" i="24" s="1"/>
  <c r="AB25" i="6"/>
  <c r="Z10" i="24" s="1"/>
  <c r="AB20" i="6"/>
  <c r="Z5" i="24" s="1"/>
  <c r="AB26" i="6"/>
  <c r="Z11" i="24" s="1"/>
  <c r="AB24" i="6"/>
  <c r="Z9" i="24" s="1"/>
  <c r="AB22" i="6"/>
  <c r="Z7" i="24" s="1"/>
  <c r="AB28" i="6"/>
  <c r="Z13" i="24" s="1"/>
  <c r="AB19" i="6"/>
  <c r="Z4" i="24" s="1"/>
  <c r="AB23" i="6"/>
  <c r="Z8" i="24" s="1"/>
  <c r="CJ34" i="5"/>
  <c r="CC40" i="5" s="1"/>
  <c r="CC46" i="5" s="1"/>
  <c r="CG34" i="5"/>
  <c r="CB40" i="5" s="1"/>
  <c r="CB46" i="5" s="1"/>
  <c r="CD34" i="5"/>
  <c r="CA40" i="5" s="1"/>
  <c r="CA46" i="5" s="1"/>
  <c r="CY16" i="5"/>
  <c r="CZ16" i="5" s="1"/>
  <c r="CS16" i="5"/>
  <c r="CT16" i="5" s="1"/>
  <c r="E36" i="28"/>
  <c r="D43" i="27"/>
  <c r="D101" i="27" s="1"/>
  <c r="F101" i="27" s="1"/>
  <c r="C102" i="27"/>
  <c r="Y18" i="24"/>
  <c r="G99" i="6"/>
  <c r="Y23" i="24"/>
  <c r="G104" i="6"/>
  <c r="G5" i="25"/>
  <c r="AG6" i="25" s="1"/>
  <c r="AH6" i="25" s="1"/>
  <c r="BY6" i="24"/>
  <c r="BY9" i="24"/>
  <c r="BY16" i="24"/>
  <c r="BY8" i="24"/>
  <c r="BY19" i="24"/>
  <c r="BY26" i="24"/>
  <c r="BY18" i="24"/>
  <c r="BY29" i="24"/>
  <c r="BY27" i="24"/>
  <c r="BY17" i="24"/>
  <c r="BY7" i="24"/>
  <c r="BY28" i="24"/>
  <c r="AC23" i="6"/>
  <c r="AA8" i="24" s="1"/>
  <c r="AC19" i="6"/>
  <c r="AA4" i="24" s="1"/>
  <c r="AC20" i="6"/>
  <c r="AA5" i="24" s="1"/>
  <c r="BT5" i="5"/>
  <c r="BV5" i="5"/>
  <c r="BU5" i="5"/>
  <c r="BT30" i="5"/>
  <c r="BS30" i="5"/>
  <c r="BR30" i="5"/>
  <c r="BQ30" i="5"/>
  <c r="BX30" i="5"/>
  <c r="BP30" i="5"/>
  <c r="BW30" i="5"/>
  <c r="BV30" i="5"/>
  <c r="BU30" i="5"/>
  <c r="W44" i="6"/>
  <c r="L29" i="24" s="1"/>
  <c r="W41" i="6"/>
  <c r="L26" i="24" s="1"/>
  <c r="W42" i="6"/>
  <c r="L27" i="24" s="1"/>
  <c r="W47" i="6"/>
  <c r="L32" i="24" s="1"/>
  <c r="W39" i="6"/>
  <c r="L24" i="24" s="1"/>
  <c r="W40" i="6"/>
  <c r="L25" i="24" s="1"/>
  <c r="W43" i="6"/>
  <c r="L28" i="24" s="1"/>
  <c r="W45" i="6"/>
  <c r="L30" i="24" s="1"/>
  <c r="W48" i="6"/>
  <c r="L33" i="24" s="1"/>
  <c r="W46" i="6"/>
  <c r="L31" i="24" s="1"/>
  <c r="Y19" i="24"/>
  <c r="G100" i="6"/>
  <c r="DB18" i="5"/>
  <c r="DC18" i="5" s="1"/>
  <c r="CY18" i="5"/>
  <c r="CZ18" i="5" s="1"/>
  <c r="CV18" i="5"/>
  <c r="CW18" i="5" s="1"/>
  <c r="Z27" i="6"/>
  <c r="CU10" i="5"/>
  <c r="CT10" i="5"/>
  <c r="CS10" i="5"/>
  <c r="Z19" i="6"/>
  <c r="Z25" i="6"/>
  <c r="Z21" i="6"/>
  <c r="Z20" i="6"/>
  <c r="Z26" i="6"/>
  <c r="Z22" i="6"/>
  <c r="Z23" i="6"/>
  <c r="Z24" i="6"/>
  <c r="Z28" i="6"/>
  <c r="AE20" i="26"/>
  <c r="AI20" i="24"/>
  <c r="J24" i="9" s="1"/>
  <c r="L20" i="23"/>
  <c r="AN20" i="26" s="1"/>
  <c r="K19" i="7"/>
  <c r="J22" i="7"/>
  <c r="E12" i="31"/>
  <c r="G12" i="31" s="1"/>
  <c r="G10" i="26"/>
  <c r="K10" i="26" s="1"/>
  <c r="J23" i="7"/>
  <c r="J24" i="7"/>
  <c r="AC19" i="9"/>
  <c r="H9" i="26"/>
  <c r="M9" i="26" s="1"/>
  <c r="F11" i="31"/>
  <c r="H11" i="31" s="1"/>
  <c r="J11" i="31" s="1"/>
  <c r="Q27" i="6"/>
  <c r="Z40" i="6"/>
  <c r="Z39" i="6"/>
  <c r="Z41" i="6"/>
  <c r="Z42" i="6"/>
  <c r="Z43" i="6"/>
  <c r="Z47" i="6"/>
  <c r="Z44" i="6"/>
  <c r="CS12" i="5"/>
  <c r="CU12" i="5"/>
  <c r="CT12" i="5"/>
  <c r="Z45" i="6"/>
  <c r="Z48" i="6"/>
  <c r="Z46" i="6"/>
  <c r="AO33" i="23"/>
  <c r="AP33" i="23"/>
  <c r="AS33" i="26" s="1"/>
  <c r="F9" i="31"/>
  <c r="H9" i="31" s="1"/>
  <c r="J9" i="31" s="1"/>
  <c r="H7" i="26"/>
  <c r="M7" i="26" s="1"/>
  <c r="C45" i="27"/>
  <c r="D18" i="27"/>
  <c r="Q17" i="27"/>
  <c r="R18" i="27"/>
  <c r="G97" i="6"/>
  <c r="Y16" i="24"/>
  <c r="Y21" i="24"/>
  <c r="G102" i="6"/>
  <c r="W52" i="6"/>
  <c r="Y4" i="23"/>
  <c r="AL4" i="23" s="1"/>
  <c r="AN4" i="23" s="1"/>
  <c r="Q52" i="6"/>
  <c r="AC22" i="6"/>
  <c r="AA7" i="24" s="1"/>
  <c r="AC21" i="6"/>
  <c r="AA6" i="24" s="1"/>
  <c r="AC25" i="6"/>
  <c r="AA10" i="24" s="1"/>
  <c r="AC27" i="6"/>
  <c r="AA12" i="24" s="1"/>
  <c r="BT4" i="5"/>
  <c r="BU4" i="5"/>
  <c r="BV4" i="5"/>
  <c r="BO24" i="5"/>
  <c r="DB16" i="5"/>
  <c r="DC16" i="5" s="1"/>
  <c r="Y18" i="9"/>
  <c r="W18" i="9"/>
  <c r="AW5" i="26"/>
  <c r="AX5" i="26" s="1"/>
  <c r="X18" i="9"/>
  <c r="G19" i="43"/>
  <c r="F21" i="28"/>
  <c r="F22" i="28"/>
  <c r="D44" i="46" s="1"/>
  <c r="AD37" i="46"/>
  <c r="AF37" i="46" s="1"/>
  <c r="AG34" i="46"/>
  <c r="F51" i="32"/>
  <c r="U35" i="41"/>
  <c r="AR9" i="35"/>
  <c r="AR8" i="35"/>
  <c r="AQ9" i="35"/>
  <c r="BF10" i="35"/>
  <c r="BD10" i="35"/>
  <c r="AS9" i="35"/>
  <c r="AQ8" i="35"/>
  <c r="AS8" i="35"/>
  <c r="BE10" i="35"/>
  <c r="BD11" i="35"/>
  <c r="AE12" i="35"/>
  <c r="BE12" i="35"/>
  <c r="AQ12" i="35"/>
  <c r="AQ13" i="35"/>
  <c r="BD13" i="35"/>
  <c r="AD11" i="35"/>
  <c r="AQ11" i="35"/>
  <c r="AF13" i="35"/>
  <c r="AF12" i="35"/>
  <c r="BD12" i="35"/>
  <c r="AF11" i="35"/>
  <c r="AE13" i="35"/>
  <c r="AS13" i="35"/>
  <c r="BF12" i="35"/>
  <c r="AE11" i="35"/>
  <c r="BE11" i="35"/>
  <c r="BF11" i="35"/>
  <c r="BF13" i="35"/>
  <c r="AD12" i="35"/>
  <c r="AS12" i="35"/>
  <c r="AD13" i="35"/>
  <c r="AS11" i="35"/>
  <c r="AR13" i="35"/>
  <c r="AR11" i="35"/>
  <c r="BE13" i="35"/>
  <c r="AR12" i="35"/>
  <c r="BE7" i="35"/>
  <c r="BD7" i="35"/>
  <c r="BF7" i="35"/>
  <c r="AF10" i="35"/>
  <c r="AD10" i="35"/>
  <c r="AE10" i="35"/>
  <c r="BE8" i="35"/>
  <c r="BD9" i="35"/>
  <c r="AE7" i="35"/>
  <c r="BD8" i="35"/>
  <c r="BF8" i="35"/>
  <c r="AD7" i="35"/>
  <c r="AF7" i="35"/>
  <c r="BF9" i="35"/>
  <c r="BE9" i="35"/>
  <c r="AH4" i="35"/>
  <c r="J77" i="32"/>
  <c r="U40" i="41" s="1"/>
  <c r="K77" i="32"/>
  <c r="J76" i="32"/>
  <c r="K76" i="32"/>
  <c r="J78" i="32"/>
  <c r="K78" i="32"/>
  <c r="BL4" i="26"/>
  <c r="AH5" i="35"/>
  <c r="AI5" i="35"/>
  <c r="AI4" i="35"/>
  <c r="O6" i="26"/>
  <c r="P7" i="26"/>
  <c r="Q7" i="26" s="1"/>
  <c r="R6" i="26"/>
  <c r="S6" i="26"/>
  <c r="U6" i="26" s="1"/>
  <c r="CC9" i="7"/>
  <c r="BM11" i="7"/>
  <c r="DV5" i="7" s="1"/>
  <c r="AG11" i="7"/>
  <c r="AZ9" i="7"/>
  <c r="AX16" i="7"/>
  <c r="CD16" i="7"/>
  <c r="AH16" i="7"/>
  <c r="AQ9" i="7"/>
  <c r="AI9" i="7"/>
  <c r="BV9" i="7"/>
  <c r="BV35" i="7" s="1"/>
  <c r="CD11" i="7"/>
  <c r="BV11" i="7"/>
  <c r="EF5" i="7" s="1"/>
  <c r="AX11" i="7"/>
  <c r="BO11" i="7"/>
  <c r="BU11" i="7"/>
  <c r="BM9" i="7"/>
  <c r="BF9" i="7"/>
  <c r="AO9" i="7"/>
  <c r="AO35" i="7" s="1"/>
  <c r="BN9" i="7"/>
  <c r="AM11" i="7"/>
  <c r="CC11" i="7"/>
  <c r="AZ11" i="7"/>
  <c r="DG5" i="7" s="1"/>
  <c r="BU9" i="7"/>
  <c r="BU35" i="7" s="1"/>
  <c r="AY9" i="7"/>
  <c r="CD9" i="7"/>
  <c r="AG9" i="7"/>
  <c r="AG35" i="7" s="1"/>
  <c r="BE11" i="7"/>
  <c r="BN11" i="7"/>
  <c r="AJ11" i="7"/>
  <c r="AU9" i="7"/>
  <c r="AJ9" i="7"/>
  <c r="BW9" i="7"/>
  <c r="AM9" i="7"/>
  <c r="AO11" i="7"/>
  <c r="CU5" i="7" s="1"/>
  <c r="AH11" i="7"/>
  <c r="BF11" i="7"/>
  <c r="AR11" i="7"/>
  <c r="AU11" i="7"/>
  <c r="AY11" i="7"/>
  <c r="AE9" i="7"/>
  <c r="AP9" i="7"/>
  <c r="BO9" i="7"/>
  <c r="BO35" i="7" s="1"/>
  <c r="CE11" i="7"/>
  <c r="AE11" i="7"/>
  <c r="CE9" i="7"/>
  <c r="CE35" i="7" s="1"/>
  <c r="AW9" i="7"/>
  <c r="BG11" i="7"/>
  <c r="AI11" i="7"/>
  <c r="AR9" i="7"/>
  <c r="AQ11" i="7"/>
  <c r="CW5" i="7" s="1"/>
  <c r="AW11" i="7"/>
  <c r="BG9" i="7"/>
  <c r="BE9" i="7"/>
  <c r="BE35" i="7" s="1"/>
  <c r="AH9" i="7"/>
  <c r="G10" i="34"/>
  <c r="Z12" i="7"/>
  <c r="AE8" i="7"/>
  <c r="AW8" i="7"/>
  <c r="AJ8" i="7"/>
  <c r="BW8" i="7"/>
  <c r="BW34" i="7" s="1"/>
  <c r="AU8" i="7"/>
  <c r="BO8" i="7"/>
  <c r="AY8" i="7"/>
  <c r="BV8" i="7"/>
  <c r="BM8" i="7"/>
  <c r="BN32" i="7" s="1"/>
  <c r="BF8" i="7"/>
  <c r="BF34" i="7" s="1"/>
  <c r="AZ8" i="7"/>
  <c r="D36" i="28"/>
  <c r="AG8" i="7"/>
  <c r="AI32" i="7" s="1"/>
  <c r="CD8" i="7"/>
  <c r="AP8" i="7"/>
  <c r="BU8" i="7"/>
  <c r="BU33" i="7" s="1"/>
  <c r="BN8" i="7"/>
  <c r="BN34" i="7" s="1"/>
  <c r="AI8" i="7"/>
  <c r="AI34" i="7" s="1"/>
  <c r="AQ8" i="7"/>
  <c r="BE8" i="7"/>
  <c r="BF31" i="7" s="1"/>
  <c r="AX8" i="7"/>
  <c r="AR8" i="7"/>
  <c r="CC8" i="7"/>
  <c r="CC33" i="7" s="1"/>
  <c r="BG8" i="7"/>
  <c r="AM8" i="7"/>
  <c r="AH8" i="7"/>
  <c r="AH34" i="7" s="1"/>
  <c r="CE8" i="7"/>
  <c r="AO8" i="7"/>
  <c r="AQ33" i="7" s="1"/>
  <c r="Z15" i="7"/>
  <c r="H7" i="34"/>
  <c r="BF16" i="7"/>
  <c r="AJ16" i="7"/>
  <c r="AQ16" i="7"/>
  <c r="AE16" i="7"/>
  <c r="BV16" i="7"/>
  <c r="BO16" i="7"/>
  <c r="BM16" i="7"/>
  <c r="BG16" i="7"/>
  <c r="AU16" i="7"/>
  <c r="AP16" i="7"/>
  <c r="AM16" i="7"/>
  <c r="AR16" i="7"/>
  <c r="AG16" i="7"/>
  <c r="BU16" i="7"/>
  <c r="AI16" i="7"/>
  <c r="AZ16" i="7"/>
  <c r="BW16" i="7"/>
  <c r="AW16" i="7"/>
  <c r="CC16" i="7"/>
  <c r="AO16" i="7"/>
  <c r="BE16" i="7"/>
  <c r="CE16" i="7"/>
  <c r="BN16" i="7"/>
  <c r="Z14" i="7"/>
  <c r="G12" i="34"/>
  <c r="H12" i="34"/>
  <c r="AY10" i="7"/>
  <c r="AU10" i="7"/>
  <c r="AU36" i="7" s="1"/>
  <c r="BV10" i="7"/>
  <c r="BV36" i="7" s="1"/>
  <c r="AH10" i="7"/>
  <c r="AO10" i="7"/>
  <c r="BN10" i="7"/>
  <c r="BN36" i="7" s="1"/>
  <c r="AW10" i="7"/>
  <c r="AZ10" i="7"/>
  <c r="CC10" i="7"/>
  <c r="CC36" i="7" s="1"/>
  <c r="BF10" i="7"/>
  <c r="BF36" i="7" s="1"/>
  <c r="BG10" i="7"/>
  <c r="CE10" i="7"/>
  <c r="CE36" i="7" s="1"/>
  <c r="AP10" i="7"/>
  <c r="AG10" i="7"/>
  <c r="AI10" i="7"/>
  <c r="AE10" i="7"/>
  <c r="CD10" i="7"/>
  <c r="CD36" i="7" s="1"/>
  <c r="AM10" i="7"/>
  <c r="AM36" i="7" s="1"/>
  <c r="AQ10" i="7"/>
  <c r="BO10" i="7"/>
  <c r="BO36" i="7" s="1"/>
  <c r="AR10" i="7"/>
  <c r="AX10" i="7"/>
  <c r="BM10" i="7"/>
  <c r="BM36" i="7" s="1"/>
  <c r="BW10" i="7"/>
  <c r="BW36" i="7" s="1"/>
  <c r="AJ10" i="7"/>
  <c r="BU10" i="7"/>
  <c r="BU36" i="7" s="1"/>
  <c r="BE10" i="7"/>
  <c r="Z22" i="7"/>
  <c r="AU22" i="7" s="1"/>
  <c r="H9" i="34"/>
  <c r="Z13" i="7"/>
  <c r="G11" i="34"/>
  <c r="Z21" i="7"/>
  <c r="H8" i="34"/>
  <c r="Q23" i="6"/>
  <c r="N11" i="34"/>
  <c r="E68" i="32"/>
  <c r="H82" i="32" s="1"/>
  <c r="E27" i="46"/>
  <c r="F25" i="46"/>
  <c r="F67" i="32" s="1"/>
  <c r="H79" i="32"/>
  <c r="H80" i="32"/>
  <c r="I83" i="32"/>
  <c r="H81" i="32"/>
  <c r="M41" i="41"/>
  <c r="I98" i="41"/>
  <c r="I90" i="41"/>
  <c r="M74" i="41"/>
  <c r="M58" i="41"/>
  <c r="M50" i="41"/>
  <c r="I114" i="41"/>
  <c r="M66" i="41"/>
  <c r="I106" i="41"/>
  <c r="C62" i="47"/>
  <c r="D57" i="32"/>
  <c r="F57" i="32" s="1"/>
  <c r="D60" i="32"/>
  <c r="F60" i="32" s="1"/>
  <c r="D59" i="32"/>
  <c r="F59" i="32" s="1"/>
  <c r="D58" i="32"/>
  <c r="F58" i="32" s="1"/>
  <c r="D13" i="32"/>
  <c r="G17" i="27"/>
  <c r="N43" i="30"/>
  <c r="N47" i="30"/>
  <c r="L42" i="30"/>
  <c r="M43" i="30"/>
  <c r="N41" i="30"/>
  <c r="N45" i="30"/>
  <c r="L45" i="30"/>
  <c r="L41" i="30"/>
  <c r="N44" i="30"/>
  <c r="N42" i="30"/>
  <c r="L46" i="30"/>
  <c r="N46" i="30"/>
  <c r="L47" i="30"/>
  <c r="M44" i="30"/>
  <c r="M42" i="30"/>
  <c r="L44" i="30"/>
  <c r="M47" i="30"/>
  <c r="L43" i="30"/>
  <c r="M46" i="30"/>
  <c r="M41" i="30"/>
  <c r="M45" i="30"/>
  <c r="O112" i="32"/>
  <c r="O113" i="32" s="1"/>
  <c r="X99" i="32"/>
  <c r="H103" i="28"/>
  <c r="L103" i="28" s="1"/>
  <c r="H97" i="28"/>
  <c r="L97" i="28" s="1"/>
  <c r="H101" i="28"/>
  <c r="L101" i="28" s="1"/>
  <c r="H86" i="28"/>
  <c r="H85" i="28"/>
  <c r="H105" i="28"/>
  <c r="L105" i="28" s="1"/>
  <c r="H102" i="28"/>
  <c r="L102" i="28" s="1"/>
  <c r="H92" i="28"/>
  <c r="L92" i="28" s="1"/>
  <c r="H95" i="28"/>
  <c r="L95" i="28" s="1"/>
  <c r="H87" i="28"/>
  <c r="H104" i="28"/>
  <c r="L104" i="28" s="1"/>
  <c r="C4" i="45"/>
  <c r="H91" i="28"/>
  <c r="L91" i="28" s="1"/>
  <c r="H88" i="28"/>
  <c r="L88" i="28" s="1"/>
  <c r="H106" i="28"/>
  <c r="L106" i="28" s="1"/>
  <c r="I5" i="45"/>
  <c r="I7" i="45" s="1"/>
  <c r="H98" i="28"/>
  <c r="L98" i="28" s="1"/>
  <c r="H93" i="28"/>
  <c r="L93" i="28" s="1"/>
  <c r="H90" i="28"/>
  <c r="L90" i="28" s="1"/>
  <c r="H100" i="28"/>
  <c r="L100" i="28" s="1"/>
  <c r="H84" i="28"/>
  <c r="H89" i="28"/>
  <c r="L89" i="28" s="1"/>
  <c r="H99" i="28"/>
  <c r="L99" i="28" s="1"/>
  <c r="H96" i="28"/>
  <c r="L96" i="28" s="1"/>
  <c r="H94" i="28"/>
  <c r="L94" i="28" s="1"/>
  <c r="D13" i="45"/>
  <c r="E13" i="45" s="1"/>
  <c r="D14" i="45"/>
  <c r="L92" i="41"/>
  <c r="L95" i="41"/>
  <c r="L87" i="41"/>
  <c r="L97" i="41"/>
  <c r="L112" i="41"/>
  <c r="L110" i="41"/>
  <c r="L102" i="41"/>
  <c r="L100" i="41"/>
  <c r="L105" i="41"/>
  <c r="L107" i="41"/>
  <c r="L90" i="41"/>
  <c r="N25" i="2"/>
  <c r="I30" i="2"/>
  <c r="K28" i="2"/>
  <c r="K30" i="2"/>
  <c r="N28" i="2"/>
  <c r="M29" i="2"/>
  <c r="L26" i="2"/>
  <c r="M28" i="2"/>
  <c r="J29" i="2"/>
  <c r="N30" i="2"/>
  <c r="J25" i="2"/>
  <c r="J24" i="2"/>
  <c r="I28" i="2"/>
  <c r="K27" i="2"/>
  <c r="K29" i="2"/>
  <c r="L24" i="2"/>
  <c r="L25" i="2"/>
  <c r="N24" i="2"/>
  <c r="J26" i="2"/>
  <c r="J27" i="2"/>
  <c r="N27" i="2"/>
  <c r="L29" i="2"/>
  <c r="J28" i="2"/>
  <c r="J30" i="2"/>
  <c r="L30" i="2"/>
  <c r="N26" i="2"/>
  <c r="L27" i="2"/>
  <c r="N29" i="2"/>
  <c r="L28" i="2"/>
  <c r="M27" i="2"/>
  <c r="M30" i="2"/>
  <c r="I27" i="2"/>
  <c r="I29" i="2"/>
  <c r="I25" i="2"/>
  <c r="I24" i="2"/>
  <c r="K24" i="2"/>
  <c r="M25" i="2"/>
  <c r="M26" i="2"/>
  <c r="K25" i="2"/>
  <c r="I26" i="2"/>
  <c r="M24" i="2"/>
  <c r="K26" i="2"/>
  <c r="AP26" i="23"/>
  <c r="AS26" i="26" s="1"/>
  <c r="AO26" i="23"/>
  <c r="AP32" i="23"/>
  <c r="AS32" i="26" s="1"/>
  <c r="AO32" i="23"/>
  <c r="AO18" i="23"/>
  <c r="AP18" i="23"/>
  <c r="AS18" i="26" s="1"/>
  <c r="K11" i="34"/>
  <c r="L12" i="34"/>
  <c r="M12" i="34"/>
  <c r="EG5" i="7"/>
  <c r="AO493" i="36"/>
  <c r="AO281" i="36"/>
  <c r="AF566" i="36"/>
  <c r="AF214" i="36"/>
  <c r="AO221" i="36"/>
  <c r="AF405" i="36"/>
  <c r="AF117" i="36"/>
  <c r="AO417" i="36"/>
  <c r="AO582" i="36"/>
  <c r="AO168" i="36"/>
  <c r="AO118" i="36"/>
  <c r="AO169" i="36"/>
  <c r="AF337" i="36"/>
  <c r="AF479" i="36"/>
  <c r="AF213" i="36"/>
  <c r="AF480" i="36"/>
  <c r="AF164" i="36"/>
  <c r="AF404" i="36"/>
  <c r="AO280" i="36"/>
  <c r="AO495" i="36"/>
  <c r="AO76" i="36"/>
  <c r="AO416" i="36"/>
  <c r="AO494" i="36"/>
  <c r="AO581" i="36"/>
  <c r="AO347" i="36"/>
  <c r="AO120" i="36"/>
  <c r="AO167" i="36"/>
  <c r="AF565" i="36"/>
  <c r="AF75" i="36"/>
  <c r="AF272" i="36"/>
  <c r="AO348" i="36"/>
  <c r="AF163" i="36"/>
  <c r="AF273" i="36"/>
  <c r="AO282" i="36"/>
  <c r="AF338" i="36"/>
  <c r="AF76" i="36"/>
  <c r="AO119" i="36"/>
  <c r="AO219" i="36"/>
  <c r="AO75" i="36"/>
  <c r="AO349" i="36"/>
  <c r="AO418" i="36"/>
  <c r="AO583" i="36"/>
  <c r="AO220" i="36"/>
  <c r="AO77" i="36"/>
  <c r="AF116" i="36"/>
  <c r="V152" i="37" l="1"/>
  <c r="Y53" i="37"/>
  <c r="X53" i="37"/>
  <c r="W53" i="37"/>
  <c r="T53" i="37" s="1"/>
  <c r="U54" i="37"/>
  <c r="T52" i="37"/>
  <c r="V150" i="37"/>
  <c r="V145" i="37"/>
  <c r="U39" i="41"/>
  <c r="I96" i="41" s="1"/>
  <c r="G13" i="41"/>
  <c r="I13" i="41" s="1"/>
  <c r="I13" i="31"/>
  <c r="L13" i="31" s="1"/>
  <c r="I14" i="31"/>
  <c r="L14" i="31" s="1"/>
  <c r="I12" i="31"/>
  <c r="L12" i="31" s="1"/>
  <c r="AG5" i="31"/>
  <c r="W5" i="31"/>
  <c r="Z5" i="31" s="1"/>
  <c r="AB5" i="31"/>
  <c r="F35" i="28"/>
  <c r="C6" i="32" s="1"/>
  <c r="F34" i="28"/>
  <c r="Q38" i="6"/>
  <c r="AC35" i="6"/>
  <c r="AA20" i="24" s="1"/>
  <c r="BT8" i="5"/>
  <c r="BV8" i="5"/>
  <c r="BU8" i="5"/>
  <c r="AC29" i="6"/>
  <c r="AA14" i="24" s="1"/>
  <c r="AC30" i="6"/>
  <c r="AA15" i="24" s="1"/>
  <c r="AC32" i="6"/>
  <c r="AA17" i="24" s="1"/>
  <c r="T29" i="2"/>
  <c r="AC36" i="6"/>
  <c r="AA21" i="24" s="1"/>
  <c r="AC33" i="6"/>
  <c r="AA18" i="24" s="1"/>
  <c r="AC38" i="6"/>
  <c r="AA23" i="24" s="1"/>
  <c r="BO27" i="5"/>
  <c r="BT7" i="5"/>
  <c r="BV7" i="5"/>
  <c r="AC37" i="6"/>
  <c r="AA22" i="24" s="1"/>
  <c r="BU7" i="5"/>
  <c r="AC31" i="6"/>
  <c r="AA16" i="24" s="1"/>
  <c r="AC34" i="6"/>
  <c r="AA19" i="24" s="1"/>
  <c r="Q31" i="6"/>
  <c r="O38" i="6"/>
  <c r="U23" i="24"/>
  <c r="F27" i="9" s="1"/>
  <c r="AN36" i="6"/>
  <c r="AE21" i="24" s="1"/>
  <c r="BV17" i="5"/>
  <c r="AN34" i="6"/>
  <c r="AE19" i="24" s="1"/>
  <c r="BU17" i="5"/>
  <c r="BT17" i="5"/>
  <c r="AN31" i="6"/>
  <c r="AE16" i="24" s="1"/>
  <c r="AN33" i="6"/>
  <c r="AE18" i="24" s="1"/>
  <c r="AN37" i="6"/>
  <c r="AE22" i="24" s="1"/>
  <c r="AN38" i="6"/>
  <c r="AE23" i="24" s="1"/>
  <c r="BT18" i="5"/>
  <c r="BU18" i="5"/>
  <c r="BV18" i="5"/>
  <c r="AN35" i="6"/>
  <c r="AE20" i="24" s="1"/>
  <c r="AN30" i="6"/>
  <c r="AE15" i="24" s="1"/>
  <c r="AN29" i="6"/>
  <c r="AE14" i="24" s="1"/>
  <c r="AN32" i="6"/>
  <c r="AE17" i="24" s="1"/>
  <c r="U18" i="24"/>
  <c r="F22" i="9" s="1"/>
  <c r="O33" i="6"/>
  <c r="Q33" i="6" s="1"/>
  <c r="U19" i="24"/>
  <c r="F23" i="9" s="1"/>
  <c r="O34" i="6"/>
  <c r="Q34" i="6" s="1"/>
  <c r="Q37" i="6"/>
  <c r="O37" i="6"/>
  <c r="U22" i="24"/>
  <c r="F26" i="9" s="1"/>
  <c r="BO28" i="5"/>
  <c r="CB42" i="5"/>
  <c r="CB48" i="5" s="1"/>
  <c r="AW34" i="7"/>
  <c r="AY33" i="7"/>
  <c r="AW32" i="7"/>
  <c r="AU31" i="7"/>
  <c r="AW33" i="7"/>
  <c r="DE4" i="7"/>
  <c r="DG4" i="7"/>
  <c r="AZ31" i="7"/>
  <c r="DD4" i="7"/>
  <c r="AU33" i="7"/>
  <c r="AX31" i="7"/>
  <c r="AX32" i="7"/>
  <c r="DB4" i="7"/>
  <c r="AW31" i="7"/>
  <c r="AY31" i="7"/>
  <c r="AZ33" i="7"/>
  <c r="DF4" i="7"/>
  <c r="AR36" i="7"/>
  <c r="AO36" i="7"/>
  <c r="AH36" i="7"/>
  <c r="CN5" i="7"/>
  <c r="BE36" i="7"/>
  <c r="AQ36" i="7"/>
  <c r="BG36" i="7"/>
  <c r="CE34" i="7"/>
  <c r="AQ34" i="7"/>
  <c r="AZ34" i="7"/>
  <c r="AJ34" i="7"/>
  <c r="DD5" i="7"/>
  <c r="EP5" i="7"/>
  <c r="CM5" i="7"/>
  <c r="DM5" i="7"/>
  <c r="BN35" i="7"/>
  <c r="EO5" i="7"/>
  <c r="CL5" i="7"/>
  <c r="AH32" i="7"/>
  <c r="AE32" i="7"/>
  <c r="CX4" i="7"/>
  <c r="BW33" i="7"/>
  <c r="AI31" i="7"/>
  <c r="AX35" i="7"/>
  <c r="CL4" i="7"/>
  <c r="AM32" i="7"/>
  <c r="CU4" i="7"/>
  <c r="AJ36" i="7"/>
  <c r="AM34" i="7"/>
  <c r="BM34" i="7"/>
  <c r="DW4" i="7"/>
  <c r="BM31" i="7"/>
  <c r="AE34" i="7"/>
  <c r="AR35" i="7"/>
  <c r="AP35" i="7"/>
  <c r="AM35" i="7"/>
  <c r="CD35" i="7"/>
  <c r="BF35" i="7"/>
  <c r="AI35" i="7"/>
  <c r="CC35" i="7"/>
  <c r="AM31" i="7"/>
  <c r="CO4" i="7"/>
  <c r="AJ32" i="7"/>
  <c r="DN4" i="7"/>
  <c r="AP31" i="7"/>
  <c r="AX33" i="7"/>
  <c r="AO33" i="7"/>
  <c r="AR32" i="7"/>
  <c r="AG33" i="7"/>
  <c r="AZ36" i="7"/>
  <c r="AY36" i="7"/>
  <c r="AE36" i="7"/>
  <c r="BG34" i="7"/>
  <c r="BU34" i="7"/>
  <c r="BU32" i="7"/>
  <c r="BV31" i="7"/>
  <c r="EF4" i="7"/>
  <c r="BW32" i="7"/>
  <c r="BV34" i="7"/>
  <c r="AE35" i="7"/>
  <c r="BW35" i="7"/>
  <c r="AY35" i="7"/>
  <c r="BM35" i="7"/>
  <c r="AQ35" i="7"/>
  <c r="AR31" i="7"/>
  <c r="BF33" i="7"/>
  <c r="CV4" i="7"/>
  <c r="BV32" i="7"/>
  <c r="D37" i="28"/>
  <c r="AQ31" i="7"/>
  <c r="BW31" i="7"/>
  <c r="BN31" i="7"/>
  <c r="EE4" i="7"/>
  <c r="AG31" i="7"/>
  <c r="AW36" i="7"/>
  <c r="CC34" i="7"/>
  <c r="EN4" i="7"/>
  <c r="EO4" i="7"/>
  <c r="CD31" i="7"/>
  <c r="CE31" i="7"/>
  <c r="AP34" i="7"/>
  <c r="AY34" i="7"/>
  <c r="DO5" i="7"/>
  <c r="DF5" i="7"/>
  <c r="AJ35" i="7"/>
  <c r="EE5" i="7"/>
  <c r="CJ4" i="7"/>
  <c r="AO32" i="7"/>
  <c r="EG4" i="7"/>
  <c r="AR33" i="7"/>
  <c r="AJ33" i="7"/>
  <c r="CD33" i="7"/>
  <c r="AM33" i="7"/>
  <c r="AO31" i="7"/>
  <c r="CC32" i="7"/>
  <c r="AY32" i="7"/>
  <c r="AI33" i="7"/>
  <c r="AI36" i="7"/>
  <c r="AX36" i="7"/>
  <c r="AG36" i="7"/>
  <c r="AR34" i="7"/>
  <c r="CD34" i="7"/>
  <c r="BO34" i="7"/>
  <c r="AH35" i="7"/>
  <c r="AW35" i="7"/>
  <c r="DB5" i="7"/>
  <c r="AU35" i="7"/>
  <c r="DX5" i="7"/>
  <c r="CS4" i="7"/>
  <c r="BO32" i="7"/>
  <c r="EP4" i="7"/>
  <c r="AE33" i="7"/>
  <c r="CD32" i="7"/>
  <c r="AU32" i="7"/>
  <c r="AH33" i="7"/>
  <c r="BG31" i="7"/>
  <c r="AP33" i="7"/>
  <c r="AP36" i="7"/>
  <c r="AX34" i="7"/>
  <c r="AG34" i="7"/>
  <c r="AG32" i="7"/>
  <c r="AE31" i="7"/>
  <c r="CM4" i="7"/>
  <c r="AH31" i="7"/>
  <c r="AU34" i="7"/>
  <c r="CX5" i="7"/>
  <c r="CO5" i="7"/>
  <c r="EN5" i="7"/>
  <c r="DE5" i="7"/>
  <c r="CW4" i="7"/>
  <c r="BF32" i="7"/>
  <c r="AZ32" i="7"/>
  <c r="CN4" i="7"/>
  <c r="AJ31" i="7"/>
  <c r="DX4" i="7"/>
  <c r="AQ32" i="7"/>
  <c r="CE33" i="7"/>
  <c r="AO34" i="7"/>
  <c r="BE34" i="7"/>
  <c r="BE32" i="7"/>
  <c r="DM4" i="7"/>
  <c r="BG32" i="7"/>
  <c r="BE31" i="7"/>
  <c r="BG33" i="7"/>
  <c r="BG35" i="7"/>
  <c r="CJ5" i="7"/>
  <c r="DN5" i="7"/>
  <c r="DW5" i="7"/>
  <c r="CS5" i="7"/>
  <c r="AZ35" i="7"/>
  <c r="BM33" i="7"/>
  <c r="BV33" i="7"/>
  <c r="CE32" i="7"/>
  <c r="DO4" i="7"/>
  <c r="CC31" i="7"/>
  <c r="BN33" i="7"/>
  <c r="AP32" i="7"/>
  <c r="BE33" i="7"/>
  <c r="BO33" i="7"/>
  <c r="DV4" i="7"/>
  <c r="T25" i="2"/>
  <c r="T28" i="2"/>
  <c r="T27" i="2"/>
  <c r="AA10" i="25"/>
  <c r="AA11" i="25" s="1"/>
  <c r="R27" i="2"/>
  <c r="S28" i="2"/>
  <c r="S25" i="2"/>
  <c r="AG36" i="46"/>
  <c r="AH7" i="25"/>
  <c r="L7" i="26"/>
  <c r="E7" i="34" s="1"/>
  <c r="F7" i="34"/>
  <c r="L9" i="26"/>
  <c r="E9" i="34" s="1"/>
  <c r="F9" i="34"/>
  <c r="BU24" i="5"/>
  <c r="BT24" i="5"/>
  <c r="BS24" i="5"/>
  <c r="BR24" i="5"/>
  <c r="BQ24" i="5"/>
  <c r="BX24" i="5"/>
  <c r="BW24" i="5"/>
  <c r="BV24" i="5"/>
  <c r="BP24" i="5"/>
  <c r="G114" i="6"/>
  <c r="Y33" i="24"/>
  <c r="G108" i="6"/>
  <c r="Y27" i="24"/>
  <c r="G86" i="6"/>
  <c r="Y5" i="24"/>
  <c r="H5" i="25"/>
  <c r="C5" i="25" s="1"/>
  <c r="H36" i="28"/>
  <c r="C19" i="32" s="1"/>
  <c r="M9" i="31"/>
  <c r="H24" i="31"/>
  <c r="AI9" i="24"/>
  <c r="J13" i="9" s="1"/>
  <c r="L9" i="23"/>
  <c r="AN9" i="26" s="1"/>
  <c r="AE9" i="26"/>
  <c r="H26" i="31"/>
  <c r="H38" i="28"/>
  <c r="C21" i="32" s="1"/>
  <c r="M11" i="31"/>
  <c r="AP17" i="23"/>
  <c r="AS17" i="26" s="1"/>
  <c r="AO17" i="23"/>
  <c r="Y14" i="25"/>
  <c r="Z14" i="25" s="1"/>
  <c r="Y15" i="25"/>
  <c r="Z15" i="25" s="1"/>
  <c r="Y16" i="25"/>
  <c r="Z16" i="25" s="1"/>
  <c r="Y17" i="25"/>
  <c r="Z17" i="25" s="1"/>
  <c r="Y18" i="25"/>
  <c r="Z18" i="25" s="1"/>
  <c r="Y19" i="25"/>
  <c r="Z19" i="25" s="1"/>
  <c r="Y20" i="25"/>
  <c r="Z20" i="25" s="1"/>
  <c r="Y21" i="25"/>
  <c r="Z21" i="25" s="1"/>
  <c r="Y22" i="25"/>
  <c r="Z22" i="25" s="1"/>
  <c r="Y23" i="25"/>
  <c r="Z23" i="25" s="1"/>
  <c r="G109" i="6"/>
  <c r="Y28" i="24"/>
  <c r="Y11" i="24"/>
  <c r="G92" i="6"/>
  <c r="L12" i="23"/>
  <c r="AN12" i="26" s="1"/>
  <c r="AE12" i="26"/>
  <c r="AI12" i="24"/>
  <c r="J16" i="9" s="1"/>
  <c r="C35" i="32"/>
  <c r="E35" i="32" s="1"/>
  <c r="G30" i="29"/>
  <c r="Z47" i="32"/>
  <c r="Z48" i="32" s="1"/>
  <c r="Z49" i="32" s="1"/>
  <c r="Z50" i="32" s="1"/>
  <c r="Z51" i="32" s="1"/>
  <c r="Z52" i="32" s="1"/>
  <c r="Z53" i="32" s="1"/>
  <c r="Z54" i="32" s="1"/>
  <c r="Z55" i="32" s="1"/>
  <c r="Z56" i="32" s="1"/>
  <c r="Z57" i="32" s="1"/>
  <c r="Z58" i="32" s="1"/>
  <c r="Z59" i="32" s="1"/>
  <c r="Z60" i="32" s="1"/>
  <c r="Z61" i="32" s="1"/>
  <c r="Z62" i="32" s="1"/>
  <c r="Z63" i="32" s="1"/>
  <c r="Z64" i="32" s="1"/>
  <c r="Z65" i="32" s="1"/>
  <c r="Z66" i="32" s="1"/>
  <c r="Z67" i="32" s="1"/>
  <c r="Z68" i="32" s="1"/>
  <c r="Z69" i="32" s="1"/>
  <c r="AJ46" i="32"/>
  <c r="AJ47" i="32"/>
  <c r="AJ48" i="32" s="1"/>
  <c r="AJ49" i="32" s="1"/>
  <c r="AJ50" i="32" s="1"/>
  <c r="AJ51" i="32" s="1"/>
  <c r="AJ52" i="32" s="1"/>
  <c r="AJ53" i="32" s="1"/>
  <c r="AJ54" i="32" s="1"/>
  <c r="AJ55" i="32" s="1"/>
  <c r="AJ56" i="32" s="1"/>
  <c r="AJ57" i="32" s="1"/>
  <c r="AJ58" i="32" s="1"/>
  <c r="AJ59" i="32" s="1"/>
  <c r="AJ60" i="32" s="1"/>
  <c r="AJ61" i="32" s="1"/>
  <c r="AJ62" i="32" s="1"/>
  <c r="AJ63" i="32" s="1"/>
  <c r="AJ64" i="32" s="1"/>
  <c r="AJ65" i="32" s="1"/>
  <c r="AJ66" i="32" s="1"/>
  <c r="AJ67" i="32" s="1"/>
  <c r="AJ68" i="32" s="1"/>
  <c r="AJ69" i="32" s="1"/>
  <c r="Z46" i="32"/>
  <c r="P46" i="32"/>
  <c r="P47" i="32" s="1"/>
  <c r="P48" i="32" s="1"/>
  <c r="P49" i="32" s="1"/>
  <c r="P50" i="32" s="1"/>
  <c r="P51" i="32" s="1"/>
  <c r="P52" i="32" s="1"/>
  <c r="P53" i="32" s="1"/>
  <c r="P54" i="32" s="1"/>
  <c r="P55" i="32" s="1"/>
  <c r="P56" i="32" s="1"/>
  <c r="P57" i="32" s="1"/>
  <c r="P58" i="32" s="1"/>
  <c r="P59" i="32" s="1"/>
  <c r="P60" i="32" s="1"/>
  <c r="P61" i="32" s="1"/>
  <c r="P62" i="32" s="1"/>
  <c r="P63" i="32" s="1"/>
  <c r="P64" i="32" s="1"/>
  <c r="P65" i="32" s="1"/>
  <c r="P66" i="32" s="1"/>
  <c r="P67" i="32" s="1"/>
  <c r="P68" i="32" s="1"/>
  <c r="P69" i="32" s="1"/>
  <c r="R25" i="2"/>
  <c r="I62" i="7" s="1"/>
  <c r="AD38" i="46"/>
  <c r="AF38" i="46" s="1"/>
  <c r="AP4" i="23"/>
  <c r="AS4" i="26" s="1"/>
  <c r="BJ4" i="26" s="1"/>
  <c r="AJ4" i="35" s="1"/>
  <c r="AK4" i="35" s="1"/>
  <c r="AO4" i="23"/>
  <c r="C46" i="27"/>
  <c r="D19" i="27"/>
  <c r="R19" i="27"/>
  <c r="Q18" i="27"/>
  <c r="Y30" i="24"/>
  <c r="G111" i="6"/>
  <c r="G107" i="6"/>
  <c r="Y26" i="24"/>
  <c r="E17" i="31"/>
  <c r="G17" i="31" s="1"/>
  <c r="K24" i="7"/>
  <c r="H15" i="34" s="1"/>
  <c r="G15" i="26"/>
  <c r="K15" i="26" s="1"/>
  <c r="Y6" i="24"/>
  <c r="G87" i="6"/>
  <c r="H37" i="28"/>
  <c r="C20" i="32" s="1"/>
  <c r="M10" i="31"/>
  <c r="H25" i="31"/>
  <c r="AI11" i="24"/>
  <c r="J15" i="9" s="1"/>
  <c r="L11" i="23"/>
  <c r="AN11" i="26" s="1"/>
  <c r="AE11" i="26"/>
  <c r="C6" i="43"/>
  <c r="AI5" i="24"/>
  <c r="J9" i="9" s="1"/>
  <c r="AE5" i="26"/>
  <c r="L5" i="23"/>
  <c r="AN5" i="26" s="1"/>
  <c r="E41" i="28"/>
  <c r="T24" i="2"/>
  <c r="G106" i="6"/>
  <c r="Y25" i="24"/>
  <c r="Y13" i="24"/>
  <c r="G94" i="6"/>
  <c r="G85" i="6"/>
  <c r="Y4" i="24"/>
  <c r="AE4" i="26"/>
  <c r="AN4" i="26"/>
  <c r="AI4" i="24"/>
  <c r="J8" i="9" s="1"/>
  <c r="L8" i="23"/>
  <c r="AN8" i="26" s="1"/>
  <c r="AE8" i="26"/>
  <c r="AI8" i="24"/>
  <c r="J12" i="9" s="1"/>
  <c r="C36" i="32"/>
  <c r="E36" i="32" s="1"/>
  <c r="Q54" i="32"/>
  <c r="Q57" i="32"/>
  <c r="Q58" i="32" s="1"/>
  <c r="Q59" i="32" s="1"/>
  <c r="Q60" i="32" s="1"/>
  <c r="Q61" i="32" s="1"/>
  <c r="Q62" i="32" s="1"/>
  <c r="Q63" i="32" s="1"/>
  <c r="Q64" i="32" s="1"/>
  <c r="Q65" i="32" s="1"/>
  <c r="Q66" i="32" s="1"/>
  <c r="Q67" i="32" s="1"/>
  <c r="Q68" i="32" s="1"/>
  <c r="Q69" i="32" s="1"/>
  <c r="AA51" i="32"/>
  <c r="AK54" i="32"/>
  <c r="AA46" i="32"/>
  <c r="Q55" i="32"/>
  <c r="AA47" i="32"/>
  <c r="AA50" i="32"/>
  <c r="AK52" i="32"/>
  <c r="G31" i="29"/>
  <c r="AK50" i="32"/>
  <c r="AA48" i="32"/>
  <c r="Q52" i="32"/>
  <c r="Q46" i="32"/>
  <c r="AK46" i="32"/>
  <c r="AA55" i="32"/>
  <c r="Q53" i="32"/>
  <c r="AK49" i="32"/>
  <c r="AK53" i="32"/>
  <c r="AK51" i="32"/>
  <c r="Q49" i="32"/>
  <c r="AA56" i="32"/>
  <c r="AA49" i="32"/>
  <c r="AK56" i="32"/>
  <c r="Q51" i="32"/>
  <c r="AA53" i="32"/>
  <c r="Q50" i="32"/>
  <c r="AK48" i="32"/>
  <c r="Q48" i="32"/>
  <c r="AA52" i="32"/>
  <c r="AA54" i="32"/>
  <c r="AK55" i="32"/>
  <c r="Q47" i="32"/>
  <c r="AK47" i="32"/>
  <c r="Q56" i="32"/>
  <c r="AA57" i="32"/>
  <c r="AA58" i="32" s="1"/>
  <c r="AA59" i="32" s="1"/>
  <c r="AA60" i="32" s="1"/>
  <c r="AA61" i="32" s="1"/>
  <c r="AA62" i="32" s="1"/>
  <c r="AA63" i="32" s="1"/>
  <c r="AA64" i="32" s="1"/>
  <c r="AA65" i="32" s="1"/>
  <c r="AA66" i="32" s="1"/>
  <c r="AA67" i="32" s="1"/>
  <c r="AA68" i="32" s="1"/>
  <c r="AA69" i="32" s="1"/>
  <c r="AK57" i="32"/>
  <c r="AK58" i="32" s="1"/>
  <c r="AK59" i="32" s="1"/>
  <c r="AK60" i="32" s="1"/>
  <c r="AK61" i="32" s="1"/>
  <c r="AK62" i="32" s="1"/>
  <c r="AK63" i="32" s="1"/>
  <c r="AK64" i="32" s="1"/>
  <c r="AK65" i="32" s="1"/>
  <c r="AK66" i="32" s="1"/>
  <c r="AK67" i="32" s="1"/>
  <c r="AK68" i="32" s="1"/>
  <c r="AK69" i="32" s="1"/>
  <c r="X43" i="25"/>
  <c r="D44" i="27"/>
  <c r="D102" i="27" s="1"/>
  <c r="F102" i="27" s="1"/>
  <c r="C103" i="27"/>
  <c r="K23" i="7"/>
  <c r="E16" i="31"/>
  <c r="G16" i="31" s="1"/>
  <c r="G14" i="26"/>
  <c r="K14" i="26" s="1"/>
  <c r="Y10" i="24"/>
  <c r="G91" i="6"/>
  <c r="R26" i="2"/>
  <c r="R30" i="2"/>
  <c r="E39" i="28"/>
  <c r="G90" i="6"/>
  <c r="Y9" i="24"/>
  <c r="L10" i="23"/>
  <c r="AN10" i="26" s="1"/>
  <c r="AE10" i="26"/>
  <c r="AI10" i="24"/>
  <c r="J14" i="9" s="1"/>
  <c r="D55" i="45"/>
  <c r="D118" i="27"/>
  <c r="W37" i="6"/>
  <c r="L22" i="24" s="1"/>
  <c r="W38" i="6"/>
  <c r="L23" i="24" s="1"/>
  <c r="W36" i="6"/>
  <c r="L21" i="24" s="1"/>
  <c r="W35" i="6"/>
  <c r="L20" i="24" s="1"/>
  <c r="W31" i="6"/>
  <c r="L16" i="24" s="1"/>
  <c r="W32" i="6"/>
  <c r="L17" i="24" s="1"/>
  <c r="W33" i="6"/>
  <c r="L18" i="24" s="1"/>
  <c r="W34" i="6"/>
  <c r="L19" i="24" s="1"/>
  <c r="W30" i="6"/>
  <c r="L15" i="24" s="1"/>
  <c r="W29" i="6"/>
  <c r="L14" i="24" s="1"/>
  <c r="Y24" i="25"/>
  <c r="Z24" i="25" s="1"/>
  <c r="Y25" i="25"/>
  <c r="Z25" i="25" s="1"/>
  <c r="Y26" i="25"/>
  <c r="Z26" i="25" s="1"/>
  <c r="Y27" i="25"/>
  <c r="Z27" i="25" s="1"/>
  <c r="Y28" i="25"/>
  <c r="Z28" i="25" s="1"/>
  <c r="Y29" i="25"/>
  <c r="Z29" i="25" s="1"/>
  <c r="Y30" i="25"/>
  <c r="Z30" i="25" s="1"/>
  <c r="Y31" i="25"/>
  <c r="Z31" i="25" s="1"/>
  <c r="Y32" i="25"/>
  <c r="Z32" i="25" s="1"/>
  <c r="Y33" i="25"/>
  <c r="Z33" i="25" s="1"/>
  <c r="Y31" i="24"/>
  <c r="G112" i="6"/>
  <c r="F12" i="31"/>
  <c r="H12" i="31" s="1"/>
  <c r="J12" i="31" s="1"/>
  <c r="H10" i="26"/>
  <c r="M10" i="26" s="1"/>
  <c r="G93" i="6"/>
  <c r="Y12" i="24"/>
  <c r="AP15" i="23"/>
  <c r="AS15" i="26" s="1"/>
  <c r="AO15" i="23"/>
  <c r="S26" i="2"/>
  <c r="G110" i="6"/>
  <c r="Y29" i="24"/>
  <c r="G13" i="26"/>
  <c r="K13" i="26" s="1"/>
  <c r="E15" i="31"/>
  <c r="G15" i="31" s="1"/>
  <c r="K22" i="7"/>
  <c r="K8" i="25" s="1"/>
  <c r="Y8" i="24"/>
  <c r="G89" i="6"/>
  <c r="L7" i="23"/>
  <c r="AN7" i="26" s="1"/>
  <c r="AE7" i="26"/>
  <c r="AI7" i="24"/>
  <c r="J11" i="9" s="1"/>
  <c r="AA47" i="6"/>
  <c r="H113" i="6" s="1"/>
  <c r="K32" i="23" s="1"/>
  <c r="AA43" i="6"/>
  <c r="H109" i="6" s="1"/>
  <c r="K28" i="23" s="1"/>
  <c r="AA42" i="6"/>
  <c r="H108" i="6" s="1"/>
  <c r="K27" i="23" s="1"/>
  <c r="AA39" i="6"/>
  <c r="H105" i="6" s="1"/>
  <c r="K24" i="23" s="1"/>
  <c r="AA41" i="6"/>
  <c r="H107" i="6" s="1"/>
  <c r="K26" i="23" s="1"/>
  <c r="AA44" i="6"/>
  <c r="H110" i="6" s="1"/>
  <c r="K29" i="23" s="1"/>
  <c r="CY12" i="5"/>
  <c r="CX12" i="5"/>
  <c r="CW12" i="5"/>
  <c r="AA40" i="6"/>
  <c r="H106" i="6" s="1"/>
  <c r="K25" i="23" s="1"/>
  <c r="AA46" i="6"/>
  <c r="H112" i="6" s="1"/>
  <c r="K31" i="23" s="1"/>
  <c r="AA45" i="6"/>
  <c r="H111" i="6" s="1"/>
  <c r="K30" i="23" s="1"/>
  <c r="AA48" i="6"/>
  <c r="H114" i="6" s="1"/>
  <c r="K33" i="23" s="1"/>
  <c r="H11" i="26"/>
  <c r="M11" i="26" s="1"/>
  <c r="F13" i="31"/>
  <c r="H13" i="31" s="1"/>
  <c r="J13" i="31" s="1"/>
  <c r="T7" i="25"/>
  <c r="AP6" i="25"/>
  <c r="Z10" i="9" s="1"/>
  <c r="AP26" i="25"/>
  <c r="Z30" i="9" s="1"/>
  <c r="AP7" i="25"/>
  <c r="Z11" i="9" s="1"/>
  <c r="AP16" i="25"/>
  <c r="Z20" i="9" s="1"/>
  <c r="AP27" i="25"/>
  <c r="Z31" i="9" s="1"/>
  <c r="AP17" i="25"/>
  <c r="Z21" i="9" s="1"/>
  <c r="Y24" i="24"/>
  <c r="G105" i="6"/>
  <c r="AI13" i="24"/>
  <c r="J17" i="9" s="1"/>
  <c r="L13" i="23"/>
  <c r="AN13" i="26" s="1"/>
  <c r="AE13" i="26"/>
  <c r="F4" i="32"/>
  <c r="T26" i="2"/>
  <c r="K73" i="7" s="1"/>
  <c r="S29" i="2"/>
  <c r="J76" i="7" s="1"/>
  <c r="Y32" i="24"/>
  <c r="G113" i="6"/>
  <c r="K7" i="25"/>
  <c r="J8" i="25" s="1"/>
  <c r="R8" i="25" s="1"/>
  <c r="Y42" i="25" s="1"/>
  <c r="Z42" i="25" s="1"/>
  <c r="G88" i="6"/>
  <c r="Y7" i="24"/>
  <c r="W27" i="6"/>
  <c r="L12" i="24" s="1"/>
  <c r="W26" i="6"/>
  <c r="L11" i="24" s="1"/>
  <c r="W20" i="6"/>
  <c r="L5" i="24" s="1"/>
  <c r="W25" i="6"/>
  <c r="L10" i="24" s="1"/>
  <c r="W24" i="6"/>
  <c r="L9" i="24" s="1"/>
  <c r="W23" i="6"/>
  <c r="L8" i="24" s="1"/>
  <c r="W21" i="6"/>
  <c r="L6" i="24" s="1"/>
  <c r="W28" i="6"/>
  <c r="L13" i="24" s="1"/>
  <c r="W19" i="6"/>
  <c r="L4" i="24" s="1"/>
  <c r="W22" i="6"/>
  <c r="L7" i="24" s="1"/>
  <c r="AI6" i="24"/>
  <c r="J10" i="9" s="1"/>
  <c r="L6" i="23"/>
  <c r="AN6" i="26" s="1"/>
  <c r="AE6" i="26"/>
  <c r="AB39" i="6"/>
  <c r="Z24" i="24" s="1"/>
  <c r="AB43" i="6"/>
  <c r="Z28" i="24" s="1"/>
  <c r="AB40" i="6"/>
  <c r="Z25" i="24" s="1"/>
  <c r="CY30" i="5"/>
  <c r="AB41" i="6"/>
  <c r="Z26" i="24" s="1"/>
  <c r="CX30" i="5"/>
  <c r="CW30" i="5"/>
  <c r="CV30" i="5"/>
  <c r="AB42" i="6"/>
  <c r="Z27" i="24" s="1"/>
  <c r="AB47" i="6"/>
  <c r="Z32" i="24" s="1"/>
  <c r="AB44" i="6"/>
  <c r="Z29" i="24" s="1"/>
  <c r="DA30" i="5"/>
  <c r="CZ30" i="5"/>
  <c r="AB45" i="6"/>
  <c r="Z30" i="24" s="1"/>
  <c r="AB46" i="6"/>
  <c r="Z31" i="24" s="1"/>
  <c r="AB48" i="6"/>
  <c r="Z33" i="24" s="1"/>
  <c r="CC36" i="5"/>
  <c r="CN36" i="5"/>
  <c r="CL41" i="5" s="1"/>
  <c r="CL47" i="5" s="1"/>
  <c r="CJ36" i="5"/>
  <c r="CB36" i="5"/>
  <c r="CD36" i="5"/>
  <c r="CI36" i="5"/>
  <c r="CS18" i="5"/>
  <c r="CT18" i="5" s="1"/>
  <c r="CE36" i="5"/>
  <c r="CF36" i="5"/>
  <c r="CI42" i="5" s="1"/>
  <c r="CI48" i="5" s="1"/>
  <c r="CS24" i="5"/>
  <c r="CS30" i="5" s="1"/>
  <c r="CL36" i="5"/>
  <c r="CK42" i="5" s="1"/>
  <c r="CK48" i="5" s="1"/>
  <c r="CT24" i="5"/>
  <c r="CT30" i="5" s="1"/>
  <c r="CM36" i="5"/>
  <c r="CL40" i="5" s="1"/>
  <c r="CL46" i="5" s="1"/>
  <c r="CG36" i="5"/>
  <c r="CH36" i="5"/>
  <c r="CJ41" i="5" s="1"/>
  <c r="CJ47" i="5" s="1"/>
  <c r="CU24" i="5"/>
  <c r="CU30" i="5" s="1"/>
  <c r="CA36" i="5"/>
  <c r="CO36" i="5"/>
  <c r="CK36" i="5"/>
  <c r="CK41" i="5" s="1"/>
  <c r="CK47" i="5" s="1"/>
  <c r="C5" i="43"/>
  <c r="G17" i="41"/>
  <c r="I17" i="41" s="1"/>
  <c r="C5" i="32"/>
  <c r="F14" i="31"/>
  <c r="H14" i="31" s="1"/>
  <c r="J14" i="31" s="1"/>
  <c r="H12" i="26"/>
  <c r="M12" i="26" s="1"/>
  <c r="L8" i="26"/>
  <c r="E8" i="34" s="1"/>
  <c r="F8" i="34"/>
  <c r="E40" i="28"/>
  <c r="BY22" i="24"/>
  <c r="BY30" i="24"/>
  <c r="BY11" i="24"/>
  <c r="BY10" i="24"/>
  <c r="BY13" i="24"/>
  <c r="BY32" i="24"/>
  <c r="G6" i="25"/>
  <c r="BY12" i="24"/>
  <c r="BY23" i="24"/>
  <c r="BY21" i="24"/>
  <c r="BY20" i="24"/>
  <c r="BY31" i="24"/>
  <c r="BY33" i="24"/>
  <c r="AY5" i="26"/>
  <c r="BG5" i="26" s="1"/>
  <c r="BI5" i="26"/>
  <c r="H19" i="43"/>
  <c r="I19" i="43" s="1"/>
  <c r="N4" i="43" s="1"/>
  <c r="D56" i="46"/>
  <c r="D52" i="46"/>
  <c r="D50" i="46"/>
  <c r="D57" i="46"/>
  <c r="D53" i="46"/>
  <c r="D49" i="46"/>
  <c r="D48" i="46"/>
  <c r="D54" i="46"/>
  <c r="D51" i="46"/>
  <c r="D55" i="46"/>
  <c r="D40" i="46"/>
  <c r="D47" i="46"/>
  <c r="D39" i="46"/>
  <c r="D36" i="46"/>
  <c r="D42" i="46"/>
  <c r="D41" i="46"/>
  <c r="D45" i="46"/>
  <c r="D46" i="46"/>
  <c r="D34" i="46"/>
  <c r="D37" i="46"/>
  <c r="D35" i="46"/>
  <c r="D43" i="46"/>
  <c r="C29" i="28"/>
  <c r="AH31" i="46" s="1"/>
  <c r="C68" i="27"/>
  <c r="C67" i="27"/>
  <c r="C69" i="27"/>
  <c r="D52" i="31"/>
  <c r="D60" i="31"/>
  <c r="D59" i="31"/>
  <c r="D53" i="31"/>
  <c r="D61" i="31"/>
  <c r="D54" i="31"/>
  <c r="D62" i="31"/>
  <c r="D57" i="31"/>
  <c r="D55" i="31"/>
  <c r="D51" i="31"/>
  <c r="D56" i="31"/>
  <c r="D58" i="31"/>
  <c r="D38" i="46"/>
  <c r="F49" i="32"/>
  <c r="C64" i="47"/>
  <c r="M131" i="47" s="1"/>
  <c r="G15" i="41"/>
  <c r="I15" i="41" s="1"/>
  <c r="AR10" i="35"/>
  <c r="AD8" i="35"/>
  <c r="AF9" i="35"/>
  <c r="AS10" i="35"/>
  <c r="AF8" i="35"/>
  <c r="AE9" i="35"/>
  <c r="AQ10" i="35"/>
  <c r="AE8" i="35"/>
  <c r="AD9" i="35"/>
  <c r="AS7" i="35"/>
  <c r="AQ7" i="35"/>
  <c r="AR7" i="35"/>
  <c r="C55" i="47"/>
  <c r="C54" i="47"/>
  <c r="L31" i="47" s="1"/>
  <c r="V31" i="47" s="1"/>
  <c r="W31" i="47" s="1"/>
  <c r="AR169" i="36"/>
  <c r="AS169" i="36" s="1"/>
  <c r="AR349" i="36"/>
  <c r="AS349" i="36" s="1"/>
  <c r="AR77" i="36"/>
  <c r="AS77" i="36" s="1"/>
  <c r="AR418" i="36"/>
  <c r="AS418" i="36" s="1"/>
  <c r="AR495" i="36"/>
  <c r="AS495" i="36" s="1"/>
  <c r="AR583" i="36"/>
  <c r="AS583" i="36" s="1"/>
  <c r="AR221" i="36"/>
  <c r="AS221" i="36" s="1"/>
  <c r="AR282" i="36"/>
  <c r="AS282" i="36" s="1"/>
  <c r="AR120" i="36"/>
  <c r="AS120" i="36" s="1"/>
  <c r="AR118" i="36"/>
  <c r="AS118" i="36" s="1"/>
  <c r="AR347" i="36"/>
  <c r="AS347" i="36" s="1"/>
  <c r="AI565" i="36"/>
  <c r="AJ565" i="36" s="1"/>
  <c r="AR75" i="36"/>
  <c r="AS75" i="36" s="1"/>
  <c r="AR219" i="36"/>
  <c r="AS219" i="36" s="1"/>
  <c r="AI272" i="36"/>
  <c r="AJ272" i="36" s="1"/>
  <c r="AI479" i="36"/>
  <c r="AJ479" i="36" s="1"/>
  <c r="AR280" i="36"/>
  <c r="AS280" i="36" s="1"/>
  <c r="AI337" i="36"/>
  <c r="AJ337" i="36" s="1"/>
  <c r="AI116" i="36"/>
  <c r="AJ116" i="36" s="1"/>
  <c r="AR167" i="36"/>
  <c r="AS167" i="36" s="1"/>
  <c r="AR493" i="36"/>
  <c r="AS493" i="36" s="1"/>
  <c r="AR416" i="36"/>
  <c r="AS416" i="36" s="1"/>
  <c r="AR581" i="36"/>
  <c r="AS581" i="36" s="1"/>
  <c r="AI163" i="36"/>
  <c r="AJ163" i="36" s="1"/>
  <c r="AI75" i="36"/>
  <c r="AJ75" i="36" s="1"/>
  <c r="AI213" i="36"/>
  <c r="AJ213" i="36" s="1"/>
  <c r="AI404" i="36"/>
  <c r="AJ404" i="36" s="1"/>
  <c r="AI405" i="36"/>
  <c r="AJ405" i="36" s="1"/>
  <c r="AI338" i="36"/>
  <c r="AJ338" i="36" s="1"/>
  <c r="AR76" i="36"/>
  <c r="AS76" i="36" s="1"/>
  <c r="AR494" i="36"/>
  <c r="AS494" i="36" s="1"/>
  <c r="AR119" i="36"/>
  <c r="AS119" i="36" s="1"/>
  <c r="AR281" i="36"/>
  <c r="AS281" i="36" s="1"/>
  <c r="AI273" i="36"/>
  <c r="AJ273" i="36" s="1"/>
  <c r="AI164" i="36"/>
  <c r="AJ164" i="36" s="1"/>
  <c r="AR348" i="36"/>
  <c r="AS348" i="36" s="1"/>
  <c r="AR168" i="36"/>
  <c r="AS168" i="36" s="1"/>
  <c r="AI566" i="36"/>
  <c r="AJ566" i="36" s="1"/>
  <c r="AI76" i="36"/>
  <c r="AJ76" i="36" s="1"/>
  <c r="AI480" i="36"/>
  <c r="AJ480" i="36" s="1"/>
  <c r="AI117" i="36"/>
  <c r="AJ117" i="36" s="1"/>
  <c r="AR582" i="36"/>
  <c r="AS582" i="36" s="1"/>
  <c r="AR220" i="36"/>
  <c r="AS220" i="36" s="1"/>
  <c r="AI214" i="36"/>
  <c r="AJ214" i="36" s="1"/>
  <c r="AR417" i="36"/>
  <c r="AS417" i="36" s="1"/>
  <c r="J81" i="32"/>
  <c r="C59" i="47" s="1"/>
  <c r="K81" i="32"/>
  <c r="J80" i="32"/>
  <c r="C58" i="47" s="1"/>
  <c r="K80" i="32"/>
  <c r="C56" i="47"/>
  <c r="L149" i="47" s="1"/>
  <c r="V149" i="47" s="1"/>
  <c r="W149" i="47" s="1"/>
  <c r="J79" i="32"/>
  <c r="C57" i="47" s="1"/>
  <c r="K79" i="32"/>
  <c r="J82" i="32"/>
  <c r="C60" i="47" s="1"/>
  <c r="K82" i="32"/>
  <c r="C20" i="43"/>
  <c r="R7" i="26"/>
  <c r="O7" i="26"/>
  <c r="S7" i="26"/>
  <c r="U7" i="26" s="1"/>
  <c r="P8" i="26"/>
  <c r="Q8" i="26" s="1"/>
  <c r="BG22" i="7"/>
  <c r="DO9" i="7" s="1"/>
  <c r="AW22" i="7"/>
  <c r="DD9" i="7" s="1"/>
  <c r="CC22" i="7"/>
  <c r="EN9" i="7" s="1"/>
  <c r="AQ22" i="7"/>
  <c r="CW9" i="7" s="1"/>
  <c r="BV22" i="7"/>
  <c r="EF9" i="7" s="1"/>
  <c r="AJ22" i="7"/>
  <c r="CO9" i="7" s="1"/>
  <c r="AP22" i="7"/>
  <c r="CV9" i="7" s="1"/>
  <c r="CE22" i="7"/>
  <c r="EP9" i="7" s="1"/>
  <c r="BM22" i="7"/>
  <c r="DV9" i="7" s="1"/>
  <c r="BN22" i="7"/>
  <c r="DW9" i="7" s="1"/>
  <c r="BU22" i="7"/>
  <c r="EE9" i="7" s="1"/>
  <c r="AI22" i="7"/>
  <c r="CN9" i="7" s="1"/>
  <c r="AY22" i="7"/>
  <c r="DF9" i="7" s="1"/>
  <c r="BE22" i="7"/>
  <c r="DM9" i="7" s="1"/>
  <c r="AG22" i="7"/>
  <c r="CL9" i="7" s="1"/>
  <c r="CD22" i="7"/>
  <c r="EO9" i="7" s="1"/>
  <c r="AZ22" i="7"/>
  <c r="DG9" i="7" s="1"/>
  <c r="AR22" i="7"/>
  <c r="CX9" i="7" s="1"/>
  <c r="AO22" i="7"/>
  <c r="CU9" i="7" s="1"/>
  <c r="AM22" i="7"/>
  <c r="CS9" i="7" s="1"/>
  <c r="AX22" i="7"/>
  <c r="DE9" i="7" s="1"/>
  <c r="BO22" i="7"/>
  <c r="DX9" i="7" s="1"/>
  <c r="AH22" i="7"/>
  <c r="CM9" i="7" s="1"/>
  <c r="AE22" i="7"/>
  <c r="CJ9" i="7" s="1"/>
  <c r="BF22" i="7"/>
  <c r="DN9" i="7" s="1"/>
  <c r="BW22" i="7"/>
  <c r="EG9" i="7" s="1"/>
  <c r="BU15" i="7"/>
  <c r="EE7" i="7" s="1"/>
  <c r="AJ15" i="7"/>
  <c r="CO7" i="7" s="1"/>
  <c r="BF15" i="7"/>
  <c r="DN7" i="7" s="1"/>
  <c r="AH15" i="7"/>
  <c r="CM7" i="7" s="1"/>
  <c r="CE15" i="7"/>
  <c r="EP7" i="7" s="1"/>
  <c r="AR15" i="7"/>
  <c r="CX7" i="7" s="1"/>
  <c r="AU15" i="7"/>
  <c r="DB7" i="7" s="1"/>
  <c r="BO15" i="7"/>
  <c r="DX7" i="7" s="1"/>
  <c r="AW15" i="7"/>
  <c r="DD7" i="7" s="1"/>
  <c r="BM15" i="7"/>
  <c r="DV7" i="7" s="1"/>
  <c r="BE15" i="7"/>
  <c r="DM7" i="7" s="1"/>
  <c r="AE15" i="7"/>
  <c r="CJ7" i="7" s="1"/>
  <c r="BV15" i="7"/>
  <c r="EF7" i="7" s="1"/>
  <c r="CD15" i="7"/>
  <c r="EO7" i="7" s="1"/>
  <c r="AP15" i="7"/>
  <c r="CV7" i="7" s="1"/>
  <c r="AI15" i="7"/>
  <c r="CN7" i="7" s="1"/>
  <c r="AX15" i="7"/>
  <c r="DE7" i="7" s="1"/>
  <c r="AQ15" i="7"/>
  <c r="CW7" i="7" s="1"/>
  <c r="AY15" i="7"/>
  <c r="DF7" i="7" s="1"/>
  <c r="BN15" i="7"/>
  <c r="DW7" i="7" s="1"/>
  <c r="AM15" i="7"/>
  <c r="CS7" i="7" s="1"/>
  <c r="AG15" i="7"/>
  <c r="CL7" i="7" s="1"/>
  <c r="CC15" i="7"/>
  <c r="EN7" i="7" s="1"/>
  <c r="BG15" i="7"/>
  <c r="DO7" i="7" s="1"/>
  <c r="AZ15" i="7"/>
  <c r="DG7" i="7" s="1"/>
  <c r="AO15" i="7"/>
  <c r="CU7" i="7" s="1"/>
  <c r="BW15" i="7"/>
  <c r="EG7" i="7" s="1"/>
  <c r="G13" i="34"/>
  <c r="H10" i="34"/>
  <c r="Z20" i="7"/>
  <c r="BE20" i="7" s="1"/>
  <c r="D39" i="28"/>
  <c r="AP12" i="7"/>
  <c r="AP37" i="7" s="1"/>
  <c r="AR12" i="7"/>
  <c r="AR37" i="7" s="1"/>
  <c r="AM12" i="7"/>
  <c r="AM37" i="7" s="1"/>
  <c r="AJ12" i="7"/>
  <c r="AJ37" i="7" s="1"/>
  <c r="BF12" i="7"/>
  <c r="BF37" i="7" s="1"/>
  <c r="BV12" i="7"/>
  <c r="BV37" i="7" s="1"/>
  <c r="AE12" i="7"/>
  <c r="AE37" i="7" s="1"/>
  <c r="CC12" i="7"/>
  <c r="CC37" i="7" s="1"/>
  <c r="CE12" i="7"/>
  <c r="CE37" i="7" s="1"/>
  <c r="AX12" i="7"/>
  <c r="AX37" i="7" s="1"/>
  <c r="AH12" i="7"/>
  <c r="AH37" i="7" s="1"/>
  <c r="AO12" i="7"/>
  <c r="AO37" i="7" s="1"/>
  <c r="AQ12" i="7"/>
  <c r="AQ37" i="7" s="1"/>
  <c r="BN12" i="7"/>
  <c r="BN37" i="7" s="1"/>
  <c r="AG12" i="7"/>
  <c r="AG37" i="7" s="1"/>
  <c r="BG12" i="7"/>
  <c r="BG37" i="7" s="1"/>
  <c r="BW12" i="7"/>
  <c r="BW37" i="7" s="1"/>
  <c r="BU12" i="7"/>
  <c r="BU37" i="7" s="1"/>
  <c r="AI12" i="7"/>
  <c r="AI37" i="7" s="1"/>
  <c r="BE12" i="7"/>
  <c r="BE37" i="7" s="1"/>
  <c r="AY12" i="7"/>
  <c r="AY37" i="7" s="1"/>
  <c r="AU12" i="7"/>
  <c r="AU37" i="7" s="1"/>
  <c r="AW12" i="7"/>
  <c r="AW37" i="7" s="1"/>
  <c r="BO12" i="7"/>
  <c r="BO37" i="7" s="1"/>
  <c r="CD12" i="7"/>
  <c r="CD37" i="7" s="1"/>
  <c r="BM12" i="7"/>
  <c r="BM37" i="7" s="1"/>
  <c r="AZ12" i="7"/>
  <c r="AZ37" i="7" s="1"/>
  <c r="Z17" i="7"/>
  <c r="D42" i="28" s="1"/>
  <c r="Z19" i="7"/>
  <c r="G15" i="34"/>
  <c r="BE14" i="7"/>
  <c r="AI14" i="7"/>
  <c r="CC14" i="7"/>
  <c r="AX14" i="7"/>
  <c r="BM14" i="7"/>
  <c r="AO14" i="7"/>
  <c r="AU14" i="7"/>
  <c r="BF14" i="7"/>
  <c r="AP14" i="7"/>
  <c r="BV14" i="7"/>
  <c r="AW14" i="7"/>
  <c r="BO14" i="7"/>
  <c r="AG14" i="7"/>
  <c r="AQ14" i="7"/>
  <c r="BU14" i="7"/>
  <c r="AZ14" i="7"/>
  <c r="CD14" i="7"/>
  <c r="AY14" i="7"/>
  <c r="AR14" i="7"/>
  <c r="BN14" i="7"/>
  <c r="CE14" i="7"/>
  <c r="BG14" i="7"/>
  <c r="BW14" i="7"/>
  <c r="AE14" i="7"/>
  <c r="AH14" i="7"/>
  <c r="AM14" i="7"/>
  <c r="AJ14" i="7"/>
  <c r="G14" i="34"/>
  <c r="Z18" i="7"/>
  <c r="H11" i="34"/>
  <c r="Z24" i="7"/>
  <c r="AJ13" i="7"/>
  <c r="AJ38" i="7" s="1"/>
  <c r="BE13" i="7"/>
  <c r="BE38" i="7" s="1"/>
  <c r="AY13" i="7"/>
  <c r="AY38" i="7" s="1"/>
  <c r="AM13" i="7"/>
  <c r="AM38" i="7" s="1"/>
  <c r="BU13" i="7"/>
  <c r="BU38" i="7" s="1"/>
  <c r="CD13" i="7"/>
  <c r="CD38" i="7" s="1"/>
  <c r="AH13" i="7"/>
  <c r="AH38" i="7" s="1"/>
  <c r="BM13" i="7"/>
  <c r="BM38" i="7" s="1"/>
  <c r="CE13" i="7"/>
  <c r="CE38" i="7" s="1"/>
  <c r="AO13" i="7"/>
  <c r="AO38" i="7" s="1"/>
  <c r="BV13" i="7"/>
  <c r="BV38" i="7" s="1"/>
  <c r="AW13" i="7"/>
  <c r="AW38" i="7" s="1"/>
  <c r="AP13" i="7"/>
  <c r="AP38" i="7" s="1"/>
  <c r="AQ13" i="7"/>
  <c r="AQ38" i="7" s="1"/>
  <c r="BN13" i="7"/>
  <c r="BN38" i="7" s="1"/>
  <c r="BF13" i="7"/>
  <c r="BF38" i="7" s="1"/>
  <c r="AI13" i="7"/>
  <c r="AI38" i="7" s="1"/>
  <c r="CC13" i="7"/>
  <c r="CC38" i="7" s="1"/>
  <c r="BG13" i="7"/>
  <c r="BG38" i="7" s="1"/>
  <c r="AE13" i="7"/>
  <c r="AE38" i="7" s="1"/>
  <c r="AU13" i="7"/>
  <c r="AU38" i="7" s="1"/>
  <c r="AG13" i="7"/>
  <c r="AG38" i="7" s="1"/>
  <c r="AR13" i="7"/>
  <c r="AR38" i="7" s="1"/>
  <c r="AX13" i="7"/>
  <c r="AX38" i="7" s="1"/>
  <c r="BO13" i="7"/>
  <c r="BO38" i="7" s="1"/>
  <c r="BW13" i="7"/>
  <c r="BW38" i="7" s="1"/>
  <c r="AZ13" i="7"/>
  <c r="AZ38" i="7" s="1"/>
  <c r="D40" i="28"/>
  <c r="AI21" i="7"/>
  <c r="CN8" i="7" s="1"/>
  <c r="CD21" i="7"/>
  <c r="EO8" i="7" s="1"/>
  <c r="BW21" i="7"/>
  <c r="EG8" i="7" s="1"/>
  <c r="BG21" i="7"/>
  <c r="DO8" i="7" s="1"/>
  <c r="AZ21" i="7"/>
  <c r="DG8" i="7" s="1"/>
  <c r="AE21" i="7"/>
  <c r="CJ8" i="7" s="1"/>
  <c r="BE21" i="7"/>
  <c r="DM8" i="7" s="1"/>
  <c r="AJ21" i="7"/>
  <c r="CO8" i="7" s="1"/>
  <c r="CE21" i="7"/>
  <c r="EP8" i="7" s="1"/>
  <c r="AX21" i="7"/>
  <c r="DE8" i="7" s="1"/>
  <c r="BM21" i="7"/>
  <c r="DV8" i="7" s="1"/>
  <c r="AW21" i="7"/>
  <c r="DD8" i="7" s="1"/>
  <c r="AQ21" i="7"/>
  <c r="CW8" i="7" s="1"/>
  <c r="BN21" i="7"/>
  <c r="DW8" i="7" s="1"/>
  <c r="AM21" i="7"/>
  <c r="CS8" i="7" s="1"/>
  <c r="BV21" i="7"/>
  <c r="EF8" i="7" s="1"/>
  <c r="CC21" i="7"/>
  <c r="EN8" i="7" s="1"/>
  <c r="AO21" i="7"/>
  <c r="CU8" i="7" s="1"/>
  <c r="BU21" i="7"/>
  <c r="EE8" i="7" s="1"/>
  <c r="AH21" i="7"/>
  <c r="CM8" i="7" s="1"/>
  <c r="AU21" i="7"/>
  <c r="DB8" i="7" s="1"/>
  <c r="BF21" i="7"/>
  <c r="DN8" i="7" s="1"/>
  <c r="AG21" i="7"/>
  <c r="CL8" i="7" s="1"/>
  <c r="AY21" i="7"/>
  <c r="DF8" i="7" s="1"/>
  <c r="BO21" i="7"/>
  <c r="DX8" i="7" s="1"/>
  <c r="AP21" i="7"/>
  <c r="CV8" i="7" s="1"/>
  <c r="AR21" i="7"/>
  <c r="CX8" i="7" s="1"/>
  <c r="D41" i="28"/>
  <c r="I112" i="41"/>
  <c r="I108" i="41"/>
  <c r="I88" i="41"/>
  <c r="I100" i="41"/>
  <c r="I104" i="41"/>
  <c r="E69" i="32"/>
  <c r="E28" i="46"/>
  <c r="F26" i="46"/>
  <c r="F68" i="32" s="1"/>
  <c r="M52" i="41"/>
  <c r="M44" i="41"/>
  <c r="M60" i="41"/>
  <c r="M76" i="41"/>
  <c r="M68" i="41"/>
  <c r="L4" i="47"/>
  <c r="C66" i="47" s="1"/>
  <c r="L3" i="47"/>
  <c r="C65" i="47" s="1"/>
  <c r="L160" i="47"/>
  <c r="V160" i="47" s="1"/>
  <c r="W160" i="47" s="1"/>
  <c r="L158" i="47"/>
  <c r="V158" i="47" s="1"/>
  <c r="W158" i="47" s="1"/>
  <c r="L156" i="47"/>
  <c r="V156" i="47" s="1"/>
  <c r="W156" i="47" s="1"/>
  <c r="L154" i="47"/>
  <c r="V154" i="47" s="1"/>
  <c r="W154" i="47" s="1"/>
  <c r="L152" i="47"/>
  <c r="V152" i="47" s="1"/>
  <c r="W152" i="47" s="1"/>
  <c r="L150" i="47"/>
  <c r="V150" i="47" s="1"/>
  <c r="W150" i="47" s="1"/>
  <c r="L140" i="47"/>
  <c r="V140" i="47" s="1"/>
  <c r="W140" i="47" s="1"/>
  <c r="L130" i="47"/>
  <c r="V130" i="47" s="1"/>
  <c r="W130" i="47" s="1"/>
  <c r="L136" i="47"/>
  <c r="L128" i="47"/>
  <c r="V128" i="47" s="1"/>
  <c r="W128" i="47" s="1"/>
  <c r="L142" i="47"/>
  <c r="V142" i="47" s="1"/>
  <c r="W142" i="47" s="1"/>
  <c r="L138" i="47"/>
  <c r="V138" i="47" s="1"/>
  <c r="W138" i="47" s="1"/>
  <c r="L134" i="47"/>
  <c r="V134" i="47" s="1"/>
  <c r="W134" i="47" s="1"/>
  <c r="L132" i="47"/>
  <c r="V132" i="47" s="1"/>
  <c r="W132" i="47" s="1"/>
  <c r="L114" i="47"/>
  <c r="L108" i="47"/>
  <c r="V108" i="47" s="1"/>
  <c r="W108" i="47" s="1"/>
  <c r="L118" i="47"/>
  <c r="L112" i="47"/>
  <c r="V112" i="47" s="1"/>
  <c r="W112" i="47" s="1"/>
  <c r="L106" i="47"/>
  <c r="V106" i="47" s="1"/>
  <c r="W106" i="47" s="1"/>
  <c r="L110" i="47"/>
  <c r="V110" i="47" s="1"/>
  <c r="W110" i="47" s="1"/>
  <c r="L104" i="47"/>
  <c r="V104" i="47" s="1"/>
  <c r="W104" i="47" s="1"/>
  <c r="L116" i="47"/>
  <c r="V116" i="47" s="1"/>
  <c r="W116" i="47" s="1"/>
  <c r="L88" i="47"/>
  <c r="V88" i="47" s="1"/>
  <c r="W88" i="47" s="1"/>
  <c r="L94" i="47"/>
  <c r="V94" i="47" s="1"/>
  <c r="W94" i="47" s="1"/>
  <c r="L90" i="47"/>
  <c r="L92" i="47"/>
  <c r="L86" i="47"/>
  <c r="V86" i="47" s="1"/>
  <c r="W86" i="47" s="1"/>
  <c r="L84" i="47"/>
  <c r="L70" i="47"/>
  <c r="V70" i="47" s="1"/>
  <c r="W70" i="47" s="1"/>
  <c r="L76" i="47"/>
  <c r="V76" i="47" s="1"/>
  <c r="W76" i="47" s="1"/>
  <c r="L68" i="47"/>
  <c r="L74" i="47"/>
  <c r="V74" i="47" s="1"/>
  <c r="W74" i="47" s="1"/>
  <c r="L72" i="47"/>
  <c r="L66" i="47"/>
  <c r="L36" i="47"/>
  <c r="L40" i="47"/>
  <c r="V40" i="47" s="1"/>
  <c r="W40" i="47" s="1"/>
  <c r="L38" i="47"/>
  <c r="L148" i="47"/>
  <c r="V148" i="47" s="1"/>
  <c r="W148" i="47" s="1"/>
  <c r="L124" i="47"/>
  <c r="V124" i="47" s="1"/>
  <c r="W124" i="47" s="1"/>
  <c r="L100" i="47"/>
  <c r="V100" i="47" s="1"/>
  <c r="W100" i="47" s="1"/>
  <c r="L126" i="47"/>
  <c r="V126" i="47" s="1"/>
  <c r="W126" i="47" s="1"/>
  <c r="L102" i="47"/>
  <c r="V102" i="47" s="1"/>
  <c r="W102" i="47" s="1"/>
  <c r="L96" i="47"/>
  <c r="V96" i="47" s="1"/>
  <c r="W96" i="47" s="1"/>
  <c r="L80" i="47"/>
  <c r="V80" i="47" s="1"/>
  <c r="W80" i="47" s="1"/>
  <c r="L64" i="47"/>
  <c r="V64" i="47" s="1"/>
  <c r="W64" i="47" s="1"/>
  <c r="L60" i="47"/>
  <c r="V60" i="47" s="1"/>
  <c r="W60" i="47" s="1"/>
  <c r="L34" i="47"/>
  <c r="V34" i="47" s="1"/>
  <c r="W34" i="47" s="1"/>
  <c r="L32" i="47"/>
  <c r="V32" i="47" s="1"/>
  <c r="W32" i="47" s="1"/>
  <c r="L30" i="47"/>
  <c r="V30" i="47" s="1"/>
  <c r="W30" i="47" s="1"/>
  <c r="L28" i="47"/>
  <c r="V28" i="47" s="1"/>
  <c r="W28" i="47" s="1"/>
  <c r="L26" i="47"/>
  <c r="V26" i="47" s="1"/>
  <c r="W26" i="47" s="1"/>
  <c r="L24" i="47"/>
  <c r="V24" i="47" s="1"/>
  <c r="W24" i="47" s="1"/>
  <c r="L144" i="47"/>
  <c r="V144" i="47" s="1"/>
  <c r="W144" i="47" s="1"/>
  <c r="L120" i="47"/>
  <c r="V120" i="47" s="1"/>
  <c r="W120" i="47" s="1"/>
  <c r="L122" i="47"/>
  <c r="V122" i="47" s="1"/>
  <c r="W122" i="47" s="1"/>
  <c r="L78" i="47"/>
  <c r="V78" i="47" s="1"/>
  <c r="W78" i="47" s="1"/>
  <c r="L62" i="47"/>
  <c r="V62" i="47" s="1"/>
  <c r="W62" i="47" s="1"/>
  <c r="L146" i="47"/>
  <c r="V146" i="47" s="1"/>
  <c r="W146" i="47" s="1"/>
  <c r="L98" i="47"/>
  <c r="V98" i="47" s="1"/>
  <c r="W98" i="47" s="1"/>
  <c r="L82" i="47"/>
  <c r="V82" i="47" s="1"/>
  <c r="W82" i="47" s="1"/>
  <c r="R44" i="30"/>
  <c r="R45" i="30"/>
  <c r="R47" i="30"/>
  <c r="R43" i="30"/>
  <c r="H18" i="29"/>
  <c r="CT4" i="36" s="1"/>
  <c r="H17" i="29"/>
  <c r="CT3" i="36" s="1"/>
  <c r="D14" i="32"/>
  <c r="I91" i="41"/>
  <c r="I111" i="41"/>
  <c r="I103" i="41"/>
  <c r="I95" i="41"/>
  <c r="I99" i="41"/>
  <c r="I87" i="41"/>
  <c r="I107" i="41"/>
  <c r="G18" i="27"/>
  <c r="R41" i="30"/>
  <c r="R46" i="30"/>
  <c r="R42" i="30"/>
  <c r="O114" i="32"/>
  <c r="L84" i="28"/>
  <c r="D15" i="45"/>
  <c r="D16" i="45"/>
  <c r="E16" i="45" s="1"/>
  <c r="D17" i="45"/>
  <c r="E17" i="45" s="1"/>
  <c r="L85" i="28"/>
  <c r="E14" i="45"/>
  <c r="L86" i="28"/>
  <c r="Z4" i="45"/>
  <c r="L87" i="28"/>
  <c r="S6" i="31"/>
  <c r="R24" i="2"/>
  <c r="S27" i="2"/>
  <c r="U27" i="2" s="1"/>
  <c r="F43" i="2" s="1"/>
  <c r="T30" i="2"/>
  <c r="K71" i="7"/>
  <c r="K81" i="7"/>
  <c r="K56" i="7"/>
  <c r="K57" i="7"/>
  <c r="K58" i="7"/>
  <c r="S30" i="2"/>
  <c r="R29" i="2"/>
  <c r="U26" i="2"/>
  <c r="I83" i="7"/>
  <c r="I73" i="7"/>
  <c r="I77" i="7"/>
  <c r="I87" i="7"/>
  <c r="S24" i="2"/>
  <c r="J60" i="7"/>
  <c r="J61" i="7"/>
  <c r="J59" i="7"/>
  <c r="J82" i="7"/>
  <c r="J62" i="7"/>
  <c r="J72" i="7"/>
  <c r="R28" i="2"/>
  <c r="J73" i="7"/>
  <c r="J83" i="7"/>
  <c r="K83" i="7"/>
  <c r="K60" i="7"/>
  <c r="K61" i="7"/>
  <c r="K82" i="7"/>
  <c r="K59" i="7"/>
  <c r="K72" i="7"/>
  <c r="K62" i="7"/>
  <c r="J75" i="7"/>
  <c r="J85" i="7"/>
  <c r="K63" i="7"/>
  <c r="K74" i="7"/>
  <c r="K64" i="7"/>
  <c r="K65" i="7"/>
  <c r="K84" i="7"/>
  <c r="K75" i="7"/>
  <c r="K85" i="7"/>
  <c r="K76" i="7"/>
  <c r="K86" i="7"/>
  <c r="K66" i="7"/>
  <c r="K67" i="7"/>
  <c r="I64" i="7"/>
  <c r="I63" i="7"/>
  <c r="I74" i="7"/>
  <c r="I84" i="7"/>
  <c r="I65" i="7"/>
  <c r="K12" i="34"/>
  <c r="J13" i="34"/>
  <c r="N12" i="34"/>
  <c r="DB9" i="7"/>
  <c r="AX302" i="36"/>
  <c r="BG239" i="36"/>
  <c r="BP165" i="36"/>
  <c r="E162" i="36"/>
  <c r="BP92" i="36"/>
  <c r="W84" i="36"/>
  <c r="CH180" i="36"/>
  <c r="AX300" i="36"/>
  <c r="AX370" i="36"/>
  <c r="BP57" i="36"/>
  <c r="BG59" i="36"/>
  <c r="W121" i="36"/>
  <c r="N119" i="36"/>
  <c r="AO496" i="36"/>
  <c r="BP130" i="36"/>
  <c r="E118" i="36"/>
  <c r="CH155" i="36"/>
  <c r="AO54" i="36"/>
  <c r="AO55" i="36"/>
  <c r="AX184" i="36"/>
  <c r="AX90" i="36"/>
  <c r="BG89" i="36"/>
  <c r="AO176" i="36"/>
  <c r="AO121" i="36"/>
  <c r="AX131" i="36"/>
  <c r="BG299" i="36"/>
  <c r="E84" i="36"/>
  <c r="BG183" i="36"/>
  <c r="AF169" i="36"/>
  <c r="BG302" i="36"/>
  <c r="E85" i="36"/>
  <c r="BG184" i="36"/>
  <c r="AF83" i="36"/>
  <c r="BG524" i="36"/>
  <c r="AX132" i="36"/>
  <c r="CZ48" i="36"/>
  <c r="AX234" i="36"/>
  <c r="BP90" i="36"/>
  <c r="N85" i="36"/>
  <c r="W81" i="36"/>
  <c r="E55" i="36"/>
  <c r="CH117" i="36"/>
  <c r="E54" i="36"/>
  <c r="CH118" i="36"/>
  <c r="BG235" i="36"/>
  <c r="W82" i="36"/>
  <c r="CH133" i="36"/>
  <c r="AF85" i="36"/>
  <c r="AX367" i="36"/>
  <c r="AF56" i="36"/>
  <c r="BG297" i="36"/>
  <c r="BG370" i="36"/>
  <c r="N55" i="36"/>
  <c r="AX129" i="36"/>
  <c r="AF125" i="36"/>
  <c r="BG441" i="36"/>
  <c r="E122" i="36"/>
  <c r="AX366" i="36"/>
  <c r="AX87" i="36"/>
  <c r="E121" i="36"/>
  <c r="BP133" i="36"/>
  <c r="CH68" i="36"/>
  <c r="AO56" i="36"/>
  <c r="BG134" i="36"/>
  <c r="AX182" i="36"/>
  <c r="CH157" i="36"/>
  <c r="E86" i="36"/>
  <c r="BG91" i="36"/>
  <c r="W118" i="36"/>
  <c r="AO126" i="36"/>
  <c r="CH136" i="36"/>
  <c r="AX368" i="36"/>
  <c r="BG234" i="36"/>
  <c r="N120" i="36"/>
  <c r="E56" i="36"/>
  <c r="AX59" i="36"/>
  <c r="CH101" i="36"/>
  <c r="AO584" i="36"/>
  <c r="AX89" i="36"/>
  <c r="BG181" i="36"/>
  <c r="CH70" i="36"/>
  <c r="AO86" i="36"/>
  <c r="CZ42" i="36"/>
  <c r="N54" i="36"/>
  <c r="AX88" i="36"/>
  <c r="CZ43" i="36"/>
  <c r="BG522" i="36"/>
  <c r="AO78" i="36"/>
  <c r="AX134" i="36"/>
  <c r="AF123" i="36"/>
  <c r="BG236" i="36"/>
  <c r="CH99" i="36"/>
  <c r="E119" i="36"/>
  <c r="AX297" i="36"/>
  <c r="CH158" i="36"/>
  <c r="W210" i="36"/>
  <c r="AF87" i="36"/>
  <c r="CH55" i="36"/>
  <c r="CH96" i="36"/>
  <c r="AX301" i="36"/>
  <c r="AX524" i="36"/>
  <c r="AX130" i="36"/>
  <c r="AX442" i="36"/>
  <c r="CH47" i="36"/>
  <c r="CH134" i="36"/>
  <c r="CH182" i="36"/>
  <c r="N162" i="36"/>
  <c r="AX523" i="36"/>
  <c r="AF55" i="36"/>
  <c r="N117" i="36"/>
  <c r="BG133" i="36"/>
  <c r="AF218" i="36"/>
  <c r="CH98" i="36"/>
  <c r="BG132" i="36"/>
  <c r="CH81" i="36"/>
  <c r="AO227" i="36"/>
  <c r="W120" i="36"/>
  <c r="BG88" i="36"/>
  <c r="BP91" i="36"/>
  <c r="AX239" i="36"/>
  <c r="W117" i="36"/>
  <c r="N86" i="36"/>
  <c r="AX57" i="36"/>
  <c r="CH79" i="36"/>
  <c r="BG368" i="36"/>
  <c r="BP134" i="36"/>
  <c r="CH185" i="36"/>
  <c r="BG130" i="36"/>
  <c r="CH66" i="36"/>
  <c r="N212" i="36"/>
  <c r="AF122" i="36"/>
  <c r="BP166" i="36"/>
  <c r="E117" i="36"/>
  <c r="AX133" i="36"/>
  <c r="CH54" i="36"/>
  <c r="E163" i="36"/>
  <c r="CH67" i="36"/>
  <c r="AX238" i="36"/>
  <c r="N121" i="36"/>
  <c r="AO175" i="36"/>
  <c r="CH58" i="36"/>
  <c r="CH184" i="36"/>
  <c r="BG58" i="36"/>
  <c r="CH45" i="36"/>
  <c r="CZ50" i="36"/>
  <c r="BG300" i="36"/>
  <c r="AX369" i="36"/>
  <c r="BG366" i="36"/>
  <c r="BG92" i="36"/>
  <c r="AX185" i="36"/>
  <c r="AF124" i="36"/>
  <c r="AF168" i="36"/>
  <c r="AO130" i="36"/>
  <c r="CH135" i="36"/>
  <c r="BG237" i="36"/>
  <c r="E211" i="36"/>
  <c r="CH100" i="36"/>
  <c r="BG238" i="36"/>
  <c r="AX180" i="36"/>
  <c r="N81" i="36"/>
  <c r="BG369" i="36"/>
  <c r="W55" i="36"/>
  <c r="AF54" i="36"/>
  <c r="AO89" i="36"/>
  <c r="AX441" i="36"/>
  <c r="BP132" i="36"/>
  <c r="AX235" i="36"/>
  <c r="W54" i="36"/>
  <c r="AF121" i="36"/>
  <c r="AO87" i="36"/>
  <c r="AF220" i="36"/>
  <c r="BG185" i="36"/>
  <c r="AX237" i="36"/>
  <c r="W122" i="36"/>
  <c r="AX522" i="36"/>
  <c r="W162" i="36"/>
  <c r="AO128" i="36"/>
  <c r="AO226" i="36"/>
  <c r="CH115" i="36"/>
  <c r="BP59" i="36"/>
  <c r="CH114" i="36"/>
  <c r="BP88" i="36"/>
  <c r="AF88" i="36"/>
  <c r="N84" i="36"/>
  <c r="N164" i="36"/>
  <c r="AX183" i="36"/>
  <c r="AX299" i="36"/>
  <c r="N82" i="36"/>
  <c r="BG523" i="36"/>
  <c r="AF170" i="36"/>
  <c r="E83" i="36"/>
  <c r="W211" i="36"/>
  <c r="CH181" i="36"/>
  <c r="N211" i="36"/>
  <c r="BG87" i="36"/>
  <c r="BG131" i="36"/>
  <c r="CH137" i="36"/>
  <c r="E210" i="36"/>
  <c r="AO419" i="36"/>
  <c r="E81" i="36"/>
  <c r="W56" i="36"/>
  <c r="N56" i="36"/>
  <c r="N118" i="36"/>
  <c r="AO127" i="36"/>
  <c r="BG367" i="36"/>
  <c r="AF84" i="36"/>
  <c r="BP87" i="36"/>
  <c r="CZ44" i="36"/>
  <c r="AX58" i="36"/>
  <c r="AO350" i="36"/>
  <c r="BG301" i="36"/>
  <c r="AO85" i="36"/>
  <c r="CH160" i="36"/>
  <c r="AO283" i="36"/>
  <c r="AX236" i="36"/>
  <c r="CH156" i="36"/>
  <c r="CZ49" i="36"/>
  <c r="E212" i="36"/>
  <c r="BG298" i="36"/>
  <c r="AO125" i="36"/>
  <c r="AX298" i="36"/>
  <c r="CH159" i="36"/>
  <c r="BP167" i="36"/>
  <c r="AX91" i="36"/>
  <c r="N83" i="36"/>
  <c r="CH59" i="36"/>
  <c r="AX92" i="36"/>
  <c r="BG440" i="36"/>
  <c r="E82" i="36"/>
  <c r="AX371" i="36"/>
  <c r="BG57" i="36"/>
  <c r="CH119" i="36"/>
  <c r="W86" i="36"/>
  <c r="CH183" i="36"/>
  <c r="BG129" i="36"/>
  <c r="BP89" i="36"/>
  <c r="N163" i="36"/>
  <c r="AF219" i="36"/>
  <c r="AX440" i="36"/>
  <c r="CH46" i="36"/>
  <c r="CH97" i="36"/>
  <c r="W83" i="36"/>
  <c r="CH78" i="36"/>
  <c r="W119" i="36"/>
  <c r="AO129" i="36"/>
  <c r="AX181" i="36"/>
  <c r="W163" i="36"/>
  <c r="N210" i="36"/>
  <c r="BP129" i="36"/>
  <c r="AO90" i="36"/>
  <c r="AO170" i="36"/>
  <c r="AO174" i="36"/>
  <c r="E164" i="36"/>
  <c r="CH80" i="36"/>
  <c r="W164" i="36"/>
  <c r="BG90" i="36"/>
  <c r="BG442" i="36"/>
  <c r="AF86" i="36"/>
  <c r="CH116" i="36"/>
  <c r="BP131" i="36"/>
  <c r="CH71" i="36"/>
  <c r="AO222" i="36"/>
  <c r="BG180" i="36"/>
  <c r="E120" i="36"/>
  <c r="BG182" i="36"/>
  <c r="CH83" i="36"/>
  <c r="CH132" i="36"/>
  <c r="CH56" i="36"/>
  <c r="BP58" i="36"/>
  <c r="AF126" i="36"/>
  <c r="CH82" i="36"/>
  <c r="CH57" i="36"/>
  <c r="BG371" i="36"/>
  <c r="W212" i="36"/>
  <c r="CH69" i="36"/>
  <c r="W85" i="36"/>
  <c r="N122" i="36"/>
  <c r="AO228" i="36"/>
  <c r="AO88" i="36"/>
  <c r="V148" i="37" l="1"/>
  <c r="V153" i="37"/>
  <c r="Y54" i="37"/>
  <c r="W54" i="37"/>
  <c r="T54" i="37" s="1"/>
  <c r="X54" i="37"/>
  <c r="U55" i="37"/>
  <c r="V155" i="37"/>
  <c r="M83" i="47"/>
  <c r="I92" i="41"/>
  <c r="M115" i="47"/>
  <c r="M147" i="47"/>
  <c r="M37" i="47"/>
  <c r="M97" i="47"/>
  <c r="M141" i="47"/>
  <c r="M59" i="47"/>
  <c r="I16" i="31"/>
  <c r="L16" i="31" s="1"/>
  <c r="I17" i="31"/>
  <c r="L17" i="31" s="1"/>
  <c r="I15" i="31"/>
  <c r="L15" i="31" s="1"/>
  <c r="AA12" i="25"/>
  <c r="AA13" i="25" s="1"/>
  <c r="X5" i="31"/>
  <c r="AI5" i="31" s="1"/>
  <c r="D20" i="43" s="1"/>
  <c r="E20" i="43" s="1"/>
  <c r="F20" i="43" s="1"/>
  <c r="F37" i="28"/>
  <c r="C71" i="27" s="1"/>
  <c r="K25" i="31" s="1"/>
  <c r="F36" i="28"/>
  <c r="C70" i="27" s="1"/>
  <c r="C27" i="10" s="1"/>
  <c r="E27" i="10" s="1"/>
  <c r="H27" i="10" s="1"/>
  <c r="F38" i="28"/>
  <c r="C9" i="32" s="1"/>
  <c r="BX28" i="5"/>
  <c r="BW28" i="5"/>
  <c r="BU28" i="5"/>
  <c r="BT28" i="5"/>
  <c r="BR28" i="5"/>
  <c r="BQ28" i="5"/>
  <c r="BV28" i="5"/>
  <c r="BS28" i="5"/>
  <c r="BP28" i="5"/>
  <c r="CL42" i="5"/>
  <c r="CL48" i="5" s="1"/>
  <c r="CJ42" i="5"/>
  <c r="CJ48" i="5" s="1"/>
  <c r="CI40" i="5"/>
  <c r="CI46" i="5" s="1"/>
  <c r="CM46" i="5" s="1"/>
  <c r="D12" i="6" s="1"/>
  <c r="C36" i="2"/>
  <c r="CK40" i="5"/>
  <c r="CK46" i="5" s="1"/>
  <c r="CJ40" i="5"/>
  <c r="CJ46" i="5" s="1"/>
  <c r="BU27" i="5"/>
  <c r="BT27" i="5"/>
  <c r="BS27" i="5"/>
  <c r="BR27" i="5"/>
  <c r="BQ27" i="5"/>
  <c r="BX27" i="5"/>
  <c r="BP27" i="5"/>
  <c r="BW27" i="5"/>
  <c r="BV27" i="5"/>
  <c r="H6" i="25"/>
  <c r="C6" i="25" s="1"/>
  <c r="AG8" i="25"/>
  <c r="AH8" i="25" s="1"/>
  <c r="AG9" i="25"/>
  <c r="AR20" i="7"/>
  <c r="CX10" i="7" s="1"/>
  <c r="BG17" i="7"/>
  <c r="DO6" i="7" s="1"/>
  <c r="H13" i="34"/>
  <c r="BF17" i="7"/>
  <c r="DN6" i="7" s="1"/>
  <c r="AY17" i="7"/>
  <c r="DF6" i="7" s="1"/>
  <c r="Z23" i="7"/>
  <c r="AJ17" i="7"/>
  <c r="CO6" i="7" s="1"/>
  <c r="CD17" i="7"/>
  <c r="EO6" i="7" s="1"/>
  <c r="BU17" i="7"/>
  <c r="EE6" i="7" s="1"/>
  <c r="AP20" i="7"/>
  <c r="CV10" i="7" s="1"/>
  <c r="AR17" i="7"/>
  <c r="CX6" i="7" s="1"/>
  <c r="BF20" i="7"/>
  <c r="AG17" i="7"/>
  <c r="CL6" i="7" s="1"/>
  <c r="BO17" i="7"/>
  <c r="DX6" i="7" s="1"/>
  <c r="CC17" i="7"/>
  <c r="EN6" i="7" s="1"/>
  <c r="AI17" i="7"/>
  <c r="CN6" i="7" s="1"/>
  <c r="AX17" i="7"/>
  <c r="DE6" i="7" s="1"/>
  <c r="BM20" i="7"/>
  <c r="DV10" i="7" s="1"/>
  <c r="BN17" i="7"/>
  <c r="DW6" i="7" s="1"/>
  <c r="AJ20" i="7"/>
  <c r="CO10" i="7" s="1"/>
  <c r="BM17" i="7"/>
  <c r="DV6" i="7" s="1"/>
  <c r="AH17" i="7"/>
  <c r="CM6" i="7" s="1"/>
  <c r="AQ17" i="7"/>
  <c r="CW6" i="7" s="1"/>
  <c r="BV17" i="7"/>
  <c r="EF6" i="7" s="1"/>
  <c r="CE17" i="7"/>
  <c r="EP6" i="7" s="1"/>
  <c r="AE17" i="7"/>
  <c r="CJ6" i="7" s="1"/>
  <c r="AW17" i="7"/>
  <c r="DD6" i="7" s="1"/>
  <c r="AM20" i="7"/>
  <c r="CS10" i="7" s="1"/>
  <c r="CC20" i="7"/>
  <c r="EN10" i="7" s="1"/>
  <c r="BG20" i="7"/>
  <c r="U30" i="2"/>
  <c r="F46" i="2" s="1"/>
  <c r="AJ5" i="35"/>
  <c r="AK5" i="35" s="1"/>
  <c r="I59" i="7"/>
  <c r="U25" i="2"/>
  <c r="F41" i="2" s="1"/>
  <c r="I72" i="7"/>
  <c r="I61" i="7"/>
  <c r="I60" i="7"/>
  <c r="I82" i="7"/>
  <c r="DM10" i="7"/>
  <c r="BF4" i="26"/>
  <c r="AH36" i="46"/>
  <c r="AG37" i="46"/>
  <c r="L12" i="26"/>
  <c r="E12" i="34" s="1"/>
  <c r="F12" i="34"/>
  <c r="L11" i="26"/>
  <c r="E11" i="34" s="1"/>
  <c r="F11" i="34"/>
  <c r="M23" i="47"/>
  <c r="M133" i="47"/>
  <c r="E43" i="28"/>
  <c r="M25" i="47"/>
  <c r="M69" i="47"/>
  <c r="M91" i="47"/>
  <c r="M105" i="47"/>
  <c r="M135" i="47"/>
  <c r="M155" i="47"/>
  <c r="AQ20" i="7"/>
  <c r="CW10" i="7" s="1"/>
  <c r="AO20" i="7"/>
  <c r="CU10" i="7" s="1"/>
  <c r="AX20" i="7"/>
  <c r="DE10" i="7" s="1"/>
  <c r="AY20" i="7"/>
  <c r="DF10" i="7" s="1"/>
  <c r="AI29" i="24"/>
  <c r="J33" i="9" s="1"/>
  <c r="L29" i="23"/>
  <c r="AN29" i="26" s="1"/>
  <c r="AE29" i="26"/>
  <c r="D119" i="27"/>
  <c r="D56" i="45"/>
  <c r="E118" i="27"/>
  <c r="E56" i="45" s="1"/>
  <c r="F16" i="31"/>
  <c r="H16" i="31" s="1"/>
  <c r="J16" i="31" s="1"/>
  <c r="H14" i="26"/>
  <c r="M14" i="26" s="1"/>
  <c r="C39" i="32"/>
  <c r="E39" i="32" s="1"/>
  <c r="AN46" i="32"/>
  <c r="AN47" i="32"/>
  <c r="AN48" i="32"/>
  <c r="AN49" i="32"/>
  <c r="AN50" i="32" s="1"/>
  <c r="AN51" i="32" s="1"/>
  <c r="AN52" i="32" s="1"/>
  <c r="AN53" i="32" s="1"/>
  <c r="AN54" i="32" s="1"/>
  <c r="AN55" i="32" s="1"/>
  <c r="AN56" i="32" s="1"/>
  <c r="AN57" i="32" s="1"/>
  <c r="AN58" i="32" s="1"/>
  <c r="AN59" i="32" s="1"/>
  <c r="AN60" i="32" s="1"/>
  <c r="AN61" i="32" s="1"/>
  <c r="AN62" i="32" s="1"/>
  <c r="AN63" i="32" s="1"/>
  <c r="AN64" i="32" s="1"/>
  <c r="AN65" i="32" s="1"/>
  <c r="AN66" i="32" s="1"/>
  <c r="AN67" i="32" s="1"/>
  <c r="AN68" i="32" s="1"/>
  <c r="AN69" i="32" s="1"/>
  <c r="AD46" i="32"/>
  <c r="AD47" i="32" s="1"/>
  <c r="AD48" i="32" s="1"/>
  <c r="AD49" i="32" s="1"/>
  <c r="AD50" i="32" s="1"/>
  <c r="AD51" i="32" s="1"/>
  <c r="AD52" i="32" s="1"/>
  <c r="AD53" i="32" s="1"/>
  <c r="AD54" i="32" s="1"/>
  <c r="AD55" i="32" s="1"/>
  <c r="AD56" i="32" s="1"/>
  <c r="AD57" i="32" s="1"/>
  <c r="AD58" i="32" s="1"/>
  <c r="AD59" i="32" s="1"/>
  <c r="AD60" i="32" s="1"/>
  <c r="AD61" i="32" s="1"/>
  <c r="AD62" i="32" s="1"/>
  <c r="AD63" i="32" s="1"/>
  <c r="AD64" i="32" s="1"/>
  <c r="AD65" i="32" s="1"/>
  <c r="AD66" i="32" s="1"/>
  <c r="AD67" i="32" s="1"/>
  <c r="AD68" i="32" s="1"/>
  <c r="AD69" i="32" s="1"/>
  <c r="T46" i="32"/>
  <c r="T47" i="32" s="1"/>
  <c r="T48" i="32" s="1"/>
  <c r="T49" i="32" s="1"/>
  <c r="T50" i="32" s="1"/>
  <c r="T51" i="32" s="1"/>
  <c r="T52" i="32" s="1"/>
  <c r="T53" i="32" s="1"/>
  <c r="T54" i="32" s="1"/>
  <c r="T55" i="32" s="1"/>
  <c r="T56" i="32" s="1"/>
  <c r="T57" i="32" s="1"/>
  <c r="T58" i="32" s="1"/>
  <c r="T59" i="32" s="1"/>
  <c r="T60" i="32" s="1"/>
  <c r="T61" i="32" s="1"/>
  <c r="T62" i="32" s="1"/>
  <c r="T63" i="32" s="1"/>
  <c r="T64" i="32" s="1"/>
  <c r="T65" i="32" s="1"/>
  <c r="T66" i="32" s="1"/>
  <c r="T67" i="32" s="1"/>
  <c r="T68" i="32" s="1"/>
  <c r="T69" i="32" s="1"/>
  <c r="M63" i="47"/>
  <c r="M85" i="47"/>
  <c r="L10" i="26"/>
  <c r="E10" i="34" s="1"/>
  <c r="F10" i="34"/>
  <c r="E44" i="28"/>
  <c r="E112" i="27"/>
  <c r="E50" i="45" s="1"/>
  <c r="D45" i="27"/>
  <c r="D103" i="27" s="1"/>
  <c r="F103" i="27" s="1"/>
  <c r="C104" i="27"/>
  <c r="E113" i="27"/>
  <c r="E51" i="45" s="1"/>
  <c r="E114" i="27"/>
  <c r="E52" i="45" s="1"/>
  <c r="E115" i="27"/>
  <c r="E53" i="45" s="1"/>
  <c r="E116" i="27"/>
  <c r="E54" i="45" s="1"/>
  <c r="J67" i="7"/>
  <c r="M29" i="47"/>
  <c r="M75" i="47"/>
  <c r="M111" i="47"/>
  <c r="M157" i="47"/>
  <c r="BO20" i="7"/>
  <c r="DX10" i="7" s="1"/>
  <c r="BV20" i="7"/>
  <c r="EF10" i="7" s="1"/>
  <c r="H40" i="28"/>
  <c r="C23" i="32" s="1"/>
  <c r="M13" i="31"/>
  <c r="H28" i="31"/>
  <c r="AE33" i="26"/>
  <c r="AI33" i="24"/>
  <c r="J37" i="9" s="1"/>
  <c r="L33" i="23"/>
  <c r="AN33" i="26" s="1"/>
  <c r="L26" i="23"/>
  <c r="AN26" i="26" s="1"/>
  <c r="AI26" i="24"/>
  <c r="J30" i="9" s="1"/>
  <c r="AE26" i="26"/>
  <c r="E117" i="27"/>
  <c r="E55" i="45" s="1"/>
  <c r="H39" i="28"/>
  <c r="C22" i="32" s="1"/>
  <c r="H27" i="31"/>
  <c r="M12" i="31"/>
  <c r="AK22" i="32"/>
  <c r="Q20" i="32"/>
  <c r="Q28" i="32"/>
  <c r="AA29" i="32"/>
  <c r="AA19" i="32"/>
  <c r="Q30" i="32"/>
  <c r="Q31" i="32" s="1"/>
  <c r="Q32" i="32" s="1"/>
  <c r="Q33" i="32" s="1"/>
  <c r="Q34" i="32" s="1"/>
  <c r="Q35" i="32" s="1"/>
  <c r="Q36" i="32" s="1"/>
  <c r="Q37" i="32" s="1"/>
  <c r="Q38" i="32" s="1"/>
  <c r="Q39" i="32" s="1"/>
  <c r="Q40" i="32" s="1"/>
  <c r="Q41" i="32" s="1"/>
  <c r="Q42" i="32" s="1"/>
  <c r="AA20" i="32"/>
  <c r="E6" i="32"/>
  <c r="F6" i="32" s="1"/>
  <c r="Q19" i="32"/>
  <c r="Q25" i="32"/>
  <c r="AA28" i="32"/>
  <c r="AA25" i="32"/>
  <c r="Q23" i="32"/>
  <c r="AA27" i="32"/>
  <c r="AA26" i="32"/>
  <c r="Q21" i="32"/>
  <c r="AK21" i="32"/>
  <c r="AK28" i="32"/>
  <c r="AA21" i="32"/>
  <c r="AA22" i="32"/>
  <c r="Q26" i="32"/>
  <c r="AK19" i="32"/>
  <c r="AA30" i="32"/>
  <c r="AA31" i="32" s="1"/>
  <c r="AA32" i="32" s="1"/>
  <c r="AA33" i="32" s="1"/>
  <c r="AA34" i="32" s="1"/>
  <c r="AA35" i="32" s="1"/>
  <c r="AA36" i="32" s="1"/>
  <c r="AA37" i="32" s="1"/>
  <c r="AA38" i="32" s="1"/>
  <c r="AA39" i="32" s="1"/>
  <c r="AA40" i="32" s="1"/>
  <c r="AA41" i="32" s="1"/>
  <c r="AA42" i="32" s="1"/>
  <c r="Q22" i="32"/>
  <c r="AK26" i="32"/>
  <c r="AK30" i="32"/>
  <c r="AK31" i="32" s="1"/>
  <c r="AK32" i="32" s="1"/>
  <c r="AK33" i="32" s="1"/>
  <c r="AK34" i="32" s="1"/>
  <c r="AK35" i="32" s="1"/>
  <c r="AK36" i="32" s="1"/>
  <c r="AK37" i="32" s="1"/>
  <c r="AK38" i="32" s="1"/>
  <c r="AK39" i="32" s="1"/>
  <c r="AK40" i="32" s="1"/>
  <c r="AK41" i="32" s="1"/>
  <c r="AK42" i="32" s="1"/>
  <c r="AK23" i="32"/>
  <c r="AA23" i="32"/>
  <c r="AK29" i="32"/>
  <c r="Q27" i="32"/>
  <c r="AK27" i="32"/>
  <c r="AK24" i="32"/>
  <c r="Q29" i="32"/>
  <c r="AK20" i="32"/>
  <c r="Q24" i="32"/>
  <c r="AA24" i="32"/>
  <c r="AK25" i="32"/>
  <c r="G33" i="29"/>
  <c r="S46" i="32"/>
  <c r="S47" i="32" s="1"/>
  <c r="S48" i="32" s="1"/>
  <c r="S49" i="32" s="1"/>
  <c r="S50" i="32" s="1"/>
  <c r="S51" i="32" s="1"/>
  <c r="S52" i="32" s="1"/>
  <c r="S53" i="32" s="1"/>
  <c r="S54" i="32" s="1"/>
  <c r="S55" i="32" s="1"/>
  <c r="S56" i="32" s="1"/>
  <c r="S57" i="32" s="1"/>
  <c r="S58" i="32" s="1"/>
  <c r="S59" i="32" s="1"/>
  <c r="S60" i="32" s="1"/>
  <c r="S61" i="32" s="1"/>
  <c r="S62" i="32" s="1"/>
  <c r="S63" i="32" s="1"/>
  <c r="S64" i="32" s="1"/>
  <c r="S65" i="32" s="1"/>
  <c r="S66" i="32" s="1"/>
  <c r="S67" i="32" s="1"/>
  <c r="S68" i="32" s="1"/>
  <c r="S69" i="32" s="1"/>
  <c r="C38" i="32"/>
  <c r="E38" i="32" s="1"/>
  <c r="AC46" i="32"/>
  <c r="AC47" i="32" s="1"/>
  <c r="AC48" i="32" s="1"/>
  <c r="AC49" i="32" s="1"/>
  <c r="AC50" i="32" s="1"/>
  <c r="AC51" i="32" s="1"/>
  <c r="AC52" i="32" s="1"/>
  <c r="AC53" i="32" s="1"/>
  <c r="AC54" i="32" s="1"/>
  <c r="AC55" i="32" s="1"/>
  <c r="AC56" i="32" s="1"/>
  <c r="AC57" i="32" s="1"/>
  <c r="AC58" i="32" s="1"/>
  <c r="AC59" i="32" s="1"/>
  <c r="AC60" i="32" s="1"/>
  <c r="AC61" i="32" s="1"/>
  <c r="AC62" i="32" s="1"/>
  <c r="AC63" i="32" s="1"/>
  <c r="AC64" i="32" s="1"/>
  <c r="AC65" i="32" s="1"/>
  <c r="AC66" i="32" s="1"/>
  <c r="AC67" i="32" s="1"/>
  <c r="AC68" i="32" s="1"/>
  <c r="AC69" i="32" s="1"/>
  <c r="AM46" i="32"/>
  <c r="AM47" i="32" s="1"/>
  <c r="AM48" i="32" s="1"/>
  <c r="AM49" i="32" s="1"/>
  <c r="AM50" i="32" s="1"/>
  <c r="AM51" i="32" s="1"/>
  <c r="AM52" i="32" s="1"/>
  <c r="AM53" i="32" s="1"/>
  <c r="AM54" i="32" s="1"/>
  <c r="AM55" i="32" s="1"/>
  <c r="AM56" i="32" s="1"/>
  <c r="AM57" i="32" s="1"/>
  <c r="AM58" i="32" s="1"/>
  <c r="AM59" i="32" s="1"/>
  <c r="AM60" i="32" s="1"/>
  <c r="AM61" i="32" s="1"/>
  <c r="AM62" i="32" s="1"/>
  <c r="AM63" i="32" s="1"/>
  <c r="AM64" i="32" s="1"/>
  <c r="AM65" i="32" s="1"/>
  <c r="AM66" i="32" s="1"/>
  <c r="AM67" i="32" s="1"/>
  <c r="AM68" i="32" s="1"/>
  <c r="AM69" i="32" s="1"/>
  <c r="H31" i="29"/>
  <c r="C52" i="47"/>
  <c r="L14" i="47"/>
  <c r="C76" i="47" s="1"/>
  <c r="C51" i="47"/>
  <c r="C53" i="47"/>
  <c r="L13" i="47"/>
  <c r="C75" i="47" s="1"/>
  <c r="H30" i="29"/>
  <c r="P19" i="32"/>
  <c r="E5" i="32"/>
  <c r="F5" i="32" s="1"/>
  <c r="AJ19" i="32"/>
  <c r="AJ20" i="32" s="1"/>
  <c r="AJ21" i="32" s="1"/>
  <c r="AJ22" i="32" s="1"/>
  <c r="AJ23" i="32" s="1"/>
  <c r="AJ24" i="32" s="1"/>
  <c r="AJ25" i="32" s="1"/>
  <c r="AJ26" i="32" s="1"/>
  <c r="AJ27" i="32" s="1"/>
  <c r="AJ28" i="32" s="1"/>
  <c r="AJ29" i="32" s="1"/>
  <c r="AJ30" i="32" s="1"/>
  <c r="AJ31" i="32" s="1"/>
  <c r="AJ32" i="32" s="1"/>
  <c r="AJ33" i="32" s="1"/>
  <c r="AJ34" i="32" s="1"/>
  <c r="AJ35" i="32" s="1"/>
  <c r="AJ36" i="32" s="1"/>
  <c r="AJ37" i="32" s="1"/>
  <c r="AJ38" i="32" s="1"/>
  <c r="AJ39" i="32" s="1"/>
  <c r="AJ40" i="32" s="1"/>
  <c r="AJ41" i="32" s="1"/>
  <c r="AJ42" i="32" s="1"/>
  <c r="Z19" i="32"/>
  <c r="Z20" i="32" s="1"/>
  <c r="Z21" i="32" s="1"/>
  <c r="Z22" i="32" s="1"/>
  <c r="Z23" i="32" s="1"/>
  <c r="Z24" i="32" s="1"/>
  <c r="Z25" i="32" s="1"/>
  <c r="Z26" i="32" s="1"/>
  <c r="Z27" i="32" s="1"/>
  <c r="Z28" i="32" s="1"/>
  <c r="Z29" i="32" s="1"/>
  <c r="Z30" i="32" s="1"/>
  <c r="Z31" i="32" s="1"/>
  <c r="Z32" i="32" s="1"/>
  <c r="Z33" i="32" s="1"/>
  <c r="Z34" i="32" s="1"/>
  <c r="Z35" i="32" s="1"/>
  <c r="Z36" i="32" s="1"/>
  <c r="Z37" i="32" s="1"/>
  <c r="Z38" i="32" s="1"/>
  <c r="Z39" i="32" s="1"/>
  <c r="Z40" i="32" s="1"/>
  <c r="Z41" i="32" s="1"/>
  <c r="Z42" i="32" s="1"/>
  <c r="P20" i="32"/>
  <c r="P21" i="32" s="1"/>
  <c r="P22" i="32" s="1"/>
  <c r="P23" i="32" s="1"/>
  <c r="P24" i="32" s="1"/>
  <c r="P25" i="32" s="1"/>
  <c r="P26" i="32" s="1"/>
  <c r="P27" i="32" s="1"/>
  <c r="P28" i="32" s="1"/>
  <c r="P29" i="32" s="1"/>
  <c r="P30" i="32" s="1"/>
  <c r="P31" i="32" s="1"/>
  <c r="P32" i="32" s="1"/>
  <c r="P33" i="32" s="1"/>
  <c r="P34" i="32" s="1"/>
  <c r="P35" i="32" s="1"/>
  <c r="P36" i="32" s="1"/>
  <c r="P37" i="32" s="1"/>
  <c r="P38" i="32" s="1"/>
  <c r="P39" i="32" s="1"/>
  <c r="P40" i="32" s="1"/>
  <c r="P41" i="32" s="1"/>
  <c r="P42" i="32" s="1"/>
  <c r="F17" i="31"/>
  <c r="H17" i="31" s="1"/>
  <c r="J17" i="31" s="1"/>
  <c r="H15" i="26"/>
  <c r="M15" i="26" s="1"/>
  <c r="C47" i="27"/>
  <c r="D20" i="27"/>
  <c r="R20" i="27"/>
  <c r="Q19" i="27"/>
  <c r="C7" i="43"/>
  <c r="C7" i="32"/>
  <c r="M39" i="47"/>
  <c r="M27" i="47"/>
  <c r="M125" i="47"/>
  <c r="M95" i="47"/>
  <c r="AW20" i="7"/>
  <c r="DD10" i="7" s="1"/>
  <c r="M77" i="47"/>
  <c r="M145" i="47"/>
  <c r="M113" i="47"/>
  <c r="BN20" i="7"/>
  <c r="DW10" i="7" s="1"/>
  <c r="AH20" i="7"/>
  <c r="CM10" i="7" s="1"/>
  <c r="C72" i="27"/>
  <c r="K26" i="31" s="1"/>
  <c r="CX24" i="5"/>
  <c r="CY24" i="5"/>
  <c r="CW24" i="5"/>
  <c r="DA24" i="5"/>
  <c r="CZ24" i="5"/>
  <c r="CV24" i="5"/>
  <c r="AI30" i="24"/>
  <c r="J34" i="9" s="1"/>
  <c r="AE30" i="26"/>
  <c r="L30" i="23"/>
  <c r="AN30" i="26" s="1"/>
  <c r="L24" i="23"/>
  <c r="AN24" i="26" s="1"/>
  <c r="AI24" i="24"/>
  <c r="J28" i="9" s="1"/>
  <c r="AE24" i="26"/>
  <c r="J86" i="7"/>
  <c r="M119" i="47"/>
  <c r="M33" i="47"/>
  <c r="M71" i="47"/>
  <c r="M93" i="47"/>
  <c r="M107" i="47"/>
  <c r="M129" i="47"/>
  <c r="M149" i="47"/>
  <c r="AI20" i="7"/>
  <c r="CN10" i="7" s="1"/>
  <c r="CE20" i="7"/>
  <c r="EP10" i="7" s="1"/>
  <c r="BU20" i="7"/>
  <c r="EE10" i="7" s="1"/>
  <c r="BE17" i="7"/>
  <c r="DM6" i="7" s="1"/>
  <c r="BW17" i="7"/>
  <c r="EG6" i="7" s="1"/>
  <c r="AU17" i="7"/>
  <c r="DB6" i="7" s="1"/>
  <c r="Z26" i="7"/>
  <c r="BO26" i="7" s="1"/>
  <c r="CM48" i="5"/>
  <c r="L31" i="23"/>
  <c r="AN31" i="26" s="1"/>
  <c r="AI31" i="24"/>
  <c r="J35" i="9" s="1"/>
  <c r="AE31" i="26"/>
  <c r="L27" i="23"/>
  <c r="AN27" i="26" s="1"/>
  <c r="AI27" i="24"/>
  <c r="J31" i="9" s="1"/>
  <c r="AE27" i="26"/>
  <c r="H13" i="26"/>
  <c r="M13" i="26" s="1"/>
  <c r="F15" i="31"/>
  <c r="H15" i="31" s="1"/>
  <c r="J15" i="31" s="1"/>
  <c r="AB46" i="32"/>
  <c r="AB47" i="32"/>
  <c r="R46" i="32"/>
  <c r="G32" i="29"/>
  <c r="R48" i="32"/>
  <c r="R49" i="32" s="1"/>
  <c r="R50" i="32" s="1"/>
  <c r="R51" i="32" s="1"/>
  <c r="R52" i="32" s="1"/>
  <c r="R53" i="32" s="1"/>
  <c r="R54" i="32" s="1"/>
  <c r="R55" i="32" s="1"/>
  <c r="R56" i="32" s="1"/>
  <c r="R57" i="32" s="1"/>
  <c r="R58" i="32" s="1"/>
  <c r="R59" i="32" s="1"/>
  <c r="R60" i="32" s="1"/>
  <c r="R61" i="32" s="1"/>
  <c r="R62" i="32" s="1"/>
  <c r="R63" i="32" s="1"/>
  <c r="R64" i="32" s="1"/>
  <c r="R65" i="32" s="1"/>
  <c r="R66" i="32" s="1"/>
  <c r="R67" i="32" s="1"/>
  <c r="R68" i="32" s="1"/>
  <c r="R69" i="32" s="1"/>
  <c r="AL46" i="32"/>
  <c r="AL47" i="32" s="1"/>
  <c r="AL48" i="32" s="1"/>
  <c r="AL49" i="32" s="1"/>
  <c r="AL50" i="32" s="1"/>
  <c r="AL51" i="32" s="1"/>
  <c r="AL52" i="32" s="1"/>
  <c r="AL53" i="32" s="1"/>
  <c r="AL54" i="32" s="1"/>
  <c r="AL55" i="32" s="1"/>
  <c r="AL56" i="32" s="1"/>
  <c r="AL57" i="32" s="1"/>
  <c r="AL58" i="32" s="1"/>
  <c r="AL59" i="32" s="1"/>
  <c r="AL60" i="32" s="1"/>
  <c r="AL61" i="32" s="1"/>
  <c r="AL62" i="32" s="1"/>
  <c r="AL63" i="32" s="1"/>
  <c r="AL64" i="32" s="1"/>
  <c r="AL65" i="32" s="1"/>
  <c r="AL66" i="32" s="1"/>
  <c r="AL67" i="32" s="1"/>
  <c r="AL68" i="32" s="1"/>
  <c r="AL69" i="32" s="1"/>
  <c r="C37" i="32"/>
  <c r="E37" i="32" s="1"/>
  <c r="R47" i="32"/>
  <c r="AB48" i="32"/>
  <c r="AB49" i="32" s="1"/>
  <c r="AB50" i="32" s="1"/>
  <c r="AB51" i="32" s="1"/>
  <c r="AB52" i="32" s="1"/>
  <c r="AB53" i="32" s="1"/>
  <c r="AB54" i="32" s="1"/>
  <c r="AB55" i="32" s="1"/>
  <c r="AB56" i="32" s="1"/>
  <c r="AB57" i="32" s="1"/>
  <c r="AB58" i="32" s="1"/>
  <c r="AB59" i="32" s="1"/>
  <c r="AB60" i="32" s="1"/>
  <c r="AB61" i="32" s="1"/>
  <c r="AB62" i="32" s="1"/>
  <c r="AB63" i="32" s="1"/>
  <c r="AB64" i="32" s="1"/>
  <c r="AB65" i="32" s="1"/>
  <c r="AB66" i="32" s="1"/>
  <c r="AB67" i="32" s="1"/>
  <c r="AB68" i="32" s="1"/>
  <c r="AB69" i="32" s="1"/>
  <c r="M101" i="47"/>
  <c r="M79" i="47"/>
  <c r="M121" i="47"/>
  <c r="M127" i="47"/>
  <c r="J66" i="7"/>
  <c r="M31" i="47"/>
  <c r="M65" i="47"/>
  <c r="M139" i="47"/>
  <c r="M159" i="47"/>
  <c r="AZ20" i="7"/>
  <c r="DG10" i="7" s="1"/>
  <c r="Z27" i="7"/>
  <c r="AW27" i="7" s="1"/>
  <c r="M143" i="47"/>
  <c r="M99" i="47"/>
  <c r="M67" i="47"/>
  <c r="M87" i="47"/>
  <c r="M109" i="47"/>
  <c r="M137" i="47"/>
  <c r="M151" i="47"/>
  <c r="BW20" i="7"/>
  <c r="EG10" i="7" s="1"/>
  <c r="AG20" i="7"/>
  <c r="CL10" i="7" s="1"/>
  <c r="AE20" i="7"/>
  <c r="CJ10" i="7" s="1"/>
  <c r="AM17" i="7"/>
  <c r="CS6" i="7" s="1"/>
  <c r="AZ17" i="7"/>
  <c r="DG6" i="7" s="1"/>
  <c r="AP17" i="7"/>
  <c r="CV6" i="7" s="1"/>
  <c r="AO17" i="7"/>
  <c r="CU6" i="7" s="1"/>
  <c r="CI41" i="5"/>
  <c r="CI47" i="5" s="1"/>
  <c r="CM47" i="5" s="1"/>
  <c r="T8" i="25"/>
  <c r="AG10" i="25" s="1"/>
  <c r="J9" i="25"/>
  <c r="AP29" i="25"/>
  <c r="Z33" i="9" s="1"/>
  <c r="AP19" i="25"/>
  <c r="Z23" i="9" s="1"/>
  <c r="AP10" i="25"/>
  <c r="Z14" i="9" s="1"/>
  <c r="AP28" i="25"/>
  <c r="Z32" i="9" s="1"/>
  <c r="AP9" i="25"/>
  <c r="Z13" i="9" s="1"/>
  <c r="AP30" i="25"/>
  <c r="Z34" i="9" s="1"/>
  <c r="AP20" i="25"/>
  <c r="Z24" i="9" s="1"/>
  <c r="AP18" i="25"/>
  <c r="Z22" i="9" s="1"/>
  <c r="AP8" i="25"/>
  <c r="Z12" i="9" s="1"/>
  <c r="AI25" i="24"/>
  <c r="J29" i="9" s="1"/>
  <c r="L25" i="23"/>
  <c r="AN25" i="26" s="1"/>
  <c r="AE25" i="26"/>
  <c r="L28" i="23"/>
  <c r="AN28" i="26" s="1"/>
  <c r="AE28" i="26"/>
  <c r="AI28" i="24"/>
  <c r="J32" i="9" s="1"/>
  <c r="E42" i="28"/>
  <c r="X44" i="25"/>
  <c r="Y43" i="25"/>
  <c r="Z43" i="25" s="1"/>
  <c r="M61" i="47"/>
  <c r="M73" i="47"/>
  <c r="M103" i="47"/>
  <c r="M153" i="47"/>
  <c r="M123" i="47"/>
  <c r="M81" i="47"/>
  <c r="M35" i="47"/>
  <c r="M89" i="47"/>
  <c r="M117" i="47"/>
  <c r="CD20" i="7"/>
  <c r="EO10" i="7" s="1"/>
  <c r="AU20" i="7"/>
  <c r="DB10" i="7" s="1"/>
  <c r="Y34" i="25"/>
  <c r="Z34" i="25" s="1"/>
  <c r="Y35" i="25"/>
  <c r="Z35" i="25" s="1"/>
  <c r="Y36" i="25"/>
  <c r="Z36" i="25" s="1"/>
  <c r="Y37" i="25"/>
  <c r="Z37" i="25" s="1"/>
  <c r="Y38" i="25"/>
  <c r="Z38" i="25" s="1"/>
  <c r="Y39" i="25"/>
  <c r="Z39" i="25" s="1"/>
  <c r="Y40" i="25"/>
  <c r="Z40" i="25" s="1"/>
  <c r="Y41" i="25"/>
  <c r="Z41" i="25" s="1"/>
  <c r="AI32" i="24"/>
  <c r="J36" i="9" s="1"/>
  <c r="L32" i="23"/>
  <c r="AN32" i="26" s="1"/>
  <c r="AE32" i="26"/>
  <c r="H41" i="28"/>
  <c r="C24" i="32" s="1"/>
  <c r="M14" i="31"/>
  <c r="H29" i="31"/>
  <c r="BK5" i="26"/>
  <c r="AU5" i="26"/>
  <c r="BJ5" i="26"/>
  <c r="BL5" i="26"/>
  <c r="BF5" i="26"/>
  <c r="BH5" i="26"/>
  <c r="AV6" i="26"/>
  <c r="AW6" i="26" s="1"/>
  <c r="U6" i="31"/>
  <c r="AB6" i="31" s="1"/>
  <c r="C26" i="10"/>
  <c r="E26" i="10" s="1"/>
  <c r="H26" i="10" s="1"/>
  <c r="K23" i="31"/>
  <c r="C24" i="10"/>
  <c r="E24" i="10" s="1"/>
  <c r="H24" i="10" s="1"/>
  <c r="K21" i="31"/>
  <c r="C25" i="10"/>
  <c r="E25" i="10" s="1"/>
  <c r="H25" i="10" s="1"/>
  <c r="K22" i="31"/>
  <c r="AH4" i="46"/>
  <c r="AJ4" i="46" s="1"/>
  <c r="AH6" i="46"/>
  <c r="AJ6" i="46" s="1"/>
  <c r="AH5" i="46"/>
  <c r="AJ5" i="46" s="1"/>
  <c r="AH20" i="46"/>
  <c r="AJ20" i="46" s="1"/>
  <c r="AH7" i="46"/>
  <c r="AJ7" i="46" s="1"/>
  <c r="AH19" i="46"/>
  <c r="AJ19" i="46" s="1"/>
  <c r="AH21" i="46"/>
  <c r="AJ21" i="46" s="1"/>
  <c r="AH9" i="46"/>
  <c r="AJ9" i="46" s="1"/>
  <c r="AH15" i="46"/>
  <c r="AJ15" i="46" s="1"/>
  <c r="AH8" i="46"/>
  <c r="AJ8" i="46" s="1"/>
  <c r="AH11" i="46"/>
  <c r="AJ11" i="46" s="1"/>
  <c r="AH17" i="46"/>
  <c r="AJ17" i="46" s="1"/>
  <c r="AH12" i="46"/>
  <c r="AJ12" i="46" s="1"/>
  <c r="AJ31" i="46"/>
  <c r="AH25" i="46"/>
  <c r="AJ25" i="46" s="1"/>
  <c r="AH16" i="46"/>
  <c r="AJ16" i="46" s="1"/>
  <c r="AH30" i="46"/>
  <c r="AJ30" i="46" s="1"/>
  <c r="AH28" i="46"/>
  <c r="AJ28" i="46" s="1"/>
  <c r="AH23" i="46"/>
  <c r="AJ23" i="46" s="1"/>
  <c r="AH18" i="46"/>
  <c r="AJ18" i="46" s="1"/>
  <c r="AH10" i="46"/>
  <c r="AJ10" i="46" s="1"/>
  <c r="AH27" i="46"/>
  <c r="AJ27" i="46" s="1"/>
  <c r="AH26" i="46"/>
  <c r="AJ26" i="46" s="1"/>
  <c r="AH24" i="46"/>
  <c r="AJ24" i="46" s="1"/>
  <c r="AH14" i="46"/>
  <c r="AJ14" i="46" s="1"/>
  <c r="AH13" i="46"/>
  <c r="AJ13" i="46" s="1"/>
  <c r="AH22" i="46"/>
  <c r="AJ22" i="46" s="1"/>
  <c r="AH29" i="46"/>
  <c r="AJ29" i="46" s="1"/>
  <c r="AH32" i="46"/>
  <c r="AJ32" i="46" s="1"/>
  <c r="AH33" i="46"/>
  <c r="AJ33" i="46" s="1"/>
  <c r="AH34" i="46"/>
  <c r="AJ34" i="46" s="1"/>
  <c r="AH35" i="46"/>
  <c r="AJ35" i="46" s="1"/>
  <c r="AH37" i="46"/>
  <c r="AJ37" i="46" s="1"/>
  <c r="L29" i="47"/>
  <c r="V29" i="47" s="1"/>
  <c r="W29" i="47" s="1"/>
  <c r="L33" i="47"/>
  <c r="V33" i="47" s="1"/>
  <c r="W33" i="47" s="1"/>
  <c r="L35" i="47"/>
  <c r="V35" i="47" s="1"/>
  <c r="W35" i="47" s="1"/>
  <c r="L25" i="47"/>
  <c r="V25" i="47" s="1"/>
  <c r="W25" i="47" s="1"/>
  <c r="L37" i="47"/>
  <c r="V37" i="47" s="1"/>
  <c r="W37" i="47" s="1"/>
  <c r="L39" i="47"/>
  <c r="V39" i="47" s="1"/>
  <c r="W39" i="47" s="1"/>
  <c r="L27" i="47"/>
  <c r="V27" i="47" s="1"/>
  <c r="W27" i="47" s="1"/>
  <c r="L23" i="47"/>
  <c r="V23" i="47" s="1"/>
  <c r="W23" i="47" s="1"/>
  <c r="L145" i="47"/>
  <c r="V145" i="47" s="1"/>
  <c r="W145" i="47" s="1"/>
  <c r="L125" i="47"/>
  <c r="V125" i="47" s="1"/>
  <c r="W125" i="47" s="1"/>
  <c r="L123" i="47"/>
  <c r="V123" i="47" s="1"/>
  <c r="W123" i="47" s="1"/>
  <c r="L121" i="47"/>
  <c r="V121" i="47" s="1"/>
  <c r="W121" i="47" s="1"/>
  <c r="L69" i="47"/>
  <c r="V69" i="47" s="1"/>
  <c r="W69" i="47" s="1"/>
  <c r="L119" i="47"/>
  <c r="V119" i="47" s="1"/>
  <c r="W119" i="47" s="1"/>
  <c r="L137" i="47"/>
  <c r="V137" i="47" s="1"/>
  <c r="W137" i="47" s="1"/>
  <c r="L75" i="47"/>
  <c r="V75" i="47" s="1"/>
  <c r="W75" i="47" s="1"/>
  <c r="L59" i="47"/>
  <c r="V59" i="47" s="1"/>
  <c r="W59" i="47" s="1"/>
  <c r="L67" i="47"/>
  <c r="V67" i="47" s="1"/>
  <c r="W67" i="47" s="1"/>
  <c r="L159" i="47"/>
  <c r="V159" i="47" s="1"/>
  <c r="W159" i="47" s="1"/>
  <c r="L141" i="47"/>
  <c r="V141" i="47" s="1"/>
  <c r="W141" i="47" s="1"/>
  <c r="L65" i="47"/>
  <c r="V65" i="47" s="1"/>
  <c r="W65" i="47" s="1"/>
  <c r="L139" i="47"/>
  <c r="V139" i="47" s="1"/>
  <c r="W139" i="47" s="1"/>
  <c r="L61" i="47"/>
  <c r="V61" i="47" s="1"/>
  <c r="W61" i="47" s="1"/>
  <c r="L151" i="47"/>
  <c r="V151" i="47" s="1"/>
  <c r="W151" i="47" s="1"/>
  <c r="L135" i="47"/>
  <c r="V135" i="47" s="1"/>
  <c r="W135" i="47" s="1"/>
  <c r="L155" i="47"/>
  <c r="V155" i="47" s="1"/>
  <c r="W155" i="47" s="1"/>
  <c r="L73" i="47"/>
  <c r="V73" i="47" s="1"/>
  <c r="W73" i="47" s="1"/>
  <c r="L133" i="47"/>
  <c r="V133" i="47" s="1"/>
  <c r="W133" i="47" s="1"/>
  <c r="L63" i="47"/>
  <c r="V63" i="47" s="1"/>
  <c r="W63" i="47" s="1"/>
  <c r="L129" i="47"/>
  <c r="V129" i="47" s="1"/>
  <c r="W129" i="47" s="1"/>
  <c r="L147" i="47"/>
  <c r="V147" i="47" s="1"/>
  <c r="W147" i="47" s="1"/>
  <c r="L153" i="47"/>
  <c r="V153" i="47" s="1"/>
  <c r="W153" i="47" s="1"/>
  <c r="L71" i="47"/>
  <c r="V71" i="47" s="1"/>
  <c r="W71" i="47" s="1"/>
  <c r="L157" i="47"/>
  <c r="V157" i="47" s="1"/>
  <c r="W157" i="47" s="1"/>
  <c r="L131" i="47"/>
  <c r="V131" i="47" s="1"/>
  <c r="W131" i="47" s="1"/>
  <c r="L127" i="47"/>
  <c r="V127" i="47" s="1"/>
  <c r="W127" i="47" s="1"/>
  <c r="L143" i="47"/>
  <c r="V143" i="47" s="1"/>
  <c r="W143" i="47" s="1"/>
  <c r="AR170" i="36"/>
  <c r="AS170" i="36" s="1"/>
  <c r="AR78" i="36"/>
  <c r="AS78" i="36" s="1"/>
  <c r="AR283" i="36"/>
  <c r="AS283" i="36" s="1"/>
  <c r="AR222" i="36"/>
  <c r="AS222" i="36" s="1"/>
  <c r="AR350" i="36"/>
  <c r="AS350" i="36" s="1"/>
  <c r="AR419" i="36"/>
  <c r="AS419" i="36" s="1"/>
  <c r="AR121" i="36"/>
  <c r="AS121" i="36" s="1"/>
  <c r="AR496" i="36"/>
  <c r="AS496" i="36" s="1"/>
  <c r="AR584" i="36"/>
  <c r="AS584" i="36" s="1"/>
  <c r="O8" i="26"/>
  <c r="R8" i="26"/>
  <c r="S8" i="26"/>
  <c r="U8" i="26" s="1"/>
  <c r="P9" i="26"/>
  <c r="Q9" i="26" s="1"/>
  <c r="DN10" i="7"/>
  <c r="DO10" i="7"/>
  <c r="AH19" i="7"/>
  <c r="AE19" i="7"/>
  <c r="BE19" i="7"/>
  <c r="BF19" i="7"/>
  <c r="BU19" i="7"/>
  <c r="BM19" i="7"/>
  <c r="AW19" i="7"/>
  <c r="BN19" i="7"/>
  <c r="AQ19" i="7"/>
  <c r="BV19" i="7"/>
  <c r="AI19" i="7"/>
  <c r="CC19" i="7"/>
  <c r="AG19" i="7"/>
  <c r="AO19" i="7"/>
  <c r="AX19" i="7"/>
  <c r="AU19" i="7"/>
  <c r="CE19" i="7"/>
  <c r="BW19" i="7"/>
  <c r="AJ19" i="7"/>
  <c r="BO19" i="7"/>
  <c r="AR19" i="7"/>
  <c r="AY19" i="7"/>
  <c r="CD19" i="7"/>
  <c r="AM19" i="7"/>
  <c r="AZ19" i="7"/>
  <c r="AP19" i="7"/>
  <c r="BG19" i="7"/>
  <c r="D43" i="28"/>
  <c r="CE18" i="7"/>
  <c r="CE41" i="7" s="1"/>
  <c r="AZ18" i="7"/>
  <c r="AZ41" i="7" s="1"/>
  <c r="AR18" i="7"/>
  <c r="AR41" i="7" s="1"/>
  <c r="BV18" i="7"/>
  <c r="BV41" i="7" s="1"/>
  <c r="AE18" i="7"/>
  <c r="AE41" i="7" s="1"/>
  <c r="BG18" i="7"/>
  <c r="BG41" i="7" s="1"/>
  <c r="AG18" i="7"/>
  <c r="AG41" i="7" s="1"/>
  <c r="AI18" i="7"/>
  <c r="AI41" i="7" s="1"/>
  <c r="BM18" i="7"/>
  <c r="BM41" i="7" s="1"/>
  <c r="BF18" i="7"/>
  <c r="BF41" i="7" s="1"/>
  <c r="AU18" i="7"/>
  <c r="AU41" i="7" s="1"/>
  <c r="AW18" i="7"/>
  <c r="AW41" i="7" s="1"/>
  <c r="BN18" i="7"/>
  <c r="BN41" i="7" s="1"/>
  <c r="BE18" i="7"/>
  <c r="BE41" i="7" s="1"/>
  <c r="BO18" i="7"/>
  <c r="BO41" i="7" s="1"/>
  <c r="BW18" i="7"/>
  <c r="BW41" i="7" s="1"/>
  <c r="CC18" i="7"/>
  <c r="CC41" i="7" s="1"/>
  <c r="AM18" i="7"/>
  <c r="AM41" i="7" s="1"/>
  <c r="CD18" i="7"/>
  <c r="CD41" i="7" s="1"/>
  <c r="AJ18" i="7"/>
  <c r="AJ41" i="7" s="1"/>
  <c r="AO18" i="7"/>
  <c r="AO41" i="7" s="1"/>
  <c r="BU18" i="7"/>
  <c r="BU41" i="7" s="1"/>
  <c r="AX18" i="7"/>
  <c r="AX41" i="7" s="1"/>
  <c r="AP18" i="7"/>
  <c r="AP41" i="7" s="1"/>
  <c r="AH18" i="7"/>
  <c r="AH41" i="7" s="1"/>
  <c r="AY18" i="7"/>
  <c r="AY41" i="7" s="1"/>
  <c r="AQ18" i="7"/>
  <c r="AQ41" i="7" s="1"/>
  <c r="Z25" i="7"/>
  <c r="H14" i="34"/>
  <c r="AO24" i="7"/>
  <c r="CU11" i="7" s="1"/>
  <c r="BU24" i="7"/>
  <c r="EE11" i="7" s="1"/>
  <c r="AJ24" i="7"/>
  <c r="CO11" i="7" s="1"/>
  <c r="BV24" i="7"/>
  <c r="EF11" i="7" s="1"/>
  <c r="AP24" i="7"/>
  <c r="CV11" i="7" s="1"/>
  <c r="CE24" i="7"/>
  <c r="EP11" i="7" s="1"/>
  <c r="AW24" i="7"/>
  <c r="DD11" i="7" s="1"/>
  <c r="AH24" i="7"/>
  <c r="CM11" i="7" s="1"/>
  <c r="BE24" i="7"/>
  <c r="DM11" i="7" s="1"/>
  <c r="AR24" i="7"/>
  <c r="CX11" i="7" s="1"/>
  <c r="CC24" i="7"/>
  <c r="EN11" i="7" s="1"/>
  <c r="AX24" i="7"/>
  <c r="DE11" i="7" s="1"/>
  <c r="BM24" i="7"/>
  <c r="DV11" i="7" s="1"/>
  <c r="BG24" i="7"/>
  <c r="DO11" i="7" s="1"/>
  <c r="AI24" i="7"/>
  <c r="CN11" i="7" s="1"/>
  <c r="AE24" i="7"/>
  <c r="CJ11" i="7" s="1"/>
  <c r="AG24" i="7"/>
  <c r="CL11" i="7" s="1"/>
  <c r="AQ24" i="7"/>
  <c r="CW11" i="7" s="1"/>
  <c r="BW24" i="7"/>
  <c r="EG11" i="7" s="1"/>
  <c r="AU24" i="7"/>
  <c r="DB11" i="7" s="1"/>
  <c r="AY24" i="7"/>
  <c r="DF11" i="7" s="1"/>
  <c r="AM24" i="7"/>
  <c r="CS11" i="7" s="1"/>
  <c r="BO24" i="7"/>
  <c r="DX11" i="7" s="1"/>
  <c r="AZ24" i="7"/>
  <c r="DG11" i="7" s="1"/>
  <c r="BF24" i="7"/>
  <c r="DN11" i="7" s="1"/>
  <c r="CD24" i="7"/>
  <c r="EO11" i="7" s="1"/>
  <c r="BN24" i="7"/>
  <c r="DW11" i="7" s="1"/>
  <c r="BU39" i="7"/>
  <c r="BM39" i="7"/>
  <c r="AY39" i="7"/>
  <c r="CC39" i="7"/>
  <c r="BE39" i="7"/>
  <c r="BW39" i="7"/>
  <c r="AU39" i="7"/>
  <c r="AM39" i="7"/>
  <c r="AZ39" i="7"/>
  <c r="AP39" i="7"/>
  <c r="AO39" i="7"/>
  <c r="CE39" i="7"/>
  <c r="CD39" i="7"/>
  <c r="AX39" i="7"/>
  <c r="AX40" i="7"/>
  <c r="AJ39" i="7"/>
  <c r="AG39" i="7"/>
  <c r="AQ39" i="7"/>
  <c r="AQ40" i="7"/>
  <c r="AH39" i="7"/>
  <c r="BN39" i="7"/>
  <c r="AI39" i="7"/>
  <c r="AW39" i="7"/>
  <c r="AW40" i="7"/>
  <c r="BF39" i="7"/>
  <c r="AE39" i="7"/>
  <c r="AE40" i="7"/>
  <c r="AR39" i="7"/>
  <c r="AR40" i="7"/>
  <c r="BG39" i="7"/>
  <c r="BO39" i="7"/>
  <c r="BV39" i="7"/>
  <c r="AI23" i="7"/>
  <c r="AW23" i="7"/>
  <c r="AG23" i="7"/>
  <c r="D44" i="28"/>
  <c r="BN23" i="7"/>
  <c r="AE23" i="7"/>
  <c r="BU23" i="7"/>
  <c r="AO23" i="7"/>
  <c r="AZ23" i="7"/>
  <c r="CC23" i="7"/>
  <c r="AX23" i="7"/>
  <c r="AR23" i="7"/>
  <c r="AJ23" i="7"/>
  <c r="AY23" i="7"/>
  <c r="BG23" i="7"/>
  <c r="AU23" i="7"/>
  <c r="BV23" i="7"/>
  <c r="BF23" i="7"/>
  <c r="CD23" i="7"/>
  <c r="BO23" i="7"/>
  <c r="AP23" i="7"/>
  <c r="AM23" i="7"/>
  <c r="AH23" i="7"/>
  <c r="BW23" i="7"/>
  <c r="BM23" i="7"/>
  <c r="CE23" i="7"/>
  <c r="AQ23" i="7"/>
  <c r="BE23" i="7"/>
  <c r="L105" i="47"/>
  <c r="V105" i="47" s="1"/>
  <c r="W105" i="47" s="1"/>
  <c r="L99" i="47"/>
  <c r="V99" i="47" s="1"/>
  <c r="W99" i="47" s="1"/>
  <c r="L103" i="47"/>
  <c r="V103" i="47" s="1"/>
  <c r="W103" i="47" s="1"/>
  <c r="L87" i="47"/>
  <c r="V87" i="47" s="1"/>
  <c r="W87" i="47" s="1"/>
  <c r="L115" i="47"/>
  <c r="V115" i="47" s="1"/>
  <c r="W115" i="47" s="1"/>
  <c r="L83" i="47"/>
  <c r="V83" i="47" s="1"/>
  <c r="W83" i="47" s="1"/>
  <c r="L81" i="47"/>
  <c r="V81" i="47" s="1"/>
  <c r="W81" i="47" s="1"/>
  <c r="L109" i="47"/>
  <c r="V109" i="47" s="1"/>
  <c r="W109" i="47" s="1"/>
  <c r="L89" i="47"/>
  <c r="V89" i="47" s="1"/>
  <c r="W89" i="47" s="1"/>
  <c r="L77" i="47"/>
  <c r="V77" i="47" s="1"/>
  <c r="W77" i="47" s="1"/>
  <c r="L101" i="47"/>
  <c r="V101" i="47" s="1"/>
  <c r="W101" i="47" s="1"/>
  <c r="L107" i="47"/>
  <c r="V107" i="47" s="1"/>
  <c r="W107" i="47" s="1"/>
  <c r="L113" i="47"/>
  <c r="V113" i="47" s="1"/>
  <c r="W113" i="47" s="1"/>
  <c r="L117" i="47"/>
  <c r="V117" i="47" s="1"/>
  <c r="W117" i="47" s="1"/>
  <c r="L93" i="47"/>
  <c r="V93" i="47" s="1"/>
  <c r="W93" i="47" s="1"/>
  <c r="L95" i="47"/>
  <c r="V95" i="47" s="1"/>
  <c r="W95" i="47" s="1"/>
  <c r="L85" i="47"/>
  <c r="V85" i="47" s="1"/>
  <c r="W85" i="47" s="1"/>
  <c r="L97" i="47"/>
  <c r="V97" i="47" s="1"/>
  <c r="W97" i="47" s="1"/>
  <c r="L111" i="47"/>
  <c r="V111" i="47" s="1"/>
  <c r="W111" i="47" s="1"/>
  <c r="L91" i="47"/>
  <c r="V91" i="47" s="1"/>
  <c r="W91" i="47" s="1"/>
  <c r="L79" i="47"/>
  <c r="V79" i="47" s="1"/>
  <c r="W79" i="47" s="1"/>
  <c r="E70" i="32"/>
  <c r="H83" i="32" s="1"/>
  <c r="E29" i="46"/>
  <c r="F27" i="46"/>
  <c r="F69" i="32" s="1"/>
  <c r="K23" i="47"/>
  <c r="S23" i="47" s="1"/>
  <c r="T23" i="47" s="1"/>
  <c r="K27" i="47"/>
  <c r="S27" i="47" s="1"/>
  <c r="T27" i="47" s="1"/>
  <c r="K25" i="47"/>
  <c r="S25" i="47" s="1"/>
  <c r="T25" i="47" s="1"/>
  <c r="K31" i="47"/>
  <c r="S31" i="47" s="1"/>
  <c r="T31" i="47" s="1"/>
  <c r="Z31" i="47" s="1"/>
  <c r="Y31" i="47" s="1"/>
  <c r="K29" i="47"/>
  <c r="S29" i="47" s="1"/>
  <c r="T29" i="47" s="1"/>
  <c r="K33" i="47"/>
  <c r="S33" i="47" s="1"/>
  <c r="T33" i="47" s="1"/>
  <c r="K35" i="47"/>
  <c r="S35" i="47" s="1"/>
  <c r="T35" i="47" s="1"/>
  <c r="K39" i="47"/>
  <c r="S39" i="47" s="1"/>
  <c r="T39" i="47" s="1"/>
  <c r="K37" i="47"/>
  <c r="S37" i="47" s="1"/>
  <c r="T37" i="47" s="1"/>
  <c r="K71" i="47"/>
  <c r="S71" i="47" s="1"/>
  <c r="T71" i="47" s="1"/>
  <c r="V84" i="47"/>
  <c r="W84" i="47" s="1"/>
  <c r="Z26" i="47"/>
  <c r="Y26" i="47" s="1"/>
  <c r="AA26" i="47" s="1"/>
  <c r="AB26" i="47" s="1"/>
  <c r="Z24" i="47"/>
  <c r="Y24" i="47" s="1"/>
  <c r="AA24" i="47" s="1"/>
  <c r="AB24" i="47" s="1"/>
  <c r="Z28" i="47"/>
  <c r="Y28" i="47" s="1"/>
  <c r="AA28" i="47" s="1"/>
  <c r="AB28" i="47" s="1"/>
  <c r="V136" i="47"/>
  <c r="W136" i="47" s="1"/>
  <c r="V118" i="47"/>
  <c r="W118" i="47" s="1"/>
  <c r="V114" i="47"/>
  <c r="W114" i="47" s="1"/>
  <c r="V92" i="47"/>
  <c r="W92" i="47" s="1"/>
  <c r="V90" i="47"/>
  <c r="W90" i="47" s="1"/>
  <c r="V66" i="47"/>
  <c r="W66" i="47" s="1"/>
  <c r="V72" i="47"/>
  <c r="W72" i="47" s="1"/>
  <c r="V68" i="47"/>
  <c r="W68" i="47" s="1"/>
  <c r="V38" i="47"/>
  <c r="W38" i="47" s="1"/>
  <c r="V36" i="47"/>
  <c r="W36" i="47" s="1"/>
  <c r="D15" i="32"/>
  <c r="G19" i="27"/>
  <c r="O115" i="32"/>
  <c r="T6" i="31"/>
  <c r="Y6" i="31"/>
  <c r="AC4" i="45"/>
  <c r="AE4" i="45"/>
  <c r="E15" i="45"/>
  <c r="G5" i="6"/>
  <c r="G43" i="2"/>
  <c r="I85" i="7"/>
  <c r="I75" i="7"/>
  <c r="U28" i="2"/>
  <c r="E5" i="6"/>
  <c r="G41" i="2"/>
  <c r="J58" i="7"/>
  <c r="J71" i="7"/>
  <c r="J81" i="7"/>
  <c r="C35" i="2"/>
  <c r="J56" i="7"/>
  <c r="J57" i="7"/>
  <c r="I66" i="7"/>
  <c r="I76" i="7"/>
  <c r="I67" i="7"/>
  <c r="I86" i="7"/>
  <c r="U29" i="2"/>
  <c r="F45" i="2" s="1"/>
  <c r="J5" i="6"/>
  <c r="G46" i="2"/>
  <c r="J77" i="7"/>
  <c r="J87" i="7"/>
  <c r="K77" i="7"/>
  <c r="K87" i="7"/>
  <c r="J84" i="7"/>
  <c r="J65" i="7"/>
  <c r="J74" i="7"/>
  <c r="J63" i="7"/>
  <c r="J64" i="7"/>
  <c r="I58" i="7"/>
  <c r="C34" i="2"/>
  <c r="U24" i="2"/>
  <c r="F40" i="2" s="1"/>
  <c r="I71" i="7"/>
  <c r="I56" i="7"/>
  <c r="I81" i="7"/>
  <c r="I57" i="7"/>
  <c r="X61" i="39"/>
  <c r="F42" i="2"/>
  <c r="L13" i="34"/>
  <c r="M13" i="34"/>
  <c r="J14" i="34" s="1"/>
  <c r="BG123" i="36"/>
  <c r="E218" i="36"/>
  <c r="CH106" i="36"/>
  <c r="BP123" i="36"/>
  <c r="AX125" i="36"/>
  <c r="AX188" i="36"/>
  <c r="N272" i="36"/>
  <c r="E168" i="36"/>
  <c r="AX525" i="36"/>
  <c r="AO291" i="36"/>
  <c r="BP81" i="36"/>
  <c r="CH164" i="36"/>
  <c r="CZ61" i="36"/>
  <c r="BP51" i="36"/>
  <c r="AO178" i="36"/>
  <c r="AX241" i="36"/>
  <c r="E268" i="36"/>
  <c r="W272" i="36"/>
  <c r="BG240" i="36"/>
  <c r="AX174" i="36"/>
  <c r="BG527" i="36"/>
  <c r="AX530" i="36"/>
  <c r="N270" i="36"/>
  <c r="BG525" i="36"/>
  <c r="AF282" i="36"/>
  <c r="AX126" i="36"/>
  <c r="BP127" i="36"/>
  <c r="AX445" i="36"/>
  <c r="AF281" i="36"/>
  <c r="BP53" i="36"/>
  <c r="N271" i="36"/>
  <c r="W331" i="36"/>
  <c r="BP203" i="36"/>
  <c r="AX128" i="36"/>
  <c r="BG85" i="36"/>
  <c r="AF174" i="36"/>
  <c r="W165" i="36"/>
  <c r="N214" i="36"/>
  <c r="BG372" i="36"/>
  <c r="W166" i="36"/>
  <c r="BG526" i="36"/>
  <c r="W268" i="36"/>
  <c r="E217" i="36"/>
  <c r="BG241" i="36"/>
  <c r="CH124" i="36"/>
  <c r="CH121" i="36"/>
  <c r="BP248" i="36"/>
  <c r="BP244" i="36"/>
  <c r="CZ54" i="36"/>
  <c r="BG186" i="36"/>
  <c r="E214" i="36"/>
  <c r="W214" i="36"/>
  <c r="BG128" i="36"/>
  <c r="BG305" i="36"/>
  <c r="BG176" i="36"/>
  <c r="BG124" i="36"/>
  <c r="AX243" i="36"/>
  <c r="E271" i="36"/>
  <c r="AO181" i="36"/>
  <c r="AX242" i="36"/>
  <c r="N166" i="36"/>
  <c r="BG308" i="36"/>
  <c r="E331" i="36"/>
  <c r="AX444" i="36"/>
  <c r="AO234" i="36"/>
  <c r="W170" i="36"/>
  <c r="BG244" i="36"/>
  <c r="W215" i="36"/>
  <c r="AF171" i="36"/>
  <c r="CH166" i="36"/>
  <c r="AX84" i="36"/>
  <c r="AX82" i="36"/>
  <c r="CH190" i="36"/>
  <c r="AO289" i="36"/>
  <c r="CH103" i="36"/>
  <c r="AX305" i="36"/>
  <c r="AX529" i="36"/>
  <c r="BP202" i="36"/>
  <c r="BG126" i="36"/>
  <c r="BG51" i="36"/>
  <c r="BG245" i="36"/>
  <c r="BP156" i="36"/>
  <c r="AX175" i="36"/>
  <c r="CH163" i="36"/>
  <c r="BG307" i="36"/>
  <c r="CH161" i="36"/>
  <c r="AX448" i="36"/>
  <c r="BP124" i="36"/>
  <c r="AF277" i="36"/>
  <c r="BG528" i="36"/>
  <c r="E170" i="36"/>
  <c r="BP297" i="36"/>
  <c r="CH123" i="36"/>
  <c r="W168" i="36"/>
  <c r="AO233" i="36"/>
  <c r="BG445" i="36"/>
  <c r="E166" i="36"/>
  <c r="CH162" i="36"/>
  <c r="BP86" i="36"/>
  <c r="CH86" i="36"/>
  <c r="N331" i="36"/>
  <c r="AX376" i="36"/>
  <c r="N332" i="36"/>
  <c r="AX244" i="36"/>
  <c r="N267" i="36"/>
  <c r="AX86" i="36"/>
  <c r="W271" i="36"/>
  <c r="AX306" i="36"/>
  <c r="AX85" i="36"/>
  <c r="AO355" i="36"/>
  <c r="E332" i="36"/>
  <c r="E165" i="36"/>
  <c r="BG174" i="36"/>
  <c r="AX443" i="36"/>
  <c r="N330" i="36"/>
  <c r="W267" i="36"/>
  <c r="BG529" i="36"/>
  <c r="AF344" i="36"/>
  <c r="BP125" i="36"/>
  <c r="BG187" i="36"/>
  <c r="AX123" i="36"/>
  <c r="E272" i="36"/>
  <c r="BG82" i="36"/>
  <c r="AX308" i="36"/>
  <c r="BP168" i="36"/>
  <c r="BP298" i="36"/>
  <c r="AO180" i="36"/>
  <c r="BG306" i="36"/>
  <c r="AX375" i="36"/>
  <c r="BP128" i="36"/>
  <c r="AX372" i="36"/>
  <c r="CH189" i="36"/>
  <c r="BP171" i="36"/>
  <c r="AO290" i="36"/>
  <c r="AO292" i="36"/>
  <c r="AO229" i="36"/>
  <c r="AF280" i="36"/>
  <c r="CH138" i="36"/>
  <c r="CH102" i="36"/>
  <c r="CH186" i="36"/>
  <c r="AF176" i="36"/>
  <c r="N215" i="36"/>
  <c r="N169" i="36"/>
  <c r="BP205" i="36"/>
  <c r="N213" i="36"/>
  <c r="CH85" i="36"/>
  <c r="AF172" i="36"/>
  <c r="AX51" i="36"/>
  <c r="E169" i="36"/>
  <c r="AO288" i="36"/>
  <c r="AF173" i="36"/>
  <c r="N165" i="36"/>
  <c r="AO231" i="36"/>
  <c r="BP245" i="36"/>
  <c r="AF221" i="36"/>
  <c r="AX526" i="36"/>
  <c r="AX377" i="36"/>
  <c r="AX127" i="36"/>
  <c r="E213" i="36"/>
  <c r="N218" i="36"/>
  <c r="AO356" i="36"/>
  <c r="BG375" i="36"/>
  <c r="BP126" i="36"/>
  <c r="AF279" i="36"/>
  <c r="W269" i="36"/>
  <c r="BP158" i="36"/>
  <c r="CH141" i="36"/>
  <c r="AF226" i="36"/>
  <c r="E269" i="36"/>
  <c r="AX240" i="36"/>
  <c r="AO232" i="36"/>
  <c r="CH105" i="36"/>
  <c r="BG191" i="36"/>
  <c r="BP173" i="36"/>
  <c r="CH187" i="36"/>
  <c r="AX307" i="36"/>
  <c r="CH84" i="36"/>
  <c r="BP204" i="36"/>
  <c r="CZ60" i="36"/>
  <c r="BP169" i="36"/>
  <c r="CH140" i="36"/>
  <c r="N167" i="36"/>
  <c r="CH88" i="36"/>
  <c r="AF225" i="36"/>
  <c r="AX176" i="36"/>
  <c r="AX527" i="36"/>
  <c r="AX191" i="36"/>
  <c r="N217" i="36"/>
  <c r="AO354" i="36"/>
  <c r="N268" i="36"/>
  <c r="BG125" i="36"/>
  <c r="W270" i="36"/>
  <c r="AX52" i="36"/>
  <c r="BG189" i="36"/>
  <c r="BG190" i="36"/>
  <c r="N216" i="36"/>
  <c r="CH89" i="36"/>
  <c r="BG448" i="36"/>
  <c r="AX304" i="36"/>
  <c r="CZ62" i="36"/>
  <c r="AX446" i="36"/>
  <c r="BP172" i="36"/>
  <c r="AF175" i="36"/>
  <c r="BG127" i="36"/>
  <c r="W217" i="36"/>
  <c r="AO287" i="36"/>
  <c r="AX53" i="36"/>
  <c r="E270" i="36"/>
  <c r="BP247" i="36"/>
  <c r="BG530" i="36"/>
  <c r="BP83" i="36"/>
  <c r="AX124" i="36"/>
  <c r="AF343" i="36"/>
  <c r="N168" i="36"/>
  <c r="BG444" i="36"/>
  <c r="BG443" i="36"/>
  <c r="BP201" i="36"/>
  <c r="BP206" i="36"/>
  <c r="AX374" i="36"/>
  <c r="BP85" i="36"/>
  <c r="AX190" i="36"/>
  <c r="AO182" i="36"/>
  <c r="E215" i="36"/>
  <c r="CH87" i="36"/>
  <c r="W216" i="36"/>
  <c r="BG52" i="36"/>
  <c r="AF222" i="36"/>
  <c r="W169" i="36"/>
  <c r="AO230" i="36"/>
  <c r="BP243" i="36"/>
  <c r="BG376" i="36"/>
  <c r="CH191" i="36"/>
  <c r="N269" i="36"/>
  <c r="N170" i="36"/>
  <c r="BG81" i="36"/>
  <c r="CH165" i="36"/>
  <c r="CZ56" i="36"/>
  <c r="BG83" i="36"/>
  <c r="CH107" i="36"/>
  <c r="E330" i="36"/>
  <c r="BP84" i="36"/>
  <c r="E267" i="36"/>
  <c r="AX186" i="36"/>
  <c r="CH104" i="36"/>
  <c r="BG53" i="36"/>
  <c r="AF342" i="36"/>
  <c r="E167" i="36"/>
  <c r="AX187" i="36"/>
  <c r="BG377" i="36"/>
  <c r="BG243" i="36"/>
  <c r="CZ55" i="36"/>
  <c r="E216" i="36"/>
  <c r="BP52" i="36"/>
  <c r="BG242" i="36"/>
  <c r="AF224" i="36"/>
  <c r="AF278" i="36"/>
  <c r="BG175" i="36"/>
  <c r="W213" i="36"/>
  <c r="AX245" i="36"/>
  <c r="CH122" i="36"/>
  <c r="W167" i="36"/>
  <c r="AX373" i="36"/>
  <c r="W332" i="36"/>
  <c r="BG374" i="36"/>
  <c r="AX83" i="36"/>
  <c r="AX528" i="36"/>
  <c r="AO177" i="36"/>
  <c r="AX189" i="36"/>
  <c r="AX447" i="36"/>
  <c r="CH139" i="36"/>
  <c r="BG86" i="36"/>
  <c r="BG446" i="36"/>
  <c r="AX303" i="36"/>
  <c r="W330" i="36"/>
  <c r="BP157" i="36"/>
  <c r="BG373" i="36"/>
  <c r="CH125" i="36"/>
  <c r="BG188" i="36"/>
  <c r="CH188" i="36"/>
  <c r="AF223" i="36"/>
  <c r="BP246" i="36"/>
  <c r="BG447" i="36"/>
  <c r="BP170" i="36"/>
  <c r="BG304" i="36"/>
  <c r="W218" i="36"/>
  <c r="CH120" i="36"/>
  <c r="BG303" i="36"/>
  <c r="AO179" i="36"/>
  <c r="CH142" i="36"/>
  <c r="CH143" i="36"/>
  <c r="BP82" i="36"/>
  <c r="BG84" i="36"/>
  <c r="AX81" i="36"/>
  <c r="BP296" i="36"/>
  <c r="V158" i="37" l="1"/>
  <c r="Y55" i="37"/>
  <c r="X55" i="37"/>
  <c r="W55" i="37"/>
  <c r="U56" i="37"/>
  <c r="V156" i="37"/>
  <c r="V151" i="37"/>
  <c r="R9" i="25"/>
  <c r="AP13" i="25"/>
  <c r="AP12" i="25"/>
  <c r="Z16" i="9" s="1"/>
  <c r="U5" i="25"/>
  <c r="AA14" i="25"/>
  <c r="AA15" i="25" s="1"/>
  <c r="AA16" i="25" s="1"/>
  <c r="AA17" i="25" s="1"/>
  <c r="AA18" i="25" s="1"/>
  <c r="AA19" i="25" s="1"/>
  <c r="AA20" i="25" s="1"/>
  <c r="AA21" i="25" s="1"/>
  <c r="AA22" i="25" s="1"/>
  <c r="AA23" i="25" s="1"/>
  <c r="U6" i="25" s="1"/>
  <c r="BG40" i="7"/>
  <c r="G20" i="43"/>
  <c r="K24" i="31"/>
  <c r="C28" i="10"/>
  <c r="E28" i="10" s="1"/>
  <c r="H28" i="10" s="1"/>
  <c r="J28" i="10" s="1"/>
  <c r="C8" i="43"/>
  <c r="C8" i="32"/>
  <c r="E8" i="32" s="1"/>
  <c r="F8" i="32" s="1"/>
  <c r="C9" i="43"/>
  <c r="F39" i="28"/>
  <c r="C10" i="32" s="1"/>
  <c r="F40" i="28"/>
  <c r="C11" i="43" s="1"/>
  <c r="F41" i="28"/>
  <c r="C12" i="43" s="1"/>
  <c r="BN40" i="7"/>
  <c r="BU40" i="7"/>
  <c r="E12" i="6"/>
  <c r="F12" i="6"/>
  <c r="BV40" i="7"/>
  <c r="AY40" i="7"/>
  <c r="AG40" i="7"/>
  <c r="AH9" i="25"/>
  <c r="AH10" i="25" s="1"/>
  <c r="CD40" i="7"/>
  <c r="BG26" i="7"/>
  <c r="BW27" i="7"/>
  <c r="EG15" i="7" s="1"/>
  <c r="BO40" i="7"/>
  <c r="BU27" i="7"/>
  <c r="EE15" i="7" s="1"/>
  <c r="AU27" i="7"/>
  <c r="DB15" i="7" s="1"/>
  <c r="BN27" i="7"/>
  <c r="DW15" i="7" s="1"/>
  <c r="AJ40" i="7"/>
  <c r="CE27" i="7"/>
  <c r="BM40" i="7"/>
  <c r="AJ27" i="7"/>
  <c r="BM26" i="7"/>
  <c r="BN26" i="7"/>
  <c r="AP26" i="7"/>
  <c r="BF40" i="7"/>
  <c r="CE40" i="7"/>
  <c r="AH40" i="7"/>
  <c r="CC40" i="7"/>
  <c r="AI40" i="7"/>
  <c r="BG27" i="7"/>
  <c r="DO15" i="7" s="1"/>
  <c r="BM27" i="7"/>
  <c r="AI27" i="7"/>
  <c r="AZ27" i="7"/>
  <c r="DG15" i="7" s="1"/>
  <c r="AO27" i="7"/>
  <c r="CU15" i="7" s="1"/>
  <c r="BO27" i="7"/>
  <c r="DX15" i="7" s="1"/>
  <c r="AH27" i="7"/>
  <c r="CM15" i="7" s="1"/>
  <c r="AJ36" i="46"/>
  <c r="C18" i="46"/>
  <c r="F18" i="46" s="1"/>
  <c r="AO40" i="7"/>
  <c r="AZ40" i="7"/>
  <c r="AU40" i="7"/>
  <c r="BE40" i="7"/>
  <c r="C29" i="10"/>
  <c r="E29" i="10" s="1"/>
  <c r="H29" i="10" s="1"/>
  <c r="K29" i="10" s="1"/>
  <c r="AG6" i="31"/>
  <c r="C21" i="43" s="1"/>
  <c r="Q7" i="31"/>
  <c r="R7" i="31" s="1"/>
  <c r="AD39" i="46"/>
  <c r="AF39" i="46" s="1"/>
  <c r="AH38" i="46"/>
  <c r="AJ38" i="46" s="1"/>
  <c r="L13" i="26"/>
  <c r="E13" i="34" s="1"/>
  <c r="F13" i="34"/>
  <c r="H30" i="31"/>
  <c r="M15" i="31"/>
  <c r="H42" i="28"/>
  <c r="C25" i="32" s="1"/>
  <c r="AI26" i="7"/>
  <c r="AZ26" i="7"/>
  <c r="AM40" i="7"/>
  <c r="AX27" i="7"/>
  <c r="DE15" i="7" s="1"/>
  <c r="BE27" i="7"/>
  <c r="DM15" i="7" s="1"/>
  <c r="BV27" i="7"/>
  <c r="EF15" i="7" s="1"/>
  <c r="AR27" i="7"/>
  <c r="CX15" i="7" s="1"/>
  <c r="BF27" i="7"/>
  <c r="DN15" i="7" s="1"/>
  <c r="AP27" i="7"/>
  <c r="CV15" i="7" s="1"/>
  <c r="AG27" i="7"/>
  <c r="CL15" i="7" s="1"/>
  <c r="AQ26" i="7"/>
  <c r="BU26" i="7"/>
  <c r="AM27" i="7"/>
  <c r="CS15" i="7" s="1"/>
  <c r="AQ27" i="7"/>
  <c r="CW15" i="7" s="1"/>
  <c r="CC27" i="7"/>
  <c r="EN15" i="7" s="1"/>
  <c r="AE27" i="7"/>
  <c r="CJ15" i="7" s="1"/>
  <c r="AP40" i="7"/>
  <c r="BW40" i="7"/>
  <c r="BV26" i="7"/>
  <c r="AY26" i="7"/>
  <c r="AJ26" i="7"/>
  <c r="AH26" i="7"/>
  <c r="AG47" i="32"/>
  <c r="AG46" i="32"/>
  <c r="AG50" i="32"/>
  <c r="AG51" i="32" s="1"/>
  <c r="AG52" i="32" s="1"/>
  <c r="AG53" i="32" s="1"/>
  <c r="AG54" i="32" s="1"/>
  <c r="AG55" i="32" s="1"/>
  <c r="AG56" i="32" s="1"/>
  <c r="AG57" i="32" s="1"/>
  <c r="AG58" i="32" s="1"/>
  <c r="AG59" i="32" s="1"/>
  <c r="AG60" i="32" s="1"/>
  <c r="AG61" i="32" s="1"/>
  <c r="AG62" i="32" s="1"/>
  <c r="AG63" i="32" s="1"/>
  <c r="AG64" i="32" s="1"/>
  <c r="AG65" i="32" s="1"/>
  <c r="AG66" i="32" s="1"/>
  <c r="AG67" i="32" s="1"/>
  <c r="AG68" i="32" s="1"/>
  <c r="AG69" i="32" s="1"/>
  <c r="AQ46" i="32"/>
  <c r="AQ47" i="32" s="1"/>
  <c r="AQ48" i="32" s="1"/>
  <c r="AQ49" i="32" s="1"/>
  <c r="AQ50" i="32" s="1"/>
  <c r="AQ51" i="32" s="1"/>
  <c r="AQ52" i="32" s="1"/>
  <c r="AQ53" i="32" s="1"/>
  <c r="AQ54" i="32" s="1"/>
  <c r="AQ55" i="32" s="1"/>
  <c r="AQ56" i="32" s="1"/>
  <c r="AQ57" i="32" s="1"/>
  <c r="AQ58" i="32" s="1"/>
  <c r="AQ59" i="32" s="1"/>
  <c r="AQ60" i="32" s="1"/>
  <c r="AQ61" i="32" s="1"/>
  <c r="AQ62" i="32" s="1"/>
  <c r="AQ63" i="32" s="1"/>
  <c r="AQ64" i="32" s="1"/>
  <c r="AQ65" i="32" s="1"/>
  <c r="AQ66" i="32" s="1"/>
  <c r="AQ67" i="32" s="1"/>
  <c r="AQ68" i="32" s="1"/>
  <c r="AQ69" i="32" s="1"/>
  <c r="AG48" i="32"/>
  <c r="W46" i="32"/>
  <c r="W47" i="32" s="1"/>
  <c r="W48" i="32" s="1"/>
  <c r="W49" i="32" s="1"/>
  <c r="W50" i="32" s="1"/>
  <c r="W51" i="32" s="1"/>
  <c r="W52" i="32" s="1"/>
  <c r="W53" i="32" s="1"/>
  <c r="W54" i="32" s="1"/>
  <c r="W55" i="32" s="1"/>
  <c r="W56" i="32" s="1"/>
  <c r="W57" i="32" s="1"/>
  <c r="W58" i="32" s="1"/>
  <c r="W59" i="32" s="1"/>
  <c r="W60" i="32" s="1"/>
  <c r="W61" i="32" s="1"/>
  <c r="W62" i="32" s="1"/>
  <c r="W63" i="32" s="1"/>
  <c r="W64" i="32" s="1"/>
  <c r="W65" i="32" s="1"/>
  <c r="W66" i="32" s="1"/>
  <c r="W67" i="32" s="1"/>
  <c r="W68" i="32" s="1"/>
  <c r="W69" i="32" s="1"/>
  <c r="C42" i="32"/>
  <c r="E42" i="32" s="1"/>
  <c r="AG49" i="32"/>
  <c r="G36" i="29"/>
  <c r="I12" i="6"/>
  <c r="J12" i="6"/>
  <c r="K40" i="47"/>
  <c r="S40" i="47" s="1"/>
  <c r="T40" i="47" s="1"/>
  <c r="Z40" i="47" s="1"/>
  <c r="Y40" i="47" s="1"/>
  <c r="AA40" i="47" s="1"/>
  <c r="AB40" i="47" s="1"/>
  <c r="K38" i="47"/>
  <c r="S38" i="47" s="1"/>
  <c r="T38" i="47" s="1"/>
  <c r="Z38" i="47" s="1"/>
  <c r="K32" i="47"/>
  <c r="S32" i="47" s="1"/>
  <c r="T32" i="47" s="1"/>
  <c r="Z32" i="47" s="1"/>
  <c r="Y32" i="47" s="1"/>
  <c r="AA32" i="47" s="1"/>
  <c r="AB32" i="47" s="1"/>
  <c r="K30" i="47"/>
  <c r="S30" i="47" s="1"/>
  <c r="T30" i="47" s="1"/>
  <c r="Z30" i="47" s="1"/>
  <c r="Y30" i="47" s="1"/>
  <c r="AA30" i="47" s="1"/>
  <c r="AB30" i="47" s="1"/>
  <c r="K36" i="47"/>
  <c r="S36" i="47" s="1"/>
  <c r="T36" i="47" s="1"/>
  <c r="Z36" i="47" s="1"/>
  <c r="Y36" i="47" s="1"/>
  <c r="AA36" i="47" s="1"/>
  <c r="AB36" i="47" s="1"/>
  <c r="K34" i="47"/>
  <c r="S34" i="47" s="1"/>
  <c r="T34" i="47" s="1"/>
  <c r="Z34" i="47" s="1"/>
  <c r="Y34" i="47" s="1"/>
  <c r="AA34" i="47" s="1"/>
  <c r="AB34" i="47" s="1"/>
  <c r="L16" i="47"/>
  <c r="C78" i="47" s="1"/>
  <c r="H33" i="29"/>
  <c r="AF46" i="32"/>
  <c r="AF47" i="32"/>
  <c r="AF48" i="32" s="1"/>
  <c r="AF49" i="32" s="1"/>
  <c r="AF50" i="32" s="1"/>
  <c r="AF51" i="32" s="1"/>
  <c r="AF52" i="32" s="1"/>
  <c r="AF53" i="32" s="1"/>
  <c r="AF54" i="32" s="1"/>
  <c r="AF55" i="32" s="1"/>
  <c r="AF56" i="32" s="1"/>
  <c r="AF57" i="32" s="1"/>
  <c r="AF58" i="32" s="1"/>
  <c r="AF59" i="32" s="1"/>
  <c r="AF60" i="32" s="1"/>
  <c r="AF61" i="32" s="1"/>
  <c r="AF62" i="32" s="1"/>
  <c r="AF63" i="32" s="1"/>
  <c r="AF64" i="32" s="1"/>
  <c r="AF65" i="32" s="1"/>
  <c r="AF66" i="32" s="1"/>
  <c r="AF67" i="32" s="1"/>
  <c r="AF68" i="32" s="1"/>
  <c r="AF69" i="32" s="1"/>
  <c r="AP46" i="32"/>
  <c r="AP47" i="32" s="1"/>
  <c r="AP48" i="32" s="1"/>
  <c r="AP49" i="32" s="1"/>
  <c r="AP50" i="32" s="1"/>
  <c r="AP51" i="32" s="1"/>
  <c r="AP52" i="32" s="1"/>
  <c r="AP53" i="32" s="1"/>
  <c r="AP54" i="32" s="1"/>
  <c r="AP55" i="32" s="1"/>
  <c r="AP56" i="32" s="1"/>
  <c r="AP57" i="32" s="1"/>
  <c r="AP58" i="32" s="1"/>
  <c r="AP59" i="32" s="1"/>
  <c r="AP60" i="32" s="1"/>
  <c r="AP61" i="32" s="1"/>
  <c r="AP62" i="32" s="1"/>
  <c r="AP63" i="32" s="1"/>
  <c r="AP64" i="32" s="1"/>
  <c r="AP65" i="32" s="1"/>
  <c r="AP66" i="32" s="1"/>
  <c r="AP67" i="32" s="1"/>
  <c r="AP68" i="32" s="1"/>
  <c r="AP69" i="32" s="1"/>
  <c r="V48" i="32"/>
  <c r="V49" i="32" s="1"/>
  <c r="V50" i="32" s="1"/>
  <c r="V51" i="32" s="1"/>
  <c r="V52" i="32" s="1"/>
  <c r="V53" i="32" s="1"/>
  <c r="V54" i="32" s="1"/>
  <c r="V55" i="32" s="1"/>
  <c r="V56" i="32" s="1"/>
  <c r="V57" i="32" s="1"/>
  <c r="V58" i="32" s="1"/>
  <c r="V59" i="32" s="1"/>
  <c r="V60" i="32" s="1"/>
  <c r="V61" i="32" s="1"/>
  <c r="V62" i="32" s="1"/>
  <c r="V63" i="32" s="1"/>
  <c r="V64" i="32" s="1"/>
  <c r="V65" i="32" s="1"/>
  <c r="V66" i="32" s="1"/>
  <c r="V67" i="32" s="1"/>
  <c r="V68" i="32" s="1"/>
  <c r="V69" i="32" s="1"/>
  <c r="V47" i="32"/>
  <c r="G35" i="29"/>
  <c r="C41" i="32"/>
  <c r="E41" i="32" s="1"/>
  <c r="V46" i="32"/>
  <c r="AG24" i="6"/>
  <c r="D90" i="6" s="1"/>
  <c r="AG28" i="6"/>
  <c r="D94" i="6" s="1"/>
  <c r="AG26" i="6"/>
  <c r="D92" i="6" s="1"/>
  <c r="AN19" i="32"/>
  <c r="AD19" i="32"/>
  <c r="T20" i="32"/>
  <c r="T21" i="32" s="1"/>
  <c r="T22" i="32" s="1"/>
  <c r="T23" i="32" s="1"/>
  <c r="T24" i="32" s="1"/>
  <c r="T25" i="32" s="1"/>
  <c r="T26" i="32" s="1"/>
  <c r="T27" i="32" s="1"/>
  <c r="T28" i="32" s="1"/>
  <c r="T29" i="32" s="1"/>
  <c r="T30" i="32" s="1"/>
  <c r="T31" i="32" s="1"/>
  <c r="T32" i="32" s="1"/>
  <c r="T33" i="32" s="1"/>
  <c r="T34" i="32" s="1"/>
  <c r="T35" i="32" s="1"/>
  <c r="T36" i="32" s="1"/>
  <c r="T37" i="32" s="1"/>
  <c r="T38" i="32" s="1"/>
  <c r="T39" i="32" s="1"/>
  <c r="T40" i="32" s="1"/>
  <c r="T41" i="32" s="1"/>
  <c r="T42" i="32" s="1"/>
  <c r="AD20" i="32"/>
  <c r="AD21" i="32"/>
  <c r="AD22" i="32" s="1"/>
  <c r="AD23" i="32" s="1"/>
  <c r="AD24" i="32" s="1"/>
  <c r="AD25" i="32" s="1"/>
  <c r="AD26" i="32" s="1"/>
  <c r="AD27" i="32" s="1"/>
  <c r="AD28" i="32" s="1"/>
  <c r="AD29" i="32" s="1"/>
  <c r="AD30" i="32" s="1"/>
  <c r="AD31" i="32" s="1"/>
  <c r="AD32" i="32" s="1"/>
  <c r="AD33" i="32" s="1"/>
  <c r="AD34" i="32" s="1"/>
  <c r="AD35" i="32" s="1"/>
  <c r="AD36" i="32" s="1"/>
  <c r="AD37" i="32" s="1"/>
  <c r="AD38" i="32" s="1"/>
  <c r="AD39" i="32" s="1"/>
  <c r="AD40" i="32" s="1"/>
  <c r="AD41" i="32" s="1"/>
  <c r="AD42" i="32" s="1"/>
  <c r="AN20" i="32"/>
  <c r="AN21" i="32" s="1"/>
  <c r="AN22" i="32" s="1"/>
  <c r="AN23" i="32" s="1"/>
  <c r="AN24" i="32" s="1"/>
  <c r="AN25" i="32" s="1"/>
  <c r="AN26" i="32" s="1"/>
  <c r="AN27" i="32" s="1"/>
  <c r="AN28" i="32" s="1"/>
  <c r="AN29" i="32" s="1"/>
  <c r="AN30" i="32" s="1"/>
  <c r="AN31" i="32" s="1"/>
  <c r="AN32" i="32" s="1"/>
  <c r="AN33" i="32" s="1"/>
  <c r="AN34" i="32" s="1"/>
  <c r="AN35" i="32" s="1"/>
  <c r="AN36" i="32" s="1"/>
  <c r="AN37" i="32" s="1"/>
  <c r="AN38" i="32" s="1"/>
  <c r="AN39" i="32" s="1"/>
  <c r="AN40" i="32" s="1"/>
  <c r="AN41" i="32" s="1"/>
  <c r="AN42" i="32" s="1"/>
  <c r="E9" i="32"/>
  <c r="F9" i="32" s="1"/>
  <c r="T19" i="32"/>
  <c r="AC19" i="32"/>
  <c r="AC20" i="32" s="1"/>
  <c r="AC21" i="32" s="1"/>
  <c r="AC22" i="32" s="1"/>
  <c r="AC23" i="32" s="1"/>
  <c r="AC24" i="32" s="1"/>
  <c r="AC25" i="32" s="1"/>
  <c r="AC26" i="32" s="1"/>
  <c r="AC27" i="32" s="1"/>
  <c r="AC28" i="32" s="1"/>
  <c r="AC29" i="32" s="1"/>
  <c r="AC30" i="32" s="1"/>
  <c r="AC31" i="32" s="1"/>
  <c r="AC32" i="32" s="1"/>
  <c r="AC33" i="32" s="1"/>
  <c r="AC34" i="32" s="1"/>
  <c r="AC35" i="32" s="1"/>
  <c r="AC36" i="32" s="1"/>
  <c r="AC37" i="32" s="1"/>
  <c r="AC38" i="32" s="1"/>
  <c r="AC39" i="32" s="1"/>
  <c r="AC40" i="32" s="1"/>
  <c r="AC41" i="32" s="1"/>
  <c r="AC42" i="32" s="1"/>
  <c r="S19" i="32"/>
  <c r="S20" i="32" s="1"/>
  <c r="S21" i="32" s="1"/>
  <c r="S22" i="32" s="1"/>
  <c r="S23" i="32" s="1"/>
  <c r="S24" i="32" s="1"/>
  <c r="S25" i="32" s="1"/>
  <c r="S26" i="32" s="1"/>
  <c r="S27" i="32" s="1"/>
  <c r="S28" i="32" s="1"/>
  <c r="S29" i="32" s="1"/>
  <c r="S30" i="32" s="1"/>
  <c r="S31" i="32" s="1"/>
  <c r="S32" i="32" s="1"/>
  <c r="S33" i="32" s="1"/>
  <c r="S34" i="32" s="1"/>
  <c r="S35" i="32" s="1"/>
  <c r="S36" i="32" s="1"/>
  <c r="S37" i="32" s="1"/>
  <c r="S38" i="32" s="1"/>
  <c r="S39" i="32" s="1"/>
  <c r="S40" i="32" s="1"/>
  <c r="S41" i="32" s="1"/>
  <c r="S42" i="32" s="1"/>
  <c r="H43" i="28"/>
  <c r="C26" i="32" s="1"/>
  <c r="C44" i="32" s="1"/>
  <c r="E44" i="32" s="1"/>
  <c r="M16" i="31"/>
  <c r="H31" i="31"/>
  <c r="AG27" i="6"/>
  <c r="D93" i="6" s="1"/>
  <c r="AG25" i="6"/>
  <c r="D91" i="6" s="1"/>
  <c r="AG21" i="6"/>
  <c r="D87" i="6" s="1"/>
  <c r="AG22" i="6"/>
  <c r="D88" i="6" s="1"/>
  <c r="CE26" i="7"/>
  <c r="CD26" i="7"/>
  <c r="AE26" i="7"/>
  <c r="AB19" i="32"/>
  <c r="AB20" i="32" s="1"/>
  <c r="AB21" i="32" s="1"/>
  <c r="AB22" i="32" s="1"/>
  <c r="AB23" i="32" s="1"/>
  <c r="AB24" i="32" s="1"/>
  <c r="AB25" i="32" s="1"/>
  <c r="AB26" i="32" s="1"/>
  <c r="AB27" i="32" s="1"/>
  <c r="AB28" i="32" s="1"/>
  <c r="AB29" i="32" s="1"/>
  <c r="AB30" i="32" s="1"/>
  <c r="AB31" i="32" s="1"/>
  <c r="AB32" i="32" s="1"/>
  <c r="AB33" i="32" s="1"/>
  <c r="AB34" i="32" s="1"/>
  <c r="AB35" i="32" s="1"/>
  <c r="AB36" i="32" s="1"/>
  <c r="AB37" i="32" s="1"/>
  <c r="AB38" i="32" s="1"/>
  <c r="AB39" i="32" s="1"/>
  <c r="AB40" i="32" s="1"/>
  <c r="AB41" i="32" s="1"/>
  <c r="AB42" i="32" s="1"/>
  <c r="AL19" i="32"/>
  <c r="AL20" i="32" s="1"/>
  <c r="AL21" i="32" s="1"/>
  <c r="AL22" i="32" s="1"/>
  <c r="AL23" i="32" s="1"/>
  <c r="AL24" i="32" s="1"/>
  <c r="AL25" i="32" s="1"/>
  <c r="AL26" i="32" s="1"/>
  <c r="AL27" i="32" s="1"/>
  <c r="AL28" i="32" s="1"/>
  <c r="AL29" i="32" s="1"/>
  <c r="AL30" i="32" s="1"/>
  <c r="AL31" i="32" s="1"/>
  <c r="AL32" i="32" s="1"/>
  <c r="AL33" i="32" s="1"/>
  <c r="AL34" i="32" s="1"/>
  <c r="AL35" i="32" s="1"/>
  <c r="AL36" i="32" s="1"/>
  <c r="AL37" i="32" s="1"/>
  <c r="AL38" i="32" s="1"/>
  <c r="AL39" i="32" s="1"/>
  <c r="AL40" i="32" s="1"/>
  <c r="AL41" i="32" s="1"/>
  <c r="AL42" i="32" s="1"/>
  <c r="R19" i="32"/>
  <c r="R20" i="32" s="1"/>
  <c r="R21" i="32" s="1"/>
  <c r="R22" i="32" s="1"/>
  <c r="R23" i="32" s="1"/>
  <c r="R24" i="32" s="1"/>
  <c r="R25" i="32" s="1"/>
  <c r="R26" i="32" s="1"/>
  <c r="R27" i="32" s="1"/>
  <c r="R28" i="32" s="1"/>
  <c r="R29" i="32" s="1"/>
  <c r="R30" i="32" s="1"/>
  <c r="R31" i="32" s="1"/>
  <c r="R32" i="32" s="1"/>
  <c r="R33" i="32" s="1"/>
  <c r="R34" i="32" s="1"/>
  <c r="R35" i="32" s="1"/>
  <c r="R36" i="32" s="1"/>
  <c r="R37" i="32" s="1"/>
  <c r="R38" i="32" s="1"/>
  <c r="R39" i="32" s="1"/>
  <c r="R40" i="32" s="1"/>
  <c r="R41" i="32" s="1"/>
  <c r="R42" i="32" s="1"/>
  <c r="E7" i="32"/>
  <c r="F7" i="32" s="1"/>
  <c r="K41" i="47"/>
  <c r="K53" i="47"/>
  <c r="K44" i="47"/>
  <c r="K56" i="47"/>
  <c r="K50" i="47"/>
  <c r="K47" i="47"/>
  <c r="T9" i="25"/>
  <c r="AP22" i="25"/>
  <c r="Z26" i="9" s="1"/>
  <c r="AP32" i="25"/>
  <c r="Z36" i="9" s="1"/>
  <c r="AP33" i="25"/>
  <c r="Z37" i="9" s="1"/>
  <c r="AP21" i="25"/>
  <c r="Z25" i="9" s="1"/>
  <c r="AP31" i="25"/>
  <c r="Z35" i="9" s="1"/>
  <c r="AP11" i="25"/>
  <c r="Z15" i="9" s="1"/>
  <c r="AP23" i="25"/>
  <c r="Z27" i="9" s="1"/>
  <c r="Z17" i="9"/>
  <c r="H32" i="29"/>
  <c r="L15" i="47"/>
  <c r="C77" i="47" s="1"/>
  <c r="K52" i="47"/>
  <c r="K46" i="47"/>
  <c r="K58" i="47"/>
  <c r="K49" i="47"/>
  <c r="K55" i="47"/>
  <c r="K43" i="47"/>
  <c r="AR26" i="7"/>
  <c r="K62" i="47"/>
  <c r="S62" i="47" s="1"/>
  <c r="T62" i="47" s="1"/>
  <c r="Z62" i="47" s="1"/>
  <c r="Y62" i="47" s="1"/>
  <c r="AA62" i="47" s="1"/>
  <c r="AB62" i="47" s="1"/>
  <c r="K68" i="47"/>
  <c r="S68" i="47" s="1"/>
  <c r="T68" i="47" s="1"/>
  <c r="Z68" i="47" s="1"/>
  <c r="K92" i="47"/>
  <c r="S92" i="47" s="1"/>
  <c r="T92" i="47" s="1"/>
  <c r="Z92" i="47" s="1"/>
  <c r="K64" i="47"/>
  <c r="S64" i="47" s="1"/>
  <c r="T64" i="47" s="1"/>
  <c r="Z64" i="47" s="1"/>
  <c r="Y64" i="47" s="1"/>
  <c r="AA64" i="47" s="1"/>
  <c r="AB64" i="47" s="1"/>
  <c r="K94" i="47"/>
  <c r="S94" i="47" s="1"/>
  <c r="T94" i="47" s="1"/>
  <c r="Z94" i="47" s="1"/>
  <c r="Y94" i="47" s="1"/>
  <c r="AA94" i="47" s="1"/>
  <c r="AB94" i="47" s="1"/>
  <c r="K66" i="47"/>
  <c r="S66" i="47" s="1"/>
  <c r="T66" i="47" s="1"/>
  <c r="Z66" i="47" s="1"/>
  <c r="K90" i="47"/>
  <c r="S90" i="47" s="1"/>
  <c r="T90" i="47" s="1"/>
  <c r="Z90" i="47" s="1"/>
  <c r="K76" i="47"/>
  <c r="S76" i="47" s="1"/>
  <c r="T76" i="47" s="1"/>
  <c r="Z76" i="47" s="1"/>
  <c r="Y76" i="47" s="1"/>
  <c r="AA76" i="47" s="1"/>
  <c r="AB76" i="47" s="1"/>
  <c r="K86" i="47"/>
  <c r="S86" i="47" s="1"/>
  <c r="T86" i="47" s="1"/>
  <c r="Z86" i="47" s="1"/>
  <c r="Y86" i="47" s="1"/>
  <c r="AA86" i="47" s="1"/>
  <c r="AB86" i="47" s="1"/>
  <c r="K84" i="47"/>
  <c r="S84" i="47" s="1"/>
  <c r="T84" i="47" s="1"/>
  <c r="Z84" i="47" s="1"/>
  <c r="Y84" i="47" s="1"/>
  <c r="AA84" i="47" s="1"/>
  <c r="AB84" i="47" s="1"/>
  <c r="K72" i="47"/>
  <c r="S72" i="47" s="1"/>
  <c r="T72" i="47" s="1"/>
  <c r="Z72" i="47" s="1"/>
  <c r="Y72" i="47" s="1"/>
  <c r="AA72" i="47" s="1"/>
  <c r="AB72" i="47" s="1"/>
  <c r="K70" i="47"/>
  <c r="S70" i="47" s="1"/>
  <c r="T70" i="47" s="1"/>
  <c r="Z70" i="47" s="1"/>
  <c r="Y70" i="47" s="1"/>
  <c r="AA70" i="47" s="1"/>
  <c r="AB70" i="47" s="1"/>
  <c r="K82" i="47"/>
  <c r="S82" i="47" s="1"/>
  <c r="T82" i="47" s="1"/>
  <c r="Z82" i="47" s="1"/>
  <c r="Y82" i="47" s="1"/>
  <c r="AA82" i="47" s="1"/>
  <c r="AB82" i="47" s="1"/>
  <c r="K60" i="47"/>
  <c r="S60" i="47" s="1"/>
  <c r="T60" i="47" s="1"/>
  <c r="Z60" i="47" s="1"/>
  <c r="Y60" i="47" s="1"/>
  <c r="AA60" i="47" s="1"/>
  <c r="AB60" i="47" s="1"/>
  <c r="K74" i="47"/>
  <c r="S74" i="47" s="1"/>
  <c r="T74" i="47" s="1"/>
  <c r="Z74" i="47" s="1"/>
  <c r="Y74" i="47" s="1"/>
  <c r="AA74" i="47" s="1"/>
  <c r="AB74" i="47" s="1"/>
  <c r="K80" i="47"/>
  <c r="S80" i="47" s="1"/>
  <c r="T80" i="47" s="1"/>
  <c r="Z80" i="47" s="1"/>
  <c r="Y80" i="47" s="1"/>
  <c r="AA80" i="47" s="1"/>
  <c r="AB80" i="47" s="1"/>
  <c r="K88" i="47"/>
  <c r="S88" i="47" s="1"/>
  <c r="T88" i="47" s="1"/>
  <c r="Z88" i="47" s="1"/>
  <c r="Y88" i="47" s="1"/>
  <c r="AA88" i="47" s="1"/>
  <c r="AB88" i="47" s="1"/>
  <c r="K78" i="47"/>
  <c r="S78" i="47" s="1"/>
  <c r="T78" i="47" s="1"/>
  <c r="Z78" i="47" s="1"/>
  <c r="Y78" i="47" s="1"/>
  <c r="AA78" i="47" s="1"/>
  <c r="AB78" i="47" s="1"/>
  <c r="L14" i="26"/>
  <c r="E14" i="34" s="1"/>
  <c r="F14" i="34"/>
  <c r="CD27" i="7"/>
  <c r="EO15" i="7" s="1"/>
  <c r="CC26" i="7"/>
  <c r="AO26" i="7"/>
  <c r="BE26" i="7"/>
  <c r="L15" i="26"/>
  <c r="E15" i="34" s="1"/>
  <c r="F15" i="34"/>
  <c r="X45" i="25"/>
  <c r="Y44" i="25"/>
  <c r="Z44" i="25" s="1"/>
  <c r="G34" i="29"/>
  <c r="C40" i="32"/>
  <c r="E40" i="32" s="1"/>
  <c r="AO46" i="32"/>
  <c r="AO47" i="32" s="1"/>
  <c r="AO48" i="32" s="1"/>
  <c r="AO49" i="32" s="1"/>
  <c r="AO50" i="32" s="1"/>
  <c r="AO51" i="32" s="1"/>
  <c r="AO52" i="32" s="1"/>
  <c r="AO53" i="32" s="1"/>
  <c r="AO54" i="32" s="1"/>
  <c r="AO55" i="32" s="1"/>
  <c r="AO56" i="32" s="1"/>
  <c r="AO57" i="32" s="1"/>
  <c r="AO58" i="32" s="1"/>
  <c r="AO59" i="32" s="1"/>
  <c r="AO60" i="32" s="1"/>
  <c r="AO61" i="32" s="1"/>
  <c r="AO62" i="32" s="1"/>
  <c r="AO63" i="32" s="1"/>
  <c r="AO64" i="32" s="1"/>
  <c r="AO65" i="32" s="1"/>
  <c r="AO66" i="32" s="1"/>
  <c r="AO67" i="32" s="1"/>
  <c r="AO68" i="32" s="1"/>
  <c r="AO69" i="32" s="1"/>
  <c r="AE46" i="32"/>
  <c r="AE47" i="32" s="1"/>
  <c r="AE48" i="32" s="1"/>
  <c r="AE49" i="32" s="1"/>
  <c r="AE50" i="32" s="1"/>
  <c r="AE51" i="32" s="1"/>
  <c r="AE52" i="32" s="1"/>
  <c r="AE53" i="32" s="1"/>
  <c r="AE54" i="32" s="1"/>
  <c r="AE55" i="32" s="1"/>
  <c r="AE56" i="32" s="1"/>
  <c r="AE57" i="32" s="1"/>
  <c r="AE58" i="32" s="1"/>
  <c r="AE59" i="32" s="1"/>
  <c r="AE60" i="32" s="1"/>
  <c r="AE61" i="32" s="1"/>
  <c r="AE62" i="32" s="1"/>
  <c r="AE63" i="32" s="1"/>
  <c r="AE64" i="32" s="1"/>
  <c r="AE65" i="32" s="1"/>
  <c r="AE66" i="32" s="1"/>
  <c r="AE67" i="32" s="1"/>
  <c r="AE68" i="32" s="1"/>
  <c r="AE69" i="32" s="1"/>
  <c r="U46" i="32"/>
  <c r="U47" i="32" s="1"/>
  <c r="U48" i="32" s="1"/>
  <c r="U49" i="32" s="1"/>
  <c r="U50" i="32" s="1"/>
  <c r="U51" i="32" s="1"/>
  <c r="U52" i="32" s="1"/>
  <c r="U53" i="32" s="1"/>
  <c r="U54" i="32" s="1"/>
  <c r="U55" i="32" s="1"/>
  <c r="U56" i="32" s="1"/>
  <c r="U57" i="32" s="1"/>
  <c r="U58" i="32" s="1"/>
  <c r="U59" i="32" s="1"/>
  <c r="U60" i="32" s="1"/>
  <c r="U61" i="32" s="1"/>
  <c r="U62" i="32" s="1"/>
  <c r="U63" i="32" s="1"/>
  <c r="U64" i="32" s="1"/>
  <c r="U65" i="32" s="1"/>
  <c r="U66" i="32" s="1"/>
  <c r="U67" i="32" s="1"/>
  <c r="U68" i="32" s="1"/>
  <c r="U69" i="32" s="1"/>
  <c r="M17" i="31"/>
  <c r="H32" i="31"/>
  <c r="H44" i="28"/>
  <c r="C27" i="32" s="1"/>
  <c r="C45" i="32" s="1"/>
  <c r="E45" i="32" s="1"/>
  <c r="AG26" i="7"/>
  <c r="AM26" i="7"/>
  <c r="AX26" i="7"/>
  <c r="G12" i="6"/>
  <c r="H12" i="6"/>
  <c r="AY27" i="7"/>
  <c r="DF15" i="7" s="1"/>
  <c r="BW26" i="7"/>
  <c r="BF26" i="7"/>
  <c r="AU26" i="7"/>
  <c r="D21" i="27"/>
  <c r="C48" i="27"/>
  <c r="Q20" i="27"/>
  <c r="R21" i="27"/>
  <c r="K45" i="47"/>
  <c r="K57" i="47"/>
  <c r="K48" i="47"/>
  <c r="K54" i="47"/>
  <c r="K51" i="47"/>
  <c r="K42" i="47"/>
  <c r="AW26" i="7"/>
  <c r="D46" i="27"/>
  <c r="D104" i="27" s="1"/>
  <c r="F104" i="27" s="1"/>
  <c r="C105" i="27"/>
  <c r="D57" i="45"/>
  <c r="D120" i="27"/>
  <c r="E119" i="27"/>
  <c r="E57" i="45" s="1"/>
  <c r="AG20" i="6"/>
  <c r="D86" i="6" s="1"/>
  <c r="AG19" i="6"/>
  <c r="D85" i="6" s="1"/>
  <c r="AG23" i="6"/>
  <c r="D89" i="6" s="1"/>
  <c r="J25" i="10"/>
  <c r="K25" i="10"/>
  <c r="J24" i="10"/>
  <c r="K24" i="10"/>
  <c r="J26" i="10"/>
  <c r="K26" i="10"/>
  <c r="J27" i="10"/>
  <c r="K27" i="10"/>
  <c r="AX6" i="26"/>
  <c r="AY6" i="26"/>
  <c r="BI6" i="26"/>
  <c r="H20" i="43"/>
  <c r="I20" i="43" s="1"/>
  <c r="W6" i="31"/>
  <c r="Z6" i="31" s="1"/>
  <c r="AA6" i="31" s="1"/>
  <c r="AH6" i="31" s="1"/>
  <c r="C17" i="46"/>
  <c r="AA4" i="31"/>
  <c r="AH4" i="31" s="1"/>
  <c r="AA5" i="31"/>
  <c r="AH5" i="31" s="1"/>
  <c r="AI4" i="46"/>
  <c r="AI5" i="46" s="1"/>
  <c r="AI6" i="46" s="1"/>
  <c r="C16" i="46"/>
  <c r="Z23" i="47"/>
  <c r="Y23" i="47" s="1"/>
  <c r="AG38" i="46"/>
  <c r="Z29" i="47"/>
  <c r="Y29" i="47" s="1"/>
  <c r="Z37" i="47"/>
  <c r="Y37" i="47" s="1"/>
  <c r="BZ5" i="24"/>
  <c r="AW5" i="24" s="1"/>
  <c r="CA5" i="24"/>
  <c r="AX5" i="24" s="1"/>
  <c r="AV5" i="24"/>
  <c r="AV15" i="24"/>
  <c r="CA15" i="24"/>
  <c r="AX15" i="24" s="1"/>
  <c r="BZ15" i="24"/>
  <c r="AW15" i="24" s="1"/>
  <c r="BZ26" i="24"/>
  <c r="AW26" i="24" s="1"/>
  <c r="AV26" i="24"/>
  <c r="CA26" i="24"/>
  <c r="AX26" i="24" s="1"/>
  <c r="BZ16" i="24"/>
  <c r="AW16" i="24" s="1"/>
  <c r="CA16" i="24"/>
  <c r="AX16" i="24" s="1"/>
  <c r="AV16" i="24"/>
  <c r="BZ6" i="24"/>
  <c r="AW6" i="24" s="1"/>
  <c r="CA6" i="24"/>
  <c r="AX6" i="24" s="1"/>
  <c r="AV6" i="24"/>
  <c r="AS16" i="35"/>
  <c r="AR14" i="35"/>
  <c r="BD16" i="35"/>
  <c r="AR15" i="35"/>
  <c r="BD15" i="35"/>
  <c r="AE14" i="35"/>
  <c r="BF16" i="35"/>
  <c r="BE16" i="35"/>
  <c r="AQ15" i="35"/>
  <c r="AR16" i="35"/>
  <c r="AQ16" i="35"/>
  <c r="AF15" i="35"/>
  <c r="BF15" i="35"/>
  <c r="BE15" i="35"/>
  <c r="AS15" i="35"/>
  <c r="AD15" i="35"/>
  <c r="AE15" i="35"/>
  <c r="AS14" i="35"/>
  <c r="BE14" i="35"/>
  <c r="AQ14" i="35"/>
  <c r="BF14" i="35"/>
  <c r="AF14" i="35"/>
  <c r="BD14" i="35"/>
  <c r="AD14" i="35"/>
  <c r="BZ25" i="24"/>
  <c r="AW25" i="24" s="1"/>
  <c r="AV25" i="24"/>
  <c r="CA25" i="24"/>
  <c r="AX25" i="24" s="1"/>
  <c r="Z39" i="47"/>
  <c r="Y39" i="47" s="1"/>
  <c r="Z27" i="47"/>
  <c r="Y27" i="47" s="1"/>
  <c r="Z35" i="47"/>
  <c r="Y35" i="47" s="1"/>
  <c r="Z33" i="47"/>
  <c r="Y33" i="47" s="1"/>
  <c r="Z25" i="47"/>
  <c r="Y25" i="47" s="1"/>
  <c r="Z71" i="47"/>
  <c r="Y71" i="47" s="1"/>
  <c r="J83" i="32"/>
  <c r="C61" i="47" s="1"/>
  <c r="K83" i="32"/>
  <c r="AA35" i="47"/>
  <c r="AB35" i="47" s="1"/>
  <c r="O9" i="26"/>
  <c r="P10" i="26"/>
  <c r="Q10" i="26" s="1"/>
  <c r="R9" i="26"/>
  <c r="S9" i="26"/>
  <c r="U9" i="26" s="1"/>
  <c r="AW25" i="7"/>
  <c r="AM25" i="7"/>
  <c r="AP25" i="7"/>
  <c r="AH25" i="7"/>
  <c r="AX25" i="7"/>
  <c r="BU25" i="7"/>
  <c r="AQ25" i="7"/>
  <c r="AU25" i="7"/>
  <c r="AY25" i="7"/>
  <c r="BN25" i="7"/>
  <c r="BE25" i="7"/>
  <c r="BO25" i="7"/>
  <c r="AE25" i="7"/>
  <c r="CC25" i="7"/>
  <c r="BF25" i="7"/>
  <c r="CD25" i="7"/>
  <c r="AZ25" i="7"/>
  <c r="AO25" i="7"/>
  <c r="AR25" i="7"/>
  <c r="AI25" i="7"/>
  <c r="BM25" i="7"/>
  <c r="AG25" i="7"/>
  <c r="CE25" i="7"/>
  <c r="BW25" i="7"/>
  <c r="AJ25" i="7"/>
  <c r="BG25" i="7"/>
  <c r="DO14" i="7" s="1"/>
  <c r="BV25" i="7"/>
  <c r="CE42" i="7"/>
  <c r="EP13" i="7"/>
  <c r="BF42" i="7"/>
  <c r="DN13" i="7"/>
  <c r="CC42" i="7"/>
  <c r="EN13" i="7"/>
  <c r="AW42" i="7"/>
  <c r="DD13" i="7"/>
  <c r="BM42" i="7"/>
  <c r="DV13" i="7"/>
  <c r="BV42" i="7"/>
  <c r="EF13" i="7"/>
  <c r="AZ42" i="7"/>
  <c r="DG13" i="7"/>
  <c r="AI42" i="7"/>
  <c r="CN13" i="7"/>
  <c r="BW42" i="7"/>
  <c r="EG13" i="7"/>
  <c r="AU42" i="7"/>
  <c r="DB13" i="7"/>
  <c r="AO42" i="7"/>
  <c r="CU13" i="7"/>
  <c r="AH42" i="7"/>
  <c r="CM13" i="7"/>
  <c r="BG42" i="7"/>
  <c r="DO13" i="7"/>
  <c r="BU42" i="7"/>
  <c r="EE13" i="7"/>
  <c r="AM42" i="7"/>
  <c r="CS13" i="7"/>
  <c r="AY42" i="7"/>
  <c r="DF13" i="7"/>
  <c r="AE42" i="7"/>
  <c r="CJ13" i="7"/>
  <c r="AP42" i="7"/>
  <c r="CV13" i="7"/>
  <c r="AJ42" i="7"/>
  <c r="CO13" i="7"/>
  <c r="BN42" i="7"/>
  <c r="DW13" i="7"/>
  <c r="BE42" i="7"/>
  <c r="DM13" i="7"/>
  <c r="BO42" i="7"/>
  <c r="DX13" i="7"/>
  <c r="AR42" i="7"/>
  <c r="CX13" i="7"/>
  <c r="AQ42" i="7"/>
  <c r="CW13" i="7"/>
  <c r="CD42" i="7"/>
  <c r="EO13" i="7"/>
  <c r="AX42" i="7"/>
  <c r="DE13" i="7"/>
  <c r="AG42" i="7"/>
  <c r="CL13" i="7"/>
  <c r="DD15" i="7"/>
  <c r="EP15" i="7"/>
  <c r="CN15" i="7"/>
  <c r="CO15" i="7"/>
  <c r="DV15" i="7"/>
  <c r="AA29" i="47"/>
  <c r="AB29" i="47" s="1"/>
  <c r="E71" i="32"/>
  <c r="E30" i="46"/>
  <c r="F28" i="46"/>
  <c r="F70" i="32" s="1"/>
  <c r="AA71" i="47"/>
  <c r="AB71" i="47" s="1"/>
  <c r="AA31" i="47"/>
  <c r="AB31" i="47" s="1"/>
  <c r="AA33" i="47"/>
  <c r="AB33" i="47" s="1"/>
  <c r="AA23" i="47"/>
  <c r="AB23" i="47" s="1"/>
  <c r="AA37" i="47"/>
  <c r="AB37" i="47" s="1"/>
  <c r="AA25" i="47"/>
  <c r="AB25" i="47" s="1"/>
  <c r="AA39" i="47"/>
  <c r="AB39" i="47" s="1"/>
  <c r="AA27" i="47"/>
  <c r="AB27" i="47" s="1"/>
  <c r="D16" i="32"/>
  <c r="G20" i="27"/>
  <c r="O116" i="32"/>
  <c r="D5" i="6"/>
  <c r="G40" i="2"/>
  <c r="D36" i="2"/>
  <c r="D35" i="2"/>
  <c r="C61" i="7"/>
  <c r="L61" i="7" s="1"/>
  <c r="C51" i="2"/>
  <c r="C62" i="7"/>
  <c r="L62" i="7" s="1"/>
  <c r="D37" i="7"/>
  <c r="D47" i="7" s="1"/>
  <c r="C82" i="7"/>
  <c r="L82" i="7" s="1"/>
  <c r="C72" i="7"/>
  <c r="C59" i="7"/>
  <c r="L59" i="7" s="1"/>
  <c r="C60" i="7"/>
  <c r="L60" i="7" s="1"/>
  <c r="F51" i="2"/>
  <c r="F5" i="6"/>
  <c r="G42" i="2"/>
  <c r="X60" i="39"/>
  <c r="F44" i="2"/>
  <c r="C87" i="7"/>
  <c r="L87" i="7" s="1"/>
  <c r="F56" i="2"/>
  <c r="D42" i="7"/>
  <c r="D52" i="7" s="1"/>
  <c r="C77" i="7"/>
  <c r="C56" i="2"/>
  <c r="I5" i="6"/>
  <c r="G45" i="2"/>
  <c r="C53" i="2"/>
  <c r="C63" i="7"/>
  <c r="L63" i="7" s="1"/>
  <c r="D39" i="7"/>
  <c r="D49" i="7" s="1"/>
  <c r="C74" i="7"/>
  <c r="F53" i="2"/>
  <c r="C64" i="7"/>
  <c r="L64" i="7" s="1"/>
  <c r="C65" i="7"/>
  <c r="L65" i="7" s="1"/>
  <c r="C84" i="7"/>
  <c r="L84" i="7" s="1"/>
  <c r="K13" i="34"/>
  <c r="N13" i="34"/>
  <c r="M14" i="34"/>
  <c r="J15" i="34" s="1"/>
  <c r="L14" i="34"/>
  <c r="BP163" i="36"/>
  <c r="BG536" i="36"/>
  <c r="E471" i="36"/>
  <c r="AO426" i="36"/>
  <c r="BP299" i="36"/>
  <c r="BG380" i="36"/>
  <c r="AF410" i="36"/>
  <c r="BG453" i="36"/>
  <c r="N396" i="36"/>
  <c r="AF487" i="36"/>
  <c r="BP197" i="36"/>
  <c r="N469" i="36"/>
  <c r="N397" i="36"/>
  <c r="CH144" i="36"/>
  <c r="BP353" i="36"/>
  <c r="BP160" i="36"/>
  <c r="W336" i="36"/>
  <c r="AX453" i="36"/>
  <c r="CH192" i="36"/>
  <c r="CH196" i="36"/>
  <c r="AX534" i="36"/>
  <c r="BG450" i="36"/>
  <c r="CZ68" i="36"/>
  <c r="BP237" i="36"/>
  <c r="BG451" i="36"/>
  <c r="BP238" i="36"/>
  <c r="BP302" i="36"/>
  <c r="CH146" i="36"/>
  <c r="CZ80" i="36"/>
  <c r="BP417" i="36"/>
  <c r="E469" i="36"/>
  <c r="AO425" i="36"/>
  <c r="E334" i="36"/>
  <c r="CZ74" i="36"/>
  <c r="CH197" i="36"/>
  <c r="AX450" i="36"/>
  <c r="BG449" i="36"/>
  <c r="AX179" i="36"/>
  <c r="AO501" i="36"/>
  <c r="AX532" i="36"/>
  <c r="BP196" i="36"/>
  <c r="AX449" i="36"/>
  <c r="E395" i="36"/>
  <c r="BG531" i="36"/>
  <c r="BP288" i="36"/>
  <c r="N333" i="36"/>
  <c r="AX231" i="36"/>
  <c r="E336" i="36"/>
  <c r="BP419" i="36"/>
  <c r="BG179" i="36"/>
  <c r="N335" i="36"/>
  <c r="AF489" i="36"/>
  <c r="BG534" i="36"/>
  <c r="BG378" i="36"/>
  <c r="BP414" i="36"/>
  <c r="AX295" i="36"/>
  <c r="E398" i="36"/>
  <c r="N399" i="36"/>
  <c r="N470" i="36"/>
  <c r="E473" i="36"/>
  <c r="BP415" i="36"/>
  <c r="CZ67" i="36"/>
  <c r="AO504" i="36"/>
  <c r="AF485" i="36"/>
  <c r="AF486" i="36"/>
  <c r="N395" i="36"/>
  <c r="AX296" i="36"/>
  <c r="W469" i="36"/>
  <c r="BG296" i="36"/>
  <c r="W399" i="36"/>
  <c r="AX232" i="36"/>
  <c r="AX536" i="36"/>
  <c r="BP199" i="36"/>
  <c r="AF345" i="36"/>
  <c r="E397" i="36"/>
  <c r="BG535" i="36"/>
  <c r="W395" i="36"/>
  <c r="BP351" i="36"/>
  <c r="BP195" i="36"/>
  <c r="BP162" i="36"/>
  <c r="E472" i="36"/>
  <c r="AF484" i="36"/>
  <c r="BP416" i="36"/>
  <c r="CZ78" i="36"/>
  <c r="AX531" i="36"/>
  <c r="BG233" i="36"/>
  <c r="N471" i="36"/>
  <c r="N468" i="36"/>
  <c r="AO502" i="36"/>
  <c r="W334" i="36"/>
  <c r="AX233" i="36"/>
  <c r="BP161" i="36"/>
  <c r="CZ72" i="36"/>
  <c r="CZ73" i="36"/>
  <c r="CZ66" i="36"/>
  <c r="CH193" i="36"/>
  <c r="W471" i="36"/>
  <c r="AO360" i="36"/>
  <c r="N398" i="36"/>
  <c r="E470" i="36"/>
  <c r="AF347" i="36"/>
  <c r="AO505" i="36"/>
  <c r="AX178" i="36"/>
  <c r="E399" i="36"/>
  <c r="AF409" i="36"/>
  <c r="AX177" i="36"/>
  <c r="BP239" i="36"/>
  <c r="BP198" i="36"/>
  <c r="W472" i="36"/>
  <c r="CZ79" i="36"/>
  <c r="E333" i="36"/>
  <c r="W468" i="36"/>
  <c r="BP241" i="36"/>
  <c r="N336" i="36"/>
  <c r="CH170" i="36"/>
  <c r="CH195" i="36"/>
  <c r="BG295" i="36"/>
  <c r="AF348" i="36"/>
  <c r="BG232" i="36"/>
  <c r="E396" i="36"/>
  <c r="CH169" i="36"/>
  <c r="BP354" i="36"/>
  <c r="BP301" i="36"/>
  <c r="CH168" i="36"/>
  <c r="W470" i="36"/>
  <c r="N472" i="36"/>
  <c r="AX452" i="36"/>
  <c r="CH145" i="36"/>
  <c r="CH147" i="36"/>
  <c r="AX378" i="36"/>
  <c r="AX379" i="36"/>
  <c r="AF488" i="36"/>
  <c r="E468" i="36"/>
  <c r="AF411" i="36"/>
  <c r="BG532" i="36"/>
  <c r="BG231" i="36"/>
  <c r="AO424" i="36"/>
  <c r="AX381" i="36"/>
  <c r="BG533" i="36"/>
  <c r="AF413" i="36"/>
  <c r="CH171" i="36"/>
  <c r="W398" i="36"/>
  <c r="AO503" i="36"/>
  <c r="AO423" i="36"/>
  <c r="BP240" i="36"/>
  <c r="W396" i="36"/>
  <c r="BP352" i="36"/>
  <c r="BP300" i="36"/>
  <c r="BG379" i="36"/>
  <c r="BG452" i="36"/>
  <c r="E335" i="36"/>
  <c r="BG177" i="36"/>
  <c r="AF412" i="36"/>
  <c r="AO500" i="36"/>
  <c r="CH167" i="36"/>
  <c r="N473" i="36"/>
  <c r="W473" i="36"/>
  <c r="BP350" i="36"/>
  <c r="BP289" i="36"/>
  <c r="W397" i="36"/>
  <c r="W333" i="36"/>
  <c r="N334" i="36"/>
  <c r="BG294" i="36"/>
  <c r="W335" i="36"/>
  <c r="AO357" i="36"/>
  <c r="CH194" i="36"/>
  <c r="AX451" i="36"/>
  <c r="AO359" i="36"/>
  <c r="AX533" i="36"/>
  <c r="BG381" i="36"/>
  <c r="AO358" i="36"/>
  <c r="AF346" i="36"/>
  <c r="AX294" i="36"/>
  <c r="BG178" i="36"/>
  <c r="AX380" i="36"/>
  <c r="BP159" i="36"/>
  <c r="AO427" i="36"/>
  <c r="AX535" i="36"/>
  <c r="BP418" i="36"/>
  <c r="V154" i="37" l="1"/>
  <c r="V159" i="37"/>
  <c r="Y56" i="37"/>
  <c r="X56" i="37"/>
  <c r="W56" i="37"/>
  <c r="T56" i="37" s="1"/>
  <c r="U57" i="37"/>
  <c r="T55" i="37"/>
  <c r="V161" i="37"/>
  <c r="AM20" i="32"/>
  <c r="AM19" i="32"/>
  <c r="K28" i="10"/>
  <c r="AA24" i="25"/>
  <c r="AA25" i="25" s="1"/>
  <c r="AA26" i="25" s="1"/>
  <c r="AA27" i="25" s="1"/>
  <c r="AA28" i="25" s="1"/>
  <c r="AA29" i="25" s="1"/>
  <c r="AA30" i="25" s="1"/>
  <c r="AA31" i="25" s="1"/>
  <c r="AA32" i="25" s="1"/>
  <c r="AA33" i="25" s="1"/>
  <c r="AA34" i="25" s="1"/>
  <c r="AA35" i="25" s="1"/>
  <c r="AA36" i="25" s="1"/>
  <c r="AA37" i="25" s="1"/>
  <c r="AA38" i="25" s="1"/>
  <c r="AA39" i="25" s="1"/>
  <c r="AA40" i="25" s="1"/>
  <c r="AA41" i="25" s="1"/>
  <c r="AO14" i="25"/>
  <c r="AQ14" i="25" s="1"/>
  <c r="AO24" i="25"/>
  <c r="AQ24" i="25" s="1"/>
  <c r="AO4" i="25"/>
  <c r="AQ4" i="25" s="1"/>
  <c r="C74" i="27"/>
  <c r="C11" i="32"/>
  <c r="J29" i="10"/>
  <c r="AM21" i="32"/>
  <c r="AM22" i="32" s="1"/>
  <c r="AM23" i="32" s="1"/>
  <c r="C12" i="32"/>
  <c r="W19" i="32" s="1"/>
  <c r="C75" i="27"/>
  <c r="K29" i="31" s="1"/>
  <c r="C10" i="43"/>
  <c r="C73" i="27"/>
  <c r="C30" i="10" s="1"/>
  <c r="E30" i="10" s="1"/>
  <c r="H30" i="10" s="1"/>
  <c r="F43" i="28"/>
  <c r="C14" i="43" s="1"/>
  <c r="F42" i="28"/>
  <c r="C13" i="32" s="1"/>
  <c r="F44" i="28"/>
  <c r="C15" i="32" s="1"/>
  <c r="E15" i="32" s="1"/>
  <c r="F15" i="32" s="1"/>
  <c r="EP14" i="7"/>
  <c r="CV14" i="7"/>
  <c r="DV14" i="7"/>
  <c r="CO14" i="7"/>
  <c r="EF14" i="7"/>
  <c r="DG14" i="7"/>
  <c r="DF14" i="7"/>
  <c r="DE14" i="7"/>
  <c r="CN14" i="7"/>
  <c r="EO14" i="7"/>
  <c r="CV12" i="7"/>
  <c r="CS14" i="7"/>
  <c r="DD14" i="7"/>
  <c r="S7" i="31"/>
  <c r="Y7" i="31" s="1"/>
  <c r="AD40" i="46"/>
  <c r="AF40" i="46" s="1"/>
  <c r="S45" i="47"/>
  <c r="T45" i="47" s="1"/>
  <c r="W45" i="47" s="1"/>
  <c r="V45" i="47" s="1"/>
  <c r="U45" i="47" s="1"/>
  <c r="AJ45" i="47" s="1"/>
  <c r="S50" i="47"/>
  <c r="T50" i="47" s="1"/>
  <c r="W50" i="47" s="1"/>
  <c r="V50" i="47" s="1"/>
  <c r="U50" i="47" s="1"/>
  <c r="AJ50" i="47" s="1"/>
  <c r="D121" i="27"/>
  <c r="D58" i="45"/>
  <c r="E120" i="27"/>
  <c r="E58" i="45" s="1"/>
  <c r="S42" i="47"/>
  <c r="T42" i="47" s="1"/>
  <c r="W42" i="47" s="1"/>
  <c r="V42" i="47" s="1"/>
  <c r="U42" i="47" s="1"/>
  <c r="AJ42" i="47" s="1"/>
  <c r="K96" i="47"/>
  <c r="S96" i="47" s="1"/>
  <c r="T96" i="47" s="1"/>
  <c r="Z96" i="47" s="1"/>
  <c r="Y96" i="47" s="1"/>
  <c r="AA96" i="47" s="1"/>
  <c r="AB96" i="47" s="1"/>
  <c r="K98" i="47"/>
  <c r="S98" i="47" s="1"/>
  <c r="T98" i="47" s="1"/>
  <c r="Z98" i="47" s="1"/>
  <c r="Y98" i="47" s="1"/>
  <c r="AA98" i="47" s="1"/>
  <c r="AB98" i="47" s="1"/>
  <c r="K106" i="47"/>
  <c r="S106" i="47" s="1"/>
  <c r="T106" i="47" s="1"/>
  <c r="Z106" i="47" s="1"/>
  <c r="Y106" i="47" s="1"/>
  <c r="AA106" i="47" s="1"/>
  <c r="AB106" i="47" s="1"/>
  <c r="K114" i="47"/>
  <c r="S114" i="47" s="1"/>
  <c r="T114" i="47" s="1"/>
  <c r="Z114" i="47" s="1"/>
  <c r="Y114" i="47" s="1"/>
  <c r="AA114" i="47" s="1"/>
  <c r="AB114" i="47" s="1"/>
  <c r="K112" i="47"/>
  <c r="S112" i="47" s="1"/>
  <c r="T112" i="47" s="1"/>
  <c r="Z112" i="47" s="1"/>
  <c r="Y112" i="47" s="1"/>
  <c r="AA112" i="47" s="1"/>
  <c r="AB112" i="47" s="1"/>
  <c r="K104" i="47"/>
  <c r="S104" i="47" s="1"/>
  <c r="T104" i="47" s="1"/>
  <c r="Z104" i="47" s="1"/>
  <c r="Y104" i="47" s="1"/>
  <c r="AA104" i="47" s="1"/>
  <c r="AB104" i="47" s="1"/>
  <c r="S53" i="47"/>
  <c r="T53" i="47" s="1"/>
  <c r="W53" i="47" s="1"/>
  <c r="V53" i="47" s="1"/>
  <c r="U53" i="47" s="1"/>
  <c r="AJ53" i="47" s="1"/>
  <c r="AG48" i="6"/>
  <c r="D114" i="6" s="1"/>
  <c r="AG45" i="6"/>
  <c r="D111" i="6" s="1"/>
  <c r="AG41" i="6"/>
  <c r="D107" i="6" s="1"/>
  <c r="AG43" i="6"/>
  <c r="D109" i="6" s="1"/>
  <c r="AG47" i="6"/>
  <c r="D113" i="6" s="1"/>
  <c r="AG42" i="6"/>
  <c r="D108" i="6" s="1"/>
  <c r="L19" i="47"/>
  <c r="C81" i="47" s="1"/>
  <c r="H36" i="29"/>
  <c r="AR46" i="32"/>
  <c r="C43" i="32"/>
  <c r="E43" i="32" s="1"/>
  <c r="AR47" i="32"/>
  <c r="AR48" i="32" s="1"/>
  <c r="AR49" i="32" s="1"/>
  <c r="AR50" i="32" s="1"/>
  <c r="AR51" i="32" s="1"/>
  <c r="AR52" i="32" s="1"/>
  <c r="AR53" i="32" s="1"/>
  <c r="AR54" i="32" s="1"/>
  <c r="AR55" i="32" s="1"/>
  <c r="AR56" i="32" s="1"/>
  <c r="AR57" i="32" s="1"/>
  <c r="AR58" i="32" s="1"/>
  <c r="AR59" i="32" s="1"/>
  <c r="AR60" i="32" s="1"/>
  <c r="AR61" i="32" s="1"/>
  <c r="AR62" i="32" s="1"/>
  <c r="AR63" i="32" s="1"/>
  <c r="AR64" i="32" s="1"/>
  <c r="AR65" i="32" s="1"/>
  <c r="AR66" i="32" s="1"/>
  <c r="AR67" i="32" s="1"/>
  <c r="AR68" i="32" s="1"/>
  <c r="AR69" i="32" s="1"/>
  <c r="AH46" i="32"/>
  <c r="AH47" i="32" s="1"/>
  <c r="AH48" i="32" s="1"/>
  <c r="AH49" i="32" s="1"/>
  <c r="AH50" i="32" s="1"/>
  <c r="AH51" i="32" s="1"/>
  <c r="AH52" i="32" s="1"/>
  <c r="AH53" i="32" s="1"/>
  <c r="AH54" i="32" s="1"/>
  <c r="AH55" i="32" s="1"/>
  <c r="AH56" i="32" s="1"/>
  <c r="AH57" i="32" s="1"/>
  <c r="AH58" i="32" s="1"/>
  <c r="AH59" i="32" s="1"/>
  <c r="AH60" i="32" s="1"/>
  <c r="AH61" i="32" s="1"/>
  <c r="AH62" i="32" s="1"/>
  <c r="AH63" i="32" s="1"/>
  <c r="AH64" i="32" s="1"/>
  <c r="AH65" i="32" s="1"/>
  <c r="AH66" i="32" s="1"/>
  <c r="AH67" i="32" s="1"/>
  <c r="AH68" i="32" s="1"/>
  <c r="AH69" i="32" s="1"/>
  <c r="X46" i="32"/>
  <c r="X47" i="32" s="1"/>
  <c r="X48" i="32" s="1"/>
  <c r="X49" i="32" s="1"/>
  <c r="X50" i="32" s="1"/>
  <c r="X51" i="32" s="1"/>
  <c r="X52" i="32" s="1"/>
  <c r="X53" i="32" s="1"/>
  <c r="X54" i="32" s="1"/>
  <c r="X55" i="32" s="1"/>
  <c r="X56" i="32" s="1"/>
  <c r="X57" i="32" s="1"/>
  <c r="X58" i="32" s="1"/>
  <c r="X59" i="32" s="1"/>
  <c r="X60" i="32" s="1"/>
  <c r="X61" i="32" s="1"/>
  <c r="X62" i="32" s="1"/>
  <c r="X63" i="32" s="1"/>
  <c r="X64" i="32" s="1"/>
  <c r="X65" i="32" s="1"/>
  <c r="X66" i="32" s="1"/>
  <c r="X67" i="32" s="1"/>
  <c r="X68" i="32" s="1"/>
  <c r="X69" i="32" s="1"/>
  <c r="S46" i="47"/>
  <c r="T46" i="47" s="1"/>
  <c r="W46" i="47" s="1"/>
  <c r="V46" i="47" s="1"/>
  <c r="U46" i="47" s="1"/>
  <c r="AJ46" i="47" s="1"/>
  <c r="H34" i="29"/>
  <c r="L17" i="47"/>
  <c r="C79" i="47" s="1"/>
  <c r="S52" i="47"/>
  <c r="T52" i="47" s="1"/>
  <c r="W52" i="47" s="1"/>
  <c r="V52" i="47" s="1"/>
  <c r="U52" i="47" s="1"/>
  <c r="AJ52" i="47" s="1"/>
  <c r="S44" i="47"/>
  <c r="T44" i="47" s="1"/>
  <c r="W44" i="47" s="1"/>
  <c r="V44" i="47" s="1"/>
  <c r="U44" i="47" s="1"/>
  <c r="AJ44" i="47" s="1"/>
  <c r="CW14" i="7"/>
  <c r="CL14" i="7"/>
  <c r="EE14" i="7"/>
  <c r="S51" i="47"/>
  <c r="T51" i="47" s="1"/>
  <c r="W51" i="47" s="1"/>
  <c r="V51" i="47" s="1"/>
  <c r="U51" i="47" s="1"/>
  <c r="AJ51" i="47" s="1"/>
  <c r="D47" i="27"/>
  <c r="D105" i="27" s="1"/>
  <c r="F105" i="27" s="1"/>
  <c r="C106" i="27"/>
  <c r="AG37" i="6"/>
  <c r="D103" i="6" s="1"/>
  <c r="AG38" i="6"/>
  <c r="D104" i="6" s="1"/>
  <c r="AG36" i="6"/>
  <c r="D102" i="6" s="1"/>
  <c r="AG34" i="6"/>
  <c r="D100" i="6" s="1"/>
  <c r="AG31" i="6"/>
  <c r="D97" i="6" s="1"/>
  <c r="AG33" i="6"/>
  <c r="D99" i="6" s="1"/>
  <c r="S41" i="47"/>
  <c r="T41" i="47" s="1"/>
  <c r="W41" i="47" s="1"/>
  <c r="V41" i="47" s="1"/>
  <c r="U41" i="47" s="1"/>
  <c r="AJ41" i="47" s="1"/>
  <c r="K122" i="47"/>
  <c r="S122" i="47" s="1"/>
  <c r="T122" i="47" s="1"/>
  <c r="Z122" i="47" s="1"/>
  <c r="Y122" i="47" s="1"/>
  <c r="AA122" i="47" s="1"/>
  <c r="AB122" i="47" s="1"/>
  <c r="K116" i="47"/>
  <c r="S116" i="47" s="1"/>
  <c r="T116" i="47" s="1"/>
  <c r="Z116" i="47" s="1"/>
  <c r="Y116" i="47" s="1"/>
  <c r="AA116" i="47" s="1"/>
  <c r="AB116" i="47" s="1"/>
  <c r="K154" i="47"/>
  <c r="S154" i="47" s="1"/>
  <c r="T154" i="47" s="1"/>
  <c r="Z154" i="47" s="1"/>
  <c r="Y154" i="47" s="1"/>
  <c r="AA154" i="47" s="1"/>
  <c r="AB154" i="47" s="1"/>
  <c r="K120" i="47"/>
  <c r="S120" i="47" s="1"/>
  <c r="T120" i="47" s="1"/>
  <c r="Z120" i="47" s="1"/>
  <c r="Y120" i="47" s="1"/>
  <c r="AA120" i="47" s="1"/>
  <c r="AB120" i="47" s="1"/>
  <c r="K110" i="47"/>
  <c r="S110" i="47" s="1"/>
  <c r="T110" i="47" s="1"/>
  <c r="Z110" i="47" s="1"/>
  <c r="Y110" i="47" s="1"/>
  <c r="AA110" i="47" s="1"/>
  <c r="AB110" i="47" s="1"/>
  <c r="K142" i="47"/>
  <c r="S142" i="47" s="1"/>
  <c r="T142" i="47" s="1"/>
  <c r="Z142" i="47" s="1"/>
  <c r="Y142" i="47" s="1"/>
  <c r="AA142" i="47" s="1"/>
  <c r="AB142" i="47" s="1"/>
  <c r="K108" i="47"/>
  <c r="S108" i="47" s="1"/>
  <c r="T108" i="47" s="1"/>
  <c r="Z108" i="47" s="1"/>
  <c r="Y108" i="47" s="1"/>
  <c r="AA108" i="47" s="1"/>
  <c r="AB108" i="47" s="1"/>
  <c r="K146" i="47"/>
  <c r="S146" i="47" s="1"/>
  <c r="T146" i="47" s="1"/>
  <c r="Z146" i="47" s="1"/>
  <c r="Y146" i="47" s="1"/>
  <c r="AA146" i="47" s="1"/>
  <c r="AB146" i="47" s="1"/>
  <c r="K124" i="47"/>
  <c r="S124" i="47" s="1"/>
  <c r="T124" i="47" s="1"/>
  <c r="Z124" i="47" s="1"/>
  <c r="Y124" i="47" s="1"/>
  <c r="AA124" i="47" s="1"/>
  <c r="AB124" i="47" s="1"/>
  <c r="K158" i="47"/>
  <c r="S158" i="47" s="1"/>
  <c r="T158" i="47" s="1"/>
  <c r="Z158" i="47" s="1"/>
  <c r="Y158" i="47" s="1"/>
  <c r="AA158" i="47" s="1"/>
  <c r="AB158" i="47" s="1"/>
  <c r="K138" i="47"/>
  <c r="S138" i="47" s="1"/>
  <c r="T138" i="47" s="1"/>
  <c r="Z138" i="47" s="1"/>
  <c r="Y138" i="47" s="1"/>
  <c r="AA138" i="47" s="1"/>
  <c r="AB138" i="47" s="1"/>
  <c r="K118" i="47"/>
  <c r="S118" i="47" s="1"/>
  <c r="T118" i="47" s="1"/>
  <c r="Z118" i="47" s="1"/>
  <c r="Y118" i="47" s="1"/>
  <c r="AA118" i="47" s="1"/>
  <c r="AB118" i="47" s="1"/>
  <c r="K160" i="47"/>
  <c r="S160" i="47" s="1"/>
  <c r="T160" i="47" s="1"/>
  <c r="Z160" i="47" s="1"/>
  <c r="Y160" i="47" s="1"/>
  <c r="AA160" i="47" s="1"/>
  <c r="AB160" i="47" s="1"/>
  <c r="K136" i="47"/>
  <c r="S136" i="47" s="1"/>
  <c r="T136" i="47" s="1"/>
  <c r="Z136" i="47" s="1"/>
  <c r="Y136" i="47" s="1"/>
  <c r="AA136" i="47" s="1"/>
  <c r="AB136" i="47" s="1"/>
  <c r="K130" i="47"/>
  <c r="S130" i="47" s="1"/>
  <c r="T130" i="47" s="1"/>
  <c r="Z130" i="47" s="1"/>
  <c r="Y130" i="47" s="1"/>
  <c r="AA130" i="47" s="1"/>
  <c r="AB130" i="47" s="1"/>
  <c r="K128" i="47"/>
  <c r="S128" i="47" s="1"/>
  <c r="T128" i="47" s="1"/>
  <c r="Z128" i="47" s="1"/>
  <c r="Y128" i="47" s="1"/>
  <c r="AA128" i="47" s="1"/>
  <c r="AB128" i="47" s="1"/>
  <c r="K102" i="47"/>
  <c r="S102" i="47" s="1"/>
  <c r="T102" i="47" s="1"/>
  <c r="Z102" i="47" s="1"/>
  <c r="Y102" i="47" s="1"/>
  <c r="AA102" i="47" s="1"/>
  <c r="AB102" i="47" s="1"/>
  <c r="K134" i="47"/>
  <c r="S134" i="47" s="1"/>
  <c r="T134" i="47" s="1"/>
  <c r="Z134" i="47" s="1"/>
  <c r="Y134" i="47" s="1"/>
  <c r="AA134" i="47" s="1"/>
  <c r="AB134" i="47" s="1"/>
  <c r="K140" i="47"/>
  <c r="S140" i="47" s="1"/>
  <c r="T140" i="47" s="1"/>
  <c r="Z140" i="47" s="1"/>
  <c r="Y140" i="47" s="1"/>
  <c r="AA140" i="47" s="1"/>
  <c r="AB140" i="47" s="1"/>
  <c r="K148" i="47"/>
  <c r="S148" i="47" s="1"/>
  <c r="T148" i="47" s="1"/>
  <c r="Z148" i="47" s="1"/>
  <c r="Y148" i="47" s="1"/>
  <c r="AA148" i="47" s="1"/>
  <c r="AB148" i="47" s="1"/>
  <c r="K100" i="47"/>
  <c r="S100" i="47" s="1"/>
  <c r="T100" i="47" s="1"/>
  <c r="Z100" i="47" s="1"/>
  <c r="Y100" i="47" s="1"/>
  <c r="AA100" i="47" s="1"/>
  <c r="AB100" i="47" s="1"/>
  <c r="K144" i="47"/>
  <c r="S144" i="47" s="1"/>
  <c r="T144" i="47" s="1"/>
  <c r="Z144" i="47" s="1"/>
  <c r="Y144" i="47" s="1"/>
  <c r="AA144" i="47" s="1"/>
  <c r="AB144" i="47" s="1"/>
  <c r="K132" i="47"/>
  <c r="S132" i="47" s="1"/>
  <c r="T132" i="47" s="1"/>
  <c r="Z132" i="47" s="1"/>
  <c r="Y132" i="47" s="1"/>
  <c r="AA132" i="47" s="1"/>
  <c r="AB132" i="47" s="1"/>
  <c r="K126" i="47"/>
  <c r="S126" i="47" s="1"/>
  <c r="T126" i="47" s="1"/>
  <c r="Z126" i="47" s="1"/>
  <c r="Y126" i="47" s="1"/>
  <c r="AA126" i="47" s="1"/>
  <c r="AB126" i="47" s="1"/>
  <c r="K152" i="47"/>
  <c r="S152" i="47" s="1"/>
  <c r="T152" i="47" s="1"/>
  <c r="Z152" i="47" s="1"/>
  <c r="Y152" i="47" s="1"/>
  <c r="AA152" i="47" s="1"/>
  <c r="AB152" i="47" s="1"/>
  <c r="K156" i="47"/>
  <c r="S156" i="47" s="1"/>
  <c r="T156" i="47" s="1"/>
  <c r="Z156" i="47" s="1"/>
  <c r="Y156" i="47" s="1"/>
  <c r="AA156" i="47" s="1"/>
  <c r="AB156" i="47" s="1"/>
  <c r="K150" i="47"/>
  <c r="S150" i="47" s="1"/>
  <c r="T150" i="47" s="1"/>
  <c r="Z150" i="47" s="1"/>
  <c r="Y150" i="47" s="1"/>
  <c r="AA150" i="47" s="1"/>
  <c r="AB150" i="47" s="1"/>
  <c r="AG46" i="6"/>
  <c r="D112" i="6" s="1"/>
  <c r="AG39" i="6"/>
  <c r="D105" i="6" s="1"/>
  <c r="AG40" i="6"/>
  <c r="D106" i="6" s="1"/>
  <c r="AG44" i="6"/>
  <c r="D110" i="6" s="1"/>
  <c r="U20" i="32"/>
  <c r="U21" i="32" s="1"/>
  <c r="U22" i="32" s="1"/>
  <c r="U23" i="32" s="1"/>
  <c r="U24" i="32" s="1"/>
  <c r="U25" i="32" s="1"/>
  <c r="U26" i="32" s="1"/>
  <c r="U27" i="32" s="1"/>
  <c r="U28" i="32" s="1"/>
  <c r="U29" i="32" s="1"/>
  <c r="U30" i="32" s="1"/>
  <c r="U31" i="32" s="1"/>
  <c r="U32" i="32" s="1"/>
  <c r="U33" i="32" s="1"/>
  <c r="U34" i="32" s="1"/>
  <c r="U35" i="32" s="1"/>
  <c r="U36" i="32" s="1"/>
  <c r="U37" i="32" s="1"/>
  <c r="U38" i="32" s="1"/>
  <c r="U39" i="32" s="1"/>
  <c r="U40" i="32" s="1"/>
  <c r="U41" i="32" s="1"/>
  <c r="U42" i="32" s="1"/>
  <c r="AE20" i="32"/>
  <c r="AE21" i="32" s="1"/>
  <c r="AE22" i="32" s="1"/>
  <c r="AE23" i="32" s="1"/>
  <c r="AE24" i="32" s="1"/>
  <c r="AE25" i="32" s="1"/>
  <c r="AE26" i="32" s="1"/>
  <c r="AE27" i="32" s="1"/>
  <c r="AE28" i="32" s="1"/>
  <c r="AE29" i="32" s="1"/>
  <c r="AE30" i="32" s="1"/>
  <c r="AE31" i="32" s="1"/>
  <c r="AE32" i="32" s="1"/>
  <c r="AE33" i="32" s="1"/>
  <c r="AE34" i="32" s="1"/>
  <c r="AE35" i="32" s="1"/>
  <c r="AE36" i="32" s="1"/>
  <c r="AE37" i="32" s="1"/>
  <c r="AE38" i="32" s="1"/>
  <c r="AE39" i="32" s="1"/>
  <c r="AE40" i="32" s="1"/>
  <c r="AE41" i="32" s="1"/>
  <c r="AE42" i="32" s="1"/>
  <c r="AE19" i="32"/>
  <c r="U19" i="32"/>
  <c r="AO19" i="32"/>
  <c r="AO20" i="32" s="1"/>
  <c r="AO21" i="32" s="1"/>
  <c r="AO22" i="32" s="1"/>
  <c r="AO23" i="32" s="1"/>
  <c r="AO24" i="32" s="1"/>
  <c r="AO25" i="32" s="1"/>
  <c r="AO26" i="32" s="1"/>
  <c r="AO27" i="32" s="1"/>
  <c r="AO28" i="32" s="1"/>
  <c r="AO29" i="32" s="1"/>
  <c r="AO30" i="32" s="1"/>
  <c r="AO31" i="32" s="1"/>
  <c r="AO32" i="32" s="1"/>
  <c r="AO33" i="32" s="1"/>
  <c r="AO34" i="32" s="1"/>
  <c r="AO35" i="32" s="1"/>
  <c r="AO36" i="32" s="1"/>
  <c r="AO37" i="32" s="1"/>
  <c r="AO38" i="32" s="1"/>
  <c r="AO39" i="32" s="1"/>
  <c r="AO40" i="32" s="1"/>
  <c r="AO41" i="32" s="1"/>
  <c r="AO42" i="32" s="1"/>
  <c r="E10" i="32"/>
  <c r="F10" i="32" s="1"/>
  <c r="S58" i="47"/>
  <c r="T58" i="47" s="1"/>
  <c r="W58" i="47" s="1"/>
  <c r="V58" i="47" s="1"/>
  <c r="U58" i="47" s="1"/>
  <c r="AJ58" i="47" s="1"/>
  <c r="S43" i="47"/>
  <c r="T43" i="47" s="1"/>
  <c r="W43" i="47" s="1"/>
  <c r="V43" i="47" s="1"/>
  <c r="U43" i="47" s="1"/>
  <c r="AJ43" i="47" s="1"/>
  <c r="S56" i="47"/>
  <c r="T56" i="47" s="1"/>
  <c r="W56" i="47" s="1"/>
  <c r="V56" i="47" s="1"/>
  <c r="U56" i="47" s="1"/>
  <c r="AJ56" i="47" s="1"/>
  <c r="V19" i="32"/>
  <c r="V21" i="32"/>
  <c r="AP19" i="32"/>
  <c r="AP20" i="32"/>
  <c r="V20" i="32"/>
  <c r="AF20" i="32"/>
  <c r="AF21" i="32" s="1"/>
  <c r="AF22" i="32" s="1"/>
  <c r="AF23" i="32" s="1"/>
  <c r="AF24" i="32" s="1"/>
  <c r="AF25" i="32" s="1"/>
  <c r="AF26" i="32" s="1"/>
  <c r="AF27" i="32" s="1"/>
  <c r="AF28" i="32" s="1"/>
  <c r="AF29" i="32" s="1"/>
  <c r="AF30" i="32" s="1"/>
  <c r="AF31" i="32" s="1"/>
  <c r="AF32" i="32" s="1"/>
  <c r="AF33" i="32" s="1"/>
  <c r="AF34" i="32" s="1"/>
  <c r="AF35" i="32" s="1"/>
  <c r="AF36" i="32" s="1"/>
  <c r="AF37" i="32" s="1"/>
  <c r="AF38" i="32" s="1"/>
  <c r="AF39" i="32" s="1"/>
  <c r="AF40" i="32" s="1"/>
  <c r="AF41" i="32" s="1"/>
  <c r="AF42" i="32" s="1"/>
  <c r="V22" i="32"/>
  <c r="V23" i="32"/>
  <c r="V24" i="32" s="1"/>
  <c r="V25" i="32" s="1"/>
  <c r="V26" i="32" s="1"/>
  <c r="V27" i="32" s="1"/>
  <c r="V28" i="32" s="1"/>
  <c r="V29" i="32" s="1"/>
  <c r="V30" i="32" s="1"/>
  <c r="V31" i="32" s="1"/>
  <c r="V32" i="32" s="1"/>
  <c r="V33" i="32" s="1"/>
  <c r="V34" i="32" s="1"/>
  <c r="V35" i="32" s="1"/>
  <c r="V36" i="32" s="1"/>
  <c r="V37" i="32" s="1"/>
  <c r="V38" i="32" s="1"/>
  <c r="V39" i="32" s="1"/>
  <c r="V40" i="32" s="1"/>
  <c r="V41" i="32" s="1"/>
  <c r="V42" i="32" s="1"/>
  <c r="AP22" i="32"/>
  <c r="AP23" i="32" s="1"/>
  <c r="AP24" i="32" s="1"/>
  <c r="AP25" i="32" s="1"/>
  <c r="AP26" i="32" s="1"/>
  <c r="AP27" i="32" s="1"/>
  <c r="AP28" i="32" s="1"/>
  <c r="AP29" i="32" s="1"/>
  <c r="AP30" i="32" s="1"/>
  <c r="AP31" i="32" s="1"/>
  <c r="AP32" i="32" s="1"/>
  <c r="AP33" i="32" s="1"/>
  <c r="AP34" i="32" s="1"/>
  <c r="AP35" i="32" s="1"/>
  <c r="AP36" i="32" s="1"/>
  <c r="AP37" i="32" s="1"/>
  <c r="AP38" i="32" s="1"/>
  <c r="AP39" i="32" s="1"/>
  <c r="AP40" i="32" s="1"/>
  <c r="AP41" i="32" s="1"/>
  <c r="AP42" i="32" s="1"/>
  <c r="AF19" i="32"/>
  <c r="AP21" i="32"/>
  <c r="E11" i="32"/>
  <c r="F11" i="32" s="1"/>
  <c r="S48" i="47"/>
  <c r="T48" i="47" s="1"/>
  <c r="W48" i="47" s="1"/>
  <c r="V48" i="47" s="1"/>
  <c r="U48" i="47" s="1"/>
  <c r="AJ48" i="47" s="1"/>
  <c r="X46" i="25"/>
  <c r="Y45" i="25"/>
  <c r="Z45" i="25" s="1"/>
  <c r="S55" i="47"/>
  <c r="T55" i="47" s="1"/>
  <c r="W55" i="47" s="1"/>
  <c r="V55" i="47" s="1"/>
  <c r="U55" i="47" s="1"/>
  <c r="AJ55" i="47" s="1"/>
  <c r="H35" i="29"/>
  <c r="L18" i="47"/>
  <c r="C80" i="47" s="1"/>
  <c r="AQ19" i="32"/>
  <c r="W20" i="32"/>
  <c r="W21" i="32" s="1"/>
  <c r="W22" i="32" s="1"/>
  <c r="W23" i="32" s="1"/>
  <c r="W24" i="32" s="1"/>
  <c r="W25" i="32" s="1"/>
  <c r="W26" i="32" s="1"/>
  <c r="W27" i="32" s="1"/>
  <c r="W28" i="32" s="1"/>
  <c r="W29" i="32" s="1"/>
  <c r="W30" i="32" s="1"/>
  <c r="W31" i="32" s="1"/>
  <c r="W32" i="32" s="1"/>
  <c r="W33" i="32" s="1"/>
  <c r="W34" i="32" s="1"/>
  <c r="W35" i="32" s="1"/>
  <c r="W36" i="32" s="1"/>
  <c r="W37" i="32" s="1"/>
  <c r="W38" i="32" s="1"/>
  <c r="W39" i="32" s="1"/>
  <c r="W40" i="32" s="1"/>
  <c r="W41" i="32" s="1"/>
  <c r="W42" i="32" s="1"/>
  <c r="C31" i="10"/>
  <c r="E31" i="10" s="1"/>
  <c r="H31" i="10" s="1"/>
  <c r="K28" i="31"/>
  <c r="S54" i="47"/>
  <c r="T54" i="47" s="1"/>
  <c r="W54" i="47" s="1"/>
  <c r="V54" i="47" s="1"/>
  <c r="U54" i="47" s="1"/>
  <c r="AJ54" i="47" s="1"/>
  <c r="D22" i="27"/>
  <c r="C49" i="27"/>
  <c r="R22" i="27"/>
  <c r="Q21" i="27"/>
  <c r="AG30" i="6"/>
  <c r="D96" i="6" s="1"/>
  <c r="AG32" i="6"/>
  <c r="D98" i="6" s="1"/>
  <c r="AG35" i="6"/>
  <c r="D101" i="6" s="1"/>
  <c r="AG29" i="6"/>
  <c r="D95" i="6" s="1"/>
  <c r="C15" i="43"/>
  <c r="S57" i="47"/>
  <c r="T57" i="47" s="1"/>
  <c r="W57" i="47" s="1"/>
  <c r="V57" i="47" s="1"/>
  <c r="U57" i="47" s="1"/>
  <c r="AJ57" i="47" s="1"/>
  <c r="S49" i="47"/>
  <c r="T49" i="47" s="1"/>
  <c r="W49" i="47" s="1"/>
  <c r="V49" i="47" s="1"/>
  <c r="U49" i="47" s="1"/>
  <c r="AJ49" i="47" s="1"/>
  <c r="S47" i="47"/>
  <c r="T47" i="47" s="1"/>
  <c r="W47" i="47" s="1"/>
  <c r="V47" i="47" s="1"/>
  <c r="U47" i="47" s="1"/>
  <c r="AJ47" i="47" s="1"/>
  <c r="AO25" i="25"/>
  <c r="AQ25" i="25" s="1"/>
  <c r="AO15" i="25"/>
  <c r="AQ15" i="25" s="1"/>
  <c r="AO5" i="25"/>
  <c r="AQ5" i="25" s="1"/>
  <c r="BK6" i="26"/>
  <c r="BG6" i="26"/>
  <c r="BJ6" i="26"/>
  <c r="BL6" i="26"/>
  <c r="AV7" i="26"/>
  <c r="AW7" i="26" s="1"/>
  <c r="AY7" i="26" s="1"/>
  <c r="AU6" i="26"/>
  <c r="BF6" i="26"/>
  <c r="BH6" i="26"/>
  <c r="W29" i="9"/>
  <c r="Y30" i="9"/>
  <c r="X9" i="9"/>
  <c r="Y29" i="9"/>
  <c r="X20" i="9"/>
  <c r="Y9" i="9"/>
  <c r="X29" i="9"/>
  <c r="W30" i="9"/>
  <c r="W10" i="9"/>
  <c r="X30" i="9"/>
  <c r="Y10" i="9"/>
  <c r="X19" i="9"/>
  <c r="X10" i="9"/>
  <c r="Y19" i="9"/>
  <c r="W20" i="9"/>
  <c r="W19" i="9"/>
  <c r="Y20" i="9"/>
  <c r="W9" i="9"/>
  <c r="X6" i="31"/>
  <c r="AI6" i="31" s="1"/>
  <c r="D21" i="43" s="1"/>
  <c r="E21" i="43" s="1"/>
  <c r="D17" i="46"/>
  <c r="G17" i="46" s="1"/>
  <c r="F17" i="46"/>
  <c r="AI7" i="46"/>
  <c r="AI8" i="46" s="1"/>
  <c r="AI9" i="46" s="1"/>
  <c r="F16" i="46"/>
  <c r="D18" i="46"/>
  <c r="G18" i="46" s="1"/>
  <c r="C30" i="32" s="1"/>
  <c r="DX14" i="7"/>
  <c r="DX12" i="7"/>
  <c r="CM14" i="7"/>
  <c r="CM12" i="7"/>
  <c r="EO12" i="7"/>
  <c r="EE12" i="7"/>
  <c r="CX14" i="7"/>
  <c r="CX12" i="7"/>
  <c r="DM14" i="7"/>
  <c r="DM12" i="7"/>
  <c r="EP12" i="7"/>
  <c r="DD12" i="7"/>
  <c r="CU14" i="7"/>
  <c r="CU12" i="7"/>
  <c r="DW14" i="7"/>
  <c r="DW12" i="7"/>
  <c r="DO12" i="7"/>
  <c r="CW12" i="7"/>
  <c r="CS12" i="7"/>
  <c r="EG14" i="7"/>
  <c r="EG12" i="7"/>
  <c r="DB14" i="7"/>
  <c r="DB12" i="7"/>
  <c r="DV12" i="7"/>
  <c r="CL12" i="7"/>
  <c r="DN14" i="7"/>
  <c r="DN12" i="7"/>
  <c r="CO12" i="7"/>
  <c r="DE12" i="7"/>
  <c r="EN14" i="7"/>
  <c r="EN12" i="7"/>
  <c r="DF12" i="7"/>
  <c r="DG12" i="7"/>
  <c r="CJ14" i="7"/>
  <c r="CJ12" i="7"/>
  <c r="EF12" i="7"/>
  <c r="CN12" i="7"/>
  <c r="O10" i="26"/>
  <c r="R10" i="26"/>
  <c r="S10" i="26"/>
  <c r="U10" i="26" s="1"/>
  <c r="P11" i="26"/>
  <c r="Q11" i="26" s="1"/>
  <c r="E72" i="32"/>
  <c r="F29" i="46"/>
  <c r="Y90" i="47"/>
  <c r="AA90" i="47" s="1"/>
  <c r="AB90" i="47" s="1"/>
  <c r="Y68" i="47"/>
  <c r="AA68" i="47" s="1"/>
  <c r="AB68" i="47" s="1"/>
  <c r="Y38" i="47"/>
  <c r="AA38" i="47" s="1"/>
  <c r="AB38" i="47" s="1"/>
  <c r="Y66" i="47"/>
  <c r="AA66" i="47" s="1"/>
  <c r="AB66" i="47" s="1"/>
  <c r="Y92" i="47"/>
  <c r="AA92" i="47" s="1"/>
  <c r="AB92" i="47" s="1"/>
  <c r="O117" i="32"/>
  <c r="E16" i="32"/>
  <c r="F16" i="32" s="1"/>
  <c r="D17" i="32"/>
  <c r="G21" i="27"/>
  <c r="L74" i="7"/>
  <c r="P74" i="7" s="1"/>
  <c r="D38" i="7"/>
  <c r="D48" i="7" s="1"/>
  <c r="C83" i="7"/>
  <c r="L83" i="7" s="1"/>
  <c r="F52" i="2"/>
  <c r="C52" i="2"/>
  <c r="C73" i="7"/>
  <c r="BD8" i="7"/>
  <c r="BD5" i="7"/>
  <c r="BD13" i="7"/>
  <c r="BD10" i="7"/>
  <c r="BD20" i="7"/>
  <c r="BD14" i="7"/>
  <c r="BD17" i="7"/>
  <c r="BD21" i="7"/>
  <c r="BD7" i="7"/>
  <c r="BD16" i="7"/>
  <c r="BD9" i="7"/>
  <c r="BD23" i="7"/>
  <c r="BD15" i="7"/>
  <c r="BD4" i="7"/>
  <c r="BD19" i="7"/>
  <c r="BD6" i="7"/>
  <c r="BD33" i="7" s="1"/>
  <c r="BD12" i="7"/>
  <c r="BD11" i="7"/>
  <c r="BD22" i="7"/>
  <c r="BD18" i="7"/>
  <c r="BD24" i="7"/>
  <c r="BD25" i="7"/>
  <c r="BD27" i="7"/>
  <c r="BD26" i="7"/>
  <c r="O64" i="7"/>
  <c r="O65" i="7"/>
  <c r="L77" i="7"/>
  <c r="T77" i="7" s="1"/>
  <c r="G53" i="2"/>
  <c r="G51" i="2"/>
  <c r="D56" i="2"/>
  <c r="C39" i="7"/>
  <c r="D52" i="2"/>
  <c r="G56" i="2"/>
  <c r="C40" i="7"/>
  <c r="G55" i="2"/>
  <c r="G50" i="2"/>
  <c r="C44" i="2"/>
  <c r="D51" i="2"/>
  <c r="G52" i="2"/>
  <c r="C43" i="2"/>
  <c r="D50" i="2"/>
  <c r="D55" i="2"/>
  <c r="D53" i="2"/>
  <c r="CB14" i="7"/>
  <c r="CB16" i="7"/>
  <c r="CB11" i="7"/>
  <c r="CB15" i="7"/>
  <c r="CB20" i="7"/>
  <c r="CB19" i="7"/>
  <c r="CB9" i="7"/>
  <c r="CB17" i="7"/>
  <c r="CB12" i="7"/>
  <c r="CB21" i="7"/>
  <c r="CB23" i="7"/>
  <c r="CB4" i="7"/>
  <c r="CB31" i="7" s="1"/>
  <c r="CB26" i="7"/>
  <c r="CB6" i="7"/>
  <c r="CB8" i="7"/>
  <c r="CB5" i="7"/>
  <c r="CB32" i="7" s="1"/>
  <c r="CB25" i="7"/>
  <c r="CB10" i="7"/>
  <c r="CB27" i="7"/>
  <c r="CB13" i="7"/>
  <c r="CB24" i="7"/>
  <c r="CB18" i="7"/>
  <c r="CB22" i="7"/>
  <c r="CB7" i="7"/>
  <c r="O62" i="7"/>
  <c r="O60" i="7"/>
  <c r="O61" i="7"/>
  <c r="E55" i="2"/>
  <c r="C45" i="2"/>
  <c r="C42" i="7"/>
  <c r="E50" i="2"/>
  <c r="E53" i="2"/>
  <c r="H53" i="2"/>
  <c r="H51" i="2"/>
  <c r="E56" i="2"/>
  <c r="E52" i="2"/>
  <c r="H56" i="2"/>
  <c r="C46" i="2"/>
  <c r="H50" i="2"/>
  <c r="E51" i="2"/>
  <c r="H52" i="2"/>
  <c r="H55" i="2"/>
  <c r="C41" i="7"/>
  <c r="T84" i="7"/>
  <c r="P84" i="7"/>
  <c r="D41" i="7"/>
  <c r="D51" i="7" s="1"/>
  <c r="C66" i="7"/>
  <c r="L66" i="7" s="1"/>
  <c r="C86" i="7"/>
  <c r="L86" i="7" s="1"/>
  <c r="C67" i="7"/>
  <c r="L67" i="7" s="1"/>
  <c r="C76" i="7"/>
  <c r="F55" i="2"/>
  <c r="C55" i="2"/>
  <c r="L72" i="7"/>
  <c r="T72" i="7" s="1"/>
  <c r="T87" i="7"/>
  <c r="P87" i="7"/>
  <c r="T82" i="7"/>
  <c r="P82" i="7"/>
  <c r="H5" i="6"/>
  <c r="G44" i="2"/>
  <c r="AN27" i="7"/>
  <c r="AN22" i="7"/>
  <c r="AN25" i="7"/>
  <c r="AN24" i="7"/>
  <c r="AN26" i="7"/>
  <c r="AN18" i="7"/>
  <c r="AN6" i="7"/>
  <c r="AN33" i="7" s="1"/>
  <c r="AN11" i="7"/>
  <c r="AN23" i="7"/>
  <c r="AN4" i="7"/>
  <c r="AN15" i="7"/>
  <c r="AN19" i="7"/>
  <c r="AN7" i="7"/>
  <c r="AN14" i="7"/>
  <c r="AN5" i="7"/>
  <c r="AN16" i="7"/>
  <c r="AN10" i="7"/>
  <c r="AN21" i="7"/>
  <c r="AN13" i="7"/>
  <c r="AN17" i="7"/>
  <c r="AN8" i="7"/>
  <c r="AN34" i="7" s="1"/>
  <c r="AN9" i="7"/>
  <c r="AN20" i="7"/>
  <c r="AN12" i="7"/>
  <c r="D36" i="7"/>
  <c r="D46" i="7" s="1"/>
  <c r="F50" i="2"/>
  <c r="C56" i="7"/>
  <c r="L56" i="7" s="1"/>
  <c r="C58" i="7"/>
  <c r="L58" i="7" s="1"/>
  <c r="C57" i="7"/>
  <c r="L57" i="7" s="1"/>
  <c r="C50" i="2"/>
  <c r="C81" i="7"/>
  <c r="L81" i="7" s="1"/>
  <c r="C71" i="7"/>
  <c r="N14" i="34"/>
  <c r="K14" i="34"/>
  <c r="M15" i="34"/>
  <c r="J16" i="34" s="1"/>
  <c r="L15" i="34"/>
  <c r="BP407" i="36"/>
  <c r="BP291" i="36"/>
  <c r="BP406" i="36"/>
  <c r="BP293" i="36"/>
  <c r="BP164" i="36"/>
  <c r="BP344" i="36"/>
  <c r="BP408" i="36"/>
  <c r="BP346" i="36"/>
  <c r="BP295" i="36"/>
  <c r="BP348" i="36"/>
  <c r="BP294" i="36"/>
  <c r="BP410" i="36"/>
  <c r="BP343" i="36"/>
  <c r="BP347" i="36"/>
  <c r="BP292" i="36"/>
  <c r="BP405" i="36"/>
  <c r="BP411" i="36"/>
  <c r="BP345" i="36"/>
  <c r="BP409" i="36"/>
  <c r="V164" i="37" l="1"/>
  <c r="X57" i="37"/>
  <c r="W57" i="37"/>
  <c r="T57" i="37" s="1"/>
  <c r="Y57" i="37"/>
  <c r="U58" i="37"/>
  <c r="V162" i="37"/>
  <c r="V157" i="37"/>
  <c r="E12" i="32"/>
  <c r="F12" i="32" s="1"/>
  <c r="AG19" i="32"/>
  <c r="AG20" i="32"/>
  <c r="AG21" i="32" s="1"/>
  <c r="AG22" i="32" s="1"/>
  <c r="AG23" i="32" s="1"/>
  <c r="AG24" i="32" s="1"/>
  <c r="AG25" i="32" s="1"/>
  <c r="AG26" i="32" s="1"/>
  <c r="AG27" i="32" s="1"/>
  <c r="AQ20" i="32"/>
  <c r="AQ21" i="32" s="1"/>
  <c r="AQ22" i="32" s="1"/>
  <c r="AQ23" i="32" s="1"/>
  <c r="AQ24" i="32" s="1"/>
  <c r="AQ25" i="32" s="1"/>
  <c r="AQ26" i="32" s="1"/>
  <c r="AQ27" i="32" s="1"/>
  <c r="AQ28" i="32" s="1"/>
  <c r="C32" i="10"/>
  <c r="E32" i="10" s="1"/>
  <c r="H32" i="10" s="1"/>
  <c r="C78" i="27"/>
  <c r="K32" i="31" s="1"/>
  <c r="AM24" i="32"/>
  <c r="K27" i="31"/>
  <c r="C76" i="27"/>
  <c r="C33" i="10" s="1"/>
  <c r="E33" i="10" s="1"/>
  <c r="H33" i="10" s="1"/>
  <c r="C77" i="27"/>
  <c r="K31" i="31" s="1"/>
  <c r="C14" i="32"/>
  <c r="E14" i="32" s="1"/>
  <c r="F14" i="32" s="1"/>
  <c r="C13" i="43"/>
  <c r="DL15" i="7"/>
  <c r="U7" i="25"/>
  <c r="T7" i="31"/>
  <c r="U7" i="31"/>
  <c r="W7" i="31" s="1"/>
  <c r="X7" i="31" s="1"/>
  <c r="AI7" i="31" s="1"/>
  <c r="D22" i="43" s="1"/>
  <c r="E22" i="43" s="1"/>
  <c r="G22" i="43" s="1"/>
  <c r="P77" i="7"/>
  <c r="AH39" i="46"/>
  <c r="AJ39" i="46" s="1"/>
  <c r="AD41" i="46"/>
  <c r="AF41" i="46" s="1"/>
  <c r="AA46" i="47"/>
  <c r="AB46" i="47" s="1"/>
  <c r="AA51" i="47"/>
  <c r="AB51" i="47" s="1"/>
  <c r="AA47" i="47"/>
  <c r="AB47" i="47" s="1"/>
  <c r="AA43" i="47"/>
  <c r="AB43" i="47" s="1"/>
  <c r="AA41" i="47"/>
  <c r="AB41" i="47" s="1"/>
  <c r="AA45" i="47"/>
  <c r="AB45" i="47" s="1"/>
  <c r="AA57" i="47"/>
  <c r="AB57" i="47" s="1"/>
  <c r="AA54" i="47"/>
  <c r="AB54" i="47" s="1"/>
  <c r="AA49" i="47"/>
  <c r="AB49" i="47" s="1"/>
  <c r="AA48" i="47"/>
  <c r="AB48" i="47" s="1"/>
  <c r="D48" i="27"/>
  <c r="D106" i="27" s="1"/>
  <c r="F106" i="27" s="1"/>
  <c r="C107" i="27"/>
  <c r="K32" i="10"/>
  <c r="J32" i="10"/>
  <c r="CB42" i="7"/>
  <c r="D59" i="45"/>
  <c r="E121" i="27"/>
  <c r="E59" i="45" s="1"/>
  <c r="D122" i="27"/>
  <c r="EM15" i="7"/>
  <c r="AA55" i="47"/>
  <c r="AB55" i="47" s="1"/>
  <c r="AH19" i="32"/>
  <c r="X19" i="32"/>
  <c r="AR20" i="32"/>
  <c r="AR19" i="32"/>
  <c r="X20" i="32"/>
  <c r="X21" i="32" s="1"/>
  <c r="X22" i="32" s="1"/>
  <c r="X23" i="32" s="1"/>
  <c r="X24" i="32" s="1"/>
  <c r="X25" i="32" s="1"/>
  <c r="X26" i="32" s="1"/>
  <c r="X27" i="32" s="1"/>
  <c r="X28" i="32" s="1"/>
  <c r="X29" i="32" s="1"/>
  <c r="X30" i="32" s="1"/>
  <c r="X31" i="32" s="1"/>
  <c r="X32" i="32" s="1"/>
  <c r="X33" i="32" s="1"/>
  <c r="X34" i="32" s="1"/>
  <c r="X35" i="32" s="1"/>
  <c r="X36" i="32" s="1"/>
  <c r="X37" i="32" s="1"/>
  <c r="X38" i="32" s="1"/>
  <c r="X39" i="32" s="1"/>
  <c r="X40" i="32" s="1"/>
  <c r="X41" i="32" s="1"/>
  <c r="X42" i="32" s="1"/>
  <c r="AH20" i="32"/>
  <c r="AH21" i="32" s="1"/>
  <c r="AH22" i="32" s="1"/>
  <c r="AH23" i="32" s="1"/>
  <c r="AH24" i="32" s="1"/>
  <c r="AH25" i="32" s="1"/>
  <c r="AH26" i="32" s="1"/>
  <c r="AH27" i="32" s="1"/>
  <c r="AH28" i="32" s="1"/>
  <c r="AH29" i="32" s="1"/>
  <c r="AH30" i="32" s="1"/>
  <c r="AH31" i="32" s="1"/>
  <c r="AH32" i="32" s="1"/>
  <c r="AH33" i="32" s="1"/>
  <c r="AH34" i="32" s="1"/>
  <c r="AH35" i="32" s="1"/>
  <c r="AH36" i="32" s="1"/>
  <c r="AH37" i="32" s="1"/>
  <c r="AH38" i="32" s="1"/>
  <c r="AH39" i="32" s="1"/>
  <c r="AH40" i="32" s="1"/>
  <c r="AH41" i="32" s="1"/>
  <c r="AH42" i="32" s="1"/>
  <c r="AR21" i="32"/>
  <c r="AR22" i="32" s="1"/>
  <c r="AR23" i="32" s="1"/>
  <c r="AR24" i="32" s="1"/>
  <c r="AR25" i="32" s="1"/>
  <c r="AR26" i="32" s="1"/>
  <c r="AR27" i="32" s="1"/>
  <c r="AR28" i="32" s="1"/>
  <c r="AR29" i="32" s="1"/>
  <c r="AR30" i="32" s="1"/>
  <c r="AR31" i="32" s="1"/>
  <c r="AR32" i="32" s="1"/>
  <c r="AR33" i="32" s="1"/>
  <c r="AR34" i="32" s="1"/>
  <c r="AR35" i="32" s="1"/>
  <c r="AR36" i="32" s="1"/>
  <c r="AR37" i="32" s="1"/>
  <c r="AR38" i="32" s="1"/>
  <c r="AR39" i="32" s="1"/>
  <c r="AR40" i="32" s="1"/>
  <c r="AR41" i="32" s="1"/>
  <c r="AR42" i="32" s="1"/>
  <c r="E13" i="32"/>
  <c r="F13" i="32" s="1"/>
  <c r="AA50" i="47"/>
  <c r="AB50" i="47" s="1"/>
  <c r="AA58" i="47"/>
  <c r="AB58" i="47" s="1"/>
  <c r="AA44" i="47"/>
  <c r="AB44" i="47" s="1"/>
  <c r="K31" i="10"/>
  <c r="J31" i="10"/>
  <c r="K30" i="10"/>
  <c r="J30" i="10"/>
  <c r="D23" i="27"/>
  <c r="C50" i="27"/>
  <c r="Q22" i="27"/>
  <c r="R23" i="27"/>
  <c r="X47" i="25"/>
  <c r="Y46" i="25"/>
  <c r="Z46" i="25" s="1"/>
  <c r="AA56" i="47"/>
  <c r="AB56" i="47" s="1"/>
  <c r="AA52" i="47"/>
  <c r="AB52" i="47" s="1"/>
  <c r="AA53" i="47"/>
  <c r="AB53" i="47" s="1"/>
  <c r="AA42" i="47"/>
  <c r="AB42" i="47" s="1"/>
  <c r="BI7" i="26"/>
  <c r="AX7" i="26"/>
  <c r="BG7" i="26" s="1"/>
  <c r="AA42" i="25"/>
  <c r="G21" i="43"/>
  <c r="F21" i="43"/>
  <c r="G24" i="29"/>
  <c r="CS10" i="36" s="1"/>
  <c r="CQ124" i="36"/>
  <c r="CQ104" i="36"/>
  <c r="Q100" i="32"/>
  <c r="Q101" i="32" s="1"/>
  <c r="Q102" i="32" s="1"/>
  <c r="Q103" i="32" s="1"/>
  <c r="Q104" i="32" s="1"/>
  <c r="CQ105" i="36"/>
  <c r="CQ109" i="36"/>
  <c r="CQ120" i="36"/>
  <c r="CQ130" i="36"/>
  <c r="CQ115" i="36"/>
  <c r="CQ123" i="36"/>
  <c r="G23" i="29"/>
  <c r="CS9" i="36" s="1"/>
  <c r="CQ116" i="36"/>
  <c r="CQ110" i="36"/>
  <c r="CQ121" i="36"/>
  <c r="CQ127" i="36"/>
  <c r="CQ131" i="36"/>
  <c r="V101" i="32"/>
  <c r="X101" i="32" s="1"/>
  <c r="CQ106" i="36"/>
  <c r="CQ119" i="36"/>
  <c r="CQ128" i="36"/>
  <c r="CQ103" i="36"/>
  <c r="CQ122" i="36"/>
  <c r="CQ102" i="36"/>
  <c r="CQ114" i="36"/>
  <c r="CQ117" i="36"/>
  <c r="G25" i="29"/>
  <c r="CS11" i="36" s="1"/>
  <c r="CQ118" i="36"/>
  <c r="CQ107" i="36"/>
  <c r="CQ126" i="36"/>
  <c r="CQ108" i="36"/>
  <c r="CQ129" i="36"/>
  <c r="CQ125" i="36"/>
  <c r="AI10" i="46"/>
  <c r="AI11" i="46" s="1"/>
  <c r="AI12" i="46" s="1"/>
  <c r="AI13" i="46" s="1"/>
  <c r="G21" i="29"/>
  <c r="CS7" i="36" s="1"/>
  <c r="CQ75" i="36"/>
  <c r="CQ93" i="36"/>
  <c r="G19" i="29"/>
  <c r="CS5" i="36" s="1"/>
  <c r="CQ74" i="36"/>
  <c r="CQ91" i="36"/>
  <c r="CQ83" i="36"/>
  <c r="CQ95" i="36"/>
  <c r="CQ84" i="36"/>
  <c r="CQ97" i="36"/>
  <c r="CQ89" i="36"/>
  <c r="CQ76" i="36"/>
  <c r="CQ82" i="36"/>
  <c r="CQ96" i="36"/>
  <c r="V100" i="32"/>
  <c r="X100" i="32" s="1"/>
  <c r="CQ98" i="36"/>
  <c r="CQ72" i="36"/>
  <c r="CQ86" i="36"/>
  <c r="CQ73" i="36"/>
  <c r="P100" i="32"/>
  <c r="R100" i="32" s="1"/>
  <c r="CQ94" i="36"/>
  <c r="CQ77" i="36"/>
  <c r="CQ85" i="36"/>
  <c r="CQ87" i="36"/>
  <c r="CQ69" i="36"/>
  <c r="CQ71" i="36"/>
  <c r="CQ70" i="36"/>
  <c r="CQ92" i="36"/>
  <c r="CQ88" i="36"/>
  <c r="G20" i="29"/>
  <c r="CS6" i="36" s="1"/>
  <c r="CQ81" i="36"/>
  <c r="CQ90" i="36"/>
  <c r="G22" i="29"/>
  <c r="CS8" i="36" s="1"/>
  <c r="AR19" i="35"/>
  <c r="BF19" i="35"/>
  <c r="BE17" i="35"/>
  <c r="AF17" i="35"/>
  <c r="BF17" i="35"/>
  <c r="AD16" i="35"/>
  <c r="AQ18" i="35"/>
  <c r="AE17" i="35"/>
  <c r="BD19" i="35"/>
  <c r="AD17" i="35"/>
  <c r="AS17" i="35"/>
  <c r="AD18" i="35"/>
  <c r="AE18" i="35"/>
  <c r="AR17" i="35"/>
  <c r="AS19" i="35"/>
  <c r="AE16" i="35"/>
  <c r="BD18" i="35"/>
  <c r="BE19" i="35"/>
  <c r="AS18" i="35"/>
  <c r="AF19" i="35"/>
  <c r="AR18" i="35"/>
  <c r="BE18" i="35"/>
  <c r="AQ17" i="35"/>
  <c r="AE20" i="35"/>
  <c r="AR20" i="35"/>
  <c r="BE20" i="35"/>
  <c r="AD19" i="35"/>
  <c r="AS20" i="35"/>
  <c r="AQ20" i="35"/>
  <c r="BF18" i="35"/>
  <c r="AF20" i="35"/>
  <c r="AQ19" i="35"/>
  <c r="BD17" i="35"/>
  <c r="AD20" i="35"/>
  <c r="BF20" i="35"/>
  <c r="AE19" i="35"/>
  <c r="BD20" i="35"/>
  <c r="AF18" i="35"/>
  <c r="AF16" i="35"/>
  <c r="AU7" i="26"/>
  <c r="P12" i="26"/>
  <c r="Q12" i="26" s="1"/>
  <c r="O11" i="26"/>
  <c r="R11" i="26"/>
  <c r="S11" i="26"/>
  <c r="U11" i="26" s="1"/>
  <c r="BD40" i="7"/>
  <c r="CB36" i="7"/>
  <c r="AN42" i="7"/>
  <c r="BD39" i="7"/>
  <c r="DL14" i="7"/>
  <c r="AN41" i="7"/>
  <c r="CT6" i="7"/>
  <c r="BD38" i="7"/>
  <c r="BD42" i="7"/>
  <c r="BD35" i="7"/>
  <c r="AN39" i="7"/>
  <c r="CB38" i="7"/>
  <c r="CB41" i="7"/>
  <c r="AN40" i="7"/>
  <c r="AN37" i="7"/>
  <c r="AN38" i="7"/>
  <c r="BD36" i="7"/>
  <c r="BD41" i="7"/>
  <c r="AN36" i="7"/>
  <c r="O67" i="7"/>
  <c r="T74" i="7"/>
  <c r="EM9" i="7"/>
  <c r="F30" i="46"/>
  <c r="F72" i="32" s="1"/>
  <c r="F71" i="32"/>
  <c r="O118" i="32"/>
  <c r="O119" i="32" s="1"/>
  <c r="D18" i="32"/>
  <c r="E17" i="32"/>
  <c r="F17" i="32" s="1"/>
  <c r="EM5" i="7"/>
  <c r="DL12" i="7"/>
  <c r="EM11" i="7"/>
  <c r="CT10" i="7"/>
  <c r="DL11" i="7"/>
  <c r="DL9" i="7"/>
  <c r="CT7" i="7"/>
  <c r="DL8" i="7"/>
  <c r="DL6" i="7"/>
  <c r="EM14" i="7"/>
  <c r="EM4" i="7"/>
  <c r="G22" i="27"/>
  <c r="BJ59" i="36"/>
  <c r="BK59" i="36" s="1"/>
  <c r="CK68" i="36"/>
  <c r="CL68" i="36" s="1"/>
  <c r="CK145" i="36"/>
  <c r="CL145" i="36" s="1"/>
  <c r="BJ124" i="36"/>
  <c r="BK124" i="36" s="1"/>
  <c r="CK130" i="36"/>
  <c r="CL130" i="36" s="1"/>
  <c r="CK53" i="36"/>
  <c r="CL53" i="36" s="1"/>
  <c r="AR56" i="36"/>
  <c r="AS56" i="36" s="1"/>
  <c r="BS58" i="36"/>
  <c r="BT58" i="36" s="1"/>
  <c r="BA232" i="36"/>
  <c r="BB232" i="36" s="1"/>
  <c r="CK157" i="36"/>
  <c r="CL157" i="36" s="1"/>
  <c r="BS164" i="36"/>
  <c r="BT164" i="36" s="1"/>
  <c r="BS156" i="36"/>
  <c r="BT156" i="36" s="1"/>
  <c r="CK105" i="36"/>
  <c r="CL105" i="36" s="1"/>
  <c r="AR82" i="36"/>
  <c r="AS82" i="36" s="1"/>
  <c r="BJ239" i="36"/>
  <c r="BK239" i="36" s="1"/>
  <c r="Z215" i="36"/>
  <c r="AA215" i="36" s="1"/>
  <c r="CK185" i="36"/>
  <c r="CL185" i="36" s="1"/>
  <c r="BA85" i="36"/>
  <c r="BB85" i="36" s="1"/>
  <c r="CK160" i="36"/>
  <c r="CL160" i="36" s="1"/>
  <c r="BA90" i="36"/>
  <c r="BB90" i="36" s="1"/>
  <c r="BS163" i="36"/>
  <c r="BT163" i="36" s="1"/>
  <c r="BS244" i="36"/>
  <c r="BT244" i="36" s="1"/>
  <c r="BA84" i="36"/>
  <c r="BB84" i="36" s="1"/>
  <c r="AI54" i="36"/>
  <c r="AJ54" i="36" s="1"/>
  <c r="CK170" i="36"/>
  <c r="CL170" i="36" s="1"/>
  <c r="AR84" i="36"/>
  <c r="AS84" i="36" s="1"/>
  <c r="BA176" i="36"/>
  <c r="BB176" i="36" s="1"/>
  <c r="BJ234" i="36"/>
  <c r="BK234" i="36" s="1"/>
  <c r="H36" i="36"/>
  <c r="I36" i="36" s="1"/>
  <c r="BS196" i="36"/>
  <c r="BT196" i="36" s="1"/>
  <c r="CK129" i="36"/>
  <c r="CL129" i="36" s="1"/>
  <c r="H80" i="36"/>
  <c r="I80" i="36" s="1"/>
  <c r="CK96" i="36"/>
  <c r="CL96" i="36" s="1"/>
  <c r="BJ86" i="36"/>
  <c r="BK86" i="36" s="1"/>
  <c r="BA131" i="36"/>
  <c r="BB131" i="36" s="1"/>
  <c r="BJ91" i="36"/>
  <c r="BK91" i="36" s="1"/>
  <c r="CK102" i="36"/>
  <c r="CL102" i="36" s="1"/>
  <c r="CK70" i="36"/>
  <c r="CL70" i="36" s="1"/>
  <c r="CK101" i="36"/>
  <c r="CL101" i="36" s="1"/>
  <c r="BJ176" i="36"/>
  <c r="BK176" i="36" s="1"/>
  <c r="BJ174" i="36"/>
  <c r="BK174" i="36" s="1"/>
  <c r="H79" i="36"/>
  <c r="I79" i="36" s="1"/>
  <c r="Z54" i="36"/>
  <c r="AA54" i="36" s="1"/>
  <c r="CK87" i="36"/>
  <c r="CL87" i="36" s="1"/>
  <c r="CK38" i="36"/>
  <c r="CL38" i="36" s="1"/>
  <c r="BJ235" i="36"/>
  <c r="BK235" i="36" s="1"/>
  <c r="CK107" i="36"/>
  <c r="CL107" i="36" s="1"/>
  <c r="AI87" i="36"/>
  <c r="AJ87" i="36" s="1"/>
  <c r="BS173" i="36"/>
  <c r="BT173" i="36" s="1"/>
  <c r="BS172" i="36"/>
  <c r="BT172" i="36" s="1"/>
  <c r="Z217" i="36"/>
  <c r="AA217" i="36" s="1"/>
  <c r="BS162" i="36"/>
  <c r="BT162" i="36" s="1"/>
  <c r="Z169" i="36"/>
  <c r="AA169" i="36" s="1"/>
  <c r="BA243" i="36"/>
  <c r="BB243" i="36" s="1"/>
  <c r="CK131" i="36"/>
  <c r="CL131" i="36" s="1"/>
  <c r="H122" i="36"/>
  <c r="I122" i="36" s="1"/>
  <c r="BS159" i="36"/>
  <c r="BT159" i="36" s="1"/>
  <c r="CK123" i="36"/>
  <c r="CL123" i="36" s="1"/>
  <c r="BJ241" i="36"/>
  <c r="BK241" i="36" s="1"/>
  <c r="CK37" i="36"/>
  <c r="CL37" i="36" s="1"/>
  <c r="Q168" i="36"/>
  <c r="R168" i="36" s="1"/>
  <c r="Q81" i="36"/>
  <c r="R81" i="36" s="1"/>
  <c r="CK171" i="36"/>
  <c r="CL171" i="36" s="1"/>
  <c r="CK36" i="36"/>
  <c r="CL36" i="36" s="1"/>
  <c r="BA86" i="36"/>
  <c r="BB86" i="36" s="1"/>
  <c r="CK192" i="36"/>
  <c r="CL192" i="36" s="1"/>
  <c r="Q169" i="36"/>
  <c r="R169" i="36" s="1"/>
  <c r="AR51" i="36"/>
  <c r="AS51" i="36" s="1"/>
  <c r="CK106" i="36"/>
  <c r="CL106" i="36" s="1"/>
  <c r="H117" i="36"/>
  <c r="I117" i="36" s="1"/>
  <c r="BA56" i="36"/>
  <c r="BB56" i="36" s="1"/>
  <c r="Q83" i="36"/>
  <c r="R83" i="36" s="1"/>
  <c r="Z167" i="36"/>
  <c r="AA167" i="36" s="1"/>
  <c r="CK59" i="36"/>
  <c r="CL59" i="36" s="1"/>
  <c r="Z52" i="36"/>
  <c r="AA52" i="36" s="1"/>
  <c r="BA89" i="36"/>
  <c r="BB89" i="36" s="1"/>
  <c r="BA174" i="36"/>
  <c r="BB174" i="36" s="1"/>
  <c r="BA57" i="36"/>
  <c r="BB57" i="36" s="1"/>
  <c r="BJ186" i="36"/>
  <c r="BK186" i="36" s="1"/>
  <c r="Q78" i="36"/>
  <c r="R78" i="36" s="1"/>
  <c r="AR90" i="36"/>
  <c r="AS90" i="36" s="1"/>
  <c r="BS52" i="36"/>
  <c r="BT52" i="36" s="1"/>
  <c r="Z53" i="36"/>
  <c r="AA53" i="36" s="1"/>
  <c r="Z218" i="36"/>
  <c r="AA218" i="36" s="1"/>
  <c r="BA125" i="36"/>
  <c r="BB125" i="36" s="1"/>
  <c r="CK86" i="36"/>
  <c r="CL86" i="36" s="1"/>
  <c r="BA177" i="36"/>
  <c r="BB177" i="36" s="1"/>
  <c r="BA38" i="36"/>
  <c r="BB38" i="36" s="1"/>
  <c r="H37" i="36"/>
  <c r="I37" i="36" s="1"/>
  <c r="CK118" i="36"/>
  <c r="CL118" i="36" s="1"/>
  <c r="AI80" i="36"/>
  <c r="AJ80" i="36" s="1"/>
  <c r="BA81" i="36"/>
  <c r="BB81" i="36" s="1"/>
  <c r="CK155" i="36"/>
  <c r="CL155" i="36" s="1"/>
  <c r="CK69" i="36"/>
  <c r="CL69" i="36" s="1"/>
  <c r="CK147" i="36"/>
  <c r="CL147" i="36" s="1"/>
  <c r="H119" i="36"/>
  <c r="I119" i="36" s="1"/>
  <c r="BS165" i="36"/>
  <c r="BT165" i="36" s="1"/>
  <c r="H399" i="36"/>
  <c r="I399" i="36" s="1"/>
  <c r="Z79" i="36"/>
  <c r="AA79" i="36" s="1"/>
  <c r="CK141" i="36"/>
  <c r="CL141" i="36" s="1"/>
  <c r="AI52" i="36"/>
  <c r="AJ52" i="36" s="1"/>
  <c r="Q52" i="36"/>
  <c r="R52" i="36" s="1"/>
  <c r="AR128" i="36"/>
  <c r="AS128" i="36" s="1"/>
  <c r="AR87" i="36"/>
  <c r="AS87" i="36" s="1"/>
  <c r="BA124" i="36"/>
  <c r="BB124" i="36" s="1"/>
  <c r="BS85" i="36"/>
  <c r="BT85" i="36" s="1"/>
  <c r="BS131" i="36"/>
  <c r="BT131" i="36" s="1"/>
  <c r="BA184" i="36"/>
  <c r="BB184" i="36" s="1"/>
  <c r="Z118" i="36"/>
  <c r="AA118" i="36" s="1"/>
  <c r="Q84" i="36"/>
  <c r="R84" i="36" s="1"/>
  <c r="CK58" i="36"/>
  <c r="CL58" i="36" s="1"/>
  <c r="BA181" i="36"/>
  <c r="BB181" i="36" s="1"/>
  <c r="BA87" i="36"/>
  <c r="BB87" i="36" s="1"/>
  <c r="BA83" i="36"/>
  <c r="BB83" i="36" s="1"/>
  <c r="CK81" i="36"/>
  <c r="CL81" i="36" s="1"/>
  <c r="Z269" i="36"/>
  <c r="AA269" i="36" s="1"/>
  <c r="CK80" i="36"/>
  <c r="CL80" i="36" s="1"/>
  <c r="BS161" i="36"/>
  <c r="BT161" i="36" s="1"/>
  <c r="Z164" i="36"/>
  <c r="AA164" i="36" s="1"/>
  <c r="CK94" i="36"/>
  <c r="CL94" i="36" s="1"/>
  <c r="Q86" i="36"/>
  <c r="R86" i="36" s="1"/>
  <c r="BS171" i="36"/>
  <c r="BT171" i="36" s="1"/>
  <c r="Z163" i="36"/>
  <c r="AA163" i="36" s="1"/>
  <c r="AR86" i="36"/>
  <c r="AS86" i="36" s="1"/>
  <c r="CK66" i="36"/>
  <c r="CL66" i="36" s="1"/>
  <c r="AR174" i="36"/>
  <c r="AS174" i="36" s="1"/>
  <c r="AI123" i="36"/>
  <c r="AJ123" i="36" s="1"/>
  <c r="BA190" i="36"/>
  <c r="BB190" i="36" s="1"/>
  <c r="CK164" i="36"/>
  <c r="CL164" i="36" s="1"/>
  <c r="BA54" i="36"/>
  <c r="BB54" i="36" s="1"/>
  <c r="Q37" i="36"/>
  <c r="R37" i="36" s="1"/>
  <c r="Z36" i="36"/>
  <c r="AA36" i="36" s="1"/>
  <c r="BS201" i="36"/>
  <c r="BT201" i="36" s="1"/>
  <c r="CK99" i="36"/>
  <c r="CL99" i="36" s="1"/>
  <c r="AR125" i="36"/>
  <c r="AS125" i="36" s="1"/>
  <c r="AR178" i="36"/>
  <c r="AS178" i="36" s="1"/>
  <c r="BA51" i="36"/>
  <c r="BB51" i="36" s="1"/>
  <c r="Q80" i="36"/>
  <c r="R80" i="36" s="1"/>
  <c r="AI51" i="36"/>
  <c r="AJ51" i="36" s="1"/>
  <c r="BJ82" i="36"/>
  <c r="BK82" i="36" s="1"/>
  <c r="CK44" i="36"/>
  <c r="CL44" i="36" s="1"/>
  <c r="Z211" i="36"/>
  <c r="AA211" i="36" s="1"/>
  <c r="Z86" i="36"/>
  <c r="AA86" i="36" s="1"/>
  <c r="CK112" i="36"/>
  <c r="CL112" i="36" s="1"/>
  <c r="Q211" i="36"/>
  <c r="R211" i="36" s="1"/>
  <c r="CK45" i="36"/>
  <c r="CL45" i="36" s="1"/>
  <c r="Z38" i="36"/>
  <c r="AA38" i="36" s="1"/>
  <c r="BS169" i="36"/>
  <c r="BT169" i="36" s="1"/>
  <c r="BJ191" i="36"/>
  <c r="BK191" i="36" s="1"/>
  <c r="BS57" i="36"/>
  <c r="BT57" i="36" s="1"/>
  <c r="BJ188" i="36"/>
  <c r="BK188" i="36" s="1"/>
  <c r="CK63" i="36"/>
  <c r="CL63" i="36" s="1"/>
  <c r="BJ88" i="36"/>
  <c r="BK88" i="36" s="1"/>
  <c r="Z55" i="36"/>
  <c r="AA55" i="36" s="1"/>
  <c r="H167" i="36"/>
  <c r="I167" i="36" s="1"/>
  <c r="Q38" i="36"/>
  <c r="R38" i="36" s="1"/>
  <c r="BA37" i="36"/>
  <c r="BB37" i="36" s="1"/>
  <c r="CK191" i="36"/>
  <c r="CL191" i="36" s="1"/>
  <c r="Z83" i="36"/>
  <c r="AA83" i="36" s="1"/>
  <c r="AR55" i="36"/>
  <c r="AS55" i="36" s="1"/>
  <c r="AR175" i="36"/>
  <c r="AS175" i="36" s="1"/>
  <c r="Z216" i="36"/>
  <c r="AA216" i="36" s="1"/>
  <c r="BA186" i="36"/>
  <c r="BB186" i="36" s="1"/>
  <c r="BJ56" i="36"/>
  <c r="BK56" i="36" s="1"/>
  <c r="AI56" i="36"/>
  <c r="AJ56" i="36" s="1"/>
  <c r="AR130" i="36"/>
  <c r="AS130" i="36" s="1"/>
  <c r="BS240" i="36"/>
  <c r="BT240" i="36" s="1"/>
  <c r="BS197" i="36"/>
  <c r="BT197" i="36" s="1"/>
  <c r="CK97" i="36"/>
  <c r="CL97" i="36" s="1"/>
  <c r="CK120" i="36"/>
  <c r="CL120" i="36" s="1"/>
  <c r="CK95" i="36"/>
  <c r="CL95" i="36" s="1"/>
  <c r="Z80" i="36"/>
  <c r="AA80" i="36" s="1"/>
  <c r="CK132" i="36"/>
  <c r="CL132" i="36" s="1"/>
  <c r="BS38" i="36"/>
  <c r="BT38" i="36" s="1"/>
  <c r="H54" i="36"/>
  <c r="I54" i="36" s="1"/>
  <c r="CK43" i="36"/>
  <c r="CL43" i="36" s="1"/>
  <c r="CK65" i="36"/>
  <c r="CL65" i="36" s="1"/>
  <c r="CK169" i="36"/>
  <c r="CL169" i="36" s="1"/>
  <c r="AI279" i="36"/>
  <c r="AJ279" i="36" s="1"/>
  <c r="CK196" i="36"/>
  <c r="CL196" i="36" s="1"/>
  <c r="BA129" i="36"/>
  <c r="BB129" i="36" s="1"/>
  <c r="Q270" i="36"/>
  <c r="R270" i="36" s="1"/>
  <c r="CK140" i="36"/>
  <c r="CL140" i="36" s="1"/>
  <c r="AI280" i="36"/>
  <c r="AJ280" i="36" s="1"/>
  <c r="BJ81" i="36"/>
  <c r="BK81" i="36" s="1"/>
  <c r="H271" i="36"/>
  <c r="I271" i="36" s="1"/>
  <c r="CK57" i="36"/>
  <c r="CL57" i="36" s="1"/>
  <c r="Z51" i="36"/>
  <c r="AA51" i="36" s="1"/>
  <c r="CK114" i="36"/>
  <c r="CL114" i="36" s="1"/>
  <c r="H55" i="36"/>
  <c r="I55" i="36" s="1"/>
  <c r="AR83" i="36"/>
  <c r="AS83" i="36" s="1"/>
  <c r="Q54" i="36"/>
  <c r="R54" i="36" s="1"/>
  <c r="CK159" i="36"/>
  <c r="CL159" i="36" s="1"/>
  <c r="AI122" i="36"/>
  <c r="AJ122" i="36" s="1"/>
  <c r="BA128" i="36"/>
  <c r="BB128" i="36" s="1"/>
  <c r="Z78" i="36"/>
  <c r="AA78" i="36" s="1"/>
  <c r="BS55" i="36"/>
  <c r="BT55" i="36" s="1"/>
  <c r="Q167" i="36"/>
  <c r="R167" i="36" s="1"/>
  <c r="AR179" i="36"/>
  <c r="AS179" i="36" s="1"/>
  <c r="CK103" i="36"/>
  <c r="CL103" i="36" s="1"/>
  <c r="H85" i="36"/>
  <c r="I85" i="36" s="1"/>
  <c r="BS54" i="36"/>
  <c r="BT54" i="36" s="1"/>
  <c r="BS166" i="36"/>
  <c r="BT166" i="36" s="1"/>
  <c r="BA91" i="36"/>
  <c r="BB91" i="36" s="1"/>
  <c r="Z165" i="36"/>
  <c r="AA165" i="36" s="1"/>
  <c r="BJ87" i="36"/>
  <c r="BK87" i="36" s="1"/>
  <c r="BJ125" i="36"/>
  <c r="BK125" i="36" s="1"/>
  <c r="Z81" i="36"/>
  <c r="AA81" i="36" s="1"/>
  <c r="AR89" i="36"/>
  <c r="AS89" i="36" s="1"/>
  <c r="BJ52" i="36"/>
  <c r="BK52" i="36" s="1"/>
  <c r="Z170" i="36"/>
  <c r="AA170" i="36" s="1"/>
  <c r="BJ54" i="36"/>
  <c r="BK54" i="36" s="1"/>
  <c r="BA126" i="36"/>
  <c r="BB126" i="36" s="1"/>
  <c r="H86" i="36"/>
  <c r="I86" i="36" s="1"/>
  <c r="AI169" i="36"/>
  <c r="AJ169" i="36" s="1"/>
  <c r="AI55" i="36"/>
  <c r="AJ55" i="36" s="1"/>
  <c r="BJ185" i="36"/>
  <c r="BK185" i="36" s="1"/>
  <c r="CK146" i="36"/>
  <c r="CL146" i="36" s="1"/>
  <c r="BS158" i="36"/>
  <c r="BT158" i="36" s="1"/>
  <c r="BS123" i="36"/>
  <c r="BT123" i="36" s="1"/>
  <c r="BS157" i="36"/>
  <c r="BT157" i="36" s="1"/>
  <c r="CK78" i="36"/>
  <c r="CL78" i="36" s="1"/>
  <c r="H53" i="36"/>
  <c r="I53" i="36" s="1"/>
  <c r="BJ131" i="36"/>
  <c r="BK131" i="36" s="1"/>
  <c r="BS87" i="36"/>
  <c r="BT87" i="36" s="1"/>
  <c r="Z212" i="36"/>
  <c r="AA212" i="36" s="1"/>
  <c r="AI176" i="36"/>
  <c r="AJ176" i="36" s="1"/>
  <c r="BS130" i="36"/>
  <c r="BT130" i="36" s="1"/>
  <c r="CK181" i="36"/>
  <c r="CL181" i="36" s="1"/>
  <c r="CK136" i="36"/>
  <c r="CL136" i="36" s="1"/>
  <c r="Q119" i="36"/>
  <c r="R119" i="36" s="1"/>
  <c r="AR37" i="36"/>
  <c r="AS37" i="36" s="1"/>
  <c r="BA305" i="36"/>
  <c r="BB305" i="36" s="1"/>
  <c r="BA134" i="36"/>
  <c r="BB134" i="36" s="1"/>
  <c r="Q212" i="36"/>
  <c r="R212" i="36" s="1"/>
  <c r="H169" i="36"/>
  <c r="I169" i="36" s="1"/>
  <c r="CK93" i="36"/>
  <c r="CL93" i="36" s="1"/>
  <c r="BS81" i="36"/>
  <c r="BT81" i="36" s="1"/>
  <c r="Q117" i="36"/>
  <c r="R117" i="36" s="1"/>
  <c r="AI81" i="36"/>
  <c r="AJ81" i="36" s="1"/>
  <c r="Z214" i="36"/>
  <c r="AA214" i="36" s="1"/>
  <c r="BA187" i="36"/>
  <c r="BB187" i="36" s="1"/>
  <c r="BJ126" i="36"/>
  <c r="BK126" i="36" s="1"/>
  <c r="CK194" i="36"/>
  <c r="CL194" i="36" s="1"/>
  <c r="BS134" i="36"/>
  <c r="BT134" i="36" s="1"/>
  <c r="AI409" i="36"/>
  <c r="AJ409" i="36" s="1"/>
  <c r="BS239" i="36"/>
  <c r="BT239" i="36" s="1"/>
  <c r="CK98" i="36"/>
  <c r="CL98" i="36" s="1"/>
  <c r="CK186" i="36"/>
  <c r="CL186" i="36" s="1"/>
  <c r="Q51" i="36"/>
  <c r="R51" i="36" s="1"/>
  <c r="H211" i="36"/>
  <c r="I211" i="36" s="1"/>
  <c r="Q53" i="36"/>
  <c r="R53" i="36" s="1"/>
  <c r="CK143" i="36"/>
  <c r="CL143" i="36" s="1"/>
  <c r="BS415" i="36"/>
  <c r="BT415" i="36" s="1"/>
  <c r="BJ244" i="36"/>
  <c r="BK244" i="36" s="1"/>
  <c r="CK137" i="36"/>
  <c r="CL137" i="36" s="1"/>
  <c r="H38" i="36"/>
  <c r="I38" i="36" s="1"/>
  <c r="BA303" i="36"/>
  <c r="BB303" i="36" s="1"/>
  <c r="BS170" i="36"/>
  <c r="BT170" i="36" s="1"/>
  <c r="CK75" i="36"/>
  <c r="CL75" i="36" s="1"/>
  <c r="H81" i="36"/>
  <c r="I81" i="36" s="1"/>
  <c r="AR54" i="36"/>
  <c r="AS54" i="36" s="1"/>
  <c r="H218" i="36"/>
  <c r="I218" i="36" s="1"/>
  <c r="AR180" i="36"/>
  <c r="AS180" i="36" s="1"/>
  <c r="CK84" i="36"/>
  <c r="CL84" i="36" s="1"/>
  <c r="BS84" i="36"/>
  <c r="BT84" i="36" s="1"/>
  <c r="BS133" i="36"/>
  <c r="BT133" i="36" s="1"/>
  <c r="BA53" i="36"/>
  <c r="BB53" i="36" s="1"/>
  <c r="Q333" i="36"/>
  <c r="R333" i="36" s="1"/>
  <c r="CK195" i="36"/>
  <c r="CL195" i="36" s="1"/>
  <c r="H121" i="36"/>
  <c r="I121" i="36" s="1"/>
  <c r="BJ242" i="36"/>
  <c r="BK242" i="36" s="1"/>
  <c r="AR176" i="36"/>
  <c r="AS176" i="36" s="1"/>
  <c r="BS238" i="36"/>
  <c r="BT238" i="36" s="1"/>
  <c r="Q170" i="36"/>
  <c r="R170" i="36" s="1"/>
  <c r="Z56" i="36"/>
  <c r="AA56" i="36" s="1"/>
  <c r="Z82" i="36"/>
  <c r="AA82" i="36" s="1"/>
  <c r="BJ85" i="36"/>
  <c r="BK85" i="36" s="1"/>
  <c r="Q166" i="36"/>
  <c r="R166" i="36" s="1"/>
  <c r="BS91" i="36"/>
  <c r="BT91" i="36" s="1"/>
  <c r="BS204" i="36"/>
  <c r="BT204" i="36" s="1"/>
  <c r="AI36" i="36"/>
  <c r="AJ36" i="36" s="1"/>
  <c r="AI226" i="36"/>
  <c r="AJ226" i="36" s="1"/>
  <c r="AR291" i="36"/>
  <c r="AS291" i="36" s="1"/>
  <c r="H165" i="36"/>
  <c r="I165" i="36" s="1"/>
  <c r="BJ183" i="36"/>
  <c r="BK183" i="36" s="1"/>
  <c r="Q217" i="36"/>
  <c r="R217" i="36" s="1"/>
  <c r="Q118" i="36"/>
  <c r="R118" i="36" s="1"/>
  <c r="BS245" i="36"/>
  <c r="BT245" i="36" s="1"/>
  <c r="H51" i="36"/>
  <c r="I51" i="36" s="1"/>
  <c r="CK187" i="36"/>
  <c r="CL187" i="36" s="1"/>
  <c r="BJ58" i="36"/>
  <c r="BK58" i="36" s="1"/>
  <c r="Q272" i="36"/>
  <c r="R272" i="36" s="1"/>
  <c r="BA132" i="36"/>
  <c r="BB132" i="36" s="1"/>
  <c r="CK67" i="36"/>
  <c r="CL67" i="36" s="1"/>
  <c r="BS82" i="36"/>
  <c r="BT82" i="36" s="1"/>
  <c r="BA369" i="36"/>
  <c r="BB369" i="36" s="1"/>
  <c r="CK138" i="36"/>
  <c r="CL138" i="36" s="1"/>
  <c r="BS167" i="36"/>
  <c r="BT167" i="36" s="1"/>
  <c r="CK158" i="36"/>
  <c r="CL158" i="36" s="1"/>
  <c r="CK100" i="36"/>
  <c r="CL100" i="36" s="1"/>
  <c r="CK82" i="36"/>
  <c r="CL82" i="36" s="1"/>
  <c r="AR233" i="36"/>
  <c r="AS233" i="36" s="1"/>
  <c r="CK179" i="36"/>
  <c r="CL179" i="36" s="1"/>
  <c r="CK119" i="36"/>
  <c r="CL119" i="36" s="1"/>
  <c r="BS86" i="36"/>
  <c r="BT86" i="36" s="1"/>
  <c r="H168" i="36"/>
  <c r="I168" i="36" s="1"/>
  <c r="AI125" i="36"/>
  <c r="AJ125" i="36" s="1"/>
  <c r="Q164" i="36"/>
  <c r="R164" i="36" s="1"/>
  <c r="BA127" i="36"/>
  <c r="BB127" i="36" s="1"/>
  <c r="BA55" i="36"/>
  <c r="BB55" i="36" s="1"/>
  <c r="BJ83" i="36"/>
  <c r="BK83" i="36" s="1"/>
  <c r="BJ133" i="36"/>
  <c r="BK133" i="36" s="1"/>
  <c r="H52" i="36"/>
  <c r="I52" i="36" s="1"/>
  <c r="AI222" i="36"/>
  <c r="AJ222" i="36" s="1"/>
  <c r="BJ57" i="36"/>
  <c r="BK57" i="36" s="1"/>
  <c r="AI219" i="36"/>
  <c r="AJ219" i="36" s="1"/>
  <c r="CK85" i="36"/>
  <c r="CL85" i="36" s="1"/>
  <c r="CK162" i="36"/>
  <c r="CL162" i="36" s="1"/>
  <c r="CK135" i="36"/>
  <c r="CL135" i="36" s="1"/>
  <c r="BA235" i="36"/>
  <c r="BB235" i="36" s="1"/>
  <c r="H84" i="36"/>
  <c r="I84" i="36" s="1"/>
  <c r="Z162" i="36"/>
  <c r="AA162" i="36" s="1"/>
  <c r="AR38" i="36"/>
  <c r="AS38" i="36" s="1"/>
  <c r="BJ187" i="36"/>
  <c r="BK187" i="36" s="1"/>
  <c r="BJ130" i="36"/>
  <c r="BK130" i="36" s="1"/>
  <c r="AI85" i="36"/>
  <c r="AJ85" i="36" s="1"/>
  <c r="BJ132" i="36"/>
  <c r="BK132" i="36" s="1"/>
  <c r="BJ90" i="36"/>
  <c r="BK90" i="36" s="1"/>
  <c r="BA36" i="36"/>
  <c r="BB36" i="36" s="1"/>
  <c r="BJ245" i="36"/>
  <c r="BK245" i="36" s="1"/>
  <c r="Q218" i="36"/>
  <c r="R218" i="36" s="1"/>
  <c r="CK64" i="36"/>
  <c r="CL64" i="36" s="1"/>
  <c r="CK116" i="36"/>
  <c r="CL116" i="36" s="1"/>
  <c r="AI174" i="36"/>
  <c r="AJ174" i="36" s="1"/>
  <c r="CK104" i="36"/>
  <c r="CL104" i="36" s="1"/>
  <c r="AI82" i="36"/>
  <c r="AJ82" i="36" s="1"/>
  <c r="BJ180" i="36"/>
  <c r="BK180" i="36" s="1"/>
  <c r="BS127" i="36"/>
  <c r="BT127" i="36" s="1"/>
  <c r="AI121" i="36"/>
  <c r="AJ121" i="36" s="1"/>
  <c r="H56" i="36"/>
  <c r="I56" i="36" s="1"/>
  <c r="BA240" i="36"/>
  <c r="BB240" i="36" s="1"/>
  <c r="AI37" i="36"/>
  <c r="AJ37" i="36" s="1"/>
  <c r="BA238" i="36"/>
  <c r="BB238" i="36" s="1"/>
  <c r="BA241" i="36"/>
  <c r="BB241" i="36" s="1"/>
  <c r="BA242" i="36"/>
  <c r="BB242" i="36" s="1"/>
  <c r="BJ189" i="36"/>
  <c r="BK189" i="36" s="1"/>
  <c r="Q213" i="36"/>
  <c r="R213" i="36" s="1"/>
  <c r="CK79" i="36"/>
  <c r="CL79" i="36" s="1"/>
  <c r="BA180" i="36"/>
  <c r="BB180" i="36" s="1"/>
  <c r="H118" i="36"/>
  <c r="I118" i="36" s="1"/>
  <c r="AI171" i="36"/>
  <c r="AJ171" i="36" s="1"/>
  <c r="Z268" i="36"/>
  <c r="AA268" i="36" s="1"/>
  <c r="AI218" i="36"/>
  <c r="AJ218" i="36" s="1"/>
  <c r="AR355" i="36"/>
  <c r="AS355" i="36" s="1"/>
  <c r="BJ300" i="36"/>
  <c r="BK300" i="36" s="1"/>
  <c r="Q162" i="36"/>
  <c r="R162" i="36" s="1"/>
  <c r="BA244" i="36"/>
  <c r="BB244" i="36" s="1"/>
  <c r="BJ240" i="36"/>
  <c r="BK240" i="36" s="1"/>
  <c r="CK125" i="36"/>
  <c r="CL125" i="36" s="1"/>
  <c r="BS56" i="36"/>
  <c r="BT56" i="36" s="1"/>
  <c r="BS92" i="36"/>
  <c r="BT92" i="36" s="1"/>
  <c r="BS299" i="36"/>
  <c r="BT299" i="36" s="1"/>
  <c r="H212" i="36"/>
  <c r="I212" i="36" s="1"/>
  <c r="BS419" i="36"/>
  <c r="BT419" i="36" s="1"/>
  <c r="BA237" i="36"/>
  <c r="BB237" i="36" s="1"/>
  <c r="CK115" i="36"/>
  <c r="CL115" i="36" s="1"/>
  <c r="AI173" i="36"/>
  <c r="AJ173" i="36" s="1"/>
  <c r="BA58" i="36"/>
  <c r="BB58" i="36" s="1"/>
  <c r="BS346" i="36"/>
  <c r="BT346" i="36" s="1"/>
  <c r="BA183" i="36"/>
  <c r="BB183" i="36" s="1"/>
  <c r="AI170" i="36"/>
  <c r="AJ170" i="36" s="1"/>
  <c r="BJ38" i="36"/>
  <c r="BK38" i="36" s="1"/>
  <c r="CK178" i="36"/>
  <c r="CL178" i="36" s="1"/>
  <c r="BS88" i="36"/>
  <c r="BT88" i="36" s="1"/>
  <c r="CK76" i="36"/>
  <c r="CL76" i="36" s="1"/>
  <c r="BS132" i="36"/>
  <c r="BT132" i="36" s="1"/>
  <c r="BS353" i="36"/>
  <c r="BT353" i="36" s="1"/>
  <c r="BS37" i="36"/>
  <c r="BT37" i="36" s="1"/>
  <c r="BJ306" i="36"/>
  <c r="BK306" i="36" s="1"/>
  <c r="CK163" i="36"/>
  <c r="CL163" i="36" s="1"/>
  <c r="Z168" i="36"/>
  <c r="AA168" i="36" s="1"/>
  <c r="BA92" i="36"/>
  <c r="BB92" i="36" s="1"/>
  <c r="BS36" i="36"/>
  <c r="BT36" i="36" s="1"/>
  <c r="AI38" i="36"/>
  <c r="AJ38" i="36" s="1"/>
  <c r="AI83" i="36"/>
  <c r="AJ83" i="36" s="1"/>
  <c r="CK52" i="36"/>
  <c r="CL52" i="36" s="1"/>
  <c r="BA175" i="36"/>
  <c r="BB175" i="36" s="1"/>
  <c r="Z122" i="36"/>
  <c r="AA122" i="36" s="1"/>
  <c r="BA236" i="36"/>
  <c r="BB236" i="36" s="1"/>
  <c r="AR234" i="36"/>
  <c r="AS234" i="36" s="1"/>
  <c r="AR232" i="36"/>
  <c r="AS232" i="36" s="1"/>
  <c r="H170" i="36"/>
  <c r="I170" i="36" s="1"/>
  <c r="BS248" i="36"/>
  <c r="BT248" i="36" s="1"/>
  <c r="AR358" i="36"/>
  <c r="AS358" i="36" s="1"/>
  <c r="BS405" i="36"/>
  <c r="BT405" i="36" s="1"/>
  <c r="CK113" i="36"/>
  <c r="CL113" i="36" s="1"/>
  <c r="CK180" i="36"/>
  <c r="CL180" i="36" s="1"/>
  <c r="AI277" i="36"/>
  <c r="AJ277" i="36" s="1"/>
  <c r="Z84" i="36"/>
  <c r="AA84" i="36" s="1"/>
  <c r="AR228" i="36"/>
  <c r="AS228" i="36" s="1"/>
  <c r="CK189" i="36"/>
  <c r="CL189" i="36" s="1"/>
  <c r="AI223" i="36"/>
  <c r="AJ223" i="36" s="1"/>
  <c r="BJ84" i="36"/>
  <c r="BK84" i="36" s="1"/>
  <c r="CK89" i="36"/>
  <c r="CL89" i="36" s="1"/>
  <c r="H331" i="36"/>
  <c r="I331" i="36" s="1"/>
  <c r="CK77" i="36"/>
  <c r="CL77" i="36" s="1"/>
  <c r="Z270" i="36"/>
  <c r="AA270" i="36" s="1"/>
  <c r="Z121" i="36"/>
  <c r="AA121" i="36" s="1"/>
  <c r="BS407" i="36"/>
  <c r="BT407" i="36" s="1"/>
  <c r="BJ128" i="36"/>
  <c r="BK128" i="36" s="1"/>
  <c r="BS126" i="36"/>
  <c r="BT126" i="36" s="1"/>
  <c r="Q120" i="36"/>
  <c r="R120" i="36" s="1"/>
  <c r="BS125" i="36"/>
  <c r="BT125" i="36" s="1"/>
  <c r="Q122" i="36"/>
  <c r="R122" i="36" s="1"/>
  <c r="H269" i="36"/>
  <c r="I269" i="36" s="1"/>
  <c r="Q335" i="36"/>
  <c r="R335" i="36" s="1"/>
  <c r="BS295" i="36"/>
  <c r="BT295" i="36" s="1"/>
  <c r="BJ53" i="36"/>
  <c r="BK53" i="36" s="1"/>
  <c r="Q82" i="36"/>
  <c r="R82" i="36" s="1"/>
  <c r="BA191" i="36"/>
  <c r="BB191" i="36" s="1"/>
  <c r="CK71" i="36"/>
  <c r="CL71" i="36" s="1"/>
  <c r="CK177" i="36"/>
  <c r="CL177" i="36" s="1"/>
  <c r="BS128" i="36"/>
  <c r="BT128" i="36" s="1"/>
  <c r="BJ51" i="36"/>
  <c r="BK51" i="36" s="1"/>
  <c r="BS59" i="36"/>
  <c r="BT59" i="36" s="1"/>
  <c r="BS202" i="36"/>
  <c r="BT202" i="36" s="1"/>
  <c r="BA133" i="36"/>
  <c r="BB133" i="36" s="1"/>
  <c r="CK154" i="36"/>
  <c r="CL154" i="36" s="1"/>
  <c r="Q214" i="36"/>
  <c r="R214" i="36" s="1"/>
  <c r="AI84" i="36"/>
  <c r="AJ84" i="36" s="1"/>
  <c r="AR53" i="36"/>
  <c r="AS53" i="36" s="1"/>
  <c r="CK197" i="36"/>
  <c r="CL197" i="36" s="1"/>
  <c r="BA245" i="36"/>
  <c r="BB245" i="36" s="1"/>
  <c r="AR127" i="36"/>
  <c r="AS127" i="36" s="1"/>
  <c r="BS89" i="36"/>
  <c r="BT89" i="36" s="1"/>
  <c r="BA59" i="36"/>
  <c r="BB59" i="36" s="1"/>
  <c r="AI224" i="36"/>
  <c r="AJ224" i="36" s="1"/>
  <c r="CK139" i="36"/>
  <c r="CL139" i="36" s="1"/>
  <c r="CK184" i="36"/>
  <c r="CL184" i="36" s="1"/>
  <c r="AI489" i="36"/>
  <c r="AJ489" i="36" s="1"/>
  <c r="Q332" i="36"/>
  <c r="R332" i="36" s="1"/>
  <c r="BS296" i="36"/>
  <c r="BT296" i="36" s="1"/>
  <c r="BJ236" i="36"/>
  <c r="BK236" i="36" s="1"/>
  <c r="CK193" i="36"/>
  <c r="CL193" i="36" s="1"/>
  <c r="BA52" i="36"/>
  <c r="BB52" i="36" s="1"/>
  <c r="CK166" i="36"/>
  <c r="CL166" i="36" s="1"/>
  <c r="Z120" i="36"/>
  <c r="AA120" i="36" s="1"/>
  <c r="CK111" i="36"/>
  <c r="CL111" i="36" s="1"/>
  <c r="Z395" i="36"/>
  <c r="AA395" i="36" s="1"/>
  <c r="BJ184" i="36"/>
  <c r="BK184" i="36" s="1"/>
  <c r="BA179" i="36"/>
  <c r="BB179" i="36" s="1"/>
  <c r="BA178" i="36"/>
  <c r="BB178" i="36" s="1"/>
  <c r="Q36" i="36"/>
  <c r="R36" i="36" s="1"/>
  <c r="Q79" i="36"/>
  <c r="R79" i="36" s="1"/>
  <c r="CK47" i="36"/>
  <c r="CL47" i="36" s="1"/>
  <c r="BS168" i="36"/>
  <c r="BT168" i="36" s="1"/>
  <c r="Z119" i="36"/>
  <c r="AA119" i="36" s="1"/>
  <c r="AI221" i="36"/>
  <c r="AJ221" i="36" s="1"/>
  <c r="CK190" i="36"/>
  <c r="CL190" i="36" s="1"/>
  <c r="CK56" i="36"/>
  <c r="CL56" i="36" s="1"/>
  <c r="BJ123" i="36"/>
  <c r="BK123" i="36" s="1"/>
  <c r="BJ296" i="36"/>
  <c r="BK296" i="36" s="1"/>
  <c r="BA82" i="36"/>
  <c r="BB82" i="36" s="1"/>
  <c r="BA189" i="36"/>
  <c r="BB189" i="36" s="1"/>
  <c r="CK42" i="36"/>
  <c r="CL42" i="36" s="1"/>
  <c r="AI168" i="36"/>
  <c r="AJ168" i="36" s="1"/>
  <c r="AI53" i="36"/>
  <c r="AJ53" i="36" s="1"/>
  <c r="AI126" i="36"/>
  <c r="AJ126" i="36" s="1"/>
  <c r="BJ190" i="36"/>
  <c r="BK190" i="36" s="1"/>
  <c r="CK46" i="36"/>
  <c r="CL46" i="36" s="1"/>
  <c r="Z37" i="36"/>
  <c r="AA37" i="36" s="1"/>
  <c r="CK156" i="36"/>
  <c r="CL156" i="36" s="1"/>
  <c r="Z330" i="36"/>
  <c r="AA330" i="36" s="1"/>
  <c r="AR85" i="36"/>
  <c r="AS85" i="36" s="1"/>
  <c r="CK83" i="36"/>
  <c r="CL83" i="36" s="1"/>
  <c r="CK54" i="36"/>
  <c r="CL54" i="36" s="1"/>
  <c r="BJ37" i="36"/>
  <c r="BK37" i="36" s="1"/>
  <c r="CK134" i="36"/>
  <c r="CL134" i="36" s="1"/>
  <c r="BJ92" i="36"/>
  <c r="BK92" i="36" s="1"/>
  <c r="H164" i="36"/>
  <c r="I164" i="36" s="1"/>
  <c r="H78" i="36"/>
  <c r="I78" i="36" s="1"/>
  <c r="BS124" i="36"/>
  <c r="BT124" i="36" s="1"/>
  <c r="CK183" i="36"/>
  <c r="CL183" i="36" s="1"/>
  <c r="CK117" i="36"/>
  <c r="CL117" i="36" s="1"/>
  <c r="BS246" i="36"/>
  <c r="BT246" i="36" s="1"/>
  <c r="Q215" i="36"/>
  <c r="R215" i="36" s="1"/>
  <c r="AI88" i="36"/>
  <c r="AJ88" i="36" s="1"/>
  <c r="AI282" i="36"/>
  <c r="AJ282" i="36" s="1"/>
  <c r="CK88" i="36"/>
  <c r="CL88" i="36" s="1"/>
  <c r="CK152" i="36"/>
  <c r="CL152" i="36" s="1"/>
  <c r="BA88" i="36"/>
  <c r="BB88" i="36" s="1"/>
  <c r="Q85" i="36"/>
  <c r="R85" i="36" s="1"/>
  <c r="BJ302" i="36"/>
  <c r="BK302" i="36" s="1"/>
  <c r="AI225" i="36"/>
  <c r="AJ225" i="36" s="1"/>
  <c r="CK142" i="36"/>
  <c r="CL142" i="36" s="1"/>
  <c r="BS53" i="36"/>
  <c r="BT53" i="36" s="1"/>
  <c r="BA231" i="36"/>
  <c r="BB231" i="36" s="1"/>
  <c r="BS160" i="36"/>
  <c r="BT160" i="36" s="1"/>
  <c r="CK51" i="36"/>
  <c r="CL51" i="36" s="1"/>
  <c r="BS298" i="36"/>
  <c r="BT298" i="36" s="1"/>
  <c r="H163" i="36"/>
  <c r="I163" i="36" s="1"/>
  <c r="AI278" i="36"/>
  <c r="AJ278" i="36" s="1"/>
  <c r="BA370" i="36"/>
  <c r="BB370" i="36" s="1"/>
  <c r="BA298" i="36"/>
  <c r="BB298" i="36" s="1"/>
  <c r="AR226" i="36"/>
  <c r="AS226" i="36" s="1"/>
  <c r="H162" i="36"/>
  <c r="I162" i="36" s="1"/>
  <c r="BS351" i="36"/>
  <c r="BT351" i="36" s="1"/>
  <c r="BJ298" i="36"/>
  <c r="BK298" i="36" s="1"/>
  <c r="BA453" i="36"/>
  <c r="BB453" i="36" s="1"/>
  <c r="Q165" i="36"/>
  <c r="R165" i="36" s="1"/>
  <c r="BJ182" i="36"/>
  <c r="BK182" i="36" s="1"/>
  <c r="CK144" i="36"/>
  <c r="CL144" i="36" s="1"/>
  <c r="BJ55" i="36"/>
  <c r="BK55" i="36" s="1"/>
  <c r="Z399" i="36"/>
  <c r="AA399" i="36" s="1"/>
  <c r="BJ175" i="36"/>
  <c r="BK175" i="36" s="1"/>
  <c r="AR182" i="36"/>
  <c r="AS182" i="36" s="1"/>
  <c r="BS129" i="36"/>
  <c r="BT129" i="36" s="1"/>
  <c r="BJ232" i="36"/>
  <c r="BK232" i="36" s="1"/>
  <c r="BJ177" i="36"/>
  <c r="BK177" i="36" s="1"/>
  <c r="AR359" i="36"/>
  <c r="AS359" i="36" s="1"/>
  <c r="Q216" i="36"/>
  <c r="R216" i="36" s="1"/>
  <c r="BJ297" i="36"/>
  <c r="BK297" i="36" s="1"/>
  <c r="BA532" i="36"/>
  <c r="BB532" i="36" s="1"/>
  <c r="BJ380" i="36"/>
  <c r="BK380" i="36" s="1"/>
  <c r="AR88" i="36"/>
  <c r="AS88" i="36" s="1"/>
  <c r="Q121" i="36"/>
  <c r="R121" i="36" s="1"/>
  <c r="CK167" i="36"/>
  <c r="CL167" i="36" s="1"/>
  <c r="CK121" i="36"/>
  <c r="CL121" i="36" s="1"/>
  <c r="Q470" i="36"/>
  <c r="R470" i="36" s="1"/>
  <c r="BA371" i="36"/>
  <c r="BB371" i="36" s="1"/>
  <c r="BS205" i="36"/>
  <c r="BT205" i="36" s="1"/>
  <c r="CK133" i="36"/>
  <c r="CL133" i="36" s="1"/>
  <c r="BJ129" i="36"/>
  <c r="BK129" i="36" s="1"/>
  <c r="AR290" i="36"/>
  <c r="AS290" i="36" s="1"/>
  <c r="Q269" i="36"/>
  <c r="R269" i="36" s="1"/>
  <c r="H215" i="36"/>
  <c r="I215" i="36" s="1"/>
  <c r="BA297" i="36"/>
  <c r="BB297" i="36" s="1"/>
  <c r="BA234" i="36"/>
  <c r="BB234" i="36" s="1"/>
  <c r="BA130" i="36"/>
  <c r="BB130" i="36" s="1"/>
  <c r="H217" i="36"/>
  <c r="I217" i="36" s="1"/>
  <c r="AR36" i="36"/>
  <c r="AS36" i="36" s="1"/>
  <c r="H268" i="36"/>
  <c r="I268" i="36" s="1"/>
  <c r="AR292" i="36"/>
  <c r="AS292" i="36" s="1"/>
  <c r="Z213" i="36"/>
  <c r="AA213" i="36" s="1"/>
  <c r="H213" i="36"/>
  <c r="I213" i="36" s="1"/>
  <c r="BS291" i="36"/>
  <c r="BT291" i="36" s="1"/>
  <c r="H216" i="36"/>
  <c r="I216" i="36" s="1"/>
  <c r="AR129" i="36"/>
  <c r="AS129" i="36" s="1"/>
  <c r="AR287" i="36"/>
  <c r="AS287" i="36" s="1"/>
  <c r="AR354" i="36"/>
  <c r="AS354" i="36" s="1"/>
  <c r="BA448" i="36"/>
  <c r="BB448" i="36" s="1"/>
  <c r="BA304" i="36"/>
  <c r="BB304" i="36" s="1"/>
  <c r="BA182" i="36"/>
  <c r="BB182" i="36" s="1"/>
  <c r="AR126" i="36"/>
  <c r="AS126" i="36" s="1"/>
  <c r="BJ231" i="36"/>
  <c r="BK231" i="36" s="1"/>
  <c r="BS195" i="36"/>
  <c r="BT195" i="36" s="1"/>
  <c r="BJ36" i="36"/>
  <c r="BK36" i="36" s="1"/>
  <c r="BS293" i="36"/>
  <c r="BT293" i="36" s="1"/>
  <c r="AI342" i="36"/>
  <c r="AJ342" i="36" s="1"/>
  <c r="BS302" i="36"/>
  <c r="BT302" i="36" s="1"/>
  <c r="BA376" i="36"/>
  <c r="BB376" i="36" s="1"/>
  <c r="BS51" i="36"/>
  <c r="BT51" i="36" s="1"/>
  <c r="Q55" i="36"/>
  <c r="R55" i="36" s="1"/>
  <c r="BA233" i="36"/>
  <c r="BB233" i="36" s="1"/>
  <c r="CK168" i="36"/>
  <c r="CL168" i="36" s="1"/>
  <c r="H120" i="36"/>
  <c r="I120" i="36" s="1"/>
  <c r="AR360" i="36"/>
  <c r="AS360" i="36" s="1"/>
  <c r="H82" i="36"/>
  <c r="I82" i="36" s="1"/>
  <c r="CK122" i="36"/>
  <c r="CL122" i="36" s="1"/>
  <c r="BA301" i="36"/>
  <c r="BB301" i="36" s="1"/>
  <c r="BA188" i="36"/>
  <c r="BB188" i="36" s="1"/>
  <c r="Z166" i="36"/>
  <c r="AA166" i="36" s="1"/>
  <c r="AR230" i="36"/>
  <c r="AS230" i="36" s="1"/>
  <c r="BJ89" i="36"/>
  <c r="BK89" i="36" s="1"/>
  <c r="CK153" i="36"/>
  <c r="CL153" i="36" s="1"/>
  <c r="BJ178" i="36"/>
  <c r="BK178" i="36" s="1"/>
  <c r="BJ307" i="36"/>
  <c r="BK307" i="36" s="1"/>
  <c r="BA295" i="36"/>
  <c r="BB295" i="36" s="1"/>
  <c r="BA536" i="36"/>
  <c r="BB536" i="36" s="1"/>
  <c r="BJ127" i="36"/>
  <c r="BK127" i="36" s="1"/>
  <c r="BA239" i="36"/>
  <c r="BB239" i="36" s="1"/>
  <c r="BS203" i="36"/>
  <c r="BT203" i="36" s="1"/>
  <c r="BJ134" i="36"/>
  <c r="BK134" i="36" s="1"/>
  <c r="BS206" i="36"/>
  <c r="BT206" i="36" s="1"/>
  <c r="AR426" i="36"/>
  <c r="AS426" i="36" s="1"/>
  <c r="BS241" i="36"/>
  <c r="BT241" i="36" s="1"/>
  <c r="Z333" i="36"/>
  <c r="AA333" i="36" s="1"/>
  <c r="BJ367" i="36"/>
  <c r="BK367" i="36" s="1"/>
  <c r="CK188" i="36"/>
  <c r="CL188" i="36" s="1"/>
  <c r="BS301" i="36"/>
  <c r="BT301" i="36" s="1"/>
  <c r="BS409" i="36"/>
  <c r="BT409" i="36" s="1"/>
  <c r="H83" i="36"/>
  <c r="I83" i="36" s="1"/>
  <c r="AI86" i="36"/>
  <c r="AJ86" i="36" s="1"/>
  <c r="Z85" i="36"/>
  <c r="AA85" i="36" s="1"/>
  <c r="BJ233" i="36"/>
  <c r="BK233" i="36" s="1"/>
  <c r="BA372" i="36"/>
  <c r="BB372" i="36" s="1"/>
  <c r="Q163" i="36"/>
  <c r="R163" i="36" s="1"/>
  <c r="Q399" i="36"/>
  <c r="R399" i="36" s="1"/>
  <c r="AR227" i="36"/>
  <c r="AS227" i="36" s="1"/>
  <c r="BJ377" i="36"/>
  <c r="BK377" i="36" s="1"/>
  <c r="BJ238" i="36"/>
  <c r="BK238" i="36" s="1"/>
  <c r="BJ179" i="36"/>
  <c r="BK179" i="36" s="1"/>
  <c r="AR52" i="36"/>
  <c r="AS52" i="36" s="1"/>
  <c r="BJ375" i="36"/>
  <c r="BK375" i="36" s="1"/>
  <c r="BJ295" i="36"/>
  <c r="BK295" i="36" s="1"/>
  <c r="CK124" i="36"/>
  <c r="CL124" i="36" s="1"/>
  <c r="BS83" i="36"/>
  <c r="BT83" i="36" s="1"/>
  <c r="AI175" i="36"/>
  <c r="AJ175" i="36" s="1"/>
  <c r="Q331" i="36"/>
  <c r="R331" i="36" s="1"/>
  <c r="Z210" i="36"/>
  <c r="AA210" i="36" s="1"/>
  <c r="Z398" i="36"/>
  <c r="AA398" i="36" s="1"/>
  <c r="BJ376" i="36"/>
  <c r="BK376" i="36" s="1"/>
  <c r="BS243" i="36"/>
  <c r="BT243" i="36" s="1"/>
  <c r="BS198" i="36"/>
  <c r="BT198" i="36" s="1"/>
  <c r="Z267" i="36"/>
  <c r="AA267" i="36" s="1"/>
  <c r="H336" i="36"/>
  <c r="I336" i="36" s="1"/>
  <c r="BA366" i="36"/>
  <c r="BB366" i="36" s="1"/>
  <c r="BA185" i="36"/>
  <c r="BB185" i="36" s="1"/>
  <c r="AR357" i="36"/>
  <c r="AS357" i="36" s="1"/>
  <c r="BA450" i="36"/>
  <c r="BB450" i="36" s="1"/>
  <c r="AI346" i="36"/>
  <c r="AJ346" i="36" s="1"/>
  <c r="BJ370" i="36"/>
  <c r="BK370" i="36" s="1"/>
  <c r="BA373" i="36"/>
  <c r="BB373" i="36" s="1"/>
  <c r="BJ369" i="36"/>
  <c r="BK369" i="36" s="1"/>
  <c r="BA299" i="36"/>
  <c r="BB299" i="36" s="1"/>
  <c r="BS350" i="36"/>
  <c r="BT350" i="36" s="1"/>
  <c r="BA307" i="36"/>
  <c r="BB307" i="36" s="1"/>
  <c r="Q271" i="36"/>
  <c r="R271" i="36" s="1"/>
  <c r="BJ308" i="36"/>
  <c r="BK308" i="36" s="1"/>
  <c r="BS199" i="36"/>
  <c r="BT199" i="36" s="1"/>
  <c r="CK165" i="36"/>
  <c r="CL165" i="36" s="1"/>
  <c r="AR288" i="36"/>
  <c r="AS288" i="36" s="1"/>
  <c r="Q395" i="36"/>
  <c r="R395" i="36" s="1"/>
  <c r="Z397" i="36"/>
  <c r="AA397" i="36" s="1"/>
  <c r="BS288" i="36"/>
  <c r="BT288" i="36" s="1"/>
  <c r="H333" i="36"/>
  <c r="I333" i="36" s="1"/>
  <c r="BS300" i="36"/>
  <c r="BT300" i="36" s="1"/>
  <c r="H166" i="36"/>
  <c r="I166" i="36" s="1"/>
  <c r="BJ442" i="36"/>
  <c r="BK442" i="36" s="1"/>
  <c r="H334" i="36"/>
  <c r="I334" i="36" s="1"/>
  <c r="H270" i="36"/>
  <c r="I270" i="36" s="1"/>
  <c r="AR356" i="36"/>
  <c r="AS356" i="36" s="1"/>
  <c r="AI172" i="36"/>
  <c r="AJ172" i="36" s="1"/>
  <c r="CK161" i="36"/>
  <c r="CL161" i="36" s="1"/>
  <c r="BA123" i="36"/>
  <c r="BB123" i="36" s="1"/>
  <c r="BJ372" i="36"/>
  <c r="BK372" i="36" s="1"/>
  <c r="BA523" i="36"/>
  <c r="BB523" i="36" s="1"/>
  <c r="AR181" i="36"/>
  <c r="AS181" i="36" s="1"/>
  <c r="AI220" i="36"/>
  <c r="AJ220" i="36" s="1"/>
  <c r="BA296" i="36"/>
  <c r="BB296" i="36" s="1"/>
  <c r="BA308" i="36"/>
  <c r="BB308" i="36" s="1"/>
  <c r="Z334" i="36"/>
  <c r="AA334" i="36" s="1"/>
  <c r="Z468" i="36"/>
  <c r="AA468" i="36" s="1"/>
  <c r="BA440" i="36"/>
  <c r="BB440" i="36" s="1"/>
  <c r="Q210" i="36"/>
  <c r="R210" i="36" s="1"/>
  <c r="BJ448" i="36"/>
  <c r="BK448" i="36" s="1"/>
  <c r="Q396" i="36"/>
  <c r="R396" i="36" s="1"/>
  <c r="BJ181" i="36"/>
  <c r="BK181" i="36" s="1"/>
  <c r="Q330" i="36"/>
  <c r="R330" i="36" s="1"/>
  <c r="BA530" i="36"/>
  <c r="BB530" i="36" s="1"/>
  <c r="BJ303" i="36"/>
  <c r="BK303" i="36" s="1"/>
  <c r="BA379" i="36"/>
  <c r="BB379" i="36" s="1"/>
  <c r="BA452" i="36"/>
  <c r="BB452" i="36" s="1"/>
  <c r="BJ443" i="36"/>
  <c r="BK443" i="36" s="1"/>
  <c r="Q267" i="36"/>
  <c r="R267" i="36" s="1"/>
  <c r="Z332" i="36"/>
  <c r="AA332" i="36" s="1"/>
  <c r="AI344" i="36"/>
  <c r="AJ344" i="36" s="1"/>
  <c r="BS90" i="36"/>
  <c r="BT90" i="36" s="1"/>
  <c r="BA300" i="36"/>
  <c r="BB300" i="36" s="1"/>
  <c r="BA294" i="36"/>
  <c r="BB294" i="36" s="1"/>
  <c r="H330" i="36"/>
  <c r="I330" i="36" s="1"/>
  <c r="BS345" i="36"/>
  <c r="BT345" i="36" s="1"/>
  <c r="Q268" i="36"/>
  <c r="R268" i="36" s="1"/>
  <c r="Z271" i="36"/>
  <c r="AA271" i="36" s="1"/>
  <c r="AR425" i="36"/>
  <c r="AS425" i="36" s="1"/>
  <c r="BA302" i="36"/>
  <c r="BB302" i="36" s="1"/>
  <c r="BA441" i="36"/>
  <c r="BB441" i="36" s="1"/>
  <c r="AR177" i="36"/>
  <c r="AS177" i="36" s="1"/>
  <c r="AI345" i="36"/>
  <c r="AJ345" i="36" s="1"/>
  <c r="AI343" i="36"/>
  <c r="AJ343" i="36" s="1"/>
  <c r="H272" i="36"/>
  <c r="I272" i="36" s="1"/>
  <c r="Q56" i="36"/>
  <c r="R56" i="36" s="1"/>
  <c r="Z117" i="36"/>
  <c r="AA117" i="36" s="1"/>
  <c r="BJ294" i="36"/>
  <c r="BK294" i="36" s="1"/>
  <c r="H396" i="36"/>
  <c r="I396" i="36" s="1"/>
  <c r="BS343" i="36"/>
  <c r="BT343" i="36" s="1"/>
  <c r="AI124" i="36"/>
  <c r="AJ124" i="36" s="1"/>
  <c r="AR505" i="36"/>
  <c r="AS505" i="36" s="1"/>
  <c r="BA533" i="36"/>
  <c r="BB533" i="36" s="1"/>
  <c r="BJ305" i="36"/>
  <c r="BK305" i="36" s="1"/>
  <c r="H332" i="36"/>
  <c r="I332" i="36" s="1"/>
  <c r="BJ243" i="36"/>
  <c r="BK243" i="36" s="1"/>
  <c r="BA374" i="36"/>
  <c r="BB374" i="36" s="1"/>
  <c r="BJ366" i="36"/>
  <c r="BK366" i="36" s="1"/>
  <c r="BS289" i="36"/>
  <c r="BT289" i="36" s="1"/>
  <c r="BJ534" i="36"/>
  <c r="BK534" i="36" s="1"/>
  <c r="BJ447" i="36"/>
  <c r="BK447" i="36" s="1"/>
  <c r="Q468" i="36"/>
  <c r="R468" i="36" s="1"/>
  <c r="AI348" i="36"/>
  <c r="AJ348" i="36" s="1"/>
  <c r="BA381" i="36"/>
  <c r="BB381" i="36" s="1"/>
  <c r="BA525" i="36"/>
  <c r="BB525" i="36" s="1"/>
  <c r="BJ452" i="36"/>
  <c r="BK452" i="36" s="1"/>
  <c r="BS294" i="36"/>
  <c r="BT294" i="36" s="1"/>
  <c r="BS344" i="36"/>
  <c r="BT344" i="36" s="1"/>
  <c r="BA306" i="36"/>
  <c r="BB306" i="36" s="1"/>
  <c r="BS406" i="36"/>
  <c r="BT406" i="36" s="1"/>
  <c r="H267" i="36"/>
  <c r="I267" i="36" s="1"/>
  <c r="Q336" i="36"/>
  <c r="R336" i="36" s="1"/>
  <c r="BJ368" i="36"/>
  <c r="BK368" i="36" s="1"/>
  <c r="AI411" i="36"/>
  <c r="AJ411" i="36" s="1"/>
  <c r="BA442" i="36"/>
  <c r="BB442" i="36" s="1"/>
  <c r="BA535" i="36"/>
  <c r="BB535" i="36" s="1"/>
  <c r="H471" i="36"/>
  <c r="BA447" i="36"/>
  <c r="BB447" i="36" s="1"/>
  <c r="AI484" i="36"/>
  <c r="AJ484" i="36" s="1"/>
  <c r="CK55" i="36"/>
  <c r="CL55" i="36" s="1"/>
  <c r="AR502" i="36"/>
  <c r="AS502" i="36" s="1"/>
  <c r="BA524" i="36"/>
  <c r="BB524" i="36" s="1"/>
  <c r="BJ450" i="36"/>
  <c r="BK450" i="36" s="1"/>
  <c r="BJ378" i="36"/>
  <c r="BK378" i="36" s="1"/>
  <c r="AR500" i="36"/>
  <c r="AS500" i="36" s="1"/>
  <c r="BJ525" i="36"/>
  <c r="BK525" i="36" s="1"/>
  <c r="AI488" i="36"/>
  <c r="AJ488" i="36" s="1"/>
  <c r="Z471" i="36"/>
  <c r="AA471" i="36" s="1"/>
  <c r="H214" i="36"/>
  <c r="I214" i="36" s="1"/>
  <c r="BS352" i="36"/>
  <c r="BT352" i="36" s="1"/>
  <c r="H335" i="36"/>
  <c r="I335" i="36" s="1"/>
  <c r="Z331" i="36"/>
  <c r="AA331" i="36" s="1"/>
  <c r="H210" i="36"/>
  <c r="I210" i="36" s="1"/>
  <c r="AR289" i="36"/>
  <c r="AS289" i="36" s="1"/>
  <c r="BS297" i="36"/>
  <c r="BT297" i="36" s="1"/>
  <c r="BJ446" i="36"/>
  <c r="BK446" i="36" s="1"/>
  <c r="Q472" i="36"/>
  <c r="R472" i="36" s="1"/>
  <c r="Z335" i="36"/>
  <c r="AA335" i="36" s="1"/>
  <c r="BA367" i="36"/>
  <c r="BB367" i="36" s="1"/>
  <c r="BJ449" i="36"/>
  <c r="BK449" i="36" s="1"/>
  <c r="BA526" i="36"/>
  <c r="BB526" i="36" s="1"/>
  <c r="BJ523" i="36"/>
  <c r="BK523" i="36" s="1"/>
  <c r="BJ301" i="36"/>
  <c r="BK301" i="36" s="1"/>
  <c r="BS292" i="36"/>
  <c r="BT292" i="36" s="1"/>
  <c r="H395" i="36"/>
  <c r="I395" i="36" s="1"/>
  <c r="BJ304" i="36"/>
  <c r="BK304" i="36" s="1"/>
  <c r="Q397" i="36"/>
  <c r="R397" i="36" s="1"/>
  <c r="BJ379" i="36"/>
  <c r="BK379" i="36" s="1"/>
  <c r="BJ299" i="36"/>
  <c r="BK299" i="36" s="1"/>
  <c r="Z469" i="36"/>
  <c r="AA469" i="36" s="1"/>
  <c r="AR229" i="36"/>
  <c r="AS229" i="36" s="1"/>
  <c r="BJ381" i="36"/>
  <c r="BK381" i="36" s="1"/>
  <c r="CK182" i="36"/>
  <c r="CL182" i="36" s="1"/>
  <c r="BA451" i="36"/>
  <c r="BB451" i="36" s="1"/>
  <c r="BS417" i="36"/>
  <c r="BT417" i="36" s="1"/>
  <c r="BA446" i="36"/>
  <c r="BB446" i="36" s="1"/>
  <c r="BJ536" i="36"/>
  <c r="BK536" i="36" s="1"/>
  <c r="BS247" i="36"/>
  <c r="BT247" i="36" s="1"/>
  <c r="Z336" i="36"/>
  <c r="AA336" i="36" s="1"/>
  <c r="BS348" i="36"/>
  <c r="BT348" i="36" s="1"/>
  <c r="AI412" i="36"/>
  <c r="AJ412" i="36" s="1"/>
  <c r="AI281" i="36"/>
  <c r="AJ281" i="36" s="1"/>
  <c r="BA528" i="36"/>
  <c r="BB528" i="36" s="1"/>
  <c r="Q398" i="36"/>
  <c r="R398" i="36" s="1"/>
  <c r="BJ453" i="36"/>
  <c r="BK453" i="36" s="1"/>
  <c r="AR503" i="36"/>
  <c r="AS503" i="36" s="1"/>
  <c r="BA534" i="36"/>
  <c r="BB534" i="36" s="1"/>
  <c r="BS237" i="36"/>
  <c r="BT237" i="36" s="1"/>
  <c r="AI347" i="36"/>
  <c r="AJ347" i="36" s="1"/>
  <c r="BS408" i="36"/>
  <c r="BT408" i="36" s="1"/>
  <c r="Z396" i="36"/>
  <c r="AA396" i="36" s="1"/>
  <c r="AI487" i="36"/>
  <c r="AJ487" i="36" s="1"/>
  <c r="BJ444" i="36"/>
  <c r="BK444" i="36" s="1"/>
  <c r="Z272" i="36"/>
  <c r="AA272" i="36" s="1"/>
  <c r="AR423" i="36"/>
  <c r="AS423" i="36" s="1"/>
  <c r="BS410" i="36"/>
  <c r="BT410" i="36" s="1"/>
  <c r="Q473" i="36"/>
  <c r="R473" i="36" s="1"/>
  <c r="BJ445" i="36"/>
  <c r="BK445" i="36" s="1"/>
  <c r="BA445" i="36"/>
  <c r="BB445" i="36" s="1"/>
  <c r="Q469" i="36"/>
  <c r="R469" i="36" s="1"/>
  <c r="BA377" i="36"/>
  <c r="BB377" i="36" s="1"/>
  <c r="AI413" i="36"/>
  <c r="AJ413" i="36" s="1"/>
  <c r="BJ528" i="36"/>
  <c r="BK528" i="36" s="1"/>
  <c r="BJ524" i="36"/>
  <c r="BK524" i="36" s="1"/>
  <c r="BJ527" i="36"/>
  <c r="BK527" i="36" s="1"/>
  <c r="AR501" i="36"/>
  <c r="AS501" i="36" s="1"/>
  <c r="BA529" i="36"/>
  <c r="BB529" i="36" s="1"/>
  <c r="Q334" i="36"/>
  <c r="R334" i="36" s="1"/>
  <c r="BA375" i="36"/>
  <c r="BB375" i="36" s="1"/>
  <c r="BA449" i="36"/>
  <c r="BB449" i="36" s="1"/>
  <c r="BA380" i="36"/>
  <c r="BB380" i="36" s="1"/>
  <c r="AI410" i="36"/>
  <c r="AJ410" i="36" s="1"/>
  <c r="BA527" i="36"/>
  <c r="BB527" i="36" s="1"/>
  <c r="BJ371" i="36"/>
  <c r="BK371" i="36" s="1"/>
  <c r="BS347" i="36"/>
  <c r="BT347" i="36" s="1"/>
  <c r="BJ374" i="36"/>
  <c r="BK374" i="36" s="1"/>
  <c r="BS411" i="36"/>
  <c r="BT411" i="36" s="1"/>
  <c r="BA522" i="36"/>
  <c r="BB522" i="36" s="1"/>
  <c r="BJ440" i="36"/>
  <c r="BK440" i="36" s="1"/>
  <c r="H468" i="36"/>
  <c r="AI486" i="36"/>
  <c r="AJ486" i="36" s="1"/>
  <c r="H469" i="36"/>
  <c r="I469" i="36" s="1"/>
  <c r="BJ532" i="36"/>
  <c r="BK532" i="36" s="1"/>
  <c r="BJ529" i="36"/>
  <c r="BK529" i="36" s="1"/>
  <c r="BA531" i="36"/>
  <c r="BB531" i="36" s="1"/>
  <c r="BA368" i="36"/>
  <c r="BB368" i="36" s="1"/>
  <c r="H472" i="36"/>
  <c r="I472" i="36" s="1"/>
  <c r="Q471" i="36"/>
  <c r="R471" i="36" s="1"/>
  <c r="Z472" i="36"/>
  <c r="AA472" i="36" s="1"/>
  <c r="AR424" i="36"/>
  <c r="AS424" i="36" s="1"/>
  <c r="AR231" i="36"/>
  <c r="AS231" i="36" s="1"/>
  <c r="BA443" i="36"/>
  <c r="BB443" i="36" s="1"/>
  <c r="BJ535" i="36"/>
  <c r="BK535" i="36" s="1"/>
  <c r="BJ533" i="36"/>
  <c r="BK533" i="36" s="1"/>
  <c r="BJ526" i="36"/>
  <c r="BK526" i="36" s="1"/>
  <c r="H473" i="36"/>
  <c r="I473" i="36" s="1"/>
  <c r="AR427" i="36"/>
  <c r="AS427" i="36" s="1"/>
  <c r="H398" i="36"/>
  <c r="I398" i="36" s="1"/>
  <c r="BJ522" i="36"/>
  <c r="BK522" i="36" s="1"/>
  <c r="BJ237" i="36"/>
  <c r="BK237" i="36" s="1"/>
  <c r="BA378" i="36"/>
  <c r="BB378" i="36" s="1"/>
  <c r="BS414" i="36"/>
  <c r="BT414" i="36" s="1"/>
  <c r="AI485" i="36"/>
  <c r="AJ485" i="36" s="1"/>
  <c r="BJ531" i="36"/>
  <c r="BK531" i="36" s="1"/>
  <c r="H470" i="36"/>
  <c r="I470" i="36" s="1"/>
  <c r="BJ373" i="36"/>
  <c r="BK373" i="36" s="1"/>
  <c r="BA444" i="36"/>
  <c r="BB444" i="36" s="1"/>
  <c r="BS354" i="36"/>
  <c r="BT354" i="36" s="1"/>
  <c r="H397" i="36"/>
  <c r="I397" i="36" s="1"/>
  <c r="BS416" i="36"/>
  <c r="BT416" i="36" s="1"/>
  <c r="AR504" i="36"/>
  <c r="AS504" i="36" s="1"/>
  <c r="BJ441" i="36"/>
  <c r="BK441" i="36" s="1"/>
  <c r="BJ451" i="36"/>
  <c r="BK451" i="36" s="1"/>
  <c r="BJ530" i="36"/>
  <c r="BK530" i="36" s="1"/>
  <c r="Z470" i="36"/>
  <c r="AA470" i="36" s="1"/>
  <c r="Z473" i="36"/>
  <c r="AA473" i="36" s="1"/>
  <c r="BS418" i="36"/>
  <c r="BT418" i="36" s="1"/>
  <c r="T81" i="7"/>
  <c r="P81" i="7"/>
  <c r="AN32" i="7"/>
  <c r="C54" i="2"/>
  <c r="D40" i="7"/>
  <c r="D50" i="7" s="1"/>
  <c r="C85" i="7"/>
  <c r="L85" i="7" s="1"/>
  <c r="C75" i="7"/>
  <c r="F54" i="2"/>
  <c r="L76" i="7"/>
  <c r="P76" i="7" s="1"/>
  <c r="E54" i="2"/>
  <c r="CB33" i="7"/>
  <c r="CB40" i="7"/>
  <c r="C50" i="7"/>
  <c r="G40" i="7"/>
  <c r="CT5" i="7"/>
  <c r="CT9" i="7"/>
  <c r="EM12" i="7"/>
  <c r="EM10" i="7"/>
  <c r="G54" i="2"/>
  <c r="DL13" i="7"/>
  <c r="BD31" i="7"/>
  <c r="DL7" i="7"/>
  <c r="L73" i="7"/>
  <c r="T73" i="7" s="1"/>
  <c r="CT4" i="7"/>
  <c r="CT14" i="7"/>
  <c r="P72" i="7"/>
  <c r="T86" i="7"/>
  <c r="P86" i="7"/>
  <c r="CB37" i="7"/>
  <c r="DL10" i="7"/>
  <c r="CT12" i="7"/>
  <c r="H54" i="2"/>
  <c r="O58" i="7"/>
  <c r="O57" i="7"/>
  <c r="CT13" i="7"/>
  <c r="BT13" i="7"/>
  <c r="BT5" i="7"/>
  <c r="BT8" i="7"/>
  <c r="BT34" i="7" s="1"/>
  <c r="BT10" i="7"/>
  <c r="BT4" i="7"/>
  <c r="BT21" i="7"/>
  <c r="BT7" i="7"/>
  <c r="BT16" i="7"/>
  <c r="BT6" i="7"/>
  <c r="BT33" i="7" s="1"/>
  <c r="BT14" i="7"/>
  <c r="BT23" i="7"/>
  <c r="BT12" i="7"/>
  <c r="BT15" i="7"/>
  <c r="BT17" i="7"/>
  <c r="BT9" i="7"/>
  <c r="BT11" i="7"/>
  <c r="BT20" i="7"/>
  <c r="BT19" i="7"/>
  <c r="BT24" i="7"/>
  <c r="BT25" i="7"/>
  <c r="BT18" i="7"/>
  <c r="BT26" i="7"/>
  <c r="BT22" i="7"/>
  <c r="BT27" i="7"/>
  <c r="CB35" i="7"/>
  <c r="EM8" i="7"/>
  <c r="C49" i="7"/>
  <c r="G39" i="7"/>
  <c r="DL5" i="7"/>
  <c r="BD37" i="7"/>
  <c r="T83" i="7"/>
  <c r="P83" i="7"/>
  <c r="AN31" i="7"/>
  <c r="CT11" i="7"/>
  <c r="EM13" i="7"/>
  <c r="EM6" i="7"/>
  <c r="EM7" i="7"/>
  <c r="D54" i="2"/>
  <c r="BD32" i="7"/>
  <c r="AV18" i="7"/>
  <c r="AV27" i="7"/>
  <c r="AV24" i="7"/>
  <c r="AV26" i="7"/>
  <c r="AV25" i="7"/>
  <c r="AV22" i="7"/>
  <c r="AV4" i="7"/>
  <c r="AV31" i="7" s="1"/>
  <c r="AV23" i="7"/>
  <c r="AV19" i="7"/>
  <c r="AV6" i="7"/>
  <c r="AV33" i="7" s="1"/>
  <c r="AV15" i="7"/>
  <c r="AV13" i="7"/>
  <c r="AV20" i="7"/>
  <c r="AV10" i="7"/>
  <c r="AV21" i="7"/>
  <c r="AV5" i="7"/>
  <c r="AV32" i="7" s="1"/>
  <c r="AV9" i="7"/>
  <c r="AV8" i="7"/>
  <c r="AV34" i="7" s="1"/>
  <c r="AV14" i="7"/>
  <c r="AV12" i="7"/>
  <c r="AV17" i="7"/>
  <c r="AV7" i="7"/>
  <c r="AV16" i="7"/>
  <c r="AV11" i="7"/>
  <c r="AF27" i="7"/>
  <c r="AF18" i="7"/>
  <c r="AF26" i="7"/>
  <c r="AF25" i="7"/>
  <c r="AF24" i="7"/>
  <c r="AF22" i="7"/>
  <c r="AF7" i="7"/>
  <c r="AF21" i="7"/>
  <c r="AF16" i="7"/>
  <c r="AF4" i="7"/>
  <c r="AF31" i="7" s="1"/>
  <c r="AF19" i="7"/>
  <c r="AF11" i="7"/>
  <c r="AF6" i="7"/>
  <c r="AF15" i="7"/>
  <c r="AF8" i="7"/>
  <c r="AF12" i="7"/>
  <c r="AF13" i="7"/>
  <c r="AF23" i="7"/>
  <c r="AF10" i="7"/>
  <c r="AF9" i="7"/>
  <c r="AF5" i="7"/>
  <c r="AF32" i="7" s="1"/>
  <c r="AF17" i="7"/>
  <c r="AF14" i="7"/>
  <c r="AF20" i="7"/>
  <c r="AN35" i="7"/>
  <c r="CT15" i="7"/>
  <c r="C52" i="7"/>
  <c r="G42" i="7"/>
  <c r="CB39" i="7"/>
  <c r="DL4" i="7"/>
  <c r="BD34" i="7"/>
  <c r="L71" i="7"/>
  <c r="P71" i="7" s="1"/>
  <c r="CT8" i="7"/>
  <c r="C51" i="7"/>
  <c r="G41" i="7"/>
  <c r="CB34" i="7"/>
  <c r="N15" i="34"/>
  <c r="K15" i="34"/>
  <c r="L16" i="34"/>
  <c r="M16" i="34"/>
  <c r="J17" i="34" s="1"/>
  <c r="BP349" i="36"/>
  <c r="BP413" i="36"/>
  <c r="BP200" i="36"/>
  <c r="V160" i="37" l="1"/>
  <c r="V165" i="37"/>
  <c r="Y58" i="37"/>
  <c r="X58" i="37"/>
  <c r="W58" i="37"/>
  <c r="U59" i="37"/>
  <c r="V167" i="37"/>
  <c r="BS413" i="36"/>
  <c r="BT413" i="36" s="1"/>
  <c r="BS349" i="36"/>
  <c r="BT349" i="36" s="1"/>
  <c r="AQ29" i="32"/>
  <c r="AQ30" i="32" s="1"/>
  <c r="AQ31" i="32" s="1"/>
  <c r="AQ32" i="32" s="1"/>
  <c r="AQ33" i="32" s="1"/>
  <c r="AQ34" i="32" s="1"/>
  <c r="AQ35" i="32" s="1"/>
  <c r="AQ36" i="32" s="1"/>
  <c r="AQ37" i="32" s="1"/>
  <c r="AQ38" i="32" s="1"/>
  <c r="AQ39" i="32" s="1"/>
  <c r="AQ40" i="32" s="1"/>
  <c r="AQ41" i="32" s="1"/>
  <c r="AQ42" i="32" s="1"/>
  <c r="AG28" i="32"/>
  <c r="BS200" i="36"/>
  <c r="BT200" i="36" s="1"/>
  <c r="AM25" i="32"/>
  <c r="K30" i="31"/>
  <c r="AG7" i="31"/>
  <c r="C22" i="43" s="1"/>
  <c r="P101" i="32"/>
  <c r="S101" i="32" s="1"/>
  <c r="AO17" i="25"/>
  <c r="AQ17" i="25" s="1"/>
  <c r="AO27" i="25"/>
  <c r="AQ27" i="25" s="1"/>
  <c r="AO16" i="25"/>
  <c r="AQ16" i="25" s="1"/>
  <c r="AO26" i="25"/>
  <c r="AQ26" i="25" s="1"/>
  <c r="AO6" i="25"/>
  <c r="AQ6" i="25" s="1"/>
  <c r="AO7" i="25"/>
  <c r="AQ7" i="25" s="1"/>
  <c r="Q8" i="31"/>
  <c r="S8" i="31" s="1"/>
  <c r="AB7" i="31"/>
  <c r="BJ7" i="26"/>
  <c r="BH7" i="26"/>
  <c r="AV8" i="26"/>
  <c r="AW8" i="26" s="1"/>
  <c r="AY8" i="26" s="1"/>
  <c r="BK7" i="26"/>
  <c r="BL7" i="26"/>
  <c r="ED10" i="7"/>
  <c r="AH41" i="46"/>
  <c r="AJ41" i="46" s="1"/>
  <c r="AH40" i="46"/>
  <c r="AJ40" i="46" s="1"/>
  <c r="AG39" i="46"/>
  <c r="AD42" i="46"/>
  <c r="AF42" i="46" s="1"/>
  <c r="Q105" i="32"/>
  <c r="Q106" i="32" s="1"/>
  <c r="Q107" i="32" s="1"/>
  <c r="X48" i="25"/>
  <c r="Y47" i="25"/>
  <c r="Z47" i="25" s="1"/>
  <c r="K33" i="10"/>
  <c r="J33" i="10"/>
  <c r="BF7" i="26"/>
  <c r="D49" i="27"/>
  <c r="D107" i="27" s="1"/>
  <c r="F107" i="27" s="1"/>
  <c r="C108" i="27"/>
  <c r="D123" i="27"/>
  <c r="D60" i="45"/>
  <c r="E122" i="27"/>
  <c r="E60" i="45" s="1"/>
  <c r="R24" i="27"/>
  <c r="C51" i="27"/>
  <c r="D24" i="27"/>
  <c r="Q23" i="27"/>
  <c r="AA43" i="25"/>
  <c r="H21" i="43"/>
  <c r="I21" i="43" s="1"/>
  <c r="N5" i="43" s="1"/>
  <c r="L6" i="47"/>
  <c r="C68" i="47" s="1"/>
  <c r="H20" i="29"/>
  <c r="CT6" i="36" s="1"/>
  <c r="L5" i="47"/>
  <c r="C67" i="47" s="1"/>
  <c r="H19" i="29"/>
  <c r="CT5" i="36" s="1"/>
  <c r="H21" i="29"/>
  <c r="CT7" i="36" s="1"/>
  <c r="L7" i="47"/>
  <c r="C69" i="47" s="1"/>
  <c r="H22" i="29"/>
  <c r="CT8" i="36" s="1"/>
  <c r="L8" i="47"/>
  <c r="C70" i="47" s="1"/>
  <c r="AI14" i="46"/>
  <c r="AI15" i="46" s="1"/>
  <c r="AI16" i="46" s="1"/>
  <c r="AI17" i="46" s="1"/>
  <c r="S100" i="32"/>
  <c r="H24" i="29"/>
  <c r="CT10" i="36" s="1"/>
  <c r="H25" i="29"/>
  <c r="CT11" i="36" s="1"/>
  <c r="L11" i="47"/>
  <c r="C73" i="47" s="1"/>
  <c r="L9" i="47"/>
  <c r="C71" i="47" s="1"/>
  <c r="H23" i="29"/>
  <c r="CT9" i="36" s="1"/>
  <c r="L10" i="47"/>
  <c r="C72" i="47" s="1"/>
  <c r="Z7" i="31"/>
  <c r="AA7" i="31" s="1"/>
  <c r="AH7" i="31" s="1"/>
  <c r="P13" i="26"/>
  <c r="Q13" i="26" s="1"/>
  <c r="O12" i="26"/>
  <c r="R12" i="26"/>
  <c r="S12" i="26"/>
  <c r="U12" i="26" s="1"/>
  <c r="BT42" i="7"/>
  <c r="BT39" i="7"/>
  <c r="BT35" i="7"/>
  <c r="ED14" i="7"/>
  <c r="BT41" i="7"/>
  <c r="AV41" i="7"/>
  <c r="AF38" i="7"/>
  <c r="AV35" i="7"/>
  <c r="AV39" i="7"/>
  <c r="AF36" i="7"/>
  <c r="AF42" i="7"/>
  <c r="AF40" i="7"/>
  <c r="ED13" i="7"/>
  <c r="AV37" i="7"/>
  <c r="BT40" i="7"/>
  <c r="BT37" i="7"/>
  <c r="AF35" i="7"/>
  <c r="AF41" i="7"/>
  <c r="DC5" i="7"/>
  <c r="AV42" i="7"/>
  <c r="ED6" i="7"/>
  <c r="T71" i="7"/>
  <c r="DC6" i="7"/>
  <c r="ED15" i="7"/>
  <c r="D19" i="32"/>
  <c r="E18" i="32"/>
  <c r="F18" i="32" s="1"/>
  <c r="DC4" i="7"/>
  <c r="CK14" i="7"/>
  <c r="DC15" i="7"/>
  <c r="DC7" i="7"/>
  <c r="DC10" i="7"/>
  <c r="DC14" i="7"/>
  <c r="ED12" i="7"/>
  <c r="ED7" i="7"/>
  <c r="G23" i="27"/>
  <c r="CM35" i="36"/>
  <c r="CM92" i="36"/>
  <c r="I471" i="36"/>
  <c r="I468" i="36"/>
  <c r="CM41" i="36"/>
  <c r="CM62" i="36"/>
  <c r="CM50" i="36"/>
  <c r="CM74" i="36"/>
  <c r="CM110" i="36"/>
  <c r="F22" i="43"/>
  <c r="O120" i="32"/>
  <c r="CK10" i="7"/>
  <c r="CK6" i="7"/>
  <c r="AV36" i="7"/>
  <c r="ED11" i="7"/>
  <c r="ED5" i="7"/>
  <c r="ED4" i="7"/>
  <c r="BK19" i="7"/>
  <c r="BK20" i="7"/>
  <c r="BK18" i="7"/>
  <c r="BK22" i="7"/>
  <c r="BK6" i="7"/>
  <c r="BK8" i="7"/>
  <c r="BK34" i="7" s="1"/>
  <c r="BK4" i="7"/>
  <c r="BK31" i="7" s="1"/>
  <c r="BK16" i="7"/>
  <c r="BK13" i="7"/>
  <c r="BK9" i="7"/>
  <c r="BK23" i="7"/>
  <c r="BK5" i="7"/>
  <c r="BK32" i="7" s="1"/>
  <c r="H50" i="7"/>
  <c r="BK12" i="7"/>
  <c r="BK27" i="7"/>
  <c r="BK10" i="7"/>
  <c r="BK17" i="7"/>
  <c r="BK24" i="7"/>
  <c r="BK21" i="7"/>
  <c r="BK7" i="7"/>
  <c r="BK14" i="7"/>
  <c r="BK26" i="7"/>
  <c r="BK11" i="7"/>
  <c r="BK25" i="7"/>
  <c r="BK15" i="7"/>
  <c r="T85" i="7"/>
  <c r="P85" i="7"/>
  <c r="CK7" i="7"/>
  <c r="AF34" i="7"/>
  <c r="CK4" i="7"/>
  <c r="DC8" i="7"/>
  <c r="BL8" i="7"/>
  <c r="BL34" i="7" s="1"/>
  <c r="BL10" i="7"/>
  <c r="BL13" i="7"/>
  <c r="BL5" i="7"/>
  <c r="BL32" i="7" s="1"/>
  <c r="BL4" i="7"/>
  <c r="BL31" i="7" s="1"/>
  <c r="BL23" i="7"/>
  <c r="BL7" i="7"/>
  <c r="BL21" i="7"/>
  <c r="BL6" i="7"/>
  <c r="BL16" i="7"/>
  <c r="BL17" i="7"/>
  <c r="BL14" i="7"/>
  <c r="BL12" i="7"/>
  <c r="BL20" i="7"/>
  <c r="BL19" i="7"/>
  <c r="BL15" i="7"/>
  <c r="BL9" i="7"/>
  <c r="BL11" i="7"/>
  <c r="BL22" i="7"/>
  <c r="BL27" i="7"/>
  <c r="BL24" i="7"/>
  <c r="BL18" i="7"/>
  <c r="BL26" i="7"/>
  <c r="BL25" i="7"/>
  <c r="AF39" i="7"/>
  <c r="CK11" i="7"/>
  <c r="DC11" i="7"/>
  <c r="ED9" i="7"/>
  <c r="BT38" i="7"/>
  <c r="BT31" i="7"/>
  <c r="N74" i="7"/>
  <c r="R74" i="7" s="1"/>
  <c r="N62" i="7"/>
  <c r="N84" i="7"/>
  <c r="BS9" i="7"/>
  <c r="N87" i="7"/>
  <c r="BS16" i="7"/>
  <c r="BS25" i="7"/>
  <c r="N83" i="7"/>
  <c r="BS6" i="7"/>
  <c r="BS33" i="7" s="1"/>
  <c r="N65" i="7"/>
  <c r="BS19" i="7"/>
  <c r="N60" i="7"/>
  <c r="BS22" i="7"/>
  <c r="N86" i="7"/>
  <c r="N59" i="7"/>
  <c r="BS12" i="7"/>
  <c r="BS4" i="7"/>
  <c r="N71" i="7"/>
  <c r="V71" i="7" s="1"/>
  <c r="BS27" i="7"/>
  <c r="BS13" i="7"/>
  <c r="N66" i="7"/>
  <c r="N58" i="7"/>
  <c r="H51" i="7"/>
  <c r="N64" i="7"/>
  <c r="BS11" i="7"/>
  <c r="BS18" i="7"/>
  <c r="BS14" i="7"/>
  <c r="BS10" i="7"/>
  <c r="BS35" i="7" s="1"/>
  <c r="BS20" i="7"/>
  <c r="N61" i="7"/>
  <c r="N82" i="7"/>
  <c r="N85" i="7"/>
  <c r="N76" i="7"/>
  <c r="R76" i="7" s="1"/>
  <c r="BS24" i="7"/>
  <c r="N57" i="7"/>
  <c r="N75" i="7"/>
  <c r="V75" i="7" s="1"/>
  <c r="N73" i="7"/>
  <c r="R73" i="7" s="1"/>
  <c r="BS8" i="7"/>
  <c r="BS34" i="7" s="1"/>
  <c r="N81" i="7"/>
  <c r="BS15" i="7"/>
  <c r="N77" i="7"/>
  <c r="R77" i="7" s="1"/>
  <c r="BS17" i="7"/>
  <c r="N72" i="7"/>
  <c r="R72" i="7" s="1"/>
  <c r="BS7" i="7"/>
  <c r="BS23" i="7"/>
  <c r="BS5" i="7"/>
  <c r="N67" i="7"/>
  <c r="N56" i="7"/>
  <c r="BS21" i="7"/>
  <c r="N63" i="7"/>
  <c r="BS26" i="7"/>
  <c r="AF33" i="7"/>
  <c r="CK12" i="7"/>
  <c r="DC13" i="7"/>
  <c r="CA9" i="7"/>
  <c r="H52" i="7"/>
  <c r="CA25" i="7"/>
  <c r="CA8" i="7"/>
  <c r="CA23" i="7"/>
  <c r="CA11" i="7"/>
  <c r="CA24" i="7"/>
  <c r="CA27" i="7"/>
  <c r="CA5" i="7"/>
  <c r="CA32" i="7" s="1"/>
  <c r="CA12" i="7"/>
  <c r="CA19" i="7"/>
  <c r="CA18" i="7"/>
  <c r="CA10" i="7"/>
  <c r="CA15" i="7"/>
  <c r="CA7" i="7"/>
  <c r="CA13" i="7"/>
  <c r="CA14" i="7"/>
  <c r="CA4" i="7"/>
  <c r="CA31" i="7" s="1"/>
  <c r="CA16" i="7"/>
  <c r="CA6" i="7"/>
  <c r="CA21" i="7"/>
  <c r="CA26" i="7"/>
  <c r="CA17" i="7"/>
  <c r="CA20" i="7"/>
  <c r="CA22" i="7"/>
  <c r="CK5" i="7"/>
  <c r="CK13" i="7"/>
  <c r="M63" i="7"/>
  <c r="BC17" i="7"/>
  <c r="M81" i="7"/>
  <c r="M72" i="7"/>
  <c r="U72" i="7" s="1"/>
  <c r="M74" i="7"/>
  <c r="U74" i="7" s="1"/>
  <c r="BC27" i="7"/>
  <c r="M76" i="7"/>
  <c r="Q76" i="7" s="1"/>
  <c r="M66" i="7"/>
  <c r="BC12" i="7"/>
  <c r="M77" i="7"/>
  <c r="Q77" i="7" s="1"/>
  <c r="M62" i="7"/>
  <c r="BC26" i="7"/>
  <c r="BC10" i="7"/>
  <c r="BC16" i="7"/>
  <c r="M64" i="7"/>
  <c r="BC23" i="7"/>
  <c r="M73" i="7"/>
  <c r="U73" i="7" s="1"/>
  <c r="M71" i="7"/>
  <c r="U71" i="7" s="1"/>
  <c r="BC22" i="7"/>
  <c r="BC8" i="7"/>
  <c r="BC19" i="7"/>
  <c r="M61" i="7"/>
  <c r="H49" i="7"/>
  <c r="BC7" i="7"/>
  <c r="M57" i="7"/>
  <c r="BC25" i="7"/>
  <c r="BC5" i="7"/>
  <c r="M59" i="7"/>
  <c r="BC20" i="7"/>
  <c r="M56" i="7"/>
  <c r="M86" i="7"/>
  <c r="BC21" i="7"/>
  <c r="BC18" i="7"/>
  <c r="BC13" i="7"/>
  <c r="M82" i="7"/>
  <c r="BC15" i="7"/>
  <c r="M58" i="7"/>
  <c r="M75" i="7"/>
  <c r="Q75" i="7" s="1"/>
  <c r="BC9" i="7"/>
  <c r="BC24" i="7"/>
  <c r="M84" i="7"/>
  <c r="M60" i="7"/>
  <c r="M85" i="7"/>
  <c r="M65" i="7"/>
  <c r="M83" i="7"/>
  <c r="BC11" i="7"/>
  <c r="M67" i="7"/>
  <c r="BC6" i="7"/>
  <c r="BC33" i="7" s="1"/>
  <c r="M87" i="7"/>
  <c r="BC4" i="7"/>
  <c r="BC14" i="7"/>
  <c r="P73" i="7"/>
  <c r="T76" i="7"/>
  <c r="AV38" i="7"/>
  <c r="DC12" i="7"/>
  <c r="BT32" i="7"/>
  <c r="CK9" i="7"/>
  <c r="AF37" i="7"/>
  <c r="CK8" i="7"/>
  <c r="CK15" i="7"/>
  <c r="AV40" i="7"/>
  <c r="DC9" i="7"/>
  <c r="BT36" i="7"/>
  <c r="ED8" i="7"/>
  <c r="L75" i="7"/>
  <c r="P75" i="7" s="1"/>
  <c r="N16" i="34"/>
  <c r="K16" i="34"/>
  <c r="M17" i="34"/>
  <c r="J18" i="34" s="1"/>
  <c r="L17" i="34"/>
  <c r="BP412" i="36"/>
  <c r="BP242" i="36"/>
  <c r="V163" i="37" l="1"/>
  <c r="X59" i="37"/>
  <c r="W59" i="37"/>
  <c r="T59" i="37" s="1"/>
  <c r="Y59" i="37"/>
  <c r="U60" i="37"/>
  <c r="V170" i="37"/>
  <c r="T58" i="37"/>
  <c r="V168" i="37"/>
  <c r="BS412" i="36"/>
  <c r="BT412" i="36" s="1"/>
  <c r="AG29" i="32"/>
  <c r="AG30" i="32" s="1"/>
  <c r="AG31" i="32" s="1"/>
  <c r="AG32" i="32" s="1"/>
  <c r="AG33" i="32" s="1"/>
  <c r="AG34" i="32" s="1"/>
  <c r="AG35" i="32" s="1"/>
  <c r="AG36" i="32" s="1"/>
  <c r="AG37" i="32" s="1"/>
  <c r="AG38" i="32" s="1"/>
  <c r="AG39" i="32" s="1"/>
  <c r="AG40" i="32" s="1"/>
  <c r="AG41" i="32" s="1"/>
  <c r="AG42" i="32" s="1"/>
  <c r="BS242" i="36"/>
  <c r="BT242" i="36" s="1"/>
  <c r="AM26" i="32"/>
  <c r="BK41" i="7"/>
  <c r="R101" i="32"/>
  <c r="P102" i="32"/>
  <c r="R8" i="31"/>
  <c r="T8" i="31" s="1"/>
  <c r="BI8" i="26"/>
  <c r="U75" i="7"/>
  <c r="R71" i="7"/>
  <c r="V77" i="7"/>
  <c r="Q74" i="7"/>
  <c r="U76" i="7"/>
  <c r="V74" i="7"/>
  <c r="Q67" i="7"/>
  <c r="AG40" i="46"/>
  <c r="AD43" i="46"/>
  <c r="AF43" i="46" s="1"/>
  <c r="I16" i="46"/>
  <c r="AI18" i="46"/>
  <c r="AI19" i="46" s="1"/>
  <c r="AI20" i="46" s="1"/>
  <c r="AX8" i="26"/>
  <c r="BG8" i="26" s="1"/>
  <c r="D25" i="27"/>
  <c r="Q24" i="27"/>
  <c r="R25" i="27"/>
  <c r="C52" i="27"/>
  <c r="D51" i="27" s="1"/>
  <c r="C35" i="41"/>
  <c r="D50" i="27"/>
  <c r="D108" i="27" s="1"/>
  <c r="F108" i="27" s="1"/>
  <c r="D124" i="27"/>
  <c r="D61" i="45"/>
  <c r="E123" i="27"/>
  <c r="E61" i="45" s="1"/>
  <c r="U77" i="7"/>
  <c r="H22" i="43"/>
  <c r="I22" i="43" s="1"/>
  <c r="X49" i="25"/>
  <c r="Y48" i="25"/>
  <c r="Z48" i="25" s="1"/>
  <c r="AA44" i="25"/>
  <c r="K133" i="47"/>
  <c r="K131" i="47"/>
  <c r="K159" i="47"/>
  <c r="K97" i="47"/>
  <c r="K117" i="47"/>
  <c r="K141" i="47"/>
  <c r="K109" i="47"/>
  <c r="K115" i="47"/>
  <c r="K145" i="47"/>
  <c r="K125" i="47"/>
  <c r="K153" i="47"/>
  <c r="K101" i="47"/>
  <c r="K107" i="47"/>
  <c r="K99" i="47"/>
  <c r="K95" i="47"/>
  <c r="K147" i="47"/>
  <c r="K139" i="47"/>
  <c r="K151" i="47"/>
  <c r="K157" i="47"/>
  <c r="K123" i="47"/>
  <c r="K73" i="47"/>
  <c r="K65" i="47"/>
  <c r="K67" i="47"/>
  <c r="K63" i="47"/>
  <c r="K135" i="47"/>
  <c r="K61" i="47"/>
  <c r="K75" i="47"/>
  <c r="K127" i="47"/>
  <c r="K69" i="47"/>
  <c r="K59" i="47"/>
  <c r="K121" i="47"/>
  <c r="K113" i="47"/>
  <c r="K129" i="47"/>
  <c r="K89" i="47"/>
  <c r="K105" i="47"/>
  <c r="K83" i="47"/>
  <c r="K81" i="47"/>
  <c r="K93" i="47"/>
  <c r="K143" i="47"/>
  <c r="K79" i="47"/>
  <c r="K103" i="47"/>
  <c r="K87" i="47"/>
  <c r="K111" i="47"/>
  <c r="K91" i="47"/>
  <c r="K149" i="47"/>
  <c r="K77" i="47"/>
  <c r="K137" i="47"/>
  <c r="K85" i="47"/>
  <c r="K155" i="47"/>
  <c r="K119" i="47"/>
  <c r="Q108" i="32"/>
  <c r="AU8" i="26"/>
  <c r="O13" i="26"/>
  <c r="R13" i="26"/>
  <c r="S13" i="26"/>
  <c r="U13" i="26" s="1"/>
  <c r="P14" i="26"/>
  <c r="Q14" i="26" s="1"/>
  <c r="BS39" i="7"/>
  <c r="EL14" i="7"/>
  <c r="BC36" i="7"/>
  <c r="CA38" i="7"/>
  <c r="BS41" i="7"/>
  <c r="BS42" i="7"/>
  <c r="BL42" i="7"/>
  <c r="CA41" i="7"/>
  <c r="BC41" i="7"/>
  <c r="BC42" i="7"/>
  <c r="EC7" i="7"/>
  <c r="DK12" i="7"/>
  <c r="BS37" i="7"/>
  <c r="BK37" i="7"/>
  <c r="BC40" i="7"/>
  <c r="BC35" i="7"/>
  <c r="BL41" i="7"/>
  <c r="BC38" i="7"/>
  <c r="CA36" i="7"/>
  <c r="BL37" i="7"/>
  <c r="BK42" i="7"/>
  <c r="BS40" i="7"/>
  <c r="BC39" i="7"/>
  <c r="CA42" i="7"/>
  <c r="EL4" i="7"/>
  <c r="EL15" i="7"/>
  <c r="R75" i="7"/>
  <c r="V72" i="7"/>
  <c r="Q71" i="7"/>
  <c r="EC15" i="7"/>
  <c r="DK14" i="7"/>
  <c r="DT14" i="7"/>
  <c r="DU7" i="7"/>
  <c r="EC14" i="7"/>
  <c r="E19" i="32"/>
  <c r="F19" i="32" s="1"/>
  <c r="D20" i="32"/>
  <c r="DT15" i="7"/>
  <c r="DU15" i="7"/>
  <c r="DK11" i="7"/>
  <c r="DT7" i="7"/>
  <c r="EC10" i="7"/>
  <c r="DK9" i="7"/>
  <c r="DU5" i="7"/>
  <c r="DT5" i="7"/>
  <c r="DU14" i="7"/>
  <c r="DU4" i="7"/>
  <c r="EC8" i="7"/>
  <c r="G24" i="27"/>
  <c r="O121" i="32"/>
  <c r="BC31" i="7"/>
  <c r="U85" i="7"/>
  <c r="Q85" i="7"/>
  <c r="Q82" i="7"/>
  <c r="U82" i="7"/>
  <c r="BC32" i="7"/>
  <c r="Q81" i="7"/>
  <c r="U81" i="7"/>
  <c r="EC11" i="7"/>
  <c r="R87" i="7"/>
  <c r="V87" i="7"/>
  <c r="BL40" i="7"/>
  <c r="BK38" i="7"/>
  <c r="BK39" i="7"/>
  <c r="BK40" i="7"/>
  <c r="T75" i="7"/>
  <c r="Q72" i="7"/>
  <c r="U87" i="7"/>
  <c r="Q87" i="7"/>
  <c r="BC37" i="7"/>
  <c r="DK13" i="7"/>
  <c r="CA35" i="7"/>
  <c r="Q65" i="7"/>
  <c r="Q64" i="7"/>
  <c r="EC5" i="7"/>
  <c r="DU9" i="7"/>
  <c r="DU10" i="7"/>
  <c r="DT13" i="7"/>
  <c r="BK35" i="7"/>
  <c r="DT8" i="7"/>
  <c r="U84" i="7"/>
  <c r="Q84" i="7"/>
  <c r="DK6" i="7"/>
  <c r="P64" i="7"/>
  <c r="P65" i="7"/>
  <c r="CA33" i="7"/>
  <c r="EL9" i="7"/>
  <c r="CA34" i="7"/>
  <c r="V84" i="7"/>
  <c r="R84" i="7"/>
  <c r="DU12" i="7"/>
  <c r="DU6" i="7"/>
  <c r="BK36" i="7"/>
  <c r="DK4" i="7"/>
  <c r="P67" i="7"/>
  <c r="EL8" i="7"/>
  <c r="CA40" i="7"/>
  <c r="EL13" i="7"/>
  <c r="Q57" i="7"/>
  <c r="Q58" i="7"/>
  <c r="EC12" i="7"/>
  <c r="EC9" i="7"/>
  <c r="DT6" i="7"/>
  <c r="Q73" i="7"/>
  <c r="DK5" i="7"/>
  <c r="Q86" i="7"/>
  <c r="U86" i="7"/>
  <c r="BH21" i="7"/>
  <c r="BH4" i="7"/>
  <c r="BH24" i="7"/>
  <c r="BH8" i="7"/>
  <c r="BH14" i="7"/>
  <c r="BH25" i="7"/>
  <c r="BH10" i="7"/>
  <c r="BH16" i="7"/>
  <c r="BH7" i="7"/>
  <c r="BH9" i="7"/>
  <c r="BH26" i="7"/>
  <c r="BH18" i="7"/>
  <c r="BH15" i="7"/>
  <c r="BH22" i="7"/>
  <c r="BH13" i="7"/>
  <c r="BH23" i="7"/>
  <c r="BH6" i="7"/>
  <c r="BH33" i="7" s="1"/>
  <c r="BH27" i="7"/>
  <c r="BH11" i="7"/>
  <c r="BH19" i="7"/>
  <c r="BH5" i="7"/>
  <c r="BH20" i="7"/>
  <c r="BH17" i="7"/>
  <c r="BH12" i="7"/>
  <c r="EL6" i="7"/>
  <c r="CF12" i="7"/>
  <c r="CF11" i="7"/>
  <c r="CF7" i="7"/>
  <c r="CF19" i="7"/>
  <c r="CF6" i="7"/>
  <c r="CF24" i="7"/>
  <c r="CF23" i="7"/>
  <c r="CF13" i="7"/>
  <c r="CF4" i="7"/>
  <c r="CF31" i="7" s="1"/>
  <c r="CF18" i="7"/>
  <c r="CF16" i="7"/>
  <c r="CF5" i="7"/>
  <c r="CF32" i="7" s="1"/>
  <c r="CF25" i="7"/>
  <c r="CF27" i="7"/>
  <c r="CF22" i="7"/>
  <c r="CF20" i="7"/>
  <c r="CF17" i="7"/>
  <c r="CF10" i="7"/>
  <c r="CF21" i="7"/>
  <c r="CF8" i="7"/>
  <c r="CF9" i="7"/>
  <c r="CF14" i="7"/>
  <c r="CF15" i="7"/>
  <c r="CF26" i="7"/>
  <c r="BS38" i="7"/>
  <c r="BS36" i="7"/>
  <c r="BS31" i="7"/>
  <c r="DU11" i="7"/>
  <c r="BL39" i="7"/>
  <c r="BP9" i="7"/>
  <c r="BP26" i="7"/>
  <c r="BP6" i="7"/>
  <c r="BP25" i="7"/>
  <c r="BP12" i="7"/>
  <c r="BP23" i="7"/>
  <c r="BP10" i="7"/>
  <c r="BP20" i="7"/>
  <c r="BP14" i="7"/>
  <c r="BP21" i="7"/>
  <c r="BP22" i="7"/>
  <c r="BP15" i="7"/>
  <c r="BP16" i="7"/>
  <c r="BP8" i="7"/>
  <c r="BP34" i="7" s="1"/>
  <c r="BP24" i="7"/>
  <c r="BP17" i="7"/>
  <c r="BP13" i="7"/>
  <c r="BP7" i="7"/>
  <c r="BP27" i="7"/>
  <c r="BP11" i="7"/>
  <c r="BP18" i="7"/>
  <c r="BP4" i="7"/>
  <c r="BP31" i="7" s="1"/>
  <c r="BP5" i="7"/>
  <c r="BP32" i="7" s="1"/>
  <c r="BP19" i="7"/>
  <c r="BK33" i="7"/>
  <c r="P57" i="7"/>
  <c r="P58" i="7"/>
  <c r="DK8" i="7"/>
  <c r="DK15" i="7"/>
  <c r="EL11" i="7"/>
  <c r="EL7" i="7"/>
  <c r="EL5" i="7"/>
  <c r="V73" i="7"/>
  <c r="BS32" i="7"/>
  <c r="R81" i="7"/>
  <c r="V81" i="7"/>
  <c r="R85" i="7"/>
  <c r="V85" i="7"/>
  <c r="EC6" i="7"/>
  <c r="R83" i="7"/>
  <c r="V83" i="7"/>
  <c r="BL36" i="7"/>
  <c r="DU8" i="7"/>
  <c r="BL35" i="7"/>
  <c r="DT4" i="7"/>
  <c r="DT11" i="7"/>
  <c r="U83" i="7"/>
  <c r="Q83" i="7"/>
  <c r="DK10" i="7"/>
  <c r="X74" i="7"/>
  <c r="G15" i="6" s="1"/>
  <c r="EL10" i="7"/>
  <c r="CA37" i="7"/>
  <c r="V76" i="7"/>
  <c r="V82" i="7"/>
  <c r="R82" i="7"/>
  <c r="BX20" i="7"/>
  <c r="BX13" i="7"/>
  <c r="BX4" i="7"/>
  <c r="BX16" i="7"/>
  <c r="BX18" i="7"/>
  <c r="BX7" i="7"/>
  <c r="BX15" i="7"/>
  <c r="BX11" i="7"/>
  <c r="BX8" i="7"/>
  <c r="BX34" i="7" s="1"/>
  <c r="BX17" i="7"/>
  <c r="BX9" i="7"/>
  <c r="BX25" i="7"/>
  <c r="BX12" i="7"/>
  <c r="BX6" i="7"/>
  <c r="BX33" i="7" s="1"/>
  <c r="BX24" i="7"/>
  <c r="BX26" i="7"/>
  <c r="BX19" i="7"/>
  <c r="BX27" i="7"/>
  <c r="BX22" i="7"/>
  <c r="BX23" i="7"/>
  <c r="BX14" i="7"/>
  <c r="BX10" i="7"/>
  <c r="BX5" i="7"/>
  <c r="BX21" i="7"/>
  <c r="Q60" i="7"/>
  <c r="Q62" i="7"/>
  <c r="Q61" i="7"/>
  <c r="EC13" i="7"/>
  <c r="BL33" i="7"/>
  <c r="DT9" i="7"/>
  <c r="DK7" i="7"/>
  <c r="P61" i="7"/>
  <c r="P62" i="7"/>
  <c r="P60" i="7"/>
  <c r="BC34" i="7"/>
  <c r="CA39" i="7"/>
  <c r="EL12" i="7"/>
  <c r="EC4" i="7"/>
  <c r="R86" i="7"/>
  <c r="V86" i="7"/>
  <c r="DU13" i="7"/>
  <c r="BL38" i="7"/>
  <c r="DT12" i="7"/>
  <c r="DT10" i="7"/>
  <c r="K17" i="34"/>
  <c r="N17" i="34"/>
  <c r="M18" i="34"/>
  <c r="J19" i="34" s="1"/>
  <c r="L18" i="34"/>
  <c r="BP290" i="36"/>
  <c r="V171" i="37" l="1"/>
  <c r="V173" i="37"/>
  <c r="Y60" i="37"/>
  <c r="X60" i="37"/>
  <c r="W60" i="37"/>
  <c r="T60" i="37" s="1"/>
  <c r="U61" i="37"/>
  <c r="V166" i="37"/>
  <c r="U8" i="31"/>
  <c r="Q9" i="31" s="1"/>
  <c r="R9" i="31" s="1"/>
  <c r="BS290" i="36"/>
  <c r="BT290" i="36" s="1"/>
  <c r="AM27" i="32"/>
  <c r="AM28" i="32" s="1"/>
  <c r="AM29" i="32" s="1"/>
  <c r="AM30" i="32" s="1"/>
  <c r="AM31" i="32" s="1"/>
  <c r="AM32" i="32" s="1"/>
  <c r="AM33" i="32" s="1"/>
  <c r="AM34" i="32" s="1"/>
  <c r="AM35" i="32" s="1"/>
  <c r="AM36" i="32" s="1"/>
  <c r="AM37" i="32" s="1"/>
  <c r="AM38" i="32" s="1"/>
  <c r="AM39" i="32" s="1"/>
  <c r="AM40" i="32" s="1"/>
  <c r="AM41" i="32" s="1"/>
  <c r="AM42" i="32" s="1"/>
  <c r="Y8" i="31"/>
  <c r="R102" i="32"/>
  <c r="P103" i="32"/>
  <c r="S102" i="32"/>
  <c r="X76" i="7"/>
  <c r="I15" i="6" s="1"/>
  <c r="BL8" i="26"/>
  <c r="BF8" i="26"/>
  <c r="AV9" i="26"/>
  <c r="AW9" i="26" s="1"/>
  <c r="AY9" i="26" s="1"/>
  <c r="BJ8" i="26"/>
  <c r="BH8" i="26"/>
  <c r="BK8" i="26"/>
  <c r="X75" i="7"/>
  <c r="H15" i="6" s="1"/>
  <c r="U34" i="6" s="1"/>
  <c r="X71" i="7"/>
  <c r="D15" i="6" s="1"/>
  <c r="X77" i="7"/>
  <c r="J15" i="6" s="1"/>
  <c r="AH42" i="46"/>
  <c r="AJ42" i="46" s="1"/>
  <c r="AG41" i="46"/>
  <c r="AG42" i="46"/>
  <c r="AD44" i="46"/>
  <c r="AF44" i="46" s="1"/>
  <c r="AI21" i="46"/>
  <c r="AI22" i="46" s="1"/>
  <c r="AI23" i="46" s="1"/>
  <c r="AI24" i="46" s="1"/>
  <c r="AI25" i="46" s="1"/>
  <c r="D35" i="41"/>
  <c r="B36" i="41"/>
  <c r="X50" i="25"/>
  <c r="Y49" i="25"/>
  <c r="Z49" i="25" s="1"/>
  <c r="X83" i="7"/>
  <c r="F10" i="6" s="1"/>
  <c r="D26" i="27"/>
  <c r="C53" i="27"/>
  <c r="D52" i="27" s="1"/>
  <c r="R26" i="27"/>
  <c r="Q25" i="27"/>
  <c r="D125" i="27"/>
  <c r="D62" i="45"/>
  <c r="E124" i="27"/>
  <c r="E62" i="45" s="1"/>
  <c r="AA45" i="25"/>
  <c r="S119" i="47"/>
  <c r="T119" i="47" s="1"/>
  <c r="Z119" i="47" s="1"/>
  <c r="Y119" i="47" s="1"/>
  <c r="AA119" i="47"/>
  <c r="AB119" i="47" s="1"/>
  <c r="S87" i="47"/>
  <c r="T87" i="47" s="1"/>
  <c r="Z87" i="47" s="1"/>
  <c r="Y87" i="47" s="1"/>
  <c r="AA87" i="47"/>
  <c r="AB87" i="47" s="1"/>
  <c r="S89" i="47"/>
  <c r="T89" i="47" s="1"/>
  <c r="Z89" i="47" s="1"/>
  <c r="Y89" i="47" s="1"/>
  <c r="AA89" i="47"/>
  <c r="AB89" i="47" s="1"/>
  <c r="S69" i="47"/>
  <c r="T69" i="47" s="1"/>
  <c r="Z69" i="47" s="1"/>
  <c r="Y69" i="47" s="1"/>
  <c r="AA69" i="47"/>
  <c r="AB69" i="47" s="1"/>
  <c r="S73" i="47"/>
  <c r="T73" i="47" s="1"/>
  <c r="Z73" i="47" s="1"/>
  <c r="Y73" i="47" s="1"/>
  <c r="AA73" i="47"/>
  <c r="AB73" i="47" s="1"/>
  <c r="S147" i="47"/>
  <c r="T147" i="47" s="1"/>
  <c r="Z147" i="47" s="1"/>
  <c r="Y147" i="47" s="1"/>
  <c r="AA147" i="47"/>
  <c r="AB147" i="47" s="1"/>
  <c r="S115" i="47"/>
  <c r="T115" i="47" s="1"/>
  <c r="Z115" i="47" s="1"/>
  <c r="Y115" i="47" s="1"/>
  <c r="AA115" i="47"/>
  <c r="AB115" i="47" s="1"/>
  <c r="S155" i="47"/>
  <c r="T155" i="47" s="1"/>
  <c r="Z155" i="47" s="1"/>
  <c r="Y155" i="47" s="1"/>
  <c r="AA155" i="47"/>
  <c r="AB155" i="47" s="1"/>
  <c r="S103" i="47"/>
  <c r="T103" i="47" s="1"/>
  <c r="Z103" i="47" s="1"/>
  <c r="Y103" i="47" s="1"/>
  <c r="AA103" i="47"/>
  <c r="AB103" i="47" s="1"/>
  <c r="S129" i="47"/>
  <c r="T129" i="47" s="1"/>
  <c r="Z129" i="47" s="1"/>
  <c r="Y129" i="47" s="1"/>
  <c r="AA129" i="47"/>
  <c r="AB129" i="47" s="1"/>
  <c r="S127" i="47"/>
  <c r="T127" i="47" s="1"/>
  <c r="Z127" i="47" s="1"/>
  <c r="Y127" i="47" s="1"/>
  <c r="AA127" i="47"/>
  <c r="AB127" i="47" s="1"/>
  <c r="S95" i="47"/>
  <c r="T95" i="47" s="1"/>
  <c r="Z95" i="47" s="1"/>
  <c r="Y95" i="47" s="1"/>
  <c r="AA95" i="47"/>
  <c r="AB95" i="47" s="1"/>
  <c r="S109" i="47"/>
  <c r="T109" i="47" s="1"/>
  <c r="Z109" i="47" s="1"/>
  <c r="Y109" i="47" s="1"/>
  <c r="AA109" i="47"/>
  <c r="AB109" i="47" s="1"/>
  <c r="S85" i="47"/>
  <c r="T85" i="47" s="1"/>
  <c r="Z85" i="47" s="1"/>
  <c r="Y85" i="47" s="1"/>
  <c r="AA85" i="47"/>
  <c r="AB85" i="47" s="1"/>
  <c r="S79" i="47"/>
  <c r="T79" i="47" s="1"/>
  <c r="Z79" i="47" s="1"/>
  <c r="Y79" i="47" s="1"/>
  <c r="AA79" i="47"/>
  <c r="AB79" i="47" s="1"/>
  <c r="S113" i="47"/>
  <c r="T113" i="47" s="1"/>
  <c r="Z113" i="47" s="1"/>
  <c r="Y113" i="47" s="1"/>
  <c r="AA113" i="47"/>
  <c r="AB113" i="47" s="1"/>
  <c r="S75" i="47"/>
  <c r="T75" i="47" s="1"/>
  <c r="Z75" i="47" s="1"/>
  <c r="Y75" i="47" s="1"/>
  <c r="AA75" i="47"/>
  <c r="AB75" i="47" s="1"/>
  <c r="S99" i="47"/>
  <c r="T99" i="47" s="1"/>
  <c r="Z99" i="47" s="1"/>
  <c r="Y99" i="47" s="1"/>
  <c r="AA99" i="47"/>
  <c r="AB99" i="47" s="1"/>
  <c r="S141" i="47"/>
  <c r="T141" i="47" s="1"/>
  <c r="Z141" i="47" s="1"/>
  <c r="Y141" i="47" s="1"/>
  <c r="AA141" i="47"/>
  <c r="AB141" i="47" s="1"/>
  <c r="S137" i="47"/>
  <c r="T137" i="47" s="1"/>
  <c r="Z137" i="47" s="1"/>
  <c r="Y137" i="47" s="1"/>
  <c r="AA137" i="47"/>
  <c r="AB137" i="47" s="1"/>
  <c r="S143" i="47"/>
  <c r="T143" i="47" s="1"/>
  <c r="Z143" i="47" s="1"/>
  <c r="Y143" i="47" s="1"/>
  <c r="AA143" i="47"/>
  <c r="AB143" i="47" s="1"/>
  <c r="S121" i="47"/>
  <c r="T121" i="47" s="1"/>
  <c r="Z121" i="47" s="1"/>
  <c r="Y121" i="47" s="1"/>
  <c r="AA121" i="47"/>
  <c r="AB121" i="47" s="1"/>
  <c r="S61" i="47"/>
  <c r="T61" i="47" s="1"/>
  <c r="Z61" i="47" s="1"/>
  <c r="Y61" i="47" s="1"/>
  <c r="AA61" i="47"/>
  <c r="AB61" i="47" s="1"/>
  <c r="S107" i="47"/>
  <c r="T107" i="47" s="1"/>
  <c r="Z107" i="47" s="1"/>
  <c r="Y107" i="47" s="1"/>
  <c r="AA107" i="47"/>
  <c r="AB107" i="47" s="1"/>
  <c r="S117" i="47"/>
  <c r="T117" i="47" s="1"/>
  <c r="Z117" i="47" s="1"/>
  <c r="Y117" i="47" s="1"/>
  <c r="AA117" i="47"/>
  <c r="AB117" i="47" s="1"/>
  <c r="S77" i="47"/>
  <c r="T77" i="47" s="1"/>
  <c r="Z77" i="47" s="1"/>
  <c r="Y77" i="47" s="1"/>
  <c r="AA77" i="47"/>
  <c r="AB77" i="47" s="1"/>
  <c r="S93" i="47"/>
  <c r="T93" i="47" s="1"/>
  <c r="Z93" i="47" s="1"/>
  <c r="Y93" i="47" s="1"/>
  <c r="AA93" i="47"/>
  <c r="AB93" i="47" s="1"/>
  <c r="S135" i="47"/>
  <c r="T135" i="47" s="1"/>
  <c r="Z135" i="47" s="1"/>
  <c r="Y135" i="47" s="1"/>
  <c r="AA135" i="47"/>
  <c r="AB135" i="47" s="1"/>
  <c r="S123" i="47"/>
  <c r="T123" i="47" s="1"/>
  <c r="Z123" i="47" s="1"/>
  <c r="Y123" i="47" s="1"/>
  <c r="AA123" i="47"/>
  <c r="AB123" i="47" s="1"/>
  <c r="S101" i="47"/>
  <c r="T101" i="47" s="1"/>
  <c r="Z101" i="47" s="1"/>
  <c r="Y101" i="47" s="1"/>
  <c r="AA101" i="47"/>
  <c r="AB101" i="47" s="1"/>
  <c r="S97" i="47"/>
  <c r="T97" i="47" s="1"/>
  <c r="Z97" i="47" s="1"/>
  <c r="Y97" i="47" s="1"/>
  <c r="AA97" i="47"/>
  <c r="AB97" i="47" s="1"/>
  <c r="S149" i="47"/>
  <c r="T149" i="47" s="1"/>
  <c r="Z149" i="47" s="1"/>
  <c r="Y149" i="47" s="1"/>
  <c r="AA149" i="47"/>
  <c r="AB149" i="47" s="1"/>
  <c r="S81" i="47"/>
  <c r="T81" i="47" s="1"/>
  <c r="Z81" i="47" s="1"/>
  <c r="Y81" i="47" s="1"/>
  <c r="AA81" i="47"/>
  <c r="AB81" i="47" s="1"/>
  <c r="S63" i="47"/>
  <c r="T63" i="47" s="1"/>
  <c r="Z63" i="47" s="1"/>
  <c r="Y63" i="47" s="1"/>
  <c r="AA63" i="47"/>
  <c r="AB63" i="47" s="1"/>
  <c r="S157" i="47"/>
  <c r="T157" i="47" s="1"/>
  <c r="Z157" i="47" s="1"/>
  <c r="Y157" i="47" s="1"/>
  <c r="AA157" i="47"/>
  <c r="AB157" i="47" s="1"/>
  <c r="S153" i="47"/>
  <c r="T153" i="47" s="1"/>
  <c r="Z153" i="47" s="1"/>
  <c r="Y153" i="47" s="1"/>
  <c r="AA153" i="47"/>
  <c r="AB153" i="47" s="1"/>
  <c r="S159" i="47"/>
  <c r="T159" i="47" s="1"/>
  <c r="Z159" i="47" s="1"/>
  <c r="Y159" i="47" s="1"/>
  <c r="AA159" i="47"/>
  <c r="AB159" i="47" s="1"/>
  <c r="S91" i="47"/>
  <c r="T91" i="47" s="1"/>
  <c r="Z91" i="47" s="1"/>
  <c r="Y91" i="47" s="1"/>
  <c r="AA91" i="47"/>
  <c r="AB91" i="47" s="1"/>
  <c r="S83" i="47"/>
  <c r="T83" i="47" s="1"/>
  <c r="Z83" i="47" s="1"/>
  <c r="Y83" i="47" s="1"/>
  <c r="AA83" i="47"/>
  <c r="AB83" i="47" s="1"/>
  <c r="S67" i="47"/>
  <c r="T67" i="47" s="1"/>
  <c r="Z67" i="47" s="1"/>
  <c r="Y67" i="47" s="1"/>
  <c r="AA67" i="47"/>
  <c r="AB67" i="47" s="1"/>
  <c r="S151" i="47"/>
  <c r="T151" i="47" s="1"/>
  <c r="Z151" i="47" s="1"/>
  <c r="Y151" i="47" s="1"/>
  <c r="AA151" i="47"/>
  <c r="AB151" i="47" s="1"/>
  <c r="S125" i="47"/>
  <c r="T125" i="47" s="1"/>
  <c r="Z125" i="47" s="1"/>
  <c r="Y125" i="47" s="1"/>
  <c r="AA125" i="47"/>
  <c r="AB125" i="47" s="1"/>
  <c r="S131" i="47"/>
  <c r="T131" i="47" s="1"/>
  <c r="Z131" i="47" s="1"/>
  <c r="Y131" i="47" s="1"/>
  <c r="AA131" i="47"/>
  <c r="AB131" i="47" s="1"/>
  <c r="S111" i="47"/>
  <c r="T111" i="47" s="1"/>
  <c r="Z111" i="47" s="1"/>
  <c r="Y111" i="47" s="1"/>
  <c r="AA111" i="47"/>
  <c r="AB111" i="47" s="1"/>
  <c r="S105" i="47"/>
  <c r="T105" i="47" s="1"/>
  <c r="Z105" i="47" s="1"/>
  <c r="Y105" i="47" s="1"/>
  <c r="AA105" i="47"/>
  <c r="AB105" i="47" s="1"/>
  <c r="S59" i="47"/>
  <c r="T59" i="47" s="1"/>
  <c r="Z59" i="47" s="1"/>
  <c r="Y59" i="47" s="1"/>
  <c r="AA59" i="47"/>
  <c r="AB59" i="47" s="1"/>
  <c r="S65" i="47"/>
  <c r="T65" i="47" s="1"/>
  <c r="Z65" i="47" s="1"/>
  <c r="Y65" i="47" s="1"/>
  <c r="AA65" i="47"/>
  <c r="AB65" i="47" s="1"/>
  <c r="S139" i="47"/>
  <c r="T139" i="47" s="1"/>
  <c r="Z139" i="47" s="1"/>
  <c r="Y139" i="47" s="1"/>
  <c r="AA139" i="47"/>
  <c r="AB139" i="47" s="1"/>
  <c r="S145" i="47"/>
  <c r="T145" i="47" s="1"/>
  <c r="Z145" i="47" s="1"/>
  <c r="Y145" i="47" s="1"/>
  <c r="AA145" i="47"/>
  <c r="AB145" i="47" s="1"/>
  <c r="S133" i="47"/>
  <c r="T133" i="47" s="1"/>
  <c r="Z133" i="47" s="1"/>
  <c r="Y133" i="47" s="1"/>
  <c r="AA133" i="47"/>
  <c r="AB133" i="47" s="1"/>
  <c r="Q109" i="32"/>
  <c r="P15" i="26"/>
  <c r="Q15" i="26" s="1"/>
  <c r="O14" i="26"/>
  <c r="R14" i="26"/>
  <c r="S14" i="26"/>
  <c r="U14" i="26" s="1"/>
  <c r="BX35" i="7"/>
  <c r="CF38" i="7"/>
  <c r="BX41" i="7"/>
  <c r="BH36" i="7"/>
  <c r="BP37" i="7"/>
  <c r="BH42" i="7"/>
  <c r="BP42" i="7"/>
  <c r="CF41" i="7"/>
  <c r="BX37" i="7"/>
  <c r="BH39" i="7"/>
  <c r="BH35" i="7"/>
  <c r="BX40" i="7"/>
  <c r="BH38" i="7"/>
  <c r="BH40" i="7"/>
  <c r="BH41" i="7"/>
  <c r="BP41" i="7"/>
  <c r="BX39" i="7"/>
  <c r="EQ9" i="7"/>
  <c r="CF36" i="7"/>
  <c r="BX42" i="7"/>
  <c r="CF42" i="7"/>
  <c r="X87" i="7"/>
  <c r="J10" i="6" s="1"/>
  <c r="X72" i="7"/>
  <c r="E15" i="6" s="1"/>
  <c r="U20" i="6" s="1"/>
  <c r="X73" i="7"/>
  <c r="F15" i="6" s="1"/>
  <c r="U26" i="6" s="1"/>
  <c r="EH6" i="7"/>
  <c r="EH14" i="7"/>
  <c r="DY4" i="7"/>
  <c r="DP6" i="7"/>
  <c r="DP8" i="7"/>
  <c r="D21" i="32"/>
  <c r="E20" i="32"/>
  <c r="F20" i="32" s="1"/>
  <c r="EH7" i="7"/>
  <c r="DY15" i="7"/>
  <c r="EQ14" i="7"/>
  <c r="EH10" i="7"/>
  <c r="EH12" i="7"/>
  <c r="DP14" i="7"/>
  <c r="DP12" i="7"/>
  <c r="DP15" i="7"/>
  <c r="G25" i="27"/>
  <c r="O122" i="32"/>
  <c r="U36" i="6"/>
  <c r="U37" i="6"/>
  <c r="U31" i="6"/>
  <c r="U33" i="6"/>
  <c r="EH13" i="7"/>
  <c r="EH8" i="7"/>
  <c r="DY7" i="7"/>
  <c r="DY5" i="7"/>
  <c r="EQ7" i="7"/>
  <c r="EQ15" i="7"/>
  <c r="EQ12" i="7"/>
  <c r="BH37" i="7"/>
  <c r="EH11" i="7"/>
  <c r="EH5" i="7"/>
  <c r="BX31" i="7"/>
  <c r="U29" i="6"/>
  <c r="U35" i="6"/>
  <c r="U32" i="6"/>
  <c r="U30" i="6"/>
  <c r="BP40" i="7"/>
  <c r="BP39" i="7"/>
  <c r="DY10" i="7"/>
  <c r="EQ5" i="7"/>
  <c r="EQ13" i="7"/>
  <c r="CF33" i="7"/>
  <c r="DP10" i="7"/>
  <c r="DP11" i="7"/>
  <c r="DP13" i="7"/>
  <c r="X84" i="7"/>
  <c r="G10" i="6" s="1"/>
  <c r="X82" i="7"/>
  <c r="E10" i="6" s="1"/>
  <c r="U46" i="6"/>
  <c r="U40" i="6"/>
  <c r="U39" i="6"/>
  <c r="U44" i="6"/>
  <c r="EH15" i="7"/>
  <c r="DY12" i="7"/>
  <c r="BP35" i="7"/>
  <c r="CF34" i="7"/>
  <c r="CF40" i="7"/>
  <c r="BH32" i="7"/>
  <c r="DP7" i="7"/>
  <c r="EQ8" i="7"/>
  <c r="EQ4" i="7"/>
  <c r="DP9" i="7"/>
  <c r="BH34" i="7"/>
  <c r="BX36" i="7"/>
  <c r="DY9" i="7"/>
  <c r="DY8" i="7"/>
  <c r="DY6" i="7"/>
  <c r="CF35" i="7"/>
  <c r="X85" i="7"/>
  <c r="H10" i="6" s="1"/>
  <c r="BX32" i="7"/>
  <c r="BX38" i="7"/>
  <c r="BP36" i="7"/>
  <c r="BP38" i="7"/>
  <c r="DY13" i="7"/>
  <c r="CF39" i="7"/>
  <c r="EQ6" i="7"/>
  <c r="DP5" i="7"/>
  <c r="BH31" i="7"/>
  <c r="EH4" i="7"/>
  <c r="DY11" i="7"/>
  <c r="BP33" i="7"/>
  <c r="EQ10" i="7"/>
  <c r="CF37" i="7"/>
  <c r="DP4" i="7"/>
  <c r="X81" i="7"/>
  <c r="D10" i="6" s="1"/>
  <c r="EH9" i="7"/>
  <c r="DY14" i="7"/>
  <c r="EQ11" i="7"/>
  <c r="X86" i="7"/>
  <c r="I10" i="6" s="1"/>
  <c r="K18" i="34"/>
  <c r="N18" i="34"/>
  <c r="M19" i="34"/>
  <c r="J20" i="34" s="1"/>
  <c r="L19" i="34"/>
  <c r="V169" i="37" l="1"/>
  <c r="Y61" i="37"/>
  <c r="X61" i="37"/>
  <c r="W61" i="37"/>
  <c r="U62" i="37"/>
  <c r="V176" i="37"/>
  <c r="V174" i="37"/>
  <c r="AB8" i="31"/>
  <c r="AG8" i="31"/>
  <c r="C23" i="43" s="1"/>
  <c r="W8" i="31"/>
  <c r="X8" i="31" s="1"/>
  <c r="AI8" i="31" s="1"/>
  <c r="D23" i="43" s="1"/>
  <c r="U38" i="6"/>
  <c r="R103" i="32"/>
  <c r="P104" i="32"/>
  <c r="S103" i="32"/>
  <c r="U27" i="6"/>
  <c r="U22" i="6"/>
  <c r="U21" i="6"/>
  <c r="U25" i="6"/>
  <c r="U42" i="6"/>
  <c r="U48" i="6"/>
  <c r="U41" i="6"/>
  <c r="U47" i="6"/>
  <c r="U45" i="6"/>
  <c r="U43" i="6"/>
  <c r="AD45" i="46"/>
  <c r="AF45" i="46" s="1"/>
  <c r="AI26" i="46"/>
  <c r="AI27" i="46" s="1"/>
  <c r="AI28" i="46" s="1"/>
  <c r="AI29" i="46" s="1"/>
  <c r="AI30" i="46" s="1"/>
  <c r="AI31" i="46" s="1"/>
  <c r="AI32" i="46" s="1"/>
  <c r="AI33" i="46" s="1"/>
  <c r="AI34" i="46" s="1"/>
  <c r="AI35" i="46" s="1"/>
  <c r="I17" i="46" s="1"/>
  <c r="D63" i="45"/>
  <c r="E125" i="27"/>
  <c r="E63" i="45" s="1"/>
  <c r="D126" i="27"/>
  <c r="X51" i="25"/>
  <c r="Y50" i="25"/>
  <c r="Z50" i="25" s="1"/>
  <c r="R27" i="27"/>
  <c r="D27" i="27"/>
  <c r="Q26" i="27"/>
  <c r="C54" i="27"/>
  <c r="D53" i="27" s="1"/>
  <c r="C36" i="41"/>
  <c r="F36" i="41"/>
  <c r="U28" i="6"/>
  <c r="U23" i="6"/>
  <c r="AX9" i="26"/>
  <c r="AV10" i="26" s="1"/>
  <c r="E35" i="41"/>
  <c r="U24" i="6"/>
  <c r="U19" i="6"/>
  <c r="AA46" i="25"/>
  <c r="BI9" i="26"/>
  <c r="Q110" i="32"/>
  <c r="BF21" i="35"/>
  <c r="AU9" i="26"/>
  <c r="O15" i="26"/>
  <c r="R15" i="26"/>
  <c r="S15" i="26"/>
  <c r="U15" i="26" s="1"/>
  <c r="P16" i="26"/>
  <c r="Q16" i="26" s="1"/>
  <c r="S9" i="31"/>
  <c r="Y9" i="31" s="1"/>
  <c r="D22" i="32"/>
  <c r="E21" i="32"/>
  <c r="F21" i="32" s="1"/>
  <c r="G26" i="27"/>
  <c r="O123" i="32"/>
  <c r="K19" i="34"/>
  <c r="N19" i="34"/>
  <c r="M20" i="34"/>
  <c r="J21" i="34" s="1"/>
  <c r="L20" i="34"/>
  <c r="V172" i="37" l="1"/>
  <c r="V177" i="37"/>
  <c r="T61" i="37"/>
  <c r="V179" i="37"/>
  <c r="Y62" i="37"/>
  <c r="X62" i="37"/>
  <c r="W62" i="37"/>
  <c r="T62" i="37" s="1"/>
  <c r="U63" i="37"/>
  <c r="Z8" i="31"/>
  <c r="AA8" i="31" s="1"/>
  <c r="AH8" i="31" s="1"/>
  <c r="R104" i="32"/>
  <c r="P105" i="32"/>
  <c r="S104" i="32"/>
  <c r="BF9" i="26"/>
  <c r="BJ9" i="26"/>
  <c r="BG9" i="26"/>
  <c r="BK9" i="26"/>
  <c r="BL9" i="26"/>
  <c r="BH9" i="26"/>
  <c r="AH45" i="46"/>
  <c r="AJ45" i="46" s="1"/>
  <c r="AH44" i="46"/>
  <c r="AJ44" i="46" s="1"/>
  <c r="AG43" i="46"/>
  <c r="AH43" i="46"/>
  <c r="AJ43" i="46" s="1"/>
  <c r="AD46" i="46"/>
  <c r="AF46" i="46" s="1"/>
  <c r="AI36" i="46"/>
  <c r="AI37" i="46" s="1"/>
  <c r="AI38" i="46" s="1"/>
  <c r="AI39" i="46" s="1"/>
  <c r="AI40" i="46" s="1"/>
  <c r="AI41" i="46" s="1"/>
  <c r="AI42" i="46" s="1"/>
  <c r="X52" i="25"/>
  <c r="Y51" i="25"/>
  <c r="Z51" i="25" s="1"/>
  <c r="C55" i="27"/>
  <c r="D54" i="27" s="1"/>
  <c r="Q27" i="27"/>
  <c r="R28" i="27"/>
  <c r="D28" i="27"/>
  <c r="E126" i="27"/>
  <c r="E64" i="45" s="1"/>
  <c r="D127" i="27"/>
  <c r="D64" i="45"/>
  <c r="D36" i="41"/>
  <c r="E36" i="41" s="1"/>
  <c r="B37" i="41"/>
  <c r="AW10" i="26"/>
  <c r="AX10" i="26" s="1"/>
  <c r="AA47" i="25"/>
  <c r="Q111" i="32"/>
  <c r="BE21" i="35"/>
  <c r="BD21" i="35"/>
  <c r="O16" i="26"/>
  <c r="R16" i="26"/>
  <c r="S16" i="26"/>
  <c r="U16" i="26" s="1"/>
  <c r="P17" i="26"/>
  <c r="Q17" i="26" s="1"/>
  <c r="E23" i="43"/>
  <c r="U9" i="31"/>
  <c r="T9" i="31"/>
  <c r="E22" i="32"/>
  <c r="F22" i="32" s="1"/>
  <c r="D23" i="32"/>
  <c r="G27" i="27"/>
  <c r="K20" i="34"/>
  <c r="L21" i="34"/>
  <c r="M21" i="34"/>
  <c r="J22" i="34" s="1"/>
  <c r="N20" i="34"/>
  <c r="V180" i="37" l="1"/>
  <c r="V175" i="37"/>
  <c r="Y63" i="37"/>
  <c r="X63" i="37"/>
  <c r="W63" i="37"/>
  <c r="T63" i="37" s="1"/>
  <c r="U64" i="37"/>
  <c r="V182" i="37"/>
  <c r="P106" i="32"/>
  <c r="R105" i="32"/>
  <c r="S105" i="32"/>
  <c r="AG44" i="46"/>
  <c r="AI43" i="46"/>
  <c r="AI44" i="46" s="1"/>
  <c r="AI45" i="46" s="1"/>
  <c r="AD47" i="46"/>
  <c r="AF47" i="46" s="1"/>
  <c r="F37" i="41"/>
  <c r="C37" i="41"/>
  <c r="B38" i="41" s="1"/>
  <c r="E127" i="27"/>
  <c r="E65" i="45" s="1"/>
  <c r="D128" i="27"/>
  <c r="D65" i="45"/>
  <c r="X53" i="25"/>
  <c r="Y52" i="25"/>
  <c r="Z52" i="25" s="1"/>
  <c r="C56" i="27"/>
  <c r="D55" i="27" s="1"/>
  <c r="R29" i="27"/>
  <c r="Q28" i="27"/>
  <c r="D29" i="27"/>
  <c r="AY10" i="26"/>
  <c r="BF10" i="26" s="1"/>
  <c r="BI10" i="26"/>
  <c r="AA48" i="25"/>
  <c r="W9" i="31"/>
  <c r="G23" i="43"/>
  <c r="H23" i="43" s="1"/>
  <c r="I23" i="43" s="1"/>
  <c r="Q112" i="32"/>
  <c r="AG9" i="31"/>
  <c r="C24" i="43" s="1"/>
  <c r="R17" i="26"/>
  <c r="S17" i="26"/>
  <c r="U17" i="26" s="1"/>
  <c r="P18" i="26"/>
  <c r="Q18" i="26" s="1"/>
  <c r="O17" i="26"/>
  <c r="F23" i="43"/>
  <c r="Q10" i="31"/>
  <c r="R10" i="31" s="1"/>
  <c r="AB9" i="31"/>
  <c r="D24" i="32"/>
  <c r="E23" i="32"/>
  <c r="F23" i="32" s="1"/>
  <c r="G28" i="27"/>
  <c r="K21" i="34"/>
  <c r="N21" i="34"/>
  <c r="M22" i="34"/>
  <c r="J23" i="34" s="1"/>
  <c r="L22" i="34"/>
  <c r="V178" i="37" l="1"/>
  <c r="V183" i="37"/>
  <c r="V185" i="37"/>
  <c r="W64" i="37"/>
  <c r="Y64" i="37"/>
  <c r="X64" i="37"/>
  <c r="U65" i="37"/>
  <c r="BJ10" i="26"/>
  <c r="S106" i="32"/>
  <c r="P107" i="32"/>
  <c r="R106" i="32"/>
  <c r="AH47" i="46"/>
  <c r="AJ47" i="46" s="1"/>
  <c r="AH46" i="46"/>
  <c r="AG45" i="46"/>
  <c r="AG46" i="46"/>
  <c r="AD48" i="46"/>
  <c r="AF48" i="46" s="1"/>
  <c r="X54" i="25"/>
  <c r="Y53" i="25"/>
  <c r="Z53" i="25" s="1"/>
  <c r="D66" i="45"/>
  <c r="D129" i="27"/>
  <c r="E128" i="27"/>
  <c r="E66" i="45" s="1"/>
  <c r="Q29" i="27"/>
  <c r="R30" i="27"/>
  <c r="D30" i="27"/>
  <c r="C57" i="27"/>
  <c r="D56" i="27" s="1"/>
  <c r="D37" i="41"/>
  <c r="F38" i="41"/>
  <c r="C38" i="41"/>
  <c r="B39" i="41" s="1"/>
  <c r="BG10" i="26"/>
  <c r="BL10" i="26"/>
  <c r="AV11" i="26"/>
  <c r="AW11" i="26" s="1"/>
  <c r="AY11" i="26" s="1"/>
  <c r="AU10" i="26"/>
  <c r="BH10" i="26"/>
  <c r="BK10" i="26"/>
  <c r="AA49" i="25"/>
  <c r="X9" i="31"/>
  <c r="AI9" i="31" s="1"/>
  <c r="D24" i="43" s="1"/>
  <c r="E24" i="43" s="1"/>
  <c r="Q113" i="32"/>
  <c r="S18" i="26"/>
  <c r="U18" i="26" s="1"/>
  <c r="P19" i="26"/>
  <c r="Q19" i="26" s="1"/>
  <c r="O18" i="26"/>
  <c r="R18" i="26"/>
  <c r="Z9" i="31"/>
  <c r="AA9" i="31" s="1"/>
  <c r="AH9" i="31" s="1"/>
  <c r="S10" i="31"/>
  <c r="T10" i="31" s="1"/>
  <c r="D25" i="32"/>
  <c r="D26" i="32" s="1"/>
  <c r="D27" i="32" s="1"/>
  <c r="D28" i="32" s="1"/>
  <c r="D29" i="32" s="1"/>
  <c r="D30" i="32" s="1"/>
  <c r="E24" i="32"/>
  <c r="F24" i="32" s="1"/>
  <c r="G29" i="27"/>
  <c r="K22" i="34"/>
  <c r="N22" i="34"/>
  <c r="M23" i="34"/>
  <c r="J24" i="34" s="1"/>
  <c r="L23" i="34"/>
  <c r="V186" i="37" l="1"/>
  <c r="V181" i="37"/>
  <c r="Y65" i="37"/>
  <c r="X65" i="37"/>
  <c r="W65" i="37"/>
  <c r="T65" i="37" s="1"/>
  <c r="U66" i="37"/>
  <c r="T64" i="37"/>
  <c r="V188" i="37"/>
  <c r="P108" i="32"/>
  <c r="S107" i="32"/>
  <c r="R107" i="32"/>
  <c r="AJ46" i="46"/>
  <c r="AI46" i="46"/>
  <c r="AI47" i="46" s="1"/>
  <c r="AG48" i="46"/>
  <c r="AD49" i="46"/>
  <c r="AF49" i="46" s="1"/>
  <c r="D38" i="41"/>
  <c r="E37" i="41"/>
  <c r="E129" i="27"/>
  <c r="E67" i="45" s="1"/>
  <c r="D130" i="27"/>
  <c r="D67" i="45"/>
  <c r="D31" i="27"/>
  <c r="Q30" i="27"/>
  <c r="C58" i="27"/>
  <c r="D57" i="27" s="1"/>
  <c r="R31" i="27"/>
  <c r="C39" i="41"/>
  <c r="B40" i="41" s="1"/>
  <c r="F39" i="41"/>
  <c r="X55" i="25"/>
  <c r="Y54" i="25"/>
  <c r="Z54" i="25" s="1"/>
  <c r="AA50" i="25"/>
  <c r="BI11" i="26"/>
  <c r="AX11" i="26"/>
  <c r="G24" i="43"/>
  <c r="H24" i="43" s="1"/>
  <c r="I24" i="43" s="1"/>
  <c r="N6" i="43" s="1"/>
  <c r="Q114" i="32"/>
  <c r="AU11" i="26"/>
  <c r="F24" i="43"/>
  <c r="O19" i="26"/>
  <c r="R19" i="26"/>
  <c r="S19" i="26"/>
  <c r="U19" i="26" s="1"/>
  <c r="P20" i="26"/>
  <c r="Q20" i="26" s="1"/>
  <c r="U10" i="31"/>
  <c r="Y10" i="31"/>
  <c r="E25" i="32"/>
  <c r="F25" i="32" s="1"/>
  <c r="G30" i="27"/>
  <c r="K23" i="34"/>
  <c r="N23" i="34"/>
  <c r="M24" i="34"/>
  <c r="J25" i="34" s="1"/>
  <c r="L24" i="34"/>
  <c r="V189" i="37" l="1"/>
  <c r="V191" i="37"/>
  <c r="V184" i="37"/>
  <c r="Y66" i="37"/>
  <c r="W66" i="37"/>
  <c r="T66" i="37" s="1"/>
  <c r="X66" i="37"/>
  <c r="U67" i="37"/>
  <c r="S108" i="32"/>
  <c r="P109" i="32"/>
  <c r="R108" i="32"/>
  <c r="AH48" i="46"/>
  <c r="AG47" i="46"/>
  <c r="AD50" i="46"/>
  <c r="AF50" i="46" s="1"/>
  <c r="X56" i="25"/>
  <c r="Y55" i="25"/>
  <c r="Z55" i="25" s="1"/>
  <c r="D32" i="27"/>
  <c r="R32" i="27"/>
  <c r="Q31" i="27"/>
  <c r="C59" i="27"/>
  <c r="D58" i="27" s="1"/>
  <c r="D131" i="27"/>
  <c r="D68" i="45"/>
  <c r="E130" i="27"/>
  <c r="E68" i="45" s="1"/>
  <c r="D39" i="41"/>
  <c r="C40" i="41"/>
  <c r="B41" i="41" s="1"/>
  <c r="F40" i="41"/>
  <c r="E38" i="41"/>
  <c r="BF11" i="26"/>
  <c r="BG11" i="26"/>
  <c r="BJ11" i="26"/>
  <c r="AV12" i="26"/>
  <c r="AW12" i="26" s="1"/>
  <c r="BK11" i="26"/>
  <c r="BH11" i="26"/>
  <c r="AA51" i="25"/>
  <c r="BL11" i="26"/>
  <c r="W10" i="31"/>
  <c r="X10" i="31" s="1"/>
  <c r="AI10" i="31" s="1"/>
  <c r="D25" i="43" s="1"/>
  <c r="E25" i="43" s="1"/>
  <c r="Q115" i="32"/>
  <c r="AV31" i="24"/>
  <c r="CA11" i="24"/>
  <c r="AX11" i="24" s="1"/>
  <c r="AV12" i="24"/>
  <c r="CA22" i="24"/>
  <c r="AX22" i="24" s="1"/>
  <c r="CA10" i="24"/>
  <c r="AX10" i="24" s="1"/>
  <c r="AV21" i="24"/>
  <c r="BZ20" i="24"/>
  <c r="AW20" i="24" s="1"/>
  <c r="AV30" i="24"/>
  <c r="AV22" i="24"/>
  <c r="BZ30" i="24"/>
  <c r="AW30" i="24" s="1"/>
  <c r="AV32" i="24"/>
  <c r="BZ32" i="24"/>
  <c r="AW32" i="24" s="1"/>
  <c r="CA32" i="24"/>
  <c r="AX32" i="24" s="1"/>
  <c r="O20" i="26"/>
  <c r="R20" i="26"/>
  <c r="S20" i="26"/>
  <c r="U20" i="26" s="1"/>
  <c r="P21" i="26"/>
  <c r="Q21" i="26" s="1"/>
  <c r="AB10" i="31"/>
  <c r="AG10" i="31"/>
  <c r="C25" i="43" s="1"/>
  <c r="Q11" i="31"/>
  <c r="S11" i="31" s="1"/>
  <c r="E26" i="32"/>
  <c r="F26" i="32" s="1"/>
  <c r="G31" i="27"/>
  <c r="K24" i="34"/>
  <c r="N24" i="34"/>
  <c r="L25" i="34"/>
  <c r="M25" i="34"/>
  <c r="J26" i="34" s="1"/>
  <c r="V192" i="37" l="1"/>
  <c r="V187" i="37"/>
  <c r="Y67" i="37"/>
  <c r="X67" i="37"/>
  <c r="W67" i="37"/>
  <c r="T67" i="37" s="1"/>
  <c r="U68" i="37"/>
  <c r="V194" i="37"/>
  <c r="S109" i="32"/>
  <c r="R109" i="32"/>
  <c r="P110" i="32"/>
  <c r="Z10" i="31"/>
  <c r="AA10" i="31" s="1"/>
  <c r="AH10" i="31" s="1"/>
  <c r="AJ48" i="46"/>
  <c r="AI48" i="46"/>
  <c r="AD51" i="46"/>
  <c r="AF51" i="46" s="1"/>
  <c r="F41" i="41"/>
  <c r="C41" i="41"/>
  <c r="B42" i="41" s="1"/>
  <c r="E39" i="41"/>
  <c r="D33" i="27"/>
  <c r="C60" i="27"/>
  <c r="D59" i="27" s="1"/>
  <c r="Q32" i="27"/>
  <c r="R33" i="27"/>
  <c r="X57" i="25"/>
  <c r="Y56" i="25"/>
  <c r="Z56" i="25" s="1"/>
  <c r="D132" i="27"/>
  <c r="E131" i="27"/>
  <c r="E69" i="45" s="1"/>
  <c r="D69" i="45"/>
  <c r="D40" i="41"/>
  <c r="E40" i="41" s="1"/>
  <c r="AX12" i="26"/>
  <c r="AY12" i="26"/>
  <c r="X36" i="9"/>
  <c r="Y14" i="9"/>
  <c r="W36" i="9"/>
  <c r="Y26" i="9"/>
  <c r="X34" i="9"/>
  <c r="Y15" i="9"/>
  <c r="W26" i="9"/>
  <c r="W35" i="9"/>
  <c r="AA52" i="25"/>
  <c r="X24" i="9"/>
  <c r="W16" i="9"/>
  <c r="W34" i="9"/>
  <c r="Y36" i="9"/>
  <c r="W25" i="9"/>
  <c r="BI12" i="26"/>
  <c r="F25" i="43"/>
  <c r="G25" i="43"/>
  <c r="H25" i="43" s="1"/>
  <c r="I25" i="43" s="1"/>
  <c r="Q116" i="32"/>
  <c r="AA8" i="9"/>
  <c r="AV11" i="24"/>
  <c r="BZ11" i="24"/>
  <c r="AW11" i="24" s="1"/>
  <c r="BZ21" i="24"/>
  <c r="AW21" i="24" s="1"/>
  <c r="AV20" i="24"/>
  <c r="CA31" i="24"/>
  <c r="AX31" i="24" s="1"/>
  <c r="CA30" i="24"/>
  <c r="AX30" i="24" s="1"/>
  <c r="BZ31" i="24"/>
  <c r="AW31" i="24" s="1"/>
  <c r="BZ12" i="24"/>
  <c r="AW12" i="24" s="1"/>
  <c r="CA12" i="24"/>
  <c r="AX12" i="24" s="1"/>
  <c r="CA20" i="24"/>
  <c r="AX20" i="24" s="1"/>
  <c r="CA21" i="24"/>
  <c r="AX21" i="24" s="1"/>
  <c r="BZ22" i="24"/>
  <c r="AW22" i="24" s="1"/>
  <c r="BZ10" i="24"/>
  <c r="AW10" i="24" s="1"/>
  <c r="AV10" i="24"/>
  <c r="O21" i="26"/>
  <c r="R21" i="26"/>
  <c r="S21" i="26"/>
  <c r="U21" i="26" s="1"/>
  <c r="P22" i="26"/>
  <c r="Q22" i="26" s="1"/>
  <c r="R11" i="31"/>
  <c r="E27" i="32"/>
  <c r="F27" i="32" s="1"/>
  <c r="G32" i="27"/>
  <c r="M26" i="34"/>
  <c r="J27" i="34" s="1"/>
  <c r="L26" i="34"/>
  <c r="K25" i="34"/>
  <c r="N25" i="34"/>
  <c r="V197" i="37" l="1"/>
  <c r="Y68" i="37"/>
  <c r="X68" i="37"/>
  <c r="W68" i="37"/>
  <c r="T68" i="37" s="1"/>
  <c r="U69" i="37"/>
  <c r="V190" i="37"/>
  <c r="V195" i="37"/>
  <c r="S110" i="32"/>
  <c r="R110" i="32"/>
  <c r="P111" i="32"/>
  <c r="AU12" i="26"/>
  <c r="BF12" i="26"/>
  <c r="BH12" i="26"/>
  <c r="BG12" i="26"/>
  <c r="AV13" i="26"/>
  <c r="AW13" i="26" s="1"/>
  <c r="BK12" i="26"/>
  <c r="BJ12" i="26"/>
  <c r="BL12" i="26"/>
  <c r="AH51" i="46"/>
  <c r="AJ51" i="46" s="1"/>
  <c r="AH50" i="46"/>
  <c r="AJ50" i="46" s="1"/>
  <c r="AH49" i="46"/>
  <c r="AG49" i="46"/>
  <c r="AD52" i="46"/>
  <c r="AF52" i="46" s="1"/>
  <c r="D133" i="27"/>
  <c r="D70" i="45"/>
  <c r="E132" i="27"/>
  <c r="E70" i="45" s="1"/>
  <c r="X58" i="25"/>
  <c r="Y57" i="25"/>
  <c r="Z57" i="25" s="1"/>
  <c r="D41" i="41"/>
  <c r="F42" i="41"/>
  <c r="C42" i="41"/>
  <c r="B43" i="41" s="1"/>
  <c r="D34" i="27"/>
  <c r="C61" i="27"/>
  <c r="D60" i="27" s="1"/>
  <c r="R34" i="27"/>
  <c r="Q33" i="27"/>
  <c r="X25" i="9"/>
  <c r="Y24" i="9"/>
  <c r="X15" i="9"/>
  <c r="AA53" i="25"/>
  <c r="U8" i="25" s="1"/>
  <c r="W15" i="9"/>
  <c r="Y16" i="9"/>
  <c r="X16" i="9"/>
  <c r="W14" i="9"/>
  <c r="X35" i="9"/>
  <c r="X14" i="9"/>
  <c r="Y34" i="9"/>
  <c r="Y35" i="9"/>
  <c r="X26" i="9"/>
  <c r="W24" i="9"/>
  <c r="Y25" i="9"/>
  <c r="Y11" i="31"/>
  <c r="Q117" i="32"/>
  <c r="AA11" i="9"/>
  <c r="AA14" i="9"/>
  <c r="AA13" i="9"/>
  <c r="AA12" i="9"/>
  <c r="AB12" i="9" s="1"/>
  <c r="O22" i="26"/>
  <c r="R22" i="26"/>
  <c r="S22" i="26"/>
  <c r="U22" i="26" s="1"/>
  <c r="P23" i="26"/>
  <c r="Q23" i="26" s="1"/>
  <c r="T11" i="31"/>
  <c r="U11" i="31"/>
  <c r="AB8" i="9"/>
  <c r="E28" i="32"/>
  <c r="F28" i="32" s="1"/>
  <c r="G33" i="27"/>
  <c r="K26" i="34"/>
  <c r="L27" i="34"/>
  <c r="M27" i="34"/>
  <c r="J28" i="34" s="1"/>
  <c r="N26" i="34"/>
  <c r="V198" i="37" l="1"/>
  <c r="V193" i="37"/>
  <c r="X69" i="37"/>
  <c r="W69" i="37"/>
  <c r="Y69" i="37"/>
  <c r="U70" i="37"/>
  <c r="V200" i="37"/>
  <c r="P112" i="32"/>
  <c r="R111" i="32"/>
  <c r="S111" i="32"/>
  <c r="AO29" i="25"/>
  <c r="AQ29" i="25" s="1"/>
  <c r="AO18" i="25"/>
  <c r="AQ18" i="25" s="1"/>
  <c r="AO8" i="25"/>
  <c r="AQ8" i="25" s="1"/>
  <c r="AO30" i="25"/>
  <c r="AQ30" i="25" s="1"/>
  <c r="AO9" i="25"/>
  <c r="AQ9" i="25" s="1"/>
  <c r="AO10" i="25"/>
  <c r="AQ10" i="25" s="1"/>
  <c r="AO20" i="25"/>
  <c r="AQ20" i="25" s="1"/>
  <c r="AO19" i="25"/>
  <c r="AQ19" i="25" s="1"/>
  <c r="AO28" i="25"/>
  <c r="AQ28" i="25" s="1"/>
  <c r="BI13" i="26"/>
  <c r="AX13" i="26"/>
  <c r="AY13" i="26"/>
  <c r="AU13" i="26" s="1"/>
  <c r="AG50" i="46"/>
  <c r="AJ49" i="46"/>
  <c r="AI49" i="46"/>
  <c r="AI50" i="46" s="1"/>
  <c r="AI51" i="46" s="1"/>
  <c r="AD53" i="46"/>
  <c r="AF53" i="46" s="1"/>
  <c r="D42" i="41"/>
  <c r="E42" i="41" s="1"/>
  <c r="X59" i="25"/>
  <c r="Y58" i="25"/>
  <c r="Z58" i="25" s="1"/>
  <c r="H41" i="41"/>
  <c r="E41" i="41"/>
  <c r="F43" i="41"/>
  <c r="C43" i="41"/>
  <c r="B44" i="41" s="1"/>
  <c r="E133" i="27"/>
  <c r="E71" i="45" s="1"/>
  <c r="D71" i="45"/>
  <c r="D134" i="27"/>
  <c r="D35" i="27"/>
  <c r="C62" i="27"/>
  <c r="D61" i="27" s="1"/>
  <c r="R35" i="27"/>
  <c r="Q34" i="27"/>
  <c r="AA54" i="25"/>
  <c r="W11" i="31"/>
  <c r="Q118" i="32"/>
  <c r="AA9" i="9"/>
  <c r="AB9" i="9" s="1"/>
  <c r="R23" i="26"/>
  <c r="S23" i="26"/>
  <c r="U23" i="26" s="1"/>
  <c r="P24" i="26"/>
  <c r="Q24" i="26" s="1"/>
  <c r="O23" i="26"/>
  <c r="AB11" i="31"/>
  <c r="AG11" i="31"/>
  <c r="C26" i="43" s="1"/>
  <c r="Q12" i="31"/>
  <c r="AB11" i="9"/>
  <c r="AB13" i="9"/>
  <c r="AB14" i="9"/>
  <c r="E29" i="32"/>
  <c r="F29" i="32" s="1"/>
  <c r="G34" i="27"/>
  <c r="N27" i="34"/>
  <c r="M28" i="34"/>
  <c r="J29" i="34" s="1"/>
  <c r="L28" i="34"/>
  <c r="K27" i="34"/>
  <c r="AF536" i="36"/>
  <c r="AO556" i="36"/>
  <c r="AX276" i="36"/>
  <c r="E249" i="36"/>
  <c r="AF522" i="36"/>
  <c r="E533" i="36"/>
  <c r="BP377" i="36"/>
  <c r="AF228" i="36"/>
  <c r="AF459" i="36"/>
  <c r="N182" i="36"/>
  <c r="N455" i="36"/>
  <c r="AX106" i="36"/>
  <c r="AX278" i="36"/>
  <c r="AX346" i="36"/>
  <c r="AF95" i="36"/>
  <c r="AX151" i="36"/>
  <c r="AX554" i="36"/>
  <c r="AX436" i="36"/>
  <c r="BP435" i="36"/>
  <c r="BG541" i="36"/>
  <c r="E63" i="36"/>
  <c r="E452" i="36"/>
  <c r="AF545" i="36"/>
  <c r="AX39" i="36"/>
  <c r="BY444" i="36"/>
  <c r="AO559" i="36"/>
  <c r="N310" i="36"/>
  <c r="AX393" i="36"/>
  <c r="BP381" i="36"/>
  <c r="BY254" i="36"/>
  <c r="AO318" i="36"/>
  <c r="AO241" i="36"/>
  <c r="E306" i="36"/>
  <c r="BP256" i="36"/>
  <c r="BY133" i="36"/>
  <c r="N529" i="36"/>
  <c r="AF57" i="36"/>
  <c r="E324" i="36"/>
  <c r="N39" i="36"/>
  <c r="N99" i="36"/>
  <c r="E318" i="36"/>
  <c r="W356" i="36"/>
  <c r="N497" i="36"/>
  <c r="AO384" i="36"/>
  <c r="BY446" i="36"/>
  <c r="BP383" i="36"/>
  <c r="AX77" i="36"/>
  <c r="AF561" i="36"/>
  <c r="W302" i="36"/>
  <c r="BG549" i="36"/>
  <c r="W516" i="36"/>
  <c r="AO197" i="36"/>
  <c r="N184" i="36"/>
  <c r="BP216" i="36"/>
  <c r="AF318" i="36"/>
  <c r="W92" i="36"/>
  <c r="AO341" i="36"/>
  <c r="BP450" i="36"/>
  <c r="BG585" i="36"/>
  <c r="BP271" i="36"/>
  <c r="AX609" i="36"/>
  <c r="AX271" i="36"/>
  <c r="BG256" i="36"/>
  <c r="AF333" i="36"/>
  <c r="AX550" i="36"/>
  <c r="E357" i="36"/>
  <c r="BP267" i="36"/>
  <c r="N296" i="36"/>
  <c r="BG556" i="36"/>
  <c r="N301" i="36"/>
  <c r="E291" i="36"/>
  <c r="W261" i="36"/>
  <c r="N400" i="36"/>
  <c r="W510" i="36"/>
  <c r="BG545" i="36"/>
  <c r="AF322" i="36"/>
  <c r="BP389" i="36"/>
  <c r="N228" i="36"/>
  <c r="E244" i="36"/>
  <c r="BP361" i="36"/>
  <c r="BG383" i="36"/>
  <c r="AX362" i="36"/>
  <c r="W353" i="36"/>
  <c r="AF556" i="36"/>
  <c r="W123" i="36"/>
  <c r="AX468" i="36"/>
  <c r="BG43" i="36"/>
  <c r="AF323" i="36"/>
  <c r="BG140" i="36"/>
  <c r="AF534" i="36"/>
  <c r="BG46" i="36"/>
  <c r="AO335" i="36"/>
  <c r="BG96" i="36"/>
  <c r="AF148" i="36"/>
  <c r="E284" i="36"/>
  <c r="BG337" i="36"/>
  <c r="E102" i="36"/>
  <c r="AO200" i="36"/>
  <c r="BP449" i="36"/>
  <c r="N463" i="36"/>
  <c r="BY221" i="36"/>
  <c r="E95" i="36"/>
  <c r="E438" i="36"/>
  <c r="AF102" i="36"/>
  <c r="BG593" i="36"/>
  <c r="W401" i="36"/>
  <c r="N293" i="36"/>
  <c r="AX573" i="36"/>
  <c r="AO548" i="36"/>
  <c r="AF300" i="36"/>
  <c r="N369" i="36"/>
  <c r="Z8" i="26"/>
  <c r="AO437" i="36"/>
  <c r="AF250" i="36"/>
  <c r="AF206" i="36"/>
  <c r="BY301" i="36"/>
  <c r="E462" i="36"/>
  <c r="AX477" i="36"/>
  <c r="BG333" i="36"/>
  <c r="E447" i="36"/>
  <c r="BY150" i="36"/>
  <c r="AF500" i="36"/>
  <c r="X15" i="26"/>
  <c r="AO570" i="36"/>
  <c r="AX218" i="36"/>
  <c r="N96" i="36"/>
  <c r="AX509" i="36"/>
  <c r="AO340" i="36"/>
  <c r="BP214" i="36"/>
  <c r="AX356" i="36"/>
  <c r="AX285" i="36"/>
  <c r="AO387" i="36"/>
  <c r="E302" i="36"/>
  <c r="BY216" i="36"/>
  <c r="BP393" i="36"/>
  <c r="X5" i="26"/>
  <c r="BP423" i="36"/>
  <c r="AX491" i="36"/>
  <c r="BG202" i="36"/>
  <c r="AF108" i="36"/>
  <c r="AO92" i="36"/>
  <c r="AO562" i="36"/>
  <c r="AF335" i="36"/>
  <c r="AF369" i="36"/>
  <c r="AF58" i="36"/>
  <c r="AF372" i="36"/>
  <c r="AX286" i="36"/>
  <c r="E202" i="36"/>
  <c r="E339" i="36"/>
  <c r="N246" i="36"/>
  <c r="W322" i="36"/>
  <c r="BG274" i="36"/>
  <c r="AX594" i="36"/>
  <c r="BG344" i="36"/>
  <c r="BG336" i="36"/>
  <c r="BG322" i="36"/>
  <c r="AX139" i="36"/>
  <c r="AX577" i="36"/>
  <c r="BG342" i="36"/>
  <c r="BY72" i="36"/>
  <c r="BG269" i="36"/>
  <c r="E255" i="36"/>
  <c r="AO332" i="36"/>
  <c r="N340" i="36"/>
  <c r="AX456" i="36"/>
  <c r="N294" i="36"/>
  <c r="AO524" i="36"/>
  <c r="W287" i="36"/>
  <c r="BP448" i="36"/>
  <c r="AO279" i="36"/>
  <c r="N326" i="36"/>
  <c r="N247" i="36"/>
  <c r="BG387" i="36"/>
  <c r="W303" i="36"/>
  <c r="N425" i="36"/>
  <c r="W340" i="36"/>
  <c r="AX275" i="36"/>
  <c r="AX64" i="36"/>
  <c r="BG349" i="36"/>
  <c r="BG517" i="36"/>
  <c r="BY42" i="36"/>
  <c r="E295" i="36"/>
  <c r="E365" i="36"/>
  <c r="BY144" i="36"/>
  <c r="W307" i="36"/>
  <c r="BY419" i="36"/>
  <c r="BY252" i="36"/>
  <c r="N71" i="36"/>
  <c r="AF259" i="36"/>
  <c r="AO329" i="36"/>
  <c r="N231" i="36"/>
  <c r="N46" i="36"/>
  <c r="E263" i="36"/>
  <c r="E225" i="36"/>
  <c r="E352" i="36"/>
  <c r="AF313" i="36"/>
  <c r="AX113" i="36"/>
  <c r="E350" i="36"/>
  <c r="N513" i="36"/>
  <c r="W255" i="36"/>
  <c r="AX405" i="36"/>
  <c r="W11" i="26"/>
  <c r="N358" i="36"/>
  <c r="BP230" i="36"/>
  <c r="N254" i="36"/>
  <c r="BY282" i="36"/>
  <c r="N94" i="36"/>
  <c r="AO334" i="36"/>
  <c r="AX344" i="36"/>
  <c r="BP476" i="36"/>
  <c r="E94" i="36"/>
  <c r="AX41" i="36"/>
  <c r="E171" i="36"/>
  <c r="AO59" i="36"/>
  <c r="N519" i="36"/>
  <c r="AX607" i="36"/>
  <c r="BP283" i="36"/>
  <c r="E519" i="36"/>
  <c r="AX394" i="36"/>
  <c r="AF508" i="36"/>
  <c r="N45" i="36"/>
  <c r="BY198" i="36"/>
  <c r="AX559" i="36"/>
  <c r="W526" i="36"/>
  <c r="AX108" i="36"/>
  <c r="N324" i="36"/>
  <c r="E310" i="36"/>
  <c r="W478" i="36"/>
  <c r="AF260" i="36"/>
  <c r="BY250" i="36"/>
  <c r="W304" i="36"/>
  <c r="BP314" i="36"/>
  <c r="E252" i="36"/>
  <c r="BG579" i="36"/>
  <c r="BY364" i="36"/>
  <c r="BY344" i="36"/>
  <c r="AF320" i="36"/>
  <c r="AF183" i="36"/>
  <c r="BP399" i="36"/>
  <c r="E93" i="36"/>
  <c r="AX605" i="36"/>
  <c r="AX558" i="36"/>
  <c r="E320" i="36"/>
  <c r="N534" i="36"/>
  <c r="AF295" i="36"/>
  <c r="AO262" i="36"/>
  <c r="AF504" i="36"/>
  <c r="AF248" i="36"/>
  <c r="BP45" i="36"/>
  <c r="AX330" i="36"/>
  <c r="AX598" i="36"/>
  <c r="Z13" i="26"/>
  <c r="AX154" i="36"/>
  <c r="BY308" i="36"/>
  <c r="N532" i="36"/>
  <c r="AF367" i="36"/>
  <c r="AF72" i="36"/>
  <c r="AO328" i="36"/>
  <c r="W312" i="36"/>
  <c r="AF261" i="36"/>
  <c r="BP217" i="36"/>
  <c r="BG287" i="36"/>
  <c r="AX315" i="36"/>
  <c r="BP224" i="36"/>
  <c r="AO543" i="36"/>
  <c r="BP307" i="36"/>
  <c r="W262" i="36"/>
  <c r="AF94" i="36"/>
  <c r="AX396" i="36"/>
  <c r="N123" i="36"/>
  <c r="AX601" i="36"/>
  <c r="BY245" i="36"/>
  <c r="W454" i="36"/>
  <c r="AF542" i="36"/>
  <c r="BP439" i="36"/>
  <c r="BP265" i="36"/>
  <c r="BG340" i="36"/>
  <c r="N339" i="36"/>
  <c r="E293" i="36"/>
  <c r="BY296" i="36"/>
  <c r="BY64" i="36"/>
  <c r="BP218" i="36"/>
  <c r="BG356" i="36"/>
  <c r="AO268" i="36"/>
  <c r="AX266" i="36"/>
  <c r="N515" i="36"/>
  <c r="W309" i="36"/>
  <c r="E247" i="36"/>
  <c r="W298" i="36"/>
  <c r="W378" i="36"/>
  <c r="AX602" i="36"/>
  <c r="AF307" i="36"/>
  <c r="BP305" i="36"/>
  <c r="W292" i="36"/>
  <c r="BG361" i="36"/>
  <c r="BP446" i="36"/>
  <c r="BY312" i="36"/>
  <c r="E315" i="36"/>
  <c r="W460" i="36"/>
  <c r="AO253" i="36"/>
  <c r="BG206" i="36"/>
  <c r="W534" i="36"/>
  <c r="AX566" i="36"/>
  <c r="W520" i="36"/>
  <c r="E99" i="36"/>
  <c r="BY246" i="36"/>
  <c r="W339" i="36"/>
  <c r="AF252" i="36"/>
  <c r="N457" i="36"/>
  <c r="E289" i="36"/>
  <c r="BG338" i="36"/>
  <c r="E292" i="36"/>
  <c r="AO204" i="36"/>
  <c r="E152" i="36"/>
  <c r="BG47" i="36"/>
  <c r="BP384" i="36"/>
  <c r="N401" i="36"/>
  <c r="BY239" i="36"/>
  <c r="BG435" i="36"/>
  <c r="BG455" i="36"/>
  <c r="W306" i="36"/>
  <c r="AX104" i="36"/>
  <c r="W464" i="36"/>
  <c r="W90" i="36"/>
  <c r="BG321" i="36"/>
  <c r="N141" i="36"/>
  <c r="AF153" i="36"/>
  <c r="AF328" i="36"/>
  <c r="BG246" i="36"/>
  <c r="AX502" i="36"/>
  <c r="BY358" i="36"/>
  <c r="BP183" i="36"/>
  <c r="BG353" i="36"/>
  <c r="AO365" i="36"/>
  <c r="BY445" i="36"/>
  <c r="N87" i="36"/>
  <c r="W242" i="36"/>
  <c r="BG588" i="36"/>
  <c r="E543" i="36"/>
  <c r="E361" i="36"/>
  <c r="N240" i="36"/>
  <c r="AO313" i="36"/>
  <c r="W102" i="36"/>
  <c r="BG311" i="36"/>
  <c r="BY287" i="36"/>
  <c r="E309" i="36"/>
  <c r="AO569" i="36"/>
  <c r="BP227" i="36"/>
  <c r="BG561" i="36"/>
  <c r="AF530" i="36"/>
  <c r="BY215" i="36"/>
  <c r="AX93" i="36"/>
  <c r="AX136" i="36"/>
  <c r="BG513" i="36"/>
  <c r="N347" i="36"/>
  <c r="BG359" i="36"/>
  <c r="BY207" i="36"/>
  <c r="AF541" i="36"/>
  <c r="AO269" i="36"/>
  <c r="AF39" i="36"/>
  <c r="AX210" i="36"/>
  <c r="W239" i="36"/>
  <c r="AX423" i="36"/>
  <c r="BY291" i="36"/>
  <c r="N222" i="36"/>
  <c r="AX518" i="36"/>
  <c r="BY277" i="36"/>
  <c r="BY77" i="36"/>
  <c r="AF253" i="36"/>
  <c r="BG61" i="36"/>
  <c r="BY232" i="36"/>
  <c r="AX42" i="36"/>
  <c r="BG281" i="36"/>
  <c r="W352" i="36"/>
  <c r="N319" i="36"/>
  <c r="AX408" i="36"/>
  <c r="AO392" i="36"/>
  <c r="AX479" i="36"/>
  <c r="AO109" i="36"/>
  <c r="AX464" i="36"/>
  <c r="AX264" i="36"/>
  <c r="N133" i="36"/>
  <c r="BY442" i="36"/>
  <c r="AO394" i="36"/>
  <c r="AX251" i="36"/>
  <c r="AF314" i="36"/>
  <c r="AO108" i="36"/>
  <c r="AF251" i="36"/>
  <c r="BP270" i="36"/>
  <c r="W380" i="36"/>
  <c r="W514" i="36"/>
  <c r="AX247" i="36"/>
  <c r="W294" i="36"/>
  <c r="AO264" i="36"/>
  <c r="AX337" i="36"/>
  <c r="AX283" i="36"/>
  <c r="W250" i="36"/>
  <c r="W505" i="36"/>
  <c r="AF138" i="36"/>
  <c r="AO546" i="36"/>
  <c r="BY276" i="36"/>
  <c r="AF150" i="36"/>
  <c r="W318" i="36"/>
  <c r="BY100" i="36"/>
  <c r="AO275" i="36"/>
  <c r="W351" i="36"/>
  <c r="AX588" i="36"/>
  <c r="BY114" i="36"/>
  <c r="BG412" i="36"/>
  <c r="W548" i="36"/>
  <c r="AF379" i="36"/>
  <c r="N303" i="36"/>
  <c r="BY297" i="36"/>
  <c r="N368" i="36"/>
  <c r="BG388" i="36"/>
  <c r="AO375" i="36"/>
  <c r="AO208" i="36"/>
  <c r="BY413" i="36"/>
  <c r="CH173" i="36"/>
  <c r="BG118" i="36"/>
  <c r="AO273" i="36"/>
  <c r="N464" i="36"/>
  <c r="BG113" i="36"/>
  <c r="N355" i="36"/>
  <c r="BP456" i="36"/>
  <c r="E351" i="36"/>
  <c r="AO69" i="36"/>
  <c r="E229" i="36"/>
  <c r="W73" i="36"/>
  <c r="AF308" i="36"/>
  <c r="BY253" i="36"/>
  <c r="AO259" i="36"/>
  <c r="E180" i="36"/>
  <c r="BG595" i="36"/>
  <c r="BY299" i="36"/>
  <c r="AF370" i="36"/>
  <c r="AF184" i="36"/>
  <c r="W107" i="36"/>
  <c r="W503" i="36"/>
  <c r="AF368" i="36"/>
  <c r="BG343" i="36"/>
  <c r="E196" i="36"/>
  <c r="AF423" i="36"/>
  <c r="AX102" i="36"/>
  <c r="AO112" i="36"/>
  <c r="N187" i="36"/>
  <c r="BG602" i="36"/>
  <c r="AF304" i="36"/>
  <c r="W247" i="36"/>
  <c r="E325" i="36"/>
  <c r="W530" i="36"/>
  <c r="E242" i="36"/>
  <c r="AX350" i="36"/>
  <c r="BP378" i="36"/>
  <c r="N47" i="36"/>
  <c r="BG247" i="36"/>
  <c r="BG426" i="36"/>
  <c r="E358" i="36"/>
  <c r="W522" i="36"/>
  <c r="BG407" i="36"/>
  <c r="BY211" i="36"/>
  <c r="BY263" i="36"/>
  <c r="BP442" i="36"/>
  <c r="BP306" i="36"/>
  <c r="AO480" i="36"/>
  <c r="E136" i="36"/>
  <c r="BG544" i="36"/>
  <c r="N535" i="36"/>
  <c r="BP229" i="36"/>
  <c r="E482" i="36"/>
  <c r="E477" i="36"/>
  <c r="W177" i="36"/>
  <c r="BY289" i="36"/>
  <c r="E513" i="36"/>
  <c r="E419" i="36"/>
  <c r="AX407" i="36"/>
  <c r="AX544" i="36"/>
  <c r="AX556" i="36"/>
  <c r="E502" i="36"/>
  <c r="E528" i="36"/>
  <c r="W300" i="36"/>
  <c r="BY155" i="36"/>
  <c r="AX195" i="36"/>
  <c r="BP112" i="36"/>
  <c r="BY341" i="36"/>
  <c r="BP213" i="36"/>
  <c r="AO316" i="36"/>
  <c r="BY417" i="36"/>
  <c r="E322" i="36"/>
  <c r="AF533" i="36"/>
  <c r="AX409" i="36"/>
  <c r="AX347" i="36"/>
  <c r="W512" i="36"/>
  <c r="N220" i="36"/>
  <c r="BP253" i="36"/>
  <c r="E172" i="36"/>
  <c r="BP105" i="36"/>
  <c r="AF512" i="36"/>
  <c r="N322" i="36"/>
  <c r="N521" i="36"/>
  <c r="W535" i="36"/>
  <c r="AX196" i="36"/>
  <c r="AF194" i="36"/>
  <c r="AO155" i="36"/>
  <c r="E518" i="36"/>
  <c r="BG278" i="36"/>
  <c r="AO557" i="36"/>
  <c r="AX354" i="36"/>
  <c r="AX514" i="36"/>
  <c r="AF302" i="36"/>
  <c r="BP316" i="36"/>
  <c r="BY163" i="36"/>
  <c r="AO266" i="36"/>
  <c r="BY217" i="36"/>
  <c r="AF355" i="36"/>
  <c r="W476" i="36"/>
  <c r="AO258" i="36"/>
  <c r="W496" i="36"/>
  <c r="BY43" i="36"/>
  <c r="BG410" i="36"/>
  <c r="BG207" i="36"/>
  <c r="BG506" i="36"/>
  <c r="AF100" i="36"/>
  <c r="N44" i="36"/>
  <c r="AX288" i="36"/>
  <c r="BY264" i="36"/>
  <c r="BG408" i="36"/>
  <c r="E173" i="36"/>
  <c r="BY402" i="36"/>
  <c r="N253" i="36"/>
  <c r="AX324" i="36"/>
  <c r="N262" i="36"/>
  <c r="AF387" i="36"/>
  <c r="AF181" i="36"/>
  <c r="BY430" i="36"/>
  <c r="AX392" i="36"/>
  <c r="AF546" i="36"/>
  <c r="W182" i="36"/>
  <c r="BP458" i="36"/>
  <c r="BP223" i="36"/>
  <c r="E155" i="36"/>
  <c r="BG555" i="36"/>
  <c r="BY228" i="36"/>
  <c r="E312" i="36"/>
  <c r="BY196" i="36"/>
  <c r="BG265" i="36"/>
  <c r="AF550" i="36"/>
  <c r="AF246" i="36"/>
  <c r="AF101" i="36"/>
  <c r="BG258" i="36"/>
  <c r="BP94" i="36"/>
  <c r="AO415" i="36"/>
  <c r="BP110" i="36"/>
  <c r="BY379" i="36"/>
  <c r="BP115" i="36"/>
  <c r="AO513" i="36"/>
  <c r="W144" i="36"/>
  <c r="E499" i="36"/>
  <c r="AF66" i="36"/>
  <c r="W152" i="36"/>
  <c r="N153" i="36"/>
  <c r="N545" i="36"/>
  <c r="BG467" i="36"/>
  <c r="N317" i="36"/>
  <c r="AF247" i="36"/>
  <c r="E237" i="36"/>
  <c r="AF146" i="36"/>
  <c r="AO323" i="36"/>
  <c r="BP279" i="36"/>
  <c r="N225" i="36"/>
  <c r="BG496" i="36"/>
  <c r="BY392" i="36"/>
  <c r="W477" i="36"/>
  <c r="AO576" i="36"/>
  <c r="W367" i="36"/>
  <c r="E91" i="36"/>
  <c r="BG592" i="36"/>
  <c r="BY81" i="36"/>
  <c r="W348" i="36"/>
  <c r="W245" i="36"/>
  <c r="N404" i="36"/>
  <c r="N309" i="36"/>
  <c r="BY266" i="36"/>
  <c r="BY267" i="36"/>
  <c r="AF363" i="36"/>
  <c r="N353" i="36"/>
  <c r="BY219" i="36"/>
  <c r="BG352" i="36"/>
  <c r="AF311" i="36"/>
  <c r="BG328" i="36"/>
  <c r="W223" i="36"/>
  <c r="W345" i="36"/>
  <c r="N313" i="36"/>
  <c r="N325" i="36"/>
  <c r="E307" i="36"/>
  <c r="N516" i="36"/>
  <c r="N490" i="36"/>
  <c r="AO138" i="36"/>
  <c r="BG149" i="36"/>
  <c r="N318" i="36"/>
  <c r="AF182" i="36"/>
  <c r="AO345" i="36"/>
  <c r="BY83" i="36"/>
  <c r="AO511" i="36"/>
  <c r="E492" i="36"/>
  <c r="E521" i="36"/>
  <c r="AF477" i="36"/>
  <c r="N507" i="36"/>
  <c r="E544" i="36"/>
  <c r="AX47" i="36"/>
  <c r="AO106" i="36"/>
  <c r="W241" i="36"/>
  <c r="W185" i="36"/>
  <c r="AX589" i="36"/>
  <c r="AF540" i="36"/>
  <c r="AO379" i="36"/>
  <c r="BG110" i="36"/>
  <c r="E455" i="36"/>
  <c r="BY410" i="36"/>
  <c r="AO396" i="36"/>
  <c r="BP281" i="36"/>
  <c r="W274" i="36"/>
  <c r="AO550" i="36"/>
  <c r="AF254" i="36"/>
  <c r="W517" i="36"/>
  <c r="E368" i="36"/>
  <c r="BG558" i="36"/>
  <c r="BY269" i="36"/>
  <c r="AF43" i="36"/>
  <c r="AF301" i="36"/>
  <c r="AO311" i="36"/>
  <c r="N88" i="36"/>
  <c r="BP263" i="36"/>
  <c r="AO389" i="36"/>
  <c r="AF142" i="36"/>
  <c r="E484" i="36"/>
  <c r="AF397" i="36"/>
  <c r="AF563" i="36"/>
  <c r="BP113" i="36"/>
  <c r="AF438" i="36"/>
  <c r="E491" i="36"/>
  <c r="W373" i="36"/>
  <c r="E262" i="36"/>
  <c r="BY434" i="36"/>
  <c r="N241" i="36"/>
  <c r="E175" i="36"/>
  <c r="AO107" i="36"/>
  <c r="AF263" i="36"/>
  <c r="AF521" i="36"/>
  <c r="AX198" i="36"/>
  <c r="BG399" i="36"/>
  <c r="E43" i="36"/>
  <c r="BP474" i="36"/>
  <c r="BY443" i="36"/>
  <c r="AF40" i="36"/>
  <c r="AO458" i="36"/>
  <c r="N279" i="36"/>
  <c r="W219" i="36"/>
  <c r="N127" i="36"/>
  <c r="W70" i="36"/>
  <c r="AO293" i="36"/>
  <c r="AF535" i="36"/>
  <c r="BP451" i="36"/>
  <c r="AO561" i="36"/>
  <c r="BP249" i="36"/>
  <c r="BG607" i="36"/>
  <c r="AO196" i="36"/>
  <c r="BG460" i="36"/>
  <c r="AO331" i="36"/>
  <c r="BG578" i="36"/>
  <c r="BP231" i="36"/>
  <c r="W493" i="36"/>
  <c r="N135" i="36"/>
  <c r="E386" i="36"/>
  <c r="BY414" i="36"/>
  <c r="AF538" i="36"/>
  <c r="BY76" i="36"/>
  <c r="BG94" i="36"/>
  <c r="BG606" i="36"/>
  <c r="AO549" i="36"/>
  <c r="BY351" i="36"/>
  <c r="BG263" i="36"/>
  <c r="Y8" i="26"/>
  <c r="BY274" i="36"/>
  <c r="BP268" i="36"/>
  <c r="N189" i="36"/>
  <c r="N97" i="36"/>
  <c r="E418" i="36"/>
  <c r="AX551" i="36"/>
  <c r="E260" i="36"/>
  <c r="N524" i="36"/>
  <c r="BG584" i="36"/>
  <c r="AO254" i="36"/>
  <c r="BY424" i="36"/>
  <c r="AX274" i="36"/>
  <c r="AO373" i="36"/>
  <c r="E426" i="36"/>
  <c r="E360" i="36"/>
  <c r="BY119" i="36"/>
  <c r="N174" i="36"/>
  <c r="AX329" i="36"/>
  <c r="N307" i="36"/>
  <c r="BG385" i="36"/>
  <c r="BP221" i="36"/>
  <c r="AF543" i="36"/>
  <c r="BY433" i="36"/>
  <c r="AO248" i="36"/>
  <c r="BY390" i="36"/>
  <c r="AF463" i="36"/>
  <c r="W183" i="36"/>
  <c r="W441" i="36"/>
  <c r="AO278" i="36"/>
  <c r="BP447" i="36"/>
  <c r="AX593" i="36"/>
  <c r="AX272" i="36"/>
  <c r="BY202" i="36"/>
  <c r="BG582" i="36"/>
  <c r="E514" i="36"/>
  <c r="AF353" i="36"/>
  <c r="AX257" i="36"/>
  <c r="BG355" i="36"/>
  <c r="AX95" i="36"/>
  <c r="AO319" i="36"/>
  <c r="N312" i="36"/>
  <c r="BP251" i="36"/>
  <c r="BG217" i="36"/>
  <c r="E516" i="36"/>
  <c r="BP135" i="36"/>
  <c r="N255" i="36"/>
  <c r="BP207" i="36"/>
  <c r="W103" i="36"/>
  <c r="AO295" i="36"/>
  <c r="E87" i="36"/>
  <c r="AX590" i="36"/>
  <c r="BP457" i="36"/>
  <c r="AX208" i="36"/>
  <c r="AF96" i="36"/>
  <c r="BG591" i="36"/>
  <c r="N298" i="36"/>
  <c r="E235" i="36"/>
  <c r="W60" i="36"/>
  <c r="N367" i="36"/>
  <c r="N537" i="36"/>
  <c r="W538" i="36"/>
  <c r="N375" i="36"/>
  <c r="BG70" i="36"/>
  <c r="AO338" i="36"/>
  <c r="W317" i="36"/>
  <c r="AF529" i="36"/>
  <c r="AF416" i="36"/>
  <c r="W94" i="36"/>
  <c r="BY436" i="36"/>
  <c r="BG573" i="36"/>
  <c r="BY52" i="36"/>
  <c r="W186" i="36"/>
  <c r="BG405" i="36"/>
  <c r="AF267" i="36"/>
  <c r="E534" i="36"/>
  <c r="BY270" i="36"/>
  <c r="E344" i="36"/>
  <c r="BP273" i="36"/>
  <c r="N488" i="36"/>
  <c r="E323" i="36"/>
  <c r="BY420" i="36"/>
  <c r="AX540" i="36"/>
  <c r="BY141" i="36"/>
  <c r="BY78" i="36"/>
  <c r="N242" i="36"/>
  <c r="N357" i="36"/>
  <c r="BP275" i="36"/>
  <c r="AF502" i="36"/>
  <c r="AX512" i="36"/>
  <c r="AX341" i="36"/>
  <c r="W256" i="36"/>
  <c r="BG199" i="36"/>
  <c r="E222" i="36"/>
  <c r="E442" i="36"/>
  <c r="AO370" i="36"/>
  <c r="W301" i="36"/>
  <c r="AO325" i="36"/>
  <c r="W47" i="36"/>
  <c r="E530" i="36"/>
  <c r="W539" i="36"/>
  <c r="AO376" i="36"/>
  <c r="BY370" i="36"/>
  <c r="AO142" i="36"/>
  <c r="W497" i="36"/>
  <c r="AX200" i="36"/>
  <c r="N248" i="36"/>
  <c r="W240" i="36"/>
  <c r="AO377" i="36"/>
  <c r="E296" i="36"/>
  <c r="BY354" i="36"/>
  <c r="AO297" i="36"/>
  <c r="N106" i="36"/>
  <c r="W252" i="36"/>
  <c r="N342" i="36"/>
  <c r="AF269" i="36"/>
  <c r="E453" i="36"/>
  <c r="AO261" i="36"/>
  <c r="BP61" i="36"/>
  <c r="AO488" i="36"/>
  <c r="W462" i="36"/>
  <c r="N505" i="36"/>
  <c r="BG136" i="36"/>
  <c r="BP138" i="36"/>
  <c r="AX505" i="36"/>
  <c r="AF552" i="36"/>
  <c r="AX466" i="36"/>
  <c r="AX213" i="36"/>
  <c r="E349" i="36"/>
  <c r="BG75" i="36"/>
  <c r="BY404" i="36"/>
  <c r="N364" i="36"/>
  <c r="BY51" i="36"/>
  <c r="BG137" i="36"/>
  <c r="E205" i="36"/>
  <c r="BP257" i="36"/>
  <c r="N320" i="36"/>
  <c r="AX339" i="36"/>
  <c r="W321" i="36"/>
  <c r="AX570" i="36"/>
  <c r="AF356" i="36"/>
  <c r="N489" i="36"/>
  <c r="N456" i="36"/>
  <c r="W404" i="36"/>
  <c r="E458" i="36"/>
  <c r="AX608" i="36"/>
  <c r="N178" i="36"/>
  <c r="AF385" i="36"/>
  <c r="BP441" i="36"/>
  <c r="BG411" i="36"/>
  <c r="AO320" i="36"/>
  <c r="E297" i="36"/>
  <c r="AF257" i="36"/>
  <c r="BY305" i="36"/>
  <c r="AX205" i="36"/>
  <c r="AO443" i="36"/>
  <c r="AO378" i="36"/>
  <c r="AO385" i="36"/>
  <c r="AF309" i="36"/>
  <c r="BG346" i="36"/>
  <c r="BG576" i="36"/>
  <c r="W246" i="36"/>
  <c r="E348" i="36"/>
  <c r="N371" i="36"/>
  <c r="N523" i="36"/>
  <c r="BY63" i="36"/>
  <c r="N344" i="36"/>
  <c r="N256" i="36"/>
  <c r="BP317" i="36"/>
  <c r="AX348" i="36"/>
  <c r="AO540" i="36"/>
  <c r="BG317" i="36"/>
  <c r="N349" i="36"/>
  <c r="BG204" i="36"/>
  <c r="BG362" i="36"/>
  <c r="BY448" i="36"/>
  <c r="W40" i="36"/>
  <c r="AF537" i="36"/>
  <c r="BY260" i="36"/>
  <c r="N508" i="36"/>
  <c r="BG39" i="36"/>
  <c r="AX352" i="36"/>
  <c r="BG605" i="36"/>
  <c r="W369" i="36"/>
  <c r="AX252" i="36"/>
  <c r="N223" i="36"/>
  <c r="AO337" i="36"/>
  <c r="E256" i="36"/>
  <c r="AX414" i="36"/>
  <c r="BP444" i="36"/>
  <c r="AO560" i="36"/>
  <c r="BY178" i="36"/>
  <c r="AF544" i="36"/>
  <c r="E46" i="36"/>
  <c r="W251" i="36"/>
  <c r="W297" i="36"/>
  <c r="AO260" i="36"/>
  <c r="BG510" i="36"/>
  <c r="BY272" i="36"/>
  <c r="BG393" i="36"/>
  <c r="AO580" i="36"/>
  <c r="AX345" i="36"/>
  <c r="E547" i="36"/>
  <c r="W350" i="36"/>
  <c r="AO265" i="36"/>
  <c r="E314" i="36"/>
  <c r="AX388" i="36"/>
  <c r="E135" i="36"/>
  <c r="N148" i="36"/>
  <c r="BP228" i="36"/>
  <c r="E157" i="36"/>
  <c r="BY204" i="36"/>
  <c r="E367" i="36"/>
  <c r="E311" i="36"/>
  <c r="AX357" i="36"/>
  <c r="E524" i="36"/>
  <c r="BY432" i="36"/>
  <c r="AF371" i="36"/>
  <c r="AF90" i="36"/>
  <c r="AX503" i="36"/>
  <c r="AF46" i="36"/>
  <c r="N251" i="36"/>
  <c r="BY369" i="36"/>
  <c r="BY255" i="36"/>
  <c r="BP278" i="36"/>
  <c r="W313" i="36"/>
  <c r="BG105" i="36"/>
  <c r="BY140" i="36"/>
  <c r="N348" i="36"/>
  <c r="BG102" i="36"/>
  <c r="BG64" i="36"/>
  <c r="AO515" i="36"/>
  <c r="E301" i="36"/>
  <c r="BP107" i="36"/>
  <c r="AX94" i="36"/>
  <c r="BY243" i="36"/>
  <c r="AO326" i="36"/>
  <c r="N286" i="36"/>
  <c r="W424" i="36"/>
  <c r="BG498" i="36"/>
  <c r="BP396" i="36"/>
  <c r="BY218" i="36"/>
  <c r="AF149" i="36"/>
  <c r="N449" i="36"/>
  <c r="BG512" i="36"/>
  <c r="N430" i="36"/>
  <c r="N440" i="36"/>
  <c r="BG77" i="36"/>
  <c r="W545" i="36"/>
  <c r="BY335" i="36"/>
  <c r="AF240" i="36"/>
  <c r="AO428" i="36"/>
  <c r="AF419" i="36"/>
  <c r="X12" i="26"/>
  <c r="BG107" i="36"/>
  <c r="AX313" i="36"/>
  <c r="N363" i="36"/>
  <c r="N542" i="36"/>
  <c r="BY138" i="36"/>
  <c r="BP461" i="36"/>
  <c r="AX135" i="36"/>
  <c r="AX273" i="36"/>
  <c r="AF492" i="36"/>
  <c r="BY37" i="36"/>
  <c r="AO257" i="36"/>
  <c r="AO553" i="36"/>
  <c r="AO43" i="36"/>
  <c r="W521" i="36"/>
  <c r="BG400" i="36"/>
  <c r="BP191" i="36"/>
  <c r="AO294" i="36"/>
  <c r="BY328" i="36"/>
  <c r="AX549" i="36"/>
  <c r="BG494" i="36"/>
  <c r="BP445" i="36"/>
  <c r="AO512" i="36"/>
  <c r="AX336" i="36"/>
  <c r="E240" i="36"/>
  <c r="N40" i="36"/>
  <c r="AO44" i="36"/>
  <c r="W101" i="36"/>
  <c r="AF285" i="36"/>
  <c r="AO536" i="36"/>
  <c r="AO309" i="36"/>
  <c r="AF256" i="36"/>
  <c r="BG581" i="36"/>
  <c r="W319" i="36"/>
  <c r="E238" i="36"/>
  <c r="W527" i="36"/>
  <c r="BY53" i="36"/>
  <c r="AX567" i="36"/>
  <c r="AO393" i="36"/>
  <c r="BP266" i="36"/>
  <c r="E354" i="36"/>
  <c r="BG285" i="36"/>
  <c r="W89" i="36"/>
  <c r="AX595" i="36"/>
  <c r="BG288" i="36"/>
  <c r="N104" i="36"/>
  <c r="BY300" i="36"/>
  <c r="AF359" i="36"/>
  <c r="N244" i="36"/>
  <c r="E97" i="36"/>
  <c r="BP255" i="36"/>
  <c r="BY200" i="36"/>
  <c r="AX390" i="36"/>
  <c r="BG395" i="36"/>
  <c r="BY199" i="36"/>
  <c r="BG511" i="36"/>
  <c r="BP400" i="36"/>
  <c r="BY201" i="36"/>
  <c r="AO390" i="36"/>
  <c r="BP43" i="36"/>
  <c r="BG587" i="36"/>
  <c r="N308" i="36"/>
  <c r="W305" i="36"/>
  <c r="W419" i="36"/>
  <c r="BP310" i="36"/>
  <c r="W263" i="36"/>
  <c r="BY108" i="36"/>
  <c r="AO41" i="36"/>
  <c r="AF381" i="36"/>
  <c r="BP75" i="36"/>
  <c r="AX543" i="36"/>
  <c r="BP104" i="36"/>
  <c r="BY396" i="36"/>
  <c r="E495" i="36"/>
  <c r="AX343" i="36"/>
  <c r="BG384" i="36"/>
  <c r="AX256" i="36"/>
  <c r="AF195" i="36"/>
  <c r="E257" i="36"/>
  <c r="E294" i="36"/>
  <c r="AF515" i="36"/>
  <c r="AO302" i="36"/>
  <c r="BY311" i="36"/>
  <c r="AX586" i="36"/>
  <c r="AX156" i="36"/>
  <c r="AO212" i="36"/>
  <c r="BG571" i="36"/>
  <c r="W443" i="36"/>
  <c r="AF451" i="36"/>
  <c r="BP100" i="36"/>
  <c r="W523" i="36"/>
  <c r="W112" i="36"/>
  <c r="BY236" i="36"/>
  <c r="BP208" i="36"/>
  <c r="BY54" i="36"/>
  <c r="W531" i="36"/>
  <c r="N517" i="36"/>
  <c r="E190" i="36"/>
  <c r="BG432" i="36"/>
  <c r="AF434" i="36"/>
  <c r="N111" i="36"/>
  <c r="W282" i="36"/>
  <c r="AX267" i="36"/>
  <c r="BY285" i="36"/>
  <c r="AX541" i="36"/>
  <c r="BG250" i="36"/>
  <c r="W221" i="36"/>
  <c r="N406" i="36"/>
  <c r="AF425" i="36"/>
  <c r="AF129" i="36"/>
  <c r="E489" i="36"/>
  <c r="N409" i="36"/>
  <c r="BG167" i="36"/>
  <c r="AF286" i="36"/>
  <c r="E198" i="36"/>
  <c r="AO433" i="36"/>
  <c r="BP469" i="36"/>
  <c r="AF520" i="36"/>
  <c r="BP338" i="36"/>
  <c r="AX193" i="36"/>
  <c r="AO528" i="36"/>
  <c r="BP431" i="36"/>
  <c r="BY226" i="36"/>
  <c r="N145" i="36"/>
  <c r="BY205" i="36"/>
  <c r="AO117" i="36"/>
  <c r="BY154" i="36"/>
  <c r="W491" i="36"/>
  <c r="AF89" i="36"/>
  <c r="N494" i="36"/>
  <c r="AO386" i="36"/>
  <c r="BP331" i="36"/>
  <c r="BY189" i="36"/>
  <c r="N405" i="36"/>
  <c r="BY303" i="36"/>
  <c r="BY152" i="36"/>
  <c r="BP252" i="36"/>
  <c r="BG415" i="36"/>
  <c r="W244" i="36"/>
  <c r="AX323" i="36"/>
  <c r="BG550" i="36"/>
  <c r="N297" i="36"/>
  <c r="BP276" i="36"/>
  <c r="AO388" i="36"/>
  <c r="BG42" i="36"/>
  <c r="AF350" i="36"/>
  <c r="N250" i="36"/>
  <c r="BY295" i="36"/>
  <c r="AF73" i="36"/>
  <c r="E104" i="36"/>
  <c r="N172" i="36"/>
  <c r="BY210" i="36"/>
  <c r="W347" i="36"/>
  <c r="AF271" i="36"/>
  <c r="N227" i="36"/>
  <c r="W518" i="36"/>
  <c r="BY397" i="36"/>
  <c r="AO399" i="36"/>
  <c r="W46" i="36"/>
  <c r="AF242" i="36"/>
  <c r="BP425" i="36"/>
  <c r="N186" i="36"/>
  <c r="N109" i="36"/>
  <c r="BP212" i="36"/>
  <c r="W258" i="36"/>
  <c r="W354" i="36"/>
  <c r="N98" i="36"/>
  <c r="E316" i="36"/>
  <c r="AO145" i="36"/>
  <c r="AX340" i="36"/>
  <c r="BG197" i="36"/>
  <c r="N431" i="36"/>
  <c r="AF457" i="36"/>
  <c r="BG266" i="36"/>
  <c r="AO529" i="36"/>
  <c r="N197" i="36"/>
  <c r="BG594" i="36"/>
  <c r="W366" i="36"/>
  <c r="E485" i="36"/>
  <c r="AF134" i="36"/>
  <c r="AO485" i="36"/>
  <c r="N441" i="36"/>
  <c r="AX290" i="36"/>
  <c r="BG403" i="36"/>
  <c r="AF111" i="36"/>
  <c r="V11" i="26"/>
  <c r="BY306" i="36"/>
  <c r="AX419" i="36"/>
  <c r="AX360" i="36"/>
  <c r="W544" i="36"/>
  <c r="E279" i="36"/>
  <c r="N543" i="36"/>
  <c r="BP367" i="36"/>
  <c r="BY374" i="36"/>
  <c r="BY112" i="36"/>
  <c r="W15" i="26"/>
  <c r="W490" i="36"/>
  <c r="AX310" i="36"/>
  <c r="Y12" i="26"/>
  <c r="N365" i="36"/>
  <c r="AO535" i="36"/>
  <c r="AX429" i="36"/>
  <c r="N289" i="36"/>
  <c r="N278" i="36"/>
  <c r="W193" i="36"/>
  <c r="E179" i="36"/>
  <c r="BG67" i="36"/>
  <c r="AX412" i="36"/>
  <c r="AO579" i="36"/>
  <c r="AF389" i="36"/>
  <c r="BY428" i="36"/>
  <c r="BY309" i="36"/>
  <c r="BP369" i="36"/>
  <c r="BG63" i="36"/>
  <c r="BG502" i="36"/>
  <c r="BG170" i="36"/>
  <c r="BG60" i="36"/>
  <c r="N171" i="36"/>
  <c r="N300" i="36"/>
  <c r="E436" i="36"/>
  <c r="BG309" i="36"/>
  <c r="E347" i="36"/>
  <c r="AF44" i="36"/>
  <c r="BY162" i="36"/>
  <c r="BY93" i="36"/>
  <c r="N177" i="36"/>
  <c r="BY398" i="36"/>
  <c r="BY39" i="36"/>
  <c r="E96" i="36"/>
  <c r="BG463" i="36"/>
  <c r="W388" i="36"/>
  <c r="BP470" i="36"/>
  <c r="AO97" i="36"/>
  <c r="AF135" i="36"/>
  <c r="E138" i="36"/>
  <c r="CH199" i="36"/>
  <c r="AO575" i="36"/>
  <c r="AA5" i="26"/>
  <c r="AX475" i="36"/>
  <c r="BP311" i="36"/>
  <c r="N350" i="36"/>
  <c r="BP148" i="36"/>
  <c r="N304" i="36"/>
  <c r="W173" i="36"/>
  <c r="E451" i="36"/>
  <c r="E233" i="36"/>
  <c r="AF231" i="36"/>
  <c r="BG277" i="36"/>
  <c r="BG596" i="36"/>
  <c r="N282" i="36"/>
  <c r="E498" i="36"/>
  <c r="E221" i="36"/>
  <c r="AF490" i="36"/>
  <c r="BG482" i="36"/>
  <c r="W504" i="36"/>
  <c r="AF384" i="36"/>
  <c r="BY332" i="36"/>
  <c r="AX496" i="36"/>
  <c r="W499" i="36"/>
  <c r="W449" i="36"/>
  <c r="AX70" i="36"/>
  <c r="AO217" i="36"/>
  <c r="N146" i="36"/>
  <c r="N92" i="36"/>
  <c r="AO310" i="36"/>
  <c r="BP313" i="36"/>
  <c r="BY258" i="36"/>
  <c r="BP190" i="36"/>
  <c r="AX576" i="36"/>
  <c r="AO457" i="36"/>
  <c r="AX591" i="36"/>
  <c r="W174" i="36"/>
  <c r="AX342" i="36"/>
  <c r="BG255" i="36"/>
  <c r="BY381" i="36"/>
  <c r="AX349" i="36"/>
  <c r="BY400" i="36"/>
  <c r="AF299" i="36"/>
  <c r="N243" i="36"/>
  <c r="N443" i="36"/>
  <c r="AO491" i="36"/>
  <c r="AX596" i="36"/>
  <c r="AO523" i="36"/>
  <c r="N70" i="36"/>
  <c r="AX105" i="36"/>
  <c r="BY278" i="36"/>
  <c r="AF375" i="36"/>
  <c r="BY126" i="36"/>
  <c r="AX581" i="36"/>
  <c r="E88" i="36"/>
  <c r="W233" i="36"/>
  <c r="AF336" i="36"/>
  <c r="N533" i="36"/>
  <c r="AO374" i="36"/>
  <c r="AF310" i="36"/>
  <c r="AO508" i="36"/>
  <c r="AO544" i="36"/>
  <c r="AX516" i="36"/>
  <c r="E520" i="36"/>
  <c r="AF334" i="36"/>
  <c r="BY48" i="36"/>
  <c r="AF398" i="36"/>
  <c r="W541" i="36"/>
  <c r="E404" i="36"/>
  <c r="AX265" i="36"/>
  <c r="BG401" i="36"/>
  <c r="BY80" i="36"/>
  <c r="BG327" i="36"/>
  <c r="E457" i="36"/>
  <c r="BY294" i="36"/>
  <c r="AX119" i="36"/>
  <c r="AA13" i="26"/>
  <c r="E281" i="36"/>
  <c r="AX206" i="36"/>
  <c r="E71" i="36"/>
  <c r="BY85" i="36"/>
  <c r="N287" i="36"/>
  <c r="AF177" i="36"/>
  <c r="BP46" i="36"/>
  <c r="AO343" i="36"/>
  <c r="BP304" i="36"/>
  <c r="AO47" i="36"/>
  <c r="AF205" i="36"/>
  <c r="AO454" i="36"/>
  <c r="AO490" i="36"/>
  <c r="AF374" i="36"/>
  <c r="N429" i="36"/>
  <c r="AX203" i="36"/>
  <c r="BG268" i="36"/>
  <c r="W442" i="36"/>
  <c r="AX565" i="36"/>
  <c r="E388" i="36"/>
  <c r="AX459" i="36"/>
  <c r="W9" i="26"/>
  <c r="W446" i="36"/>
  <c r="AX226" i="36"/>
  <c r="BY288" i="36"/>
  <c r="AF233" i="36"/>
  <c r="AF357" i="36"/>
  <c r="W316" i="36"/>
  <c r="E401" i="36"/>
  <c r="BY173" i="36"/>
  <c r="BY203" i="36"/>
  <c r="AO194" i="36"/>
  <c r="AF401" i="36"/>
  <c r="BG538" i="36"/>
  <c r="BP151" i="36"/>
  <c r="AX170" i="36"/>
  <c r="BG465" i="36"/>
  <c r="AF414" i="36"/>
  <c r="W429" i="36"/>
  <c r="W463" i="36"/>
  <c r="E203" i="36"/>
  <c r="N491" i="36"/>
  <c r="AX277" i="36"/>
  <c r="AF324" i="36"/>
  <c r="AF460" i="36"/>
  <c r="AX99" i="36"/>
  <c r="AO99" i="36"/>
  <c r="BY195" i="36"/>
  <c r="N503" i="36"/>
  <c r="W376" i="36"/>
  <c r="X13" i="26"/>
  <c r="BY75" i="36"/>
  <c r="Z11" i="26"/>
  <c r="AX465" i="36"/>
  <c r="W485" i="36"/>
  <c r="W64" i="36"/>
  <c r="AF475" i="36"/>
  <c r="E246" i="36"/>
  <c r="AX209" i="36"/>
  <c r="W374" i="36"/>
  <c r="E536" i="36"/>
  <c r="N415" i="36"/>
  <c r="AO195" i="36"/>
  <c r="W44" i="36"/>
  <c r="AX564" i="36"/>
  <c r="AX250" i="36"/>
  <c r="AF383" i="36"/>
  <c r="E508" i="36"/>
  <c r="E303" i="36"/>
  <c r="BY408" i="36"/>
  <c r="BP443" i="36"/>
  <c r="BY194" i="36"/>
  <c r="E101" i="36"/>
  <c r="BY416" i="36"/>
  <c r="W533" i="36"/>
  <c r="BP262" i="36"/>
  <c r="BP321" i="36"/>
  <c r="AX223" i="36"/>
  <c r="AO551" i="36"/>
  <c r="AF91" i="36"/>
  <c r="AO362" i="36"/>
  <c r="AF105" i="36"/>
  <c r="BG360" i="36"/>
  <c r="BY439" i="36"/>
  <c r="BG259" i="36"/>
  <c r="AX560" i="36"/>
  <c r="E298" i="36"/>
  <c r="AF421" i="36"/>
  <c r="AX282" i="36"/>
  <c r="BP250" i="36"/>
  <c r="AF326" i="36"/>
  <c r="N540" i="36"/>
  <c r="AO216" i="36"/>
  <c r="W248" i="36"/>
  <c r="E41" i="36"/>
  <c r="W17" i="26"/>
  <c r="AO464" i="36"/>
  <c r="AO134" i="36"/>
  <c r="AX538" i="36"/>
  <c r="BG425" i="36"/>
  <c r="AX578" i="36"/>
  <c r="AO58" i="36"/>
  <c r="BP178" i="36"/>
  <c r="E525" i="36"/>
  <c r="N295" i="36"/>
  <c r="BG428" i="36"/>
  <c r="AF92" i="36"/>
  <c r="BP108" i="36"/>
  <c r="W457" i="36"/>
  <c r="AO65" i="36"/>
  <c r="BG261" i="36"/>
  <c r="E146" i="36"/>
  <c r="W542" i="36"/>
  <c r="AX199" i="36"/>
  <c r="E253" i="36"/>
  <c r="AF501" i="36"/>
  <c r="E425" i="36"/>
  <c r="AO215" i="36"/>
  <c r="AX204" i="36"/>
  <c r="AX159" i="36"/>
  <c r="BP468" i="36"/>
  <c r="AX424" i="36"/>
  <c r="AF418" i="36"/>
  <c r="N427" i="36"/>
  <c r="BG101" i="36"/>
  <c r="AO213" i="36"/>
  <c r="E526" i="36"/>
  <c r="AF130" i="36"/>
  <c r="N194" i="36"/>
  <c r="BG332" i="36"/>
  <c r="AF518" i="36"/>
  <c r="AX454" i="36"/>
  <c r="E497" i="36"/>
  <c r="BG93" i="36"/>
  <c r="E64" i="36"/>
  <c r="V14" i="26"/>
  <c r="BG193" i="36"/>
  <c r="AF549" i="36"/>
  <c r="N285" i="36"/>
  <c r="N89" i="36"/>
  <c r="W370" i="36"/>
  <c r="AO298" i="36"/>
  <c r="E366" i="36"/>
  <c r="AO151" i="36"/>
  <c r="E546" i="36"/>
  <c r="W411" i="36"/>
  <c r="E542" i="36"/>
  <c r="N112" i="36"/>
  <c r="AF420" i="36"/>
  <c r="AO391" i="36"/>
  <c r="BY235" i="36"/>
  <c r="AO306" i="36"/>
  <c r="N459" i="36"/>
  <c r="N493" i="36"/>
  <c r="N414" i="36"/>
  <c r="N143" i="36"/>
  <c r="N277" i="36"/>
  <c r="AO209" i="36"/>
  <c r="AF462" i="36"/>
  <c r="N315" i="36"/>
  <c r="AO342" i="36"/>
  <c r="AX402" i="36"/>
  <c r="BP254" i="36"/>
  <c r="AF155" i="36"/>
  <c r="AF136" i="36"/>
  <c r="AX603" i="36"/>
  <c r="E437" i="36"/>
  <c r="W196" i="36"/>
  <c r="W198" i="36"/>
  <c r="E195" i="36"/>
  <c r="BG73" i="36"/>
  <c r="N124" i="36"/>
  <c r="E444" i="36"/>
  <c r="AX164" i="36"/>
  <c r="W156" i="36"/>
  <c r="N485" i="36"/>
  <c r="AX140" i="36"/>
  <c r="BY134" i="36"/>
  <c r="AX160" i="36"/>
  <c r="E381" i="36"/>
  <c r="AO202" i="36"/>
  <c r="AO67" i="36"/>
  <c r="AX328" i="36"/>
  <c r="BY168" i="36"/>
  <c r="E283" i="36"/>
  <c r="E227" i="36"/>
  <c r="BP319" i="36"/>
  <c r="AF156" i="36"/>
  <c r="E285" i="36"/>
  <c r="BG394" i="36"/>
  <c r="E506" i="36"/>
  <c r="W326" i="36"/>
  <c r="BG414" i="36"/>
  <c r="AO312" i="36"/>
  <c r="AX398" i="36"/>
  <c r="BG577" i="36"/>
  <c r="BY261" i="36"/>
  <c r="W277" i="36"/>
  <c r="BP264" i="36"/>
  <c r="AO525" i="36"/>
  <c r="BP398" i="36"/>
  <c r="BY293" i="36"/>
  <c r="E250" i="36"/>
  <c r="BY116" i="36"/>
  <c r="E362" i="36"/>
  <c r="BY273" i="36"/>
  <c r="AX46" i="36"/>
  <c r="AF360" i="36"/>
  <c r="BY183" i="36"/>
  <c r="W42" i="36"/>
  <c r="BP260" i="36"/>
  <c r="AF330" i="36"/>
  <c r="BG330" i="36"/>
  <c r="BG160" i="36"/>
  <c r="AF382" i="36"/>
  <c r="AX461" i="36"/>
  <c r="E459" i="36"/>
  <c r="E39" i="36"/>
  <c r="W324" i="36"/>
  <c r="AO453" i="36"/>
  <c r="BG396" i="36"/>
  <c r="AX575" i="36"/>
  <c r="AF551" i="36"/>
  <c r="BG139" i="36"/>
  <c r="N42" i="36"/>
  <c r="BY161" i="36"/>
  <c r="AX557" i="36"/>
  <c r="AO303" i="36"/>
  <c r="BG155" i="36"/>
  <c r="AX281" i="36"/>
  <c r="W362" i="36"/>
  <c r="E228" i="36"/>
  <c r="BP136" i="36"/>
  <c r="BP466" i="36"/>
  <c r="AX162" i="36"/>
  <c r="BY307" i="36"/>
  <c r="BG104" i="36"/>
  <c r="N373" i="36"/>
  <c r="BP427" i="36"/>
  <c r="W180" i="36"/>
  <c r="BG611" i="36"/>
  <c r="E124" i="36"/>
  <c r="AF564" i="36"/>
  <c r="BP93" i="36"/>
  <c r="AX61" i="36"/>
  <c r="BG358" i="36"/>
  <c r="AO555" i="36"/>
  <c r="BY106" i="36"/>
  <c r="AF297" i="36"/>
  <c r="N343" i="36"/>
  <c r="N436" i="36"/>
  <c r="BY102" i="36"/>
  <c r="W474" i="36"/>
  <c r="N103" i="36"/>
  <c r="E540" i="36"/>
  <c r="AO571" i="36"/>
  <c r="E479" i="36"/>
  <c r="N72" i="36"/>
  <c r="BG117" i="36"/>
  <c r="BG422" i="36"/>
  <c r="N150" i="36"/>
  <c r="BY290" i="36"/>
  <c r="BG151" i="36"/>
  <c r="AO102" i="36"/>
  <c r="N345" i="36"/>
  <c r="AX289" i="36"/>
  <c r="W254" i="36"/>
  <c r="N204" i="36"/>
  <c r="E183" i="36"/>
  <c r="AO114" i="36"/>
  <c r="BY315" i="36"/>
  <c r="W372" i="36"/>
  <c r="BY244" i="36"/>
  <c r="BG357" i="36"/>
  <c r="AX401" i="36"/>
  <c r="N249" i="36"/>
  <c r="W383" i="36"/>
  <c r="AX383" i="36"/>
  <c r="AO346" i="36"/>
  <c r="AF203" i="36"/>
  <c r="N509" i="36"/>
  <c r="E67" i="36"/>
  <c r="BG196" i="36"/>
  <c r="AO252" i="36"/>
  <c r="W12" i="26"/>
  <c r="BY440" i="36"/>
  <c r="AX513" i="36"/>
  <c r="AF478" i="36"/>
  <c r="AX320" i="36"/>
  <c r="AX611" i="36"/>
  <c r="E92" i="36"/>
  <c r="AF197" i="36"/>
  <c r="AO404" i="36"/>
  <c r="N484" i="36"/>
  <c r="W8" i="26"/>
  <c r="Y5" i="26"/>
  <c r="N110" i="36"/>
  <c r="BG572" i="36"/>
  <c r="AO307" i="36"/>
  <c r="BG325" i="36"/>
  <c r="BY437" i="36"/>
  <c r="AO438" i="36"/>
  <c r="AX389" i="36"/>
  <c r="BP454" i="36"/>
  <c r="AO214" i="36"/>
  <c r="AO363" i="36"/>
  <c r="W423" i="36"/>
  <c r="AF61" i="36"/>
  <c r="E176" i="36"/>
  <c r="BG200" i="36"/>
  <c r="N462" i="36"/>
  <c r="BG279" i="36"/>
  <c r="AO552" i="36"/>
  <c r="AX472" i="36"/>
  <c r="AX562" i="36"/>
  <c r="BG194" i="36"/>
  <c r="AF59" i="36"/>
  <c r="BP440" i="36"/>
  <c r="AO95" i="36"/>
  <c r="AX592" i="36"/>
  <c r="BY320" i="36"/>
  <c r="W314" i="36"/>
  <c r="E363" i="36"/>
  <c r="N233" i="36"/>
  <c r="AO514" i="36"/>
  <c r="BP284" i="36"/>
  <c r="W492" i="36"/>
  <c r="E407" i="36"/>
  <c r="AF41" i="36"/>
  <c r="AF531" i="36"/>
  <c r="E341" i="36"/>
  <c r="BY57" i="36"/>
  <c r="E371" i="36"/>
  <c r="AO558" i="36"/>
  <c r="N514" i="36"/>
  <c r="AX511" i="36"/>
  <c r="AF393" i="36"/>
  <c r="E98" i="36"/>
  <c r="BP77" i="36"/>
  <c r="AF470" i="36"/>
  <c r="W132" i="36"/>
  <c r="N492" i="36"/>
  <c r="AO380" i="36"/>
  <c r="AF106" i="36"/>
  <c r="AO450" i="36"/>
  <c r="N548" i="36"/>
  <c r="E476" i="36"/>
  <c r="AX413" i="36"/>
  <c r="AO538" i="36"/>
  <c r="BY213" i="36"/>
  <c r="BP184" i="36"/>
  <c r="N230" i="36"/>
  <c r="E511" i="36"/>
  <c r="AX314" i="36"/>
  <c r="W528" i="36"/>
  <c r="AX432" i="36"/>
  <c r="BP473" i="36"/>
  <c r="N234" i="36"/>
  <c r="BY145" i="36"/>
  <c r="BP371" i="36"/>
  <c r="E420" i="36"/>
  <c r="AF198" i="36"/>
  <c r="BG227" i="36"/>
  <c r="W513" i="36"/>
  <c r="AF510" i="36"/>
  <c r="AX45" i="36"/>
  <c r="E178" i="36"/>
  <c r="AX495" i="36"/>
  <c r="AX248" i="36"/>
  <c r="BY262" i="36"/>
  <c r="BP102" i="36"/>
  <c r="BY208" i="36"/>
  <c r="BY192" i="36"/>
  <c r="BG483" i="36"/>
  <c r="AX40" i="36"/>
  <c r="E439" i="36"/>
  <c r="V13" i="26"/>
  <c r="BY343" i="36"/>
  <c r="W296" i="36"/>
  <c r="E304" i="36"/>
  <c r="BY73" i="36"/>
  <c r="E493" i="36"/>
  <c r="AF200" i="36"/>
  <c r="AX222" i="36"/>
  <c r="AF115" i="36"/>
  <c r="BY122" i="36"/>
  <c r="BP149" i="36"/>
  <c r="AX481" i="36"/>
  <c r="E128" i="36"/>
  <c r="AF437" i="36"/>
  <c r="AO545" i="36"/>
  <c r="AF237" i="36"/>
  <c r="AX506" i="36"/>
  <c r="AX507" i="36"/>
  <c r="AF392" i="36"/>
  <c r="N198" i="36"/>
  <c r="AO236" i="36"/>
  <c r="N460" i="36"/>
  <c r="AF442" i="36"/>
  <c r="E259" i="36"/>
  <c r="AX338" i="36"/>
  <c r="BG391" i="36"/>
  <c r="N60" i="36"/>
  <c r="W148" i="36"/>
  <c r="AF235" i="36"/>
  <c r="AO459" i="36"/>
  <c r="E545" i="36"/>
  <c r="BY429" i="36"/>
  <c r="BP103" i="36"/>
  <c r="BY373" i="36"/>
  <c r="AF557" i="36"/>
  <c r="BP41" i="36"/>
  <c r="AO407" i="36"/>
  <c r="BG254" i="36"/>
  <c r="BG569" i="36"/>
  <c r="E405" i="36"/>
  <c r="BP303" i="36"/>
  <c r="W285" i="36"/>
  <c r="BY193" i="36"/>
  <c r="AO441" i="36"/>
  <c r="BG315" i="36"/>
  <c r="E538" i="36"/>
  <c r="AO534" i="36"/>
  <c r="BG471" i="36"/>
  <c r="BG600" i="36"/>
  <c r="W405" i="36"/>
  <c r="AX501" i="36"/>
  <c r="N421" i="36"/>
  <c r="W355" i="36"/>
  <c r="BG397" i="36"/>
  <c r="W243" i="36"/>
  <c r="BP220" i="36"/>
  <c r="AO68" i="36"/>
  <c r="BY74" i="36"/>
  <c r="BG272" i="36"/>
  <c r="W488" i="36"/>
  <c r="BG404" i="36"/>
  <c r="W88" i="36"/>
  <c r="N259" i="36"/>
  <c r="AF290" i="36"/>
  <c r="BG198" i="36"/>
  <c r="BG341" i="36"/>
  <c r="AX542" i="36"/>
  <c r="BP211" i="36"/>
  <c r="BY40" i="36"/>
  <c r="AX361" i="36"/>
  <c r="BG210" i="36"/>
  <c r="AF255" i="36"/>
  <c r="BG284" i="36"/>
  <c r="E107" i="36"/>
  <c r="BY259" i="36"/>
  <c r="W323" i="36"/>
  <c r="BY406" i="36"/>
  <c r="W238" i="36"/>
  <c r="BY411" i="36"/>
  <c r="BG106" i="36"/>
  <c r="E224" i="36"/>
  <c r="E494" i="36"/>
  <c r="AO369" i="36"/>
  <c r="E529" i="36"/>
  <c r="BY220" i="36"/>
  <c r="AX571" i="36"/>
  <c r="AO100" i="36"/>
  <c r="E148" i="36"/>
  <c r="AX202" i="36"/>
  <c r="AF426" i="36"/>
  <c r="BG427" i="36"/>
  <c r="W363" i="36"/>
  <c r="AX220" i="36"/>
  <c r="BG473" i="36"/>
  <c r="AX96" i="36"/>
  <c r="BP259" i="36"/>
  <c r="N419" i="36"/>
  <c r="W506" i="36"/>
  <c r="BY377" i="36"/>
  <c r="N195" i="36"/>
  <c r="N495" i="36"/>
  <c r="BG468" i="36"/>
  <c r="AF364" i="36"/>
  <c r="AF511" i="36"/>
  <c r="AO73" i="36"/>
  <c r="AX359" i="36"/>
  <c r="E140" i="36"/>
  <c r="AF553" i="36"/>
  <c r="AX579" i="36"/>
  <c r="AF491" i="36"/>
  <c r="E548" i="36"/>
  <c r="BG601" i="36"/>
  <c r="E154" i="36"/>
  <c r="BG598" i="36"/>
  <c r="N544" i="36"/>
  <c r="BY79" i="36"/>
  <c r="N423" i="36"/>
  <c r="E480" i="36"/>
  <c r="BP118" i="36"/>
  <c r="AO250" i="36"/>
  <c r="E375" i="36"/>
  <c r="BP358" i="36"/>
  <c r="AO61" i="36"/>
  <c r="BY350" i="36"/>
  <c r="BG211" i="36"/>
  <c r="BP64" i="36"/>
  <c r="BY164" i="36"/>
  <c r="E435" i="36"/>
  <c r="AX333" i="36"/>
  <c r="W273" i="36"/>
  <c r="BP388" i="36"/>
  <c r="AX221" i="36"/>
  <c r="AO401" i="36"/>
  <c r="AF204" i="36"/>
  <c r="W498" i="36"/>
  <c r="E68" i="36"/>
  <c r="N155" i="36"/>
  <c r="W532" i="36"/>
  <c r="E62" i="36"/>
  <c r="AX606" i="36"/>
  <c r="N91" i="36"/>
  <c r="BY340" i="36"/>
  <c r="E409" i="36"/>
  <c r="AX494" i="36"/>
  <c r="BY367" i="36"/>
  <c r="BP233" i="36"/>
  <c r="BY383" i="36"/>
  <c r="AO344" i="36"/>
  <c r="AF107" i="36"/>
  <c r="N360" i="36"/>
  <c r="W509" i="36"/>
  <c r="E313" i="36"/>
  <c r="E251" i="36"/>
  <c r="AX386" i="36"/>
  <c r="AF145" i="36"/>
  <c r="N527" i="36"/>
  <c r="AX207" i="36"/>
  <c r="BG480" i="36"/>
  <c r="W486" i="36"/>
  <c r="AF154" i="36"/>
  <c r="AX351" i="36"/>
  <c r="AX600" i="36"/>
  <c r="BY71" i="36"/>
  <c r="BG220" i="36"/>
  <c r="BG161" i="36"/>
  <c r="BG334" i="36"/>
  <c r="E353" i="36"/>
  <c r="AX585" i="36"/>
  <c r="AF306" i="36"/>
  <c r="BP386" i="36"/>
  <c r="BY132" i="36"/>
  <c r="N346" i="36"/>
  <c r="N481" i="36"/>
  <c r="E129" i="36"/>
  <c r="AF351" i="36"/>
  <c r="BP258" i="36"/>
  <c r="AX355" i="36"/>
  <c r="AF68" i="36"/>
  <c r="W281" i="36"/>
  <c r="AF245" i="36"/>
  <c r="E488" i="36"/>
  <c r="AO446" i="36"/>
  <c r="N291" i="36"/>
  <c r="E522" i="36"/>
  <c r="AX555" i="36"/>
  <c r="BP269" i="36"/>
  <c r="BG329" i="36"/>
  <c r="BP320" i="36"/>
  <c r="AF454" i="36"/>
  <c r="AX433" i="36"/>
  <c r="E486" i="36"/>
  <c r="W289" i="36"/>
  <c r="BP339" i="36"/>
  <c r="AF62" i="36"/>
  <c r="AO330" i="36"/>
  <c r="BP318" i="36"/>
  <c r="N480" i="36"/>
  <c r="E338" i="36"/>
  <c r="W461" i="36"/>
  <c r="E153" i="36"/>
  <c r="W495" i="36"/>
  <c r="N144" i="36"/>
  <c r="E241" i="36"/>
  <c r="W171" i="36"/>
  <c r="E150" i="36"/>
  <c r="AX115" i="36"/>
  <c r="W141" i="36"/>
  <c r="BG116" i="36"/>
  <c r="AX116" i="36"/>
  <c r="W385" i="36"/>
  <c r="W18" i="26"/>
  <c r="AO563" i="36"/>
  <c r="BY56" i="36"/>
  <c r="BG386" i="36"/>
  <c r="BY151" i="36"/>
  <c r="BG226" i="36"/>
  <c r="AF187" i="36"/>
  <c r="BY251" i="36"/>
  <c r="BG153" i="36"/>
  <c r="AX400" i="36"/>
  <c r="AO255" i="36"/>
  <c r="N528" i="36"/>
  <c r="N337" i="36"/>
  <c r="N487" i="36"/>
  <c r="W65" i="36"/>
  <c r="BG260" i="36"/>
  <c r="AO447" i="36"/>
  <c r="W494" i="36"/>
  <c r="N370" i="36"/>
  <c r="BP101" i="36"/>
  <c r="BP69" i="36"/>
  <c r="W475" i="36"/>
  <c r="W10" i="26"/>
  <c r="AO531" i="36"/>
  <c r="W325" i="36"/>
  <c r="BP379" i="36"/>
  <c r="BP280" i="36"/>
  <c r="AF439" i="36"/>
  <c r="AF377" i="36"/>
  <c r="E192" i="36"/>
  <c r="BG276" i="36"/>
  <c r="AF380" i="36"/>
  <c r="AO432" i="36"/>
  <c r="N108" i="36"/>
  <c r="AX76" i="36"/>
  <c r="E531" i="36"/>
  <c r="AO199" i="36"/>
  <c r="BY190" i="36"/>
  <c r="BP382" i="36"/>
  <c r="W201" i="36"/>
  <c r="BG567" i="36"/>
  <c r="E541" i="36"/>
  <c r="E440" i="36"/>
  <c r="AO57" i="36"/>
  <c r="V18" i="26"/>
  <c r="BP186" i="36"/>
  <c r="BY172" i="36"/>
  <c r="AF458" i="36"/>
  <c r="Z5" i="26"/>
  <c r="W100" i="36"/>
  <c r="BP312" i="36"/>
  <c r="AO436" i="36"/>
  <c r="AF65" i="36"/>
  <c r="AF305" i="36"/>
  <c r="E261" i="36"/>
  <c r="W131" i="36"/>
  <c r="BP364" i="36"/>
  <c r="AF527" i="36"/>
  <c r="AX194" i="36"/>
  <c r="AX403" i="36"/>
  <c r="N366" i="36"/>
  <c r="AX580" i="36"/>
  <c r="W41" i="36"/>
  <c r="W45" i="36"/>
  <c r="AF315" i="36"/>
  <c r="AF264" i="36"/>
  <c r="W338" i="36"/>
  <c r="BY149" i="36"/>
  <c r="BG264" i="36"/>
  <c r="AO371" i="36"/>
  <c r="AX545" i="36"/>
  <c r="E372" i="36"/>
  <c r="BY347" i="36"/>
  <c r="AX318" i="36"/>
  <c r="E515" i="36"/>
  <c r="AX391" i="36"/>
  <c r="BG566" i="36"/>
  <c r="E431" i="36"/>
  <c r="W364" i="36"/>
  <c r="W231" i="36"/>
  <c r="AO564" i="36"/>
  <c r="AF354" i="36"/>
  <c r="AO321" i="36"/>
  <c r="BY36" i="36"/>
  <c r="AX385" i="36"/>
  <c r="AX270" i="36"/>
  <c r="BY249" i="36"/>
  <c r="BY330" i="36"/>
  <c r="AX311" i="36"/>
  <c r="AO517" i="36"/>
  <c r="N237" i="36"/>
  <c r="E340" i="36"/>
  <c r="N530" i="36"/>
  <c r="BG590" i="36"/>
  <c r="BG603" i="36"/>
  <c r="AO483" i="36"/>
  <c r="E69" i="36"/>
  <c r="AF472" i="36"/>
  <c r="E449" i="36"/>
  <c r="AO381" i="36"/>
  <c r="AF525" i="36"/>
  <c r="AO46" i="36"/>
  <c r="CH148" i="36"/>
  <c r="BG141" i="36"/>
  <c r="N374" i="36"/>
  <c r="E277" i="36"/>
  <c r="AX287" i="36"/>
  <c r="BY313" i="36"/>
  <c r="E507" i="36"/>
  <c r="W249" i="36"/>
  <c r="AO144" i="36"/>
  <c r="E226" i="36"/>
  <c r="N531" i="36"/>
  <c r="AF498" i="36"/>
  <c r="E364" i="36"/>
  <c r="AF210" i="36"/>
  <c r="AO203" i="36"/>
  <c r="AF562" i="36"/>
  <c r="AO471" i="36"/>
  <c r="AF494" i="36"/>
  <c r="BG347" i="36"/>
  <c r="BG135" i="36"/>
  <c r="N258" i="36"/>
  <c r="E481" i="36"/>
  <c r="BP70" i="36"/>
  <c r="BY407" i="36"/>
  <c r="E343" i="36"/>
  <c r="BY302" i="36"/>
  <c r="AX399" i="36"/>
  <c r="AO397" i="36"/>
  <c r="AO72" i="36"/>
  <c r="BG542" i="36"/>
  <c r="BP116" i="36"/>
  <c r="BY310" i="36"/>
  <c r="BY357" i="36"/>
  <c r="BY179" i="36"/>
  <c r="W181" i="36"/>
  <c r="AO474" i="36"/>
  <c r="BP437" i="36"/>
  <c r="BG40" i="36"/>
  <c r="W515" i="36"/>
  <c r="AX431" i="36"/>
  <c r="W349" i="36"/>
  <c r="W260" i="36"/>
  <c r="AX563" i="36"/>
  <c r="BY125" i="36"/>
  <c r="N235" i="36"/>
  <c r="E72" i="36"/>
  <c r="AX417" i="36"/>
  <c r="AF312" i="36"/>
  <c r="N175" i="36"/>
  <c r="AF236" i="36"/>
  <c r="W408" i="36"/>
  <c r="AX317" i="36"/>
  <c r="AO66" i="36"/>
  <c r="W386" i="36"/>
  <c r="BY403" i="36"/>
  <c r="N526" i="36"/>
  <c r="AO305" i="36"/>
  <c r="E60" i="36"/>
  <c r="BG69" i="36"/>
  <c r="AO113" i="36"/>
  <c r="W435" i="36"/>
  <c r="BG488" i="36"/>
  <c r="AO440" i="36"/>
  <c r="AA15" i="26"/>
  <c r="E89" i="36"/>
  <c r="N130" i="36"/>
  <c r="AO435" i="36"/>
  <c r="AX327" i="36"/>
  <c r="AX259" i="36"/>
  <c r="BP464" i="36"/>
  <c r="W447" i="36"/>
  <c r="N377" i="36"/>
  <c r="W195" i="36"/>
  <c r="W140" i="36"/>
  <c r="BP187" i="36"/>
  <c r="BY44" i="36"/>
  <c r="AO299" i="36"/>
  <c r="W501" i="36"/>
  <c r="AO150" i="36"/>
  <c r="E389" i="36"/>
  <c r="N451" i="36"/>
  <c r="BP39" i="36"/>
  <c r="AO414" i="36"/>
  <c r="BG225" i="36"/>
  <c r="E232" i="36"/>
  <c r="AO547" i="36"/>
  <c r="AO470" i="36"/>
  <c r="AX397" i="36"/>
  <c r="E239" i="36"/>
  <c r="BG583" i="36"/>
  <c r="W358" i="36"/>
  <c r="BG398" i="36"/>
  <c r="AO40" i="36"/>
  <c r="BY380" i="36"/>
  <c r="W104" i="36"/>
  <c r="BY363" i="36"/>
  <c r="E414" i="36"/>
  <c r="AX582" i="36"/>
  <c r="AO451" i="36"/>
  <c r="N314" i="36"/>
  <c r="AO577" i="36"/>
  <c r="E273" i="36"/>
  <c r="AX395" i="36"/>
  <c r="E319" i="36"/>
  <c r="E47" i="36"/>
  <c r="BG508" i="36"/>
  <c r="BP97" i="36"/>
  <c r="N302" i="36"/>
  <c r="AO240" i="36"/>
  <c r="AX546" i="36"/>
  <c r="AF325" i="36"/>
  <c r="AF329" i="36"/>
  <c r="AX334" i="36"/>
  <c r="AX316" i="36"/>
  <c r="W344" i="36"/>
  <c r="N486" i="36"/>
  <c r="BG74" i="36"/>
  <c r="E186" i="36"/>
  <c r="AF291" i="36"/>
  <c r="E487" i="36"/>
  <c r="AX599" i="36"/>
  <c r="BY375" i="36"/>
  <c r="AF417" i="36"/>
  <c r="AF428" i="36"/>
  <c r="BG554" i="36"/>
  <c r="Y11" i="26"/>
  <c r="BG326" i="36"/>
  <c r="E145" i="36"/>
  <c r="E106" i="36"/>
  <c r="W253" i="36"/>
  <c r="AO530" i="36"/>
  <c r="AF131" i="36"/>
  <c r="N361" i="36"/>
  <c r="AO239" i="36"/>
  <c r="BY325" i="36"/>
  <c r="E275" i="36"/>
  <c r="W137" i="36"/>
  <c r="AF473" i="36"/>
  <c r="BG501" i="36"/>
  <c r="BP117" i="36"/>
  <c r="AO521" i="36"/>
  <c r="AF450" i="36"/>
  <c r="BG429" i="36"/>
  <c r="CH198" i="36"/>
  <c r="W74" i="36"/>
  <c r="BP397" i="36"/>
  <c r="AF415" i="36"/>
  <c r="AO461" i="36"/>
  <c r="AF560" i="36"/>
  <c r="BP333" i="36"/>
  <c r="W391" i="36"/>
  <c r="AF461" i="36"/>
  <c r="BY339" i="36"/>
  <c r="W62" i="36"/>
  <c r="AF365" i="36"/>
  <c r="E188" i="36"/>
  <c r="BY84" i="36"/>
  <c r="AO62" i="36"/>
  <c r="N188" i="36"/>
  <c r="AF270" i="36"/>
  <c r="AF288" i="36"/>
  <c r="AF74" i="36"/>
  <c r="E463" i="36"/>
  <c r="AO484" i="36"/>
  <c r="E139" i="36"/>
  <c r="BG560" i="36"/>
  <c r="AO211" i="36"/>
  <c r="E40" i="36"/>
  <c r="AX568" i="36"/>
  <c r="N385" i="36"/>
  <c r="E460" i="36"/>
  <c r="AX65" i="36"/>
  <c r="BG214" i="36"/>
  <c r="E174" i="36"/>
  <c r="E113" i="36"/>
  <c r="AF69" i="36"/>
  <c r="AX217" i="36"/>
  <c r="AX547" i="36"/>
  <c r="BY104" i="36"/>
  <c r="V6" i="26"/>
  <c r="BY159" i="36"/>
  <c r="E231" i="36"/>
  <c r="BY50" i="36"/>
  <c r="AF284" i="36"/>
  <c r="N219" i="36"/>
  <c r="BP366" i="36"/>
  <c r="N420" i="36"/>
  <c r="W452" i="36"/>
  <c r="BG539" i="36"/>
  <c r="AO468" i="36"/>
  <c r="AO157" i="36"/>
  <c r="AF433" i="36"/>
  <c r="BG562" i="36"/>
  <c r="N450" i="36"/>
  <c r="N203" i="36"/>
  <c r="BG62" i="36"/>
  <c r="BG351" i="36"/>
  <c r="N280" i="36"/>
  <c r="BY181" i="36"/>
  <c r="N205" i="36"/>
  <c r="BG282" i="36"/>
  <c r="AO296" i="36"/>
  <c r="W142" i="36"/>
  <c r="E184" i="36"/>
  <c r="Y10" i="26"/>
  <c r="AO578" i="36"/>
  <c r="W286" i="36"/>
  <c r="BP471" i="36"/>
  <c r="AX480" i="36"/>
  <c r="E500" i="36"/>
  <c r="E441" i="36"/>
  <c r="BY94" i="36"/>
  <c r="AX143" i="36"/>
  <c r="BY121" i="36"/>
  <c r="AA9" i="26"/>
  <c r="AO156" i="36"/>
  <c r="E346" i="36"/>
  <c r="BY241" i="36"/>
  <c r="X16" i="26"/>
  <c r="AA12" i="26"/>
  <c r="AO409" i="36"/>
  <c r="BG270" i="36"/>
  <c r="AX416" i="36"/>
  <c r="BG154" i="36"/>
  <c r="AF376" i="36"/>
  <c r="W284" i="36"/>
  <c r="AO522" i="36"/>
  <c r="N354" i="36"/>
  <c r="BP261" i="36"/>
  <c r="AO403" i="36"/>
  <c r="N410" i="36"/>
  <c r="AO366" i="36"/>
  <c r="BP98" i="36"/>
  <c r="W96" i="36"/>
  <c r="BP175" i="36"/>
  <c r="AF201" i="36"/>
  <c r="BY86" i="36"/>
  <c r="E390" i="36"/>
  <c r="AF268" i="36"/>
  <c r="N299" i="36"/>
  <c r="W409" i="36"/>
  <c r="BP465" i="36"/>
  <c r="AF495" i="36"/>
  <c r="W61" i="36"/>
  <c r="BG112" i="36"/>
  <c r="E220" i="36"/>
  <c r="AO317" i="36"/>
  <c r="BG345" i="36"/>
  <c r="BY284" i="36"/>
  <c r="AO519" i="36"/>
  <c r="BP144" i="36"/>
  <c r="BY191" i="36"/>
  <c r="BG283" i="36"/>
  <c r="AX335" i="36"/>
  <c r="BG565" i="36"/>
  <c r="N131" i="36"/>
  <c r="AX166" i="36"/>
  <c r="AF503" i="36"/>
  <c r="BG485" i="36"/>
  <c r="E377" i="36"/>
  <c r="W342" i="36"/>
  <c r="W202" i="36"/>
  <c r="AF132" i="36"/>
  <c r="BG208" i="36"/>
  <c r="W175" i="36"/>
  <c r="AO245" i="36"/>
  <c r="BY405" i="36"/>
  <c r="BG320" i="36"/>
  <c r="BY146" i="36"/>
  <c r="AF516" i="36"/>
  <c r="BP181" i="36"/>
  <c r="W343" i="36"/>
  <c r="W410" i="36"/>
  <c r="AX597" i="36"/>
  <c r="W415" i="36"/>
  <c r="BG472" i="36"/>
  <c r="Z20" i="26"/>
  <c r="AF513" i="36"/>
  <c r="BY90" i="36"/>
  <c r="AO466" i="36"/>
  <c r="N200" i="36"/>
  <c r="AX43" i="36"/>
  <c r="AF445" i="36"/>
  <c r="AX537" i="36"/>
  <c r="BY362" i="36"/>
  <c r="AF441" i="36"/>
  <c r="W547" i="36"/>
  <c r="BG458" i="36"/>
  <c r="AF289" i="36"/>
  <c r="W129" i="36"/>
  <c r="AF112" i="36"/>
  <c r="E337" i="36"/>
  <c r="BG152" i="36"/>
  <c r="BY182" i="36"/>
  <c r="AX63" i="36"/>
  <c r="BY65" i="36"/>
  <c r="AF447" i="36"/>
  <c r="AX604" i="36"/>
  <c r="W511" i="36"/>
  <c r="AF399" i="36"/>
  <c r="BG580" i="36"/>
  <c r="W371" i="36"/>
  <c r="AF467" i="36"/>
  <c r="W453" i="36"/>
  <c r="E158" i="36"/>
  <c r="E234" i="36"/>
  <c r="BY99" i="36"/>
  <c r="AF160" i="36"/>
  <c r="BG466" i="36"/>
  <c r="BG100" i="36"/>
  <c r="N448" i="36"/>
  <c r="AX142" i="36"/>
  <c r="AX485" i="36"/>
  <c r="E127" i="36"/>
  <c r="BG552" i="36"/>
  <c r="E230" i="36"/>
  <c r="BG109" i="36"/>
  <c r="BG610" i="36"/>
  <c r="BG546" i="36"/>
  <c r="W176" i="36"/>
  <c r="BG476" i="36"/>
  <c r="BG484" i="36"/>
  <c r="N417" i="36"/>
  <c r="AO395" i="36"/>
  <c r="AF241" i="36"/>
  <c r="N442" i="36"/>
  <c r="W536" i="36"/>
  <c r="AX500" i="36"/>
  <c r="E278" i="36"/>
  <c r="AX101" i="36"/>
  <c r="BP357" i="36"/>
  <c r="AO161" i="36"/>
  <c r="AF548" i="36"/>
  <c r="BG41" i="36"/>
  <c r="BY89" i="36"/>
  <c r="BP274" i="36"/>
  <c r="W105" i="36"/>
  <c r="AX418" i="36"/>
  <c r="AX100" i="36"/>
  <c r="AX216" i="36"/>
  <c r="AO473" i="36"/>
  <c r="X6" i="26"/>
  <c r="AO104" i="36"/>
  <c r="E100" i="36"/>
  <c r="AF429" i="36"/>
  <c r="AF292" i="36"/>
  <c r="AF526" i="36"/>
  <c r="BG478" i="36"/>
  <c r="AO163" i="36"/>
  <c r="BY384" i="36"/>
  <c r="AX326" i="36"/>
  <c r="BG213" i="36"/>
  <c r="E461" i="36"/>
  <c r="W143" i="36"/>
  <c r="AF319" i="36"/>
  <c r="AF230" i="36"/>
  <c r="N288" i="36"/>
  <c r="AX478" i="36"/>
  <c r="AX74" i="36"/>
  <c r="E527" i="36"/>
  <c r="BP179" i="36"/>
  <c r="BG65" i="36"/>
  <c r="BY165" i="36"/>
  <c r="W190" i="36"/>
  <c r="BG219" i="36"/>
  <c r="AO135" i="36"/>
  <c r="AF159" i="36"/>
  <c r="N239" i="36"/>
  <c r="W310" i="36"/>
  <c r="N199" i="36"/>
  <c r="W6" i="26"/>
  <c r="Y20" i="26"/>
  <c r="AO191" i="36"/>
  <c r="AF229" i="36"/>
  <c r="AO267" i="36"/>
  <c r="BG312" i="36"/>
  <c r="AO263" i="36"/>
  <c r="BY385" i="36"/>
  <c r="AX583" i="36"/>
  <c r="BP453" i="36"/>
  <c r="E385" i="36"/>
  <c r="BG389" i="36"/>
  <c r="Z18" i="26"/>
  <c r="W288" i="36"/>
  <c r="BY69" i="36"/>
  <c r="W157" i="36"/>
  <c r="W153" i="36"/>
  <c r="BP226" i="36"/>
  <c r="AX382" i="36"/>
  <c r="N306" i="36"/>
  <c r="AX430" i="36"/>
  <c r="AF97" i="36"/>
  <c r="BG563" i="36"/>
  <c r="N273" i="36"/>
  <c r="E342" i="36"/>
  <c r="BY412" i="36"/>
  <c r="AO243" i="36"/>
  <c r="W220" i="36"/>
  <c r="AO462" i="36"/>
  <c r="AX149" i="36"/>
  <c r="AO146" i="36"/>
  <c r="E464" i="36"/>
  <c r="Y9" i="26"/>
  <c r="E125" i="36"/>
  <c r="W482" i="36"/>
  <c r="V7" i="26"/>
  <c r="E443" i="36"/>
  <c r="AO411" i="36"/>
  <c r="E505" i="36"/>
  <c r="E478" i="36"/>
  <c r="BG493" i="36"/>
  <c r="W191" i="36"/>
  <c r="AX561" i="36"/>
  <c r="AO429" i="36"/>
  <c r="AX254" i="36"/>
  <c r="BY120" i="36"/>
  <c r="BY361" i="36"/>
  <c r="E111" i="36"/>
  <c r="AX421" i="36"/>
  <c r="AO186" i="36"/>
  <c r="AX584" i="36"/>
  <c r="V5" i="26"/>
  <c r="AX66" i="36"/>
  <c r="AO140" i="36"/>
  <c r="BY143" i="36"/>
  <c r="AX146" i="36"/>
  <c r="N190" i="36"/>
  <c r="BG586" i="36"/>
  <c r="AO489" i="36"/>
  <c r="AO242" i="36"/>
  <c r="AF464" i="36"/>
  <c r="BY355" i="36"/>
  <c r="AF265" i="36"/>
  <c r="AO184" i="36"/>
  <c r="X17" i="26"/>
  <c r="AO314" i="36"/>
  <c r="N407" i="36"/>
  <c r="Z21" i="26"/>
  <c r="N433" i="36"/>
  <c r="N157" i="36"/>
  <c r="W136" i="36"/>
  <c r="BY92" i="36"/>
  <c r="BP315" i="36"/>
  <c r="BP438" i="36"/>
  <c r="X14" i="26"/>
  <c r="N43" i="36"/>
  <c r="BP189" i="36"/>
  <c r="AF298" i="36"/>
  <c r="BY105" i="36"/>
  <c r="W407" i="36"/>
  <c r="AF505" i="36"/>
  <c r="E274" i="36"/>
  <c r="Z10" i="26"/>
  <c r="E219" i="36"/>
  <c r="E433" i="36"/>
  <c r="AX71" i="36"/>
  <c r="AX508" i="36"/>
  <c r="AO327" i="36"/>
  <c r="AX322" i="36"/>
  <c r="AO368" i="36"/>
  <c r="N132" i="36"/>
  <c r="W146" i="36"/>
  <c r="W230" i="36"/>
  <c r="N156" i="36"/>
  <c r="AX167" i="36"/>
  <c r="AF294" i="36"/>
  <c r="AO542" i="36"/>
  <c r="AO160" i="36"/>
  <c r="BG553" i="36"/>
  <c r="BP334" i="36"/>
  <c r="E387" i="36"/>
  <c r="AO516" i="36"/>
  <c r="BP428" i="36"/>
  <c r="BP328" i="36"/>
  <c r="AX263" i="36"/>
  <c r="E445" i="36"/>
  <c r="BG497" i="36"/>
  <c r="BY229" i="36"/>
  <c r="AX404" i="36"/>
  <c r="BP472" i="36"/>
  <c r="BY326" i="36"/>
  <c r="N477" i="36"/>
  <c r="E356" i="36"/>
  <c r="Z7" i="26"/>
  <c r="AF303" i="36"/>
  <c r="AF431" i="36"/>
  <c r="AF113" i="36"/>
  <c r="E191" i="36"/>
  <c r="BG224" i="36"/>
  <c r="W430" i="36"/>
  <c r="AF471" i="36"/>
  <c r="BG487" i="36"/>
  <c r="V21" i="26"/>
  <c r="E308" i="36"/>
  <c r="AO510" i="36"/>
  <c r="E504" i="36"/>
  <c r="E123" i="36"/>
  <c r="AF232" i="36"/>
  <c r="BP60" i="36"/>
  <c r="AO410" i="36"/>
  <c r="BG314" i="36"/>
  <c r="BY283" i="36"/>
  <c r="N102" i="36"/>
  <c r="W459" i="36"/>
  <c r="E300" i="36"/>
  <c r="E151" i="36"/>
  <c r="E384" i="36"/>
  <c r="BY70" i="36"/>
  <c r="N181" i="36"/>
  <c r="W236" i="36"/>
  <c r="AF435" i="36"/>
  <c r="BG559" i="36"/>
  <c r="AO537" i="36"/>
  <c r="N422" i="36"/>
  <c r="AF499" i="36"/>
  <c r="BG547" i="36"/>
  <c r="W519" i="36"/>
  <c r="W291" i="36"/>
  <c r="BP452" i="36"/>
  <c r="N100" i="36"/>
  <c r="BG423" i="36"/>
  <c r="W357" i="36"/>
  <c r="AF547" i="36"/>
  <c r="BY113" i="36"/>
  <c r="BP422" i="36"/>
  <c r="AO478" i="36"/>
  <c r="N387" i="36"/>
  <c r="E200" i="36"/>
  <c r="W67" i="36"/>
  <c r="AO94" i="36"/>
  <c r="BG604" i="36"/>
  <c r="E402" i="36"/>
  <c r="BY129" i="36"/>
  <c r="AF493" i="36"/>
  <c r="AX153" i="36"/>
  <c r="BY322" i="36"/>
  <c r="AX467" i="36"/>
  <c r="BY401" i="36"/>
  <c r="N458" i="36"/>
  <c r="AX420" i="36"/>
  <c r="AO460" i="36"/>
  <c r="BG548" i="36"/>
  <c r="AX469" i="36"/>
  <c r="BG163" i="36"/>
  <c r="AF456" i="36"/>
  <c r="N229" i="36"/>
  <c r="AO382" i="36"/>
  <c r="BG335" i="36"/>
  <c r="W125" i="36"/>
  <c r="BY131" i="36"/>
  <c r="AO183" i="36"/>
  <c r="AX463" i="36"/>
  <c r="AX470" i="36"/>
  <c r="E317" i="36"/>
  <c r="BP390" i="36"/>
  <c r="E42" i="36"/>
  <c r="BG474" i="36"/>
  <c r="AO541" i="36"/>
  <c r="AX201" i="36"/>
  <c r="AX212" i="36"/>
  <c r="E137" i="36"/>
  <c r="AX107" i="36"/>
  <c r="BY171" i="36"/>
  <c r="N536" i="36"/>
  <c r="W199" i="36"/>
  <c r="E355" i="36"/>
  <c r="AF211" i="36"/>
  <c r="BY353" i="36"/>
  <c r="BY158" i="36"/>
  <c r="BP222" i="36"/>
  <c r="BY372" i="36"/>
  <c r="AO71" i="36"/>
  <c r="BG431" i="36"/>
  <c r="AO408" i="36"/>
  <c r="AO235" i="36"/>
  <c r="N59" i="36"/>
  <c r="N152" i="36"/>
  <c r="BP372" i="36"/>
  <c r="BY346" i="36"/>
  <c r="W431" i="36"/>
  <c r="AF403" i="36"/>
  <c r="AF453" i="36"/>
  <c r="AO132" i="36"/>
  <c r="Y4" i="26"/>
  <c r="BG557" i="36"/>
  <c r="BP368" i="36"/>
  <c r="W188" i="36"/>
  <c r="BG540" i="36"/>
  <c r="E454" i="36"/>
  <c r="N58" i="36"/>
  <c r="AX165" i="36"/>
  <c r="AF93" i="36"/>
  <c r="N154" i="36"/>
  <c r="W293" i="36"/>
  <c r="W483" i="36"/>
  <c r="BG518" i="36"/>
  <c r="AX425" i="36"/>
  <c r="Y19" i="26"/>
  <c r="BG222" i="36"/>
  <c r="AF60" i="36"/>
  <c r="AF199" i="36"/>
  <c r="BP141" i="36"/>
  <c r="E501" i="36"/>
  <c r="N290" i="36"/>
  <c r="AO272" i="36"/>
  <c r="E376" i="36"/>
  <c r="E44" i="36"/>
  <c r="AO467" i="36"/>
  <c r="AF554" i="36"/>
  <c r="N475" i="36"/>
  <c r="W524" i="36"/>
  <c r="W500" i="36"/>
  <c r="AA18" i="26"/>
  <c r="E428" i="36"/>
  <c r="W458" i="36"/>
  <c r="BG252" i="36"/>
  <c r="AX98" i="36"/>
  <c r="BG350" i="36"/>
  <c r="BG316" i="36"/>
  <c r="BP424" i="36"/>
  <c r="W480" i="36"/>
  <c r="AX148" i="36"/>
  <c r="AF517" i="36"/>
  <c r="N408" i="36"/>
  <c r="BG98" i="36"/>
  <c r="AX246" i="36"/>
  <c r="AF449" i="36"/>
  <c r="AO141" i="36"/>
  <c r="BY142" i="36"/>
  <c r="AO456" i="36"/>
  <c r="BG516" i="36"/>
  <c r="W414" i="36"/>
  <c r="N316" i="36"/>
  <c r="AF243" i="36"/>
  <c r="BP401" i="36"/>
  <c r="E182" i="36"/>
  <c r="AO413" i="36"/>
  <c r="BG169" i="36"/>
  <c r="AF207" i="36"/>
  <c r="V10" i="26"/>
  <c r="AO91" i="36"/>
  <c r="W97" i="36"/>
  <c r="W489" i="36"/>
  <c r="E181" i="36"/>
  <c r="AO110" i="36"/>
  <c r="BY388" i="36"/>
  <c r="BG464" i="36"/>
  <c r="BG413" i="36"/>
  <c r="AO64" i="36"/>
  <c r="AX262" i="36"/>
  <c r="W227" i="36"/>
  <c r="AX462" i="36"/>
  <c r="AO276" i="36"/>
  <c r="AF258" i="36"/>
  <c r="AF179" i="36"/>
  <c r="AF227" i="36"/>
  <c r="BY365" i="36"/>
  <c r="AF238" i="36"/>
  <c r="BG257" i="36"/>
  <c r="W21" i="26"/>
  <c r="AO406" i="36"/>
  <c r="W481" i="36"/>
  <c r="BY180" i="36"/>
  <c r="BY234" i="36"/>
  <c r="AF476" i="36"/>
  <c r="AX214" i="36"/>
  <c r="W204" i="36"/>
  <c r="N202" i="36"/>
  <c r="BG491" i="36"/>
  <c r="AX325" i="36"/>
  <c r="N424" i="36"/>
  <c r="BP137" i="36"/>
  <c r="BG505" i="36"/>
  <c r="AX284" i="36"/>
  <c r="AF497" i="36"/>
  <c r="AO256" i="36"/>
  <c r="E369" i="36"/>
  <c r="AF103" i="36"/>
  <c r="W98" i="36"/>
  <c r="N64" i="36"/>
  <c r="N384" i="36"/>
  <c r="N352" i="36"/>
  <c r="AF239" i="36"/>
  <c r="W259" i="36"/>
  <c r="AX225" i="36"/>
  <c r="BP308" i="36"/>
  <c r="BP359" i="36"/>
  <c r="N439" i="36"/>
  <c r="BP433" i="36"/>
  <c r="AX415" i="36"/>
  <c r="W257" i="36"/>
  <c r="AX428" i="36"/>
  <c r="BY206" i="36"/>
  <c r="AO207" i="36"/>
  <c r="BY38" i="36"/>
  <c r="BP150" i="36"/>
  <c r="W382" i="36"/>
  <c r="N474" i="36"/>
  <c r="E421" i="36"/>
  <c r="BG215" i="36"/>
  <c r="BP325" i="36"/>
  <c r="BG402" i="36"/>
  <c r="N359" i="36"/>
  <c r="W360" i="36"/>
  <c r="E245" i="36"/>
  <c r="N134" i="36"/>
  <c r="AO442" i="36"/>
  <c r="W507" i="36"/>
  <c r="AF266" i="36"/>
  <c r="AO201" i="36"/>
  <c r="W546" i="36"/>
  <c r="BY359" i="36"/>
  <c r="AO251" i="36"/>
  <c r="BG201" i="36"/>
  <c r="AF327" i="36"/>
  <c r="E374" i="36"/>
  <c r="BY271" i="36"/>
  <c r="BP373" i="36"/>
  <c r="E131" i="36"/>
  <c r="AO452" i="36"/>
  <c r="AX455" i="36"/>
  <c r="W234" i="36"/>
  <c r="N539" i="36"/>
  <c r="W184" i="36"/>
  <c r="W57" i="36"/>
  <c r="E73" i="36"/>
  <c r="BY214" i="36"/>
  <c r="BP356" i="36"/>
  <c r="BG486" i="36"/>
  <c r="W68" i="36"/>
  <c r="BG148" i="36"/>
  <c r="AO324" i="36"/>
  <c r="W138" i="36"/>
  <c r="BP76" i="36"/>
  <c r="AX487" i="36"/>
  <c r="AX587" i="36"/>
  <c r="AF186" i="36"/>
  <c r="W320" i="36"/>
  <c r="BP282" i="36"/>
  <c r="AX73" i="36"/>
  <c r="E496" i="36"/>
  <c r="N444" i="36"/>
  <c r="BG221" i="36"/>
  <c r="BG103" i="36"/>
  <c r="BG253" i="36"/>
  <c r="BY368" i="36"/>
  <c r="AO103" i="36"/>
  <c r="BP140" i="36"/>
  <c r="AX161" i="36"/>
  <c r="Z19" i="26"/>
  <c r="BG159" i="36"/>
  <c r="AO477" i="36"/>
  <c r="AO39" i="36"/>
  <c r="AO137" i="36"/>
  <c r="AX227" i="36"/>
  <c r="AO439" i="36"/>
  <c r="AO486" i="36"/>
  <c r="W445" i="36"/>
  <c r="BP395" i="36"/>
  <c r="E282" i="36"/>
  <c r="W14" i="26"/>
  <c r="BG459" i="36"/>
  <c r="N176" i="36"/>
  <c r="AA4" i="45"/>
  <c r="AF140" i="36"/>
  <c r="AF507" i="36"/>
  <c r="BY237" i="36"/>
  <c r="E456" i="36"/>
  <c r="BG599" i="36"/>
  <c r="W341" i="36"/>
  <c r="N502" i="36"/>
  <c r="AF349" i="36"/>
  <c r="N252" i="36"/>
  <c r="AF506" i="36"/>
  <c r="E539" i="36"/>
  <c r="W295" i="36"/>
  <c r="W69" i="36"/>
  <c r="BY156" i="36"/>
  <c r="BG273" i="36"/>
  <c r="BG44" i="36"/>
  <c r="BY435" i="36"/>
  <c r="W126" i="36"/>
  <c r="BY426" i="36"/>
  <c r="AO198" i="36"/>
  <c r="W365" i="36"/>
  <c r="W416" i="36"/>
  <c r="AX110" i="36"/>
  <c r="N461" i="36"/>
  <c r="N245" i="36"/>
  <c r="AX253" i="36"/>
  <c r="AF47" i="36"/>
  <c r="BY170" i="36"/>
  <c r="N65" i="36"/>
  <c r="W16" i="26"/>
  <c r="AX219" i="36"/>
  <c r="W456" i="36"/>
  <c r="BG597" i="36"/>
  <c r="W444" i="36"/>
  <c r="BP188" i="36"/>
  <c r="AO96" i="36"/>
  <c r="W147" i="36"/>
  <c r="AX72" i="36"/>
  <c r="AO333" i="36"/>
  <c r="X18" i="26"/>
  <c r="N323" i="36"/>
  <c r="N478" i="36"/>
  <c r="BY157" i="36"/>
  <c r="BG192" i="36"/>
  <c r="N412" i="36"/>
  <c r="W479" i="36"/>
  <c r="BG392" i="36"/>
  <c r="AF390" i="36"/>
  <c r="AF452" i="36"/>
  <c r="BG66" i="36"/>
  <c r="AF559" i="36"/>
  <c r="BY130" i="36"/>
  <c r="BP463" i="36"/>
  <c r="N63" i="36"/>
  <c r="AO431" i="36"/>
  <c r="AX67" i="36"/>
  <c r="E141" i="36"/>
  <c r="BP391" i="36"/>
  <c r="N139" i="36"/>
  <c r="AF70" i="36"/>
  <c r="AX331" i="36"/>
  <c r="W93" i="36"/>
  <c r="BP114" i="36"/>
  <c r="N69" i="36"/>
  <c r="W439" i="36"/>
  <c r="AX157" i="36"/>
  <c r="BP365" i="36"/>
  <c r="BY318" i="36"/>
  <c r="N372" i="36"/>
  <c r="BG609" i="36"/>
  <c r="AX422" i="36"/>
  <c r="N67" i="36"/>
  <c r="E58" i="36"/>
  <c r="AX168" i="36"/>
  <c r="BG406" i="36"/>
  <c r="AX211" i="36"/>
  <c r="AO189" i="36"/>
  <c r="AF444" i="36"/>
  <c r="N390" i="36"/>
  <c r="BY160" i="36"/>
  <c r="N73" i="36"/>
  <c r="BG477" i="36"/>
  <c r="AO506" i="36"/>
  <c r="BG203" i="36"/>
  <c r="AF386" i="36"/>
  <c r="AF190" i="36"/>
  <c r="W425" i="36"/>
  <c r="AO42" i="36"/>
  <c r="N378" i="36"/>
  <c r="AF523" i="36"/>
  <c r="AX411" i="36"/>
  <c r="BP111" i="36"/>
  <c r="E410" i="36"/>
  <c r="AX548" i="36"/>
  <c r="AO566" i="36"/>
  <c r="AO101" i="36"/>
  <c r="BG490" i="36"/>
  <c r="BP475" i="36"/>
  <c r="AX215" i="36"/>
  <c r="AX572" i="36"/>
  <c r="BY101" i="36"/>
  <c r="W540" i="36"/>
  <c r="N382" i="36"/>
  <c r="BP387" i="36"/>
  <c r="E432" i="36"/>
  <c r="BP323" i="36"/>
  <c r="BY382" i="36"/>
  <c r="AO143" i="36"/>
  <c r="W232" i="36"/>
  <c r="BG570" i="36"/>
  <c r="AF466" i="36"/>
  <c r="W455" i="36"/>
  <c r="BP322" i="36"/>
  <c r="BP44" i="36"/>
  <c r="BY292" i="36"/>
  <c r="BP42" i="36"/>
  <c r="N321" i="36"/>
  <c r="E423" i="36"/>
  <c r="BY331" i="36"/>
  <c r="AF152" i="36"/>
  <c r="AX60" i="36"/>
  <c r="AX309" i="36"/>
  <c r="W197" i="36"/>
  <c r="AO372" i="36"/>
  <c r="AX552" i="36"/>
  <c r="AO192" i="36"/>
  <c r="AF332" i="36"/>
  <c r="W432" i="36"/>
  <c r="AX384" i="36"/>
  <c r="AO572" i="36"/>
  <c r="W543" i="36"/>
  <c r="AO339" i="36"/>
  <c r="E417" i="36"/>
  <c r="N437" i="36"/>
  <c r="AF249" i="36"/>
  <c r="E126" i="36"/>
  <c r="BY399" i="36"/>
  <c r="BG319" i="36"/>
  <c r="E147" i="36"/>
  <c r="BY177" i="36"/>
  <c r="BY153" i="36"/>
  <c r="BY317" i="36"/>
  <c r="BG507" i="36"/>
  <c r="AX474" i="36"/>
  <c r="N518" i="36"/>
  <c r="BY409" i="36"/>
  <c r="BY376" i="36"/>
  <c r="BY387" i="36"/>
  <c r="BP426" i="36"/>
  <c r="N149" i="36"/>
  <c r="BY87" i="36"/>
  <c r="AX145" i="36"/>
  <c r="BP362" i="36"/>
  <c r="E345" i="36"/>
  <c r="E177" i="36"/>
  <c r="BY91" i="36"/>
  <c r="AX152" i="36"/>
  <c r="AO507" i="36"/>
  <c r="BP63" i="36"/>
  <c r="AF147" i="36"/>
  <c r="AX163" i="36"/>
  <c r="E411" i="36"/>
  <c r="Y16" i="26"/>
  <c r="N95" i="36"/>
  <c r="AO412" i="36"/>
  <c r="W337" i="36"/>
  <c r="E236" i="36"/>
  <c r="N260" i="36"/>
  <c r="AX492" i="36"/>
  <c r="AX97" i="36"/>
  <c r="N338" i="36"/>
  <c r="AX488" i="36"/>
  <c r="AO573" i="36"/>
  <c r="N274" i="36"/>
  <c r="BG251" i="36"/>
  <c r="AX358" i="36"/>
  <c r="W187" i="36"/>
  <c r="BG144" i="36"/>
  <c r="AX197" i="36"/>
  <c r="N428" i="36"/>
  <c r="N454" i="36"/>
  <c r="BG489" i="36"/>
  <c r="N416" i="36"/>
  <c r="BG275" i="36"/>
  <c r="V19" i="26"/>
  <c r="W130" i="36"/>
  <c r="E109" i="36"/>
  <c r="BG212" i="36"/>
  <c r="AO152" i="36"/>
  <c r="AX44" i="36"/>
  <c r="BY334" i="36"/>
  <c r="BY227" i="36"/>
  <c r="BG424" i="36"/>
  <c r="W436" i="36"/>
  <c r="AO475" i="36"/>
  <c r="AX484" i="36"/>
  <c r="E406" i="36"/>
  <c r="BY49" i="36"/>
  <c r="BY333" i="36"/>
  <c r="BG156" i="36"/>
  <c r="BG537" i="36"/>
  <c r="AF209" i="36"/>
  <c r="AF402" i="36"/>
  <c r="W4" i="26"/>
  <c r="BP380" i="36"/>
  <c r="BY425" i="36"/>
  <c r="AA6" i="26"/>
  <c r="AX610" i="36"/>
  <c r="BG348" i="36"/>
  <c r="E475" i="36"/>
  <c r="AF528" i="36"/>
  <c r="AX114" i="36"/>
  <c r="AF188" i="36"/>
  <c r="AF133" i="36"/>
  <c r="BP62" i="36"/>
  <c r="AO567" i="36"/>
  <c r="AF158" i="36"/>
  <c r="N501" i="36"/>
  <c r="AX258" i="36"/>
  <c r="AO98" i="36"/>
  <c r="AA4" i="26"/>
  <c r="AO568" i="36"/>
  <c r="E105" i="36"/>
  <c r="W145" i="36"/>
  <c r="N380" i="36"/>
  <c r="W384" i="36"/>
  <c r="N447" i="36"/>
  <c r="BG72" i="36"/>
  <c r="BP95" i="36"/>
  <c r="BY415" i="36"/>
  <c r="AO131" i="36"/>
  <c r="N221" i="36"/>
  <c r="AX499" i="36"/>
  <c r="AF191" i="36"/>
  <c r="AF185" i="36"/>
  <c r="E379" i="36"/>
  <c r="E103" i="36"/>
  <c r="E185" i="36"/>
  <c r="BG456" i="36"/>
  <c r="AO487" i="36"/>
  <c r="AX117" i="36"/>
  <c r="AO482" i="36"/>
  <c r="AO554" i="36"/>
  <c r="BP109" i="36"/>
  <c r="AF468" i="36"/>
  <c r="BY441" i="36"/>
  <c r="E243" i="36"/>
  <c r="BP467" i="36"/>
  <c r="AF287" i="36"/>
  <c r="AX332" i="36"/>
  <c r="BG280" i="36"/>
  <c r="AF283" i="36"/>
  <c r="BY449" i="36"/>
  <c r="BY197" i="36"/>
  <c r="N292" i="36"/>
  <c r="BY345" i="36"/>
  <c r="AO159" i="36"/>
  <c r="BY438" i="36"/>
  <c r="W525" i="36"/>
  <c r="AA7" i="26"/>
  <c r="N499" i="36"/>
  <c r="W377" i="36"/>
  <c r="BP67" i="36"/>
  <c r="BG331" i="36"/>
  <c r="AF378" i="36"/>
  <c r="W448" i="36"/>
  <c r="E206" i="36"/>
  <c r="BP177" i="36"/>
  <c r="AO463" i="36"/>
  <c r="AF496" i="36"/>
  <c r="E288" i="36"/>
  <c r="AO398" i="36"/>
  <c r="BP147" i="36"/>
  <c r="AX498" i="36"/>
  <c r="BG436" i="36"/>
  <c r="AO308" i="36"/>
  <c r="W421" i="36"/>
  <c r="E474" i="36"/>
  <c r="AO116" i="36"/>
  <c r="AF465" i="36"/>
  <c r="BY327" i="36"/>
  <c r="W127" i="36"/>
  <c r="W192" i="36"/>
  <c r="BY231" i="36"/>
  <c r="AX192" i="36"/>
  <c r="BP309" i="36"/>
  <c r="BY225" i="36"/>
  <c r="BG409" i="36"/>
  <c r="AX483" i="36"/>
  <c r="BY109" i="36"/>
  <c r="BP272" i="36"/>
  <c r="E132" i="36"/>
  <c r="W158" i="36"/>
  <c r="N389" i="36"/>
  <c r="N232" i="36"/>
  <c r="AF110" i="36"/>
  <c r="BY230" i="36"/>
  <c r="BY422" i="36"/>
  <c r="AX62" i="36"/>
  <c r="BP455" i="36"/>
  <c r="W151" i="36"/>
  <c r="N383" i="36"/>
  <c r="AO60" i="36"/>
  <c r="BP66" i="36"/>
  <c r="N504" i="36"/>
  <c r="N138" i="36"/>
  <c r="BG119" i="36"/>
  <c r="E144" i="36"/>
  <c r="BG495" i="36"/>
  <c r="E286" i="36"/>
  <c r="BP106" i="36"/>
  <c r="N180" i="36"/>
  <c r="W205" i="36"/>
  <c r="AF361" i="36"/>
  <c r="BP68" i="36"/>
  <c r="W63" i="36"/>
  <c r="AF178" i="36"/>
  <c r="AX224" i="36"/>
  <c r="N183" i="36"/>
  <c r="E422" i="36"/>
  <c r="BY275" i="36"/>
  <c r="AO111" i="36"/>
  <c r="AX260" i="36"/>
  <c r="E74" i="36"/>
  <c r="BY147" i="36"/>
  <c r="AX434" i="36"/>
  <c r="BP462" i="36"/>
  <c r="AF98" i="36"/>
  <c r="W109" i="36"/>
  <c r="BP99" i="36"/>
  <c r="X4" i="26"/>
  <c r="BG433" i="36"/>
  <c r="BG166" i="36"/>
  <c r="W403" i="36"/>
  <c r="N445" i="36"/>
  <c r="BP232" i="36"/>
  <c r="W194" i="36"/>
  <c r="AF352" i="36"/>
  <c r="E189" i="36"/>
  <c r="AF331" i="36"/>
  <c r="AX268" i="36"/>
  <c r="AO336" i="36"/>
  <c r="N525" i="36"/>
  <c r="W59" i="36"/>
  <c r="AX103" i="36"/>
  <c r="E305" i="36"/>
  <c r="BG417" i="36"/>
  <c r="W387" i="36"/>
  <c r="BY186" i="36"/>
  <c r="N107" i="36"/>
  <c r="W66" i="36"/>
  <c r="W237" i="36"/>
  <c r="E373" i="36"/>
  <c r="N206" i="36"/>
  <c r="AX426" i="36"/>
  <c r="BG589" i="36"/>
  <c r="BG310" i="36"/>
  <c r="BY342" i="36"/>
  <c r="BP326" i="36"/>
  <c r="BP436" i="36"/>
  <c r="AF196" i="36"/>
  <c r="W124" i="36"/>
  <c r="AX493" i="36"/>
  <c r="N546" i="36"/>
  <c r="AF151" i="36"/>
  <c r="BG146" i="36"/>
  <c r="N173" i="36"/>
  <c r="Y7" i="26"/>
  <c r="W359" i="36"/>
  <c r="BG470" i="36"/>
  <c r="BY148" i="36"/>
  <c r="AF436" i="36"/>
  <c r="N482" i="36"/>
  <c r="W418" i="36"/>
  <c r="W110" i="36"/>
  <c r="E287" i="36"/>
  <c r="AO115" i="36"/>
  <c r="BY118" i="36"/>
  <c r="BY298" i="36"/>
  <c r="N432" i="36"/>
  <c r="N435" i="36"/>
  <c r="BY111" i="36"/>
  <c r="AF128" i="36"/>
  <c r="AO400" i="36"/>
  <c r="W426" i="36"/>
  <c r="BP73" i="36"/>
  <c r="N93" i="36"/>
  <c r="AF388" i="36"/>
  <c r="AF143" i="36"/>
  <c r="W437" i="36"/>
  <c r="Z4" i="26"/>
  <c r="BG68" i="36"/>
  <c r="N453" i="36"/>
  <c r="N283" i="36"/>
  <c r="AF114" i="36"/>
  <c r="E378" i="36"/>
  <c r="BG290" i="36"/>
  <c r="BY103" i="36"/>
  <c r="BG430" i="36"/>
  <c r="AX458" i="36"/>
  <c r="AX158" i="36"/>
  <c r="E258" i="36"/>
  <c r="W438" i="36"/>
  <c r="BP210" i="36"/>
  <c r="BY256" i="36"/>
  <c r="AX144" i="36"/>
  <c r="BY184" i="36"/>
  <c r="N483" i="36"/>
  <c r="BY423" i="36"/>
  <c r="AO322" i="36"/>
  <c r="N386" i="36"/>
  <c r="BY212" i="36"/>
  <c r="AO148" i="36"/>
  <c r="AF446" i="36"/>
  <c r="N438" i="36"/>
  <c r="AF424" i="36"/>
  <c r="E59" i="36"/>
  <c r="BY167" i="36"/>
  <c r="AF430" i="36"/>
  <c r="BY185" i="36"/>
  <c r="AF440" i="36"/>
  <c r="W113" i="36"/>
  <c r="AF317" i="36"/>
  <c r="BG71" i="36"/>
  <c r="X7" i="26"/>
  <c r="BG324" i="36"/>
  <c r="W381" i="36"/>
  <c r="AO444" i="36"/>
  <c r="E413" i="36"/>
  <c r="BY431" i="36"/>
  <c r="AF373" i="36"/>
  <c r="W420" i="36"/>
  <c r="AF296" i="36"/>
  <c r="N90" i="36"/>
  <c r="BG164" i="36"/>
  <c r="BP327" i="36"/>
  <c r="E199" i="36"/>
  <c r="BY391" i="36"/>
  <c r="BG318" i="36"/>
  <c r="AO237" i="36"/>
  <c r="W299" i="36"/>
  <c r="AF474" i="36"/>
  <c r="BG313" i="36"/>
  <c r="AF109" i="36"/>
  <c r="V17" i="26"/>
  <c r="W5" i="26"/>
  <c r="BG289" i="36"/>
  <c r="AO136" i="36"/>
  <c r="W206" i="36"/>
  <c r="BY304" i="36"/>
  <c r="AO527" i="36"/>
  <c r="E204" i="36"/>
  <c r="W139" i="36"/>
  <c r="BY117" i="36"/>
  <c r="N479" i="36"/>
  <c r="AF137" i="36"/>
  <c r="AO238" i="36"/>
  <c r="Y22" i="26"/>
  <c r="AO165" i="36"/>
  <c r="BY62" i="36"/>
  <c r="BY329" i="36"/>
  <c r="V8" i="26"/>
  <c r="AF161" i="36"/>
  <c r="Y14" i="26"/>
  <c r="E434" i="36"/>
  <c r="E326" i="36"/>
  <c r="W428" i="36"/>
  <c r="X10" i="26"/>
  <c r="Y21" i="26"/>
  <c r="V20" i="26"/>
  <c r="V4" i="26"/>
  <c r="AA22" i="26"/>
  <c r="N362" i="36"/>
  <c r="N185" i="36"/>
  <c r="X23" i="26"/>
  <c r="E299" i="36"/>
  <c r="W406" i="36"/>
  <c r="AF427" i="36"/>
  <c r="N226" i="36"/>
  <c r="AX504" i="36"/>
  <c r="AF104" i="36"/>
  <c r="BG249" i="36"/>
  <c r="N193" i="36"/>
  <c r="AO315" i="36"/>
  <c r="BY82" i="36"/>
  <c r="AO402" i="36"/>
  <c r="AF509" i="36"/>
  <c r="AO247" i="36"/>
  <c r="E403" i="36"/>
  <c r="AO249" i="36"/>
  <c r="W150" i="36"/>
  <c r="W487" i="36"/>
  <c r="AX69" i="36"/>
  <c r="AF141" i="36"/>
  <c r="N140" i="36"/>
  <c r="W278" i="36"/>
  <c r="AF212" i="36"/>
  <c r="E248" i="36"/>
  <c r="BY115" i="36"/>
  <c r="AX112" i="36"/>
  <c r="AO205" i="36"/>
  <c r="BY349" i="36"/>
  <c r="N411" i="36"/>
  <c r="AF396" i="36"/>
  <c r="W200" i="36"/>
  <c r="BG95" i="36"/>
  <c r="W484" i="36"/>
  <c r="BG323" i="36"/>
  <c r="BG500" i="36"/>
  <c r="AO210" i="36"/>
  <c r="W133" i="36"/>
  <c r="AO434" i="36"/>
  <c r="BG205" i="36"/>
  <c r="W422" i="36"/>
  <c r="N74" i="36"/>
  <c r="E400" i="36"/>
  <c r="N125" i="36"/>
  <c r="BG434" i="36"/>
  <c r="BG271" i="36"/>
  <c r="AX75" i="36"/>
  <c r="N105" i="36"/>
  <c r="N381" i="36"/>
  <c r="AX406" i="36"/>
  <c r="AX553" i="36"/>
  <c r="N263" i="36"/>
  <c r="Y18" i="26"/>
  <c r="BG461" i="36"/>
  <c r="W135" i="36"/>
  <c r="N136" i="36"/>
  <c r="W20" i="26"/>
  <c r="W19" i="26"/>
  <c r="AF321" i="36"/>
  <c r="AX319" i="36"/>
  <c r="AX510" i="36"/>
  <c r="N305" i="36"/>
  <c r="BP65" i="36"/>
  <c r="AO270" i="36"/>
  <c r="AO526" i="36"/>
  <c r="BY88" i="36"/>
  <c r="BP185" i="36"/>
  <c r="W39" i="36"/>
  <c r="BP277" i="36"/>
  <c r="BP225" i="36"/>
  <c r="AO93" i="36"/>
  <c r="W91" i="36"/>
  <c r="E223" i="36"/>
  <c r="BY187" i="36"/>
  <c r="E57" i="36"/>
  <c r="BG143" i="36"/>
  <c r="BY257" i="36"/>
  <c r="AX109" i="36"/>
  <c r="E193" i="36"/>
  <c r="BP374" i="36"/>
  <c r="BG158" i="36"/>
  <c r="BP180" i="36"/>
  <c r="BP219" i="36"/>
  <c r="AA17" i="26"/>
  <c r="E490" i="36"/>
  <c r="N391" i="36"/>
  <c r="AO455" i="36"/>
  <c r="N201" i="36"/>
  <c r="AX147" i="36"/>
  <c r="BP376" i="36"/>
  <c r="AF208" i="36"/>
  <c r="BY314" i="36"/>
  <c r="W389" i="36"/>
  <c r="AF293" i="36"/>
  <c r="E532" i="36"/>
  <c r="BG568" i="36"/>
  <c r="N476" i="36"/>
  <c r="Z12" i="26"/>
  <c r="AO509" i="36"/>
  <c r="W128" i="36"/>
  <c r="BG475" i="36"/>
  <c r="W402" i="36"/>
  <c r="Y17" i="26"/>
  <c r="AA19" i="26"/>
  <c r="BY324" i="36"/>
  <c r="N281" i="36"/>
  <c r="BP119" i="36"/>
  <c r="W228" i="36"/>
  <c r="W224" i="36"/>
  <c r="E65" i="36"/>
  <c r="AA14" i="26"/>
  <c r="AA23" i="26"/>
  <c r="W226" i="36"/>
  <c r="W412" i="36"/>
  <c r="N418" i="36"/>
  <c r="BG162" i="36"/>
  <c r="N261" i="36"/>
  <c r="AO430" i="36"/>
  <c r="E280" i="36"/>
  <c r="BG503" i="36"/>
  <c r="BY60" i="36"/>
  <c r="E70" i="36"/>
  <c r="BG543" i="36"/>
  <c r="AX155" i="36"/>
  <c r="BP460" i="36"/>
  <c r="X20" i="26"/>
  <c r="BY360" i="36"/>
  <c r="E415" i="36"/>
  <c r="BP392" i="36"/>
  <c r="E523" i="36"/>
  <c r="W502" i="36"/>
  <c r="BY319" i="36"/>
  <c r="AX280" i="36"/>
  <c r="BY265" i="36"/>
  <c r="BP329" i="36"/>
  <c r="E321" i="36"/>
  <c r="N356" i="36"/>
  <c r="W400" i="36"/>
  <c r="BY242" i="36"/>
  <c r="N196" i="36"/>
  <c r="E134" i="36"/>
  <c r="AF539" i="36"/>
  <c r="E194" i="36"/>
  <c r="N126" i="36"/>
  <c r="E503" i="36"/>
  <c r="BY389" i="36"/>
  <c r="AO304" i="36"/>
  <c r="AF162" i="36"/>
  <c r="E429" i="36"/>
  <c r="N191" i="36"/>
  <c r="BY371" i="36"/>
  <c r="BY127" i="36"/>
  <c r="W440" i="36"/>
  <c r="BG421" i="36"/>
  <c r="BP96" i="36"/>
  <c r="BG469" i="36"/>
  <c r="N62" i="36"/>
  <c r="AF358" i="36"/>
  <c r="W434" i="36"/>
  <c r="BG504" i="36"/>
  <c r="E424" i="36"/>
  <c r="E427" i="36"/>
  <c r="N413" i="36"/>
  <c r="E509" i="36"/>
  <c r="BG509" i="36"/>
  <c r="N66" i="36"/>
  <c r="BY169" i="36"/>
  <c r="E416" i="36"/>
  <c r="W280" i="36"/>
  <c r="W108" i="36"/>
  <c r="AO147" i="36"/>
  <c r="BY124" i="36"/>
  <c r="BG218" i="36"/>
  <c r="AA21" i="26"/>
  <c r="BG168" i="36"/>
  <c r="Z17" i="26"/>
  <c r="BG416" i="36"/>
  <c r="W451" i="36"/>
  <c r="CH200" i="36"/>
  <c r="BG551" i="36"/>
  <c r="W106" i="36"/>
  <c r="E61" i="36"/>
  <c r="AX141" i="36"/>
  <c r="E254" i="36"/>
  <c r="W308" i="36"/>
  <c r="BG165" i="36"/>
  <c r="V23" i="26"/>
  <c r="N506" i="36"/>
  <c r="E149" i="36"/>
  <c r="AO158" i="36"/>
  <c r="AX68" i="36"/>
  <c r="N284" i="36"/>
  <c r="N129" i="36"/>
  <c r="E108" i="36"/>
  <c r="Z22" i="26"/>
  <c r="W279" i="36"/>
  <c r="AF139" i="36"/>
  <c r="AX473" i="36"/>
  <c r="V15" i="26"/>
  <c r="BY352" i="36"/>
  <c r="N511" i="36"/>
  <c r="AF558" i="36"/>
  <c r="N403" i="36"/>
  <c r="BG99" i="36"/>
  <c r="E133" i="36"/>
  <c r="N61" i="36"/>
  <c r="E156" i="36"/>
  <c r="W189" i="36"/>
  <c r="AF202" i="36"/>
  <c r="N538" i="36"/>
  <c r="AO162" i="36"/>
  <c r="N57" i="36"/>
  <c r="BY247" i="36"/>
  <c r="AX269" i="36"/>
  <c r="AO520" i="36"/>
  <c r="AO274" i="36"/>
  <c r="BG216" i="36"/>
  <c r="W283" i="36"/>
  <c r="AF400" i="36"/>
  <c r="AX137" i="36"/>
  <c r="AF362" i="36"/>
  <c r="BP355" i="36"/>
  <c r="W346" i="36"/>
  <c r="AO133" i="36"/>
  <c r="W111" i="36"/>
  <c r="AX138" i="36"/>
  <c r="W71" i="36"/>
  <c r="BG223" i="36"/>
  <c r="AX482" i="36"/>
  <c r="N512" i="36"/>
  <c r="BY366" i="36"/>
  <c r="N68" i="36"/>
  <c r="BY421" i="36"/>
  <c r="AO533" i="36"/>
  <c r="W149" i="36"/>
  <c r="W315" i="36"/>
  <c r="E290" i="36"/>
  <c r="W7" i="26"/>
  <c r="AX497" i="36"/>
  <c r="W368" i="36"/>
  <c r="BY166" i="36"/>
  <c r="AF71" i="36"/>
  <c r="BY58" i="36"/>
  <c r="W13" i="26"/>
  <c r="N142" i="36"/>
  <c r="BG499" i="36"/>
  <c r="AO574" i="36"/>
  <c r="AF189" i="36"/>
  <c r="BY188" i="36"/>
  <c r="X9" i="26"/>
  <c r="AF366" i="36"/>
  <c r="BY240" i="36"/>
  <c r="BP174" i="36"/>
  <c r="BP146" i="36"/>
  <c r="W390" i="36"/>
  <c r="E276" i="36"/>
  <c r="AF532" i="36"/>
  <c r="BY139" i="36"/>
  <c r="E112" i="36"/>
  <c r="AX457" i="36"/>
  <c r="X8" i="26"/>
  <c r="AO465" i="36"/>
  <c r="AO63" i="36"/>
  <c r="BG418" i="36"/>
  <c r="E110" i="36"/>
  <c r="N341" i="36"/>
  <c r="AF144" i="36"/>
  <c r="BY286" i="36"/>
  <c r="N257" i="36"/>
  <c r="AX569" i="36"/>
  <c r="AO518" i="36"/>
  <c r="V12" i="26"/>
  <c r="W203" i="36"/>
  <c r="N41" i="36"/>
  <c r="Z16" i="26"/>
  <c r="BG420" i="36"/>
  <c r="W222" i="36"/>
  <c r="W58" i="36"/>
  <c r="BY268" i="36"/>
  <c r="AX261" i="36"/>
  <c r="N147" i="36"/>
  <c r="X11" i="26"/>
  <c r="BG97" i="36"/>
  <c r="E448" i="36"/>
  <c r="AO472" i="36"/>
  <c r="V16" i="26"/>
  <c r="AO532" i="36"/>
  <c r="AX410" i="36"/>
  <c r="BY323" i="36"/>
  <c r="N151" i="36"/>
  <c r="AF234" i="36"/>
  <c r="N101" i="36"/>
  <c r="AX255" i="36"/>
  <c r="AX460" i="36"/>
  <c r="N541" i="36"/>
  <c r="AO445" i="36"/>
  <c r="BY123" i="36"/>
  <c r="AF193" i="36"/>
  <c r="BY418" i="36"/>
  <c r="BG564" i="36"/>
  <c r="BG454" i="36"/>
  <c r="W361" i="36"/>
  <c r="AO190" i="36"/>
  <c r="E187" i="36"/>
  <c r="BG286" i="36"/>
  <c r="BY321" i="36"/>
  <c r="BG114" i="36"/>
  <c r="BG209" i="36"/>
  <c r="BY348" i="36"/>
  <c r="BG147" i="36"/>
  <c r="AO277" i="36"/>
  <c r="Y13" i="26"/>
  <c r="AX490" i="36"/>
  <c r="W225" i="36"/>
  <c r="AO449" i="36"/>
  <c r="BG608" i="36"/>
  <c r="BG138" i="36"/>
  <c r="N452" i="36"/>
  <c r="E430" i="36"/>
  <c r="BG382" i="36"/>
  <c r="N446" i="36"/>
  <c r="AX150" i="36"/>
  <c r="E408" i="36"/>
  <c r="BG145" i="36"/>
  <c r="AX517" i="36"/>
  <c r="N376" i="36"/>
  <c r="BP74" i="36"/>
  <c r="BP47" i="36"/>
  <c r="BP176" i="36"/>
  <c r="BP330" i="36"/>
  <c r="E512" i="36"/>
  <c r="BG514" i="36"/>
  <c r="W99" i="36"/>
  <c r="X21" i="26"/>
  <c r="AF395" i="36"/>
  <c r="Z6" i="26"/>
  <c r="BG339" i="36"/>
  <c r="AO74" i="36"/>
  <c r="BG354" i="36"/>
  <c r="W134" i="36"/>
  <c r="W179" i="36"/>
  <c r="N520" i="36"/>
  <c r="W413" i="36"/>
  <c r="BY386" i="36"/>
  <c r="BG481" i="36"/>
  <c r="AF455" i="36"/>
  <c r="E370" i="36"/>
  <c r="BP370" i="36"/>
  <c r="V22" i="26"/>
  <c r="AO164" i="36"/>
  <c r="Z23" i="26"/>
  <c r="AO469" i="36"/>
  <c r="BY378" i="36"/>
  <c r="X22" i="26"/>
  <c r="BY110" i="36"/>
  <c r="AO206" i="36"/>
  <c r="N238" i="36"/>
  <c r="BP429" i="36"/>
  <c r="BY209" i="36"/>
  <c r="W235" i="36"/>
  <c r="BP143" i="36"/>
  <c r="BP332" i="36"/>
  <c r="BP335" i="36"/>
  <c r="N236" i="36"/>
  <c r="N402" i="36"/>
  <c r="AF448" i="36"/>
  <c r="E197" i="36"/>
  <c r="AO479" i="36"/>
  <c r="W427" i="36"/>
  <c r="AX435" i="36"/>
  <c r="BP385" i="36"/>
  <c r="AF555" i="36"/>
  <c r="AO218" i="36"/>
  <c r="BG115" i="36"/>
  <c r="AX118" i="36"/>
  <c r="BP459" i="36"/>
  <c r="AA8" i="26"/>
  <c r="W433" i="36"/>
  <c r="AX249" i="36"/>
  <c r="AF63" i="36"/>
  <c r="AO476" i="36"/>
  <c r="AF432" i="36"/>
  <c r="AF422" i="36"/>
  <c r="AO539" i="36"/>
  <c r="AF443" i="36"/>
  <c r="AO139" i="36"/>
  <c r="W508" i="36"/>
  <c r="W172" i="36"/>
  <c r="BG111" i="36"/>
  <c r="BP337" i="36"/>
  <c r="AX427" i="36"/>
  <c r="AO193" i="36"/>
  <c r="AA16" i="26"/>
  <c r="Z9" i="26"/>
  <c r="E517" i="36"/>
  <c r="N275" i="36"/>
  <c r="AO45" i="36"/>
  <c r="AO70" i="36"/>
  <c r="W529" i="36"/>
  <c r="AO565" i="36"/>
  <c r="BG479" i="36"/>
  <c r="BG142" i="36"/>
  <c r="AX312" i="36"/>
  <c r="BP434" i="36"/>
  <c r="AO271" i="36"/>
  <c r="N498" i="36"/>
  <c r="BP421" i="36"/>
  <c r="AO405" i="36"/>
  <c r="AX471" i="36"/>
  <c r="AX486" i="36"/>
  <c r="N311" i="36"/>
  <c r="AO185" i="36"/>
  <c r="E391" i="36"/>
  <c r="BP71" i="36"/>
  <c r="AO367" i="36"/>
  <c r="E446" i="36"/>
  <c r="N137" i="36"/>
  <c r="AX574" i="36"/>
  <c r="BP336" i="36"/>
  <c r="AO492" i="36"/>
  <c r="AO154" i="36"/>
  <c r="E143" i="36"/>
  <c r="BP72" i="36"/>
  <c r="BP430" i="36"/>
  <c r="AX387" i="36"/>
  <c r="BG248" i="36"/>
  <c r="E359" i="36"/>
  <c r="BP139" i="36"/>
  <c r="BY128" i="36"/>
  <c r="AX515" i="36"/>
  <c r="W450" i="36"/>
  <c r="E412" i="36"/>
  <c r="AF391" i="36"/>
  <c r="BG457" i="36"/>
  <c r="AF316" i="36"/>
  <c r="BG462" i="36"/>
  <c r="N496" i="36"/>
  <c r="BP360" i="36"/>
  <c r="BG575" i="36"/>
  <c r="BG574" i="36"/>
  <c r="AX476" i="36"/>
  <c r="E537" i="36"/>
  <c r="E201" i="36"/>
  <c r="AO187" i="36"/>
  <c r="BY233" i="36"/>
  <c r="AA10" i="26"/>
  <c r="CH172" i="36"/>
  <c r="AO149" i="36"/>
  <c r="BG150" i="36"/>
  <c r="E450" i="36"/>
  <c r="BY316" i="36"/>
  <c r="AO361" i="36"/>
  <c r="AX539" i="36"/>
  <c r="BP394" i="36"/>
  <c r="AO105" i="36"/>
  <c r="Z14" i="26"/>
  <c r="N379" i="36"/>
  <c r="AF64" i="36"/>
  <c r="W155" i="36"/>
  <c r="AO246" i="36"/>
  <c r="AO166" i="36"/>
  <c r="AF157" i="36"/>
  <c r="AX279" i="36"/>
  <c r="E66" i="36"/>
  <c r="E142" i="36"/>
  <c r="W87" i="36"/>
  <c r="BG45" i="36"/>
  <c r="BY55" i="36"/>
  <c r="AF469" i="36"/>
  <c r="BG195" i="36"/>
  <c r="BY238" i="36"/>
  <c r="N434" i="36"/>
  <c r="BY95" i="36"/>
  <c r="BP363" i="36"/>
  <c r="N276" i="36"/>
  <c r="AA20" i="26"/>
  <c r="AF67" i="36"/>
  <c r="AO188" i="36"/>
  <c r="N113" i="36"/>
  <c r="AO244" i="36"/>
  <c r="N128" i="36"/>
  <c r="E383" i="36"/>
  <c r="W229" i="36"/>
  <c r="AA11" i="26"/>
  <c r="AX169" i="36"/>
  <c r="BG492" i="36"/>
  <c r="BY61" i="36"/>
  <c r="AF394" i="36"/>
  <c r="N388" i="36"/>
  <c r="AO153" i="36"/>
  <c r="AF192" i="36"/>
  <c r="V9" i="26"/>
  <c r="AF127" i="36"/>
  <c r="Y15" i="26"/>
  <c r="BP145" i="36"/>
  <c r="AO301" i="36"/>
  <c r="AO448" i="36"/>
  <c r="BG76" i="36"/>
  <c r="W417" i="36"/>
  <c r="W43" i="36"/>
  <c r="N510" i="36"/>
  <c r="BY41" i="36"/>
  <c r="N179" i="36"/>
  <c r="AF42" i="36"/>
  <c r="BG157" i="36"/>
  <c r="BY356" i="36"/>
  <c r="BP209" i="36"/>
  <c r="W537" i="36"/>
  <c r="N547" i="36"/>
  <c r="BP432" i="36"/>
  <c r="BP420" i="36"/>
  <c r="BY427" i="36"/>
  <c r="AO383" i="36"/>
  <c r="BG108" i="36"/>
  <c r="AF180" i="36"/>
  <c r="N192" i="36"/>
  <c r="X19" i="26"/>
  <c r="Z15" i="26"/>
  <c r="BG267" i="36"/>
  <c r="W154" i="36"/>
  <c r="AX111" i="36"/>
  <c r="AF45" i="36"/>
  <c r="BY59" i="36"/>
  <c r="AF244" i="36"/>
  <c r="N426" i="36"/>
  <c r="E382" i="36"/>
  <c r="BP375" i="36"/>
  <c r="E483" i="36"/>
  <c r="AF519" i="36"/>
  <c r="AO364" i="36"/>
  <c r="AF262" i="36"/>
  <c r="AX353" i="36"/>
  <c r="BG515" i="36"/>
  <c r="W290" i="36"/>
  <c r="W375" i="36"/>
  <c r="E510" i="36"/>
  <c r="W72" i="36"/>
  <c r="AX489" i="36"/>
  <c r="W275" i="36"/>
  <c r="AF514" i="36"/>
  <c r="AO300" i="36"/>
  <c r="BY248" i="36"/>
  <c r="N522" i="36"/>
  <c r="N351" i="36"/>
  <c r="BP142" i="36"/>
  <c r="AF524" i="36"/>
  <c r="BG390" i="36"/>
  <c r="AX321" i="36"/>
  <c r="N500" i="36"/>
  <c r="BG419" i="36"/>
  <c r="BG262" i="36"/>
  <c r="BY107" i="36"/>
  <c r="W22" i="26"/>
  <c r="W178" i="36"/>
  <c r="W276" i="36"/>
  <c r="E380" i="36"/>
  <c r="W311" i="36"/>
  <c r="E535" i="36"/>
  <c r="E45" i="36"/>
  <c r="W95" i="36"/>
  <c r="AO481" i="36"/>
  <c r="Y6" i="26"/>
  <c r="E130" i="36"/>
  <c r="N224" i="36"/>
  <c r="W379" i="36"/>
  <c r="BY447" i="36"/>
  <c r="AF99" i="36"/>
  <c r="BP182" i="36"/>
  <c r="BP40" i="36"/>
  <c r="E90" i="36"/>
  <c r="BP152" i="36"/>
  <c r="N158" i="36"/>
  <c r="BP324" i="36"/>
  <c r="BP215" i="36"/>
  <c r="T69" i="37" l="1"/>
  <c r="V203" i="37"/>
  <c r="Y70" i="37"/>
  <c r="X70" i="37"/>
  <c r="W70" i="37"/>
  <c r="U71" i="37"/>
  <c r="V196" i="37"/>
  <c r="V201" i="37"/>
  <c r="BK13" i="26"/>
  <c r="CB123" i="36"/>
  <c r="CC123" i="36" s="1"/>
  <c r="CB356" i="36"/>
  <c r="CC356" i="36" s="1"/>
  <c r="Q379" i="36"/>
  <c r="R379" i="36" s="1"/>
  <c r="CK172" i="36"/>
  <c r="CL172" i="36" s="1"/>
  <c r="BV11" i="24"/>
  <c r="AS11" i="24" s="1"/>
  <c r="T15" i="9" s="1"/>
  <c r="AR164" i="36"/>
  <c r="AS164" i="36" s="1"/>
  <c r="Z279" i="36"/>
  <c r="AA279" i="36" s="1"/>
  <c r="CB60" i="36"/>
  <c r="CC60" i="36" s="1"/>
  <c r="BJ165" i="36"/>
  <c r="BK165" i="36" s="1"/>
  <c r="BX9" i="24"/>
  <c r="AU9" i="24" s="1"/>
  <c r="V13" i="9" s="1"/>
  <c r="AZ8" i="26"/>
  <c r="AZ4" i="26"/>
  <c r="AZ5" i="26"/>
  <c r="AZ6" i="26"/>
  <c r="AZ7" i="26"/>
  <c r="BS4" i="24"/>
  <c r="AP4" i="24" s="1"/>
  <c r="Q8" i="9" s="1"/>
  <c r="AR238" i="36"/>
  <c r="AS238" i="36" s="1"/>
  <c r="BV9" i="26"/>
  <c r="P46" i="9"/>
  <c r="Z379" i="36"/>
  <c r="AA379" i="36" s="1"/>
  <c r="CB41" i="36"/>
  <c r="CC41" i="36" s="1"/>
  <c r="BX7" i="24"/>
  <c r="AU7" i="24" s="1"/>
  <c r="V11" i="9" s="1"/>
  <c r="BJ111" i="36"/>
  <c r="BK111" i="36" s="1"/>
  <c r="BS13" i="24"/>
  <c r="AP13" i="24" s="1"/>
  <c r="H70" i="36"/>
  <c r="I70" i="36" s="1"/>
  <c r="Q105" i="36"/>
  <c r="R105" i="36" s="1"/>
  <c r="Z308" i="36"/>
  <c r="AA308" i="36" s="1"/>
  <c r="H65" i="36"/>
  <c r="I65" i="36" s="1"/>
  <c r="BA75" i="36"/>
  <c r="BB75" i="36" s="1"/>
  <c r="AI137" i="36"/>
  <c r="AJ137" i="36" s="1"/>
  <c r="Q403" i="36"/>
  <c r="R403" i="36" s="1"/>
  <c r="BJ157" i="36"/>
  <c r="BK157" i="36" s="1"/>
  <c r="BW9" i="24"/>
  <c r="AT9" i="24" s="1"/>
  <c r="CB233" i="36"/>
  <c r="CC233" i="36" s="1"/>
  <c r="BU13" i="24"/>
  <c r="AR13" i="24" s="1"/>
  <c r="S17" i="9" s="1"/>
  <c r="BS370" i="36"/>
  <c r="BT370" i="36" s="1"/>
  <c r="AR532" i="36"/>
  <c r="AS532" i="36" s="1"/>
  <c r="Q362" i="36"/>
  <c r="R362" i="36" s="1"/>
  <c r="H254" i="36"/>
  <c r="I254" i="36" s="1"/>
  <c r="Z224" i="36"/>
  <c r="AA224" i="36" s="1"/>
  <c r="BS12" i="24"/>
  <c r="AP12" i="24" s="1"/>
  <c r="Q479" i="36"/>
  <c r="R479" i="36" s="1"/>
  <c r="BS11" i="26"/>
  <c r="M48" i="9"/>
  <c r="Z155" i="36"/>
  <c r="AA155" i="36" s="1"/>
  <c r="Q510" i="36"/>
  <c r="R510" i="36" s="1"/>
  <c r="AR187" i="36"/>
  <c r="AS187" i="36" s="1"/>
  <c r="AI234" i="36"/>
  <c r="AJ234" i="36" s="1"/>
  <c r="H370" i="36"/>
  <c r="I370" i="36" s="1"/>
  <c r="Q381" i="36"/>
  <c r="R381" i="36" s="1"/>
  <c r="H108" i="36"/>
  <c r="I108" i="36" s="1"/>
  <c r="BA141" i="36"/>
  <c r="BB141" i="36" s="1"/>
  <c r="Z228" i="36"/>
  <c r="AA228" i="36" s="1"/>
  <c r="BU12" i="26"/>
  <c r="O49" i="9"/>
  <c r="CB117" i="36"/>
  <c r="CC117" i="36" s="1"/>
  <c r="BA280" i="36"/>
  <c r="BB280" i="36" s="1"/>
  <c r="AI42" i="36"/>
  <c r="AJ42" i="36" s="1"/>
  <c r="AR105" i="36"/>
  <c r="AS105" i="36" s="1"/>
  <c r="H201" i="36"/>
  <c r="I201" i="36" s="1"/>
  <c r="BU12" i="24"/>
  <c r="AR12" i="24" s="1"/>
  <c r="S16" i="9" s="1"/>
  <c r="AI455" i="36"/>
  <c r="AJ455" i="36" s="1"/>
  <c r="Q185" i="36"/>
  <c r="R185" i="36" s="1"/>
  <c r="BJ503" i="36"/>
  <c r="BK503" i="36" s="1"/>
  <c r="H61" i="36"/>
  <c r="I61" i="36" s="1"/>
  <c r="BS119" i="36"/>
  <c r="BT119" i="36" s="1"/>
  <c r="BJ271" i="36"/>
  <c r="BK271" i="36" s="1"/>
  <c r="Z139" i="36"/>
  <c r="AA139" i="36" s="1"/>
  <c r="BV6" i="26"/>
  <c r="P43" i="9"/>
  <c r="Q224" i="36"/>
  <c r="R224" i="36" s="1"/>
  <c r="Z43" i="36"/>
  <c r="AA43" i="36" s="1"/>
  <c r="H537" i="36"/>
  <c r="I537" i="36" s="1"/>
  <c r="BR9" i="26"/>
  <c r="L46" i="9"/>
  <c r="BJ481" i="36"/>
  <c r="BK481" i="36" s="1"/>
  <c r="BS10" i="24"/>
  <c r="AP10" i="24" s="1"/>
  <c r="Q14" i="9" s="1"/>
  <c r="Q129" i="36"/>
  <c r="R129" i="36" s="1"/>
  <c r="Z106" i="36"/>
  <c r="AA106" i="36" s="1"/>
  <c r="Q281" i="36"/>
  <c r="R281" i="36" s="1"/>
  <c r="BU7" i="24"/>
  <c r="AR7" i="24" s="1"/>
  <c r="S11" i="9" s="1"/>
  <c r="H204" i="36"/>
  <c r="I204" i="36" s="1"/>
  <c r="BA504" i="36"/>
  <c r="BB504" i="36" s="1"/>
  <c r="AI64" i="36"/>
  <c r="AJ64" i="36" s="1"/>
  <c r="BS394" i="36"/>
  <c r="BT394" i="36" s="1"/>
  <c r="BA476" i="36"/>
  <c r="BB476" i="36" s="1"/>
  <c r="Q263" i="36"/>
  <c r="R263" i="36" s="1"/>
  <c r="CB386" i="36"/>
  <c r="CC386" i="36" s="1"/>
  <c r="AR472" i="36"/>
  <c r="AS472" i="36" s="1"/>
  <c r="H280" i="36"/>
  <c r="I280" i="36" s="1"/>
  <c r="BJ551" i="36"/>
  <c r="BK551" i="36" s="1"/>
  <c r="CB324" i="36"/>
  <c r="CC324" i="36" s="1"/>
  <c r="Z428" i="36"/>
  <c r="AA428" i="36" s="1"/>
  <c r="AR527" i="36"/>
  <c r="AS527" i="36" s="1"/>
  <c r="BT11" i="26"/>
  <c r="N48" i="9"/>
  <c r="Q179" i="36"/>
  <c r="R179" i="36" s="1"/>
  <c r="Z417" i="36"/>
  <c r="AA417" i="36" s="1"/>
  <c r="BJ574" i="36"/>
  <c r="BK574" i="36" s="1"/>
  <c r="Z406" i="36"/>
  <c r="AA406" i="36" s="1"/>
  <c r="Z413" i="36"/>
  <c r="AA413" i="36" s="1"/>
  <c r="H448" i="36"/>
  <c r="I448" i="36" s="1"/>
  <c r="Q284" i="36"/>
  <c r="R284" i="36" s="1"/>
  <c r="CK200" i="36"/>
  <c r="CL200" i="36" s="1"/>
  <c r="BJ434" i="36"/>
  <c r="BK434" i="36" s="1"/>
  <c r="CB304" i="36"/>
  <c r="CC304" i="36" s="1"/>
  <c r="BS215" i="36"/>
  <c r="BT215" i="36" s="1"/>
  <c r="H130" i="36"/>
  <c r="I130" i="36" s="1"/>
  <c r="BJ76" i="36"/>
  <c r="BK76" i="36" s="1"/>
  <c r="BJ575" i="36"/>
  <c r="BK575" i="36" s="1"/>
  <c r="Z172" i="36"/>
  <c r="AA172" i="36" s="1"/>
  <c r="Q520" i="36"/>
  <c r="R520" i="36" s="1"/>
  <c r="BJ97" i="36"/>
  <c r="BK97" i="36" s="1"/>
  <c r="AR430" i="36"/>
  <c r="AS430" i="36" s="1"/>
  <c r="Z451" i="36"/>
  <c r="AA451" i="36" s="1"/>
  <c r="BU10" i="26"/>
  <c r="O47" i="9"/>
  <c r="H326" i="36"/>
  <c r="I326" i="36" s="1"/>
  <c r="Z206" i="36"/>
  <c r="AA206" i="36" s="1"/>
  <c r="AR445" i="36"/>
  <c r="AS445" i="36" s="1"/>
  <c r="BC10" i="26"/>
  <c r="BC9" i="26"/>
  <c r="BC11" i="26"/>
  <c r="BV5" i="24"/>
  <c r="AS5" i="24" s="1"/>
  <c r="T9" i="9" s="1"/>
  <c r="BC12" i="26"/>
  <c r="BA539" i="36"/>
  <c r="BB539" i="36" s="1"/>
  <c r="BS360" i="36"/>
  <c r="BT360" i="36" s="1"/>
  <c r="Q151" i="36"/>
  <c r="R151" i="36" s="1"/>
  <c r="Z179" i="36"/>
  <c r="AA179" i="36" s="1"/>
  <c r="N44" i="9"/>
  <c r="BT7" i="26"/>
  <c r="BA68" i="36"/>
  <c r="BB68" i="36" s="1"/>
  <c r="BJ416" i="36"/>
  <c r="BK416" i="36" s="1"/>
  <c r="Z402" i="36"/>
  <c r="AA402" i="36" s="1"/>
  <c r="H434" i="36"/>
  <c r="I434" i="36" s="1"/>
  <c r="AR136" i="36"/>
  <c r="AS136" i="36" s="1"/>
  <c r="CB319" i="36"/>
  <c r="CC319" i="36" s="1"/>
  <c r="AR481" i="36"/>
  <c r="AS481" i="36" s="1"/>
  <c r="AR448" i="36"/>
  <c r="AS448" i="36" s="1"/>
  <c r="Q496" i="36"/>
  <c r="R496" i="36" s="1"/>
  <c r="BS460" i="36"/>
  <c r="BT460" i="36" s="1"/>
  <c r="Z134" i="36"/>
  <c r="AA134" i="36" s="1"/>
  <c r="Q147" i="36"/>
  <c r="R147" i="36" s="1"/>
  <c r="Q261" i="36"/>
  <c r="R261" i="36" s="1"/>
  <c r="BV10" i="26"/>
  <c r="P47" i="9"/>
  <c r="BJ475" i="36"/>
  <c r="BK475" i="36" s="1"/>
  <c r="Q125" i="36"/>
  <c r="R125" i="36" s="1"/>
  <c r="BJ289" i="36"/>
  <c r="BK289" i="36" s="1"/>
  <c r="BT12" i="24"/>
  <c r="AQ12" i="24" s="1"/>
  <c r="Z95" i="36"/>
  <c r="AA95" i="36" s="1"/>
  <c r="AR361" i="36"/>
  <c r="AS361" i="36" s="1"/>
  <c r="BJ462" i="36"/>
  <c r="BK462" i="36" s="1"/>
  <c r="BA473" i="36"/>
  <c r="BB473" i="36" s="1"/>
  <c r="BJ354" i="36"/>
  <c r="BK354" i="36" s="1"/>
  <c r="BA261" i="36"/>
  <c r="BB261" i="36" s="1"/>
  <c r="AR158" i="36"/>
  <c r="AS158" i="36" s="1"/>
  <c r="BJ168" i="36"/>
  <c r="BK168" i="36" s="1"/>
  <c r="Z128" i="36"/>
  <c r="AA128" i="36" s="1"/>
  <c r="BV9" i="24"/>
  <c r="AS9" i="24" s="1"/>
  <c r="T13" i="9" s="1"/>
  <c r="BS4" i="26"/>
  <c r="M41" i="9"/>
  <c r="BX10" i="24"/>
  <c r="AU10" i="24" s="1"/>
  <c r="V14" i="9" s="1"/>
  <c r="H45" i="36"/>
  <c r="I45" i="36" s="1"/>
  <c r="AR301" i="36"/>
  <c r="AS301" i="36" s="1"/>
  <c r="AI316" i="36"/>
  <c r="AJ316" i="36" s="1"/>
  <c r="Z508" i="36"/>
  <c r="AA508" i="36" s="1"/>
  <c r="AR74" i="36"/>
  <c r="AS74" i="36" s="1"/>
  <c r="CB268" i="36"/>
  <c r="CC268" i="36" s="1"/>
  <c r="BJ162" i="36"/>
  <c r="BK162" i="36" s="1"/>
  <c r="AR509" i="36"/>
  <c r="AS509" i="36" s="1"/>
  <c r="AI161" i="36"/>
  <c r="AJ161" i="36" s="1"/>
  <c r="BR10" i="26"/>
  <c r="L47" i="9"/>
  <c r="AI558" i="36"/>
  <c r="AJ558" i="36" s="1"/>
  <c r="H535" i="36"/>
  <c r="I535" i="36" s="1"/>
  <c r="AI229" i="36"/>
  <c r="AJ229" i="36" s="1"/>
  <c r="CB316" i="36"/>
  <c r="CC316" i="36" s="1"/>
  <c r="BJ457" i="36"/>
  <c r="BK457" i="36" s="1"/>
  <c r="BA553" i="36"/>
  <c r="BB553" i="36" s="1"/>
  <c r="BJ339" i="36"/>
  <c r="BK339" i="36" s="1"/>
  <c r="Z58" i="36"/>
  <c r="AA58" i="36" s="1"/>
  <c r="H149" i="36"/>
  <c r="I149" i="36" s="1"/>
  <c r="BJ218" i="36"/>
  <c r="BK218" i="36" s="1"/>
  <c r="BW8" i="24"/>
  <c r="AT8" i="24" s="1"/>
  <c r="H400" i="36"/>
  <c r="I400" i="36" s="1"/>
  <c r="AI109" i="36"/>
  <c r="AJ109" i="36" s="1"/>
  <c r="AR410" i="36"/>
  <c r="AS410" i="36" s="1"/>
  <c r="AR191" i="36"/>
  <c r="AS191" i="36" s="1"/>
  <c r="Q192" i="36"/>
  <c r="R192" i="36" s="1"/>
  <c r="Z311" i="36"/>
  <c r="AA311" i="36" s="1"/>
  <c r="BS145" i="36"/>
  <c r="BT145" i="36" s="1"/>
  <c r="AI391" i="36"/>
  <c r="AJ391" i="36" s="1"/>
  <c r="CB323" i="36"/>
  <c r="CC323" i="36" s="1"/>
  <c r="BD9" i="26"/>
  <c r="BD11" i="26"/>
  <c r="BD12" i="26"/>
  <c r="BW5" i="24"/>
  <c r="AT5" i="24" s="1"/>
  <c r="BD10" i="26"/>
  <c r="Z222" i="36"/>
  <c r="AA222" i="36" s="1"/>
  <c r="Q418" i="36"/>
  <c r="R418" i="36" s="1"/>
  <c r="CB124" i="36"/>
  <c r="CC124" i="36" s="1"/>
  <c r="Q476" i="36"/>
  <c r="R476" i="36" s="1"/>
  <c r="BS60" i="36"/>
  <c r="BT60" i="36" s="1"/>
  <c r="BV12" i="24"/>
  <c r="AS12" i="24" s="1"/>
  <c r="T16" i="9" s="1"/>
  <c r="BS6" i="24"/>
  <c r="AP6" i="24" s="1"/>
  <c r="BJ313" i="36"/>
  <c r="BK313" i="36" s="1"/>
  <c r="AR206" i="36"/>
  <c r="AS206" i="36" s="1"/>
  <c r="H380" i="36"/>
  <c r="I380" i="36" s="1"/>
  <c r="H450" i="36"/>
  <c r="I450" i="36" s="1"/>
  <c r="H412" i="36"/>
  <c r="I412" i="36" s="1"/>
  <c r="BA155" i="36"/>
  <c r="BB155" i="36" s="1"/>
  <c r="AI395" i="36"/>
  <c r="AJ395" i="36" s="1"/>
  <c r="BJ420" i="36"/>
  <c r="BK420" i="36" s="1"/>
  <c r="Z412" i="36"/>
  <c r="AA412" i="36" s="1"/>
  <c r="AI232" i="36"/>
  <c r="AJ232" i="36" s="1"/>
  <c r="BT5" i="24"/>
  <c r="AQ5" i="24" s="1"/>
  <c r="BA9" i="26"/>
  <c r="BA10" i="26"/>
  <c r="BA11" i="26"/>
  <c r="BA12" i="26"/>
  <c r="AR147" i="36"/>
  <c r="AS147" i="36" s="1"/>
  <c r="BJ568" i="36"/>
  <c r="BK568" i="36" s="1"/>
  <c r="CB329" i="36"/>
  <c r="CC329" i="36" s="1"/>
  <c r="AI474" i="36"/>
  <c r="AJ474" i="36" s="1"/>
  <c r="Z502" i="36"/>
  <c r="AA502" i="36" s="1"/>
  <c r="Z276" i="36"/>
  <c r="AA276" i="36" s="1"/>
  <c r="BU9" i="26"/>
  <c r="O46" i="9"/>
  <c r="Z450" i="36"/>
  <c r="AA450" i="36" s="1"/>
  <c r="AR139" i="36"/>
  <c r="AS139" i="36" s="1"/>
  <c r="BT12" i="26"/>
  <c r="N49" i="9"/>
  <c r="H123" i="36"/>
  <c r="I123" i="36" s="1"/>
  <c r="Q199" i="36"/>
  <c r="R199" i="36" s="1"/>
  <c r="BW10" i="24"/>
  <c r="AT10" i="24" s="1"/>
  <c r="Q506" i="36"/>
  <c r="R506" i="36" s="1"/>
  <c r="Z108" i="36"/>
  <c r="AA108" i="36" s="1"/>
  <c r="H532" i="36"/>
  <c r="I532" i="36" s="1"/>
  <c r="Q74" i="36"/>
  <c r="R74" i="36" s="1"/>
  <c r="AI468" i="36"/>
  <c r="AJ468" i="36" s="1"/>
  <c r="Z299" i="36"/>
  <c r="AA299" i="36" s="1"/>
  <c r="BS324" i="36"/>
  <c r="BT324" i="36" s="1"/>
  <c r="Z178" i="36"/>
  <c r="AA178" i="36" s="1"/>
  <c r="BJ150" i="36"/>
  <c r="BK150" i="36" s="1"/>
  <c r="H504" i="36"/>
  <c r="I504" i="36" s="1"/>
  <c r="Z310" i="36"/>
  <c r="AA310" i="36" s="1"/>
  <c r="BA515" i="36"/>
  <c r="BB515" i="36" s="1"/>
  <c r="H299" i="36"/>
  <c r="I299" i="36" s="1"/>
  <c r="Z99" i="36"/>
  <c r="AA99" i="36" s="1"/>
  <c r="Q41" i="36"/>
  <c r="R41" i="36" s="1"/>
  <c r="Z226" i="36"/>
  <c r="AA226" i="36" s="1"/>
  <c r="BS109" i="36"/>
  <c r="BT109" i="36" s="1"/>
  <c r="Z280" i="36"/>
  <c r="AA280" i="36" s="1"/>
  <c r="AI293" i="36"/>
  <c r="AJ293" i="36" s="1"/>
  <c r="CB62" i="36"/>
  <c r="CC62" i="36" s="1"/>
  <c r="AR237" i="36"/>
  <c r="AS237" i="36" s="1"/>
  <c r="AR510" i="36"/>
  <c r="AS510" i="36" s="1"/>
  <c r="Q239" i="36"/>
  <c r="R239" i="36" s="1"/>
  <c r="Q541" i="36"/>
  <c r="R541" i="36" s="1"/>
  <c r="BT13" i="24"/>
  <c r="AQ13" i="24" s="1"/>
  <c r="AI127" i="36"/>
  <c r="AJ127" i="36" s="1"/>
  <c r="CB128" i="36"/>
  <c r="CC128" i="36" s="1"/>
  <c r="CB378" i="36"/>
  <c r="CC378" i="36" s="1"/>
  <c r="AR554" i="36"/>
  <c r="AS554" i="36" s="1"/>
  <c r="BJ514" i="36"/>
  <c r="BK514" i="36" s="1"/>
  <c r="Z203" i="36"/>
  <c r="AA203" i="36" s="1"/>
  <c r="BS5" i="26"/>
  <c r="M42" i="9"/>
  <c r="H416" i="36"/>
  <c r="I416" i="36" s="1"/>
  <c r="H308" i="36"/>
  <c r="I308" i="36" s="1"/>
  <c r="AI159" i="36"/>
  <c r="AJ159" i="36" s="1"/>
  <c r="Z389" i="36"/>
  <c r="AA389" i="36" s="1"/>
  <c r="Z422" i="36"/>
  <c r="AA422" i="36" s="1"/>
  <c r="BJ318" i="36"/>
  <c r="BK318" i="36" s="1"/>
  <c r="Q136" i="36"/>
  <c r="R136" i="36" s="1"/>
  <c r="CB107" i="36"/>
  <c r="CC107" i="36" s="1"/>
  <c r="AR482" i="36"/>
  <c r="AS482" i="36" s="1"/>
  <c r="BR6" i="26"/>
  <c r="L43" i="9"/>
  <c r="BS139" i="36"/>
  <c r="BT139" i="36" s="1"/>
  <c r="BA410" i="36"/>
  <c r="BB410" i="36" s="1"/>
  <c r="H512" i="36"/>
  <c r="I512" i="36" s="1"/>
  <c r="L49" i="9"/>
  <c r="BR12" i="26"/>
  <c r="AR135" i="36"/>
  <c r="AS135" i="36" s="1"/>
  <c r="AR317" i="36"/>
  <c r="AS317" i="36" s="1"/>
  <c r="BS8" i="24"/>
  <c r="AP8" i="24" s="1"/>
  <c r="H290" i="36"/>
  <c r="I290" i="36" s="1"/>
  <c r="CB169" i="36"/>
  <c r="CC169" i="36" s="1"/>
  <c r="CB314" i="36"/>
  <c r="CC314" i="36" s="1"/>
  <c r="BA117" i="36"/>
  <c r="BB117" i="36" s="1"/>
  <c r="Z197" i="36"/>
  <c r="AA197" i="36" s="1"/>
  <c r="BJ205" i="36"/>
  <c r="BK205" i="36" s="1"/>
  <c r="CB391" i="36"/>
  <c r="CC391" i="36" s="1"/>
  <c r="AR193" i="36"/>
  <c r="AS193" i="36" s="1"/>
  <c r="BJ487" i="36"/>
  <c r="BK487" i="36" s="1"/>
  <c r="BJ219" i="36"/>
  <c r="BK219" i="36" s="1"/>
  <c r="H220" i="36"/>
  <c r="I220" i="36" s="1"/>
  <c r="BJ262" i="36"/>
  <c r="BK262" i="36" s="1"/>
  <c r="AI192" i="36"/>
  <c r="AJ192" i="36" s="1"/>
  <c r="H359" i="36"/>
  <c r="I359" i="36" s="1"/>
  <c r="AI139" i="36"/>
  <c r="AJ139" i="36" s="1"/>
  <c r="AR487" i="36"/>
  <c r="AS487" i="36" s="1"/>
  <c r="BA309" i="36"/>
  <c r="BB309" i="36" s="1"/>
  <c r="BS330" i="36"/>
  <c r="BT330" i="36" s="1"/>
  <c r="AR518" i="36"/>
  <c r="AS518" i="36" s="1"/>
  <c r="Z315" i="36"/>
  <c r="AA315" i="36" s="1"/>
  <c r="AI471" i="36"/>
  <c r="AJ471" i="36" s="1"/>
  <c r="Z190" i="36"/>
  <c r="AA190" i="36" s="1"/>
  <c r="BJ112" i="36"/>
  <c r="BK112" i="36" s="1"/>
  <c r="Q66" i="36"/>
  <c r="R66" i="36" s="1"/>
  <c r="AI208" i="36"/>
  <c r="AJ208" i="36" s="1"/>
  <c r="AR434" i="36"/>
  <c r="AS434" i="36" s="1"/>
  <c r="H199" i="36"/>
  <c r="I199" i="36" s="1"/>
  <c r="BJ456" i="36"/>
  <c r="BK456" i="36" s="1"/>
  <c r="BA60" i="36"/>
  <c r="BB60" i="36" s="1"/>
  <c r="AI180" i="36"/>
  <c r="AJ180" i="36" s="1"/>
  <c r="BJ419" i="36"/>
  <c r="BK419" i="36" s="1"/>
  <c r="AR149" i="36"/>
  <c r="AS149" i="36" s="1"/>
  <c r="Z430" i="36"/>
  <c r="AA430" i="36" s="1"/>
  <c r="CB165" i="36"/>
  <c r="CC165" i="36" s="1"/>
  <c r="Z61" i="36"/>
  <c r="AA61" i="36" s="1"/>
  <c r="BJ248" i="36"/>
  <c r="BK248" i="36" s="1"/>
  <c r="BA406" i="36"/>
  <c r="BB406" i="36" s="1"/>
  <c r="BS176" i="36"/>
  <c r="BT176" i="36" s="1"/>
  <c r="BA569" i="36"/>
  <c r="BB569" i="36" s="1"/>
  <c r="H185" i="36"/>
  <c r="I185" i="36" s="1"/>
  <c r="AI152" i="36"/>
  <c r="AJ152" i="36" s="1"/>
  <c r="Z149" i="36"/>
  <c r="AA149" i="36" s="1"/>
  <c r="BJ509" i="36"/>
  <c r="BK509" i="36" s="1"/>
  <c r="Z458" i="36"/>
  <c r="AA458" i="36" s="1"/>
  <c r="BJ224" i="36"/>
  <c r="BK224" i="36" s="1"/>
  <c r="BJ65" i="36"/>
  <c r="BK65" i="36" s="1"/>
  <c r="AI495" i="36"/>
  <c r="AJ495" i="36" s="1"/>
  <c r="BS376" i="36"/>
  <c r="BT376" i="36" s="1"/>
  <c r="AR165" i="36"/>
  <c r="AS165" i="36" s="1"/>
  <c r="BS327" i="36"/>
  <c r="BT327" i="36" s="1"/>
  <c r="Q226" i="36"/>
  <c r="R226" i="36" s="1"/>
  <c r="H103" i="36"/>
  <c r="I103" i="36" s="1"/>
  <c r="CB331" i="36"/>
  <c r="CC331" i="36" s="1"/>
  <c r="Q500" i="36"/>
  <c r="R500" i="36" s="1"/>
  <c r="AR153" i="36"/>
  <c r="AS153" i="36" s="1"/>
  <c r="H428" i="36"/>
  <c r="I428" i="36" s="1"/>
  <c r="H191" i="36"/>
  <c r="I191" i="36" s="1"/>
  <c r="BS179" i="36"/>
  <c r="BT179" i="36" s="1"/>
  <c r="BS465" i="36"/>
  <c r="BT465" i="36" s="1"/>
  <c r="BA387" i="36"/>
  <c r="BB387" i="36" s="1"/>
  <c r="AI443" i="36"/>
  <c r="AJ443" i="36" s="1"/>
  <c r="BS47" i="36"/>
  <c r="BT47" i="36" s="1"/>
  <c r="Q257" i="36"/>
  <c r="R257" i="36" s="1"/>
  <c r="H379" i="36"/>
  <c r="I379" i="36" s="1"/>
  <c r="H423" i="36"/>
  <c r="I423" i="36" s="1"/>
  <c r="AR533" i="36"/>
  <c r="AS533" i="36" s="1"/>
  <c r="H509" i="36"/>
  <c r="I509" i="36" s="1"/>
  <c r="BX11" i="24"/>
  <c r="AU11" i="24" s="1"/>
  <c r="V15" i="9" s="1"/>
  <c r="AI113" i="36"/>
  <c r="AJ113" i="36" s="1"/>
  <c r="H527" i="36"/>
  <c r="I527" i="36" s="1"/>
  <c r="Z409" i="36"/>
  <c r="AA409" i="36" s="1"/>
  <c r="BA147" i="36"/>
  <c r="BB147" i="36" s="1"/>
  <c r="Z133" i="36"/>
  <c r="AA133" i="36" s="1"/>
  <c r="BJ164" i="36"/>
  <c r="BK164" i="36" s="1"/>
  <c r="H523" i="36"/>
  <c r="I523" i="36" s="1"/>
  <c r="AI185" i="36"/>
  <c r="AJ185" i="36" s="1"/>
  <c r="Q321" i="36"/>
  <c r="R321" i="36" s="1"/>
  <c r="BA321" i="36"/>
  <c r="BB321" i="36" s="1"/>
  <c r="Q388" i="36"/>
  <c r="R388" i="36" s="1"/>
  <c r="Z500" i="36"/>
  <c r="AA500" i="36" s="1"/>
  <c r="AI431" i="36"/>
  <c r="AJ431" i="36" s="1"/>
  <c r="BA74" i="36"/>
  <c r="BB74" i="36" s="1"/>
  <c r="Q299" i="36"/>
  <c r="R299" i="36" s="1"/>
  <c r="BS430" i="36"/>
  <c r="BT430" i="36" s="1"/>
  <c r="BJ543" i="36"/>
  <c r="BK543" i="36" s="1"/>
  <c r="BS74" i="36"/>
  <c r="BT74" i="36" s="1"/>
  <c r="CB286" i="36"/>
  <c r="CC286" i="36" s="1"/>
  <c r="AI191" i="36"/>
  <c r="AJ191" i="36" s="1"/>
  <c r="BS42" i="36"/>
  <c r="BT42" i="36" s="1"/>
  <c r="CB421" i="36"/>
  <c r="CC421" i="36" s="1"/>
  <c r="Q413" i="36"/>
  <c r="R413" i="36" s="1"/>
  <c r="Z524" i="36"/>
  <c r="AA524" i="36" s="1"/>
  <c r="AI303" i="36"/>
  <c r="AJ303" i="36" s="1"/>
  <c r="BA478" i="36"/>
  <c r="BB478" i="36" s="1"/>
  <c r="AI268" i="36"/>
  <c r="AJ268" i="36" s="1"/>
  <c r="Q201" i="36"/>
  <c r="R201" i="36" s="1"/>
  <c r="AR210" i="36"/>
  <c r="AS210" i="36" s="1"/>
  <c r="Q90" i="36"/>
  <c r="R90" i="36" s="1"/>
  <c r="Q158" i="36"/>
  <c r="R158" i="36" s="1"/>
  <c r="BA499" i="36"/>
  <c r="BB499" i="36" s="1"/>
  <c r="CB292" i="36"/>
  <c r="CC292" i="36" s="1"/>
  <c r="BJ390" i="36"/>
  <c r="BK390" i="36" s="1"/>
  <c r="AI394" i="36"/>
  <c r="AJ394" i="36" s="1"/>
  <c r="Q475" i="36"/>
  <c r="R475" i="36" s="1"/>
  <c r="P42" i="9"/>
  <c r="BV5" i="26"/>
  <c r="Q288" i="36"/>
  <c r="R288" i="36" s="1"/>
  <c r="H390" i="36"/>
  <c r="I390" i="36" s="1"/>
  <c r="BS72" i="36"/>
  <c r="BT72" i="36" s="1"/>
  <c r="AR539" i="36"/>
  <c r="AS539" i="36" s="1"/>
  <c r="Q376" i="36"/>
  <c r="R376" i="36" s="1"/>
  <c r="AI144" i="36"/>
  <c r="AJ144" i="36" s="1"/>
  <c r="Q221" i="36"/>
  <c r="R221" i="36" s="1"/>
  <c r="BS44" i="36"/>
  <c r="BT44" i="36" s="1"/>
  <c r="Q68" i="36"/>
  <c r="R68" i="36" s="1"/>
  <c r="H427" i="36"/>
  <c r="I427" i="36" s="1"/>
  <c r="AI554" i="36"/>
  <c r="AJ554" i="36" s="1"/>
  <c r="H356" i="36"/>
  <c r="I356" i="36" s="1"/>
  <c r="AI230" i="36"/>
  <c r="AJ230" i="36" s="1"/>
  <c r="CB86" i="36"/>
  <c r="CC86" i="36" s="1"/>
  <c r="AR455" i="36"/>
  <c r="AS455" i="36" s="1"/>
  <c r="BJ500" i="36"/>
  <c r="BK500" i="36" s="1"/>
  <c r="AI296" i="36"/>
  <c r="AJ296" i="36" s="1"/>
  <c r="Q511" i="36"/>
  <c r="R511" i="36" s="1"/>
  <c r="AR131" i="36"/>
  <c r="AS131" i="36" s="1"/>
  <c r="BS322" i="36"/>
  <c r="BT322" i="36" s="1"/>
  <c r="AI524" i="36"/>
  <c r="AJ524" i="36" s="1"/>
  <c r="CB61" i="36"/>
  <c r="CC61" i="36" s="1"/>
  <c r="AR467" i="36"/>
  <c r="AS467" i="36" s="1"/>
  <c r="Q477" i="36"/>
  <c r="R477" i="36" s="1"/>
  <c r="AI319" i="36"/>
  <c r="AJ319" i="36" s="1"/>
  <c r="AI201" i="36"/>
  <c r="AJ201" i="36" s="1"/>
  <c r="H143" i="36"/>
  <c r="I143" i="36" s="1"/>
  <c r="AI422" i="36"/>
  <c r="AJ422" i="36" s="1"/>
  <c r="BA517" i="36"/>
  <c r="BB517" i="36" s="1"/>
  <c r="Q341" i="36"/>
  <c r="R341" i="36" s="1"/>
  <c r="CB415" i="36"/>
  <c r="CC415" i="36" s="1"/>
  <c r="Z455" i="36"/>
  <c r="AA455" i="36" s="1"/>
  <c r="CB366" i="36"/>
  <c r="CC366" i="36" s="1"/>
  <c r="H424" i="36"/>
  <c r="I424" i="36" s="1"/>
  <c r="H44" i="36"/>
  <c r="I44" i="36" s="1"/>
  <c r="CB326" i="36"/>
  <c r="CC326" i="36" s="1"/>
  <c r="Z143" i="36"/>
  <c r="AA143" i="36" s="1"/>
  <c r="BS175" i="36"/>
  <c r="BT175" i="36" s="1"/>
  <c r="Q391" i="36"/>
  <c r="R391" i="36" s="1"/>
  <c r="BJ323" i="36"/>
  <c r="BK323" i="36" s="1"/>
  <c r="Z420" i="36"/>
  <c r="AA420" i="36" s="1"/>
  <c r="BA460" i="36"/>
  <c r="BB460" i="36" s="1"/>
  <c r="BS95" i="36"/>
  <c r="BT95" i="36" s="1"/>
  <c r="AI466" i="36"/>
  <c r="AJ466" i="36" s="1"/>
  <c r="BS142" i="36"/>
  <c r="BT142" i="36" s="1"/>
  <c r="BJ492" i="36"/>
  <c r="BK492" i="36" s="1"/>
  <c r="H376" i="36"/>
  <c r="I376" i="36" s="1"/>
  <c r="BS472" i="36"/>
  <c r="BT472" i="36" s="1"/>
  <c r="H461" i="36"/>
  <c r="I461" i="36" s="1"/>
  <c r="Z96" i="36"/>
  <c r="AA96" i="36" s="1"/>
  <c r="AR154" i="36"/>
  <c r="AS154" i="36" s="1"/>
  <c r="AI432" i="36"/>
  <c r="AJ432" i="36" s="1"/>
  <c r="BJ145" i="36"/>
  <c r="BK145" i="36" s="1"/>
  <c r="H110" i="36"/>
  <c r="I110" i="36" s="1"/>
  <c r="BJ72" i="36"/>
  <c r="BK72" i="36" s="1"/>
  <c r="BJ570" i="36"/>
  <c r="BK570" i="36" s="1"/>
  <c r="Q512" i="36"/>
  <c r="R512" i="36" s="1"/>
  <c r="BJ504" i="36"/>
  <c r="BK504" i="36" s="1"/>
  <c r="AR272" i="36"/>
  <c r="AS272" i="36" s="1"/>
  <c r="BA404" i="36"/>
  <c r="BB404" i="36" s="1"/>
  <c r="BJ213" i="36"/>
  <c r="BK213" i="36" s="1"/>
  <c r="BS98" i="36"/>
  <c r="BT98" i="36" s="1"/>
  <c r="H490" i="36"/>
  <c r="I490" i="36" s="1"/>
  <c r="Z484" i="36"/>
  <c r="AA484" i="36" s="1"/>
  <c r="AI373" i="36"/>
  <c r="AJ373" i="36" s="1"/>
  <c r="BJ108" i="36"/>
  <c r="BK108" i="36" s="1"/>
  <c r="Q447" i="36"/>
  <c r="R447" i="36" s="1"/>
  <c r="Z232" i="36"/>
  <c r="AA232" i="36" s="1"/>
  <c r="Q351" i="36"/>
  <c r="R351" i="36" s="1"/>
  <c r="BA169" i="36"/>
  <c r="BB169" i="36" s="1"/>
  <c r="Q290" i="36"/>
  <c r="R290" i="36" s="1"/>
  <c r="CB229" i="36"/>
  <c r="CC229" i="36" s="1"/>
  <c r="BA326" i="36"/>
  <c r="BB326" i="36" s="1"/>
  <c r="AR366" i="36"/>
  <c r="AS366" i="36" s="1"/>
  <c r="AR492" i="36"/>
  <c r="AS492" i="36" s="1"/>
  <c r="AR476" i="36"/>
  <c r="AS476" i="36" s="1"/>
  <c r="H408" i="36"/>
  <c r="I408" i="36" s="1"/>
  <c r="BJ418" i="36"/>
  <c r="BK418" i="36" s="1"/>
  <c r="Z384" i="36"/>
  <c r="AA384" i="36" s="1"/>
  <c r="AR143" i="36"/>
  <c r="AS143" i="36" s="1"/>
  <c r="BA482" i="36"/>
  <c r="BB482" i="36" s="1"/>
  <c r="Z434" i="36"/>
  <c r="AA434" i="36" s="1"/>
  <c r="H501" i="36"/>
  <c r="I501" i="36" s="1"/>
  <c r="BJ497" i="36"/>
  <c r="BK497" i="36" s="1"/>
  <c r="CB384" i="36"/>
  <c r="CC384" i="36" s="1"/>
  <c r="Q410" i="36"/>
  <c r="R410" i="36" s="1"/>
  <c r="BJ95" i="36"/>
  <c r="BK95" i="36" s="1"/>
  <c r="CB431" i="36"/>
  <c r="CC431" i="36" s="1"/>
  <c r="BS392" i="36"/>
  <c r="BT392" i="36" s="1"/>
  <c r="Q380" i="36"/>
  <c r="R380" i="36" s="1"/>
  <c r="CB382" i="36"/>
  <c r="CC382" i="36" s="1"/>
  <c r="Q522" i="36"/>
  <c r="R522" i="36" s="1"/>
  <c r="BS141" i="36"/>
  <c r="BT141" i="36" s="1"/>
  <c r="H445" i="36"/>
  <c r="I445" i="36" s="1"/>
  <c r="AR163" i="36"/>
  <c r="AS163" i="36" s="1"/>
  <c r="AR403" i="36"/>
  <c r="AS403" i="36" s="1"/>
  <c r="BS336" i="36"/>
  <c r="BT336" i="36" s="1"/>
  <c r="AR469" i="36"/>
  <c r="AS469" i="36" s="1"/>
  <c r="BA150" i="36"/>
  <c r="BB150" i="36" s="1"/>
  <c r="AR63" i="36"/>
  <c r="AS63" i="36" s="1"/>
  <c r="Z145" i="36"/>
  <c r="AA145" i="36" s="1"/>
  <c r="BS323" i="36"/>
  <c r="BT323" i="36" s="1"/>
  <c r="BJ223" i="36"/>
  <c r="BK223" i="36" s="1"/>
  <c r="AI358" i="36"/>
  <c r="AJ358" i="36" s="1"/>
  <c r="AI199" i="36"/>
  <c r="AJ199" i="36" s="1"/>
  <c r="BA263" i="36"/>
  <c r="BB263" i="36" s="1"/>
  <c r="BJ478" i="36"/>
  <c r="BK478" i="36" s="1"/>
  <c r="BS261" i="36"/>
  <c r="BT261" i="36" s="1"/>
  <c r="BS219" i="36"/>
  <c r="BT219" i="36" s="1"/>
  <c r="Z200" i="36"/>
  <c r="AA200" i="36" s="1"/>
  <c r="H413" i="36"/>
  <c r="I413" i="36" s="1"/>
  <c r="BS152" i="36"/>
  <c r="BT152" i="36" s="1"/>
  <c r="H105" i="36"/>
  <c r="I105" i="36" s="1"/>
  <c r="H432" i="36"/>
  <c r="I432" i="36" s="1"/>
  <c r="CB248" i="36"/>
  <c r="CC248" i="36" s="1"/>
  <c r="Z229" i="36"/>
  <c r="AA229" i="36" s="1"/>
  <c r="AI60" i="36"/>
  <c r="AJ60" i="36" s="1"/>
  <c r="BS328" i="36"/>
  <c r="BT328" i="36" s="1"/>
  <c r="AI526" i="36"/>
  <c r="AJ526" i="36" s="1"/>
  <c r="Q354" i="36"/>
  <c r="R354" i="36" s="1"/>
  <c r="BA574" i="36"/>
  <c r="BB574" i="36" s="1"/>
  <c r="AI63" i="36"/>
  <c r="AJ63" i="36" s="1"/>
  <c r="Q446" i="36"/>
  <c r="R446" i="36" s="1"/>
  <c r="AR465" i="36"/>
  <c r="AS465" i="36" s="1"/>
  <c r="AR568" i="36"/>
  <c r="AS568" i="36" s="1"/>
  <c r="BS387" i="36"/>
  <c r="BT387" i="36" s="1"/>
  <c r="Z71" i="36"/>
  <c r="AA71" i="36" s="1"/>
  <c r="Q62" i="36"/>
  <c r="R62" i="36" s="1"/>
  <c r="BJ222" i="36"/>
  <c r="BK222" i="36" s="1"/>
  <c r="BS428" i="36"/>
  <c r="BT428" i="36" s="1"/>
  <c r="AI292" i="36"/>
  <c r="AJ292" i="36" s="1"/>
  <c r="AR522" i="36"/>
  <c r="AS522" i="36" s="1"/>
  <c r="BS180" i="36"/>
  <c r="BT180" i="36" s="1"/>
  <c r="AI396" i="36"/>
  <c r="AJ396" i="36" s="1"/>
  <c r="AR444" i="36"/>
  <c r="AS444" i="36" s="1"/>
  <c r="Z135" i="36"/>
  <c r="AA135" i="36" s="1"/>
  <c r="BE4" i="26"/>
  <c r="BE7" i="26"/>
  <c r="BE5" i="26"/>
  <c r="BE6" i="26"/>
  <c r="BE8" i="26"/>
  <c r="BX4" i="24"/>
  <c r="AU4" i="24" s="1"/>
  <c r="V8" i="9" s="1"/>
  <c r="Q382" i="36"/>
  <c r="R382" i="36" s="1"/>
  <c r="AR300" i="36"/>
  <c r="AS300" i="36" s="1"/>
  <c r="H383" i="36"/>
  <c r="I383" i="36" s="1"/>
  <c r="O48" i="9"/>
  <c r="BU11" i="26"/>
  <c r="AR516" i="36"/>
  <c r="AS516" i="36" s="1"/>
  <c r="AI429" i="36"/>
  <c r="AJ429" i="36" s="1"/>
  <c r="Z284" i="36"/>
  <c r="AA284" i="36" s="1"/>
  <c r="Q137" i="36"/>
  <c r="R137" i="36" s="1"/>
  <c r="BA249" i="36"/>
  <c r="BB249" i="36" s="1"/>
  <c r="BJ382" i="36"/>
  <c r="BK382" i="36" s="1"/>
  <c r="BU6" i="24"/>
  <c r="AR6" i="24" s="1"/>
  <c r="S10" i="9" s="1"/>
  <c r="AR98" i="36"/>
  <c r="AS98" i="36" s="1"/>
  <c r="Z540" i="36"/>
  <c r="AA540" i="36" s="1"/>
  <c r="BJ599" i="36"/>
  <c r="BK599" i="36" s="1"/>
  <c r="BA138" i="36"/>
  <c r="BB138" i="36" s="1"/>
  <c r="BA425" i="36"/>
  <c r="BB425" i="36" s="1"/>
  <c r="H387" i="36"/>
  <c r="I387" i="36" s="1"/>
  <c r="H100" i="36"/>
  <c r="I100" i="36" s="1"/>
  <c r="AI376" i="36"/>
  <c r="AJ376" i="36" s="1"/>
  <c r="BJ469" i="36"/>
  <c r="BK469" i="36" s="1"/>
  <c r="BJ158" i="36"/>
  <c r="BK158" i="36" s="1"/>
  <c r="Q411" i="36"/>
  <c r="R411" i="36" s="1"/>
  <c r="Z381" i="36"/>
  <c r="AA381" i="36" s="1"/>
  <c r="BA258" i="36"/>
  <c r="BB258" i="36" s="1"/>
  <c r="CB101" i="36"/>
  <c r="CC101" i="36" s="1"/>
  <c r="H456" i="36"/>
  <c r="I456" i="36" s="1"/>
  <c r="BA427" i="36"/>
  <c r="BB427" i="36" s="1"/>
  <c r="BJ518" i="36"/>
  <c r="BK518" i="36" s="1"/>
  <c r="BS334" i="36"/>
  <c r="BT334" i="36" s="1"/>
  <c r="AR104" i="36"/>
  <c r="AS104" i="36" s="1"/>
  <c r="BJ154" i="36"/>
  <c r="BK154" i="36" s="1"/>
  <c r="AI514" i="36"/>
  <c r="AJ514" i="36" s="1"/>
  <c r="Q128" i="36"/>
  <c r="R128" i="36" s="1"/>
  <c r="H446" i="36"/>
  <c r="I446" i="36" s="1"/>
  <c r="Z433" i="36"/>
  <c r="AA433" i="36" s="1"/>
  <c r="Q501" i="36"/>
  <c r="R501" i="36" s="1"/>
  <c r="BA572" i="36"/>
  <c r="BB572" i="36" s="1"/>
  <c r="CB237" i="36"/>
  <c r="CC237" i="36" s="1"/>
  <c r="H430" i="36"/>
  <c r="I430" i="36" s="1"/>
  <c r="Z483" i="36"/>
  <c r="AA483" i="36" s="1"/>
  <c r="BJ553" i="36"/>
  <c r="BK553" i="36" s="1"/>
  <c r="BB10" i="26"/>
  <c r="BB11" i="26"/>
  <c r="BB12" i="26"/>
  <c r="BU5" i="24"/>
  <c r="AR5" i="24" s="1"/>
  <c r="S9" i="9" s="1"/>
  <c r="BB9" i="26"/>
  <c r="BA416" i="36"/>
  <c r="BB416" i="36" s="1"/>
  <c r="BA457" i="36"/>
  <c r="BB457" i="36" s="1"/>
  <c r="Z111" i="36"/>
  <c r="AA111" i="36" s="1"/>
  <c r="BS96" i="36"/>
  <c r="BT96" i="36" s="1"/>
  <c r="BS374" i="36"/>
  <c r="BT374" i="36" s="1"/>
  <c r="AI158" i="36"/>
  <c r="AJ158" i="36" s="1"/>
  <c r="BA215" i="36"/>
  <c r="BB215" i="36" s="1"/>
  <c r="AI507" i="36"/>
  <c r="AJ507" i="36" s="1"/>
  <c r="CB349" i="36"/>
  <c r="CC349" i="36" s="1"/>
  <c r="Z293" i="36"/>
  <c r="AA293" i="36" s="1"/>
  <c r="AR160" i="36"/>
  <c r="AS160" i="36" s="1"/>
  <c r="AR473" i="36"/>
  <c r="AS473" i="36" s="1"/>
  <c r="BJ270" i="36"/>
  <c r="BK270" i="36" s="1"/>
  <c r="BJ324" i="36"/>
  <c r="BK324" i="36" s="1"/>
  <c r="H189" i="36"/>
  <c r="I189" i="36" s="1"/>
  <c r="AR383" i="36"/>
  <c r="AS383" i="36" s="1"/>
  <c r="Z275" i="36"/>
  <c r="AA275" i="36" s="1"/>
  <c r="AR567" i="36"/>
  <c r="AS567" i="36" s="1"/>
  <c r="BS475" i="36"/>
  <c r="BT475" i="36" s="1"/>
  <c r="AI140" i="36"/>
  <c r="AJ140" i="36" s="1"/>
  <c r="AR244" i="36"/>
  <c r="AS244" i="36" s="1"/>
  <c r="Q154" i="36"/>
  <c r="R154" i="36" s="1"/>
  <c r="AR542" i="36"/>
  <c r="AS542" i="36" s="1"/>
  <c r="BA216" i="36"/>
  <c r="BB216" i="36" s="1"/>
  <c r="AR409" i="36"/>
  <c r="AS409" i="36" s="1"/>
  <c r="AR367" i="36"/>
  <c r="AS367" i="36" s="1"/>
  <c r="AI352" i="36"/>
  <c r="AJ352" i="36" s="1"/>
  <c r="BX6" i="24"/>
  <c r="AU6" i="24" s="1"/>
  <c r="V10" i="9" s="1"/>
  <c r="Q452" i="36"/>
  <c r="R452" i="36" s="1"/>
  <c r="BS62" i="36"/>
  <c r="BT62" i="36" s="1"/>
  <c r="BJ490" i="36"/>
  <c r="BK490" i="36" s="1"/>
  <c r="AO4" i="45"/>
  <c r="AZ4" i="45" s="1"/>
  <c r="H112" i="36"/>
  <c r="I112" i="36" s="1"/>
  <c r="AI93" i="36"/>
  <c r="AJ93" i="36" s="1"/>
  <c r="AI294" i="36"/>
  <c r="AJ294" i="36" s="1"/>
  <c r="BA100" i="36"/>
  <c r="BB100" i="36" s="1"/>
  <c r="BX8" i="24"/>
  <c r="AU8" i="24" s="1"/>
  <c r="V12" i="9" s="1"/>
  <c r="AR133" i="36"/>
  <c r="AS133" i="36" s="1"/>
  <c r="Z194" i="36"/>
  <c r="AA194" i="36" s="1"/>
  <c r="BJ421" i="36"/>
  <c r="BK421" i="36" s="1"/>
  <c r="H193" i="36"/>
  <c r="I193" i="36" s="1"/>
  <c r="AI133" i="36"/>
  <c r="AJ133" i="36" s="1"/>
  <c r="AR101" i="36"/>
  <c r="AS101" i="36" s="1"/>
  <c r="Q176" i="36"/>
  <c r="R176" i="36" s="1"/>
  <c r="AR205" i="36"/>
  <c r="AS205" i="36" s="1"/>
  <c r="BA165" i="36"/>
  <c r="BB165" i="36" s="1"/>
  <c r="BA167" i="36"/>
  <c r="BB167" i="36" s="1"/>
  <c r="BA418" i="36"/>
  <c r="BB418" i="36" s="1"/>
  <c r="BU10" i="24"/>
  <c r="AR10" i="24" s="1"/>
  <c r="S14" i="9" s="1"/>
  <c r="N42" i="9"/>
  <c r="BT5" i="26"/>
  <c r="BS232" i="36"/>
  <c r="BT232" i="36" s="1"/>
  <c r="BA255" i="36"/>
  <c r="BB255" i="36" s="1"/>
  <c r="BA489" i="36"/>
  <c r="BB489" i="36" s="1"/>
  <c r="AI188" i="36"/>
  <c r="AJ188" i="36" s="1"/>
  <c r="AR566" i="36"/>
  <c r="AS566" i="36" s="1"/>
  <c r="BJ459" i="36"/>
  <c r="BK459" i="36" s="1"/>
  <c r="Q113" i="36"/>
  <c r="R113" i="36" s="1"/>
  <c r="Q58" i="36"/>
  <c r="R58" i="36" s="1"/>
  <c r="Q156" i="36"/>
  <c r="R156" i="36" s="1"/>
  <c r="Z105" i="36"/>
  <c r="AA105" i="36" s="1"/>
  <c r="CB241" i="36"/>
  <c r="CC241" i="36" s="1"/>
  <c r="BS71" i="36"/>
  <c r="BT71" i="36" s="1"/>
  <c r="Q445" i="36"/>
  <c r="R445" i="36" s="1"/>
  <c r="BS459" i="36"/>
  <c r="BT459" i="36" s="1"/>
  <c r="BJ138" i="36"/>
  <c r="BK138" i="36" s="1"/>
  <c r="BA114" i="36"/>
  <c r="BB114" i="36" s="1"/>
  <c r="BA548" i="36"/>
  <c r="BB548" i="36" s="1"/>
  <c r="BT9" i="24"/>
  <c r="AQ9" i="24" s="1"/>
  <c r="CB139" i="36"/>
  <c r="CC139" i="36" s="1"/>
  <c r="H454" i="36"/>
  <c r="I454" i="36" s="1"/>
  <c r="Z230" i="36"/>
  <c r="AA230" i="36" s="1"/>
  <c r="BS274" i="36"/>
  <c r="BT274" i="36" s="1"/>
  <c r="H346" i="36"/>
  <c r="I346" i="36" s="1"/>
  <c r="Z346" i="36"/>
  <c r="AA346" i="36" s="1"/>
  <c r="Z403" i="36"/>
  <c r="AA403" i="36" s="1"/>
  <c r="Z440" i="36"/>
  <c r="AA440" i="36" s="1"/>
  <c r="BA109" i="36"/>
  <c r="BB109" i="36" s="1"/>
  <c r="AI528" i="36"/>
  <c r="AJ528" i="36" s="1"/>
  <c r="H410" i="36"/>
  <c r="I410" i="36" s="1"/>
  <c r="H282" i="36"/>
  <c r="I282" i="36" s="1"/>
  <c r="BA112" i="36"/>
  <c r="BB112" i="36" s="1"/>
  <c r="BJ540" i="36"/>
  <c r="BK540" i="36" s="1"/>
  <c r="Z146" i="36"/>
  <c r="AA146" i="36" s="1"/>
  <c r="CB89" i="36"/>
  <c r="CC89" i="36" s="1"/>
  <c r="AR156" i="36"/>
  <c r="AS156" i="36" s="1"/>
  <c r="BJ71" i="36"/>
  <c r="BK71" i="36" s="1"/>
  <c r="BJ166" i="36"/>
  <c r="BK166" i="36" s="1"/>
  <c r="H90" i="36"/>
  <c r="I90" i="36" s="1"/>
  <c r="Z72" i="36"/>
  <c r="AA72" i="36" s="1"/>
  <c r="H475" i="36"/>
  <c r="I475" i="36" s="1"/>
  <c r="BS111" i="36"/>
  <c r="BT111" i="36" s="1"/>
  <c r="BS395" i="36"/>
  <c r="BT395" i="36" s="1"/>
  <c r="AR188" i="36"/>
  <c r="AS188" i="36" s="1"/>
  <c r="Z188" i="36"/>
  <c r="AA188" i="36" s="1"/>
  <c r="Q132" i="36"/>
  <c r="R132" i="36" s="1"/>
  <c r="BJ41" i="36"/>
  <c r="BK41" i="36" s="1"/>
  <c r="H391" i="36"/>
  <c r="I391" i="36" s="1"/>
  <c r="BJ433" i="36"/>
  <c r="BK433" i="36" s="1"/>
  <c r="BA118" i="36"/>
  <c r="BB118" i="36" s="1"/>
  <c r="BJ608" i="36"/>
  <c r="BK608" i="36" s="1"/>
  <c r="BJ348" i="36"/>
  <c r="BK348" i="36" s="1"/>
  <c r="BA411" i="36"/>
  <c r="BB411" i="36" s="1"/>
  <c r="Z445" i="36"/>
  <c r="AA445" i="36" s="1"/>
  <c r="AI532" i="36"/>
  <c r="AJ532" i="36" s="1"/>
  <c r="BS368" i="36"/>
  <c r="BT368" i="36" s="1"/>
  <c r="AR368" i="36"/>
  <c r="AS368" i="36" s="1"/>
  <c r="AI548" i="36"/>
  <c r="AJ548" i="36" s="1"/>
  <c r="CB121" i="36"/>
  <c r="CC121" i="36" s="1"/>
  <c r="BS355" i="36"/>
  <c r="BT355" i="36" s="1"/>
  <c r="BB4" i="26"/>
  <c r="AA5" i="35" s="1"/>
  <c r="BU4" i="24"/>
  <c r="AR4" i="24" s="1"/>
  <c r="S8" i="9" s="1"/>
  <c r="BB5" i="26"/>
  <c r="BB7" i="26"/>
  <c r="BB8" i="26"/>
  <c r="BB6" i="26"/>
  <c r="CB127" i="36"/>
  <c r="CC127" i="36" s="1"/>
  <c r="CB257" i="36"/>
  <c r="CC257" i="36" s="1"/>
  <c r="BA610" i="36"/>
  <c r="BB610" i="36" s="1"/>
  <c r="AI523" i="36"/>
  <c r="AJ523" i="36" s="1"/>
  <c r="AR486" i="36"/>
  <c r="AS486" i="36" s="1"/>
  <c r="CB115" i="36"/>
  <c r="CC115" i="36" s="1"/>
  <c r="BJ557" i="36"/>
  <c r="BK557" i="36" s="1"/>
  <c r="BA322" i="36"/>
  <c r="BB322" i="36" s="1"/>
  <c r="AR161" i="36"/>
  <c r="AS161" i="36" s="1"/>
  <c r="BA143" i="36"/>
  <c r="BB143" i="36" s="1"/>
  <c r="AI317" i="36"/>
  <c r="AJ317" i="36" s="1"/>
  <c r="BS99" i="36"/>
  <c r="BT99" i="36" s="1"/>
  <c r="H415" i="36"/>
  <c r="I415" i="36" s="1"/>
  <c r="H510" i="36"/>
  <c r="I510" i="36" s="1"/>
  <c r="BE11" i="26"/>
  <c r="BE10" i="26"/>
  <c r="BE9" i="26"/>
  <c r="BE12" i="26"/>
  <c r="BX5" i="24"/>
  <c r="AU5" i="24" s="1"/>
  <c r="V9" i="9" s="1"/>
  <c r="Q378" i="36"/>
  <c r="R378" i="36" s="1"/>
  <c r="AR439" i="36"/>
  <c r="AS439" i="36" s="1"/>
  <c r="AI67" i="36"/>
  <c r="AJ67" i="36" s="1"/>
  <c r="BC6" i="26"/>
  <c r="BC7" i="26"/>
  <c r="BC5" i="26"/>
  <c r="BV4" i="24"/>
  <c r="AS4" i="24" s="1"/>
  <c r="T8" i="9" s="1"/>
  <c r="BC8" i="26"/>
  <c r="BC4" i="26"/>
  <c r="AB5" i="35" s="1"/>
  <c r="AR327" i="36"/>
  <c r="AS327" i="36" s="1"/>
  <c r="BS357" i="36"/>
  <c r="BT357" i="36" s="1"/>
  <c r="CB94" i="36"/>
  <c r="CC94" i="36" s="1"/>
  <c r="AR185" i="36"/>
  <c r="AS185" i="36" s="1"/>
  <c r="Z109" i="36"/>
  <c r="AA109" i="36" s="1"/>
  <c r="BJ115" i="36"/>
  <c r="BK115" i="36" s="1"/>
  <c r="AR449" i="36"/>
  <c r="AS449" i="36" s="1"/>
  <c r="CB425" i="36"/>
  <c r="CC425" i="36" s="1"/>
  <c r="AR42" i="36"/>
  <c r="AS42" i="36" s="1"/>
  <c r="BA227" i="36"/>
  <c r="BB227" i="36" s="1"/>
  <c r="H276" i="36"/>
  <c r="I276" i="36" s="1"/>
  <c r="AR132" i="36"/>
  <c r="AS132" i="36" s="1"/>
  <c r="BA508" i="36"/>
  <c r="BB508" i="36" s="1"/>
  <c r="BA101" i="36"/>
  <c r="BB101" i="36" s="1"/>
  <c r="H441" i="36"/>
  <c r="I441" i="36" s="1"/>
  <c r="AI362" i="36"/>
  <c r="AJ362" i="36" s="1"/>
  <c r="AI98" i="36"/>
  <c r="AJ98" i="36" s="1"/>
  <c r="CB371" i="36"/>
  <c r="CC371" i="36" s="1"/>
  <c r="BJ143" i="36"/>
  <c r="BK143" i="36" s="1"/>
  <c r="BS380" i="36"/>
  <c r="BT380" i="36" s="1"/>
  <c r="Z425" i="36"/>
  <c r="AA425" i="36" s="1"/>
  <c r="AR137" i="36"/>
  <c r="AS137" i="36" s="1"/>
  <c r="H248" i="36"/>
  <c r="I248" i="36" s="1"/>
  <c r="AI453" i="36"/>
  <c r="AJ453" i="36" s="1"/>
  <c r="BA71" i="36"/>
  <c r="BB71" i="36" s="1"/>
  <c r="H278" i="36"/>
  <c r="I278" i="36" s="1"/>
  <c r="H500" i="36"/>
  <c r="I500" i="36" s="1"/>
  <c r="Z113" i="36"/>
  <c r="AA113" i="36" s="1"/>
  <c r="BS462" i="36"/>
  <c r="BT462" i="36" s="1"/>
  <c r="CB427" i="36"/>
  <c r="CC427" i="36" s="1"/>
  <c r="Z375" i="36"/>
  <c r="AA375" i="36" s="1"/>
  <c r="BA5" i="26"/>
  <c r="BA6" i="26"/>
  <c r="BA7" i="26"/>
  <c r="BA8" i="26"/>
  <c r="BA4" i="26"/>
  <c r="Z5" i="35" s="1"/>
  <c r="BT4" i="24"/>
  <c r="AQ4" i="24" s="1"/>
  <c r="R8" i="9" s="1"/>
  <c r="AI190" i="36"/>
  <c r="AJ190" i="36" s="1"/>
  <c r="AR39" i="36"/>
  <c r="AS39" i="36" s="1"/>
  <c r="BX12" i="24"/>
  <c r="AU12" i="24" s="1"/>
  <c r="V16" i="9" s="1"/>
  <c r="AI403" i="36"/>
  <c r="AJ403" i="36" s="1"/>
  <c r="H433" i="36"/>
  <c r="I433" i="36" s="1"/>
  <c r="BA500" i="36"/>
  <c r="BB500" i="36" s="1"/>
  <c r="BA480" i="36"/>
  <c r="BB480" i="36" s="1"/>
  <c r="Q311" i="36"/>
  <c r="R311" i="36" s="1"/>
  <c r="BA434" i="36"/>
  <c r="BB434" i="36" s="1"/>
  <c r="AR218" i="36"/>
  <c r="AS218" i="36" s="1"/>
  <c r="Z225" i="36"/>
  <c r="AA225" i="36" s="1"/>
  <c r="AI402" i="36"/>
  <c r="AJ402" i="36" s="1"/>
  <c r="AI386" i="36"/>
  <c r="AJ386" i="36" s="1"/>
  <c r="AR477" i="36"/>
  <c r="AS477" i="36" s="1"/>
  <c r="Z390" i="36"/>
  <c r="AA390" i="36" s="1"/>
  <c r="Z431" i="36"/>
  <c r="AA431" i="36" s="1"/>
  <c r="H219" i="36"/>
  <c r="I219" i="36" s="1"/>
  <c r="Z536" i="36"/>
  <c r="AA536" i="36" s="1"/>
  <c r="BS471" i="36"/>
  <c r="BT471" i="36" s="1"/>
  <c r="BA137" i="36"/>
  <c r="BB137" i="36" s="1"/>
  <c r="CB147" i="36"/>
  <c r="CC147" i="36" s="1"/>
  <c r="Q191" i="36"/>
  <c r="R191" i="36" s="1"/>
  <c r="H57" i="36"/>
  <c r="I57" i="36" s="1"/>
  <c r="AI209" i="36"/>
  <c r="AJ209" i="36" s="1"/>
  <c r="BJ203" i="36"/>
  <c r="BK203" i="36" s="1"/>
  <c r="BJ159" i="36"/>
  <c r="BK159" i="36" s="1"/>
  <c r="AI212" i="36"/>
  <c r="AJ212" i="36" s="1"/>
  <c r="CB346" i="36"/>
  <c r="CC346" i="36" s="1"/>
  <c r="BW7" i="24"/>
  <c r="AT7" i="24" s="1"/>
  <c r="Q442" i="36"/>
  <c r="R442" i="36" s="1"/>
  <c r="Z286" i="36"/>
  <c r="AA286" i="36" s="1"/>
  <c r="AI440" i="36"/>
  <c r="AJ440" i="36" s="1"/>
  <c r="H74" i="36"/>
  <c r="I74" i="36" s="1"/>
  <c r="BS40" i="36"/>
  <c r="BT40" i="36" s="1"/>
  <c r="Z290" i="36"/>
  <c r="AA290" i="36" s="1"/>
  <c r="BJ537" i="36"/>
  <c r="BK537" i="36" s="1"/>
  <c r="AR506" i="36"/>
  <c r="AS506" i="36" s="1"/>
  <c r="P48" i="9"/>
  <c r="BV11" i="26"/>
  <c r="Q276" i="36"/>
  <c r="R276" i="36" s="1"/>
  <c r="BS372" i="36"/>
  <c r="BT372" i="36" s="1"/>
  <c r="H274" i="36"/>
  <c r="I274" i="36" s="1"/>
  <c r="AI241" i="36"/>
  <c r="AJ241" i="36" s="1"/>
  <c r="AR578" i="36"/>
  <c r="AS578" i="36" s="1"/>
  <c r="BA486" i="36"/>
  <c r="BB486" i="36" s="1"/>
  <c r="BA260" i="36"/>
  <c r="BB260" i="36" s="1"/>
  <c r="AI555" i="36"/>
  <c r="AJ555" i="36" s="1"/>
  <c r="BA490" i="36"/>
  <c r="BB490" i="36" s="1"/>
  <c r="BJ156" i="36"/>
  <c r="BK156" i="36" s="1"/>
  <c r="BJ477" i="36"/>
  <c r="BK477" i="36" s="1"/>
  <c r="BA161" i="36"/>
  <c r="BB161" i="36" s="1"/>
  <c r="BS146" i="36"/>
  <c r="BT146" i="36" s="1"/>
  <c r="Q152" i="36"/>
  <c r="R152" i="36" s="1"/>
  <c r="AI505" i="36"/>
  <c r="AJ505" i="36" s="1"/>
  <c r="AR395" i="36"/>
  <c r="AS395" i="36" s="1"/>
  <c r="BV7" i="24"/>
  <c r="AS7" i="24" s="1"/>
  <c r="T11" i="9" s="1"/>
  <c r="AI400" i="36"/>
  <c r="AJ400" i="36" s="1"/>
  <c r="AR111" i="36"/>
  <c r="AS111" i="36" s="1"/>
  <c r="H429" i="36"/>
  <c r="I429" i="36" s="1"/>
  <c r="CB187" i="36"/>
  <c r="CC187" i="36" s="1"/>
  <c r="CB333" i="36"/>
  <c r="CC333" i="36" s="1"/>
  <c r="Q73" i="36"/>
  <c r="R73" i="36" s="1"/>
  <c r="BS140" i="36"/>
  <c r="BT140" i="36" s="1"/>
  <c r="Z278" i="36"/>
  <c r="AA278" i="36" s="1"/>
  <c r="Q59" i="36"/>
  <c r="R59" i="36" s="1"/>
  <c r="Z407" i="36"/>
  <c r="AA407" i="36" s="1"/>
  <c r="Q417" i="36"/>
  <c r="R417" i="36" s="1"/>
  <c r="H184" i="36"/>
  <c r="I184" i="36" s="1"/>
  <c r="CB185" i="36"/>
  <c r="CC185" i="36" s="1"/>
  <c r="CB275" i="36"/>
  <c r="CC275" i="36" s="1"/>
  <c r="CB110" i="36"/>
  <c r="CC110" i="36" s="1"/>
  <c r="BJ515" i="36"/>
  <c r="BK515" i="36" s="1"/>
  <c r="CB49" i="36"/>
  <c r="CC49" i="36" s="1"/>
  <c r="CB160" i="36"/>
  <c r="CC160" i="36" s="1"/>
  <c r="AR103" i="36"/>
  <c r="AS103" i="36" s="1"/>
  <c r="BS363" i="36"/>
  <c r="BT363" i="36" s="1"/>
  <c r="AR235" i="36"/>
  <c r="AS235" i="36" s="1"/>
  <c r="CB105" i="36"/>
  <c r="CC105" i="36" s="1"/>
  <c r="BJ484" i="36"/>
  <c r="BK484" i="36" s="1"/>
  <c r="Z142" i="36"/>
  <c r="AA142" i="36" s="1"/>
  <c r="BA471" i="36"/>
  <c r="BB471" i="36" s="1"/>
  <c r="H422" i="36"/>
  <c r="I422" i="36" s="1"/>
  <c r="BS385" i="36"/>
  <c r="BT385" i="36" s="1"/>
  <c r="O45" i="9"/>
  <c r="BU8" i="26"/>
  <c r="H406" i="36"/>
  <c r="I406" i="36" s="1"/>
  <c r="Q390" i="36"/>
  <c r="R390" i="36" s="1"/>
  <c r="CB368" i="36"/>
  <c r="CC368" i="36" s="1"/>
  <c r="BS174" i="36"/>
  <c r="BT174" i="36" s="1"/>
  <c r="AR408" i="36"/>
  <c r="AS408" i="36" s="1"/>
  <c r="AI298" i="36"/>
  <c r="AJ298" i="36" s="1"/>
  <c r="BJ476" i="36"/>
  <c r="BK476" i="36" s="1"/>
  <c r="AR296" i="36"/>
  <c r="AS296" i="36" s="1"/>
  <c r="Z283" i="36"/>
  <c r="AA283" i="36" s="1"/>
  <c r="Q183" i="36"/>
  <c r="R183" i="36" s="1"/>
  <c r="AI162" i="36"/>
  <c r="AJ162" i="36" s="1"/>
  <c r="H223" i="36"/>
  <c r="I223" i="36" s="1"/>
  <c r="BA484" i="36"/>
  <c r="BB484" i="36" s="1"/>
  <c r="AI444" i="36"/>
  <c r="AJ444" i="36" s="1"/>
  <c r="BJ253" i="36"/>
  <c r="BK253" i="36" s="1"/>
  <c r="Q140" i="36"/>
  <c r="R140" i="36" s="1"/>
  <c r="BJ431" i="36"/>
  <c r="BK431" i="36" s="1"/>
  <c r="BS189" i="36"/>
  <c r="BT189" i="36" s="1"/>
  <c r="Z176" i="36"/>
  <c r="AA176" i="36" s="1"/>
  <c r="BJ282" i="36"/>
  <c r="BK282" i="36" s="1"/>
  <c r="AI430" i="36"/>
  <c r="AJ430" i="36" s="1"/>
  <c r="BA224" i="36"/>
  <c r="BB224" i="36" s="1"/>
  <c r="BS420" i="36"/>
  <c r="BT420" i="36" s="1"/>
  <c r="BA353" i="36"/>
  <c r="BB353" i="36" s="1"/>
  <c r="AR475" i="36"/>
  <c r="AS475" i="36" s="1"/>
  <c r="AR189" i="36"/>
  <c r="AS189" i="36" s="1"/>
  <c r="BJ103" i="36"/>
  <c r="BK103" i="36" s="1"/>
  <c r="CB95" i="36"/>
  <c r="CC95" i="36" s="1"/>
  <c r="AR71" i="36"/>
  <c r="AS71" i="36" s="1"/>
  <c r="Q43" i="36"/>
  <c r="R43" i="36" s="1"/>
  <c r="BJ546" i="36"/>
  <c r="BK546" i="36" s="1"/>
  <c r="Q205" i="36"/>
  <c r="R205" i="36" s="1"/>
  <c r="AR405" i="36"/>
  <c r="AS405" i="36" s="1"/>
  <c r="AI178" i="36"/>
  <c r="AJ178" i="36" s="1"/>
  <c r="BA435" i="36"/>
  <c r="BB435" i="36" s="1"/>
  <c r="AR277" i="36"/>
  <c r="AS277" i="36" s="1"/>
  <c r="Z436" i="36"/>
  <c r="AA436" i="36" s="1"/>
  <c r="BA211" i="36"/>
  <c r="BB211" i="36" s="1"/>
  <c r="BJ221" i="36"/>
  <c r="BK221" i="36" s="1"/>
  <c r="CB240" i="36"/>
  <c r="CC240" i="36" s="1"/>
  <c r="CB372" i="36"/>
  <c r="CC372" i="36" s="1"/>
  <c r="BU9" i="24"/>
  <c r="AR9" i="24" s="1"/>
  <c r="S13" i="9" s="1"/>
  <c r="BJ610" i="36"/>
  <c r="BK610" i="36" s="1"/>
  <c r="CB181" i="36"/>
  <c r="CC181" i="36" s="1"/>
  <c r="BJ216" i="36"/>
  <c r="BK216" i="36" s="1"/>
  <c r="Z63" i="36"/>
  <c r="AA63" i="36" s="1"/>
  <c r="AR304" i="36"/>
  <c r="AS304" i="36" s="1"/>
  <c r="Z91" i="36"/>
  <c r="AA91" i="36" s="1"/>
  <c r="BJ424" i="36"/>
  <c r="BK424" i="36" s="1"/>
  <c r="BJ406" i="36"/>
  <c r="BK406" i="36" s="1"/>
  <c r="Q444" i="36"/>
  <c r="R444" i="36" s="1"/>
  <c r="AI141" i="36"/>
  <c r="AJ141" i="36" s="1"/>
  <c r="BS222" i="36"/>
  <c r="BT222" i="36" s="1"/>
  <c r="BS438" i="36"/>
  <c r="BT438" i="36" s="1"/>
  <c r="BJ109" i="36"/>
  <c r="BK109" i="36" s="1"/>
  <c r="Q280" i="36"/>
  <c r="R280" i="36" s="1"/>
  <c r="CB167" i="36"/>
  <c r="CC167" i="36" s="1"/>
  <c r="BS68" i="36"/>
  <c r="BT68" i="36" s="1"/>
  <c r="BS182" i="36"/>
  <c r="BT182" i="36" s="1"/>
  <c r="AI262" i="36"/>
  <c r="AJ262" i="36" s="1"/>
  <c r="CB227" i="36"/>
  <c r="CC227" i="36" s="1"/>
  <c r="BA168" i="36"/>
  <c r="BB168" i="36" s="1"/>
  <c r="H496" i="36"/>
  <c r="I496" i="36" s="1"/>
  <c r="Q434" i="36"/>
  <c r="R434" i="36" s="1"/>
  <c r="CB158" i="36"/>
  <c r="CC158" i="36" s="1"/>
  <c r="BS315" i="36"/>
  <c r="BT315" i="36" s="1"/>
  <c r="H230" i="36"/>
  <c r="I230" i="36" s="1"/>
  <c r="BJ351" i="36"/>
  <c r="BK351" i="36" s="1"/>
  <c r="BS421" i="36"/>
  <c r="BT421" i="36" s="1"/>
  <c r="AI361" i="36"/>
  <c r="AJ361" i="36" s="1"/>
  <c r="Z427" i="36"/>
  <c r="AA427" i="36" s="1"/>
  <c r="BJ147" i="36"/>
  <c r="BK147" i="36" s="1"/>
  <c r="CB334" i="36"/>
  <c r="CC334" i="36" s="1"/>
  <c r="H58" i="36"/>
  <c r="I58" i="36" s="1"/>
  <c r="BA73" i="36"/>
  <c r="BB73" i="36" s="1"/>
  <c r="AI366" i="36"/>
  <c r="AJ366" i="36" s="1"/>
  <c r="CB353" i="36"/>
  <c r="CC353" i="36" s="1"/>
  <c r="CB92" i="36"/>
  <c r="CC92" i="36" s="1"/>
  <c r="BJ552" i="36"/>
  <c r="BK552" i="36" s="1"/>
  <c r="BJ62" i="36"/>
  <c r="BK62" i="36" s="1"/>
  <c r="AR274" i="36"/>
  <c r="AS274" i="36" s="1"/>
  <c r="Z205" i="36"/>
  <c r="AA205" i="36" s="1"/>
  <c r="CB389" i="36"/>
  <c r="CC389" i="36" s="1"/>
  <c r="AR93" i="36"/>
  <c r="AS93" i="36" s="1"/>
  <c r="BA44" i="36"/>
  <c r="BB44" i="36" s="1"/>
  <c r="Q67" i="36"/>
  <c r="R67" i="36" s="1"/>
  <c r="BS282" i="36"/>
  <c r="BT282" i="36" s="1"/>
  <c r="BA69" i="36"/>
  <c r="BB69" i="36" s="1"/>
  <c r="AI211" i="36"/>
  <c r="AJ211" i="36" s="1"/>
  <c r="Z136" i="36"/>
  <c r="AA136" i="36" s="1"/>
  <c r="H127" i="36"/>
  <c r="I127" i="36" s="1"/>
  <c r="Q203" i="36"/>
  <c r="R203" i="36" s="1"/>
  <c r="H59" i="36"/>
  <c r="I59" i="36" s="1"/>
  <c r="Q180" i="36"/>
  <c r="R180" i="36" s="1"/>
  <c r="BS432" i="36"/>
  <c r="BT432" i="36" s="1"/>
  <c r="AR364" i="36"/>
  <c r="AS364" i="36" s="1"/>
  <c r="AR152" i="36"/>
  <c r="AS152" i="36" s="1"/>
  <c r="BA422" i="36"/>
  <c r="BB422" i="36" s="1"/>
  <c r="Z320" i="36"/>
  <c r="AA320" i="36" s="1"/>
  <c r="CB238" i="36"/>
  <c r="CC238" i="36" s="1"/>
  <c r="H355" i="36"/>
  <c r="I355" i="36" s="1"/>
  <c r="Q157" i="36"/>
  <c r="R157" i="36" s="1"/>
  <c r="BA485" i="36"/>
  <c r="BB485" i="36" s="1"/>
  <c r="Q450" i="36"/>
  <c r="R450" i="36" s="1"/>
  <c r="Q498" i="36"/>
  <c r="R498" i="36" s="1"/>
  <c r="BS106" i="36"/>
  <c r="BT106" i="36" s="1"/>
  <c r="AR479" i="36"/>
  <c r="AS479" i="36" s="1"/>
  <c r="CB348" i="36"/>
  <c r="CC348" i="36" s="1"/>
  <c r="BJ212" i="36"/>
  <c r="BK212" i="36" s="1"/>
  <c r="BJ609" i="36"/>
  <c r="BK609" i="36" s="1"/>
  <c r="AI186" i="36"/>
  <c r="AJ186" i="36" s="1"/>
  <c r="BT6" i="26"/>
  <c r="N43" i="9"/>
  <c r="Z199" i="36"/>
  <c r="AA199" i="36" s="1"/>
  <c r="Q433" i="36"/>
  <c r="R433" i="36" s="1"/>
  <c r="BA142" i="36"/>
  <c r="BB142" i="36" s="1"/>
  <c r="BJ562" i="36"/>
  <c r="BK562" i="36" s="1"/>
  <c r="BS210" i="36"/>
  <c r="BT210" i="36" s="1"/>
  <c r="H286" i="36"/>
  <c r="I286" i="36" s="1"/>
  <c r="AR520" i="36"/>
  <c r="AS520" i="36" s="1"/>
  <c r="H503" i="36"/>
  <c r="I503" i="36" s="1"/>
  <c r="H109" i="36"/>
  <c r="I109" i="36" s="1"/>
  <c r="Q372" i="36"/>
  <c r="R372" i="36" s="1"/>
  <c r="BA587" i="36"/>
  <c r="BB587" i="36" s="1"/>
  <c r="BS225" i="36"/>
  <c r="BT225" i="36" s="1"/>
  <c r="Q536" i="36"/>
  <c r="R536" i="36" s="1"/>
  <c r="P49" i="9"/>
  <c r="BV12" i="26"/>
  <c r="Q448" i="36"/>
  <c r="R448" i="36" s="1"/>
  <c r="AI433" i="36"/>
  <c r="AJ433" i="36" s="1"/>
  <c r="Z438" i="36"/>
  <c r="AA438" i="36" s="1"/>
  <c r="BJ495" i="36"/>
  <c r="BK495" i="36" s="1"/>
  <c r="Z487" i="36"/>
  <c r="AA487" i="36" s="1"/>
  <c r="AI424" i="36"/>
  <c r="AJ424" i="36" s="1"/>
  <c r="Z130" i="36"/>
  <c r="AA130" i="36" s="1"/>
  <c r="CB318" i="36"/>
  <c r="CC318" i="36" s="1"/>
  <c r="BA487" i="36"/>
  <c r="BB487" i="36" s="1"/>
  <c r="BS337" i="36"/>
  <c r="BT337" i="36" s="1"/>
  <c r="CB171" i="36"/>
  <c r="CC171" i="36" s="1"/>
  <c r="Q407" i="36"/>
  <c r="R407" i="36" s="1"/>
  <c r="BJ100" i="36"/>
  <c r="BK100" i="36" s="1"/>
  <c r="AR157" i="36"/>
  <c r="AS157" i="36" s="1"/>
  <c r="H258" i="36"/>
  <c r="I258" i="36" s="1"/>
  <c r="H144" i="36"/>
  <c r="I144" i="36" s="1"/>
  <c r="AI519" i="36"/>
  <c r="AJ519" i="36" s="1"/>
  <c r="BJ195" i="36"/>
  <c r="BK195" i="36" s="1"/>
  <c r="L48" i="9"/>
  <c r="BR11" i="26"/>
  <c r="BS365" i="36"/>
  <c r="BT365" i="36" s="1"/>
  <c r="BS76" i="36"/>
  <c r="BT76" i="36" s="1"/>
  <c r="AR271" i="36"/>
  <c r="AS271" i="36" s="1"/>
  <c r="BA107" i="36"/>
  <c r="BB107" i="36" s="1"/>
  <c r="AR314" i="36"/>
  <c r="AS314" i="36" s="1"/>
  <c r="BJ466" i="36"/>
  <c r="BK466" i="36" s="1"/>
  <c r="AR468" i="36"/>
  <c r="AS468" i="36" s="1"/>
  <c r="BA158" i="36"/>
  <c r="BB158" i="36" s="1"/>
  <c r="BJ119" i="36"/>
  <c r="BK119" i="36" s="1"/>
  <c r="H197" i="36"/>
  <c r="I197" i="36" s="1"/>
  <c r="BJ209" i="36"/>
  <c r="BK209" i="36" s="1"/>
  <c r="BJ275" i="36"/>
  <c r="BK275" i="36" s="1"/>
  <c r="BA157" i="36"/>
  <c r="BB157" i="36" s="1"/>
  <c r="Z138" i="36"/>
  <c r="AA138" i="36" s="1"/>
  <c r="CB188" i="36"/>
  <c r="CC188" i="36" s="1"/>
  <c r="H137" i="36"/>
  <c r="I137" i="36" s="1"/>
  <c r="BT10" i="26"/>
  <c r="N47" i="9"/>
  <c r="AI160" i="36"/>
  <c r="AJ160" i="36" s="1"/>
  <c r="BJ539" i="36"/>
  <c r="BK539" i="36" s="1"/>
  <c r="BA458" i="36"/>
  <c r="BB458" i="36" s="1"/>
  <c r="Q138" i="36"/>
  <c r="R138" i="36" s="1"/>
  <c r="BA269" i="36"/>
  <c r="BB269" i="36" s="1"/>
  <c r="Q126" i="36"/>
  <c r="R126" i="36" s="1"/>
  <c r="Q416" i="36"/>
  <c r="R416" i="36" s="1"/>
  <c r="Z439" i="36"/>
  <c r="AA439" i="36" s="1"/>
  <c r="AR324" i="36"/>
  <c r="AS324" i="36" s="1"/>
  <c r="BS277" i="36"/>
  <c r="BT277" i="36" s="1"/>
  <c r="BA212" i="36"/>
  <c r="BB212" i="36" s="1"/>
  <c r="AR184" i="36"/>
  <c r="AS184" i="36" s="1"/>
  <c r="CB99" i="36"/>
  <c r="CC99" i="36" s="1"/>
  <c r="Z452" i="36"/>
  <c r="AA452" i="36" s="1"/>
  <c r="BJ430" i="36"/>
  <c r="BK430" i="36" s="1"/>
  <c r="Q504" i="36"/>
  <c r="R504" i="36" s="1"/>
  <c r="Z150" i="36"/>
  <c r="AA150" i="36" s="1"/>
  <c r="Q438" i="36"/>
  <c r="R438" i="36" s="1"/>
  <c r="BJ489" i="36"/>
  <c r="BK489" i="36" s="1"/>
  <c r="Q69" i="36"/>
  <c r="R69" i="36" s="1"/>
  <c r="BJ148" i="36"/>
  <c r="BK148" i="36" s="1"/>
  <c r="BJ461" i="36"/>
  <c r="BK461" i="36" s="1"/>
  <c r="BA201" i="36"/>
  <c r="BB201" i="36" s="1"/>
  <c r="AI265" i="36"/>
  <c r="AJ265" i="36" s="1"/>
  <c r="H234" i="36"/>
  <c r="I234" i="36" s="1"/>
  <c r="Q420" i="36"/>
  <c r="R420" i="36" s="1"/>
  <c r="CB103" i="36"/>
  <c r="CC103" i="36" s="1"/>
  <c r="BS66" i="36"/>
  <c r="BT66" i="36" s="1"/>
  <c r="H483" i="36"/>
  <c r="I483" i="36" s="1"/>
  <c r="AI469" i="36"/>
  <c r="AJ469" i="36" s="1"/>
  <c r="Q454" i="36"/>
  <c r="R454" i="36" s="1"/>
  <c r="BS114" i="36"/>
  <c r="BT114" i="36" s="1"/>
  <c r="Z68" i="36"/>
  <c r="AA68" i="36" s="1"/>
  <c r="BS434" i="36"/>
  <c r="BT434" i="36" s="1"/>
  <c r="AR541" i="36"/>
  <c r="AS541" i="36" s="1"/>
  <c r="CB355" i="36"/>
  <c r="CC355" i="36" s="1"/>
  <c r="H158" i="36"/>
  <c r="I158" i="36" s="1"/>
  <c r="BS366" i="36"/>
  <c r="BT366" i="36" s="1"/>
  <c r="BJ290" i="36"/>
  <c r="BK290" i="36" s="1"/>
  <c r="AR60" i="36"/>
  <c r="AS60" i="36" s="1"/>
  <c r="AI448" i="36"/>
  <c r="AJ448" i="36" s="1"/>
  <c r="BJ114" i="36"/>
  <c r="BK114" i="36" s="1"/>
  <c r="Q428" i="36"/>
  <c r="R428" i="36" s="1"/>
  <c r="Z93" i="36"/>
  <c r="AA93" i="36" s="1"/>
  <c r="BJ486" i="36"/>
  <c r="BK486" i="36" s="1"/>
  <c r="BS137" i="36"/>
  <c r="BT137" i="36" s="1"/>
  <c r="BJ474" i="36"/>
  <c r="BK474" i="36" s="1"/>
  <c r="AI464" i="36"/>
  <c r="AJ464" i="36" s="1"/>
  <c r="Z453" i="36"/>
  <c r="AA453" i="36" s="1"/>
  <c r="Q219" i="36"/>
  <c r="R219" i="36" s="1"/>
  <c r="H378" i="36"/>
  <c r="I378" i="36" s="1"/>
  <c r="Q383" i="36"/>
  <c r="R383" i="36" s="1"/>
  <c r="AI189" i="36"/>
  <c r="AJ189" i="36" s="1"/>
  <c r="CB247" i="36"/>
  <c r="CC247" i="36" s="1"/>
  <c r="BA197" i="36"/>
  <c r="BB197" i="36" s="1"/>
  <c r="BA331" i="36"/>
  <c r="BB331" i="36" s="1"/>
  <c r="BS356" i="36"/>
  <c r="BT356" i="36" s="1"/>
  <c r="Q424" i="36"/>
  <c r="R424" i="36" s="1"/>
  <c r="H42" i="36"/>
  <c r="I42" i="36" s="1"/>
  <c r="AR242" i="36"/>
  <c r="AS242" i="36" s="1"/>
  <c r="AI467" i="36"/>
  <c r="AJ467" i="36" s="1"/>
  <c r="AI284" i="36"/>
  <c r="AJ284" i="36" s="1"/>
  <c r="AI114" i="36"/>
  <c r="AJ114" i="36" s="1"/>
  <c r="Z151" i="36"/>
  <c r="AA151" i="36" s="1"/>
  <c r="H194" i="36"/>
  <c r="I194" i="36" s="1"/>
  <c r="Z39" i="36"/>
  <c r="AA39" i="36" s="1"/>
  <c r="BJ144" i="36"/>
  <c r="BK144" i="36" s="1"/>
  <c r="AI70" i="36"/>
  <c r="AJ70" i="36" s="1"/>
  <c r="CB214" i="36"/>
  <c r="CC214" i="36" s="1"/>
  <c r="BA325" i="36"/>
  <c r="BB325" i="36" s="1"/>
  <c r="BS390" i="36"/>
  <c r="BT390" i="36" s="1"/>
  <c r="AR489" i="36"/>
  <c r="AS489" i="36" s="1"/>
  <c r="Z371" i="36"/>
  <c r="AA371" i="36" s="1"/>
  <c r="CB50" i="36"/>
  <c r="CC50" i="36" s="1"/>
  <c r="Q283" i="36"/>
  <c r="R283" i="36" s="1"/>
  <c r="BS455" i="36"/>
  <c r="BT455" i="36" s="1"/>
  <c r="AR249" i="36"/>
  <c r="AS249" i="36" s="1"/>
  <c r="AI446" i="36"/>
  <c r="AJ446" i="36" s="1"/>
  <c r="Z187" i="36"/>
  <c r="AA187" i="36" s="1"/>
  <c r="Q139" i="36"/>
  <c r="R139" i="36" s="1"/>
  <c r="H73" i="36"/>
  <c r="I73" i="36" s="1"/>
  <c r="BJ491" i="36"/>
  <c r="BK491" i="36" s="1"/>
  <c r="H317" i="36"/>
  <c r="I317" i="36" s="1"/>
  <c r="BJ586" i="36"/>
  <c r="BK586" i="36" s="1"/>
  <c r="BJ580" i="36"/>
  <c r="BK580" i="36" s="1"/>
  <c r="H231" i="36"/>
  <c r="I231" i="36" s="1"/>
  <c r="Q453" i="36"/>
  <c r="R453" i="36" s="1"/>
  <c r="BA62" i="36"/>
  <c r="BB62" i="36" s="1"/>
  <c r="AI427" i="36"/>
  <c r="AJ427" i="36" s="1"/>
  <c r="BS375" i="36"/>
  <c r="BT375" i="36" s="1"/>
  <c r="BA358" i="36"/>
  <c r="BB358" i="36" s="1"/>
  <c r="BS391" i="36"/>
  <c r="BT391" i="36" s="1"/>
  <c r="Z57" i="36"/>
  <c r="AA57" i="36" s="1"/>
  <c r="Q202" i="36"/>
  <c r="R202" i="36" s="1"/>
  <c r="BA470" i="36"/>
  <c r="BB470" i="36" s="1"/>
  <c r="Q190" i="36"/>
  <c r="R190" i="36" s="1"/>
  <c r="AI399" i="36"/>
  <c r="AJ399" i="36" s="1"/>
  <c r="CB159" i="36"/>
  <c r="CC159" i="36" s="1"/>
  <c r="BJ68" i="36"/>
  <c r="BK68" i="36" s="1"/>
  <c r="CB422" i="36"/>
  <c r="CC422" i="36" s="1"/>
  <c r="CB55" i="36"/>
  <c r="CC55" i="36" s="1"/>
  <c r="BA312" i="36"/>
  <c r="BB312" i="36" s="1"/>
  <c r="BJ251" i="36"/>
  <c r="BK251" i="36" s="1"/>
  <c r="H141" i="36"/>
  <c r="I141" i="36" s="1"/>
  <c r="Z184" i="36"/>
  <c r="AA184" i="36" s="1"/>
  <c r="Z204" i="36"/>
  <c r="AA204" i="36" s="1"/>
  <c r="BA463" i="36"/>
  <c r="BB463" i="36" s="1"/>
  <c r="BA146" i="36"/>
  <c r="BB146" i="36" s="1"/>
  <c r="Z511" i="36"/>
  <c r="AA511" i="36" s="1"/>
  <c r="BS5" i="24"/>
  <c r="AP5" i="24" s="1"/>
  <c r="Q9" i="9" s="1"/>
  <c r="AZ9" i="26"/>
  <c r="AZ10" i="26"/>
  <c r="AZ12" i="26"/>
  <c r="AZ11" i="26"/>
  <c r="BD7" i="26"/>
  <c r="BD8" i="26"/>
  <c r="BD4" i="26"/>
  <c r="BD6" i="26"/>
  <c r="BD5" i="26"/>
  <c r="BW4" i="24"/>
  <c r="AT4" i="24" s="1"/>
  <c r="U8" i="9" s="1"/>
  <c r="CB230" i="36"/>
  <c r="CC230" i="36" s="1"/>
  <c r="Q402" i="36"/>
  <c r="R402" i="36" s="1"/>
  <c r="CB321" i="36"/>
  <c r="CC321" i="36" s="1"/>
  <c r="Q274" i="36"/>
  <c r="R274" i="36" s="1"/>
  <c r="BA67" i="36"/>
  <c r="BB67" i="36" s="1"/>
  <c r="Q539" i="36"/>
  <c r="R539" i="36" s="1"/>
  <c r="BA214" i="36"/>
  <c r="BB214" i="36" s="1"/>
  <c r="AR183" i="36"/>
  <c r="AS183" i="36" s="1"/>
  <c r="CB143" i="36"/>
  <c r="CC143" i="36" s="1"/>
  <c r="BA604" i="36"/>
  <c r="BB604" i="36" s="1"/>
  <c r="CB104" i="36"/>
  <c r="CC104" i="36" s="1"/>
  <c r="Z437" i="36"/>
  <c r="AA437" i="36" s="1"/>
  <c r="AI110" i="36"/>
  <c r="AJ110" i="36" s="1"/>
  <c r="AR574" i="36"/>
  <c r="AS574" i="36" s="1"/>
  <c r="Q57" i="36"/>
  <c r="R57" i="36" s="1"/>
  <c r="AR573" i="36"/>
  <c r="AS573" i="36" s="1"/>
  <c r="AR431" i="36"/>
  <c r="AS431" i="36" s="1"/>
  <c r="Z234" i="36"/>
  <c r="AA234" i="36" s="1"/>
  <c r="AI476" i="36"/>
  <c r="AJ476" i="36" s="1"/>
  <c r="CB131" i="36"/>
  <c r="CC131" i="36" s="1"/>
  <c r="AR140" i="36"/>
  <c r="AS140" i="36" s="1"/>
  <c r="AI447" i="36"/>
  <c r="AJ447" i="36" s="1"/>
  <c r="BA547" i="36"/>
  <c r="BB547" i="36" s="1"/>
  <c r="AI143" i="36"/>
  <c r="AJ143" i="36" s="1"/>
  <c r="Q232" i="36"/>
  <c r="R232" i="36" s="1"/>
  <c r="AI539" i="36"/>
  <c r="AJ539" i="36" s="1"/>
  <c r="BS185" i="36"/>
  <c r="BT185" i="36" s="1"/>
  <c r="BA488" i="36"/>
  <c r="BB488" i="36" s="1"/>
  <c r="Q63" i="36"/>
  <c r="R63" i="36" s="1"/>
  <c r="BA455" i="36"/>
  <c r="BB455" i="36" s="1"/>
  <c r="CB234" i="36"/>
  <c r="CC234" i="36" s="1"/>
  <c r="Z125" i="36"/>
  <c r="AA125" i="36" s="1"/>
  <c r="BA66" i="36"/>
  <c r="BB66" i="36" s="1"/>
  <c r="CB65" i="36"/>
  <c r="CC65" i="36" s="1"/>
  <c r="BA217" i="36"/>
  <c r="BB217" i="36" s="1"/>
  <c r="AI388" i="36"/>
  <c r="AJ388" i="36" s="1"/>
  <c r="Q389" i="36"/>
  <c r="R389" i="36" s="1"/>
  <c r="H403" i="36"/>
  <c r="I403" i="36" s="1"/>
  <c r="AR148" i="36"/>
  <c r="AS148" i="36" s="1"/>
  <c r="Q338" i="36"/>
  <c r="R338" i="36" s="1"/>
  <c r="BS463" i="36"/>
  <c r="BT463" i="36" s="1"/>
  <c r="AR452" i="36"/>
  <c r="AS452" i="36" s="1"/>
  <c r="CB180" i="36"/>
  <c r="CC180" i="36" s="1"/>
  <c r="BJ335" i="36"/>
  <c r="BK335" i="36" s="1"/>
  <c r="L41" i="9"/>
  <c r="BR4" i="26"/>
  <c r="BA63" i="36"/>
  <c r="BB63" i="36" s="1"/>
  <c r="AI69" i="36"/>
  <c r="AJ69" i="36" s="1"/>
  <c r="Q93" i="36"/>
  <c r="R93" i="36" s="1"/>
  <c r="Z158" i="36"/>
  <c r="AA158" i="36" s="1"/>
  <c r="Q101" i="36"/>
  <c r="R101" i="36" s="1"/>
  <c r="H382" i="36"/>
  <c r="I382" i="36" s="1"/>
  <c r="BA97" i="36"/>
  <c r="BB97" i="36" s="1"/>
  <c r="CB130" i="36"/>
  <c r="CC130" i="36" s="1"/>
  <c r="H131" i="36"/>
  <c r="I131" i="36" s="1"/>
  <c r="Z481" i="36"/>
  <c r="AA481" i="36" s="1"/>
  <c r="AR382" i="36"/>
  <c r="AS382" i="36" s="1"/>
  <c r="BA584" i="36"/>
  <c r="BB584" i="36" s="1"/>
  <c r="CB182" i="36"/>
  <c r="CC182" i="36" s="1"/>
  <c r="H113" i="36"/>
  <c r="I113" i="36" s="1"/>
  <c r="BS73" i="36"/>
  <c r="BT73" i="36" s="1"/>
  <c r="H132" i="36"/>
  <c r="I132" i="36" s="1"/>
  <c r="BJ45" i="36"/>
  <c r="BK45" i="36" s="1"/>
  <c r="BJ142" i="36"/>
  <c r="BK142" i="36" s="1"/>
  <c r="BA492" i="36"/>
  <c r="BB492" i="36" s="1"/>
  <c r="AI559" i="36"/>
  <c r="AJ559" i="36" s="1"/>
  <c r="BS373" i="36"/>
  <c r="BT373" i="36" s="1"/>
  <c r="AR406" i="36"/>
  <c r="AS406" i="36" s="1"/>
  <c r="Q229" i="36"/>
  <c r="R229" i="36" s="1"/>
  <c r="AR186" i="36"/>
  <c r="AS186" i="36" s="1"/>
  <c r="BJ152" i="36"/>
  <c r="BK152" i="36" s="1"/>
  <c r="H174" i="36"/>
  <c r="I174" i="36" s="1"/>
  <c r="Z426" i="36"/>
  <c r="AA426" i="36" s="1"/>
  <c r="BS272" i="36"/>
  <c r="BT272" i="36" s="1"/>
  <c r="Q236" i="36"/>
  <c r="R236" i="36" s="1"/>
  <c r="BJ286" i="36"/>
  <c r="BK286" i="36" s="1"/>
  <c r="Q260" i="36"/>
  <c r="R260" i="36" s="1"/>
  <c r="BJ66" i="36"/>
  <c r="BK66" i="36" s="1"/>
  <c r="CB271" i="36"/>
  <c r="CC271" i="36" s="1"/>
  <c r="BS12" i="26"/>
  <c r="M49" i="9"/>
  <c r="AI456" i="36"/>
  <c r="AJ456" i="36" s="1"/>
  <c r="BA421" i="36"/>
  <c r="BB421" i="36" s="1"/>
  <c r="H337" i="36"/>
  <c r="I337" i="36" s="1"/>
  <c r="BJ214" i="36"/>
  <c r="BK214" i="36" s="1"/>
  <c r="AR400" i="36"/>
  <c r="AS400" i="36" s="1"/>
  <c r="CB109" i="36"/>
  <c r="CC109" i="36" s="1"/>
  <c r="BJ499" i="36"/>
  <c r="BK499" i="36" s="1"/>
  <c r="AR162" i="36"/>
  <c r="AS162" i="36" s="1"/>
  <c r="H236" i="36"/>
  <c r="I236" i="36" s="1"/>
  <c r="AI452" i="36"/>
  <c r="AJ452" i="36" s="1"/>
  <c r="H374" i="36"/>
  <c r="I374" i="36" s="1"/>
  <c r="BJ257" i="36"/>
  <c r="BK257" i="36" s="1"/>
  <c r="BJ163" i="36"/>
  <c r="BK163" i="36" s="1"/>
  <c r="H111" i="36"/>
  <c r="I111" i="36" s="1"/>
  <c r="AI112" i="36"/>
  <c r="AJ112" i="36" s="1"/>
  <c r="BA65" i="36"/>
  <c r="BB65" i="36" s="1"/>
  <c r="AI128" i="36"/>
  <c r="AJ128" i="36" s="1"/>
  <c r="BA483" i="36"/>
  <c r="BB483" i="36" s="1"/>
  <c r="H134" i="36"/>
  <c r="I134" i="36" s="1"/>
  <c r="CB88" i="36"/>
  <c r="CC88" i="36" s="1"/>
  <c r="Z337" i="36"/>
  <c r="AA337" i="36" s="1"/>
  <c r="AI390" i="36"/>
  <c r="AJ390" i="36" s="1"/>
  <c r="AI327" i="36"/>
  <c r="AJ327" i="36" s="1"/>
  <c r="AI238" i="36"/>
  <c r="AJ238" i="36" s="1"/>
  <c r="BA469" i="36"/>
  <c r="BB469" i="36" s="1"/>
  <c r="CB361" i="36"/>
  <c r="CC361" i="36" s="1"/>
  <c r="Z129" i="36"/>
  <c r="AA129" i="36" s="1"/>
  <c r="H460" i="36"/>
  <c r="I460" i="36" s="1"/>
  <c r="CB111" i="36"/>
  <c r="CC111" i="36" s="1"/>
  <c r="BJ409" i="36"/>
  <c r="BK409" i="36" s="1"/>
  <c r="AR247" i="36"/>
  <c r="AS247" i="36" s="1"/>
  <c r="CB212" i="36"/>
  <c r="CC212" i="36" s="1"/>
  <c r="AR412" i="36"/>
  <c r="AS412" i="36" s="1"/>
  <c r="BJ392" i="36"/>
  <c r="BK392" i="36" s="1"/>
  <c r="BJ201" i="36"/>
  <c r="BK201" i="36" s="1"/>
  <c r="CB365" i="36"/>
  <c r="CC365" i="36" s="1"/>
  <c r="BJ548" i="36"/>
  <c r="BK548" i="36" s="1"/>
  <c r="CB120" i="36"/>
  <c r="CC120" i="36" s="1"/>
  <c r="AI289" i="36"/>
  <c r="AJ289" i="36" s="1"/>
  <c r="Q385" i="36"/>
  <c r="R385" i="36" s="1"/>
  <c r="Q435" i="36"/>
  <c r="R435" i="36" s="1"/>
  <c r="CB225" i="36"/>
  <c r="CC225" i="36" s="1"/>
  <c r="CB352" i="36"/>
  <c r="CC352" i="36" s="1"/>
  <c r="Q426" i="36"/>
  <c r="R426" i="36" s="1"/>
  <c r="Q95" i="36"/>
  <c r="R95" i="36" s="1"/>
  <c r="Z479" i="36"/>
  <c r="AA479" i="36" s="1"/>
  <c r="AR251" i="36"/>
  <c r="AS251" i="36" s="1"/>
  <c r="AI227" i="36"/>
  <c r="AJ227" i="36" s="1"/>
  <c r="AR460" i="36"/>
  <c r="AS460" i="36" s="1"/>
  <c r="BA254" i="36"/>
  <c r="BB254" i="36" s="1"/>
  <c r="BJ458" i="36"/>
  <c r="BK458" i="36" s="1"/>
  <c r="BA568" i="36"/>
  <c r="BB568" i="36" s="1"/>
  <c r="Q432" i="36"/>
  <c r="R432" i="36" s="1"/>
  <c r="BS309" i="36"/>
  <c r="BT309" i="36" s="1"/>
  <c r="Z87" i="36"/>
  <c r="AA87" i="36" s="1"/>
  <c r="BJ479" i="36"/>
  <c r="BK479" i="36" s="1"/>
  <c r="BV10" i="24"/>
  <c r="AS10" i="24" s="1"/>
  <c r="T14" i="9" s="1"/>
  <c r="Q412" i="36"/>
  <c r="R412" i="36" s="1"/>
  <c r="CB359" i="36"/>
  <c r="CC359" i="36" s="1"/>
  <c r="AI179" i="36"/>
  <c r="AJ179" i="36" s="1"/>
  <c r="BA420" i="36"/>
  <c r="BB420" i="36" s="1"/>
  <c r="AR429" i="36"/>
  <c r="AS429" i="36" s="1"/>
  <c r="Z547" i="36"/>
  <c r="AA547" i="36" s="1"/>
  <c r="H40" i="36"/>
  <c r="I40" i="36" s="1"/>
  <c r="CB298" i="36"/>
  <c r="CC298" i="36" s="1"/>
  <c r="BA192" i="36"/>
  <c r="BB192" i="36" s="1"/>
  <c r="BS335" i="36"/>
  <c r="BT335" i="36" s="1"/>
  <c r="H187" i="36"/>
  <c r="I187" i="36" s="1"/>
  <c r="H411" i="36"/>
  <c r="I411" i="36" s="1"/>
  <c r="BJ192" i="36"/>
  <c r="BK192" i="36" s="1"/>
  <c r="Z546" i="36"/>
  <c r="AA546" i="36" s="1"/>
  <c r="AI258" i="36"/>
  <c r="AJ258" i="36" s="1"/>
  <c r="Q458" i="36"/>
  <c r="R458" i="36" s="1"/>
  <c r="BA561" i="36"/>
  <c r="BB561" i="36" s="1"/>
  <c r="AI441" i="36"/>
  <c r="AJ441" i="36" s="1"/>
  <c r="AR211" i="36"/>
  <c r="AS211" i="36" s="1"/>
  <c r="CB118" i="36"/>
  <c r="CC118" i="36" s="1"/>
  <c r="CB231" i="36"/>
  <c r="CC231" i="36" s="1"/>
  <c r="Q142" i="36"/>
  <c r="R142" i="36" s="1"/>
  <c r="Q538" i="36"/>
  <c r="R538" i="36" s="1"/>
  <c r="BA163" i="36"/>
  <c r="BB163" i="36" s="1"/>
  <c r="CB157" i="36"/>
  <c r="CC157" i="36" s="1"/>
  <c r="AR201" i="36"/>
  <c r="AS201" i="36" s="1"/>
  <c r="AR276" i="36"/>
  <c r="AS276" i="36" s="1"/>
  <c r="CB401" i="36"/>
  <c r="CC401" i="36" s="1"/>
  <c r="Z191" i="36"/>
  <c r="AA191" i="36" s="1"/>
  <c r="CB362" i="36"/>
  <c r="CC362" i="36" s="1"/>
  <c r="BJ560" i="36"/>
  <c r="BK560" i="36" s="1"/>
  <c r="AR115" i="36"/>
  <c r="AS115" i="36" s="1"/>
  <c r="Z192" i="36"/>
  <c r="AA192" i="36" s="1"/>
  <c r="Q196" i="36"/>
  <c r="R196" i="36" s="1"/>
  <c r="Q146" i="36"/>
  <c r="R146" i="36" s="1"/>
  <c r="AR526" i="36"/>
  <c r="AS526" i="36" s="1"/>
  <c r="AI147" i="36"/>
  <c r="AJ147" i="36" s="1"/>
  <c r="Q478" i="36"/>
  <c r="R478" i="36" s="1"/>
  <c r="AI266" i="36"/>
  <c r="AJ266" i="36" s="1"/>
  <c r="BJ225" i="36"/>
  <c r="BK225" i="36" s="1"/>
  <c r="BA462" i="36"/>
  <c r="BB462" i="36" s="1"/>
  <c r="BA467" i="36"/>
  <c r="BB467" i="36" s="1"/>
  <c r="BJ493" i="36"/>
  <c r="BK493" i="36" s="1"/>
  <c r="BA537" i="36"/>
  <c r="BB537" i="36" s="1"/>
  <c r="H285" i="36"/>
  <c r="I285" i="36" s="1"/>
  <c r="H139" i="36"/>
  <c r="I139" i="36" s="1"/>
  <c r="AR217" i="36"/>
  <c r="AS217" i="36" s="1"/>
  <c r="H287" i="36"/>
  <c r="I287" i="36" s="1"/>
  <c r="Z127" i="36"/>
  <c r="AA127" i="36" s="1"/>
  <c r="AI509" i="36"/>
  <c r="AJ509" i="36" s="1"/>
  <c r="Q386" i="36"/>
  <c r="R386" i="36" s="1"/>
  <c r="AR414" i="36"/>
  <c r="AS414" i="36" s="1"/>
  <c r="BS63" i="36"/>
  <c r="BT63" i="36" s="1"/>
  <c r="Q323" i="36"/>
  <c r="R323" i="36" s="1"/>
  <c r="Q421" i="36"/>
  <c r="R421" i="36" s="1"/>
  <c r="Z507" i="36"/>
  <c r="AA507" i="36" s="1"/>
  <c r="AI156" i="36"/>
  <c r="AJ156" i="36" s="1"/>
  <c r="Z227" i="36"/>
  <c r="AA227" i="36" s="1"/>
  <c r="BA70" i="36"/>
  <c r="BB70" i="36" s="1"/>
  <c r="CB322" i="36"/>
  <c r="CC322" i="36" s="1"/>
  <c r="H478" i="36"/>
  <c r="I478" i="36" s="1"/>
  <c r="AI445" i="36"/>
  <c r="AJ445" i="36" s="1"/>
  <c r="AR484" i="36"/>
  <c r="AS484" i="36" s="1"/>
  <c r="BS39" i="36"/>
  <c r="BT39" i="36" s="1"/>
  <c r="Z110" i="36"/>
  <c r="AA110" i="36" s="1"/>
  <c r="CB327" i="36"/>
  <c r="CC327" i="36" s="1"/>
  <c r="BA501" i="36"/>
  <c r="BB501" i="36" s="1"/>
  <c r="CB360" i="36"/>
  <c r="CC360" i="36" s="1"/>
  <c r="BS319" i="36"/>
  <c r="BT319" i="36" s="1"/>
  <c r="AI244" i="36"/>
  <c r="AJ244" i="36" s="1"/>
  <c r="Z449" i="36"/>
  <c r="AA449" i="36" s="1"/>
  <c r="AR507" i="36"/>
  <c r="AS507" i="36" s="1"/>
  <c r="BU11" i="24"/>
  <c r="AR11" i="24" s="1"/>
  <c r="S15" i="9" s="1"/>
  <c r="AR442" i="36"/>
  <c r="AS442" i="36" s="1"/>
  <c r="BA262" i="36"/>
  <c r="BB262" i="36" s="1"/>
  <c r="Q451" i="36"/>
  <c r="R451" i="36" s="1"/>
  <c r="BA153" i="36"/>
  <c r="BB153" i="36" s="1"/>
  <c r="H505" i="36"/>
  <c r="I505" i="36" s="1"/>
  <c r="Z405" i="36"/>
  <c r="AA405" i="36" s="1"/>
  <c r="BA43" i="36"/>
  <c r="BB43" i="36" s="1"/>
  <c r="H227" i="36"/>
  <c r="I227" i="36" s="1"/>
  <c r="H463" i="36"/>
  <c r="I463" i="36" s="1"/>
  <c r="Z499" i="36"/>
  <c r="AA499" i="36" s="1"/>
  <c r="Z418" i="36"/>
  <c r="AA418" i="36" s="1"/>
  <c r="AI465" i="36"/>
  <c r="AJ465" i="36" s="1"/>
  <c r="H142" i="36"/>
  <c r="I142" i="36" s="1"/>
  <c r="AR565" i="36"/>
  <c r="AS565" i="36" s="1"/>
  <c r="H389" i="36"/>
  <c r="I389" i="36" s="1"/>
  <c r="BA152" i="36"/>
  <c r="BB152" i="36" s="1"/>
  <c r="AR333" i="36"/>
  <c r="AS333" i="36" s="1"/>
  <c r="BJ600" i="36"/>
  <c r="BK600" i="36" s="1"/>
  <c r="Q134" i="36"/>
  <c r="R134" i="36" s="1"/>
  <c r="H283" i="36"/>
  <c r="I283" i="36" s="1"/>
  <c r="AR64" i="36"/>
  <c r="AS64" i="36" s="1"/>
  <c r="BA496" i="36"/>
  <c r="BB496" i="36" s="1"/>
  <c r="AI493" i="36"/>
  <c r="AJ493" i="36" s="1"/>
  <c r="AR411" i="36"/>
  <c r="AS411" i="36" s="1"/>
  <c r="Q200" i="36"/>
  <c r="R200" i="36" s="1"/>
  <c r="AI74" i="36"/>
  <c r="AJ74" i="36" s="1"/>
  <c r="AR150" i="36"/>
  <c r="AS150" i="36" s="1"/>
  <c r="Q482" i="36"/>
  <c r="R482" i="36" s="1"/>
  <c r="AR116" i="36"/>
  <c r="AS116" i="36" s="1"/>
  <c r="BJ471" i="36"/>
  <c r="BK471" i="36" s="1"/>
  <c r="BS332" i="36"/>
  <c r="BT332" i="36" s="1"/>
  <c r="CB168" i="36"/>
  <c r="CC168" i="36" s="1"/>
  <c r="AR190" i="36"/>
  <c r="AS190" i="36" s="1"/>
  <c r="CB332" i="36"/>
  <c r="CC332" i="36" s="1"/>
  <c r="CB91" i="36"/>
  <c r="CC91" i="36" s="1"/>
  <c r="BA72" i="36"/>
  <c r="BB72" i="36" s="1"/>
  <c r="H245" i="36"/>
  <c r="I245" i="36" s="1"/>
  <c r="BJ413" i="36"/>
  <c r="BK413" i="36" s="1"/>
  <c r="Z501" i="36"/>
  <c r="AA501" i="36" s="1"/>
  <c r="CB129" i="36"/>
  <c r="CC129" i="36" s="1"/>
  <c r="H443" i="36"/>
  <c r="I443" i="36" s="1"/>
  <c r="AR534" i="36"/>
  <c r="AS534" i="36" s="1"/>
  <c r="AR466" i="36"/>
  <c r="AS466" i="36" s="1"/>
  <c r="BA328" i="36"/>
  <c r="BB328" i="36" s="1"/>
  <c r="AI288" i="36"/>
  <c r="AJ288" i="36" s="1"/>
  <c r="AI384" i="36"/>
  <c r="AJ384" i="36" s="1"/>
  <c r="AI436" i="36"/>
  <c r="AJ436" i="36" s="1"/>
  <c r="H474" i="36"/>
  <c r="I474" i="36" s="1"/>
  <c r="BS8" i="26"/>
  <c r="M45" i="9"/>
  <c r="AI202" i="36"/>
  <c r="AJ202" i="36" s="1"/>
  <c r="AR299" i="36"/>
  <c r="AS299" i="36" s="1"/>
  <c r="H177" i="36"/>
  <c r="I177" i="36" s="1"/>
  <c r="Z147" i="36"/>
  <c r="AA147" i="36" s="1"/>
  <c r="H538" i="36"/>
  <c r="I538" i="36" s="1"/>
  <c r="Z360" i="36"/>
  <c r="AA360" i="36" s="1"/>
  <c r="AR67" i="36"/>
  <c r="AS67" i="36" s="1"/>
  <c r="BJ464" i="36"/>
  <c r="BK464" i="36" s="1"/>
  <c r="Z504" i="36"/>
  <c r="AA504" i="36" s="1"/>
  <c r="H402" i="36"/>
  <c r="I402" i="36" s="1"/>
  <c r="BR5" i="26"/>
  <c r="L42" i="9"/>
  <c r="CB90" i="36"/>
  <c r="CC90" i="36" s="1"/>
  <c r="AI270" i="36"/>
  <c r="AJ270" i="36" s="1"/>
  <c r="CB44" i="36"/>
  <c r="CC44" i="36" s="1"/>
  <c r="CB148" i="36"/>
  <c r="CC148" i="36" s="1"/>
  <c r="Z421" i="36"/>
  <c r="AA421" i="36" s="1"/>
  <c r="BJ315" i="36"/>
  <c r="BK315" i="36" s="1"/>
  <c r="CB242" i="36"/>
  <c r="CC242" i="36" s="1"/>
  <c r="AR202" i="36"/>
  <c r="AS202" i="36" s="1"/>
  <c r="AR270" i="36"/>
  <c r="AS270" i="36" s="1"/>
  <c r="BJ482" i="36"/>
  <c r="BK482" i="36" s="1"/>
  <c r="H345" i="36"/>
  <c r="I345" i="36" s="1"/>
  <c r="AR96" i="36"/>
  <c r="AS96" i="36" s="1"/>
  <c r="Q359" i="36"/>
  <c r="R359" i="36" s="1"/>
  <c r="CB388" i="36"/>
  <c r="CC388" i="36" s="1"/>
  <c r="BS187" i="36"/>
  <c r="BT187" i="36" s="1"/>
  <c r="BJ604" i="36"/>
  <c r="BK604" i="36" s="1"/>
  <c r="Z482" i="36"/>
  <c r="AA482" i="36" s="1"/>
  <c r="AR441" i="36"/>
  <c r="AS441" i="36" s="1"/>
  <c r="AI513" i="36"/>
  <c r="AJ513" i="36" s="1"/>
  <c r="H381" i="36"/>
  <c r="I381" i="36" s="1"/>
  <c r="Q188" i="36"/>
  <c r="R188" i="36" s="1"/>
  <c r="AI490" i="36"/>
  <c r="AJ490" i="36" s="1"/>
  <c r="BJ470" i="36"/>
  <c r="BK470" i="36" s="1"/>
  <c r="AR308" i="36"/>
  <c r="AS308" i="36" s="1"/>
  <c r="AR402" i="36"/>
  <c r="AS402" i="36" s="1"/>
  <c r="AR322" i="36"/>
  <c r="AS322" i="36" s="1"/>
  <c r="Z140" i="36"/>
  <c r="AA140" i="36" s="1"/>
  <c r="BA194" i="36"/>
  <c r="BB194" i="36" s="1"/>
  <c r="BS362" i="36"/>
  <c r="BT362" i="36" s="1"/>
  <c r="CB193" i="36"/>
  <c r="CC193" i="36" s="1"/>
  <c r="BS188" i="36"/>
  <c r="BT188" i="36" s="1"/>
  <c r="BA160" i="36"/>
  <c r="BB160" i="36" s="1"/>
  <c r="BJ402" i="36"/>
  <c r="BK402" i="36" s="1"/>
  <c r="H221" i="36"/>
  <c r="I221" i="36" s="1"/>
  <c r="AR110" i="36"/>
  <c r="AS110" i="36" s="1"/>
  <c r="AR94" i="36"/>
  <c r="AS94" i="36" s="1"/>
  <c r="H125" i="36"/>
  <c r="I125" i="36" s="1"/>
  <c r="BW12" i="24"/>
  <c r="AT12" i="24" s="1"/>
  <c r="Z195" i="36"/>
  <c r="AA195" i="36" s="1"/>
  <c r="AI527" i="36"/>
  <c r="AJ527" i="36" s="1"/>
  <c r="AR62" i="36"/>
  <c r="AS62" i="36" s="1"/>
  <c r="Z285" i="36"/>
  <c r="AA285" i="36" s="1"/>
  <c r="Z359" i="36"/>
  <c r="AA359" i="36" s="1"/>
  <c r="CB134" i="36"/>
  <c r="CC134" i="36" s="1"/>
  <c r="BJ436" i="36"/>
  <c r="BK436" i="36" s="1"/>
  <c r="H498" i="36"/>
  <c r="I498" i="36" s="1"/>
  <c r="Q547" i="36"/>
  <c r="R547" i="36" s="1"/>
  <c r="CB59" i="36"/>
  <c r="CC59" i="36" s="1"/>
  <c r="BA145" i="36"/>
  <c r="BB145" i="36" s="1"/>
  <c r="Z444" i="36"/>
  <c r="AA444" i="36" s="1"/>
  <c r="Q377" i="36"/>
  <c r="R377" i="36" s="1"/>
  <c r="BS364" i="36"/>
  <c r="BT364" i="36" s="1"/>
  <c r="BS325" i="36"/>
  <c r="BT325" i="36" s="1"/>
  <c r="BS303" i="36"/>
  <c r="BT303" i="36" s="1"/>
  <c r="H181" i="36"/>
  <c r="I181" i="36" s="1"/>
  <c r="BA140" i="36"/>
  <c r="BB140" i="36" s="1"/>
  <c r="Z67" i="36"/>
  <c r="AA67" i="36" s="1"/>
  <c r="Q282" i="36"/>
  <c r="R282" i="36" s="1"/>
  <c r="BU6" i="26"/>
  <c r="O43" i="9"/>
  <c r="BJ472" i="36"/>
  <c r="BK472" i="36" s="1"/>
  <c r="CB84" i="36"/>
  <c r="CC84" i="36" s="1"/>
  <c r="O42" i="9"/>
  <c r="BU5" i="26"/>
  <c r="Z447" i="36"/>
  <c r="AA447" i="36" s="1"/>
  <c r="Z131" i="36"/>
  <c r="AA131" i="36" s="1"/>
  <c r="BA498" i="36"/>
  <c r="BB498" i="36" s="1"/>
  <c r="H405" i="36"/>
  <c r="I405" i="36" s="1"/>
  <c r="AR438" i="36"/>
  <c r="AS438" i="36" s="1"/>
  <c r="Q485" i="36"/>
  <c r="R485" i="36" s="1"/>
  <c r="H66" i="36"/>
  <c r="I66" i="36" s="1"/>
  <c r="BJ596" i="36"/>
  <c r="BK596" i="36" s="1"/>
  <c r="Z529" i="36"/>
  <c r="AA529" i="36" s="1"/>
  <c r="CB87" i="36"/>
  <c r="CC87" i="36" s="1"/>
  <c r="BJ597" i="36"/>
  <c r="BK597" i="36" s="1"/>
  <c r="BJ215" i="36"/>
  <c r="BK215" i="36" s="1"/>
  <c r="BS464" i="36"/>
  <c r="BT464" i="36" s="1"/>
  <c r="H261" i="36"/>
  <c r="I261" i="36" s="1"/>
  <c r="Z489" i="36"/>
  <c r="AA489" i="36" s="1"/>
  <c r="BJ569" i="36"/>
  <c r="BK569" i="36" s="1"/>
  <c r="CB437" i="36"/>
  <c r="CC437" i="36" s="1"/>
  <c r="Z156" i="36"/>
  <c r="AA156" i="36" s="1"/>
  <c r="AR195" i="36"/>
  <c r="AS195" i="36" s="1"/>
  <c r="BJ277" i="36"/>
  <c r="BK277" i="36" s="1"/>
  <c r="H200" i="36"/>
  <c r="I200" i="36" s="1"/>
  <c r="H464" i="36"/>
  <c r="I464" i="36" s="1"/>
  <c r="Z415" i="36"/>
  <c r="AA415" i="36" s="1"/>
  <c r="H188" i="36"/>
  <c r="I188" i="36" s="1"/>
  <c r="BA259" i="36"/>
  <c r="BB259" i="36" s="1"/>
  <c r="AI305" i="36"/>
  <c r="AJ305" i="36" s="1"/>
  <c r="Q173" i="36"/>
  <c r="R173" i="36" s="1"/>
  <c r="BJ254" i="36"/>
  <c r="BK254" i="36" s="1"/>
  <c r="BJ325" i="36"/>
  <c r="BK325" i="36" s="1"/>
  <c r="BA164" i="36"/>
  <c r="BB164" i="36" s="1"/>
  <c r="Q415" i="36"/>
  <c r="R415" i="36" s="1"/>
  <c r="AI231" i="36"/>
  <c r="AJ231" i="36" s="1"/>
  <c r="BS147" i="36"/>
  <c r="BT147" i="36" s="1"/>
  <c r="BS143" i="36"/>
  <c r="BT143" i="36" s="1"/>
  <c r="Z361" i="36"/>
  <c r="AA361" i="36" s="1"/>
  <c r="Q149" i="36"/>
  <c r="R149" i="36" s="1"/>
  <c r="BA327" i="36"/>
  <c r="BB327" i="36" s="1"/>
  <c r="AI65" i="36"/>
  <c r="AJ65" i="36" s="1"/>
  <c r="Z456" i="36"/>
  <c r="AA456" i="36" s="1"/>
  <c r="AR407" i="36"/>
  <c r="AS407" i="36" s="1"/>
  <c r="AR307" i="36"/>
  <c r="AS307" i="36" s="1"/>
  <c r="H444" i="36"/>
  <c r="I444" i="36" s="1"/>
  <c r="H536" i="36"/>
  <c r="I536" i="36" s="1"/>
  <c r="H233" i="36"/>
  <c r="I233" i="36" s="1"/>
  <c r="H421" i="36"/>
  <c r="I421" i="36" s="1"/>
  <c r="Z97" i="36"/>
  <c r="AA97" i="36" s="1"/>
  <c r="Q387" i="36"/>
  <c r="R387" i="36" s="1"/>
  <c r="AR146" i="36"/>
  <c r="AS146" i="36" s="1"/>
  <c r="AR435" i="36"/>
  <c r="AS435" i="36" s="1"/>
  <c r="AR436" i="36"/>
  <c r="AS436" i="36" s="1"/>
  <c r="BA597" i="36"/>
  <c r="BB597" i="36" s="1"/>
  <c r="BS41" i="36"/>
  <c r="BT41" i="36" s="1"/>
  <c r="BJ572" i="36"/>
  <c r="BK572" i="36" s="1"/>
  <c r="Q124" i="36"/>
  <c r="R124" i="36" s="1"/>
  <c r="Z374" i="36"/>
  <c r="AA374" i="36" s="1"/>
  <c r="H451" i="36"/>
  <c r="I451" i="36" s="1"/>
  <c r="AI365" i="36"/>
  <c r="AJ365" i="36" s="1"/>
  <c r="BJ146" i="36"/>
  <c r="BK146" i="36" s="1"/>
  <c r="AR398" i="36"/>
  <c r="AS398" i="36" s="1"/>
  <c r="CB58" i="36"/>
  <c r="CC58" i="36" s="1"/>
  <c r="Q130" i="36"/>
  <c r="R130" i="36" s="1"/>
  <c r="BS312" i="36"/>
  <c r="BT312" i="36" s="1"/>
  <c r="Z189" i="36"/>
  <c r="AA189" i="36" s="1"/>
  <c r="AI557" i="36"/>
  <c r="AJ557" i="36" s="1"/>
  <c r="Q110" i="36"/>
  <c r="R110" i="36" s="1"/>
  <c r="BJ73" i="36"/>
  <c r="BK73" i="36" s="1"/>
  <c r="BA209" i="36"/>
  <c r="BB209" i="36" s="1"/>
  <c r="Z173" i="36"/>
  <c r="AA173" i="36" s="1"/>
  <c r="BS426" i="36"/>
  <c r="BT426" i="36" s="1"/>
  <c r="BA219" i="36"/>
  <c r="BB219" i="36" s="1"/>
  <c r="Q474" i="36"/>
  <c r="R474" i="36" s="1"/>
  <c r="AR91" i="36"/>
  <c r="AS91" i="36" s="1"/>
  <c r="H89" i="36"/>
  <c r="I89" i="36" s="1"/>
  <c r="Z100" i="36"/>
  <c r="AA100" i="36" s="1"/>
  <c r="AR478" i="36"/>
  <c r="AS478" i="36" s="1"/>
  <c r="CB373" i="36"/>
  <c r="CC373" i="36" s="1"/>
  <c r="O41" i="9"/>
  <c r="BU4" i="26"/>
  <c r="H195" i="36"/>
  <c r="I195" i="36" s="1"/>
  <c r="H246" i="36"/>
  <c r="I246" i="36" s="1"/>
  <c r="Q304" i="36"/>
  <c r="R304" i="36" s="1"/>
  <c r="BA149" i="36"/>
  <c r="BB149" i="36" s="1"/>
  <c r="Z410" i="36"/>
  <c r="AA410" i="36" s="1"/>
  <c r="Z62" i="36"/>
  <c r="AA62" i="36" s="1"/>
  <c r="AI151" i="36"/>
  <c r="AJ151" i="36" s="1"/>
  <c r="P41" i="9"/>
  <c r="BV4" i="26"/>
  <c r="H288" i="36"/>
  <c r="I288" i="36" s="1"/>
  <c r="BS103" i="36"/>
  <c r="BT103" i="36" s="1"/>
  <c r="BT6" i="24"/>
  <c r="AQ6" i="24" s="1"/>
  <c r="Z198" i="36"/>
  <c r="AA198" i="36" s="1"/>
  <c r="AI475" i="36"/>
  <c r="AJ475" i="36" s="1"/>
  <c r="BS148" i="36"/>
  <c r="BT148" i="36" s="1"/>
  <c r="Z400" i="36"/>
  <c r="AA400" i="36" s="1"/>
  <c r="BS65" i="36"/>
  <c r="BT65" i="36" s="1"/>
  <c r="CB387" i="36"/>
  <c r="CC387" i="36" s="1"/>
  <c r="BT10" i="24"/>
  <c r="AQ10" i="24" s="1"/>
  <c r="R14" i="9" s="1"/>
  <c r="AI14" i="9" s="1"/>
  <c r="AR440" i="36"/>
  <c r="AS440" i="36" s="1"/>
  <c r="AI458" i="36"/>
  <c r="AJ458" i="36" s="1"/>
  <c r="Z382" i="36"/>
  <c r="AA382" i="36" s="1"/>
  <c r="CB429" i="36"/>
  <c r="CC429" i="36" s="1"/>
  <c r="Q484" i="36"/>
  <c r="R484" i="36" s="1"/>
  <c r="Z196" i="36"/>
  <c r="AA196" i="36" s="1"/>
  <c r="Z64" i="36"/>
  <c r="AA64" i="36" s="1"/>
  <c r="Q350" i="36"/>
  <c r="R350" i="36" s="1"/>
  <c r="BS7" i="24"/>
  <c r="AP7" i="24" s="1"/>
  <c r="BS422" i="36"/>
  <c r="BT422" i="36" s="1"/>
  <c r="AR462" i="36"/>
  <c r="AS462" i="36" s="1"/>
  <c r="Z343" i="36"/>
  <c r="AA343" i="36" s="1"/>
  <c r="BJ488" i="36"/>
  <c r="BK488" i="36" s="1"/>
  <c r="CB172" i="36"/>
  <c r="CC172" i="36" s="1"/>
  <c r="CB339" i="36"/>
  <c r="CC339" i="36" s="1"/>
  <c r="H545" i="36"/>
  <c r="I545" i="36" s="1"/>
  <c r="AR404" i="36"/>
  <c r="AS404" i="36" s="1"/>
  <c r="H437" i="36"/>
  <c r="I437" i="36" s="1"/>
  <c r="Z485" i="36"/>
  <c r="AA485" i="36" s="1"/>
  <c r="BS311" i="36"/>
  <c r="BT311" i="36" s="1"/>
  <c r="Q546" i="36"/>
  <c r="R546" i="36" s="1"/>
  <c r="AI496" i="36"/>
  <c r="AJ496" i="36" s="1"/>
  <c r="CB82" i="36"/>
  <c r="CC82" i="36" s="1"/>
  <c r="CB423" i="36"/>
  <c r="CC423" i="36" s="1"/>
  <c r="Z435" i="36"/>
  <c r="AA435" i="36" s="1"/>
  <c r="BS186" i="36"/>
  <c r="BT186" i="36" s="1"/>
  <c r="CB376" i="36"/>
  <c r="CC376" i="36" s="1"/>
  <c r="AR459" i="36"/>
  <c r="AS459" i="36" s="1"/>
  <c r="AI197" i="36"/>
  <c r="AJ197" i="36" s="1"/>
  <c r="BA603" i="36"/>
  <c r="BB603" i="36" s="1"/>
  <c r="BA465" i="36"/>
  <c r="BB465" i="36" s="1"/>
  <c r="BA475" i="36"/>
  <c r="BB475" i="36" s="1"/>
  <c r="Q65" i="36"/>
  <c r="R65" i="36" s="1"/>
  <c r="BS150" i="36"/>
  <c r="BT150" i="36" s="1"/>
  <c r="AI207" i="36"/>
  <c r="AJ207" i="36" s="1"/>
  <c r="CB113" i="36"/>
  <c r="CC113" i="36" s="1"/>
  <c r="AR113" i="36"/>
  <c r="AS113" i="36" s="1"/>
  <c r="BS11" i="24"/>
  <c r="AP11" i="24" s="1"/>
  <c r="Q15" i="9" s="1"/>
  <c r="Z220" i="36"/>
  <c r="AA220" i="36" s="1"/>
  <c r="AI235" i="36"/>
  <c r="AJ235" i="36" s="1"/>
  <c r="H92" i="36"/>
  <c r="I92" i="36" s="1"/>
  <c r="AI136" i="36"/>
  <c r="AJ136" i="36" s="1"/>
  <c r="BV7" i="26"/>
  <c r="P44" i="9"/>
  <c r="BS181" i="36"/>
  <c r="BT181" i="36" s="1"/>
  <c r="AI461" i="36"/>
  <c r="AJ461" i="36" s="1"/>
  <c r="BA493" i="36"/>
  <c r="BB493" i="36" s="1"/>
  <c r="AR463" i="36"/>
  <c r="AS463" i="36" s="1"/>
  <c r="BJ69" i="36"/>
  <c r="BK69" i="36" s="1"/>
  <c r="AR57" i="36"/>
  <c r="AS57" i="36" s="1"/>
  <c r="AI99" i="36"/>
  <c r="AJ99" i="36" s="1"/>
  <c r="Z148" i="36"/>
  <c r="AA148" i="36" s="1"/>
  <c r="BA611" i="36"/>
  <c r="BB611" i="36" s="1"/>
  <c r="AI155" i="36"/>
  <c r="AJ155" i="36" s="1"/>
  <c r="CB75" i="36"/>
  <c r="CC75" i="36" s="1"/>
  <c r="AR575" i="36"/>
  <c r="AS575" i="36" s="1"/>
  <c r="AI45" i="36"/>
  <c r="AJ45" i="36" s="1"/>
  <c r="CB409" i="36"/>
  <c r="CC409" i="36" s="1"/>
  <c r="CB170" i="36"/>
  <c r="CC170" i="36" s="1"/>
  <c r="CB38" i="36"/>
  <c r="CC38" i="36" s="1"/>
  <c r="H60" i="36"/>
  <c r="I60" i="36" s="1"/>
  <c r="H440" i="36"/>
  <c r="I440" i="36" s="1"/>
  <c r="BJ169" i="36"/>
  <c r="BK169" i="36" s="1"/>
  <c r="Q60" i="36"/>
  <c r="R60" i="36" s="1"/>
  <c r="BA320" i="36"/>
  <c r="BB320" i="36" s="1"/>
  <c r="BS254" i="36"/>
  <c r="BT254" i="36" s="1"/>
  <c r="N45" i="9"/>
  <c r="BT8" i="26"/>
  <c r="CK199" i="36"/>
  <c r="CL199" i="36" s="1"/>
  <c r="AI547" i="36"/>
  <c r="AJ547" i="36" s="1"/>
  <c r="AR243" i="36"/>
  <c r="AS243" i="36" s="1"/>
  <c r="AI516" i="36"/>
  <c r="AJ516" i="36" s="1"/>
  <c r="Z391" i="36"/>
  <c r="AA391" i="36" s="1"/>
  <c r="AR305" i="36"/>
  <c r="AS305" i="36" s="1"/>
  <c r="H541" i="36"/>
  <c r="I541" i="36" s="1"/>
  <c r="H313" i="36"/>
  <c r="I313" i="36" s="1"/>
  <c r="BJ391" i="36"/>
  <c r="BK391" i="36" s="1"/>
  <c r="AI478" i="36"/>
  <c r="AJ478" i="36" s="1"/>
  <c r="BA402" i="36"/>
  <c r="BB402" i="36" s="1"/>
  <c r="Z376" i="36"/>
  <c r="AA376" i="36" s="1"/>
  <c r="H138" i="36"/>
  <c r="I138" i="36" s="1"/>
  <c r="Z124" i="36"/>
  <c r="AA124" i="36" s="1"/>
  <c r="BS177" i="36"/>
  <c r="BT177" i="36" s="1"/>
  <c r="BA279" i="36"/>
  <c r="BB279" i="36" s="1"/>
  <c r="AR70" i="36"/>
  <c r="AS70" i="36" s="1"/>
  <c r="Q526" i="36"/>
  <c r="R526" i="36" s="1"/>
  <c r="BJ567" i="36"/>
  <c r="BK567" i="36" s="1"/>
  <c r="Z509" i="36"/>
  <c r="AA509" i="36" s="1"/>
  <c r="BA338" i="36"/>
  <c r="BB338" i="36" s="1"/>
  <c r="BA513" i="36"/>
  <c r="BB513" i="36" s="1"/>
  <c r="AR342" i="36"/>
  <c r="AS342" i="36" s="1"/>
  <c r="Q503" i="36"/>
  <c r="R503" i="36" s="1"/>
  <c r="AI135" i="36"/>
  <c r="AJ135" i="36" s="1"/>
  <c r="Q518" i="36"/>
  <c r="R518" i="36" s="1"/>
  <c r="AI47" i="36"/>
  <c r="AJ47" i="36" s="1"/>
  <c r="AR207" i="36"/>
  <c r="AS207" i="36" s="1"/>
  <c r="AR413" i="36"/>
  <c r="AS413" i="36" s="1"/>
  <c r="CB403" i="36"/>
  <c r="CC403" i="36" s="1"/>
  <c r="Z201" i="36"/>
  <c r="AA201" i="36" s="1"/>
  <c r="Q360" i="36"/>
  <c r="R360" i="36" s="1"/>
  <c r="H259" i="36"/>
  <c r="I259" i="36" s="1"/>
  <c r="CB440" i="36"/>
  <c r="CC440" i="36" s="1"/>
  <c r="Q315" i="36"/>
  <c r="R315" i="36" s="1"/>
  <c r="CB195" i="36"/>
  <c r="CC195" i="36" s="1"/>
  <c r="AR97" i="36"/>
  <c r="AS97" i="36" s="1"/>
  <c r="Z357" i="36"/>
  <c r="AA357" i="36" s="1"/>
  <c r="CB412" i="36"/>
  <c r="CC412" i="36" s="1"/>
  <c r="CB146" i="36"/>
  <c r="CC146" i="36" s="1"/>
  <c r="BS333" i="36"/>
  <c r="BT333" i="36" s="1"/>
  <c r="Z386" i="36"/>
  <c r="AA386" i="36" s="1"/>
  <c r="BS382" i="36"/>
  <c r="BT382" i="36" s="1"/>
  <c r="AI107" i="36"/>
  <c r="AJ107" i="36" s="1"/>
  <c r="AI442" i="36"/>
  <c r="AJ442" i="36" s="1"/>
  <c r="BT8" i="24"/>
  <c r="AQ8" i="24" s="1"/>
  <c r="AI462" i="36"/>
  <c r="AJ462" i="36" s="1"/>
  <c r="AR99" i="36"/>
  <c r="AS99" i="36" s="1"/>
  <c r="BS470" i="36"/>
  <c r="BT470" i="36" s="1"/>
  <c r="AI196" i="36"/>
  <c r="AJ196" i="36" s="1"/>
  <c r="H206" i="36"/>
  <c r="I206" i="36" s="1"/>
  <c r="Z235" i="36"/>
  <c r="AA235" i="36" s="1"/>
  <c r="BJ454" i="36"/>
  <c r="BK454" i="36" s="1"/>
  <c r="AR66" i="36"/>
  <c r="AS66" i="36" s="1"/>
  <c r="CB190" i="36"/>
  <c r="CC190" i="36" s="1"/>
  <c r="AR344" i="36"/>
  <c r="AS344" i="36" s="1"/>
  <c r="Q460" i="36"/>
  <c r="R460" i="36" s="1"/>
  <c r="AR252" i="36"/>
  <c r="AS252" i="36" s="1"/>
  <c r="AR209" i="36"/>
  <c r="AS209" i="36" s="1"/>
  <c r="BA99" i="36"/>
  <c r="BB99" i="36" s="1"/>
  <c r="Z388" i="36"/>
  <c r="AA388" i="36" s="1"/>
  <c r="BA474" i="36"/>
  <c r="BB474" i="36" s="1"/>
  <c r="BA253" i="36"/>
  <c r="BB253" i="36" s="1"/>
  <c r="CB206" i="36"/>
  <c r="CC206" i="36" s="1"/>
  <c r="H182" i="36"/>
  <c r="I182" i="36" s="1"/>
  <c r="BA317" i="36"/>
  <c r="BB317" i="36" s="1"/>
  <c r="AR199" i="36"/>
  <c r="AS199" i="36" s="1"/>
  <c r="CB383" i="36"/>
  <c r="CC383" i="36" s="1"/>
  <c r="AR236" i="36"/>
  <c r="AS236" i="36" s="1"/>
  <c r="BJ196" i="36"/>
  <c r="BK196" i="36" s="1"/>
  <c r="Q277" i="36"/>
  <c r="R277" i="36" s="1"/>
  <c r="AI460" i="36"/>
  <c r="AJ460" i="36" s="1"/>
  <c r="BJ463" i="36"/>
  <c r="BK463" i="36" s="1"/>
  <c r="BJ423" i="36"/>
  <c r="BK423" i="36" s="1"/>
  <c r="H342" i="36"/>
  <c r="I342" i="36" s="1"/>
  <c r="BJ320" i="36"/>
  <c r="BK320" i="36" s="1"/>
  <c r="AI560" i="36"/>
  <c r="AJ560" i="36" s="1"/>
  <c r="Z408" i="36"/>
  <c r="AA408" i="36" s="1"/>
  <c r="H531" i="36"/>
  <c r="I531" i="36" s="1"/>
  <c r="BS233" i="36"/>
  <c r="BT233" i="36" s="1"/>
  <c r="Q198" i="36"/>
  <c r="R198" i="36" s="1"/>
  <c r="H67" i="36"/>
  <c r="I67" i="36" s="1"/>
  <c r="Q143" i="36"/>
  <c r="R143" i="36" s="1"/>
  <c r="AI324" i="36"/>
  <c r="AJ324" i="36" s="1"/>
  <c r="H96" i="36"/>
  <c r="I96" i="36" s="1"/>
  <c r="BS436" i="36"/>
  <c r="BT436" i="36" s="1"/>
  <c r="Z448" i="36"/>
  <c r="AA448" i="36" s="1"/>
  <c r="AI71" i="36"/>
  <c r="AJ71" i="36" s="1"/>
  <c r="H156" i="36"/>
  <c r="I156" i="36" s="1"/>
  <c r="AI236" i="36"/>
  <c r="AJ236" i="36" s="1"/>
  <c r="BA76" i="36"/>
  <c r="BB76" i="36" s="1"/>
  <c r="CB367" i="36"/>
  <c r="CC367" i="36" s="1"/>
  <c r="AI392" i="36"/>
  <c r="AJ392" i="36" s="1"/>
  <c r="Q509" i="36"/>
  <c r="R509" i="36" s="1"/>
  <c r="Q414" i="36"/>
  <c r="R414" i="36" s="1"/>
  <c r="BA277" i="36"/>
  <c r="BB277" i="36" s="1"/>
  <c r="CB39" i="36"/>
  <c r="CC39" i="36" s="1"/>
  <c r="BJ507" i="36"/>
  <c r="BK507" i="36" s="1"/>
  <c r="Q245" i="36"/>
  <c r="R245" i="36" s="1"/>
  <c r="BA428" i="36"/>
  <c r="BB428" i="36" s="1"/>
  <c r="BS401" i="36"/>
  <c r="BT401" i="36" s="1"/>
  <c r="Q175" i="36"/>
  <c r="R175" i="36" s="1"/>
  <c r="Q108" i="36"/>
  <c r="R108" i="36" s="1"/>
  <c r="BA494" i="36"/>
  <c r="BB494" i="36" s="1"/>
  <c r="BA507" i="36"/>
  <c r="BB507" i="36" s="1"/>
  <c r="AI203" i="36"/>
  <c r="AJ203" i="36" s="1"/>
  <c r="Q493" i="36"/>
  <c r="R493" i="36" s="1"/>
  <c r="Q491" i="36"/>
  <c r="R491" i="36" s="1"/>
  <c r="CB398" i="36"/>
  <c r="CC398" i="36" s="1"/>
  <c r="Q100" i="36"/>
  <c r="R100" i="36" s="1"/>
  <c r="Q273" i="36"/>
  <c r="R273" i="36" s="1"/>
  <c r="CB405" i="36"/>
  <c r="CC405" i="36" s="1"/>
  <c r="AR461" i="36"/>
  <c r="AS461" i="36" s="1"/>
  <c r="AI312" i="36"/>
  <c r="AJ312" i="36" s="1"/>
  <c r="AR432" i="36"/>
  <c r="AS432" i="36" s="1"/>
  <c r="H409" i="36"/>
  <c r="I409" i="36" s="1"/>
  <c r="BA506" i="36"/>
  <c r="BB506" i="36" s="1"/>
  <c r="AR346" i="36"/>
  <c r="AS346" i="36" s="1"/>
  <c r="Q459" i="36"/>
  <c r="R459" i="36" s="1"/>
  <c r="H203" i="36"/>
  <c r="I203" i="36" s="1"/>
  <c r="Q177" i="36"/>
  <c r="R177" i="36" s="1"/>
  <c r="BS326" i="36"/>
  <c r="BT326" i="36" s="1"/>
  <c r="AI378" i="36"/>
  <c r="AJ378" i="36" s="1"/>
  <c r="Q356" i="36"/>
  <c r="R356" i="36" s="1"/>
  <c r="Q305" i="36"/>
  <c r="R305" i="36" s="1"/>
  <c r="BA417" i="36"/>
  <c r="BB417" i="36" s="1"/>
  <c r="AI380" i="36"/>
  <c r="AJ380" i="36" s="1"/>
  <c r="CB340" i="36"/>
  <c r="CC340" i="36" s="1"/>
  <c r="AI237" i="36"/>
  <c r="AJ237" i="36" s="1"/>
  <c r="BA383" i="36"/>
  <c r="BB383" i="36" s="1"/>
  <c r="AR306" i="36"/>
  <c r="AS306" i="36" s="1"/>
  <c r="Z463" i="36"/>
  <c r="AA463" i="36" s="1"/>
  <c r="CB93" i="36"/>
  <c r="CC93" i="36" s="1"/>
  <c r="CB317" i="36"/>
  <c r="CC317" i="36" s="1"/>
  <c r="Q461" i="36"/>
  <c r="R461" i="36" s="1"/>
  <c r="Z257" i="36"/>
  <c r="AA257" i="36" s="1"/>
  <c r="AI243" i="36"/>
  <c r="AJ243" i="36" s="1"/>
  <c r="H72" i="36"/>
  <c r="I72" i="36" s="1"/>
  <c r="BJ276" i="36"/>
  <c r="BK276" i="36" s="1"/>
  <c r="Q91" i="36"/>
  <c r="R91" i="36" s="1"/>
  <c r="AR545" i="36"/>
  <c r="AS545" i="36" s="1"/>
  <c r="Z383" i="36"/>
  <c r="AA383" i="36" s="1"/>
  <c r="CB235" i="36"/>
  <c r="CC235" i="36" s="1"/>
  <c r="Z429" i="36"/>
  <c r="AA429" i="36" s="1"/>
  <c r="CB162" i="36"/>
  <c r="CC162" i="36" s="1"/>
  <c r="BS452" i="36"/>
  <c r="BT452" i="36" s="1"/>
  <c r="BJ563" i="36"/>
  <c r="BK563" i="36" s="1"/>
  <c r="AR245" i="36"/>
  <c r="AS245" i="36" s="1"/>
  <c r="AI415" i="36"/>
  <c r="AJ415" i="36" s="1"/>
  <c r="Q235" i="36"/>
  <c r="R235" i="36" s="1"/>
  <c r="H192" i="36"/>
  <c r="I192" i="36" s="1"/>
  <c r="BA606" i="36"/>
  <c r="BB606" i="36" s="1"/>
  <c r="AI437" i="36"/>
  <c r="AJ437" i="36" s="1"/>
  <c r="Q249" i="36"/>
  <c r="R249" i="36" s="1"/>
  <c r="AR391" i="36"/>
  <c r="AS391" i="36" s="1"/>
  <c r="AI414" i="36"/>
  <c r="AJ414" i="36" s="1"/>
  <c r="AI44" i="36"/>
  <c r="AJ44" i="36" s="1"/>
  <c r="CB342" i="36"/>
  <c r="CC342" i="36" s="1"/>
  <c r="BJ331" i="36"/>
  <c r="BK331" i="36" s="1"/>
  <c r="AR315" i="36"/>
  <c r="AS315" i="36" s="1"/>
  <c r="Q483" i="36"/>
  <c r="R483" i="36" s="1"/>
  <c r="CB125" i="36"/>
  <c r="CC125" i="36" s="1"/>
  <c r="AI377" i="36"/>
  <c r="AJ377" i="36" s="1"/>
  <c r="H62" i="36"/>
  <c r="I62" i="36" s="1"/>
  <c r="H128" i="36"/>
  <c r="I128" i="36" s="1"/>
  <c r="BA401" i="36"/>
  <c r="BB401" i="36" s="1"/>
  <c r="AI420" i="36"/>
  <c r="AJ420" i="36" s="1"/>
  <c r="BJ465" i="36"/>
  <c r="BK465" i="36" s="1"/>
  <c r="H347" i="36"/>
  <c r="I347" i="36" s="1"/>
  <c r="CB153" i="36"/>
  <c r="CC153" i="36" s="1"/>
  <c r="BA110" i="36"/>
  <c r="BB110" i="36" s="1"/>
  <c r="BA415" i="36"/>
  <c r="BB415" i="36" s="1"/>
  <c r="Q316" i="36"/>
  <c r="R316" i="36" s="1"/>
  <c r="BA563" i="36"/>
  <c r="BB563" i="36" s="1"/>
  <c r="AI439" i="36"/>
  <c r="AJ439" i="36" s="1"/>
  <c r="Z532" i="36"/>
  <c r="AA532" i="36" s="1"/>
  <c r="BA481" i="36"/>
  <c r="BB481" i="36" s="1"/>
  <c r="BJ357" i="36"/>
  <c r="BK357" i="36" s="1"/>
  <c r="Q112" i="36"/>
  <c r="R112" i="36" s="1"/>
  <c r="BA170" i="36"/>
  <c r="BB170" i="36" s="1"/>
  <c r="BJ309" i="36"/>
  <c r="BK309" i="36" s="1"/>
  <c r="Z291" i="36"/>
  <c r="AA291" i="36" s="1"/>
  <c r="AI97" i="36"/>
  <c r="AJ97" i="36" s="1"/>
  <c r="Z175" i="36"/>
  <c r="AA175" i="36" s="1"/>
  <c r="BS397" i="36"/>
  <c r="BT397" i="36" s="1"/>
  <c r="Z260" i="36"/>
  <c r="AA260" i="36" s="1"/>
  <c r="BS280" i="36"/>
  <c r="BT280" i="36" s="1"/>
  <c r="Q155" i="36"/>
  <c r="R155" i="36" s="1"/>
  <c r="BS149" i="36"/>
  <c r="BT149" i="36" s="1"/>
  <c r="CB244" i="36"/>
  <c r="CC244" i="36" s="1"/>
  <c r="H542" i="36"/>
  <c r="I542" i="36" s="1"/>
  <c r="BS151" i="36"/>
  <c r="BT151" i="36" s="1"/>
  <c r="H436" i="36"/>
  <c r="I436" i="36" s="1"/>
  <c r="CB152" i="36"/>
  <c r="CC152" i="36" s="1"/>
  <c r="BJ310" i="36"/>
  <c r="BK310" i="36" s="1"/>
  <c r="BS67" i="36"/>
  <c r="BT67" i="36" s="1"/>
  <c r="Z537" i="36"/>
  <c r="AA537" i="36" s="1"/>
  <c r="Z349" i="36"/>
  <c r="AA349" i="36" s="1"/>
  <c r="BS379" i="36"/>
  <c r="BT379" i="36" s="1"/>
  <c r="H68" i="36"/>
  <c r="I68" i="36" s="1"/>
  <c r="CB122" i="36"/>
  <c r="CC122" i="36" s="1"/>
  <c r="Z372" i="36"/>
  <c r="AA372" i="36" s="1"/>
  <c r="Z411" i="36"/>
  <c r="AA411" i="36" s="1"/>
  <c r="BJ538" i="36"/>
  <c r="BK538" i="36" s="1"/>
  <c r="Q300" i="36"/>
  <c r="R300" i="36" s="1"/>
  <c r="CB303" i="36"/>
  <c r="CC303" i="36" s="1"/>
  <c r="BA111" i="36"/>
  <c r="BB111" i="36" s="1"/>
  <c r="CB177" i="36"/>
  <c r="CC177" i="36" s="1"/>
  <c r="Z416" i="36"/>
  <c r="AA416" i="36" s="1"/>
  <c r="BA431" i="36"/>
  <c r="BB431" i="36" s="1"/>
  <c r="Z325" i="36"/>
  <c r="AA325" i="36" s="1"/>
  <c r="Z498" i="36"/>
  <c r="AA498" i="36" s="1"/>
  <c r="AI115" i="36"/>
  <c r="AJ115" i="36" s="1"/>
  <c r="CB315" i="36"/>
  <c r="CC315" i="36" s="1"/>
  <c r="H546" i="36"/>
  <c r="I546" i="36" s="1"/>
  <c r="AI401" i="36"/>
  <c r="AJ401" i="36" s="1"/>
  <c r="Q171" i="36"/>
  <c r="R171" i="36" s="1"/>
  <c r="Q405" i="36"/>
  <c r="R405" i="36" s="1"/>
  <c r="BS433" i="36"/>
  <c r="BT433" i="36" s="1"/>
  <c r="Z414" i="36"/>
  <c r="AA414" i="36" s="1"/>
  <c r="Z519" i="36"/>
  <c r="AA519" i="36" s="1"/>
  <c r="Z515" i="36"/>
  <c r="AA515" i="36" s="1"/>
  <c r="AR531" i="36"/>
  <c r="AS531" i="36" s="1"/>
  <c r="AI204" i="36"/>
  <c r="AJ204" i="36" s="1"/>
  <c r="BA222" i="36"/>
  <c r="BB222" i="36" s="1"/>
  <c r="AR114" i="36"/>
  <c r="AS114" i="36" s="1"/>
  <c r="AR151" i="36"/>
  <c r="AS151" i="36" s="1"/>
  <c r="AR194" i="36"/>
  <c r="AS194" i="36" s="1"/>
  <c r="BJ60" i="36"/>
  <c r="BK60" i="36" s="1"/>
  <c r="CB189" i="36"/>
  <c r="CC189" i="36" s="1"/>
  <c r="BA430" i="36"/>
  <c r="BB430" i="36" s="1"/>
  <c r="BJ208" i="36"/>
  <c r="BK208" i="36" s="1"/>
  <c r="Z74" i="36"/>
  <c r="AA74" i="36" s="1"/>
  <c r="BJ40" i="36"/>
  <c r="BK40" i="36" s="1"/>
  <c r="BT7" i="24"/>
  <c r="AQ7" i="24" s="1"/>
  <c r="AR401" i="36"/>
  <c r="AS401" i="36" s="1"/>
  <c r="AI200" i="36"/>
  <c r="AJ200" i="36" s="1"/>
  <c r="H183" i="36"/>
  <c r="I183" i="36" s="1"/>
  <c r="H366" i="36"/>
  <c r="I366" i="36" s="1"/>
  <c r="CB203" i="36"/>
  <c r="CC203" i="36" s="1"/>
  <c r="BJ170" i="36"/>
  <c r="BK170" i="36" s="1"/>
  <c r="BS331" i="36"/>
  <c r="BT331" i="36" s="1"/>
  <c r="BJ589" i="36"/>
  <c r="BK589" i="36" s="1"/>
  <c r="Z377" i="36"/>
  <c r="AA377" i="36" s="1"/>
  <c r="AI157" i="36"/>
  <c r="AJ157" i="36" s="1"/>
  <c r="BS437" i="36"/>
  <c r="BT437" i="36" s="1"/>
  <c r="Z475" i="36"/>
  <c r="AA475" i="36" s="1"/>
  <c r="BA221" i="36"/>
  <c r="BB221" i="36" s="1"/>
  <c r="H493" i="36"/>
  <c r="I493" i="36" s="1"/>
  <c r="Q204" i="36"/>
  <c r="R204" i="36" s="1"/>
  <c r="AR298" i="36"/>
  <c r="AS298" i="36" s="1"/>
  <c r="CB173" i="36"/>
  <c r="CC173" i="36" s="1"/>
  <c r="BJ502" i="36"/>
  <c r="BK502" i="36" s="1"/>
  <c r="AR386" i="36"/>
  <c r="AS386" i="36" s="1"/>
  <c r="AR45" i="36"/>
  <c r="AS45" i="36" s="1"/>
  <c r="H147" i="36"/>
  <c r="I147" i="36" s="1"/>
  <c r="Z365" i="36"/>
  <c r="AA365" i="36" s="1"/>
  <c r="AR474" i="36"/>
  <c r="AS474" i="36" s="1"/>
  <c r="BS69" i="36"/>
  <c r="BT69" i="36" s="1"/>
  <c r="BS388" i="36"/>
  <c r="BT388" i="36" s="1"/>
  <c r="CB73" i="36"/>
  <c r="CC73" i="36" s="1"/>
  <c r="Z254" i="36"/>
  <c r="AA254" i="36" s="1"/>
  <c r="Z370" i="36"/>
  <c r="AA370" i="36" s="1"/>
  <c r="H401" i="36"/>
  <c r="I401" i="36" s="1"/>
  <c r="BJ63" i="36"/>
  <c r="BK63" i="36" s="1"/>
  <c r="Q494" i="36"/>
  <c r="R494" i="36" s="1"/>
  <c r="Q439" i="36"/>
  <c r="R439" i="36" s="1"/>
  <c r="BJ516" i="36"/>
  <c r="BK516" i="36" s="1"/>
  <c r="BJ547" i="36"/>
  <c r="BK547" i="36" s="1"/>
  <c r="Z181" i="36"/>
  <c r="AA181" i="36" s="1"/>
  <c r="BS101" i="36"/>
  <c r="BT101" i="36" s="1"/>
  <c r="Z273" i="36"/>
  <c r="AA273" i="36" s="1"/>
  <c r="H304" i="36"/>
  <c r="I304" i="36" s="1"/>
  <c r="BA289" i="36"/>
  <c r="BB289" i="36" s="1"/>
  <c r="Q89" i="36"/>
  <c r="R89" i="36" s="1"/>
  <c r="Z316" i="36"/>
  <c r="AA316" i="36" s="1"/>
  <c r="BS369" i="36"/>
  <c r="BT369" i="36" s="1"/>
  <c r="AI89" i="36"/>
  <c r="AJ89" i="36" s="1"/>
  <c r="Q306" i="36"/>
  <c r="R306" i="36" s="1"/>
  <c r="AI132" i="36"/>
  <c r="AJ132" i="36" s="1"/>
  <c r="CK198" i="36"/>
  <c r="CL198" i="36" s="1"/>
  <c r="CB179" i="36"/>
  <c r="CC179" i="36" s="1"/>
  <c r="Q370" i="36"/>
  <c r="R370" i="36" s="1"/>
  <c r="BA333" i="36"/>
  <c r="BB333" i="36" s="1"/>
  <c r="Z296" i="36"/>
  <c r="AA296" i="36" s="1"/>
  <c r="Q345" i="36"/>
  <c r="R345" i="36" s="1"/>
  <c r="Q285" i="36"/>
  <c r="R285" i="36" s="1"/>
  <c r="AI357" i="36"/>
  <c r="AJ357" i="36" s="1"/>
  <c r="CB309" i="36"/>
  <c r="CC309" i="36" s="1"/>
  <c r="Z491" i="36"/>
  <c r="AA491" i="36" s="1"/>
  <c r="BA426" i="36"/>
  <c r="BB426" i="36" s="1"/>
  <c r="Q499" i="36"/>
  <c r="R499" i="36" s="1"/>
  <c r="CB209" i="36"/>
  <c r="CC209" i="36" s="1"/>
  <c r="CB357" i="36"/>
  <c r="CC357" i="36" s="1"/>
  <c r="Z494" i="36"/>
  <c r="AA494" i="36" s="1"/>
  <c r="H435" i="36"/>
  <c r="I435" i="36" s="1"/>
  <c r="CB343" i="36"/>
  <c r="CC343" i="36" s="1"/>
  <c r="AR102" i="36"/>
  <c r="AS102" i="36" s="1"/>
  <c r="AI549" i="36"/>
  <c r="AJ549" i="36" s="1"/>
  <c r="AI233" i="36"/>
  <c r="AJ233" i="36" s="1"/>
  <c r="CB428" i="36"/>
  <c r="CC428" i="36" s="1"/>
  <c r="CB154" i="36"/>
  <c r="CC154" i="36" s="1"/>
  <c r="BJ564" i="36"/>
  <c r="BK564" i="36" s="1"/>
  <c r="BJ319" i="36"/>
  <c r="BK319" i="36" s="1"/>
  <c r="AR198" i="36"/>
  <c r="AS198" i="36" s="1"/>
  <c r="CB310" i="36"/>
  <c r="CC310" i="36" s="1"/>
  <c r="AR447" i="36"/>
  <c r="AS447" i="36" s="1"/>
  <c r="CB164" i="36"/>
  <c r="CC164" i="36" s="1"/>
  <c r="BR8" i="26"/>
  <c r="L45" i="9"/>
  <c r="BJ151" i="36"/>
  <c r="BK151" i="36" s="1"/>
  <c r="BJ193" i="36"/>
  <c r="BK193" i="36" s="1"/>
  <c r="CB288" i="36"/>
  <c r="CC288" i="36" s="1"/>
  <c r="AI389" i="36"/>
  <c r="AJ389" i="36" s="1"/>
  <c r="AR117" i="36"/>
  <c r="AS117" i="36" s="1"/>
  <c r="BS359" i="36"/>
  <c r="BT359" i="36" s="1"/>
  <c r="AR456" i="36"/>
  <c r="AS456" i="36" s="1"/>
  <c r="AI499" i="36"/>
  <c r="AJ499" i="36" s="1"/>
  <c r="BS116" i="36"/>
  <c r="BT116" i="36" s="1"/>
  <c r="BJ260" i="36"/>
  <c r="BK260" i="36" s="1"/>
  <c r="BS64" i="36"/>
  <c r="BT64" i="36" s="1"/>
  <c r="H439" i="36"/>
  <c r="I439" i="36" s="1"/>
  <c r="CB290" i="36"/>
  <c r="CC290" i="36" s="1"/>
  <c r="BS9" i="24"/>
  <c r="AP9" i="24" s="1"/>
  <c r="BA226" i="36"/>
  <c r="BB226" i="36" s="1"/>
  <c r="AR579" i="36"/>
  <c r="AS579" i="36" s="1"/>
  <c r="CB205" i="36"/>
  <c r="CC205" i="36" s="1"/>
  <c r="BA382" i="36"/>
  <c r="BB382" i="36" s="1"/>
  <c r="Z202" i="36"/>
  <c r="AA202" i="36" s="1"/>
  <c r="BJ429" i="36"/>
  <c r="BK429" i="36" s="1"/>
  <c r="BJ542" i="36"/>
  <c r="BK542" i="36" s="1"/>
  <c r="Z65" i="36"/>
  <c r="AA65" i="36" s="1"/>
  <c r="BJ211" i="36"/>
  <c r="BK211" i="36" s="1"/>
  <c r="BA40" i="36"/>
  <c r="BB40" i="36" s="1"/>
  <c r="Q150" i="36"/>
  <c r="R150" i="36" s="1"/>
  <c r="H64" i="36"/>
  <c r="I64" i="36" s="1"/>
  <c r="Z446" i="36"/>
  <c r="AA446" i="36" s="1"/>
  <c r="BA412" i="36"/>
  <c r="BB412" i="36" s="1"/>
  <c r="Q145" i="36"/>
  <c r="R145" i="36" s="1"/>
  <c r="Q206" i="36"/>
  <c r="R206" i="36" s="1"/>
  <c r="CB166" i="36"/>
  <c r="CC166" i="36" s="1"/>
  <c r="AR72" i="36"/>
  <c r="AS72" i="36" s="1"/>
  <c r="Q487" i="36"/>
  <c r="R487" i="36" s="1"/>
  <c r="CB350" i="36"/>
  <c r="CC350" i="36" s="1"/>
  <c r="BJ483" i="36"/>
  <c r="BK483" i="36" s="1"/>
  <c r="BJ422" i="36"/>
  <c r="BK422" i="36" s="1"/>
  <c r="BJ93" i="36"/>
  <c r="BK93" i="36" s="1"/>
  <c r="M43" i="9"/>
  <c r="BS6" i="26"/>
  <c r="BJ67" i="36"/>
  <c r="BK67" i="36" s="1"/>
  <c r="CB226" i="36"/>
  <c r="CC226" i="36" s="1"/>
  <c r="Q61" i="36"/>
  <c r="R61" i="36" s="1"/>
  <c r="CB399" i="36"/>
  <c r="CC399" i="36" s="1"/>
  <c r="CB426" i="36"/>
  <c r="CC426" i="36" s="1"/>
  <c r="AR397" i="36"/>
  <c r="AS397" i="36" s="1"/>
  <c r="Q337" i="36"/>
  <c r="R337" i="36" s="1"/>
  <c r="AR61" i="36"/>
  <c r="AS61" i="36" s="1"/>
  <c r="CB192" i="36"/>
  <c r="CC192" i="36" s="1"/>
  <c r="BJ117" i="36"/>
  <c r="BK117" i="36" s="1"/>
  <c r="H497" i="36"/>
  <c r="I497" i="36" s="1"/>
  <c r="BA459" i="36"/>
  <c r="BB459" i="36" s="1"/>
  <c r="H179" i="36"/>
  <c r="I179" i="36" s="1"/>
  <c r="BS431" i="36"/>
  <c r="BT431" i="36" s="1"/>
  <c r="BS308" i="36"/>
  <c r="BT308" i="36" s="1"/>
  <c r="CB142" i="36"/>
  <c r="CC142" i="36" s="1"/>
  <c r="Q422" i="36"/>
  <c r="R422" i="36" s="1"/>
  <c r="BA399" i="36"/>
  <c r="BB399" i="36" s="1"/>
  <c r="Q528" i="36"/>
  <c r="R528" i="36" s="1"/>
  <c r="BS358" i="36"/>
  <c r="BT358" i="36" s="1"/>
  <c r="CB208" i="36"/>
  <c r="CC208" i="36" s="1"/>
  <c r="Q72" i="36"/>
  <c r="R72" i="36" s="1"/>
  <c r="BA454" i="36"/>
  <c r="BB454" i="36" s="1"/>
  <c r="H388" i="36"/>
  <c r="I388" i="36" s="1"/>
  <c r="Z193" i="36"/>
  <c r="AA193" i="36" s="1"/>
  <c r="AR528" i="36"/>
  <c r="AS528" i="36" s="1"/>
  <c r="BS226" i="36"/>
  <c r="BT226" i="36" s="1"/>
  <c r="Z342" i="36"/>
  <c r="AA342" i="36" s="1"/>
  <c r="AI450" i="36"/>
  <c r="AJ450" i="36" s="1"/>
  <c r="CB302" i="36"/>
  <c r="CC302" i="36" s="1"/>
  <c r="AR255" i="36"/>
  <c r="AS255" i="36" s="1"/>
  <c r="H375" i="36"/>
  <c r="I375" i="36" s="1"/>
  <c r="BS102" i="36"/>
  <c r="BT102" i="36" s="1"/>
  <c r="H479" i="36"/>
  <c r="I479" i="36" s="1"/>
  <c r="AI518" i="36"/>
  <c r="AJ518" i="36" s="1"/>
  <c r="BA565" i="36"/>
  <c r="BB565" i="36" s="1"/>
  <c r="Q278" i="36"/>
  <c r="R278" i="36" s="1"/>
  <c r="BA193" i="36"/>
  <c r="BB193" i="36" s="1"/>
  <c r="H373" i="36"/>
  <c r="I373" i="36" s="1"/>
  <c r="Z525" i="36"/>
  <c r="AA525" i="36" s="1"/>
  <c r="H321" i="36"/>
  <c r="I321" i="36" s="1"/>
  <c r="H343" i="36"/>
  <c r="I343" i="36" s="1"/>
  <c r="BA400" i="36"/>
  <c r="BB400" i="36" s="1"/>
  <c r="AR250" i="36"/>
  <c r="AS250" i="36" s="1"/>
  <c r="CB262" i="36"/>
  <c r="CC262" i="36" s="1"/>
  <c r="AR571" i="36"/>
  <c r="AS571" i="36" s="1"/>
  <c r="BJ332" i="36"/>
  <c r="BK332" i="36" s="1"/>
  <c r="Z442" i="36"/>
  <c r="AA442" i="36" s="1"/>
  <c r="Q289" i="36"/>
  <c r="R289" i="36" s="1"/>
  <c r="BS338" i="36"/>
  <c r="BT338" i="36" s="1"/>
  <c r="BA510" i="36"/>
  <c r="BB510" i="36" s="1"/>
  <c r="H126" i="36"/>
  <c r="I126" i="36" s="1"/>
  <c r="Z126" i="36"/>
  <c r="AA126" i="36" s="1"/>
  <c r="CB407" i="36"/>
  <c r="CC407" i="36" s="1"/>
  <c r="BJ153" i="36"/>
  <c r="BK153" i="36" s="1"/>
  <c r="BS118" i="36"/>
  <c r="BT118" i="36" s="1"/>
  <c r="BA248" i="36"/>
  <c r="BB248" i="36" s="1"/>
  <c r="H540" i="36"/>
  <c r="I540" i="36" s="1"/>
  <c r="Q194" i="36"/>
  <c r="R194" i="36" s="1"/>
  <c r="BJ268" i="36"/>
  <c r="BK268" i="36" s="1"/>
  <c r="BA429" i="36"/>
  <c r="BB429" i="36" s="1"/>
  <c r="AI520" i="36"/>
  <c r="AJ520" i="36" s="1"/>
  <c r="BA225" i="36"/>
  <c r="BB225" i="36" s="1"/>
  <c r="AR141" i="36"/>
  <c r="AS141" i="36" s="1"/>
  <c r="AR537" i="36"/>
  <c r="AS537" i="36" s="1"/>
  <c r="BS70" i="36"/>
  <c r="BT70" i="36" s="1"/>
  <c r="CB251" i="36"/>
  <c r="CC251" i="36" s="1"/>
  <c r="H480" i="36"/>
  <c r="I480" i="36" s="1"/>
  <c r="BA495" i="36"/>
  <c r="BB495" i="36" s="1"/>
  <c r="Q103" i="36"/>
  <c r="R103" i="36" s="1"/>
  <c r="AI130" i="36"/>
  <c r="AJ130" i="36" s="1"/>
  <c r="BA203" i="36"/>
  <c r="BB203" i="36" s="1"/>
  <c r="AR535" i="36"/>
  <c r="AS535" i="36" s="1"/>
  <c r="BS469" i="36"/>
  <c r="BT469" i="36" s="1"/>
  <c r="Z153" i="36"/>
  <c r="AA153" i="36" s="1"/>
  <c r="H377" i="36"/>
  <c r="I377" i="36" s="1"/>
  <c r="AR521" i="36"/>
  <c r="AS521" i="36" s="1"/>
  <c r="H481" i="36"/>
  <c r="I481" i="36" s="1"/>
  <c r="AI187" i="36"/>
  <c r="AJ187" i="36" s="1"/>
  <c r="Q423" i="36"/>
  <c r="R423" i="36" s="1"/>
  <c r="H178" i="36"/>
  <c r="I178" i="36" s="1"/>
  <c r="Z474" i="36"/>
  <c r="AA474" i="36" s="1"/>
  <c r="H526" i="36"/>
  <c r="I526" i="36" s="1"/>
  <c r="Q429" i="36"/>
  <c r="R429" i="36" s="1"/>
  <c r="Q365" i="36"/>
  <c r="R365" i="36" s="1"/>
  <c r="AR433" i="36"/>
  <c r="AS433" i="36" s="1"/>
  <c r="Z237" i="36"/>
  <c r="AA237" i="36" s="1"/>
  <c r="CB438" i="36"/>
  <c r="CC438" i="36" s="1"/>
  <c r="Q193" i="36"/>
  <c r="R193" i="36" s="1"/>
  <c r="Q258" i="36"/>
  <c r="R258" i="36" s="1"/>
  <c r="BJ226" i="36"/>
  <c r="BK226" i="36" s="1"/>
  <c r="CB79" i="36"/>
  <c r="CC79" i="36" s="1"/>
  <c r="BA45" i="36"/>
  <c r="BB45" i="36" s="1"/>
  <c r="CB102" i="36"/>
  <c r="CC102" i="36" s="1"/>
  <c r="AR213" i="36"/>
  <c r="AS213" i="36" s="1"/>
  <c r="AI374" i="36"/>
  <c r="AJ374" i="36" s="1"/>
  <c r="BV8" i="24"/>
  <c r="AS8" i="24" s="1"/>
  <c r="T12" i="9" s="1"/>
  <c r="H198" i="36"/>
  <c r="I198" i="36" s="1"/>
  <c r="CB184" i="36"/>
  <c r="CC184" i="36" s="1"/>
  <c r="AI249" i="36"/>
  <c r="AJ249" i="36" s="1"/>
  <c r="CB435" i="36"/>
  <c r="CC435" i="36" s="1"/>
  <c r="BJ135" i="36"/>
  <c r="BK135" i="36" s="1"/>
  <c r="CB151" i="36"/>
  <c r="CC151" i="36" s="1"/>
  <c r="Q544" i="36"/>
  <c r="R544" i="36" s="1"/>
  <c r="AI510" i="36"/>
  <c r="AJ510" i="36" s="1"/>
  <c r="Q436" i="36"/>
  <c r="R436" i="36" s="1"/>
  <c r="BJ101" i="36"/>
  <c r="BK101" i="36" s="1"/>
  <c r="AR490" i="36"/>
  <c r="AS490" i="36" s="1"/>
  <c r="BA310" i="36"/>
  <c r="BB310" i="36" s="1"/>
  <c r="AI286" i="36"/>
  <c r="AJ286" i="36" s="1"/>
  <c r="Z259" i="36"/>
  <c r="AA259" i="36" s="1"/>
  <c r="AI449" i="36"/>
  <c r="AJ449" i="36" s="1"/>
  <c r="BJ559" i="36"/>
  <c r="BK559" i="36" s="1"/>
  <c r="BJ347" i="36"/>
  <c r="BK347" i="36" s="1"/>
  <c r="BJ386" i="36"/>
  <c r="BK386" i="36" s="1"/>
  <c r="BJ598" i="36"/>
  <c r="BK598" i="36" s="1"/>
  <c r="Z513" i="36"/>
  <c r="AA513" i="36" s="1"/>
  <c r="Q343" i="36"/>
  <c r="R343" i="36" s="1"/>
  <c r="Q427" i="36"/>
  <c r="R427" i="36" s="1"/>
  <c r="AR454" i="36"/>
  <c r="AS454" i="36" s="1"/>
  <c r="Z490" i="36"/>
  <c r="AA490" i="36" s="1"/>
  <c r="BJ167" i="36"/>
  <c r="BK167" i="36" s="1"/>
  <c r="Z157" i="36"/>
  <c r="AA157" i="36" s="1"/>
  <c r="BJ485" i="36"/>
  <c r="BK485" i="36" s="1"/>
  <c r="BS117" i="36"/>
  <c r="BT117" i="36" s="1"/>
  <c r="AI494" i="36"/>
  <c r="AJ494" i="36" s="1"/>
  <c r="CB56" i="36"/>
  <c r="CC56" i="36" s="1"/>
  <c r="H154" i="36"/>
  <c r="I154" i="36" s="1"/>
  <c r="BJ227" i="36"/>
  <c r="BK227" i="36" s="1"/>
  <c r="AI297" i="36"/>
  <c r="AJ297" i="36" s="1"/>
  <c r="AI418" i="36"/>
  <c r="AJ418" i="36" s="1"/>
  <c r="AI205" i="36"/>
  <c r="AJ205" i="36" s="1"/>
  <c r="BS9" i="26"/>
  <c r="M46" i="9"/>
  <c r="Q409" i="36"/>
  <c r="R409" i="36" s="1"/>
  <c r="Z66" i="36"/>
  <c r="AA66" i="36" s="1"/>
  <c r="AR159" i="36"/>
  <c r="AS159" i="36" s="1"/>
  <c r="CB447" i="36"/>
  <c r="CC447" i="36" s="1"/>
  <c r="AR471" i="36"/>
  <c r="AS471" i="36" s="1"/>
  <c r="AR563" i="36"/>
  <c r="AS563" i="36" s="1"/>
  <c r="BJ601" i="36"/>
  <c r="BK601" i="36" s="1"/>
  <c r="AI198" i="36"/>
  <c r="AJ198" i="36" s="1"/>
  <c r="CB106" i="36"/>
  <c r="CC106" i="36" s="1"/>
  <c r="BA424" i="36"/>
  <c r="BB424" i="36" s="1"/>
  <c r="AR47" i="36"/>
  <c r="AS47" i="36" s="1"/>
  <c r="CB112" i="36"/>
  <c r="CC112" i="36" s="1"/>
  <c r="H489" i="36"/>
  <c r="I489" i="36" s="1"/>
  <c r="Z154" i="36"/>
  <c r="AA154" i="36" s="1"/>
  <c r="Q437" i="36"/>
  <c r="R437" i="36" s="1"/>
  <c r="BJ44" i="36"/>
  <c r="BK44" i="36" s="1"/>
  <c r="AI562" i="36"/>
  <c r="AJ562" i="36" s="1"/>
  <c r="BT11" i="24"/>
  <c r="AQ11" i="24" s="1"/>
  <c r="H548" i="36"/>
  <c r="I548" i="36" s="1"/>
  <c r="H420" i="36"/>
  <c r="I420" i="36" s="1"/>
  <c r="AR555" i="36"/>
  <c r="AS555" i="36" s="1"/>
  <c r="BS468" i="36"/>
  <c r="BT468" i="36" s="1"/>
  <c r="BS304" i="36"/>
  <c r="BT304" i="36" s="1"/>
  <c r="CB374" i="36"/>
  <c r="CC374" i="36" s="1"/>
  <c r="AI129" i="36"/>
  <c r="AJ129" i="36" s="1"/>
  <c r="AI239" i="36"/>
  <c r="AJ239" i="36" s="1"/>
  <c r="BA246" i="36"/>
  <c r="BB246" i="36" s="1"/>
  <c r="AI435" i="36"/>
  <c r="AJ435" i="36" s="1"/>
  <c r="AR203" i="36"/>
  <c r="AS203" i="36" s="1"/>
  <c r="Z385" i="36"/>
  <c r="AA385" i="36" s="1"/>
  <c r="AI491" i="36"/>
  <c r="AJ491" i="36" s="1"/>
  <c r="BS371" i="36"/>
  <c r="BT371" i="36" s="1"/>
  <c r="BJ358" i="36"/>
  <c r="BK358" i="36" s="1"/>
  <c r="BA159" i="36"/>
  <c r="BB159" i="36" s="1"/>
  <c r="AR343" i="36"/>
  <c r="AS343" i="36" s="1"/>
  <c r="BS367" i="36"/>
  <c r="BT367" i="36" s="1"/>
  <c r="AI425" i="36"/>
  <c r="AJ425" i="36" s="1"/>
  <c r="CB69" i="36"/>
  <c r="CC69" i="36" s="1"/>
  <c r="AI503" i="36"/>
  <c r="AJ503" i="36" s="1"/>
  <c r="BJ501" i="36"/>
  <c r="BK501" i="36" s="1"/>
  <c r="AI210" i="36"/>
  <c r="AJ210" i="36" s="1"/>
  <c r="BA116" i="36"/>
  <c r="BB116" i="36" s="1"/>
  <c r="BA579" i="36"/>
  <c r="BB579" i="36" s="1"/>
  <c r="CB145" i="36"/>
  <c r="CC145" i="36" s="1"/>
  <c r="BA61" i="36"/>
  <c r="BB61" i="36" s="1"/>
  <c r="BA204" i="36"/>
  <c r="BB204" i="36" s="1"/>
  <c r="BS46" i="36"/>
  <c r="BT46" i="36" s="1"/>
  <c r="Q543" i="36"/>
  <c r="R543" i="36" s="1"/>
  <c r="Q406" i="36"/>
  <c r="R406" i="36" s="1"/>
  <c r="Q107" i="36"/>
  <c r="R107" i="36" s="1"/>
  <c r="CB345" i="36"/>
  <c r="CC345" i="36" s="1"/>
  <c r="AR166" i="36"/>
  <c r="AS166" i="36" s="1"/>
  <c r="H364" i="36"/>
  <c r="I364" i="36" s="1"/>
  <c r="BJ116" i="36"/>
  <c r="BK116" i="36" s="1"/>
  <c r="AI553" i="36"/>
  <c r="AJ553" i="36" s="1"/>
  <c r="Q234" i="36"/>
  <c r="R234" i="36" s="1"/>
  <c r="BS93" i="36"/>
  <c r="BT93" i="36" s="1"/>
  <c r="AR215" i="36"/>
  <c r="AS215" i="36" s="1"/>
  <c r="AI177" i="36"/>
  <c r="AJ177" i="36" s="1"/>
  <c r="H279" i="36"/>
  <c r="I279" i="36" s="1"/>
  <c r="Z221" i="36"/>
  <c r="AA221" i="36" s="1"/>
  <c r="Q275" i="36"/>
  <c r="R275" i="36" s="1"/>
  <c r="H417" i="36"/>
  <c r="I417" i="36" s="1"/>
  <c r="BJ273" i="36"/>
  <c r="BK273" i="36" s="1"/>
  <c r="AI498" i="36"/>
  <c r="AJ498" i="36" s="1"/>
  <c r="Z141" i="36"/>
  <c r="AA141" i="36" s="1"/>
  <c r="H140" i="36"/>
  <c r="I140" i="36" s="1"/>
  <c r="BS473" i="36"/>
  <c r="BT473" i="36" s="1"/>
  <c r="AI564" i="36"/>
  <c r="AJ564" i="36" s="1"/>
  <c r="H425" i="36"/>
  <c r="I425" i="36" s="1"/>
  <c r="Q287" i="36"/>
  <c r="R287" i="36" s="1"/>
  <c r="Z544" i="36"/>
  <c r="AA544" i="36" s="1"/>
  <c r="BJ250" i="36"/>
  <c r="BK250" i="36" s="1"/>
  <c r="Q352" i="36"/>
  <c r="R352" i="36" s="1"/>
  <c r="BJ98" i="36"/>
  <c r="BK98" i="36" s="1"/>
  <c r="Z236" i="36"/>
  <c r="AA236" i="36" s="1"/>
  <c r="Q531" i="36"/>
  <c r="R531" i="36" s="1"/>
  <c r="BA115" i="36"/>
  <c r="BB115" i="36" s="1"/>
  <c r="BA359" i="36"/>
  <c r="BB359" i="36" s="1"/>
  <c r="BA432" i="36"/>
  <c r="BB432" i="36" s="1"/>
  <c r="H124" i="36"/>
  <c r="I124" i="36" s="1"/>
  <c r="AI501" i="36"/>
  <c r="AJ501" i="36" s="1"/>
  <c r="CB85" i="36"/>
  <c r="CC85" i="36" s="1"/>
  <c r="BA360" i="36"/>
  <c r="BB360" i="36" s="1"/>
  <c r="BA541" i="36"/>
  <c r="BB541" i="36" s="1"/>
  <c r="Z288" i="36"/>
  <c r="AA288" i="36" s="1"/>
  <c r="BA166" i="36"/>
  <c r="BB166" i="36" s="1"/>
  <c r="AI473" i="36"/>
  <c r="AJ473" i="36" s="1"/>
  <c r="H226" i="36"/>
  <c r="I226" i="36" s="1"/>
  <c r="H150" i="36"/>
  <c r="I150" i="36" s="1"/>
  <c r="AR73" i="36"/>
  <c r="AS73" i="36" s="1"/>
  <c r="Z528" i="36"/>
  <c r="AA528" i="36" s="1"/>
  <c r="BJ611" i="36"/>
  <c r="BK611" i="36" s="1"/>
  <c r="H253" i="36"/>
  <c r="I253" i="36" s="1"/>
  <c r="H71" i="36"/>
  <c r="I71" i="36" s="1"/>
  <c r="BA419" i="36"/>
  <c r="BB419" i="36" s="1"/>
  <c r="CB285" i="36"/>
  <c r="CC285" i="36" s="1"/>
  <c r="CB186" i="36"/>
  <c r="CC186" i="36" s="1"/>
  <c r="Q292" i="36"/>
  <c r="R292" i="36" s="1"/>
  <c r="BS429" i="36"/>
  <c r="BT429" i="36" s="1"/>
  <c r="AR144" i="36"/>
  <c r="AS144" i="36" s="1"/>
  <c r="Z171" i="36"/>
  <c r="AA171" i="36" s="1"/>
  <c r="AI511" i="36"/>
  <c r="AJ511" i="36" s="1"/>
  <c r="BA314" i="36"/>
  <c r="BB314" i="36" s="1"/>
  <c r="Z180" i="36"/>
  <c r="AA180" i="36" s="1"/>
  <c r="BA199" i="36"/>
  <c r="BB199" i="36" s="1"/>
  <c r="BA206" i="36"/>
  <c r="BB206" i="36" s="1"/>
  <c r="CB306" i="36"/>
  <c r="CC306" i="36" s="1"/>
  <c r="BA267" i="36"/>
  <c r="BB267" i="36" s="1"/>
  <c r="CB418" i="36"/>
  <c r="CC418" i="36" s="1"/>
  <c r="AR339" i="36"/>
  <c r="AS339" i="36" s="1"/>
  <c r="CB156" i="36"/>
  <c r="CC156" i="36" s="1"/>
  <c r="Z249" i="36"/>
  <c r="AA249" i="36" s="1"/>
  <c r="H241" i="36"/>
  <c r="I241" i="36" s="1"/>
  <c r="AI364" i="36"/>
  <c r="AJ364" i="36" s="1"/>
  <c r="H511" i="36"/>
  <c r="I511" i="36" s="1"/>
  <c r="BS427" i="36"/>
  <c r="BT427" i="36" s="1"/>
  <c r="Z542" i="36"/>
  <c r="AA542" i="36" s="1"/>
  <c r="H281" i="36"/>
  <c r="I281" i="36" s="1"/>
  <c r="L44" i="9"/>
  <c r="BR7" i="26"/>
  <c r="Z282" i="36"/>
  <c r="AA282" i="36" s="1"/>
  <c r="Q384" i="36"/>
  <c r="R384" i="36" s="1"/>
  <c r="Q408" i="36"/>
  <c r="R408" i="36" s="1"/>
  <c r="Q181" i="36"/>
  <c r="R181" i="36" s="1"/>
  <c r="H507" i="36"/>
  <c r="I507" i="36" s="1"/>
  <c r="Q144" i="36"/>
  <c r="R144" i="36" s="1"/>
  <c r="BJ468" i="36"/>
  <c r="BK468" i="36" s="1"/>
  <c r="Q230" i="36"/>
  <c r="R230" i="36" s="1"/>
  <c r="Q373" i="36"/>
  <c r="R373" i="36" s="1"/>
  <c r="H146" i="36"/>
  <c r="I146" i="36" s="1"/>
  <c r="AI111" i="36"/>
  <c r="AJ111" i="36" s="1"/>
  <c r="Q111" i="36"/>
  <c r="R111" i="36" s="1"/>
  <c r="BW11" i="24"/>
  <c r="AT11" i="24" s="1"/>
  <c r="Q131" i="36"/>
  <c r="R131" i="36" s="1"/>
  <c r="Z137" i="36"/>
  <c r="AA137" i="36" s="1"/>
  <c r="CB313" i="36"/>
  <c r="CC313" i="36" s="1"/>
  <c r="Z495" i="36"/>
  <c r="AA495" i="36" s="1"/>
  <c r="Q495" i="36"/>
  <c r="R495" i="36" s="1"/>
  <c r="BS184" i="36"/>
  <c r="BT184" i="36" s="1"/>
  <c r="BJ104" i="36"/>
  <c r="BK104" i="36" s="1"/>
  <c r="BJ261" i="36"/>
  <c r="BK261" i="36" s="1"/>
  <c r="BA119" i="36"/>
  <c r="BB119" i="36" s="1"/>
  <c r="BJ403" i="36"/>
  <c r="BK403" i="36" s="1"/>
  <c r="AI434" i="36"/>
  <c r="AJ434" i="36" s="1"/>
  <c r="Z387" i="36"/>
  <c r="AA387" i="36" s="1"/>
  <c r="CB197" i="36"/>
  <c r="CC197" i="36" s="1"/>
  <c r="Z368" i="36"/>
  <c r="AA368" i="36" s="1"/>
  <c r="BA287" i="36"/>
  <c r="BB287" i="36" s="1"/>
  <c r="H153" i="36"/>
  <c r="I153" i="36" s="1"/>
  <c r="Q195" i="36"/>
  <c r="R195" i="36" s="1"/>
  <c r="CB213" i="36"/>
  <c r="CC213" i="36" s="1"/>
  <c r="CB307" i="36"/>
  <c r="CC307" i="36" s="1"/>
  <c r="AR65" i="36"/>
  <c r="AS65" i="36" s="1"/>
  <c r="CB294" i="36"/>
  <c r="CC294" i="36" s="1"/>
  <c r="BA290" i="36"/>
  <c r="BB290" i="36" s="1"/>
  <c r="BJ432" i="36"/>
  <c r="BK432" i="36" s="1"/>
  <c r="H133" i="36"/>
  <c r="I133" i="36" s="1"/>
  <c r="Z543" i="36"/>
  <c r="AA543" i="36" s="1"/>
  <c r="Z69" i="36"/>
  <c r="AA69" i="36" s="1"/>
  <c r="H277" i="36"/>
  <c r="I277" i="36" s="1"/>
  <c r="Z461" i="36"/>
  <c r="AA461" i="36" s="1"/>
  <c r="CB377" i="36"/>
  <c r="CC377" i="36" s="1"/>
  <c r="AR538" i="36"/>
  <c r="AS538" i="36" s="1"/>
  <c r="BA162" i="36"/>
  <c r="BB162" i="36" s="1"/>
  <c r="Z457" i="36"/>
  <c r="AA457" i="36" s="1"/>
  <c r="H457" i="36"/>
  <c r="I457" i="36" s="1"/>
  <c r="Q441" i="36"/>
  <c r="R441" i="36" s="1"/>
  <c r="H190" i="36"/>
  <c r="I190" i="36" s="1"/>
  <c r="Q64" i="36"/>
  <c r="R64" i="36" s="1"/>
  <c r="AI517" i="36"/>
  <c r="AJ517" i="36" s="1"/>
  <c r="CB70" i="36"/>
  <c r="CC70" i="36" s="1"/>
  <c r="Q374" i="36"/>
  <c r="R374" i="36" s="1"/>
  <c r="H338" i="36"/>
  <c r="I338" i="36" s="1"/>
  <c r="Z506" i="36"/>
  <c r="AA506" i="36" s="1"/>
  <c r="BA413" i="36"/>
  <c r="BB413" i="36" s="1"/>
  <c r="BS466" i="36"/>
  <c r="BT466" i="36" s="1"/>
  <c r="BS108" i="36"/>
  <c r="BT108" i="36" s="1"/>
  <c r="BJ327" i="36"/>
  <c r="BK327" i="36" s="1"/>
  <c r="BA509" i="36"/>
  <c r="BB509" i="36" s="1"/>
  <c r="AR485" i="36"/>
  <c r="AS485" i="36" s="1"/>
  <c r="Q517" i="36"/>
  <c r="R517" i="36" s="1"/>
  <c r="BJ389" i="36"/>
  <c r="BK389" i="36" s="1"/>
  <c r="BJ565" i="36"/>
  <c r="BK565" i="36" s="1"/>
  <c r="BA273" i="36"/>
  <c r="BB273" i="36" s="1"/>
  <c r="H205" i="36"/>
  <c r="I205" i="36" s="1"/>
  <c r="H260" i="36"/>
  <c r="I260" i="36" s="1"/>
  <c r="H275" i="36"/>
  <c r="I275" i="36" s="1"/>
  <c r="BJ141" i="36"/>
  <c r="BK141" i="36" s="1"/>
  <c r="BJ353" i="36"/>
  <c r="BK353" i="36" s="1"/>
  <c r="Q480" i="36"/>
  <c r="R480" i="36" s="1"/>
  <c r="Q96" i="36"/>
  <c r="R96" i="36" s="1"/>
  <c r="Q419" i="36"/>
  <c r="R419" i="36" s="1"/>
  <c r="H476" i="36"/>
  <c r="I476" i="36" s="1"/>
  <c r="BS136" i="36"/>
  <c r="BT136" i="36" s="1"/>
  <c r="AI92" i="36"/>
  <c r="AJ92" i="36" s="1"/>
  <c r="BA135" i="36"/>
  <c r="BB135" i="36" s="1"/>
  <c r="BJ137" i="36"/>
  <c r="BK137" i="36" s="1"/>
  <c r="BA551" i="36"/>
  <c r="BB551" i="36" s="1"/>
  <c r="CB80" i="36"/>
  <c r="CC80" i="36" s="1"/>
  <c r="AI134" i="36"/>
  <c r="AJ134" i="36" s="1"/>
  <c r="BS183" i="36"/>
  <c r="BT183" i="36" s="1"/>
  <c r="Z531" i="36"/>
  <c r="AA531" i="36" s="1"/>
  <c r="BA218" i="36"/>
  <c r="BB218" i="36" s="1"/>
  <c r="BJ417" i="36"/>
  <c r="BK417" i="36" s="1"/>
  <c r="H145" i="36"/>
  <c r="I145" i="36" s="1"/>
  <c r="CB449" i="36"/>
  <c r="CC449" i="36" s="1"/>
  <c r="CK148" i="36"/>
  <c r="CL148" i="36" s="1"/>
  <c r="CM128" i="36" s="1"/>
  <c r="BS461" i="36"/>
  <c r="BT461" i="36" s="1"/>
  <c r="CB51" i="36"/>
  <c r="CC51" i="36" s="1"/>
  <c r="H418" i="36"/>
  <c r="I418" i="36" s="1"/>
  <c r="BS318" i="36"/>
  <c r="BT318" i="36" s="1"/>
  <c r="BS259" i="36"/>
  <c r="BT259" i="36" s="1"/>
  <c r="CB358" i="36"/>
  <c r="CC358" i="36" s="1"/>
  <c r="Q548" i="36"/>
  <c r="R548" i="36" s="1"/>
  <c r="AR570" i="36"/>
  <c r="AS570" i="36" s="1"/>
  <c r="H228" i="36"/>
  <c r="I228" i="36" s="1"/>
  <c r="BJ428" i="36"/>
  <c r="BK428" i="36" s="1"/>
  <c r="BJ401" i="36"/>
  <c r="BK401" i="36" s="1"/>
  <c r="H485" i="36"/>
  <c r="I485" i="36" s="1"/>
  <c r="CB138" i="36"/>
  <c r="CC138" i="36" s="1"/>
  <c r="Q364" i="36"/>
  <c r="R364" i="36" s="1"/>
  <c r="Q97" i="36"/>
  <c r="R97" i="36" s="1"/>
  <c r="CB54" i="36"/>
  <c r="CC54" i="36" s="1"/>
  <c r="BS329" i="36"/>
  <c r="BT329" i="36" s="1"/>
  <c r="BA502" i="36"/>
  <c r="BB502" i="36" s="1"/>
  <c r="BJ326" i="36"/>
  <c r="BK326" i="36" s="1"/>
  <c r="BT9" i="26"/>
  <c r="N46" i="9"/>
  <c r="BA319" i="36"/>
  <c r="BB319" i="36" s="1"/>
  <c r="AR46" i="36"/>
  <c r="AS46" i="36" s="1"/>
  <c r="AR330" i="36"/>
  <c r="AS330" i="36" s="1"/>
  <c r="BA96" i="36"/>
  <c r="BB96" i="36" s="1"/>
  <c r="Q542" i="36"/>
  <c r="R542" i="36" s="1"/>
  <c r="CB404" i="36"/>
  <c r="CC404" i="36" s="1"/>
  <c r="Q189" i="36"/>
  <c r="R189" i="36" s="1"/>
  <c r="AR450" i="36"/>
  <c r="AS450" i="36" s="1"/>
  <c r="Z362" i="36"/>
  <c r="AA362" i="36" s="1"/>
  <c r="BJ246" i="36"/>
  <c r="BK246" i="36" s="1"/>
  <c r="Q295" i="36"/>
  <c r="R295" i="36" s="1"/>
  <c r="AI500" i="36"/>
  <c r="AJ500" i="36" s="1"/>
  <c r="BA265" i="36"/>
  <c r="BB265" i="36" s="1"/>
  <c r="Z366" i="36"/>
  <c r="AA366" i="36" s="1"/>
  <c r="BS208" i="36"/>
  <c r="BT208" i="36" s="1"/>
  <c r="AR572" i="36"/>
  <c r="AS572" i="36" s="1"/>
  <c r="Q363" i="36"/>
  <c r="R363" i="36" s="1"/>
  <c r="BJ75" i="36"/>
  <c r="BK75" i="36" s="1"/>
  <c r="BS268" i="36"/>
  <c r="BT268" i="36" s="1"/>
  <c r="O44" i="9"/>
  <c r="BU7" i="26"/>
  <c r="Z295" i="36"/>
  <c r="AA295" i="36" s="1"/>
  <c r="AI328" i="36"/>
  <c r="AJ328" i="36" s="1"/>
  <c r="AI525" i="36"/>
  <c r="AJ525" i="36" s="1"/>
  <c r="CB150" i="36"/>
  <c r="CC150" i="36" s="1"/>
  <c r="AI62" i="36"/>
  <c r="AJ62" i="36" s="1"/>
  <c r="BJ473" i="36"/>
  <c r="BK473" i="36" s="1"/>
  <c r="AI106" i="36"/>
  <c r="AJ106" i="36" s="1"/>
  <c r="BA281" i="36"/>
  <c r="BB281" i="36" s="1"/>
  <c r="BA313" i="36"/>
  <c r="BB313" i="36" s="1"/>
  <c r="H349" i="36"/>
  <c r="I349" i="36" s="1"/>
  <c r="CB274" i="36"/>
  <c r="CC274" i="36" s="1"/>
  <c r="H525" i="36"/>
  <c r="I525" i="36" s="1"/>
  <c r="H404" i="36"/>
  <c r="I404" i="36" s="1"/>
  <c r="AI153" i="36"/>
  <c r="AJ153" i="36" s="1"/>
  <c r="BJ594" i="36"/>
  <c r="BK594" i="36" s="1"/>
  <c r="H447" i="36"/>
  <c r="I447" i="36" s="1"/>
  <c r="CB236" i="36"/>
  <c r="CC236" i="36" s="1"/>
  <c r="Z98" i="36"/>
  <c r="AA98" i="36" s="1"/>
  <c r="BJ554" i="36"/>
  <c r="BK554" i="36" s="1"/>
  <c r="BA148" i="36"/>
  <c r="BB148" i="36" s="1"/>
  <c r="BJ107" i="36"/>
  <c r="BK107" i="36" s="1"/>
  <c r="BA213" i="36"/>
  <c r="BB213" i="36" s="1"/>
  <c r="BV6" i="24"/>
  <c r="AS6" i="24" s="1"/>
  <c r="T10" i="9" s="1"/>
  <c r="AR381" i="36"/>
  <c r="AS381" i="36" s="1"/>
  <c r="BS339" i="36"/>
  <c r="BT339" i="36" s="1"/>
  <c r="Q141" i="36"/>
  <c r="R141" i="36" s="1"/>
  <c r="BA220" i="36"/>
  <c r="BB220" i="36" s="1"/>
  <c r="BJ333" i="36"/>
  <c r="BK333" i="36" s="1"/>
  <c r="AR380" i="36"/>
  <c r="AS380" i="36" s="1"/>
  <c r="BJ155" i="36"/>
  <c r="BK155" i="36" s="1"/>
  <c r="BS178" i="36"/>
  <c r="BT178" i="36" s="1"/>
  <c r="Z541" i="36"/>
  <c r="AA541" i="36" s="1"/>
  <c r="BU8" i="24"/>
  <c r="AR8" i="24" s="1"/>
  <c r="S12" i="9" s="1"/>
  <c r="BA466" i="36"/>
  <c r="BB466" i="36" s="1"/>
  <c r="BJ263" i="36"/>
  <c r="BK263" i="36" s="1"/>
  <c r="Q197" i="36"/>
  <c r="R197" i="36" s="1"/>
  <c r="Z112" i="36"/>
  <c r="AA112" i="36" s="1"/>
  <c r="BJ321" i="36"/>
  <c r="BK321" i="36" s="1"/>
  <c r="H384" i="36"/>
  <c r="I384" i="36" s="1"/>
  <c r="BA477" i="36"/>
  <c r="BB477" i="36" s="1"/>
  <c r="AI428" i="36"/>
  <c r="AJ428" i="36" s="1"/>
  <c r="H385" i="36"/>
  <c r="I385" i="36" s="1"/>
  <c r="H449" i="36"/>
  <c r="I449" i="36" s="1"/>
  <c r="Z289" i="36"/>
  <c r="AA289" i="36" s="1"/>
  <c r="AI419" i="36"/>
  <c r="AJ419" i="36" s="1"/>
  <c r="AI552" i="36"/>
  <c r="AJ552" i="36" s="1"/>
  <c r="CB351" i="36"/>
  <c r="CC351" i="36" s="1"/>
  <c r="Z363" i="36"/>
  <c r="AA363" i="36" s="1"/>
  <c r="Q492" i="36"/>
  <c r="R492" i="36" s="1"/>
  <c r="Z90" i="36"/>
  <c r="AA90" i="36" s="1"/>
  <c r="AR303" i="36"/>
  <c r="AS303" i="36" s="1"/>
  <c r="H462" i="36"/>
  <c r="I462" i="36" s="1"/>
  <c r="AR58" i="36"/>
  <c r="AS58" i="36" s="1"/>
  <c r="AI398" i="36"/>
  <c r="AJ398" i="36" s="1"/>
  <c r="AR529" i="36"/>
  <c r="AS529" i="36" s="1"/>
  <c r="Z523" i="36"/>
  <c r="AA523" i="36" s="1"/>
  <c r="AR428" i="36"/>
  <c r="AS428" i="36" s="1"/>
  <c r="BA505" i="36"/>
  <c r="BB505" i="36" s="1"/>
  <c r="AR549" i="36"/>
  <c r="AS549" i="36" s="1"/>
  <c r="BA335" i="36"/>
  <c r="BB335" i="36" s="1"/>
  <c r="AI417" i="36"/>
  <c r="AJ417" i="36" s="1"/>
  <c r="Z464" i="36"/>
  <c r="AA464" i="36" s="1"/>
  <c r="CB325" i="36"/>
  <c r="CC325" i="36" s="1"/>
  <c r="CB301" i="36"/>
  <c r="CC301" i="36" s="1"/>
  <c r="AI472" i="36"/>
  <c r="AJ472" i="36" s="1"/>
  <c r="H486" i="36"/>
  <c r="I486" i="36" s="1"/>
  <c r="BJ427" i="36"/>
  <c r="BK427" i="36" s="1"/>
  <c r="Z132" i="36"/>
  <c r="AA132" i="36" s="1"/>
  <c r="AI240" i="36"/>
  <c r="AJ240" i="36" s="1"/>
  <c r="BS138" i="36"/>
  <c r="BT138" i="36" s="1"/>
  <c r="BJ606" i="36"/>
  <c r="BK606" i="36" s="1"/>
  <c r="BJ467" i="36"/>
  <c r="BK467" i="36" s="1"/>
  <c r="BA557" i="36"/>
  <c r="BB557" i="36" s="1"/>
  <c r="BA104" i="36"/>
  <c r="BB104" i="36" s="1"/>
  <c r="BA578" i="36"/>
  <c r="BB578" i="36" s="1"/>
  <c r="AI206" i="36"/>
  <c r="AJ206" i="36" s="1"/>
  <c r="CB48" i="36"/>
  <c r="CC48" i="36" s="1"/>
  <c r="BJ266" i="36"/>
  <c r="BK266" i="36" s="1"/>
  <c r="BS100" i="36"/>
  <c r="BT100" i="36" s="1"/>
  <c r="H305" i="36"/>
  <c r="I305" i="36" s="1"/>
  <c r="CB335" i="36"/>
  <c r="CC335" i="36" s="1"/>
  <c r="BJ136" i="36"/>
  <c r="BK136" i="36" s="1"/>
  <c r="BJ94" i="36"/>
  <c r="BK94" i="36" s="1"/>
  <c r="Q545" i="36"/>
  <c r="R545" i="36" s="1"/>
  <c r="CB375" i="36"/>
  <c r="CC375" i="36" s="1"/>
  <c r="Z306" i="36"/>
  <c r="AA306" i="36" s="1"/>
  <c r="AI283" i="36"/>
  <c r="AJ283" i="36" s="1"/>
  <c r="AI250" i="36"/>
  <c r="AJ250" i="36" s="1"/>
  <c r="H69" i="36"/>
  <c r="I69" i="36" s="1"/>
  <c r="BA433" i="36"/>
  <c r="BB433" i="36" s="1"/>
  <c r="AI426" i="36"/>
  <c r="AJ426" i="36" s="1"/>
  <c r="AI470" i="36"/>
  <c r="AJ470" i="36" s="1"/>
  <c r="Z545" i="36"/>
  <c r="AA545" i="36" s="1"/>
  <c r="Q505" i="36"/>
  <c r="R505" i="36" s="1"/>
  <c r="CB76" i="36"/>
  <c r="CC76" i="36" s="1"/>
  <c r="Q153" i="36"/>
  <c r="R153" i="36" s="1"/>
  <c r="BJ602" i="36"/>
  <c r="BK602" i="36" s="1"/>
  <c r="BJ455" i="36"/>
  <c r="BK455" i="36" s="1"/>
  <c r="CB161" i="36"/>
  <c r="CC161" i="36" s="1"/>
  <c r="AR437" i="36"/>
  <c r="AS437" i="36" s="1"/>
  <c r="BJ425" i="36"/>
  <c r="BK425" i="36" s="1"/>
  <c r="AI334" i="36"/>
  <c r="AJ334" i="36" s="1"/>
  <c r="AI457" i="36"/>
  <c r="AJ457" i="36" s="1"/>
  <c r="AI451" i="36"/>
  <c r="AJ451" i="36" s="1"/>
  <c r="BJ77" i="36"/>
  <c r="BK77" i="36" s="1"/>
  <c r="Z462" i="36"/>
  <c r="AA462" i="36" s="1"/>
  <c r="AI538" i="36"/>
  <c r="AJ538" i="36" s="1"/>
  <c r="Z152" i="36"/>
  <c r="AA152" i="36" s="1"/>
  <c r="Q187" i="36"/>
  <c r="R187" i="36" s="1"/>
  <c r="BJ435" i="36"/>
  <c r="BK435" i="36" s="1"/>
  <c r="BJ249" i="36"/>
  <c r="BK249" i="36" s="1"/>
  <c r="BW6" i="24"/>
  <c r="AT6" i="24" s="1"/>
  <c r="BA599" i="36"/>
  <c r="BB599" i="36" s="1"/>
  <c r="BA144" i="36"/>
  <c r="BB144" i="36" s="1"/>
  <c r="AR483" i="36"/>
  <c r="AS483" i="36" s="1"/>
  <c r="AI454" i="36"/>
  <c r="AJ454" i="36" s="1"/>
  <c r="Q440" i="36"/>
  <c r="R440" i="36" s="1"/>
  <c r="AR488" i="36"/>
  <c r="AS488" i="36" s="1"/>
  <c r="CB414" i="36"/>
  <c r="CC414" i="36" s="1"/>
  <c r="AI66" i="36"/>
  <c r="AJ66" i="36" s="1"/>
  <c r="AR112" i="36"/>
  <c r="AS112" i="36" s="1"/>
  <c r="CB239" i="36"/>
  <c r="CC239" i="36" s="1"/>
  <c r="BA202" i="36"/>
  <c r="BB202" i="36" s="1"/>
  <c r="Q369" i="36"/>
  <c r="R369" i="36" s="1"/>
  <c r="BS77" i="36"/>
  <c r="BT77" i="36" s="1"/>
  <c r="Q42" i="36"/>
  <c r="R42" i="36" s="1"/>
  <c r="BA538" i="36"/>
  <c r="BB538" i="36" s="1"/>
  <c r="H520" i="36"/>
  <c r="I520" i="36" s="1"/>
  <c r="Q430" i="36"/>
  <c r="R430" i="36" s="1"/>
  <c r="BS61" i="36"/>
  <c r="BT61" i="36" s="1"/>
  <c r="H386" i="36"/>
  <c r="I386" i="36" s="1"/>
  <c r="H499" i="36"/>
  <c r="I499" i="36" s="1"/>
  <c r="BA102" i="36"/>
  <c r="BB102" i="36" s="1"/>
  <c r="Q401" i="36"/>
  <c r="R401" i="36" s="1"/>
  <c r="Q431" i="36"/>
  <c r="R431" i="36" s="1"/>
  <c r="AI300" i="36"/>
  <c r="AJ300" i="36" s="1"/>
  <c r="Z443" i="36"/>
  <c r="AA443" i="36" s="1"/>
  <c r="BA384" i="36"/>
  <c r="BB384" i="36" s="1"/>
  <c r="H487" i="36"/>
  <c r="I487" i="36" s="1"/>
  <c r="H539" i="36"/>
  <c r="I539" i="36" s="1"/>
  <c r="BJ512" i="36"/>
  <c r="BK512" i="36" s="1"/>
  <c r="AR261" i="36"/>
  <c r="AS261" i="36" s="1"/>
  <c r="Q135" i="36"/>
  <c r="R135" i="36" s="1"/>
  <c r="Z144" i="36"/>
  <c r="AA144" i="36" s="1"/>
  <c r="AI423" i="36"/>
  <c r="AJ423" i="36" s="1"/>
  <c r="BS384" i="36"/>
  <c r="BT384" i="36" s="1"/>
  <c r="BJ603" i="36"/>
  <c r="BK603" i="36" s="1"/>
  <c r="AR548" i="36"/>
  <c r="AS548" i="36" s="1"/>
  <c r="BS320" i="36"/>
  <c r="BT320" i="36" s="1"/>
  <c r="H148" i="36"/>
  <c r="I148" i="36" s="1"/>
  <c r="H98" i="36"/>
  <c r="I98" i="36" s="1"/>
  <c r="BJ139" i="36"/>
  <c r="BK139" i="36" s="1"/>
  <c r="Q449" i="36"/>
  <c r="R449" i="36" s="1"/>
  <c r="H453" i="36"/>
  <c r="I453" i="36" s="1"/>
  <c r="Z493" i="36"/>
  <c r="AA493" i="36" s="1"/>
  <c r="AR513" i="36"/>
  <c r="AS513" i="36" s="1"/>
  <c r="H196" i="36"/>
  <c r="I196" i="36" s="1"/>
  <c r="BJ47" i="36"/>
  <c r="BK47" i="36" s="1"/>
  <c r="AR134" i="36"/>
  <c r="AS134" i="36" s="1"/>
  <c r="BA573" i="36"/>
  <c r="BB573" i="36" s="1"/>
  <c r="BA516" i="36"/>
  <c r="BB516" i="36" s="1"/>
  <c r="BJ197" i="36"/>
  <c r="BK197" i="36" s="1"/>
  <c r="BJ571" i="36"/>
  <c r="BK571" i="36" s="1"/>
  <c r="AI103" i="36"/>
  <c r="AJ103" i="36" s="1"/>
  <c r="AI149" i="36"/>
  <c r="AJ149" i="36" s="1"/>
  <c r="AI269" i="36"/>
  <c r="AJ269" i="36" s="1"/>
  <c r="BS231" i="36"/>
  <c r="BT231" i="36" s="1"/>
  <c r="BS115" i="36"/>
  <c r="BT115" i="36" s="1"/>
  <c r="BJ343" i="36"/>
  <c r="BK343" i="36" s="1"/>
  <c r="H152" i="36"/>
  <c r="I152" i="36" s="1"/>
  <c r="AI291" i="36"/>
  <c r="AJ291" i="36" s="1"/>
  <c r="Q293" i="36"/>
  <c r="R293" i="36" s="1"/>
  <c r="Z480" i="36"/>
  <c r="AA480" i="36" s="1"/>
  <c r="BJ590" i="36"/>
  <c r="BK590" i="36" s="1"/>
  <c r="BJ329" i="36"/>
  <c r="BK329" i="36" s="1"/>
  <c r="AR100" i="36"/>
  <c r="AS100" i="36" s="1"/>
  <c r="CB218" i="36"/>
  <c r="CC218" i="36" s="1"/>
  <c r="Q342" i="36"/>
  <c r="R342" i="36" s="1"/>
  <c r="BJ578" i="36"/>
  <c r="BK578" i="36" s="1"/>
  <c r="CB379" i="36"/>
  <c r="CC379" i="36" s="1"/>
  <c r="AI368" i="36"/>
  <c r="AJ368" i="36" s="1"/>
  <c r="AR204" i="36"/>
  <c r="AS204" i="36" s="1"/>
  <c r="AI393" i="36"/>
  <c r="AJ393" i="36" s="1"/>
  <c r="Z401" i="36"/>
  <c r="AA401" i="36" s="1"/>
  <c r="AI551" i="36"/>
  <c r="AJ551" i="36" s="1"/>
  <c r="AR464" i="36"/>
  <c r="AS464" i="36" s="1"/>
  <c r="AR544" i="36"/>
  <c r="AS544" i="36" s="1"/>
  <c r="BA340" i="36"/>
  <c r="BB340" i="36" s="1"/>
  <c r="BS396" i="36"/>
  <c r="BT396" i="36" s="1"/>
  <c r="Z252" i="36"/>
  <c r="AA252" i="36" s="1"/>
  <c r="AR331" i="36"/>
  <c r="AS331" i="36" s="1"/>
  <c r="BS110" i="36"/>
  <c r="BT110" i="36" s="1"/>
  <c r="Z503" i="36"/>
  <c r="AA503" i="36" s="1"/>
  <c r="H292" i="36"/>
  <c r="I292" i="36" s="1"/>
  <c r="AR212" i="36"/>
  <c r="AS212" i="36" s="1"/>
  <c r="BJ593" i="36"/>
  <c r="BK593" i="36" s="1"/>
  <c r="H151" i="36"/>
  <c r="I151" i="36" s="1"/>
  <c r="H186" i="36"/>
  <c r="I186" i="36" s="1"/>
  <c r="BS453" i="36"/>
  <c r="BT453" i="36" s="1"/>
  <c r="Q530" i="36"/>
  <c r="R530" i="36" s="1"/>
  <c r="BJ498" i="36"/>
  <c r="BK498" i="36" s="1"/>
  <c r="Q106" i="36"/>
  <c r="R106" i="36" s="1"/>
  <c r="BJ460" i="36"/>
  <c r="BK460" i="36" s="1"/>
  <c r="AR415" i="36"/>
  <c r="AS415" i="36" s="1"/>
  <c r="Z107" i="36"/>
  <c r="AA107" i="36" s="1"/>
  <c r="BJ338" i="36"/>
  <c r="BK338" i="36" s="1"/>
  <c r="BS269" i="36"/>
  <c r="BT269" i="36" s="1"/>
  <c r="AI102" i="36"/>
  <c r="AJ102" i="36" s="1"/>
  <c r="BA571" i="36"/>
  <c r="BB571" i="36" s="1"/>
  <c r="BA511" i="36"/>
  <c r="BB511" i="36" s="1"/>
  <c r="BA575" i="36"/>
  <c r="BB575" i="36" s="1"/>
  <c r="BS10" i="26"/>
  <c r="M47" i="9"/>
  <c r="Z424" i="36"/>
  <c r="AA424" i="36" s="1"/>
  <c r="AR297" i="36"/>
  <c r="AS297" i="36" s="1"/>
  <c r="AR196" i="36"/>
  <c r="AS196" i="36" s="1"/>
  <c r="BS94" i="36"/>
  <c r="BT94" i="36" s="1"/>
  <c r="AI184" i="36"/>
  <c r="AJ184" i="36" s="1"/>
  <c r="H289" i="36"/>
  <c r="I289" i="36" s="1"/>
  <c r="AR508" i="36"/>
  <c r="AS508" i="36" s="1"/>
  <c r="H438" i="36"/>
  <c r="I438" i="36" s="1"/>
  <c r="AR145" i="36"/>
  <c r="AS145" i="36" s="1"/>
  <c r="BA156" i="36"/>
  <c r="BB156" i="36" s="1"/>
  <c r="BJ283" i="36"/>
  <c r="BK283" i="36" s="1"/>
  <c r="BJ74" i="36"/>
  <c r="BK74" i="36" s="1"/>
  <c r="Q286" i="36"/>
  <c r="R286" i="36" s="1"/>
  <c r="CB354" i="36"/>
  <c r="CC354" i="36" s="1"/>
  <c r="BJ607" i="36"/>
  <c r="BK607" i="36" s="1"/>
  <c r="BJ258" i="36"/>
  <c r="BK258" i="36" s="1"/>
  <c r="AI370" i="36"/>
  <c r="AJ370" i="36" s="1"/>
  <c r="Q457" i="36"/>
  <c r="R457" i="36" s="1"/>
  <c r="AR239" i="36"/>
  <c r="AS239" i="36" s="1"/>
  <c r="H95" i="36"/>
  <c r="I95" i="36" s="1"/>
  <c r="H340" i="36"/>
  <c r="I340" i="36" s="1"/>
  <c r="BA555" i="36"/>
  <c r="BB555" i="36" s="1"/>
  <c r="CB220" i="36"/>
  <c r="CC220" i="36" s="1"/>
  <c r="Q514" i="36"/>
  <c r="R514" i="36" s="1"/>
  <c r="AR326" i="36"/>
  <c r="AS326" i="36" s="1"/>
  <c r="H296" i="36"/>
  <c r="I296" i="36" s="1"/>
  <c r="BS249" i="36"/>
  <c r="BT249" i="36" s="1"/>
  <c r="AI101" i="36"/>
  <c r="AJ101" i="36" s="1"/>
  <c r="CB299" i="36"/>
  <c r="CC299" i="36" s="1"/>
  <c r="AI252" i="36"/>
  <c r="AJ252" i="36" s="1"/>
  <c r="BJ396" i="36"/>
  <c r="BK396" i="36" s="1"/>
  <c r="CB221" i="36"/>
  <c r="CC221" i="36" s="1"/>
  <c r="H41" i="36"/>
  <c r="I41" i="36" s="1"/>
  <c r="AI310" i="36"/>
  <c r="AJ310" i="36" s="1"/>
  <c r="H316" i="36"/>
  <c r="I316" i="36" s="1"/>
  <c r="BA586" i="36"/>
  <c r="BB586" i="36" s="1"/>
  <c r="CB243" i="36"/>
  <c r="CC243" i="36" s="1"/>
  <c r="AR377" i="36"/>
  <c r="AS377" i="36" s="1"/>
  <c r="AR561" i="36"/>
  <c r="AS561" i="36" s="1"/>
  <c r="AI246" i="36"/>
  <c r="AJ246" i="36" s="1"/>
  <c r="BJ595" i="36"/>
  <c r="BK595" i="36" s="1"/>
  <c r="Z339" i="36"/>
  <c r="AA339" i="36" s="1"/>
  <c r="BA103" i="36"/>
  <c r="BB103" i="36" s="1"/>
  <c r="Q463" i="36"/>
  <c r="R463" i="36" s="1"/>
  <c r="Q486" i="36"/>
  <c r="R486" i="36" s="1"/>
  <c r="BJ280" i="36"/>
  <c r="BK280" i="36" s="1"/>
  <c r="Q237" i="36"/>
  <c r="R237" i="36" s="1"/>
  <c r="H522" i="36"/>
  <c r="I522" i="36" s="1"/>
  <c r="BA94" i="36"/>
  <c r="BB94" i="36" s="1"/>
  <c r="Z240" i="36"/>
  <c r="AA240" i="36" s="1"/>
  <c r="BS451" i="36"/>
  <c r="BT451" i="36" s="1"/>
  <c r="AI550" i="36"/>
  <c r="AJ550" i="36" s="1"/>
  <c r="H180" i="36"/>
  <c r="I180" i="36" s="1"/>
  <c r="CB246" i="36"/>
  <c r="CC246" i="36" s="1"/>
  <c r="H529" i="36"/>
  <c r="I529" i="36" s="1"/>
  <c r="BS449" i="36"/>
  <c r="BT449" i="36" s="1"/>
  <c r="AR558" i="36"/>
  <c r="AS558" i="36" s="1"/>
  <c r="AR453" i="36"/>
  <c r="AS453" i="36" s="1"/>
  <c r="Z248" i="36"/>
  <c r="AA248" i="36" s="1"/>
  <c r="AR374" i="36"/>
  <c r="AS374" i="36" s="1"/>
  <c r="BS107" i="36"/>
  <c r="BT107" i="36" s="1"/>
  <c r="Q248" i="36"/>
  <c r="R248" i="36" s="1"/>
  <c r="AI535" i="36"/>
  <c r="AJ535" i="36" s="1"/>
  <c r="BJ265" i="36"/>
  <c r="BK265" i="36" s="1"/>
  <c r="AR259" i="36"/>
  <c r="AS259" i="36" s="1"/>
  <c r="H99" i="36"/>
  <c r="I99" i="36" s="1"/>
  <c r="Q98" i="36"/>
  <c r="R98" i="36" s="1"/>
  <c r="AR200" i="36"/>
  <c r="AS200" i="36" s="1"/>
  <c r="CB311" i="36"/>
  <c r="CC311" i="36" s="1"/>
  <c r="BS209" i="36"/>
  <c r="BT209" i="36" s="1"/>
  <c r="Z344" i="36"/>
  <c r="AA344" i="36" s="1"/>
  <c r="BJ267" i="36"/>
  <c r="BK267" i="36" s="1"/>
  <c r="H301" i="36"/>
  <c r="I301" i="36" s="1"/>
  <c r="BA200" i="36"/>
  <c r="BB200" i="36" s="1"/>
  <c r="AR293" i="36"/>
  <c r="AS293" i="36" s="1"/>
  <c r="CB196" i="36"/>
  <c r="CC196" i="36" s="1"/>
  <c r="CB253" i="36"/>
  <c r="CC253" i="36" s="1"/>
  <c r="Z520" i="36"/>
  <c r="AA520" i="36" s="1"/>
  <c r="AR517" i="36"/>
  <c r="AS517" i="36" s="1"/>
  <c r="H102" i="36"/>
  <c r="I102" i="36" s="1"/>
  <c r="Q291" i="36"/>
  <c r="R291" i="36" s="1"/>
  <c r="AR369" i="36"/>
  <c r="AS369" i="36" s="1"/>
  <c r="H371" i="36"/>
  <c r="I371" i="36" s="1"/>
  <c r="Z324" i="36"/>
  <c r="AA324" i="36" s="1"/>
  <c r="AR515" i="36"/>
  <c r="AS515" i="36" s="1"/>
  <c r="Z497" i="36"/>
  <c r="AA497" i="36" s="1"/>
  <c r="Z70" i="36"/>
  <c r="AA70" i="36" s="1"/>
  <c r="H312" i="36"/>
  <c r="I312" i="36" s="1"/>
  <c r="AI308" i="36"/>
  <c r="AJ308" i="36" s="1"/>
  <c r="BA566" i="36"/>
  <c r="BB566" i="36" s="1"/>
  <c r="AR216" i="36"/>
  <c r="AS216" i="36" s="1"/>
  <c r="BJ337" i="36"/>
  <c r="BK337" i="36" s="1"/>
  <c r="Q533" i="36"/>
  <c r="R533" i="36" s="1"/>
  <c r="Z354" i="36"/>
  <c r="AA354" i="36" s="1"/>
  <c r="AR302" i="36"/>
  <c r="AS302" i="36" s="1"/>
  <c r="Z432" i="36"/>
  <c r="AA432" i="36" s="1"/>
  <c r="BJ64" i="36"/>
  <c r="BK64" i="36" s="1"/>
  <c r="AR142" i="36"/>
  <c r="AS142" i="36" s="1"/>
  <c r="Q127" i="36"/>
  <c r="R127" i="36" s="1"/>
  <c r="CB228" i="36"/>
  <c r="CC228" i="36" s="1"/>
  <c r="Z73" i="36"/>
  <c r="AA73" i="36" s="1"/>
  <c r="Z534" i="36"/>
  <c r="AA534" i="36" s="1"/>
  <c r="BA316" i="36"/>
  <c r="BB316" i="36" s="1"/>
  <c r="H284" i="36"/>
  <c r="I284" i="36" s="1"/>
  <c r="AI506" i="36"/>
  <c r="AJ506" i="36" s="1"/>
  <c r="BA311" i="36"/>
  <c r="BB311" i="36" s="1"/>
  <c r="AR446" i="36"/>
  <c r="AS446" i="36" s="1"/>
  <c r="H494" i="36"/>
  <c r="I494" i="36" s="1"/>
  <c r="BJ102" i="36"/>
  <c r="BK102" i="36" s="1"/>
  <c r="CB370" i="36"/>
  <c r="CC370" i="36" s="1"/>
  <c r="Z219" i="36"/>
  <c r="AA219" i="36" s="1"/>
  <c r="BJ555" i="36"/>
  <c r="BK555" i="36" s="1"/>
  <c r="H229" i="36"/>
  <c r="I229" i="36" s="1"/>
  <c r="BJ206" i="36"/>
  <c r="BK206" i="36" s="1"/>
  <c r="CB57" i="36"/>
  <c r="CC57" i="36" s="1"/>
  <c r="AI148" i="36"/>
  <c r="AJ148" i="36" s="1"/>
  <c r="H39" i="36"/>
  <c r="I39" i="36" s="1"/>
  <c r="Q540" i="36"/>
  <c r="R540" i="36" s="1"/>
  <c r="AI336" i="36"/>
  <c r="AJ336" i="36" s="1"/>
  <c r="Z258" i="36"/>
  <c r="AA258" i="36" s="1"/>
  <c r="Q348" i="36"/>
  <c r="R348" i="36" s="1"/>
  <c r="AR376" i="36"/>
  <c r="AS376" i="36" s="1"/>
  <c r="Q279" i="36"/>
  <c r="R279" i="36" s="1"/>
  <c r="H155" i="36"/>
  <c r="I155" i="36" s="1"/>
  <c r="AR69" i="36"/>
  <c r="AS69" i="36" s="1"/>
  <c r="AR253" i="36"/>
  <c r="AS253" i="36" s="1"/>
  <c r="AI515" i="36"/>
  <c r="AJ515" i="36" s="1"/>
  <c r="BJ96" i="36"/>
  <c r="BK96" i="36" s="1"/>
  <c r="H369" i="36"/>
  <c r="I369" i="36" s="1"/>
  <c r="BA334" i="36"/>
  <c r="BB334" i="36" s="1"/>
  <c r="BS424" i="36"/>
  <c r="BT424" i="36" s="1"/>
  <c r="CB330" i="36"/>
  <c r="CC330" i="36" s="1"/>
  <c r="CB140" i="36"/>
  <c r="CC140" i="36" s="1"/>
  <c r="Z539" i="36"/>
  <c r="AA539" i="36" s="1"/>
  <c r="AR458" i="36"/>
  <c r="AS458" i="36" s="1"/>
  <c r="BS223" i="36"/>
  <c r="BT223" i="36" s="1"/>
  <c r="H351" i="36"/>
  <c r="I351" i="36" s="1"/>
  <c r="Z460" i="36"/>
  <c r="AA460" i="36" s="1"/>
  <c r="H488" i="36"/>
  <c r="I488" i="36" s="1"/>
  <c r="AR335" i="36"/>
  <c r="AS335" i="36" s="1"/>
  <c r="H224" i="36"/>
  <c r="I224" i="36" s="1"/>
  <c r="H341" i="36"/>
  <c r="I341" i="36" s="1"/>
  <c r="H459" i="36"/>
  <c r="I459" i="36" s="1"/>
  <c r="AI326" i="36"/>
  <c r="AJ326" i="36" s="1"/>
  <c r="BJ105" i="36"/>
  <c r="BK105" i="36" s="1"/>
  <c r="H530" i="36"/>
  <c r="I530" i="36" s="1"/>
  <c r="AI40" i="36"/>
  <c r="AJ40" i="36" s="1"/>
  <c r="BS458" i="36"/>
  <c r="BT458" i="36" s="1"/>
  <c r="BS456" i="36"/>
  <c r="BT456" i="36" s="1"/>
  <c r="H315" i="36"/>
  <c r="I315" i="36" s="1"/>
  <c r="Z233" i="36"/>
  <c r="AA233" i="36" s="1"/>
  <c r="BJ46" i="36"/>
  <c r="BK46" i="36" s="1"/>
  <c r="BS212" i="36"/>
  <c r="BT212" i="36" s="1"/>
  <c r="H294" i="36"/>
  <c r="I294" i="36" s="1"/>
  <c r="H300" i="36"/>
  <c r="I300" i="36" s="1"/>
  <c r="AI329" i="36"/>
  <c r="AJ329" i="36" s="1"/>
  <c r="Z313" i="36"/>
  <c r="AA313" i="36" s="1"/>
  <c r="Z47" i="36"/>
  <c r="AA47" i="36" s="1"/>
  <c r="CB443" i="36"/>
  <c r="CC443" i="36" s="1"/>
  <c r="Z182" i="36"/>
  <c r="AA182" i="36" s="1"/>
  <c r="Q355" i="36"/>
  <c r="R355" i="36" s="1"/>
  <c r="CB312" i="36"/>
  <c r="CC312" i="36" s="1"/>
  <c r="BA583" i="36"/>
  <c r="BB583" i="36" s="1"/>
  <c r="AI534" i="36"/>
  <c r="AJ534" i="36" s="1"/>
  <c r="CB249" i="36"/>
  <c r="CC249" i="36" s="1"/>
  <c r="AI245" i="36"/>
  <c r="AJ245" i="36" s="1"/>
  <c r="BJ106" i="36"/>
  <c r="BK106" i="36" s="1"/>
  <c r="AI531" i="36"/>
  <c r="AJ531" i="36" s="1"/>
  <c r="BS278" i="36"/>
  <c r="BT278" i="36" s="1"/>
  <c r="AR325" i="36"/>
  <c r="AS325" i="36" s="1"/>
  <c r="BS474" i="36"/>
  <c r="BT474" i="36" s="1"/>
  <c r="AI546" i="36"/>
  <c r="AJ546" i="36" s="1"/>
  <c r="BJ113" i="36"/>
  <c r="BK113" i="36" s="1"/>
  <c r="BS446" i="36"/>
  <c r="BT446" i="36" s="1"/>
  <c r="BA461" i="36"/>
  <c r="BB461" i="36" s="1"/>
  <c r="BJ140" i="36"/>
  <c r="BK140" i="36" s="1"/>
  <c r="BS250" i="36"/>
  <c r="BT250" i="36" s="1"/>
  <c r="H88" i="36"/>
  <c r="I88" i="36" s="1"/>
  <c r="Q109" i="36"/>
  <c r="R109" i="36" s="1"/>
  <c r="H257" i="36"/>
  <c r="I257" i="36" s="1"/>
  <c r="CB255" i="36"/>
  <c r="CC255" i="36" s="1"/>
  <c r="Z301" i="36"/>
  <c r="AA301" i="36" s="1"/>
  <c r="H43" i="36"/>
  <c r="I43" i="36" s="1"/>
  <c r="BA392" i="36"/>
  <c r="BB392" i="36" s="1"/>
  <c r="Q464" i="36"/>
  <c r="R464" i="36" s="1"/>
  <c r="BJ361" i="36"/>
  <c r="BK361" i="36" s="1"/>
  <c r="CB191" i="36"/>
  <c r="CC191" i="36" s="1"/>
  <c r="AI323" i="36"/>
  <c r="AJ323" i="36" s="1"/>
  <c r="AI325" i="36"/>
  <c r="AJ325" i="36" s="1"/>
  <c r="Q361" i="36"/>
  <c r="R361" i="36" s="1"/>
  <c r="BA270" i="36"/>
  <c r="BB270" i="36" s="1"/>
  <c r="Z281" i="36"/>
  <c r="AA281" i="36" s="1"/>
  <c r="CB369" i="36"/>
  <c r="CC369" i="36" s="1"/>
  <c r="AR370" i="36"/>
  <c r="AS370" i="36" s="1"/>
  <c r="BJ399" i="36"/>
  <c r="BK399" i="36" s="1"/>
  <c r="CB430" i="36"/>
  <c r="CC430" i="36" s="1"/>
  <c r="AR273" i="36"/>
  <c r="AS273" i="36" s="1"/>
  <c r="Z292" i="36"/>
  <c r="AA292" i="36" s="1"/>
  <c r="CB411" i="36"/>
  <c r="CC411" i="36" s="1"/>
  <c r="BJ43" i="36"/>
  <c r="BK43" i="36" s="1"/>
  <c r="AI41" i="36"/>
  <c r="AJ41" i="36" s="1"/>
  <c r="AI382" i="36"/>
  <c r="AJ382" i="36" s="1"/>
  <c r="BA282" i="36"/>
  <c r="BB282" i="36" s="1"/>
  <c r="BA581" i="36"/>
  <c r="BB581" i="36" s="1"/>
  <c r="Q251" i="36"/>
  <c r="R251" i="36" s="1"/>
  <c r="H442" i="36"/>
  <c r="I442" i="36" s="1"/>
  <c r="BA198" i="36"/>
  <c r="BB198" i="36" s="1"/>
  <c r="AI181" i="36"/>
  <c r="AJ181" i="36" s="1"/>
  <c r="BJ118" i="36"/>
  <c r="BK118" i="36" s="1"/>
  <c r="BS305" i="36"/>
  <c r="BT305" i="36" s="1"/>
  <c r="Q186" i="36"/>
  <c r="R186" i="36" s="1"/>
  <c r="BA468" i="36"/>
  <c r="BB468" i="36" s="1"/>
  <c r="AI195" i="36"/>
  <c r="AJ195" i="36" s="1"/>
  <c r="Z59" i="36"/>
  <c r="AA59" i="36" s="1"/>
  <c r="BA546" i="36"/>
  <c r="BB546" i="36" s="1"/>
  <c r="BA332" i="36"/>
  <c r="BB332" i="36" s="1"/>
  <c r="AI46" i="36"/>
  <c r="AJ46" i="36" s="1"/>
  <c r="H222" i="36"/>
  <c r="I222" i="36" s="1"/>
  <c r="AI521" i="36"/>
  <c r="AJ521" i="36" s="1"/>
  <c r="AI387" i="36"/>
  <c r="AJ387" i="36" s="1"/>
  <c r="CK173" i="36"/>
  <c r="CL173" i="36" s="1"/>
  <c r="CM151" i="36" s="1"/>
  <c r="AI307" i="36"/>
  <c r="AJ307" i="36" s="1"/>
  <c r="BA385" i="36"/>
  <c r="BB385" i="36" s="1"/>
  <c r="Z123" i="36"/>
  <c r="AA123" i="36" s="1"/>
  <c r="AI68" i="36"/>
  <c r="AJ68" i="36" s="1"/>
  <c r="Z238" i="36"/>
  <c r="AA238" i="36" s="1"/>
  <c r="H407" i="36"/>
  <c r="I407" i="36" s="1"/>
  <c r="BJ160" i="36"/>
  <c r="BK160" i="36" s="1"/>
  <c r="BA503" i="36"/>
  <c r="BB503" i="36" s="1"/>
  <c r="BJ199" i="36"/>
  <c r="BK199" i="36" s="1"/>
  <c r="AI263" i="36"/>
  <c r="AJ263" i="36" s="1"/>
  <c r="Q262" i="36"/>
  <c r="R262" i="36" s="1"/>
  <c r="CB413" i="36"/>
  <c r="CC413" i="36" s="1"/>
  <c r="BA602" i="36"/>
  <c r="BB602" i="36" s="1"/>
  <c r="AI421" i="36"/>
  <c r="AJ421" i="36" s="1"/>
  <c r="AI556" i="36"/>
  <c r="AJ556" i="36" s="1"/>
  <c r="CB126" i="36"/>
  <c r="CC126" i="36" s="1"/>
  <c r="BS425" i="36"/>
  <c r="BT425" i="36" s="1"/>
  <c r="BA256" i="36"/>
  <c r="BB256" i="36" s="1"/>
  <c r="AR246" i="36"/>
  <c r="AS246" i="36" s="1"/>
  <c r="AI90" i="36"/>
  <c r="AJ90" i="36" s="1"/>
  <c r="Z256" i="36"/>
  <c r="AA256" i="36" s="1"/>
  <c r="AR107" i="36"/>
  <c r="AS107" i="36" s="1"/>
  <c r="BA324" i="36"/>
  <c r="BB324" i="36" s="1"/>
  <c r="AR208" i="36"/>
  <c r="AS208" i="36" s="1"/>
  <c r="Z378" i="36"/>
  <c r="AA378" i="36" s="1"/>
  <c r="AR240" i="36"/>
  <c r="AS240" i="36" s="1"/>
  <c r="Z353" i="36"/>
  <c r="AA353" i="36" s="1"/>
  <c r="H517" i="36"/>
  <c r="I517" i="36" s="1"/>
  <c r="CB36" i="36"/>
  <c r="CC36" i="36" s="1"/>
  <c r="BA355" i="36"/>
  <c r="BB355" i="36" s="1"/>
  <c r="CB406" i="36"/>
  <c r="CC406" i="36" s="1"/>
  <c r="AI371" i="36"/>
  <c r="AJ371" i="36" s="1"/>
  <c r="BA341" i="36"/>
  <c r="BB341" i="36" s="1"/>
  <c r="H175" i="36"/>
  <c r="I175" i="36" s="1"/>
  <c r="Q253" i="36"/>
  <c r="R253" i="36" s="1"/>
  <c r="AR375" i="36"/>
  <c r="AS375" i="36" s="1"/>
  <c r="Z298" i="36"/>
  <c r="AA298" i="36" s="1"/>
  <c r="Z492" i="36"/>
  <c r="AA492" i="36" s="1"/>
  <c r="BA362" i="36"/>
  <c r="BB362" i="36" s="1"/>
  <c r="BJ330" i="36"/>
  <c r="BK330" i="36" s="1"/>
  <c r="H298" i="36"/>
  <c r="I298" i="36" s="1"/>
  <c r="AI375" i="36"/>
  <c r="AJ375" i="36" s="1"/>
  <c r="AI242" i="36"/>
  <c r="AJ242" i="36" s="1"/>
  <c r="CB432" i="36"/>
  <c r="CC432" i="36" s="1"/>
  <c r="BA512" i="36"/>
  <c r="BB512" i="36" s="1"/>
  <c r="Q241" i="36"/>
  <c r="R241" i="36" s="1"/>
  <c r="CB402" i="36"/>
  <c r="CC402" i="36" s="1"/>
  <c r="BJ388" i="36"/>
  <c r="BK388" i="36" s="1"/>
  <c r="H247" i="36"/>
  <c r="I247" i="36" s="1"/>
  <c r="BJ384" i="36"/>
  <c r="BK384" i="36" s="1"/>
  <c r="BJ383" i="36"/>
  <c r="BK383" i="36" s="1"/>
  <c r="AI332" i="36"/>
  <c r="AJ332" i="36" s="1"/>
  <c r="Q302" i="36"/>
  <c r="R302" i="36" s="1"/>
  <c r="Q252" i="36"/>
  <c r="R252" i="36" s="1"/>
  <c r="AR321" i="36"/>
  <c r="AS321" i="36" s="1"/>
  <c r="H524" i="36"/>
  <c r="I524" i="36" s="1"/>
  <c r="AI502" i="36"/>
  <c r="AJ502" i="36" s="1"/>
  <c r="CB434" i="36"/>
  <c r="CC434" i="36" s="1"/>
  <c r="H173" i="36"/>
  <c r="I173" i="36" s="1"/>
  <c r="Q368" i="36"/>
  <c r="R368" i="36" s="1"/>
  <c r="Z309" i="36"/>
  <c r="AA309" i="36" s="1"/>
  <c r="BS258" i="36"/>
  <c r="BT258" i="36" s="1"/>
  <c r="BS361" i="36"/>
  <c r="BT361" i="36" s="1"/>
  <c r="Z323" i="36"/>
  <c r="AA323" i="36" s="1"/>
  <c r="BS284" i="36"/>
  <c r="BT284" i="36" s="1"/>
  <c r="AI330" i="36"/>
  <c r="AJ330" i="36" s="1"/>
  <c r="BA560" i="36"/>
  <c r="BB560" i="36" s="1"/>
  <c r="BA357" i="36"/>
  <c r="BB357" i="36" s="1"/>
  <c r="BS275" i="36"/>
  <c r="BT275" i="36" s="1"/>
  <c r="H262" i="36"/>
  <c r="I262" i="36" s="1"/>
  <c r="BJ408" i="36"/>
  <c r="BK408" i="36" s="1"/>
  <c r="CB297" i="36"/>
  <c r="CC297" i="36" s="1"/>
  <c r="Q515" i="36"/>
  <c r="R515" i="36" s="1"/>
  <c r="CB278" i="36"/>
  <c r="CC278" i="36" s="1"/>
  <c r="H244" i="36"/>
  <c r="I244" i="36" s="1"/>
  <c r="Z46" i="36"/>
  <c r="AA46" i="36" s="1"/>
  <c r="BA343" i="36"/>
  <c r="BB343" i="36" s="1"/>
  <c r="AR256" i="36"/>
  <c r="AS256" i="36" s="1"/>
  <c r="BS97" i="36"/>
  <c r="BT97" i="36" s="1"/>
  <c r="H311" i="36"/>
  <c r="I311" i="36" s="1"/>
  <c r="Q357" i="36"/>
  <c r="R357" i="36" s="1"/>
  <c r="Z373" i="36"/>
  <c r="AA373" i="36" s="1"/>
  <c r="CB264" i="36"/>
  <c r="CC264" i="36" s="1"/>
  <c r="Q303" i="36"/>
  <c r="R303" i="36" s="1"/>
  <c r="BA266" i="36"/>
  <c r="BB266" i="36" s="1"/>
  <c r="CB282" i="36"/>
  <c r="CC282" i="36" s="1"/>
  <c r="Q228" i="36"/>
  <c r="R228" i="36" s="1"/>
  <c r="BJ316" i="36"/>
  <c r="BK316" i="36" s="1"/>
  <c r="AI354" i="36"/>
  <c r="AJ354" i="36" s="1"/>
  <c r="AI351" i="36"/>
  <c r="AJ351" i="36" s="1"/>
  <c r="CB259" i="36"/>
  <c r="CC259" i="36" s="1"/>
  <c r="H367" i="36"/>
  <c r="I367" i="36" s="1"/>
  <c r="Q242" i="36"/>
  <c r="R242" i="36" s="1"/>
  <c r="H491" i="36"/>
  <c r="I491" i="36" s="1"/>
  <c r="BA288" i="36"/>
  <c r="BB288" i="36" s="1"/>
  <c r="AI379" i="36"/>
  <c r="AJ379" i="36" s="1"/>
  <c r="AR268" i="36"/>
  <c r="AS268" i="36" s="1"/>
  <c r="Q254" i="36"/>
  <c r="R254" i="36" s="1"/>
  <c r="BS389" i="36"/>
  <c r="BT389" i="36" s="1"/>
  <c r="AR514" i="36"/>
  <c r="AS514" i="36" s="1"/>
  <c r="BS260" i="36"/>
  <c r="BT260" i="36" s="1"/>
  <c r="BJ259" i="36"/>
  <c r="BK259" i="36" s="1"/>
  <c r="BA105" i="36"/>
  <c r="BB105" i="36" s="1"/>
  <c r="CB204" i="36"/>
  <c r="CC204" i="36" s="1"/>
  <c r="CB78" i="36"/>
  <c r="CC78" i="36" s="1"/>
  <c r="AI438" i="36"/>
  <c r="AJ438" i="36" s="1"/>
  <c r="Q44" i="36"/>
  <c r="R44" i="36" s="1"/>
  <c r="Z548" i="36"/>
  <c r="AA548" i="36" s="1"/>
  <c r="BJ356" i="36"/>
  <c r="BK356" i="36" s="1"/>
  <c r="BS230" i="36"/>
  <c r="BT230" i="36" s="1"/>
  <c r="AI322" i="36"/>
  <c r="AJ322" i="36" s="1"/>
  <c r="AR399" i="36"/>
  <c r="AS399" i="36" s="1"/>
  <c r="H495" i="36"/>
  <c r="I495" i="36" s="1"/>
  <c r="Z459" i="36"/>
  <c r="AA459" i="36" s="1"/>
  <c r="BJ508" i="36"/>
  <c r="BK508" i="36" s="1"/>
  <c r="H157" i="36"/>
  <c r="I157" i="36" s="1"/>
  <c r="CB141" i="36"/>
  <c r="CC141" i="36" s="1"/>
  <c r="BS113" i="36"/>
  <c r="BT113" i="36" s="1"/>
  <c r="AI100" i="36"/>
  <c r="AJ100" i="36" s="1"/>
  <c r="BJ412" i="36"/>
  <c r="BK412" i="36" s="1"/>
  <c r="BS218" i="36"/>
  <c r="BT218" i="36" s="1"/>
  <c r="Q358" i="36"/>
  <c r="R358" i="36" s="1"/>
  <c r="BJ545" i="36"/>
  <c r="BK545" i="36" s="1"/>
  <c r="CB385" i="36"/>
  <c r="CC385" i="36" s="1"/>
  <c r="AR564" i="36"/>
  <c r="AS564" i="36" s="1"/>
  <c r="H129" i="36"/>
  <c r="I129" i="36" s="1"/>
  <c r="H107" i="36"/>
  <c r="I107" i="36" s="1"/>
  <c r="BS228" i="36"/>
  <c r="BT228" i="36" s="1"/>
  <c r="BA540" i="36"/>
  <c r="BB540" i="36" s="1"/>
  <c r="AI563" i="36"/>
  <c r="AJ563" i="36" s="1"/>
  <c r="BJ506" i="36"/>
  <c r="BK506" i="36" s="1"/>
  <c r="CB114" i="36"/>
  <c r="CC114" i="36" s="1"/>
  <c r="CB64" i="36"/>
  <c r="CC64" i="36" s="1"/>
  <c r="M44" i="9"/>
  <c r="BS7" i="26"/>
  <c r="Z510" i="36"/>
  <c r="AA510" i="36" s="1"/>
  <c r="Q233" i="36"/>
  <c r="R233" i="36" s="1"/>
  <c r="Z42" i="36"/>
  <c r="AA42" i="36" s="1"/>
  <c r="CB439" i="36"/>
  <c r="CC439" i="36" s="1"/>
  <c r="Q70" i="36"/>
  <c r="R70" i="36" s="1"/>
  <c r="Q148" i="36"/>
  <c r="R148" i="36" s="1"/>
  <c r="CB420" i="36"/>
  <c r="CC420" i="36" s="1"/>
  <c r="AI397" i="36"/>
  <c r="AJ397" i="36" s="1"/>
  <c r="BJ207" i="36"/>
  <c r="BK207" i="36" s="1"/>
  <c r="BA588" i="36"/>
  <c r="BB588" i="36" s="1"/>
  <c r="CB296" i="36"/>
  <c r="CC296" i="36" s="1"/>
  <c r="BA405" i="36"/>
  <c r="BB405" i="36" s="1"/>
  <c r="Q400" i="36"/>
  <c r="R400" i="36" s="1"/>
  <c r="CB397" i="36"/>
  <c r="CC397" i="36" s="1"/>
  <c r="CB396" i="36"/>
  <c r="CC396" i="36" s="1"/>
  <c r="BS144" i="36"/>
  <c r="BT144" i="36" s="1"/>
  <c r="H47" i="36"/>
  <c r="I47" i="36" s="1"/>
  <c r="H135" i="36"/>
  <c r="I135" i="36" s="1"/>
  <c r="H323" i="36"/>
  <c r="I323" i="36" s="1"/>
  <c r="H484" i="36"/>
  <c r="I484" i="36" s="1"/>
  <c r="BJ410" i="36"/>
  <c r="BK410" i="36" s="1"/>
  <c r="Z351" i="36"/>
  <c r="AA351" i="36" s="1"/>
  <c r="H293" i="36"/>
  <c r="I293" i="36" s="1"/>
  <c r="Z255" i="36"/>
  <c r="AA255" i="36" s="1"/>
  <c r="Z261" i="36"/>
  <c r="AA261" i="36" s="1"/>
  <c r="AI131" i="36"/>
  <c r="AJ131" i="36" s="1"/>
  <c r="Z231" i="36"/>
  <c r="AA231" i="36" s="1"/>
  <c r="Q481" i="36"/>
  <c r="R481" i="36" s="1"/>
  <c r="BJ284" i="36"/>
  <c r="BK284" i="36" s="1"/>
  <c r="BA388" i="36"/>
  <c r="BB388" i="36" s="1"/>
  <c r="Q488" i="36"/>
  <c r="R488" i="36" s="1"/>
  <c r="AI142" i="36"/>
  <c r="AJ142" i="36" s="1"/>
  <c r="CB43" i="36"/>
  <c r="CC43" i="36" s="1"/>
  <c r="AR275" i="36"/>
  <c r="AS275" i="36" s="1"/>
  <c r="Q339" i="36"/>
  <c r="R339" i="36" s="1"/>
  <c r="Q513" i="36"/>
  <c r="R513" i="36" s="1"/>
  <c r="H291" i="36"/>
  <c r="I291" i="36" s="1"/>
  <c r="H363" i="36"/>
  <c r="I363" i="36" s="1"/>
  <c r="CB183" i="36"/>
  <c r="CC183" i="36" s="1"/>
  <c r="BJ360" i="36"/>
  <c r="BK360" i="36" s="1"/>
  <c r="AR523" i="36"/>
  <c r="AS523" i="36" s="1"/>
  <c r="H314" i="36"/>
  <c r="I314" i="36" s="1"/>
  <c r="BS273" i="36"/>
  <c r="BT273" i="36" s="1"/>
  <c r="AR389" i="36"/>
  <c r="AS389" i="36" s="1"/>
  <c r="Z496" i="36"/>
  <c r="AA496" i="36" s="1"/>
  <c r="CB100" i="36"/>
  <c r="CC100" i="36" s="1"/>
  <c r="BJ340" i="36"/>
  <c r="BK340" i="36" s="1"/>
  <c r="H350" i="36"/>
  <c r="I350" i="36" s="1"/>
  <c r="Q301" i="36"/>
  <c r="R301" i="36" s="1"/>
  <c r="Z518" i="36"/>
  <c r="AA518" i="36" s="1"/>
  <c r="BS104" i="36"/>
  <c r="BT104" i="36" s="1"/>
  <c r="Q525" i="36"/>
  <c r="R525" i="36" s="1"/>
  <c r="H319" i="36"/>
  <c r="I319" i="36" s="1"/>
  <c r="AR265" i="36"/>
  <c r="AS265" i="36" s="1"/>
  <c r="H344" i="36"/>
  <c r="I344" i="36" s="1"/>
  <c r="BS263" i="36"/>
  <c r="BT263" i="36" s="1"/>
  <c r="AR258" i="36"/>
  <c r="AS258" i="36" s="1"/>
  <c r="Z318" i="36"/>
  <c r="AA318" i="36" s="1"/>
  <c r="BS265" i="36"/>
  <c r="BT265" i="36" s="1"/>
  <c r="BA113" i="36"/>
  <c r="BB113" i="36" s="1"/>
  <c r="BJ556" i="36"/>
  <c r="BK556" i="36" s="1"/>
  <c r="AI287" i="36"/>
  <c r="AJ287" i="36" s="1"/>
  <c r="Z364" i="36"/>
  <c r="AA364" i="36" s="1"/>
  <c r="Q346" i="36"/>
  <c r="R346" i="36" s="1"/>
  <c r="AI255" i="36"/>
  <c r="AJ255" i="36" s="1"/>
  <c r="Z350" i="36"/>
  <c r="AA350" i="36" s="1"/>
  <c r="CB270" i="36"/>
  <c r="CC270" i="36" s="1"/>
  <c r="Q88" i="36"/>
  <c r="R88" i="36" s="1"/>
  <c r="Z476" i="36"/>
  <c r="AA476" i="36" s="1"/>
  <c r="AI150" i="36"/>
  <c r="AJ150" i="36" s="1"/>
  <c r="BS439" i="36"/>
  <c r="BT439" i="36" s="1"/>
  <c r="AI313" i="36"/>
  <c r="AJ313" i="36" s="1"/>
  <c r="Q296" i="36"/>
  <c r="R296" i="36" s="1"/>
  <c r="Z314" i="36"/>
  <c r="AA314" i="36" s="1"/>
  <c r="AI360" i="36"/>
  <c r="AJ360" i="36" s="1"/>
  <c r="AI105" i="36"/>
  <c r="AJ105" i="36" s="1"/>
  <c r="BA596" i="36"/>
  <c r="BB596" i="36" s="1"/>
  <c r="H547" i="36"/>
  <c r="I547" i="36" s="1"/>
  <c r="H534" i="36"/>
  <c r="I534" i="36" s="1"/>
  <c r="AR311" i="36"/>
  <c r="AS311" i="36" s="1"/>
  <c r="AI355" i="36"/>
  <c r="AJ355" i="36" s="1"/>
  <c r="CB276" i="36"/>
  <c r="CC276" i="36" s="1"/>
  <c r="AI542" i="36"/>
  <c r="AJ542" i="36" s="1"/>
  <c r="H352" i="36"/>
  <c r="I352" i="36" s="1"/>
  <c r="BS267" i="36"/>
  <c r="BT267" i="36" s="1"/>
  <c r="Q227" i="36"/>
  <c r="R227" i="36" s="1"/>
  <c r="BA543" i="36"/>
  <c r="BB543" i="36" s="1"/>
  <c r="Q238" i="36"/>
  <c r="R238" i="36" s="1"/>
  <c r="BA395" i="36"/>
  <c r="BB395" i="36" s="1"/>
  <c r="BA345" i="36"/>
  <c r="BB345" i="36" s="1"/>
  <c r="AI267" i="36"/>
  <c r="AJ267" i="36" s="1"/>
  <c r="AI301" i="36"/>
  <c r="AJ301" i="36" s="1"/>
  <c r="CB217" i="36"/>
  <c r="CC217" i="36" s="1"/>
  <c r="AR546" i="36"/>
  <c r="AS546" i="36" s="1"/>
  <c r="Z454" i="36"/>
  <c r="AA454" i="36" s="1"/>
  <c r="H225" i="36"/>
  <c r="I225" i="36" s="1"/>
  <c r="H357" i="36"/>
  <c r="I357" i="36" s="1"/>
  <c r="AI193" i="36"/>
  <c r="AJ193" i="36" s="1"/>
  <c r="H431" i="36"/>
  <c r="I431" i="36" s="1"/>
  <c r="CB132" i="36"/>
  <c r="CC132" i="36" s="1"/>
  <c r="BJ210" i="36"/>
  <c r="BK210" i="36" s="1"/>
  <c r="AR580" i="36"/>
  <c r="AS580" i="36" s="1"/>
  <c r="BJ405" i="36"/>
  <c r="BK405" i="36" s="1"/>
  <c r="AI43" i="36"/>
  <c r="AJ43" i="36" s="1"/>
  <c r="AR266" i="36"/>
  <c r="AS266" i="36" s="1"/>
  <c r="AI138" i="36"/>
  <c r="AJ138" i="36" s="1"/>
  <c r="CB245" i="36"/>
  <c r="CC245" i="36" s="1"/>
  <c r="H263" i="36"/>
  <c r="I263" i="36" s="1"/>
  <c r="BA550" i="36"/>
  <c r="BB550" i="36" s="1"/>
  <c r="CB320" i="36"/>
  <c r="CC320" i="36" s="1"/>
  <c r="BA46" i="36"/>
  <c r="BB46" i="36" s="1"/>
  <c r="AR362" i="36"/>
  <c r="AS362" i="36" s="1"/>
  <c r="AR491" i="36"/>
  <c r="AS491" i="36" s="1"/>
  <c r="BJ393" i="36"/>
  <c r="BK393" i="36" s="1"/>
  <c r="Z186" i="36"/>
  <c r="AA186" i="36" s="1"/>
  <c r="CB269" i="36"/>
  <c r="CC269" i="36" s="1"/>
  <c r="CB163" i="36"/>
  <c r="CC163" i="36" s="1"/>
  <c r="Z505" i="36"/>
  <c r="AA505" i="36" s="1"/>
  <c r="BA601" i="36"/>
  <c r="BB601" i="36" s="1"/>
  <c r="Q46" i="36"/>
  <c r="R46" i="36" s="1"/>
  <c r="AI333" i="36"/>
  <c r="AJ333" i="36" s="1"/>
  <c r="AI271" i="36"/>
  <c r="AJ271" i="36" s="1"/>
  <c r="BS75" i="36"/>
  <c r="BT75" i="36" s="1"/>
  <c r="AR192" i="36"/>
  <c r="AS192" i="36" s="1"/>
  <c r="H273" i="36"/>
  <c r="I273" i="36" s="1"/>
  <c r="CB272" i="36"/>
  <c r="CC272" i="36" s="1"/>
  <c r="CB52" i="36"/>
  <c r="CC52" i="36" s="1"/>
  <c r="BJ558" i="36"/>
  <c r="BK558" i="36" s="1"/>
  <c r="BS316" i="36"/>
  <c r="BT316" i="36" s="1"/>
  <c r="Z250" i="36"/>
  <c r="AA250" i="36" s="1"/>
  <c r="Q123" i="36"/>
  <c r="R123" i="36" s="1"/>
  <c r="Q231" i="36"/>
  <c r="R231" i="36" s="1"/>
  <c r="BJ256" i="36"/>
  <c r="BK256" i="36" s="1"/>
  <c r="AI349" i="36"/>
  <c r="AJ349" i="36" s="1"/>
  <c r="BJ566" i="36"/>
  <c r="BK566" i="36" s="1"/>
  <c r="BS386" i="36"/>
  <c r="BT386" i="36" s="1"/>
  <c r="BA361" i="36"/>
  <c r="BB361" i="36" s="1"/>
  <c r="BJ510" i="36"/>
  <c r="BK510" i="36" s="1"/>
  <c r="BJ573" i="36"/>
  <c r="BK573" i="36" s="1"/>
  <c r="H368" i="36"/>
  <c r="I368" i="36" s="1"/>
  <c r="AI302" i="36"/>
  <c r="AJ302" i="36" s="1"/>
  <c r="BA283" i="36"/>
  <c r="BB283" i="36" s="1"/>
  <c r="BA396" i="36"/>
  <c r="BB396" i="36" s="1"/>
  <c r="AR329" i="36"/>
  <c r="AS329" i="36" s="1"/>
  <c r="BA271" i="36"/>
  <c r="BB271" i="36" s="1"/>
  <c r="BA592" i="36"/>
  <c r="BB592" i="36" s="1"/>
  <c r="CB273" i="36"/>
  <c r="CC273" i="36" s="1"/>
  <c r="AI91" i="36"/>
  <c r="AJ91" i="36" s="1"/>
  <c r="Q443" i="36"/>
  <c r="R443" i="36" s="1"/>
  <c r="AR260" i="36"/>
  <c r="AS260" i="36" s="1"/>
  <c r="CB436" i="36"/>
  <c r="CC436" i="36" s="1"/>
  <c r="Z517" i="36"/>
  <c r="AA517" i="36" s="1"/>
  <c r="BA514" i="36"/>
  <c r="BB514" i="36" s="1"/>
  <c r="BA337" i="36"/>
  <c r="BB337" i="36" s="1"/>
  <c r="AI94" i="36"/>
  <c r="AJ94" i="36" s="1"/>
  <c r="AI259" i="36"/>
  <c r="AJ259" i="36" s="1"/>
  <c r="BA609" i="36"/>
  <c r="BB609" i="36" s="1"/>
  <c r="Z347" i="36"/>
  <c r="AA347" i="36" s="1"/>
  <c r="AI381" i="36"/>
  <c r="AJ381" i="36" s="1"/>
  <c r="AI497" i="36"/>
  <c r="AJ497" i="36" s="1"/>
  <c r="AR577" i="36"/>
  <c r="AS577" i="36" s="1"/>
  <c r="Z297" i="36"/>
  <c r="AA297" i="36" s="1"/>
  <c r="Z94" i="36"/>
  <c r="AA94" i="36" s="1"/>
  <c r="AI254" i="36"/>
  <c r="AJ254" i="36" s="1"/>
  <c r="BA354" i="36"/>
  <c r="BB354" i="36" s="1"/>
  <c r="AR264" i="36"/>
  <c r="AS264" i="36" s="1"/>
  <c r="Z262" i="36"/>
  <c r="AA262" i="36" s="1"/>
  <c r="Q71" i="36"/>
  <c r="R71" i="36" s="1"/>
  <c r="BS271" i="36"/>
  <c r="BT271" i="36" s="1"/>
  <c r="BJ350" i="36"/>
  <c r="BK350" i="36" s="1"/>
  <c r="BA391" i="36"/>
  <c r="BB391" i="36" s="1"/>
  <c r="AI306" i="36"/>
  <c r="AJ306" i="36" s="1"/>
  <c r="CB40" i="36"/>
  <c r="CC40" i="36" s="1"/>
  <c r="Z251" i="36"/>
  <c r="AA251" i="36" s="1"/>
  <c r="AI416" i="36"/>
  <c r="AJ416" i="36" s="1"/>
  <c r="AR550" i="36"/>
  <c r="AS550" i="36" s="1"/>
  <c r="AR557" i="36"/>
  <c r="AS557" i="36" s="1"/>
  <c r="Z294" i="36"/>
  <c r="AA294" i="36" s="1"/>
  <c r="BS307" i="36"/>
  <c r="BT307" i="36" s="1"/>
  <c r="CB252" i="36"/>
  <c r="CC252" i="36" s="1"/>
  <c r="BJ585" i="36"/>
  <c r="BK585" i="36" s="1"/>
  <c r="AR95" i="36"/>
  <c r="AS95" i="36" s="1"/>
  <c r="H362" i="36"/>
  <c r="I362" i="36" s="1"/>
  <c r="AR551" i="36"/>
  <c r="AS551" i="36" s="1"/>
  <c r="Q243" i="36"/>
  <c r="R243" i="36" s="1"/>
  <c r="H46" i="36"/>
  <c r="I46" i="36" s="1"/>
  <c r="AI529" i="36"/>
  <c r="AJ529" i="36" s="1"/>
  <c r="Z274" i="36"/>
  <c r="AA274" i="36" s="1"/>
  <c r="BJ278" i="36"/>
  <c r="BK278" i="36" s="1"/>
  <c r="BA247" i="36"/>
  <c r="BB247" i="36" s="1"/>
  <c r="AR543" i="36"/>
  <c r="AS543" i="36" s="1"/>
  <c r="CB419" i="36"/>
  <c r="CC419" i="36" s="1"/>
  <c r="BS450" i="36"/>
  <c r="BT450" i="36" s="1"/>
  <c r="CB210" i="36"/>
  <c r="CC210" i="36" s="1"/>
  <c r="AR41" i="36"/>
  <c r="AS41" i="36" s="1"/>
  <c r="Q102" i="36"/>
  <c r="R102" i="36" s="1"/>
  <c r="Q314" i="36"/>
  <c r="R314" i="36" s="1"/>
  <c r="AI544" i="36"/>
  <c r="AJ544" i="36" s="1"/>
  <c r="Z317" i="36"/>
  <c r="AA317" i="36" s="1"/>
  <c r="BS281" i="36"/>
  <c r="BT281" i="36" s="1"/>
  <c r="H518" i="36"/>
  <c r="I518" i="36" s="1"/>
  <c r="Z514" i="36"/>
  <c r="AA514" i="36" s="1"/>
  <c r="BS224" i="36"/>
  <c r="BT224" i="36" s="1"/>
  <c r="Z307" i="36"/>
  <c r="AA307" i="36" s="1"/>
  <c r="AR341" i="36"/>
  <c r="AS341" i="36" s="1"/>
  <c r="AR263" i="36"/>
  <c r="AS263" i="36" s="1"/>
  <c r="H515" i="36"/>
  <c r="I515" i="36" s="1"/>
  <c r="BA585" i="36"/>
  <c r="BB585" i="36" s="1"/>
  <c r="BS211" i="36"/>
  <c r="BT211" i="36" s="1"/>
  <c r="CB178" i="36"/>
  <c r="CC178" i="36" s="1"/>
  <c r="AR338" i="36"/>
  <c r="AS338" i="36" s="1"/>
  <c r="AR396" i="36"/>
  <c r="AS396" i="36" s="1"/>
  <c r="AR155" i="36"/>
  <c r="AS155" i="36" s="1"/>
  <c r="Z380" i="36"/>
  <c r="AA380" i="36" s="1"/>
  <c r="BA315" i="36"/>
  <c r="BB315" i="36" s="1"/>
  <c r="CB144" i="36"/>
  <c r="CC144" i="36" s="1"/>
  <c r="Z92" i="36"/>
  <c r="AA92" i="36" s="1"/>
  <c r="BS440" i="36"/>
  <c r="BT440" i="36" s="1"/>
  <c r="CB116" i="36"/>
  <c r="CC116" i="36" s="1"/>
  <c r="BA223" i="36"/>
  <c r="BB223" i="36" s="1"/>
  <c r="AI299" i="36"/>
  <c r="AJ299" i="36" s="1"/>
  <c r="AR560" i="36"/>
  <c r="AS560" i="36" s="1"/>
  <c r="BJ70" i="36"/>
  <c r="BK70" i="36" s="1"/>
  <c r="CB410" i="36"/>
  <c r="CC410" i="36" s="1"/>
  <c r="AI194" i="36"/>
  <c r="AJ194" i="36" s="1"/>
  <c r="BS270" i="36"/>
  <c r="BT270" i="36" s="1"/>
  <c r="BJ287" i="36"/>
  <c r="BK287" i="36" s="1"/>
  <c r="H365" i="36"/>
  <c r="I365" i="36" s="1"/>
  <c r="AI318" i="36"/>
  <c r="AJ318" i="36" s="1"/>
  <c r="Q172" i="36"/>
  <c r="R172" i="36" s="1"/>
  <c r="CB108" i="36"/>
  <c r="CC108" i="36" s="1"/>
  <c r="AR519" i="36"/>
  <c r="AS519" i="36" s="1"/>
  <c r="AR451" i="36"/>
  <c r="AS451" i="36" s="1"/>
  <c r="BS444" i="36"/>
  <c r="BT444" i="36" s="1"/>
  <c r="Q375" i="36"/>
  <c r="R375" i="36" s="1"/>
  <c r="H455" i="36"/>
  <c r="I455" i="36" s="1"/>
  <c r="BA196" i="36"/>
  <c r="BB196" i="36" s="1"/>
  <c r="AI251" i="36"/>
  <c r="AJ251" i="36" s="1"/>
  <c r="BS217" i="36"/>
  <c r="BT217" i="36" s="1"/>
  <c r="H295" i="36"/>
  <c r="I295" i="36" s="1"/>
  <c r="BS216" i="36"/>
  <c r="BT216" i="36" s="1"/>
  <c r="AR530" i="36"/>
  <c r="AS530" i="36" s="1"/>
  <c r="BA318" i="36"/>
  <c r="BB318" i="36" s="1"/>
  <c r="H353" i="36"/>
  <c r="I353" i="36" s="1"/>
  <c r="BA542" i="36"/>
  <c r="BB542" i="36" s="1"/>
  <c r="BA414" i="36"/>
  <c r="BB414" i="36" s="1"/>
  <c r="Z538" i="36"/>
  <c r="AA538" i="36" s="1"/>
  <c r="BJ110" i="36"/>
  <c r="BK110" i="36" s="1"/>
  <c r="Z535" i="36"/>
  <c r="AA535" i="36" s="1"/>
  <c r="AR108" i="36"/>
  <c r="AS108" i="36" s="1"/>
  <c r="AI261" i="36"/>
  <c r="AJ261" i="36" s="1"/>
  <c r="CB42" i="36"/>
  <c r="CC42" i="36" s="1"/>
  <c r="Q184" i="36"/>
  <c r="R184" i="36" s="1"/>
  <c r="AI59" i="36"/>
  <c r="AJ59" i="36" s="1"/>
  <c r="H250" i="36"/>
  <c r="I250" i="36" s="1"/>
  <c r="BS321" i="36"/>
  <c r="BT321" i="36" s="1"/>
  <c r="CB400" i="36"/>
  <c r="CC400" i="36" s="1"/>
  <c r="H256" i="36"/>
  <c r="I256" i="36" s="1"/>
  <c r="Q537" i="36"/>
  <c r="R537" i="36" s="1"/>
  <c r="AR379" i="36"/>
  <c r="AS379" i="36" s="1"/>
  <c r="Q521" i="36"/>
  <c r="R521" i="36" s="1"/>
  <c r="AI314" i="36"/>
  <c r="AJ314" i="36" s="1"/>
  <c r="Z312" i="36"/>
  <c r="AA312" i="36" s="1"/>
  <c r="BJ517" i="36"/>
  <c r="BK517" i="36" s="1"/>
  <c r="AR197" i="36"/>
  <c r="AS197" i="36" s="1"/>
  <c r="H104" i="36"/>
  <c r="I104" i="36" s="1"/>
  <c r="Z263" i="36"/>
  <c r="AA263" i="36" s="1"/>
  <c r="AR336" i="36"/>
  <c r="AS336" i="36" s="1"/>
  <c r="BA582" i="36"/>
  <c r="BB582" i="36" s="1"/>
  <c r="AR337" i="36"/>
  <c r="AS337" i="36" s="1"/>
  <c r="Q367" i="36"/>
  <c r="R367" i="36" s="1"/>
  <c r="AI540" i="36"/>
  <c r="AJ540" i="36" s="1"/>
  <c r="Q322" i="36"/>
  <c r="R322" i="36" s="1"/>
  <c r="BA251" i="36"/>
  <c r="BB251" i="36" s="1"/>
  <c r="AR328" i="36"/>
  <c r="AS328" i="36" s="1"/>
  <c r="BJ349" i="36"/>
  <c r="BK349" i="36" s="1"/>
  <c r="Z516" i="36"/>
  <c r="AA516" i="36" s="1"/>
  <c r="BS467" i="36"/>
  <c r="BT467" i="36" s="1"/>
  <c r="CB347" i="36"/>
  <c r="CC347" i="36" s="1"/>
  <c r="BJ334" i="36"/>
  <c r="BK334" i="36" s="1"/>
  <c r="BJ341" i="36"/>
  <c r="BK341" i="36" s="1"/>
  <c r="Q223" i="36"/>
  <c r="R223" i="36" s="1"/>
  <c r="Z60" i="36"/>
  <c r="AA60" i="36" s="1"/>
  <c r="BA589" i="36"/>
  <c r="BB589" i="36" s="1"/>
  <c r="AI512" i="36"/>
  <c r="AJ512" i="36" s="1"/>
  <c r="AR394" i="36"/>
  <c r="AS394" i="36" s="1"/>
  <c r="AI72" i="36"/>
  <c r="AJ72" i="36" s="1"/>
  <c r="BA64" i="36"/>
  <c r="BB64" i="36" s="1"/>
  <c r="BJ549" i="36"/>
  <c r="BK549" i="36" s="1"/>
  <c r="BJ194" i="36"/>
  <c r="BK194" i="36" s="1"/>
  <c r="CB293" i="36"/>
  <c r="CC293" i="36" s="1"/>
  <c r="BS262" i="36"/>
  <c r="BT262" i="36" s="1"/>
  <c r="BA349" i="36"/>
  <c r="BB349" i="36" s="1"/>
  <c r="BA252" i="36"/>
  <c r="BB252" i="36" s="1"/>
  <c r="H235" i="36"/>
  <c r="I235" i="36" s="1"/>
  <c r="Z185" i="36"/>
  <c r="AA185" i="36" s="1"/>
  <c r="BS105" i="36"/>
  <c r="BT105" i="36" s="1"/>
  <c r="CB442" i="36"/>
  <c r="CC442" i="36" s="1"/>
  <c r="AI367" i="36"/>
  <c r="AJ367" i="36" s="1"/>
  <c r="BA275" i="36"/>
  <c r="BB275" i="36" s="1"/>
  <c r="Z302" i="36"/>
  <c r="AA302" i="36" s="1"/>
  <c r="AI73" i="36"/>
  <c r="AJ73" i="36" s="1"/>
  <c r="BS310" i="36"/>
  <c r="BT310" i="36" s="1"/>
  <c r="BA497" i="36"/>
  <c r="BB497" i="36" s="1"/>
  <c r="H414" i="36"/>
  <c r="I414" i="36" s="1"/>
  <c r="Z369" i="36"/>
  <c r="AA369" i="36" s="1"/>
  <c r="Q298" i="36"/>
  <c r="R298" i="36" s="1"/>
  <c r="Z241" i="36"/>
  <c r="AA241" i="36" s="1"/>
  <c r="H172" i="36"/>
  <c r="I172" i="36" s="1"/>
  <c r="Q133" i="36"/>
  <c r="R133" i="36" s="1"/>
  <c r="Q532" i="36"/>
  <c r="R532" i="36" s="1"/>
  <c r="Z340" i="36"/>
  <c r="AA340" i="36" s="1"/>
  <c r="AI561" i="36"/>
  <c r="AJ561" i="36" s="1"/>
  <c r="BJ99" i="36"/>
  <c r="BK99" i="36" s="1"/>
  <c r="H372" i="36"/>
  <c r="I372" i="36" s="1"/>
  <c r="BJ161" i="36"/>
  <c r="BK161" i="36" s="1"/>
  <c r="BJ198" i="36"/>
  <c r="BK198" i="36" s="1"/>
  <c r="BJ605" i="36"/>
  <c r="BK605" i="36" s="1"/>
  <c r="BJ591" i="36"/>
  <c r="BK591" i="36" s="1"/>
  <c r="AR106" i="36"/>
  <c r="AS106" i="36" s="1"/>
  <c r="BS253" i="36"/>
  <c r="BT253" i="36" s="1"/>
  <c r="BA264" i="36"/>
  <c r="BB264" i="36" s="1"/>
  <c r="CB308" i="36"/>
  <c r="CC308" i="36" s="1"/>
  <c r="Q425" i="36"/>
  <c r="R425" i="36" s="1"/>
  <c r="BA77" i="36"/>
  <c r="BB77" i="36" s="1"/>
  <c r="BA562" i="36"/>
  <c r="BB562" i="36" s="1"/>
  <c r="BS398" i="36"/>
  <c r="BT398" i="36" s="1"/>
  <c r="Z533" i="36"/>
  <c r="AA533" i="36" s="1"/>
  <c r="CB381" i="36"/>
  <c r="CC381" i="36" s="1"/>
  <c r="BA352" i="36"/>
  <c r="BB352" i="36" s="1"/>
  <c r="AI96" i="36"/>
  <c r="AJ96" i="36" s="1"/>
  <c r="BA47" i="36"/>
  <c r="BB47" i="36" s="1"/>
  <c r="Q220" i="36"/>
  <c r="R220" i="36" s="1"/>
  <c r="BA464" i="36"/>
  <c r="BB464" i="36" s="1"/>
  <c r="BA154" i="36"/>
  <c r="BB154" i="36" s="1"/>
  <c r="Z303" i="36"/>
  <c r="AA303" i="36" s="1"/>
  <c r="BS383" i="36"/>
  <c r="BT383" i="36" s="1"/>
  <c r="CB295" i="36"/>
  <c r="CC295" i="36" s="1"/>
  <c r="Z419" i="36"/>
  <c r="AA419" i="36" s="1"/>
  <c r="BA552" i="36"/>
  <c r="BB552" i="36" s="1"/>
  <c r="CB363" i="36"/>
  <c r="CC363" i="36" s="1"/>
  <c r="BJ39" i="36"/>
  <c r="BK39" i="36" s="1"/>
  <c r="BA208" i="36"/>
  <c r="BB208" i="36" s="1"/>
  <c r="H544" i="36"/>
  <c r="I544" i="36" s="1"/>
  <c r="Z512" i="36"/>
  <c r="AA512" i="36" s="1"/>
  <c r="AR109" i="36"/>
  <c r="AS109" i="36" s="1"/>
  <c r="BV8" i="26"/>
  <c r="P45" i="9"/>
  <c r="BJ387" i="36"/>
  <c r="BK387" i="36" s="1"/>
  <c r="CB446" i="36"/>
  <c r="CC446" i="36" s="1"/>
  <c r="Q502" i="36"/>
  <c r="R502" i="36" s="1"/>
  <c r="BA545" i="36"/>
  <c r="BB545" i="36" s="1"/>
  <c r="BJ220" i="36"/>
  <c r="BK220" i="36" s="1"/>
  <c r="AI290" i="36"/>
  <c r="AJ290" i="36" s="1"/>
  <c r="Q508" i="36"/>
  <c r="R508" i="36" s="1"/>
  <c r="BS457" i="36"/>
  <c r="BT457" i="36" s="1"/>
  <c r="Q507" i="36"/>
  <c r="R507" i="36" s="1"/>
  <c r="BA347" i="36"/>
  <c r="BB347" i="36" s="1"/>
  <c r="BA479" i="36"/>
  <c r="BB479" i="36" s="1"/>
  <c r="BA598" i="36"/>
  <c r="BB598" i="36" s="1"/>
  <c r="Q247" i="36"/>
  <c r="R247" i="36" s="1"/>
  <c r="AR384" i="36"/>
  <c r="AS384" i="36" s="1"/>
  <c r="BA472" i="36"/>
  <c r="BB472" i="36" s="1"/>
  <c r="AR525" i="36"/>
  <c r="AS525" i="36" s="1"/>
  <c r="CB416" i="36"/>
  <c r="CC416" i="36" s="1"/>
  <c r="BJ255" i="36"/>
  <c r="BK255" i="36" s="1"/>
  <c r="CB260" i="36"/>
  <c r="CC260" i="36" s="1"/>
  <c r="BA590" i="36"/>
  <c r="BB590" i="36" s="1"/>
  <c r="AI477" i="36"/>
  <c r="AJ477" i="36" s="1"/>
  <c r="BA409" i="36"/>
  <c r="BB409" i="36" s="1"/>
  <c r="AR392" i="36"/>
  <c r="AS392" i="36" s="1"/>
  <c r="BA330" i="36"/>
  <c r="BB330" i="36" s="1"/>
  <c r="Q326" i="36"/>
  <c r="R326" i="36" s="1"/>
  <c r="Q497" i="36"/>
  <c r="R497" i="36" s="1"/>
  <c r="Q250" i="36"/>
  <c r="R250" i="36" s="1"/>
  <c r="CB200" i="36"/>
  <c r="CC200" i="36" s="1"/>
  <c r="Z305" i="36"/>
  <c r="AA305" i="36" s="1"/>
  <c r="BA284" i="36"/>
  <c r="BB284" i="36" s="1"/>
  <c r="AI537" i="36"/>
  <c r="AJ537" i="36" s="1"/>
  <c r="H87" i="36"/>
  <c r="I87" i="36" s="1"/>
  <c r="H521" i="36"/>
  <c r="I521" i="36" s="1"/>
  <c r="AI533" i="36"/>
  <c r="AJ533" i="36" s="1"/>
  <c r="BA408" i="36"/>
  <c r="BB408" i="36" s="1"/>
  <c r="BS45" i="36"/>
  <c r="BT45" i="36" s="1"/>
  <c r="AR279" i="36"/>
  <c r="AS279" i="36" s="1"/>
  <c r="Z356" i="36"/>
  <c r="AA356" i="36" s="1"/>
  <c r="Z104" i="36"/>
  <c r="AA104" i="36" s="1"/>
  <c r="BS255" i="36"/>
  <c r="BT255" i="36" s="1"/>
  <c r="BA98" i="36"/>
  <c r="BB98" i="36" s="1"/>
  <c r="AR371" i="36"/>
  <c r="AS371" i="36" s="1"/>
  <c r="Z40" i="36"/>
  <c r="AA40" i="36" s="1"/>
  <c r="AR295" i="36"/>
  <c r="AS295" i="36" s="1"/>
  <c r="H492" i="36"/>
  <c r="I492" i="36" s="1"/>
  <c r="H322" i="36"/>
  <c r="I322" i="36" s="1"/>
  <c r="Q319" i="36"/>
  <c r="R319" i="36" s="1"/>
  <c r="AI248" i="36"/>
  <c r="AJ248" i="36" s="1"/>
  <c r="BS448" i="36"/>
  <c r="BT448" i="36" s="1"/>
  <c r="H318" i="36"/>
  <c r="I318" i="36" s="1"/>
  <c r="CB71" i="36"/>
  <c r="CC71" i="36" s="1"/>
  <c r="H97" i="36"/>
  <c r="I97" i="36" s="1"/>
  <c r="Q259" i="36"/>
  <c r="R259" i="36" s="1"/>
  <c r="AR552" i="36"/>
  <c r="AS552" i="36" s="1"/>
  <c r="CB448" i="36"/>
  <c r="CC448" i="36" s="1"/>
  <c r="Z103" i="36"/>
  <c r="AA103" i="36" s="1"/>
  <c r="AR511" i="36"/>
  <c r="AS511" i="36" s="1"/>
  <c r="CB417" i="36"/>
  <c r="CC417" i="36" s="1"/>
  <c r="Z352" i="36"/>
  <c r="AA352" i="36" s="1"/>
  <c r="AI504" i="36"/>
  <c r="AJ504" i="36" s="1"/>
  <c r="Z287" i="36"/>
  <c r="AA287" i="36" s="1"/>
  <c r="Q99" i="36"/>
  <c r="R99" i="36" s="1"/>
  <c r="BS264" i="36"/>
  <c r="BT264" i="36" s="1"/>
  <c r="Q244" i="36"/>
  <c r="R244" i="36" s="1"/>
  <c r="H101" i="36"/>
  <c r="I101" i="36" s="1"/>
  <c r="BA342" i="36"/>
  <c r="BB342" i="36" s="1"/>
  <c r="BJ362" i="36"/>
  <c r="BK362" i="36" s="1"/>
  <c r="BS207" i="36"/>
  <c r="BT207" i="36" s="1"/>
  <c r="CB83" i="36"/>
  <c r="CC83" i="36" s="1"/>
  <c r="AR316" i="36"/>
  <c r="AS316" i="36" s="1"/>
  <c r="BJ281" i="36"/>
  <c r="BK281" i="36" s="1"/>
  <c r="AR262" i="36"/>
  <c r="AS262" i="36" s="1"/>
  <c r="AR524" i="36"/>
  <c r="AS524" i="36" s="1"/>
  <c r="Q39" i="36"/>
  <c r="R39" i="36" s="1"/>
  <c r="AI350" i="36"/>
  <c r="AJ350" i="36" s="1"/>
  <c r="AI359" i="36"/>
  <c r="AJ359" i="36" s="1"/>
  <c r="Q308" i="36"/>
  <c r="R308" i="36" s="1"/>
  <c r="CB283" i="36"/>
  <c r="CC283" i="36" s="1"/>
  <c r="BJ204" i="36"/>
  <c r="BK204" i="36" s="1"/>
  <c r="Q255" i="36"/>
  <c r="R255" i="36" s="1"/>
  <c r="AR345" i="36"/>
  <c r="AS345" i="36" s="1"/>
  <c r="BS213" i="36"/>
  <c r="BT213" i="36" s="1"/>
  <c r="BA42" i="36"/>
  <c r="BB42" i="36" s="1"/>
  <c r="AI295" i="36"/>
  <c r="AJ295" i="36" s="1"/>
  <c r="Q294" i="36"/>
  <c r="R294" i="36" s="1"/>
  <c r="H324" i="36"/>
  <c r="I324" i="36" s="1"/>
  <c r="CB380" i="36"/>
  <c r="CC380" i="36" s="1"/>
  <c r="CB300" i="36"/>
  <c r="CC300" i="36" s="1"/>
  <c r="BJ312" i="36"/>
  <c r="BK312" i="36" s="1"/>
  <c r="BJ264" i="36"/>
  <c r="BK264" i="36" s="1"/>
  <c r="Q349" i="36"/>
  <c r="R349" i="36" s="1"/>
  <c r="BS135" i="36"/>
  <c r="BT135" i="36" s="1"/>
  <c r="AI182" i="36"/>
  <c r="AJ182" i="36" s="1"/>
  <c r="CB341" i="36"/>
  <c r="CC341" i="36" s="1"/>
  <c r="CB232" i="36"/>
  <c r="CC232" i="36" s="1"/>
  <c r="Q534" i="36"/>
  <c r="R534" i="36" s="1"/>
  <c r="BA456" i="36"/>
  <c r="BB456" i="36" s="1"/>
  <c r="AI57" i="36"/>
  <c r="AJ57" i="36" s="1"/>
  <c r="BA600" i="36"/>
  <c r="BB600" i="36" s="1"/>
  <c r="Q104" i="36"/>
  <c r="R104" i="36" s="1"/>
  <c r="Z88" i="36"/>
  <c r="AA88" i="36" s="1"/>
  <c r="BJ279" i="36"/>
  <c r="BK279" i="36" s="1"/>
  <c r="BJ317" i="36"/>
  <c r="BK317" i="36" s="1"/>
  <c r="H516" i="36"/>
  <c r="I516" i="36" s="1"/>
  <c r="Q318" i="36"/>
  <c r="R318" i="36" s="1"/>
  <c r="BS112" i="36"/>
  <c r="BT112" i="36" s="1"/>
  <c r="BJ61" i="36"/>
  <c r="BK61" i="36" s="1"/>
  <c r="H320" i="36"/>
  <c r="I320" i="36" s="1"/>
  <c r="Q340" i="36"/>
  <c r="R340" i="36" s="1"/>
  <c r="Q529" i="36"/>
  <c r="R529" i="36" s="1"/>
  <c r="Z277" i="36"/>
  <c r="AA277" i="36" s="1"/>
  <c r="BJ288" i="36"/>
  <c r="BK288" i="36" s="1"/>
  <c r="CB194" i="36"/>
  <c r="CC194" i="36" s="1"/>
  <c r="Z174" i="36"/>
  <c r="AA174" i="36" s="1"/>
  <c r="AR540" i="36"/>
  <c r="AS540" i="36" s="1"/>
  <c r="BJ217" i="36"/>
  <c r="BK217" i="36" s="1"/>
  <c r="BJ149" i="36"/>
  <c r="BK149" i="36" s="1"/>
  <c r="BA195" i="36"/>
  <c r="BB195" i="36" s="1"/>
  <c r="AI253" i="36"/>
  <c r="AJ253" i="36" s="1"/>
  <c r="BA558" i="36"/>
  <c r="BB558" i="36" s="1"/>
  <c r="AR332" i="36"/>
  <c r="AS332" i="36" s="1"/>
  <c r="CB133" i="36"/>
  <c r="CC133" i="36" s="1"/>
  <c r="BJ42" i="36"/>
  <c r="BK42" i="36" s="1"/>
  <c r="BA595" i="36"/>
  <c r="BB595" i="36" s="1"/>
  <c r="BJ587" i="36"/>
  <c r="BK587" i="36" s="1"/>
  <c r="CB284" i="36"/>
  <c r="CC284" i="36" s="1"/>
  <c r="BA348" i="36"/>
  <c r="BB348" i="36" s="1"/>
  <c r="BS251" i="36"/>
  <c r="BT251" i="36" s="1"/>
  <c r="AR138" i="36"/>
  <c r="AS138" i="36" s="1"/>
  <c r="CB155" i="36"/>
  <c r="CC155" i="36" s="1"/>
  <c r="CB77" i="36"/>
  <c r="CC77" i="36" s="1"/>
  <c r="BA605" i="36"/>
  <c r="BB605" i="36" s="1"/>
  <c r="H255" i="36"/>
  <c r="I255" i="36" s="1"/>
  <c r="BS256" i="36"/>
  <c r="BT256" i="36" s="1"/>
  <c r="AR40" i="36"/>
  <c r="AS40" i="36" s="1"/>
  <c r="Z89" i="36"/>
  <c r="AA89" i="36" s="1"/>
  <c r="Z253" i="36"/>
  <c r="AA253" i="36" s="1"/>
  <c r="CB149" i="36"/>
  <c r="CC149" i="36" s="1"/>
  <c r="BS317" i="36"/>
  <c r="BT317" i="36" s="1"/>
  <c r="Q312" i="36"/>
  <c r="R312" i="36" s="1"/>
  <c r="Q490" i="36"/>
  <c r="R490" i="36" s="1"/>
  <c r="Z300" i="36"/>
  <c r="AA300" i="36" s="1"/>
  <c r="CB277" i="36"/>
  <c r="CC277" i="36" s="1"/>
  <c r="H93" i="36"/>
  <c r="I93" i="36" s="1"/>
  <c r="BJ269" i="36"/>
  <c r="BK269" i="36" s="1"/>
  <c r="H306" i="36"/>
  <c r="I306" i="36" s="1"/>
  <c r="BA351" i="36"/>
  <c r="BB351" i="36" s="1"/>
  <c r="BJ285" i="36"/>
  <c r="BK285" i="36" s="1"/>
  <c r="BJ404" i="36"/>
  <c r="BK404" i="36" s="1"/>
  <c r="Q462" i="36"/>
  <c r="R462" i="36" s="1"/>
  <c r="Q256" i="36"/>
  <c r="R256" i="36" s="1"/>
  <c r="AR319" i="36"/>
  <c r="AS319" i="36" s="1"/>
  <c r="Q516" i="36"/>
  <c r="R516" i="36" s="1"/>
  <c r="H528" i="36"/>
  <c r="I528" i="36" s="1"/>
  <c r="BA518" i="36"/>
  <c r="BB518" i="36" s="1"/>
  <c r="BS399" i="36"/>
  <c r="BT399" i="36" s="1"/>
  <c r="CB72" i="36"/>
  <c r="CC72" i="36" s="1"/>
  <c r="AR241" i="36"/>
  <c r="AS241" i="36" s="1"/>
  <c r="CB261" i="36"/>
  <c r="CC261" i="36" s="1"/>
  <c r="H354" i="36"/>
  <c r="I354" i="36" s="1"/>
  <c r="BS443" i="36"/>
  <c r="BT443" i="36" s="1"/>
  <c r="BA591" i="36"/>
  <c r="BB591" i="36" s="1"/>
  <c r="Q344" i="36"/>
  <c r="R344" i="36" s="1"/>
  <c r="BA95" i="36"/>
  <c r="BB95" i="36" s="1"/>
  <c r="H307" i="36"/>
  <c r="I307" i="36" s="1"/>
  <c r="H502" i="36"/>
  <c r="I502" i="36" s="1"/>
  <c r="Q222" i="36"/>
  <c r="R222" i="36" s="1"/>
  <c r="AI183" i="36"/>
  <c r="AJ183" i="36" s="1"/>
  <c r="BJ342" i="36"/>
  <c r="BK342" i="36" s="1"/>
  <c r="AR318" i="36"/>
  <c r="AS318" i="36" s="1"/>
  <c r="AR388" i="36"/>
  <c r="AS388" i="36" s="1"/>
  <c r="BS266" i="36"/>
  <c r="BT266" i="36" s="1"/>
  <c r="BS43" i="36"/>
  <c r="BT43" i="36" s="1"/>
  <c r="BA268" i="36"/>
  <c r="BB268" i="36" s="1"/>
  <c r="CB63" i="36"/>
  <c r="CC63" i="36" s="1"/>
  <c r="BJ355" i="36"/>
  <c r="BK355" i="36" s="1"/>
  <c r="Q325" i="36"/>
  <c r="R325" i="36" s="1"/>
  <c r="BA556" i="36"/>
  <c r="BB556" i="36" s="1"/>
  <c r="CB291" i="36"/>
  <c r="CC291" i="36" s="1"/>
  <c r="AI320" i="36"/>
  <c r="AJ320" i="36" s="1"/>
  <c r="BA577" i="36"/>
  <c r="BB577" i="36" s="1"/>
  <c r="CB254" i="36"/>
  <c r="CC254" i="36" s="1"/>
  <c r="BJ398" i="36"/>
  <c r="BK398" i="36" s="1"/>
  <c r="AR393" i="36"/>
  <c r="AS393" i="36" s="1"/>
  <c r="H243" i="36"/>
  <c r="I243" i="36" s="1"/>
  <c r="Z338" i="36"/>
  <c r="AA338" i="36" s="1"/>
  <c r="Q523" i="36"/>
  <c r="R523" i="36" s="1"/>
  <c r="BA257" i="36"/>
  <c r="BB257" i="36" s="1"/>
  <c r="Q313" i="36"/>
  <c r="R313" i="36" s="1"/>
  <c r="BA544" i="36"/>
  <c r="BB544" i="36" s="1"/>
  <c r="BA423" i="36"/>
  <c r="BB423" i="36" s="1"/>
  <c r="CB344" i="36"/>
  <c r="CC344" i="36" s="1"/>
  <c r="BA139" i="36"/>
  <c r="BB139" i="36" s="1"/>
  <c r="BS381" i="36"/>
  <c r="BT381" i="36" s="1"/>
  <c r="AI154" i="36"/>
  <c r="AJ154" i="36" s="1"/>
  <c r="BA567" i="36"/>
  <c r="BB567" i="36" s="1"/>
  <c r="Z488" i="36"/>
  <c r="AA488" i="36" s="1"/>
  <c r="BJ200" i="36"/>
  <c r="BK200" i="36" s="1"/>
  <c r="Q371" i="36"/>
  <c r="R371" i="36" s="1"/>
  <c r="AI353" i="36"/>
  <c r="AJ353" i="36" s="1"/>
  <c r="Z345" i="36"/>
  <c r="AA345" i="36" s="1"/>
  <c r="BA407" i="36"/>
  <c r="BB407" i="36" s="1"/>
  <c r="Z239" i="36"/>
  <c r="AA239" i="36" s="1"/>
  <c r="CB364" i="36"/>
  <c r="CC364" i="36" s="1"/>
  <c r="BJ322" i="36"/>
  <c r="BK322" i="36" s="1"/>
  <c r="BA393" i="36"/>
  <c r="BB393" i="36" s="1"/>
  <c r="BJ577" i="36"/>
  <c r="BK577" i="36" s="1"/>
  <c r="CB53" i="36"/>
  <c r="CC53" i="36" s="1"/>
  <c r="CB408" i="36"/>
  <c r="CC408" i="36" s="1"/>
  <c r="AR457" i="36"/>
  <c r="AS457" i="36" s="1"/>
  <c r="H348" i="36"/>
  <c r="I348" i="36" s="1"/>
  <c r="H514" i="36"/>
  <c r="I514" i="36" s="1"/>
  <c r="Z223" i="36"/>
  <c r="AA223" i="36" s="1"/>
  <c r="H419" i="36"/>
  <c r="I419" i="36" s="1"/>
  <c r="BA210" i="36"/>
  <c r="BB210" i="36" s="1"/>
  <c r="BJ579" i="36"/>
  <c r="BK579" i="36" s="1"/>
  <c r="BJ336" i="36"/>
  <c r="BK336" i="36" s="1"/>
  <c r="Q310" i="36"/>
  <c r="R310" i="36" s="1"/>
  <c r="BS276" i="36"/>
  <c r="BT276" i="36" s="1"/>
  <c r="Z527" i="36"/>
  <c r="AA527" i="36" s="1"/>
  <c r="AR390" i="36"/>
  <c r="AS390" i="36" s="1"/>
  <c r="CB265" i="36"/>
  <c r="CC265" i="36" s="1"/>
  <c r="Z246" i="36"/>
  <c r="AA246" i="36" s="1"/>
  <c r="BJ582" i="36"/>
  <c r="BK582" i="36" s="1"/>
  <c r="BJ328" i="36"/>
  <c r="BK328" i="36" s="1"/>
  <c r="H513" i="36"/>
  <c r="I513" i="36" s="1"/>
  <c r="AI39" i="36"/>
  <c r="AJ39" i="36" s="1"/>
  <c r="H252" i="36"/>
  <c r="I252" i="36" s="1"/>
  <c r="BJ344" i="36"/>
  <c r="BK344" i="36" s="1"/>
  <c r="AR559" i="36"/>
  <c r="AS559" i="36" s="1"/>
  <c r="Z358" i="36"/>
  <c r="AA358" i="36" s="1"/>
  <c r="H238" i="36"/>
  <c r="I238" i="36" s="1"/>
  <c r="AI321" i="36"/>
  <c r="AJ321" i="36" s="1"/>
  <c r="AI264" i="36"/>
  <c r="AJ264" i="36" s="1"/>
  <c r="BJ576" i="36"/>
  <c r="BK576" i="36" s="1"/>
  <c r="CB202" i="36"/>
  <c r="CC202" i="36" s="1"/>
  <c r="AI311" i="36"/>
  <c r="AJ311" i="36" s="1"/>
  <c r="CB289" i="36"/>
  <c r="CC289" i="36" s="1"/>
  <c r="AR269" i="36"/>
  <c r="AS269" i="36" s="1"/>
  <c r="BS314" i="36"/>
  <c r="BT314" i="36" s="1"/>
  <c r="BA594" i="36"/>
  <c r="BB594" i="36" s="1"/>
  <c r="CB444" i="36"/>
  <c r="CC444" i="36" s="1"/>
  <c r="Z486" i="36"/>
  <c r="AA486" i="36" s="1"/>
  <c r="Z319" i="36"/>
  <c r="AA319" i="36" s="1"/>
  <c r="BJ272" i="36"/>
  <c r="BK272" i="36" s="1"/>
  <c r="H176" i="36"/>
  <c r="I176" i="36" s="1"/>
  <c r="BJ346" i="36"/>
  <c r="BK346" i="36" s="1"/>
  <c r="BA272" i="36"/>
  <c r="BB272" i="36" s="1"/>
  <c r="BJ352" i="36"/>
  <c r="BK352" i="36" s="1"/>
  <c r="Z177" i="36"/>
  <c r="AA177" i="36" s="1"/>
  <c r="AI541" i="36"/>
  <c r="AJ541" i="36" s="1"/>
  <c r="Z304" i="36"/>
  <c r="AA304" i="36" s="1"/>
  <c r="BJ274" i="36"/>
  <c r="BK274" i="36" s="1"/>
  <c r="BA39" i="36"/>
  <c r="BB39" i="36" s="1"/>
  <c r="BA398" i="36"/>
  <c r="BB398" i="36" s="1"/>
  <c r="BJ581" i="36"/>
  <c r="BK581" i="36" s="1"/>
  <c r="H303" i="36"/>
  <c r="I303" i="36" s="1"/>
  <c r="BA576" i="36"/>
  <c r="BB576" i="36" s="1"/>
  <c r="AI309" i="36"/>
  <c r="AJ309" i="36" s="1"/>
  <c r="BA593" i="36"/>
  <c r="BB593" i="36" s="1"/>
  <c r="CB219" i="36"/>
  <c r="CC219" i="36" s="1"/>
  <c r="H477" i="36"/>
  <c r="I477" i="36" s="1"/>
  <c r="CB207" i="36"/>
  <c r="CC207" i="36" s="1"/>
  <c r="CB250" i="36"/>
  <c r="CC250" i="36" s="1"/>
  <c r="Z322" i="36"/>
  <c r="AA322" i="36" s="1"/>
  <c r="AI545" i="36"/>
  <c r="AJ545" i="36" s="1"/>
  <c r="Q297" i="36"/>
  <c r="R297" i="36" s="1"/>
  <c r="AI256" i="36"/>
  <c r="AJ256" i="36" s="1"/>
  <c r="CB201" i="36"/>
  <c r="CC201" i="36" s="1"/>
  <c r="AR372" i="36"/>
  <c r="AS372" i="36" s="1"/>
  <c r="AR385" i="36"/>
  <c r="AS385" i="36" s="1"/>
  <c r="BS447" i="36"/>
  <c r="BT447" i="36" s="1"/>
  <c r="Q353" i="36"/>
  <c r="R353" i="36" s="1"/>
  <c r="H482" i="36"/>
  <c r="I482" i="36" s="1"/>
  <c r="BJ359" i="36"/>
  <c r="BK359" i="36" s="1"/>
  <c r="AI260" i="36"/>
  <c r="AJ260" i="36" s="1"/>
  <c r="Q246" i="36"/>
  <c r="R246" i="36" s="1"/>
  <c r="H452" i="36"/>
  <c r="I452" i="36" s="1"/>
  <c r="BJ583" i="36"/>
  <c r="BK583" i="36" s="1"/>
  <c r="AR309" i="36"/>
  <c r="AS309" i="36" s="1"/>
  <c r="Z341" i="36"/>
  <c r="AA341" i="36" s="1"/>
  <c r="AI315" i="36"/>
  <c r="AJ315" i="36" s="1"/>
  <c r="AR378" i="36"/>
  <c r="AS378" i="36" s="1"/>
  <c r="AR278" i="36"/>
  <c r="AS278" i="36" s="1"/>
  <c r="AI363" i="36"/>
  <c r="AJ363" i="36" s="1"/>
  <c r="BS229" i="36"/>
  <c r="BT229" i="36" s="1"/>
  <c r="Q347" i="36"/>
  <c r="R347" i="36" s="1"/>
  <c r="Z478" i="36"/>
  <c r="AA478" i="36" s="1"/>
  <c r="H339" i="36"/>
  <c r="I339" i="36" s="1"/>
  <c r="H63" i="36"/>
  <c r="I63" i="36" s="1"/>
  <c r="BJ480" i="36"/>
  <c r="BK480" i="36" s="1"/>
  <c r="AR536" i="36"/>
  <c r="AS536" i="36" s="1"/>
  <c r="CB74" i="36"/>
  <c r="CC74" i="36" s="1"/>
  <c r="AI61" i="36"/>
  <c r="AJ61" i="36" s="1"/>
  <c r="AR443" i="36"/>
  <c r="AS443" i="36" s="1"/>
  <c r="Z441" i="36"/>
  <c r="AA441" i="36" s="1"/>
  <c r="CB267" i="36"/>
  <c r="CC267" i="36" s="1"/>
  <c r="Q535" i="36"/>
  <c r="R535" i="36" s="1"/>
  <c r="BJ513" i="36"/>
  <c r="BK513" i="36" s="1"/>
  <c r="H310" i="36"/>
  <c r="I310" i="36" s="1"/>
  <c r="H202" i="36"/>
  <c r="I202" i="36" s="1"/>
  <c r="BJ541" i="36"/>
  <c r="BK541" i="36" s="1"/>
  <c r="AR312" i="36"/>
  <c r="AS312" i="36" s="1"/>
  <c r="AI285" i="36"/>
  <c r="AJ285" i="36" s="1"/>
  <c r="H508" i="36"/>
  <c r="I508" i="36" s="1"/>
  <c r="BS190" i="36"/>
  <c r="BT190" i="36" s="1"/>
  <c r="BA205" i="36"/>
  <c r="BB205" i="36" s="1"/>
  <c r="Z183" i="36"/>
  <c r="AA183" i="36" s="1"/>
  <c r="CB266" i="36"/>
  <c r="CC266" i="36" s="1"/>
  <c r="BJ544" i="36"/>
  <c r="BK544" i="36" s="1"/>
  <c r="BA136" i="36"/>
  <c r="BB136" i="36" s="1"/>
  <c r="Q324" i="36"/>
  <c r="R324" i="36" s="1"/>
  <c r="BA286" i="36"/>
  <c r="BB286" i="36" s="1"/>
  <c r="BS435" i="36"/>
  <c r="BT435" i="36" s="1"/>
  <c r="BJ550" i="36"/>
  <c r="BK550" i="36" s="1"/>
  <c r="Z101" i="36"/>
  <c r="AA101" i="36" s="1"/>
  <c r="BS400" i="36"/>
  <c r="BT400" i="36" s="1"/>
  <c r="BJ505" i="36"/>
  <c r="BK505" i="36" s="1"/>
  <c r="CB305" i="36"/>
  <c r="CC305" i="36" s="1"/>
  <c r="AI463" i="36"/>
  <c r="AJ463" i="36" s="1"/>
  <c r="Q309" i="36"/>
  <c r="R309" i="36" s="1"/>
  <c r="H136" i="36"/>
  <c r="I136" i="36" s="1"/>
  <c r="BA93" i="36"/>
  <c r="BB93" i="36" s="1"/>
  <c r="BA108" i="36"/>
  <c r="BB108" i="36" s="1"/>
  <c r="AI372" i="36"/>
  <c r="AJ372" i="36" s="1"/>
  <c r="BA436" i="36"/>
  <c r="BB436" i="36" s="1"/>
  <c r="H239" i="36"/>
  <c r="I239" i="36" s="1"/>
  <c r="AR44" i="36"/>
  <c r="AS44" i="36" s="1"/>
  <c r="BJ252" i="36"/>
  <c r="BK252" i="36" s="1"/>
  <c r="Z45" i="36"/>
  <c r="AA45" i="36" s="1"/>
  <c r="AI257" i="36"/>
  <c r="AJ257" i="36" s="1"/>
  <c r="CB390" i="36"/>
  <c r="CC390" i="36" s="1"/>
  <c r="Q404" i="36"/>
  <c r="R404" i="36" s="1"/>
  <c r="AR480" i="36"/>
  <c r="AS480" i="36" s="1"/>
  <c r="CB215" i="36"/>
  <c r="CC215" i="36" s="1"/>
  <c r="Z526" i="36"/>
  <c r="AA526" i="36" s="1"/>
  <c r="AI58" i="36"/>
  <c r="AJ58" i="36" s="1"/>
  <c r="BA554" i="36"/>
  <c r="BB554" i="36" s="1"/>
  <c r="BA207" i="36"/>
  <c r="BB207" i="36" s="1"/>
  <c r="Q40" i="36"/>
  <c r="R40" i="36" s="1"/>
  <c r="AR68" i="36"/>
  <c r="AS68" i="36" s="1"/>
  <c r="Z423" i="36"/>
  <c r="AA423" i="36" s="1"/>
  <c r="H297" i="36"/>
  <c r="I297" i="36" s="1"/>
  <c r="AR248" i="36"/>
  <c r="AS248" i="36" s="1"/>
  <c r="Z245" i="36"/>
  <c r="AA245" i="36" s="1"/>
  <c r="BS306" i="36"/>
  <c r="BT306" i="36" s="1"/>
  <c r="AI530" i="36"/>
  <c r="AJ530" i="36" s="1"/>
  <c r="BA559" i="36"/>
  <c r="BB559" i="36" s="1"/>
  <c r="AI369" i="36"/>
  <c r="AJ369" i="36" s="1"/>
  <c r="BA151" i="36"/>
  <c r="BB151" i="36" s="1"/>
  <c r="BJ414" i="36"/>
  <c r="BK414" i="36" s="1"/>
  <c r="H240" i="36"/>
  <c r="I240" i="36" s="1"/>
  <c r="AI383" i="36"/>
  <c r="AJ383" i="36" s="1"/>
  <c r="CB258" i="36"/>
  <c r="CC258" i="36" s="1"/>
  <c r="AR320" i="36"/>
  <c r="AS320" i="36" s="1"/>
  <c r="CB433" i="36"/>
  <c r="CC433" i="36" s="1"/>
  <c r="Z348" i="36"/>
  <c r="AA348" i="36" s="1"/>
  <c r="BS442" i="36"/>
  <c r="BT442" i="36" s="1"/>
  <c r="BJ561" i="36"/>
  <c r="BK561" i="36" s="1"/>
  <c r="CB198" i="36"/>
  <c r="CC198" i="36" s="1"/>
  <c r="AI335" i="36"/>
  <c r="AJ335" i="36" s="1"/>
  <c r="AI95" i="36"/>
  <c r="AJ95" i="36" s="1"/>
  <c r="BA323" i="36"/>
  <c r="BB323" i="36" s="1"/>
  <c r="BA336" i="36"/>
  <c r="BB336" i="36" s="1"/>
  <c r="BJ511" i="36"/>
  <c r="BK511" i="36" s="1"/>
  <c r="BJ314" i="36"/>
  <c r="BK314" i="36" s="1"/>
  <c r="BJ411" i="36"/>
  <c r="BK411" i="36" s="1"/>
  <c r="AI543" i="36"/>
  <c r="AJ543" i="36" s="1"/>
  <c r="CB81" i="36"/>
  <c r="CC81" i="36" s="1"/>
  <c r="CB263" i="36"/>
  <c r="CC263" i="36" s="1"/>
  <c r="BS227" i="36"/>
  <c r="BT227" i="36" s="1"/>
  <c r="Q45" i="36"/>
  <c r="R45" i="36" s="1"/>
  <c r="AR562" i="36"/>
  <c r="AS562" i="36" s="1"/>
  <c r="BA346" i="36"/>
  <c r="BB346" i="36" s="1"/>
  <c r="BA397" i="36"/>
  <c r="BB397" i="36" s="1"/>
  <c r="AR512" i="36"/>
  <c r="AS512" i="36" s="1"/>
  <c r="AR267" i="36"/>
  <c r="AS267" i="36" s="1"/>
  <c r="Z41" i="36"/>
  <c r="AA41" i="36" s="1"/>
  <c r="BS441" i="36"/>
  <c r="BT441" i="36" s="1"/>
  <c r="BS221" i="36"/>
  <c r="BT221" i="36" s="1"/>
  <c r="BJ592" i="36"/>
  <c r="BK592" i="36" s="1"/>
  <c r="CB211" i="36"/>
  <c r="CC211" i="36" s="1"/>
  <c r="AR569" i="36"/>
  <c r="AS569" i="36" s="1"/>
  <c r="AI508" i="36"/>
  <c r="AJ508" i="36" s="1"/>
  <c r="AR92" i="36"/>
  <c r="AS92" i="36" s="1"/>
  <c r="BA278" i="36"/>
  <c r="BB278" i="36" s="1"/>
  <c r="Q527" i="36"/>
  <c r="R527" i="36" s="1"/>
  <c r="BS445" i="36"/>
  <c r="BT445" i="36" s="1"/>
  <c r="BS220" i="36"/>
  <c r="BT220" i="36" s="1"/>
  <c r="AR363" i="36"/>
  <c r="AS363" i="36" s="1"/>
  <c r="AI385" i="36"/>
  <c r="AJ385" i="36" s="1"/>
  <c r="BJ385" i="36"/>
  <c r="BK385" i="36" s="1"/>
  <c r="H91" i="36"/>
  <c r="I91" i="36" s="1"/>
  <c r="BJ407" i="36"/>
  <c r="BK407" i="36" s="1"/>
  <c r="H309" i="36"/>
  <c r="I309" i="36" s="1"/>
  <c r="BA394" i="36"/>
  <c r="BB394" i="36" s="1"/>
  <c r="AI108" i="36"/>
  <c r="AJ108" i="36" s="1"/>
  <c r="BA106" i="36"/>
  <c r="BB106" i="36" s="1"/>
  <c r="Z326" i="36"/>
  <c r="AA326" i="36" s="1"/>
  <c r="BJ494" i="36"/>
  <c r="BK494" i="36" s="1"/>
  <c r="BA250" i="36"/>
  <c r="BB250" i="36" s="1"/>
  <c r="BS313" i="36"/>
  <c r="BT313" i="36" s="1"/>
  <c r="Q178" i="36"/>
  <c r="R178" i="36" s="1"/>
  <c r="Q307" i="36"/>
  <c r="R307" i="36" s="1"/>
  <c r="Z367" i="36"/>
  <c r="AA367" i="36" s="1"/>
  <c r="Z522" i="36"/>
  <c r="AA522" i="36" s="1"/>
  <c r="CB287" i="36"/>
  <c r="CC287" i="36" s="1"/>
  <c r="H519" i="36"/>
  <c r="I519" i="36" s="1"/>
  <c r="BJ202" i="36"/>
  <c r="BK202" i="36" s="1"/>
  <c r="Q455" i="36"/>
  <c r="R455" i="36" s="1"/>
  <c r="Z244" i="36"/>
  <c r="AA244" i="36" s="1"/>
  <c r="BA549" i="36"/>
  <c r="BB549" i="36" s="1"/>
  <c r="CB199" i="36"/>
  <c r="CC199" i="36" s="1"/>
  <c r="BJ345" i="36"/>
  <c r="BK345" i="36" s="1"/>
  <c r="BA608" i="36"/>
  <c r="BB608" i="36" s="1"/>
  <c r="BA329" i="36"/>
  <c r="BB329" i="36" s="1"/>
  <c r="AR576" i="36"/>
  <c r="AS576" i="36" s="1"/>
  <c r="H358" i="36"/>
  <c r="I358" i="36" s="1"/>
  <c r="BJ311" i="36"/>
  <c r="BK311" i="36" s="1"/>
  <c r="BS283" i="36"/>
  <c r="BT283" i="36" s="1"/>
  <c r="BA491" i="36"/>
  <c r="BB491" i="36" s="1"/>
  <c r="Q182" i="36"/>
  <c r="R182" i="36" s="1"/>
  <c r="AR470" i="36"/>
  <c r="AS470" i="36" s="1"/>
  <c r="CB328" i="36"/>
  <c r="CC328" i="36" s="1"/>
  <c r="H106" i="36"/>
  <c r="I106" i="36" s="1"/>
  <c r="BA580" i="36"/>
  <c r="BB580" i="36" s="1"/>
  <c r="H458" i="36"/>
  <c r="I458" i="36" s="1"/>
  <c r="Q174" i="36"/>
  <c r="R174" i="36" s="1"/>
  <c r="Z477" i="36"/>
  <c r="AA477" i="36" s="1"/>
  <c r="BJ426" i="36"/>
  <c r="BK426" i="36" s="1"/>
  <c r="Z102" i="36"/>
  <c r="AA102" i="36" s="1"/>
  <c r="BA607" i="36"/>
  <c r="BB607" i="36" s="1"/>
  <c r="BS423" i="36"/>
  <c r="BT423" i="36" s="1"/>
  <c r="AI459" i="36"/>
  <c r="AJ459" i="36" s="1"/>
  <c r="AI145" i="36"/>
  <c r="AJ145" i="36" s="1"/>
  <c r="AR294" i="36"/>
  <c r="AS294" i="36" s="1"/>
  <c r="Z243" i="36"/>
  <c r="AA243" i="36" s="1"/>
  <c r="AR214" i="36"/>
  <c r="AS214" i="36" s="1"/>
  <c r="Z404" i="36"/>
  <c r="AA404" i="36" s="1"/>
  <c r="CB119" i="36"/>
  <c r="CC119" i="36" s="1"/>
  <c r="CB392" i="36"/>
  <c r="CC392" i="36" s="1"/>
  <c r="BJ247" i="36"/>
  <c r="BK247" i="36" s="1"/>
  <c r="AR313" i="36"/>
  <c r="AS313" i="36" s="1"/>
  <c r="Q519" i="36"/>
  <c r="R519" i="36" s="1"/>
  <c r="BT4" i="26"/>
  <c r="N41" i="9"/>
  <c r="AI228" i="36"/>
  <c r="AJ228" i="36" s="1"/>
  <c r="H506" i="36"/>
  <c r="I506" i="36" s="1"/>
  <c r="BS191" i="36"/>
  <c r="BT191" i="36" s="1"/>
  <c r="BA564" i="36"/>
  <c r="BB564" i="36" s="1"/>
  <c r="AR310" i="36"/>
  <c r="AS310" i="36" s="1"/>
  <c r="Q456" i="36"/>
  <c r="R456" i="36" s="1"/>
  <c r="H360" i="36"/>
  <c r="I360" i="36" s="1"/>
  <c r="BJ496" i="36"/>
  <c r="BK496" i="36" s="1"/>
  <c r="Q47" i="36"/>
  <c r="R47" i="36" s="1"/>
  <c r="Q240" i="36"/>
  <c r="R240" i="36" s="1"/>
  <c r="AR59" i="36"/>
  <c r="AS59" i="36" s="1"/>
  <c r="BS393" i="36"/>
  <c r="BT393" i="36" s="1"/>
  <c r="BS377" i="36"/>
  <c r="BT377" i="36" s="1"/>
  <c r="BJ415" i="36"/>
  <c r="BK415" i="36" s="1"/>
  <c r="BJ400" i="36"/>
  <c r="BK400" i="36" s="1"/>
  <c r="BJ395" i="36"/>
  <c r="BK395" i="36" s="1"/>
  <c r="AI331" i="36"/>
  <c r="AJ331" i="36" s="1"/>
  <c r="Q489" i="36"/>
  <c r="R489" i="36" s="1"/>
  <c r="H426" i="36"/>
  <c r="I426" i="36" s="1"/>
  <c r="Q225" i="36"/>
  <c r="R225" i="36" s="1"/>
  <c r="BS378" i="36"/>
  <c r="BT378" i="36" s="1"/>
  <c r="H361" i="36"/>
  <c r="I361" i="36" s="1"/>
  <c r="H171" i="36"/>
  <c r="I171" i="36" s="1"/>
  <c r="CB216" i="36"/>
  <c r="CC216" i="36" s="1"/>
  <c r="H533" i="36"/>
  <c r="I533" i="36" s="1"/>
  <c r="AR547" i="36"/>
  <c r="AS547" i="36" s="1"/>
  <c r="Z521" i="36"/>
  <c r="AA521" i="36" s="1"/>
  <c r="CB441" i="36"/>
  <c r="CC441" i="36" s="1"/>
  <c r="Q366" i="36"/>
  <c r="R366" i="36" s="1"/>
  <c r="AI356" i="36"/>
  <c r="AJ356" i="36" s="1"/>
  <c r="AR373" i="36"/>
  <c r="AS373" i="36" s="1"/>
  <c r="BS279" i="36"/>
  <c r="BT279" i="36" s="1"/>
  <c r="BA350" i="36"/>
  <c r="BB350" i="36" s="1"/>
  <c r="H543" i="36"/>
  <c r="I543" i="36" s="1"/>
  <c r="BA41" i="36"/>
  <c r="BB41" i="36" s="1"/>
  <c r="H302" i="36"/>
  <c r="I302" i="36" s="1"/>
  <c r="AI522" i="36"/>
  <c r="AJ522" i="36" s="1"/>
  <c r="BA386" i="36"/>
  <c r="BB386" i="36" s="1"/>
  <c r="AR43" i="36"/>
  <c r="AS43" i="36" s="1"/>
  <c r="BJ397" i="36"/>
  <c r="BK397" i="36" s="1"/>
  <c r="BS454" i="36"/>
  <c r="BT454" i="36" s="1"/>
  <c r="BA570" i="36"/>
  <c r="BB570" i="36" s="1"/>
  <c r="BA274" i="36"/>
  <c r="BB274" i="36" s="1"/>
  <c r="AR323" i="36"/>
  <c r="AS323" i="36" s="1"/>
  <c r="H242" i="36"/>
  <c r="I242" i="36" s="1"/>
  <c r="BJ588" i="36"/>
  <c r="BK588" i="36" s="1"/>
  <c r="H94" i="36"/>
  <c r="I94" i="36" s="1"/>
  <c r="AR387" i="36"/>
  <c r="AS387" i="36" s="1"/>
  <c r="H249" i="36"/>
  <c r="I249" i="36" s="1"/>
  <c r="BJ394" i="36"/>
  <c r="BK394" i="36" s="1"/>
  <c r="AR553" i="36"/>
  <c r="AS553" i="36" s="1"/>
  <c r="Z44" i="36"/>
  <c r="AA44" i="36" s="1"/>
  <c r="Q92" i="36"/>
  <c r="R92" i="36" s="1"/>
  <c r="Z321" i="36"/>
  <c r="AA321" i="36" s="1"/>
  <c r="CB424" i="36"/>
  <c r="CC424" i="36" s="1"/>
  <c r="AI146" i="36"/>
  <c r="AJ146" i="36" s="1"/>
  <c r="Z530" i="36"/>
  <c r="AA530" i="36" s="1"/>
  <c r="Z242" i="36"/>
  <c r="AA242" i="36" s="1"/>
  <c r="BS476" i="36"/>
  <c r="BT476" i="36" s="1"/>
  <c r="BA285" i="36"/>
  <c r="BB285" i="36" s="1"/>
  <c r="BA276" i="36"/>
  <c r="BB276" i="36" s="1"/>
  <c r="BS252" i="36"/>
  <c r="BT252" i="36" s="1"/>
  <c r="AR257" i="36"/>
  <c r="AS257" i="36" s="1"/>
  <c r="BA390" i="36"/>
  <c r="BB390" i="36" s="1"/>
  <c r="AI104" i="36"/>
  <c r="AJ104" i="36" s="1"/>
  <c r="BA339" i="36"/>
  <c r="BB339" i="36" s="1"/>
  <c r="AR254" i="36"/>
  <c r="AS254" i="36" s="1"/>
  <c r="H237" i="36"/>
  <c r="I237" i="36" s="1"/>
  <c r="H325" i="36"/>
  <c r="I325" i="36" s="1"/>
  <c r="Q87" i="36"/>
  <c r="R87" i="36" s="1"/>
  <c r="BA344" i="36"/>
  <c r="BB344" i="36" s="1"/>
  <c r="BA356" i="36"/>
  <c r="BB356" i="36" s="1"/>
  <c r="AR556" i="36"/>
  <c r="AS556" i="36" s="1"/>
  <c r="H232" i="36"/>
  <c r="I232" i="36" s="1"/>
  <c r="CB37" i="36"/>
  <c r="CC37" i="36" s="1"/>
  <c r="CB256" i="36"/>
  <c r="CC256" i="36" s="1"/>
  <c r="BA403" i="36"/>
  <c r="BB403" i="36" s="1"/>
  <c r="Q320" i="36"/>
  <c r="R320" i="36" s="1"/>
  <c r="BJ584" i="36"/>
  <c r="BK584" i="36" s="1"/>
  <c r="AI247" i="36"/>
  <c r="AJ247" i="36" s="1"/>
  <c r="Z247" i="36"/>
  <c r="AA247" i="36" s="1"/>
  <c r="CB445" i="36"/>
  <c r="CC445" i="36" s="1"/>
  <c r="AR334" i="36"/>
  <c r="AS334" i="36" s="1"/>
  <c r="BS214" i="36"/>
  <c r="BT214" i="36" s="1"/>
  <c r="AI536" i="36"/>
  <c r="AJ536" i="36" s="1"/>
  <c r="H251" i="36"/>
  <c r="I251" i="36" s="1"/>
  <c r="AI492" i="36"/>
  <c r="AJ492" i="36" s="1"/>
  <c r="Z355" i="36"/>
  <c r="AA355" i="36" s="1"/>
  <c r="BA389" i="36"/>
  <c r="BB389" i="36" s="1"/>
  <c r="BS257" i="36"/>
  <c r="BT257" i="36" s="1"/>
  <c r="Q524" i="36"/>
  <c r="R524" i="36" s="1"/>
  <c r="Q317" i="36"/>
  <c r="R317" i="36" s="1"/>
  <c r="AI304" i="36"/>
  <c r="AJ304" i="36" s="1"/>
  <c r="AR365" i="36"/>
  <c r="AS365" i="36" s="1"/>
  <c r="Q94" i="36"/>
  <c r="R94" i="36" s="1"/>
  <c r="AR340" i="36"/>
  <c r="AS340" i="36" s="1"/>
  <c r="U9" i="9"/>
  <c r="BJ13" i="26"/>
  <c r="BC13" i="26"/>
  <c r="BF13" i="26"/>
  <c r="S112" i="32"/>
  <c r="R112" i="32"/>
  <c r="P113" i="32"/>
  <c r="BE13" i="26"/>
  <c r="BB13" i="26"/>
  <c r="AZ13" i="26"/>
  <c r="BH13" i="26"/>
  <c r="BD13" i="26"/>
  <c r="BG13" i="26"/>
  <c r="BA13" i="26"/>
  <c r="BL13" i="26"/>
  <c r="AV14" i="26"/>
  <c r="AW14" i="26" s="1"/>
  <c r="AI8" i="9"/>
  <c r="AL8" i="9" s="1"/>
  <c r="U14" i="9"/>
  <c r="Y5" i="35"/>
  <c r="Y4" i="35"/>
  <c r="AC4" i="35"/>
  <c r="AC5" i="35"/>
  <c r="H42" i="41"/>
  <c r="J42" i="41" s="1"/>
  <c r="L42" i="41" s="1"/>
  <c r="AH52" i="46"/>
  <c r="AG51" i="46"/>
  <c r="AD54" i="46"/>
  <c r="AF54" i="46" s="1"/>
  <c r="BW13" i="24"/>
  <c r="AT13" i="24" s="1"/>
  <c r="BV13" i="24"/>
  <c r="AS13" i="24" s="1"/>
  <c r="T17" i="9" s="1"/>
  <c r="BX13" i="24"/>
  <c r="AU13" i="24" s="1"/>
  <c r="V17" i="9" s="1"/>
  <c r="J41" i="41"/>
  <c r="L41" i="41" s="1"/>
  <c r="D43" i="41"/>
  <c r="X60" i="25"/>
  <c r="Y59" i="25"/>
  <c r="Z59" i="25" s="1"/>
  <c r="C44" i="41"/>
  <c r="B45" i="41" s="1"/>
  <c r="F44" i="41"/>
  <c r="C63" i="27"/>
  <c r="Q35" i="27"/>
  <c r="D36" i="27"/>
  <c r="Q36" i="27" s="1"/>
  <c r="R36" i="27"/>
  <c r="D72" i="45"/>
  <c r="E134" i="27"/>
  <c r="E72" i="45" s="1"/>
  <c r="D135" i="27"/>
  <c r="AA55" i="25"/>
  <c r="Q119" i="32"/>
  <c r="R9" i="9"/>
  <c r="AA10" i="9"/>
  <c r="Q10" i="9"/>
  <c r="AA15" i="9"/>
  <c r="BV13" i="26"/>
  <c r="BT13" i="26"/>
  <c r="BR13" i="26"/>
  <c r="P50" i="9"/>
  <c r="N50" i="9"/>
  <c r="L50" i="9"/>
  <c r="S24" i="26"/>
  <c r="U24" i="26" s="1"/>
  <c r="O24" i="26"/>
  <c r="P25" i="26"/>
  <c r="Q25" i="26" s="1"/>
  <c r="R24" i="26"/>
  <c r="S12" i="31"/>
  <c r="R12" i="31"/>
  <c r="X11" i="31"/>
  <c r="AI11" i="31" s="1"/>
  <c r="D26" i="43" s="1"/>
  <c r="E26" i="43" s="1"/>
  <c r="G26" i="43" s="1"/>
  <c r="Z11" i="31"/>
  <c r="AA11" i="31" s="1"/>
  <c r="AH11" i="31" s="1"/>
  <c r="E30" i="32"/>
  <c r="F30" i="32" s="1"/>
  <c r="G35" i="27"/>
  <c r="G36" i="27"/>
  <c r="K28" i="34"/>
  <c r="N28" i="34"/>
  <c r="L29" i="34"/>
  <c r="M29" i="34"/>
  <c r="J30" i="34" s="1"/>
  <c r="Y23" i="26"/>
  <c r="W23" i="26"/>
  <c r="Z24" i="26"/>
  <c r="V204" i="37" l="1"/>
  <c r="V199" i="37"/>
  <c r="X71" i="37"/>
  <c r="W71" i="37"/>
  <c r="Y71" i="37"/>
  <c r="U72" i="37"/>
  <c r="T70" i="37"/>
  <c r="V206" i="37"/>
  <c r="AY4" i="45"/>
  <c r="BA4" i="45"/>
  <c r="AB4" i="35"/>
  <c r="Z4" i="35"/>
  <c r="AS4" i="45"/>
  <c r="AF14" i="9"/>
  <c r="D80" i="9" s="1"/>
  <c r="AA4" i="35"/>
  <c r="AR4" i="45"/>
  <c r="AJ9" i="9"/>
  <c r="AN9" i="9" s="1"/>
  <c r="CM176" i="36"/>
  <c r="CL1" i="36" s="1"/>
  <c r="AJ8" i="9"/>
  <c r="AN8" i="9" s="1"/>
  <c r="AF8" i="9"/>
  <c r="D74" i="9" s="1"/>
  <c r="AK408" i="36"/>
  <c r="CD224" i="36"/>
  <c r="AK35" i="36"/>
  <c r="AK217" i="36"/>
  <c r="BL439" i="36"/>
  <c r="J35" i="36"/>
  <c r="AT124" i="36"/>
  <c r="AK120" i="36"/>
  <c r="CD137" i="36"/>
  <c r="AT353" i="36"/>
  <c r="CD35" i="36"/>
  <c r="BU35" i="36"/>
  <c r="AT499" i="36"/>
  <c r="BL80" i="36"/>
  <c r="BL122" i="36"/>
  <c r="CD338" i="36"/>
  <c r="CD98" i="36"/>
  <c r="AT81" i="36"/>
  <c r="AT422" i="36"/>
  <c r="AK276" i="36"/>
  <c r="CD47" i="36"/>
  <c r="AT173" i="36"/>
  <c r="AK483" i="36"/>
  <c r="AT35" i="36"/>
  <c r="AT50" i="36"/>
  <c r="CD68" i="36"/>
  <c r="CD395" i="36"/>
  <c r="CD281" i="36"/>
  <c r="BL50" i="36"/>
  <c r="BL230" i="36"/>
  <c r="CD176" i="36"/>
  <c r="BL173" i="36"/>
  <c r="AT286" i="36"/>
  <c r="AK167" i="36"/>
  <c r="BL293" i="36"/>
  <c r="BL365" i="36"/>
  <c r="AB35" i="36"/>
  <c r="BL35" i="36"/>
  <c r="AK79" i="36"/>
  <c r="BL521" i="36"/>
  <c r="BC35" i="36"/>
  <c r="AT225" i="36"/>
  <c r="AK50" i="36"/>
  <c r="S35" i="36"/>
  <c r="AK341" i="36"/>
  <c r="BU13" i="26"/>
  <c r="O50" i="9"/>
  <c r="R113" i="32"/>
  <c r="S113" i="32"/>
  <c r="P114" i="32"/>
  <c r="AF9" i="9"/>
  <c r="D75" i="9" s="1"/>
  <c r="AJ14" i="9"/>
  <c r="AN14" i="9" s="1"/>
  <c r="V5" i="35"/>
  <c r="AH53" i="46"/>
  <c r="AG52" i="46"/>
  <c r="AJ52" i="46"/>
  <c r="AI52" i="46"/>
  <c r="AD55" i="46"/>
  <c r="AF55" i="46" s="1"/>
  <c r="BS13" i="26"/>
  <c r="M50" i="9"/>
  <c r="D44" i="41"/>
  <c r="C45" i="41"/>
  <c r="B46" i="41" s="1"/>
  <c r="F45" i="41"/>
  <c r="X61" i="25"/>
  <c r="Y60" i="25"/>
  <c r="Z60" i="25" s="1"/>
  <c r="E135" i="27"/>
  <c r="E73" i="45" s="1"/>
  <c r="D136" i="27"/>
  <c r="D73" i="45"/>
  <c r="D62" i="27"/>
  <c r="D63" i="27"/>
  <c r="H43" i="41"/>
  <c r="E43" i="41"/>
  <c r="AX14" i="26"/>
  <c r="BI14" i="26"/>
  <c r="AY14" i="26"/>
  <c r="AA56" i="25"/>
  <c r="Q120" i="32"/>
  <c r="AI9" i="9"/>
  <c r="AL9" i="9" s="1"/>
  <c r="AA16" i="9"/>
  <c r="AB15" i="9"/>
  <c r="U15" i="9" s="1"/>
  <c r="AJ15" i="9" s="1"/>
  <c r="AN15" i="9" s="1"/>
  <c r="R15" i="9"/>
  <c r="R10" i="9"/>
  <c r="AB10" i="9"/>
  <c r="U10" i="9" s="1"/>
  <c r="AJ10" i="9" s="1"/>
  <c r="AN10" i="9" s="1"/>
  <c r="Q16" i="9"/>
  <c r="O25" i="26"/>
  <c r="R25" i="26"/>
  <c r="S25" i="26"/>
  <c r="U25" i="26" s="1"/>
  <c r="P26" i="26"/>
  <c r="Q26" i="26" s="1"/>
  <c r="BW14" i="24"/>
  <c r="AT14" i="24" s="1"/>
  <c r="H26" i="43"/>
  <c r="I26" i="43" s="1"/>
  <c r="F26" i="43"/>
  <c r="U12" i="31"/>
  <c r="Y12" i="31"/>
  <c r="T12" i="31"/>
  <c r="AL14" i="9"/>
  <c r="N29" i="34"/>
  <c r="L30" i="34"/>
  <c r="M30" i="34"/>
  <c r="J31" i="34" s="1"/>
  <c r="K29" i="34"/>
  <c r="Y25" i="26"/>
  <c r="AA24" i="26"/>
  <c r="Z25" i="26"/>
  <c r="W24" i="26"/>
  <c r="X24" i="26"/>
  <c r="W25" i="26"/>
  <c r="Y24" i="26"/>
  <c r="V24" i="26"/>
  <c r="V209" i="37" l="1"/>
  <c r="Y72" i="37"/>
  <c r="X72" i="37"/>
  <c r="W72" i="37"/>
  <c r="U73" i="37"/>
  <c r="T71" i="37"/>
  <c r="V202" i="37"/>
  <c r="V207" i="37"/>
  <c r="BB4" i="45"/>
  <c r="V4" i="35"/>
  <c r="AG14" i="9"/>
  <c r="AR14" i="9"/>
  <c r="AM8" i="9"/>
  <c r="AK8" i="9"/>
  <c r="AG8" i="9"/>
  <c r="AR8" i="9"/>
  <c r="CC1" i="36"/>
  <c r="BX14" i="24"/>
  <c r="AU14" i="24" s="1"/>
  <c r="V18" i="9" s="1"/>
  <c r="BU14" i="24"/>
  <c r="AR14" i="24" s="1"/>
  <c r="S18" i="9" s="1"/>
  <c r="S114" i="32"/>
  <c r="P115" i="32"/>
  <c r="R114" i="32"/>
  <c r="BB14" i="26"/>
  <c r="AZ14" i="26"/>
  <c r="AF15" i="9"/>
  <c r="AF10" i="9"/>
  <c r="AM14" i="9"/>
  <c r="AK14" i="9"/>
  <c r="D45" i="41"/>
  <c r="H45" i="41" s="1"/>
  <c r="AI10" i="9"/>
  <c r="AL10" i="9" s="1"/>
  <c r="AH54" i="46"/>
  <c r="AJ53" i="46"/>
  <c r="AI53" i="46"/>
  <c r="AG53" i="46"/>
  <c r="AH55" i="46"/>
  <c r="AJ55" i="46" s="1"/>
  <c r="AD56" i="46"/>
  <c r="AF56" i="46" s="1"/>
  <c r="BS14" i="24"/>
  <c r="AP14" i="24" s="1"/>
  <c r="BV14" i="24"/>
  <c r="AS14" i="24" s="1"/>
  <c r="T18" i="9" s="1"/>
  <c r="BT14" i="24"/>
  <c r="AQ14" i="24" s="1"/>
  <c r="BC14" i="26"/>
  <c r="BD14" i="26"/>
  <c r="C46" i="41"/>
  <c r="B47" i="41" s="1"/>
  <c r="F46" i="41"/>
  <c r="D74" i="45"/>
  <c r="E136" i="27"/>
  <c r="E74" i="45" s="1"/>
  <c r="D137" i="27"/>
  <c r="H44" i="41"/>
  <c r="E44" i="41"/>
  <c r="BH14" i="26"/>
  <c r="BE14" i="26"/>
  <c r="X62" i="25"/>
  <c r="Y61" i="25"/>
  <c r="Z61" i="25" s="1"/>
  <c r="BL14" i="26"/>
  <c r="J43" i="41"/>
  <c r="L43" i="41" s="1"/>
  <c r="BA14" i="26"/>
  <c r="BJ14" i="26"/>
  <c r="BF14" i="26"/>
  <c r="BG14" i="26"/>
  <c r="AV15" i="26"/>
  <c r="AW15" i="26" s="1"/>
  <c r="BK14" i="26"/>
  <c r="AU14" i="26"/>
  <c r="AA57" i="25"/>
  <c r="W12" i="31"/>
  <c r="X12" i="31" s="1"/>
  <c r="AI12" i="31" s="1"/>
  <c r="D27" i="43" s="1"/>
  <c r="E27" i="43" s="1"/>
  <c r="G27" i="43" s="1"/>
  <c r="AK9" i="9"/>
  <c r="AM9" i="9"/>
  <c r="Q121" i="32"/>
  <c r="AG9" i="9"/>
  <c r="AR9" i="9"/>
  <c r="AI15" i="9"/>
  <c r="AG12" i="31"/>
  <c r="C27" i="43" s="1"/>
  <c r="BU14" i="26"/>
  <c r="BV14" i="26"/>
  <c r="BS14" i="26"/>
  <c r="O51" i="9"/>
  <c r="P51" i="9"/>
  <c r="M51" i="9"/>
  <c r="O26" i="26"/>
  <c r="R26" i="26"/>
  <c r="S26" i="26"/>
  <c r="U26" i="26" s="1"/>
  <c r="P27" i="26"/>
  <c r="Q27" i="26" s="1"/>
  <c r="AB16" i="9"/>
  <c r="U16" i="9" s="1"/>
  <c r="AJ16" i="9" s="1"/>
  <c r="AN16" i="9" s="1"/>
  <c r="R16" i="9"/>
  <c r="Q13" i="31"/>
  <c r="S13" i="31" s="1"/>
  <c r="AB12" i="31"/>
  <c r="M31" i="34"/>
  <c r="J32" i="34" s="1"/>
  <c r="L31" i="34"/>
  <c r="N30" i="34"/>
  <c r="K30" i="34"/>
  <c r="X26" i="26"/>
  <c r="V25" i="26"/>
  <c r="X25" i="26"/>
  <c r="AA25" i="26"/>
  <c r="V212" i="37" l="1"/>
  <c r="V210" i="37"/>
  <c r="V205" i="37"/>
  <c r="Y73" i="37"/>
  <c r="X73" i="37"/>
  <c r="W73" i="37"/>
  <c r="T73" i="37" s="1"/>
  <c r="U74" i="37"/>
  <c r="T72" i="37"/>
  <c r="AG54" i="46"/>
  <c r="P116" i="32"/>
  <c r="R115" i="32"/>
  <c r="S115" i="32"/>
  <c r="AF16" i="9"/>
  <c r="AR16" i="9" s="1"/>
  <c r="E45" i="41"/>
  <c r="AM10" i="9"/>
  <c r="AK10" i="9"/>
  <c r="AJ54" i="46"/>
  <c r="AI54" i="46"/>
  <c r="AI55" i="46" s="1"/>
  <c r="AD57" i="46"/>
  <c r="AF57" i="46" s="1"/>
  <c r="F11" i="46"/>
  <c r="BT14" i="26"/>
  <c r="N51" i="9"/>
  <c r="BR14" i="26"/>
  <c r="L51" i="9"/>
  <c r="E137" i="27"/>
  <c r="E75" i="45" s="1"/>
  <c r="D75" i="45"/>
  <c r="D138" i="27"/>
  <c r="J45" i="41"/>
  <c r="L45" i="41" s="1"/>
  <c r="X63" i="25"/>
  <c r="Y63" i="25" s="1"/>
  <c r="Z63" i="25" s="1"/>
  <c r="Y62" i="25"/>
  <c r="Z62" i="25" s="1"/>
  <c r="D46" i="41"/>
  <c r="E46" i="41" s="1"/>
  <c r="J44" i="41"/>
  <c r="L44" i="41" s="1"/>
  <c r="C47" i="41"/>
  <c r="B48" i="41" s="1"/>
  <c r="F47" i="41"/>
  <c r="AX15" i="26"/>
  <c r="AY15" i="26"/>
  <c r="BI15" i="26"/>
  <c r="AA58" i="25"/>
  <c r="Q122" i="32"/>
  <c r="AG10" i="9"/>
  <c r="D76" i="9"/>
  <c r="AR10" i="9"/>
  <c r="AG15" i="9"/>
  <c r="AR15" i="9"/>
  <c r="D81" i="9"/>
  <c r="AL15" i="9"/>
  <c r="AK15" i="9"/>
  <c r="AM15" i="9"/>
  <c r="O27" i="26"/>
  <c r="R27" i="26"/>
  <c r="S27" i="26"/>
  <c r="U27" i="26" s="1"/>
  <c r="P28" i="26"/>
  <c r="Q28" i="26" s="1"/>
  <c r="BU15" i="24"/>
  <c r="AR15" i="24" s="1"/>
  <c r="AI16" i="9"/>
  <c r="R13" i="31"/>
  <c r="F27" i="43"/>
  <c r="H27" i="43"/>
  <c r="I27" i="43" s="1"/>
  <c r="N7" i="43" s="1"/>
  <c r="Z12" i="31"/>
  <c r="AA12" i="31" s="1"/>
  <c r="AH12" i="31" s="1"/>
  <c r="K31" i="34"/>
  <c r="L32" i="34"/>
  <c r="M32" i="34"/>
  <c r="J33" i="34" s="1"/>
  <c r="N31" i="34"/>
  <c r="Y26" i="26"/>
  <c r="W26" i="26"/>
  <c r="AA26" i="26"/>
  <c r="Z27" i="26"/>
  <c r="AA27" i="26"/>
  <c r="V26" i="26"/>
  <c r="Z26" i="26"/>
  <c r="Y27" i="26"/>
  <c r="V215" i="37" l="1"/>
  <c r="V208" i="37"/>
  <c r="Y74" i="37"/>
  <c r="X74" i="37"/>
  <c r="W74" i="37"/>
  <c r="U75" i="37"/>
  <c r="V213" i="37"/>
  <c r="BW15" i="24"/>
  <c r="AT15" i="24" s="1"/>
  <c r="BV15" i="24"/>
  <c r="AS15" i="24" s="1"/>
  <c r="T19" i="9" s="1"/>
  <c r="S116" i="32"/>
  <c r="P117" i="32"/>
  <c r="R116" i="32"/>
  <c r="BE15" i="26"/>
  <c r="AZ15" i="26"/>
  <c r="D47" i="41"/>
  <c r="H47" i="41" s="1"/>
  <c r="H46" i="41"/>
  <c r="J46" i="41" s="1"/>
  <c r="L46" i="41" s="1"/>
  <c r="BC15" i="26"/>
  <c r="BK15" i="26"/>
  <c r="BF15" i="26"/>
  <c r="BH15" i="26"/>
  <c r="BD15" i="26"/>
  <c r="AU15" i="26"/>
  <c r="BL15" i="26"/>
  <c r="BG15" i="26"/>
  <c r="BJ15" i="26"/>
  <c r="AV16" i="26"/>
  <c r="AW16" i="26" s="1"/>
  <c r="H11" i="46"/>
  <c r="F10" i="46"/>
  <c r="C11" i="46"/>
  <c r="D11" i="46"/>
  <c r="AH56" i="46"/>
  <c r="AG55" i="46"/>
  <c r="AH57" i="46"/>
  <c r="AJ57" i="46" s="1"/>
  <c r="E11" i="46"/>
  <c r="G11" i="46"/>
  <c r="E12" i="46"/>
  <c r="E10" i="46"/>
  <c r="C10" i="46"/>
  <c r="G10" i="46"/>
  <c r="D10" i="46"/>
  <c r="H10" i="46"/>
  <c r="BT15" i="24"/>
  <c r="AQ15" i="24" s="1"/>
  <c r="BS15" i="24"/>
  <c r="AP15" i="24" s="1"/>
  <c r="BX15" i="24"/>
  <c r="AU15" i="24" s="1"/>
  <c r="V19" i="9" s="1"/>
  <c r="D139" i="27"/>
  <c r="D76" i="45"/>
  <c r="E138" i="27"/>
  <c r="E76" i="45" s="1"/>
  <c r="C48" i="41"/>
  <c r="B49" i="41" s="1"/>
  <c r="F48" i="41"/>
  <c r="BA15" i="26"/>
  <c r="BB15" i="26"/>
  <c r="AA59" i="25"/>
  <c r="T13" i="31"/>
  <c r="Q123" i="32"/>
  <c r="S19" i="9"/>
  <c r="U13" i="31"/>
  <c r="Y13" i="31"/>
  <c r="BU15" i="26"/>
  <c r="BV15" i="26"/>
  <c r="AG16" i="9"/>
  <c r="D82" i="9"/>
  <c r="O52" i="9"/>
  <c r="P52" i="9"/>
  <c r="AM16" i="9"/>
  <c r="AK16" i="9"/>
  <c r="AL16" i="9"/>
  <c r="AA17" i="9"/>
  <c r="R28" i="26"/>
  <c r="S28" i="26"/>
  <c r="U28" i="26" s="1"/>
  <c r="P29" i="26"/>
  <c r="Q29" i="26" s="1"/>
  <c r="O28" i="26"/>
  <c r="N32" i="34"/>
  <c r="K32" i="34"/>
  <c r="M33" i="34"/>
  <c r="J34" i="34" s="1"/>
  <c r="L33" i="34"/>
  <c r="W27" i="26"/>
  <c r="V27" i="26"/>
  <c r="X27" i="26"/>
  <c r="V28" i="26"/>
  <c r="V216" i="37" l="1"/>
  <c r="Y75" i="37"/>
  <c r="X75" i="37"/>
  <c r="W75" i="37"/>
  <c r="U76" i="37"/>
  <c r="T74" i="37"/>
  <c r="V211" i="37"/>
  <c r="V218" i="37"/>
  <c r="S117" i="32"/>
  <c r="P118" i="32"/>
  <c r="R117" i="32"/>
  <c r="D48" i="41"/>
  <c r="H48" i="41" s="1"/>
  <c r="E47" i="41"/>
  <c r="AG56" i="46"/>
  <c r="H12" i="46"/>
  <c r="F12" i="46"/>
  <c r="D12" i="46"/>
  <c r="AG57" i="46"/>
  <c r="G12" i="46"/>
  <c r="C12" i="46"/>
  <c r="AJ56" i="46"/>
  <c r="AI56" i="46"/>
  <c r="AI57" i="46" s="1"/>
  <c r="I11" i="46"/>
  <c r="J11" i="46" s="1"/>
  <c r="K11" i="46" s="1"/>
  <c r="L11" i="46" s="1"/>
  <c r="I10" i="46"/>
  <c r="J10" i="46" s="1"/>
  <c r="K10" i="46" s="1"/>
  <c r="L10" i="46" s="1"/>
  <c r="M52" i="9"/>
  <c r="BS15" i="26"/>
  <c r="N52" i="9"/>
  <c r="BT15" i="26"/>
  <c r="L52" i="9"/>
  <c r="BR15" i="26"/>
  <c r="D140" i="27"/>
  <c r="E139" i="27"/>
  <c r="E77" i="45" s="1"/>
  <c r="D77" i="45"/>
  <c r="J47" i="41"/>
  <c r="L47" i="41" s="1"/>
  <c r="F49" i="41"/>
  <c r="C49" i="41"/>
  <c r="B50" i="41" s="1"/>
  <c r="AX16" i="26"/>
  <c r="BJ16" i="26"/>
  <c r="AY16" i="26"/>
  <c r="AA60" i="25"/>
  <c r="W13" i="31"/>
  <c r="Z13" i="31" s="1"/>
  <c r="AA13" i="31" s="1"/>
  <c r="AH13" i="31" s="1"/>
  <c r="AB13" i="31"/>
  <c r="AG13" i="31"/>
  <c r="C28" i="43" s="1"/>
  <c r="Q14" i="31"/>
  <c r="R14" i="31" s="1"/>
  <c r="BS16" i="24"/>
  <c r="AP16" i="24" s="1"/>
  <c r="O29" i="26"/>
  <c r="P30" i="26"/>
  <c r="Q30" i="26" s="1"/>
  <c r="R29" i="26"/>
  <c r="S29" i="26"/>
  <c r="U29" i="26" s="1"/>
  <c r="AB17" i="9"/>
  <c r="K33" i="34"/>
  <c r="N33" i="34"/>
  <c r="M34" i="34"/>
  <c r="J35" i="34" s="1"/>
  <c r="L34" i="34"/>
  <c r="W28" i="26"/>
  <c r="W29" i="26"/>
  <c r="X28" i="26"/>
  <c r="Y28" i="26"/>
  <c r="Z28" i="26"/>
  <c r="AA28" i="26"/>
  <c r="V29" i="26"/>
  <c r="V219" i="37" l="1"/>
  <c r="V214" i="37"/>
  <c r="V221" i="37"/>
  <c r="T75" i="37"/>
  <c r="W76" i="37"/>
  <c r="Y76" i="37"/>
  <c r="X76" i="37"/>
  <c r="U77" i="37"/>
  <c r="E48" i="41"/>
  <c r="AZ16" i="26"/>
  <c r="AN4" i="46"/>
  <c r="AO4" i="46" s="1"/>
  <c r="AN5" i="46"/>
  <c r="AN6" i="46"/>
  <c r="S118" i="32"/>
  <c r="P119" i="32"/>
  <c r="R118" i="32"/>
  <c r="BE16" i="26"/>
  <c r="D49" i="41"/>
  <c r="E49" i="41" s="1"/>
  <c r="BC16" i="26"/>
  <c r="AU16" i="26"/>
  <c r="BB16" i="26"/>
  <c r="BG16" i="26"/>
  <c r="BK16" i="26"/>
  <c r="BF16" i="26"/>
  <c r="BH16" i="26"/>
  <c r="AV17" i="26"/>
  <c r="AW17" i="26" s="1"/>
  <c r="BD16" i="26"/>
  <c r="BA16" i="26"/>
  <c r="BI16" i="26"/>
  <c r="BL16" i="26"/>
  <c r="AN8" i="46"/>
  <c r="AO8" i="46" s="1"/>
  <c r="AN7" i="46"/>
  <c r="I12" i="46"/>
  <c r="J12" i="46" s="1"/>
  <c r="K12" i="46" s="1"/>
  <c r="L12" i="46" s="1"/>
  <c r="I18" i="46"/>
  <c r="AN9" i="46"/>
  <c r="AQ9" i="46" s="1"/>
  <c r="X13" i="31"/>
  <c r="AI13" i="31" s="1"/>
  <c r="D28" i="43" s="1"/>
  <c r="E28" i="43" s="1"/>
  <c r="G28" i="43" s="1"/>
  <c r="H28" i="43" s="1"/>
  <c r="I28" i="43" s="1"/>
  <c r="BX16" i="24"/>
  <c r="AU16" i="24" s="1"/>
  <c r="V20" i="9" s="1"/>
  <c r="BU16" i="24"/>
  <c r="AR16" i="24" s="1"/>
  <c r="S20" i="9" s="1"/>
  <c r="BW16" i="24"/>
  <c r="AT16" i="24" s="1"/>
  <c r="BT16" i="24"/>
  <c r="AQ16" i="24" s="1"/>
  <c r="BV16" i="24"/>
  <c r="AS16" i="24" s="1"/>
  <c r="T20" i="9" s="1"/>
  <c r="D141" i="27"/>
  <c r="D78" i="45"/>
  <c r="E140" i="27"/>
  <c r="E78" i="45" s="1"/>
  <c r="F50" i="41"/>
  <c r="C50" i="41"/>
  <c r="B51" i="41" s="1"/>
  <c r="J48" i="41"/>
  <c r="L48" i="41" s="1"/>
  <c r="AA61" i="25"/>
  <c r="S14" i="31"/>
  <c r="BS16" i="26"/>
  <c r="BR16" i="26"/>
  <c r="O30" i="26"/>
  <c r="R30" i="26"/>
  <c r="S30" i="26"/>
  <c r="U30" i="26" s="1"/>
  <c r="P31" i="26"/>
  <c r="Q31" i="26" s="1"/>
  <c r="AA18" i="9"/>
  <c r="Q18" i="9"/>
  <c r="N34" i="34"/>
  <c r="K34" i="34"/>
  <c r="M35" i="34"/>
  <c r="J36" i="34" s="1"/>
  <c r="L35" i="34"/>
  <c r="V30" i="26"/>
  <c r="Z29" i="26"/>
  <c r="AA29" i="26"/>
  <c r="X29" i="26"/>
  <c r="Y29" i="26"/>
  <c r="V222" i="37" l="1"/>
  <c r="Y77" i="37"/>
  <c r="X77" i="37"/>
  <c r="W77" i="37"/>
  <c r="U78" i="37"/>
  <c r="V224" i="37"/>
  <c r="T76" i="37"/>
  <c r="V217" i="37"/>
  <c r="BV16" i="26"/>
  <c r="AQ4" i="46"/>
  <c r="AS4" i="46"/>
  <c r="BJ8" i="46" s="1"/>
  <c r="BK8" i="46" s="1"/>
  <c r="S119" i="32"/>
  <c r="P120" i="32"/>
  <c r="R119" i="32"/>
  <c r="AQ6" i="46"/>
  <c r="AS6" i="46"/>
  <c r="AO6" i="46"/>
  <c r="AS5" i="46"/>
  <c r="AQ5" i="46"/>
  <c r="AO5" i="46"/>
  <c r="H49" i="41"/>
  <c r="J49" i="41" s="1"/>
  <c r="L49" i="41" s="1"/>
  <c r="D50" i="41"/>
  <c r="H50" i="41" s="1"/>
  <c r="AQ8" i="46"/>
  <c r="BD43" i="46" s="1"/>
  <c r="BE43" i="46" s="1"/>
  <c r="BF43" i="46" s="1"/>
  <c r="BG43" i="46" s="1"/>
  <c r="AS8" i="46"/>
  <c r="AO7" i="46"/>
  <c r="AS7" i="46"/>
  <c r="AQ7" i="46"/>
  <c r="AO9" i="46"/>
  <c r="AS9" i="46"/>
  <c r="AT9" i="46" s="1"/>
  <c r="AU9" i="46" s="1"/>
  <c r="BD61" i="46"/>
  <c r="BE61" i="46" s="1"/>
  <c r="BF61" i="46" s="1"/>
  <c r="BG61" i="46" s="1"/>
  <c r="BD60" i="46"/>
  <c r="BE60" i="46" s="1"/>
  <c r="BF60" i="46" s="1"/>
  <c r="BG60" i="46" s="1"/>
  <c r="BD59" i="46"/>
  <c r="BE59" i="46" s="1"/>
  <c r="BF59" i="46" s="1"/>
  <c r="BG59" i="46" s="1"/>
  <c r="BD57" i="46"/>
  <c r="BE57" i="46" s="1"/>
  <c r="BF57" i="46" s="1"/>
  <c r="BG57" i="46" s="1"/>
  <c r="BD54" i="46"/>
  <c r="BE54" i="46" s="1"/>
  <c r="BF54" i="46" s="1"/>
  <c r="BG54" i="46" s="1"/>
  <c r="BD52" i="46"/>
  <c r="BE52" i="46" s="1"/>
  <c r="BF52" i="46" s="1"/>
  <c r="BG52" i="46" s="1"/>
  <c r="BD62" i="46"/>
  <c r="BE62" i="46" s="1"/>
  <c r="BF62" i="46" s="1"/>
  <c r="BG62" i="46" s="1"/>
  <c r="BD63" i="46"/>
  <c r="BE63" i="46" s="1"/>
  <c r="BF63" i="46" s="1"/>
  <c r="BG63" i="46" s="1"/>
  <c r="BD55" i="46"/>
  <c r="BE55" i="46" s="1"/>
  <c r="BF55" i="46" s="1"/>
  <c r="BG55" i="46" s="1"/>
  <c r="BD58" i="46"/>
  <c r="BE58" i="46" s="1"/>
  <c r="BF58" i="46" s="1"/>
  <c r="BG58" i="46" s="1"/>
  <c r="BD50" i="46"/>
  <c r="BE50" i="46" s="1"/>
  <c r="BF50" i="46" s="1"/>
  <c r="BG50" i="46" s="1"/>
  <c r="BD56" i="46"/>
  <c r="BE56" i="46" s="1"/>
  <c r="BF56" i="46" s="1"/>
  <c r="BG56" i="46" s="1"/>
  <c r="BD53" i="46"/>
  <c r="BE53" i="46" s="1"/>
  <c r="BF53" i="46" s="1"/>
  <c r="BG53" i="46" s="1"/>
  <c r="F28" i="43"/>
  <c r="BU16" i="26"/>
  <c r="BT16" i="26"/>
  <c r="E141" i="27"/>
  <c r="E79" i="45" s="1"/>
  <c r="D142" i="27"/>
  <c r="D79" i="45"/>
  <c r="F51" i="41"/>
  <c r="C51" i="41"/>
  <c r="B52" i="41" s="1"/>
  <c r="BJ17" i="26"/>
  <c r="AY17" i="26"/>
  <c r="AX17" i="26"/>
  <c r="AA62" i="25"/>
  <c r="T14" i="31"/>
  <c r="U14" i="31"/>
  <c r="Y14" i="31"/>
  <c r="R18" i="9"/>
  <c r="AB18" i="9"/>
  <c r="U18" i="9" s="1"/>
  <c r="AJ18" i="9" s="1"/>
  <c r="AN18" i="9" s="1"/>
  <c r="R31" i="26"/>
  <c r="S31" i="26"/>
  <c r="U31" i="26" s="1"/>
  <c r="P32" i="26"/>
  <c r="Q32" i="26" s="1"/>
  <c r="O31" i="26"/>
  <c r="K35" i="34"/>
  <c r="N35" i="34"/>
  <c r="L36" i="34"/>
  <c r="M36" i="34"/>
  <c r="J37" i="34" s="1"/>
  <c r="Z30" i="26"/>
  <c r="Y30" i="26"/>
  <c r="Z31" i="26"/>
  <c r="X30" i="26"/>
  <c r="AA30" i="26"/>
  <c r="W30" i="26"/>
  <c r="V225" i="37" l="1"/>
  <c r="V220" i="37"/>
  <c r="V227" i="37"/>
  <c r="Y78" i="37"/>
  <c r="W78" i="37"/>
  <c r="X78" i="37"/>
  <c r="U79" i="37"/>
  <c r="T77" i="37"/>
  <c r="BD8" i="46"/>
  <c r="BE8" i="46" s="1"/>
  <c r="BF8" i="46" s="1"/>
  <c r="BG8" i="46" s="1"/>
  <c r="BD4" i="46"/>
  <c r="BE4" i="46" s="1"/>
  <c r="BF4" i="46" s="1"/>
  <c r="BG4" i="46" s="1"/>
  <c r="BH4" i="46" s="1"/>
  <c r="E50" i="41"/>
  <c r="BJ6" i="46"/>
  <c r="BK6" i="46" s="1"/>
  <c r="BD6" i="46"/>
  <c r="BE6" i="46" s="1"/>
  <c r="BF6" i="46" s="1"/>
  <c r="BG6" i="46" s="1"/>
  <c r="BJ7" i="46"/>
  <c r="BK7" i="46" s="1"/>
  <c r="BD5" i="46"/>
  <c r="BE5" i="46" s="1"/>
  <c r="BF5" i="46" s="1"/>
  <c r="BG5" i="46" s="1"/>
  <c r="BD7" i="46"/>
  <c r="BE7" i="46" s="1"/>
  <c r="BF7" i="46" s="1"/>
  <c r="BG7" i="46" s="1"/>
  <c r="BJ5" i="46"/>
  <c r="BK5" i="46" s="1"/>
  <c r="AT4" i="46"/>
  <c r="AU4" i="46" s="1"/>
  <c r="BJ4" i="46"/>
  <c r="BK4" i="46" s="1"/>
  <c r="BM4" i="46" s="1"/>
  <c r="BJ10" i="46"/>
  <c r="BK10" i="46" s="1"/>
  <c r="BJ13" i="46"/>
  <c r="BK13" i="46" s="1"/>
  <c r="BJ9" i="46"/>
  <c r="BK9" i="46" s="1"/>
  <c r="AT5" i="46"/>
  <c r="AU5" i="46" s="1"/>
  <c r="BJ12" i="46"/>
  <c r="BK12" i="46" s="1"/>
  <c r="BJ11" i="46"/>
  <c r="BK11" i="46" s="1"/>
  <c r="BJ15" i="46"/>
  <c r="BK15" i="46" s="1"/>
  <c r="BJ19" i="46"/>
  <c r="BK19" i="46" s="1"/>
  <c r="BJ20" i="46"/>
  <c r="BK20" i="46" s="1"/>
  <c r="BJ22" i="46"/>
  <c r="BK22" i="46" s="1"/>
  <c r="BJ21" i="46"/>
  <c r="BK21" i="46" s="1"/>
  <c r="BJ23" i="46"/>
  <c r="BK23" i="46" s="1"/>
  <c r="BJ18" i="46"/>
  <c r="BK18" i="46" s="1"/>
  <c r="BJ17" i="46"/>
  <c r="BK17" i="46" s="1"/>
  <c r="BJ16" i="46"/>
  <c r="BK16" i="46" s="1"/>
  <c r="BJ14" i="46"/>
  <c r="BK14" i="46" s="1"/>
  <c r="AT6" i="46"/>
  <c r="AU6" i="46" s="1"/>
  <c r="BD9" i="46"/>
  <c r="BE9" i="46" s="1"/>
  <c r="BF9" i="46" s="1"/>
  <c r="BG9" i="46" s="1"/>
  <c r="BD10" i="46"/>
  <c r="BE10" i="46" s="1"/>
  <c r="BF10" i="46" s="1"/>
  <c r="BG10" i="46" s="1"/>
  <c r="BD12" i="46"/>
  <c r="BE12" i="46" s="1"/>
  <c r="BF12" i="46" s="1"/>
  <c r="BG12" i="46" s="1"/>
  <c r="BD13" i="46"/>
  <c r="BE13" i="46" s="1"/>
  <c r="BF13" i="46" s="1"/>
  <c r="BG13" i="46" s="1"/>
  <c r="BD11" i="46"/>
  <c r="BE11" i="46" s="1"/>
  <c r="BF11" i="46" s="1"/>
  <c r="BG11" i="46" s="1"/>
  <c r="BD15" i="46"/>
  <c r="BE15" i="46" s="1"/>
  <c r="BF15" i="46" s="1"/>
  <c r="BG15" i="46" s="1"/>
  <c r="BD19" i="46"/>
  <c r="BE19" i="46" s="1"/>
  <c r="BF19" i="46" s="1"/>
  <c r="BG19" i="46" s="1"/>
  <c r="BD20" i="46"/>
  <c r="BE20" i="46" s="1"/>
  <c r="BF20" i="46" s="1"/>
  <c r="BG20" i="46" s="1"/>
  <c r="BD14" i="46"/>
  <c r="BE14" i="46" s="1"/>
  <c r="BF14" i="46" s="1"/>
  <c r="BG14" i="46" s="1"/>
  <c r="BD23" i="46"/>
  <c r="BE23" i="46" s="1"/>
  <c r="BF23" i="46" s="1"/>
  <c r="BG23" i="46" s="1"/>
  <c r="BD22" i="46"/>
  <c r="BE22" i="46" s="1"/>
  <c r="BF22" i="46" s="1"/>
  <c r="BG22" i="46" s="1"/>
  <c r="BD21" i="46"/>
  <c r="BE21" i="46" s="1"/>
  <c r="BF21" i="46" s="1"/>
  <c r="BG21" i="46" s="1"/>
  <c r="BD17" i="46"/>
  <c r="BE17" i="46" s="1"/>
  <c r="BF17" i="46" s="1"/>
  <c r="BG17" i="46" s="1"/>
  <c r="BD16" i="46"/>
  <c r="BE16" i="46" s="1"/>
  <c r="BF16" i="46" s="1"/>
  <c r="BG16" i="46" s="1"/>
  <c r="BD18" i="46"/>
  <c r="BE18" i="46" s="1"/>
  <c r="BF18" i="46" s="1"/>
  <c r="BG18" i="46" s="1"/>
  <c r="S120" i="32"/>
  <c r="P121" i="32"/>
  <c r="R120" i="32"/>
  <c r="BD51" i="46"/>
  <c r="BE51" i="46" s="1"/>
  <c r="BF51" i="46" s="1"/>
  <c r="BG51" i="46" s="1"/>
  <c r="BD49" i="46"/>
  <c r="BE49" i="46" s="1"/>
  <c r="BF49" i="46" s="1"/>
  <c r="BG49" i="46" s="1"/>
  <c r="BJ34" i="46"/>
  <c r="BK34" i="46" s="1"/>
  <c r="AF18" i="9"/>
  <c r="BC17" i="26"/>
  <c r="AI18" i="9"/>
  <c r="AL18" i="9" s="1"/>
  <c r="BD47" i="46"/>
  <c r="BE47" i="46" s="1"/>
  <c r="BF47" i="46" s="1"/>
  <c r="BG47" i="46" s="1"/>
  <c r="BD45" i="46"/>
  <c r="BE45" i="46" s="1"/>
  <c r="BF45" i="46" s="1"/>
  <c r="BG45" i="46" s="1"/>
  <c r="BD37" i="46"/>
  <c r="BE37" i="46" s="1"/>
  <c r="BF37" i="46" s="1"/>
  <c r="BG37" i="46" s="1"/>
  <c r="BD40" i="46"/>
  <c r="BE40" i="46" s="1"/>
  <c r="BF40" i="46" s="1"/>
  <c r="BG40" i="46" s="1"/>
  <c r="BJ45" i="46"/>
  <c r="BK45" i="46" s="1"/>
  <c r="AT8" i="46"/>
  <c r="AU8" i="46" s="1"/>
  <c r="BD41" i="46"/>
  <c r="BE41" i="46" s="1"/>
  <c r="BF41" i="46" s="1"/>
  <c r="BG41" i="46" s="1"/>
  <c r="BD48" i="46"/>
  <c r="BE48" i="46" s="1"/>
  <c r="BF48" i="46" s="1"/>
  <c r="BG48" i="46" s="1"/>
  <c r="BD42" i="46"/>
  <c r="BE42" i="46" s="1"/>
  <c r="BF42" i="46" s="1"/>
  <c r="BG42" i="46" s="1"/>
  <c r="BJ40" i="46"/>
  <c r="BK40" i="46" s="1"/>
  <c r="BJ61" i="46"/>
  <c r="BK61" i="46" s="1"/>
  <c r="BJ50" i="46"/>
  <c r="BK50" i="46" s="1"/>
  <c r="BD38" i="46"/>
  <c r="BE38" i="46" s="1"/>
  <c r="BF38" i="46" s="1"/>
  <c r="BG38" i="46" s="1"/>
  <c r="BJ41" i="46"/>
  <c r="BK41" i="46" s="1"/>
  <c r="BD44" i="46"/>
  <c r="BE44" i="46" s="1"/>
  <c r="BF44" i="46" s="1"/>
  <c r="BG44" i="46" s="1"/>
  <c r="BD39" i="46"/>
  <c r="BE39" i="46" s="1"/>
  <c r="BF39" i="46" s="1"/>
  <c r="BG39" i="46" s="1"/>
  <c r="BJ48" i="46"/>
  <c r="BK48" i="46" s="1"/>
  <c r="BJ37" i="46"/>
  <c r="BK37" i="46" s="1"/>
  <c r="BD46" i="46"/>
  <c r="BE46" i="46" s="1"/>
  <c r="BF46" i="46" s="1"/>
  <c r="BG46" i="46" s="1"/>
  <c r="BJ39" i="46"/>
  <c r="BK39" i="46" s="1"/>
  <c r="BJ36" i="46"/>
  <c r="BK36" i="46" s="1"/>
  <c r="BJ43" i="46"/>
  <c r="BK43" i="46" s="1"/>
  <c r="BJ46" i="46"/>
  <c r="BK46" i="46" s="1"/>
  <c r="BD36" i="46"/>
  <c r="BE36" i="46" s="1"/>
  <c r="BF36" i="46" s="1"/>
  <c r="BG36" i="46" s="1"/>
  <c r="BD35" i="46"/>
  <c r="BE35" i="46" s="1"/>
  <c r="BF35" i="46" s="1"/>
  <c r="BG35" i="46" s="1"/>
  <c r="BJ44" i="46"/>
  <c r="BK44" i="46" s="1"/>
  <c r="BJ38" i="46"/>
  <c r="BK38" i="46" s="1"/>
  <c r="BD34" i="46"/>
  <c r="BE34" i="46" s="1"/>
  <c r="BF34" i="46" s="1"/>
  <c r="BG34" i="46" s="1"/>
  <c r="BJ42" i="46"/>
  <c r="BK42" i="46" s="1"/>
  <c r="BJ47" i="46"/>
  <c r="BK47" i="46" s="1"/>
  <c r="BJ35" i="46"/>
  <c r="BK35" i="46" s="1"/>
  <c r="BD33" i="46"/>
  <c r="BE33" i="46" s="1"/>
  <c r="BF33" i="46" s="1"/>
  <c r="BG33" i="46" s="1"/>
  <c r="BD29" i="46"/>
  <c r="BE29" i="46" s="1"/>
  <c r="BF29" i="46" s="1"/>
  <c r="BG29" i="46" s="1"/>
  <c r="BD31" i="46"/>
  <c r="BE31" i="46" s="1"/>
  <c r="BF31" i="46" s="1"/>
  <c r="BG31" i="46" s="1"/>
  <c r="BD28" i="46"/>
  <c r="BE28" i="46" s="1"/>
  <c r="BF28" i="46" s="1"/>
  <c r="BG28" i="46" s="1"/>
  <c r="BD26" i="46"/>
  <c r="BE26" i="46" s="1"/>
  <c r="BF26" i="46" s="1"/>
  <c r="BG26" i="46" s="1"/>
  <c r="BD24" i="46"/>
  <c r="BE24" i="46" s="1"/>
  <c r="BF24" i="46" s="1"/>
  <c r="BG24" i="46" s="1"/>
  <c r="BD32" i="46"/>
  <c r="BE32" i="46" s="1"/>
  <c r="BF32" i="46" s="1"/>
  <c r="BG32" i="46" s="1"/>
  <c r="BD25" i="46"/>
  <c r="BE25" i="46" s="1"/>
  <c r="BF25" i="46" s="1"/>
  <c r="BG25" i="46" s="1"/>
  <c r="BD27" i="46"/>
  <c r="BE27" i="46" s="1"/>
  <c r="BF27" i="46" s="1"/>
  <c r="BG27" i="46" s="1"/>
  <c r="BD30" i="46"/>
  <c r="BE30" i="46" s="1"/>
  <c r="BF30" i="46" s="1"/>
  <c r="BG30" i="46" s="1"/>
  <c r="BJ27" i="46"/>
  <c r="BK27" i="46" s="1"/>
  <c r="BJ33" i="46"/>
  <c r="BK33" i="46" s="1"/>
  <c r="AT7" i="46"/>
  <c r="AU7" i="46" s="1"/>
  <c r="BJ32" i="46"/>
  <c r="BK32" i="46" s="1"/>
  <c r="BJ30" i="46"/>
  <c r="BK30" i="46" s="1"/>
  <c r="BJ29" i="46"/>
  <c r="BK29" i="46" s="1"/>
  <c r="BJ25" i="46"/>
  <c r="BK25" i="46" s="1"/>
  <c r="BJ24" i="46"/>
  <c r="BK24" i="46" s="1"/>
  <c r="BJ28" i="46"/>
  <c r="BK28" i="46" s="1"/>
  <c r="BJ31" i="46"/>
  <c r="BK31" i="46" s="1"/>
  <c r="BJ26" i="46"/>
  <c r="BK26" i="46" s="1"/>
  <c r="BJ62" i="46"/>
  <c r="BK62" i="46" s="1"/>
  <c r="BJ56" i="46"/>
  <c r="BK56" i="46" s="1"/>
  <c r="BJ49" i="46"/>
  <c r="BK49" i="46" s="1"/>
  <c r="BJ57" i="46"/>
  <c r="BK57" i="46" s="1"/>
  <c r="BJ55" i="46"/>
  <c r="BK55" i="46" s="1"/>
  <c r="BJ51" i="46"/>
  <c r="BK51" i="46" s="1"/>
  <c r="BJ60" i="46"/>
  <c r="BK60" i="46" s="1"/>
  <c r="BJ58" i="46"/>
  <c r="BK58" i="46" s="1"/>
  <c r="BJ59" i="46"/>
  <c r="BK59" i="46" s="1"/>
  <c r="BJ54" i="46"/>
  <c r="BK54" i="46" s="1"/>
  <c r="BJ52" i="46"/>
  <c r="BK52" i="46" s="1"/>
  <c r="BJ53" i="46"/>
  <c r="BK53" i="46" s="1"/>
  <c r="BJ63" i="46"/>
  <c r="BK63" i="46" s="1"/>
  <c r="J50" i="41"/>
  <c r="L50" i="41" s="1"/>
  <c r="E142" i="27"/>
  <c r="E80" i="45" s="1"/>
  <c r="D143" i="27"/>
  <c r="D80" i="45"/>
  <c r="R4" i="45" s="1"/>
  <c r="D51" i="41"/>
  <c r="E51" i="41" s="1"/>
  <c r="C52" i="41"/>
  <c r="B53" i="41" s="1"/>
  <c r="F52" i="41"/>
  <c r="BA17" i="26"/>
  <c r="BD17" i="26"/>
  <c r="BI17" i="26"/>
  <c r="BL17" i="26"/>
  <c r="BE17" i="26"/>
  <c r="BK17" i="26"/>
  <c r="AZ17" i="26"/>
  <c r="AV18" i="26"/>
  <c r="AW18" i="26" s="1"/>
  <c r="BH17" i="26"/>
  <c r="BB17" i="26"/>
  <c r="BF17" i="26"/>
  <c r="BG17" i="26"/>
  <c r="AU17" i="26"/>
  <c r="AA63" i="25"/>
  <c r="U9" i="25" s="1"/>
  <c r="BD36" i="35"/>
  <c r="AF22" i="35"/>
  <c r="AD35" i="35"/>
  <c r="AS25" i="35"/>
  <c r="AR37" i="35"/>
  <c r="BE27" i="35"/>
  <c r="AS31" i="35"/>
  <c r="BD33" i="35"/>
  <c r="AR30" i="35"/>
  <c r="AQ24" i="35"/>
  <c r="AD21" i="35"/>
  <c r="BE26" i="35"/>
  <c r="BF29" i="35"/>
  <c r="AS24" i="35"/>
  <c r="AS21" i="35"/>
  <c r="BD24" i="35"/>
  <c r="BD26" i="35"/>
  <c r="AF25" i="35"/>
  <c r="BF30" i="35"/>
  <c r="AF30" i="35"/>
  <c r="AE23" i="35"/>
  <c r="BF24" i="35"/>
  <c r="BF31" i="35"/>
  <c r="AQ23" i="35"/>
  <c r="BE35" i="35"/>
  <c r="AS27" i="35"/>
  <c r="AR36" i="35"/>
  <c r="AE28" i="35"/>
  <c r="BF26" i="35"/>
  <c r="AR33" i="35"/>
  <c r="BD25" i="35"/>
  <c r="BE34" i="35"/>
  <c r="AR26" i="35"/>
  <c r="AF28" i="35"/>
  <c r="AF26" i="35"/>
  <c r="AD23" i="35"/>
  <c r="BD29" i="35"/>
  <c r="AE26" i="35"/>
  <c r="BE22" i="35"/>
  <c r="AR29" i="35"/>
  <c r="AQ28" i="35"/>
  <c r="BE28" i="35"/>
  <c r="AS30" i="35"/>
  <c r="BD28" i="35"/>
  <c r="AE37" i="35"/>
  <c r="BE31" i="35"/>
  <c r="AE36" i="35"/>
  <c r="BD34" i="35"/>
  <c r="AF37" i="35"/>
  <c r="AD27" i="35"/>
  <c r="AD31" i="35"/>
  <c r="AR31" i="35"/>
  <c r="AQ31" i="35"/>
  <c r="AD24" i="35"/>
  <c r="AD37" i="35"/>
  <c r="AE30" i="35"/>
  <c r="BF34" i="35"/>
  <c r="BF36" i="35"/>
  <c r="AF27" i="35"/>
  <c r="AF29" i="35"/>
  <c r="BD23" i="35"/>
  <c r="BF32" i="35"/>
  <c r="AS23" i="35"/>
  <c r="AQ27" i="35"/>
  <c r="AR24" i="35"/>
  <c r="AS36" i="35"/>
  <c r="AQ33" i="35"/>
  <c r="BD31" i="35"/>
  <c r="BD22" i="35"/>
  <c r="BE29" i="35"/>
  <c r="AQ30" i="35"/>
  <c r="AE21" i="35"/>
  <c r="BF23" i="35"/>
  <c r="AF32" i="35"/>
  <c r="AE25" i="35"/>
  <c r="AQ34" i="35"/>
  <c r="BF37" i="35"/>
  <c r="BE24" i="35"/>
  <c r="AR35" i="35"/>
  <c r="AD34" i="35"/>
  <c r="AE24" i="35"/>
  <c r="BF33" i="35"/>
  <c r="AR28" i="35"/>
  <c r="AQ36" i="35"/>
  <c r="AD36" i="35"/>
  <c r="BF22" i="35"/>
  <c r="AF34" i="35"/>
  <c r="AS34" i="35"/>
  <c r="AR21" i="35"/>
  <c r="AQ35" i="35"/>
  <c r="AD33" i="35"/>
  <c r="AQ21" i="35"/>
  <c r="AR25" i="35"/>
  <c r="AE22" i="35"/>
  <c r="AS37" i="35"/>
  <c r="AF23" i="35"/>
  <c r="BD37" i="35"/>
  <c r="AQ32" i="35"/>
  <c r="BE30" i="35"/>
  <c r="AE31" i="35"/>
  <c r="AD22" i="35"/>
  <c r="AF36" i="35"/>
  <c r="BE32" i="35"/>
  <c r="AF21" i="35"/>
  <c r="BE23" i="35"/>
  <c r="AD30" i="35"/>
  <c r="AR23" i="35"/>
  <c r="BF35" i="35"/>
  <c r="AD25" i="35"/>
  <c r="AQ22" i="35"/>
  <c r="AS29" i="35"/>
  <c r="BD32" i="35"/>
  <c r="AR32" i="35"/>
  <c r="BE33" i="35"/>
  <c r="BF28" i="35"/>
  <c r="BD35" i="35"/>
  <c r="AE33" i="35"/>
  <c r="AR27" i="35"/>
  <c r="AS35" i="35"/>
  <c r="AS28" i="35"/>
  <c r="AE32" i="35"/>
  <c r="AS22" i="35"/>
  <c r="AS33" i="35"/>
  <c r="AE35" i="35"/>
  <c r="AF24" i="35"/>
  <c r="AD26" i="35"/>
  <c r="AF35" i="35"/>
  <c r="BF27" i="35"/>
  <c r="AR22" i="35"/>
  <c r="BD30" i="35"/>
  <c r="BD27" i="35"/>
  <c r="BE36" i="35"/>
  <c r="AE34" i="35"/>
  <c r="AR34" i="35"/>
  <c r="AF33" i="35"/>
  <c r="AQ25" i="35"/>
  <c r="AE27" i="35"/>
  <c r="AQ26" i="35"/>
  <c r="BF25" i="35"/>
  <c r="AQ37" i="35"/>
  <c r="AS32" i="35"/>
  <c r="AQ29" i="35"/>
  <c r="BE37" i="35"/>
  <c r="AD29" i="35"/>
  <c r="AF31" i="35"/>
  <c r="AD32" i="35"/>
  <c r="AE29" i="35"/>
  <c r="AD28" i="35"/>
  <c r="AS26" i="35"/>
  <c r="BE25" i="35"/>
  <c r="Q15" i="31"/>
  <c r="W14" i="31"/>
  <c r="AB14" i="31"/>
  <c r="AG14" i="31"/>
  <c r="C29" i="43" s="1"/>
  <c r="BV17" i="26"/>
  <c r="O32" i="26"/>
  <c r="R32" i="26"/>
  <c r="S32" i="26"/>
  <c r="U32" i="26" s="1"/>
  <c r="P33" i="26"/>
  <c r="Q33" i="26" s="1"/>
  <c r="Q19" i="9"/>
  <c r="AA19" i="9"/>
  <c r="L37" i="34"/>
  <c r="M37" i="34"/>
  <c r="J38" i="34" s="1"/>
  <c r="N36" i="34"/>
  <c r="K36" i="34"/>
  <c r="Y31" i="26"/>
  <c r="W31" i="26"/>
  <c r="X31" i="26"/>
  <c r="Z32" i="26"/>
  <c r="V32" i="26"/>
  <c r="AA31" i="26"/>
  <c r="V31" i="26"/>
  <c r="Y79" i="37" l="1"/>
  <c r="X79" i="37"/>
  <c r="W79" i="37"/>
  <c r="T79" i="37" s="1"/>
  <c r="U80" i="37"/>
  <c r="T78" i="37"/>
  <c r="V230" i="37"/>
  <c r="V228" i="37"/>
  <c r="V223" i="37"/>
  <c r="AO12" i="25"/>
  <c r="AQ12" i="25" s="1"/>
  <c r="AO13" i="25"/>
  <c r="AQ13" i="25" s="1"/>
  <c r="BR17" i="26"/>
  <c r="BS17" i="26"/>
  <c r="BU17" i="26"/>
  <c r="BH5" i="46"/>
  <c r="BH6" i="46" s="1"/>
  <c r="BH7" i="46" s="1"/>
  <c r="BH8" i="46" s="1"/>
  <c r="BH9" i="46" s="1"/>
  <c r="BH10" i="46" s="1"/>
  <c r="BH11" i="46" s="1"/>
  <c r="BH12" i="46" s="1"/>
  <c r="BH13" i="46" s="1"/>
  <c r="BH14" i="46" s="1"/>
  <c r="BH15" i="46" s="1"/>
  <c r="BH16" i="46" s="1"/>
  <c r="BH17" i="46" s="1"/>
  <c r="BH18" i="46" s="1"/>
  <c r="BH19" i="46" s="1"/>
  <c r="BH20" i="46" s="1"/>
  <c r="BH21" i="46" s="1"/>
  <c r="BH22" i="46" s="1"/>
  <c r="BH23" i="46" s="1"/>
  <c r="BH24" i="46" s="1"/>
  <c r="BH25" i="46" s="1"/>
  <c r="BH26" i="46" s="1"/>
  <c r="BH27" i="46" s="1"/>
  <c r="BH28" i="46" s="1"/>
  <c r="BH29" i="46" s="1"/>
  <c r="BH30" i="46" s="1"/>
  <c r="BH31" i="46" s="1"/>
  <c r="BH32" i="46" s="1"/>
  <c r="BH33" i="46" s="1"/>
  <c r="BM5" i="46"/>
  <c r="BM6" i="46" s="1"/>
  <c r="BM7" i="46" s="1"/>
  <c r="BM8" i="46" s="1"/>
  <c r="BM9" i="46" s="1"/>
  <c r="BM10" i="46" s="1"/>
  <c r="BM11" i="46" s="1"/>
  <c r="BM12" i="46" s="1"/>
  <c r="BM13" i="46" s="1"/>
  <c r="BM14" i="46" s="1"/>
  <c r="BM15" i="46" s="1"/>
  <c r="BM16" i="46" s="1"/>
  <c r="BM17" i="46" s="1"/>
  <c r="BM18" i="46" s="1"/>
  <c r="BM19" i="46" s="1"/>
  <c r="BM20" i="46" s="1"/>
  <c r="BM21" i="46" s="1"/>
  <c r="BM22" i="46" s="1"/>
  <c r="BM23" i="46" s="1"/>
  <c r="BM24" i="46" s="1"/>
  <c r="BM25" i="46" s="1"/>
  <c r="BM26" i="46" s="1"/>
  <c r="BM27" i="46" s="1"/>
  <c r="BM28" i="46" s="1"/>
  <c r="BM29" i="46" s="1"/>
  <c r="BM30" i="46" s="1"/>
  <c r="BM31" i="46" s="1"/>
  <c r="BM32" i="46" s="1"/>
  <c r="BM33" i="46" s="1"/>
  <c r="S121" i="32"/>
  <c r="R121" i="32"/>
  <c r="P122" i="32"/>
  <c r="AB63" i="25"/>
  <c r="H51" i="41"/>
  <c r="AK18" i="9"/>
  <c r="AM18" i="9"/>
  <c r="BT17" i="26"/>
  <c r="E143" i="27"/>
  <c r="E81" i="45" s="1"/>
  <c r="D144" i="27"/>
  <c r="D81" i="45"/>
  <c r="D52" i="41"/>
  <c r="E52" i="41" s="1"/>
  <c r="F53" i="41"/>
  <c r="C53" i="41"/>
  <c r="B54" i="41" s="1"/>
  <c r="AB4" i="45"/>
  <c r="S4" i="45"/>
  <c r="T4" i="45"/>
  <c r="BJ18" i="26"/>
  <c r="AX18" i="26"/>
  <c r="AY18" i="26"/>
  <c r="X14" i="31"/>
  <c r="AI14" i="31" s="1"/>
  <c r="D29" i="43" s="1"/>
  <c r="E29" i="43" s="1"/>
  <c r="G29" i="43" s="1"/>
  <c r="H29" i="43" s="1"/>
  <c r="I29" i="43" s="1"/>
  <c r="Z14" i="31"/>
  <c r="AA14" i="31" s="1"/>
  <c r="S15" i="31"/>
  <c r="R15" i="31"/>
  <c r="D84" i="9"/>
  <c r="AG18" i="9"/>
  <c r="AS8" i="9"/>
  <c r="R19" i="9"/>
  <c r="AB19" i="9"/>
  <c r="U19" i="9" s="1"/>
  <c r="AJ19" i="9" s="1"/>
  <c r="AN19" i="9" s="1"/>
  <c r="S33" i="26"/>
  <c r="U33" i="26" s="1"/>
  <c r="P34" i="26"/>
  <c r="Q34" i="26" s="1"/>
  <c r="O33" i="26"/>
  <c r="R33" i="26"/>
  <c r="K37" i="34"/>
  <c r="M38" i="34"/>
  <c r="J39" i="34" s="1"/>
  <c r="L38" i="34"/>
  <c r="N37" i="34"/>
  <c r="Y32" i="26"/>
  <c r="AA32" i="26"/>
  <c r="X32" i="26"/>
  <c r="AA33" i="26"/>
  <c r="W32" i="26"/>
  <c r="V226" i="37" l="1"/>
  <c r="V231" i="37"/>
  <c r="V233" i="37"/>
  <c r="Y80" i="37"/>
  <c r="X80" i="37"/>
  <c r="W80" i="37"/>
  <c r="T80" i="37" s="1"/>
  <c r="U81" i="37"/>
  <c r="S122" i="32"/>
  <c r="P123" i="32"/>
  <c r="R122" i="32"/>
  <c r="AF19" i="9"/>
  <c r="X4" i="45"/>
  <c r="J51" i="41"/>
  <c r="L51" i="41" s="1"/>
  <c r="D53" i="41"/>
  <c r="E53" i="41" s="1"/>
  <c r="AI19" i="9"/>
  <c r="AL19" i="9" s="1"/>
  <c r="K16" i="46"/>
  <c r="M16" i="46" s="1"/>
  <c r="O16" i="46" s="1"/>
  <c r="BM34" i="46"/>
  <c r="BM35" i="46" s="1"/>
  <c r="BM36" i="46" s="1"/>
  <c r="BM37" i="46" s="1"/>
  <c r="BM38" i="46" s="1"/>
  <c r="BM39" i="46" s="1"/>
  <c r="BM40" i="46" s="1"/>
  <c r="BM41" i="46" s="1"/>
  <c r="BM42" i="46" s="1"/>
  <c r="BM43" i="46" s="1"/>
  <c r="BM44" i="46" s="1"/>
  <c r="BM45" i="46" s="1"/>
  <c r="BM46" i="46" s="1"/>
  <c r="BM47" i="46" s="1"/>
  <c r="BM48" i="46" s="1"/>
  <c r="J16" i="46"/>
  <c r="L16" i="46" s="1"/>
  <c r="N16" i="46" s="1"/>
  <c r="BH34" i="46"/>
  <c r="BH35" i="46" s="1"/>
  <c r="BH36" i="46" s="1"/>
  <c r="BH37" i="46" s="1"/>
  <c r="BH38" i="46" s="1"/>
  <c r="BH39" i="46" s="1"/>
  <c r="BH40" i="46" s="1"/>
  <c r="BH41" i="46" s="1"/>
  <c r="BH42" i="46" s="1"/>
  <c r="BH43" i="46" s="1"/>
  <c r="BH44" i="46" s="1"/>
  <c r="BH45" i="46" s="1"/>
  <c r="BH46" i="46" s="1"/>
  <c r="BH47" i="46" s="1"/>
  <c r="BH48" i="46" s="1"/>
  <c r="C54" i="41"/>
  <c r="B55" i="41" s="1"/>
  <c r="F54" i="41"/>
  <c r="H52" i="41"/>
  <c r="D145" i="27"/>
  <c r="D82" i="45"/>
  <c r="E144" i="27"/>
  <c r="E82" i="45" s="1"/>
  <c r="AU18" i="26"/>
  <c r="BI18" i="26"/>
  <c r="BB18" i="26"/>
  <c r="BH18" i="26"/>
  <c r="BA18" i="26"/>
  <c r="BD18" i="26"/>
  <c r="BC18" i="26"/>
  <c r="AV19" i="26"/>
  <c r="AW19" i="26" s="1"/>
  <c r="BK18" i="26"/>
  <c r="BL18" i="26"/>
  <c r="BF18" i="26"/>
  <c r="AZ18" i="26"/>
  <c r="BG18" i="26"/>
  <c r="BE18" i="26"/>
  <c r="AO32" i="25"/>
  <c r="AO33" i="25"/>
  <c r="AO11" i="25"/>
  <c r="AO21" i="25"/>
  <c r="AO22" i="25"/>
  <c r="AO23" i="25"/>
  <c r="AO31" i="25"/>
  <c r="F29" i="43"/>
  <c r="AH14" i="31"/>
  <c r="CA19" i="24"/>
  <c r="AX19" i="24" s="1"/>
  <c r="BZ19" i="24"/>
  <c r="AW19" i="24" s="1"/>
  <c r="AV19" i="24"/>
  <c r="AV28" i="24"/>
  <c r="BZ28" i="24"/>
  <c r="AW28" i="24" s="1"/>
  <c r="CA28" i="24"/>
  <c r="AX28" i="24" s="1"/>
  <c r="AV29" i="24"/>
  <c r="BZ29" i="24"/>
  <c r="AW29" i="24" s="1"/>
  <c r="CA29" i="24"/>
  <c r="AX29" i="24" s="1"/>
  <c r="AV17" i="24"/>
  <c r="BZ17" i="24"/>
  <c r="AW17" i="24" s="1"/>
  <c r="CA17" i="24"/>
  <c r="AX17" i="24" s="1"/>
  <c r="BZ7" i="24"/>
  <c r="AW7" i="24" s="1"/>
  <c r="AV7" i="24"/>
  <c r="CA7" i="24"/>
  <c r="AX7" i="24" s="1"/>
  <c r="CA8" i="24"/>
  <c r="AX8" i="24" s="1"/>
  <c r="AV8" i="24"/>
  <c r="BZ8" i="24"/>
  <c r="AW8" i="24" s="1"/>
  <c r="AV18" i="24"/>
  <c r="BZ18" i="24"/>
  <c r="AW18" i="24" s="1"/>
  <c r="CA18" i="24"/>
  <c r="AX18" i="24" s="1"/>
  <c r="BZ23" i="24"/>
  <c r="AW23" i="24" s="1"/>
  <c r="CA23" i="24"/>
  <c r="AX23" i="24" s="1"/>
  <c r="AV23" i="24"/>
  <c r="BZ9" i="24"/>
  <c r="AW9" i="24" s="1"/>
  <c r="AV9" i="24"/>
  <c r="CA9" i="24"/>
  <c r="AX9" i="24" s="1"/>
  <c r="BZ33" i="24"/>
  <c r="AW33" i="24" s="1"/>
  <c r="CA33" i="24"/>
  <c r="AX33" i="24" s="1"/>
  <c r="AV33" i="24"/>
  <c r="AV27" i="24"/>
  <c r="BZ27" i="24"/>
  <c r="AW27" i="24" s="1"/>
  <c r="CA27" i="24"/>
  <c r="AX27" i="24" s="1"/>
  <c r="CA13" i="24"/>
  <c r="AX13" i="24" s="1"/>
  <c r="BZ13" i="24"/>
  <c r="AW13" i="24" s="1"/>
  <c r="AV13" i="24"/>
  <c r="Y15" i="31"/>
  <c r="T15" i="31"/>
  <c r="U15" i="31"/>
  <c r="O34" i="26"/>
  <c r="R34" i="26"/>
  <c r="S34" i="26"/>
  <c r="U34" i="26" s="1"/>
  <c r="P35" i="26"/>
  <c r="Q35" i="26" s="1"/>
  <c r="N38" i="34"/>
  <c r="K38" i="34"/>
  <c r="L39" i="34"/>
  <c r="M39" i="34"/>
  <c r="J40" i="34" s="1"/>
  <c r="Y33" i="26"/>
  <c r="Z34" i="26"/>
  <c r="Y4" i="45"/>
  <c r="X33" i="26"/>
  <c r="Z33" i="26"/>
  <c r="W33" i="26"/>
  <c r="V33" i="26"/>
  <c r="X81" i="37" l="1"/>
  <c r="W81" i="37"/>
  <c r="T81" i="37" s="1"/>
  <c r="Y81" i="37"/>
  <c r="U82" i="37"/>
  <c r="V234" i="37"/>
  <c r="V229" i="37"/>
  <c r="R123" i="32"/>
  <c r="S123" i="32"/>
  <c r="BJ4" i="45"/>
  <c r="AM19" i="9"/>
  <c r="D54" i="41"/>
  <c r="E54" i="41" s="1"/>
  <c r="H53" i="41"/>
  <c r="J53" i="41" s="1"/>
  <c r="L53" i="41" s="1"/>
  <c r="AK19" i="9"/>
  <c r="J17" i="46"/>
  <c r="L17" i="46" s="1"/>
  <c r="N17" i="46" s="1"/>
  <c r="BH49" i="46"/>
  <c r="BH50" i="46" s="1"/>
  <c r="BH51" i="46" s="1"/>
  <c r="BH52" i="46" s="1"/>
  <c r="BH53" i="46" s="1"/>
  <c r="BH54" i="46" s="1"/>
  <c r="BH55" i="46" s="1"/>
  <c r="BH56" i="46" s="1"/>
  <c r="BH57" i="46" s="1"/>
  <c r="BH58" i="46" s="1"/>
  <c r="BH59" i="46" s="1"/>
  <c r="BH60" i="46" s="1"/>
  <c r="BH61" i="46" s="1"/>
  <c r="BH62" i="46" s="1"/>
  <c r="BH63" i="46" s="1"/>
  <c r="J18" i="46" s="1"/>
  <c r="L18" i="46" s="1"/>
  <c r="N18" i="46" s="1"/>
  <c r="K17" i="46"/>
  <c r="M17" i="46" s="1"/>
  <c r="O17" i="46" s="1"/>
  <c r="BM49" i="46"/>
  <c r="BM50" i="46" s="1"/>
  <c r="BM51" i="46" s="1"/>
  <c r="BM52" i="46" s="1"/>
  <c r="BM53" i="46" s="1"/>
  <c r="BM54" i="46" s="1"/>
  <c r="BM55" i="46" s="1"/>
  <c r="BM56" i="46" s="1"/>
  <c r="BM57" i="46" s="1"/>
  <c r="BM58" i="46" s="1"/>
  <c r="BM59" i="46" s="1"/>
  <c r="BM60" i="46" s="1"/>
  <c r="BM61" i="46" s="1"/>
  <c r="BM62" i="46" s="1"/>
  <c r="BM63" i="46" s="1"/>
  <c r="K18" i="46" s="1"/>
  <c r="M18" i="46" s="1"/>
  <c r="O18" i="46" s="1"/>
  <c r="BS18" i="26"/>
  <c r="BU18" i="26"/>
  <c r="BR18" i="26"/>
  <c r="BT18" i="26"/>
  <c r="BV18" i="26"/>
  <c r="C55" i="41"/>
  <c r="B56" i="41" s="1"/>
  <c r="F55" i="41"/>
  <c r="D83" i="45"/>
  <c r="E145" i="27"/>
  <c r="E83" i="45" s="1"/>
  <c r="D146" i="27"/>
  <c r="J52" i="41"/>
  <c r="L52" i="41" s="1"/>
  <c r="AX19" i="26"/>
  <c r="AY19" i="26"/>
  <c r="BJ19" i="26" s="1"/>
  <c r="Y17" i="9"/>
  <c r="U17" i="9" s="1"/>
  <c r="AJ17" i="9" s="1"/>
  <c r="AN17" i="9" s="1"/>
  <c r="W13" i="9"/>
  <c r="Q13" i="9" s="1"/>
  <c r="X12" i="9"/>
  <c r="R12" i="9" s="1"/>
  <c r="W21" i="9"/>
  <c r="X23" i="9"/>
  <c r="Y31" i="9"/>
  <c r="X13" i="9"/>
  <c r="R13" i="9" s="1"/>
  <c r="W12" i="9"/>
  <c r="Q12" i="9" s="1"/>
  <c r="Y33" i="9"/>
  <c r="Y23" i="9"/>
  <c r="X31" i="9"/>
  <c r="W27" i="9"/>
  <c r="Y12" i="9"/>
  <c r="U12" i="9" s="1"/>
  <c r="AJ12" i="9" s="1"/>
  <c r="AN12" i="9" s="1"/>
  <c r="X33" i="9"/>
  <c r="W31" i="9"/>
  <c r="Y27" i="9"/>
  <c r="Y11" i="9"/>
  <c r="U11" i="9" s="1"/>
  <c r="AJ11" i="9" s="1"/>
  <c r="AN11" i="9" s="1"/>
  <c r="W33" i="9"/>
  <c r="W37" i="9"/>
  <c r="X27" i="9"/>
  <c r="W11" i="9"/>
  <c r="Q11" i="9" s="1"/>
  <c r="Y32" i="9"/>
  <c r="Y37" i="9"/>
  <c r="Y22" i="9"/>
  <c r="X11" i="9"/>
  <c r="R11" i="9" s="1"/>
  <c r="X32" i="9"/>
  <c r="W17" i="9"/>
  <c r="Q17" i="9" s="1"/>
  <c r="X37" i="9"/>
  <c r="X22" i="9"/>
  <c r="Y21" i="9"/>
  <c r="W32" i="9"/>
  <c r="X17" i="9"/>
  <c r="R17" i="9" s="1"/>
  <c r="Y13" i="9"/>
  <c r="U13" i="9" s="1"/>
  <c r="AJ13" i="9" s="1"/>
  <c r="AN13" i="9" s="1"/>
  <c r="W22" i="9"/>
  <c r="X21" i="9"/>
  <c r="W23" i="9"/>
  <c r="AG15" i="31"/>
  <c r="C30" i="43" s="1"/>
  <c r="AQ33" i="25"/>
  <c r="AQ11" i="25"/>
  <c r="AQ32" i="25"/>
  <c r="AQ21" i="25"/>
  <c r="AQ22" i="25"/>
  <c r="AQ23" i="25"/>
  <c r="AQ31" i="25"/>
  <c r="Q16" i="31"/>
  <c r="S16" i="31" s="1"/>
  <c r="W15" i="31"/>
  <c r="AB15" i="31"/>
  <c r="O35" i="26"/>
  <c r="R35" i="26"/>
  <c r="S35" i="26"/>
  <c r="U35" i="26" s="1"/>
  <c r="P36" i="26"/>
  <c r="Q36" i="26" s="1"/>
  <c r="AS9" i="9"/>
  <c r="D85" i="9"/>
  <c r="AG19" i="9"/>
  <c r="N39" i="34"/>
  <c r="M40" i="34"/>
  <c r="J41" i="34" s="1"/>
  <c r="L40" i="34"/>
  <c r="K39" i="34"/>
  <c r="X34" i="26"/>
  <c r="V34" i="26"/>
  <c r="W34" i="26"/>
  <c r="Y34" i="26"/>
  <c r="Z35" i="26"/>
  <c r="AA34" i="26"/>
  <c r="V232" i="37" l="1"/>
  <c r="Y82" i="37"/>
  <c r="X82" i="37"/>
  <c r="W82" i="37"/>
  <c r="T82" i="37" s="1"/>
  <c r="U83" i="37"/>
  <c r="BH19" i="26"/>
  <c r="BB19" i="26"/>
  <c r="BA19" i="26"/>
  <c r="BG19" i="26"/>
  <c r="BL19" i="26"/>
  <c r="AU19" i="26"/>
  <c r="AZ19" i="26"/>
  <c r="AF11" i="9"/>
  <c r="AG11" i="9" s="1"/>
  <c r="AF13" i="9"/>
  <c r="D79" i="9" s="1"/>
  <c r="AF12" i="9"/>
  <c r="D78" i="9" s="1"/>
  <c r="AF17" i="9"/>
  <c r="AR17" i="9" s="1"/>
  <c r="H54" i="41"/>
  <c r="J54" i="41" s="1"/>
  <c r="L54" i="41" s="1"/>
  <c r="AV20" i="26"/>
  <c r="AW20" i="26" s="1"/>
  <c r="BD19" i="26"/>
  <c r="BI19" i="26"/>
  <c r="BF19" i="26"/>
  <c r="BE19" i="26"/>
  <c r="BK19" i="26"/>
  <c r="D55" i="41"/>
  <c r="D84" i="45"/>
  <c r="E146" i="27"/>
  <c r="E84" i="45" s="1"/>
  <c r="D147" i="27"/>
  <c r="F56" i="41"/>
  <c r="C56" i="41"/>
  <c r="B57" i="41" s="1"/>
  <c r="AI11" i="9"/>
  <c r="AL11" i="9" s="1"/>
  <c r="BC19" i="26"/>
  <c r="AI12" i="9"/>
  <c r="AL12" i="9" s="1"/>
  <c r="AI13" i="9"/>
  <c r="AM13" i="9" s="1"/>
  <c r="AI17" i="9"/>
  <c r="AM17" i="9" s="1"/>
  <c r="X15" i="31"/>
  <c r="AI15" i="31" s="1"/>
  <c r="D30" i="43" s="1"/>
  <c r="E30" i="43" s="1"/>
  <c r="G30" i="43" s="1"/>
  <c r="H30" i="43" s="1"/>
  <c r="I30" i="43" s="1"/>
  <c r="R16" i="31"/>
  <c r="Z15" i="31"/>
  <c r="AA15" i="31" s="1"/>
  <c r="AH15" i="31" s="1"/>
  <c r="BV19" i="26"/>
  <c r="O36" i="26"/>
  <c r="R36" i="26"/>
  <c r="S36" i="26"/>
  <c r="U36" i="26" s="1"/>
  <c r="P37" i="26"/>
  <c r="Q37" i="26" s="1"/>
  <c r="N40" i="34"/>
  <c r="K40" i="34"/>
  <c r="M41" i="34"/>
  <c r="J42" i="34" s="1"/>
  <c r="L41" i="34"/>
  <c r="AA35" i="26"/>
  <c r="X36" i="26"/>
  <c r="V36" i="26"/>
  <c r="V35" i="26"/>
  <c r="X35" i="26"/>
  <c r="Y35" i="26"/>
  <c r="AA36" i="26"/>
  <c r="W35" i="26"/>
  <c r="X83" i="37" l="1"/>
  <c r="W83" i="37"/>
  <c r="Y83" i="37"/>
  <c r="U84" i="37"/>
  <c r="D56" i="41"/>
  <c r="E56" i="41" s="1"/>
  <c r="BS19" i="26"/>
  <c r="BU19" i="26"/>
  <c r="BT19" i="26"/>
  <c r="BR19" i="26"/>
  <c r="H55" i="41"/>
  <c r="E55" i="41"/>
  <c r="E147" i="27"/>
  <c r="E85" i="45" s="1"/>
  <c r="D148" i="27"/>
  <c r="D85" i="45"/>
  <c r="F57" i="41"/>
  <c r="C57" i="41"/>
  <c r="B58" i="41" s="1"/>
  <c r="AG17" i="9"/>
  <c r="D83" i="9"/>
  <c r="AK11" i="9"/>
  <c r="AM11" i="9"/>
  <c r="AK12" i="9"/>
  <c r="AM12" i="9"/>
  <c r="AK17" i="9"/>
  <c r="AR12" i="9"/>
  <c r="AL17" i="9"/>
  <c r="AG13" i="9"/>
  <c r="AR13" i="9"/>
  <c r="AX20" i="26"/>
  <c r="AK13" i="9"/>
  <c r="AL13" i="9"/>
  <c r="AY20" i="26"/>
  <c r="D77" i="9"/>
  <c r="AG12" i="9"/>
  <c r="AR11" i="9"/>
  <c r="F30" i="43"/>
  <c r="U16" i="31"/>
  <c r="W16" i="31" s="1"/>
  <c r="Y16" i="31"/>
  <c r="T16" i="31"/>
  <c r="S37" i="26"/>
  <c r="U37" i="26" s="1"/>
  <c r="P38" i="26"/>
  <c r="Q38" i="26" s="1"/>
  <c r="O37" i="26"/>
  <c r="R37" i="26"/>
  <c r="K41" i="34"/>
  <c r="N41" i="34"/>
  <c r="M42" i="34"/>
  <c r="J43" i="34" s="1"/>
  <c r="L42" i="34"/>
  <c r="Z37" i="26"/>
  <c r="Z36" i="26"/>
  <c r="Y36" i="26"/>
  <c r="W36" i="26"/>
  <c r="Y84" i="37" l="1"/>
  <c r="X84" i="37"/>
  <c r="W84" i="37"/>
  <c r="T84" i="37" s="1"/>
  <c r="U85" i="37"/>
  <c r="T83" i="37"/>
  <c r="AZ20" i="26"/>
  <c r="BJ20" i="26"/>
  <c r="BC20" i="26"/>
  <c r="H56" i="41"/>
  <c r="J56" i="41" s="1"/>
  <c r="L56" i="41" s="1"/>
  <c r="BI20" i="26"/>
  <c r="BA20" i="26"/>
  <c r="BD20" i="26"/>
  <c r="J55" i="41"/>
  <c r="L55" i="41" s="1"/>
  <c r="BE20" i="26"/>
  <c r="D57" i="41"/>
  <c r="E57" i="41" s="1"/>
  <c r="D86" i="45"/>
  <c r="D149" i="27"/>
  <c r="E148" i="27"/>
  <c r="E86" i="45" s="1"/>
  <c r="F58" i="41"/>
  <c r="C58" i="41"/>
  <c r="B59" i="41" s="1"/>
  <c r="BH20" i="26"/>
  <c r="BB20" i="26"/>
  <c r="BL20" i="26"/>
  <c r="AV21" i="26"/>
  <c r="BG20" i="26"/>
  <c r="AU20" i="26"/>
  <c r="BF20" i="26"/>
  <c r="BK20" i="26"/>
  <c r="AB16" i="31"/>
  <c r="Q17" i="31"/>
  <c r="R17" i="31" s="1"/>
  <c r="X16" i="31"/>
  <c r="AI16" i="31" s="1"/>
  <c r="D31" i="43" s="1"/>
  <c r="AG16" i="31"/>
  <c r="C31" i="43" s="1"/>
  <c r="Z16" i="31"/>
  <c r="AA16" i="31" s="1"/>
  <c r="AH16" i="31" s="1"/>
  <c r="BV20" i="26"/>
  <c r="P39" i="26"/>
  <c r="Q39" i="26" s="1"/>
  <c r="O38" i="26"/>
  <c r="R38" i="26"/>
  <c r="S38" i="26"/>
  <c r="U38" i="26" s="1"/>
  <c r="N42" i="34"/>
  <c r="K42" i="34"/>
  <c r="L43" i="34"/>
  <c r="M43" i="34"/>
  <c r="J44" i="34" s="1"/>
  <c r="Y37" i="26"/>
  <c r="V37" i="26"/>
  <c r="W37" i="26"/>
  <c r="AA38" i="26"/>
  <c r="AA37" i="26"/>
  <c r="X37" i="26"/>
  <c r="Y85" i="37" l="1"/>
  <c r="X85" i="37"/>
  <c r="W85" i="37"/>
  <c r="T85" i="37" s="1"/>
  <c r="U86" i="37"/>
  <c r="BR20" i="26"/>
  <c r="BU20" i="26"/>
  <c r="BT20" i="26"/>
  <c r="BS20" i="26"/>
  <c r="D58" i="41"/>
  <c r="E58" i="41" s="1"/>
  <c r="S17" i="31"/>
  <c r="U17" i="31" s="1"/>
  <c r="F59" i="41"/>
  <c r="C59" i="41"/>
  <c r="B60" i="41" s="1"/>
  <c r="D87" i="45"/>
  <c r="E149" i="27"/>
  <c r="E87" i="45" s="1"/>
  <c r="D150" i="27"/>
  <c r="H57" i="41"/>
  <c r="AW21" i="26"/>
  <c r="E31" i="43"/>
  <c r="O39" i="26"/>
  <c r="R39" i="26"/>
  <c r="S39" i="26"/>
  <c r="U39" i="26" s="1"/>
  <c r="P40" i="26"/>
  <c r="Q40" i="26" s="1"/>
  <c r="N43" i="34"/>
  <c r="K43" i="34"/>
  <c r="L44" i="34"/>
  <c r="M44" i="34"/>
  <c r="J45" i="34" s="1"/>
  <c r="V38" i="26"/>
  <c r="Y39" i="26"/>
  <c r="Z38" i="26"/>
  <c r="X38" i="26"/>
  <c r="W38" i="26"/>
  <c r="Y38" i="26"/>
  <c r="Y86" i="37" l="1"/>
  <c r="X86" i="37"/>
  <c r="W86" i="37"/>
  <c r="U87" i="37"/>
  <c r="H58" i="41"/>
  <c r="J58" i="41" s="1"/>
  <c r="L58" i="41" s="1"/>
  <c r="T17" i="31"/>
  <c r="Q18" i="31" s="1"/>
  <c r="S18" i="31" s="1"/>
  <c r="Y17" i="31"/>
  <c r="AG17" i="31"/>
  <c r="C32" i="43" s="1"/>
  <c r="W17" i="31"/>
  <c r="AB17" i="31"/>
  <c r="J57" i="41"/>
  <c r="L57" i="41" s="1"/>
  <c r="D59" i="41"/>
  <c r="D88" i="45"/>
  <c r="E150" i="27"/>
  <c r="E88" i="45" s="1"/>
  <c r="D151" i="27"/>
  <c r="F60" i="41"/>
  <c r="C60" i="41"/>
  <c r="B61" i="41" s="1"/>
  <c r="AX21" i="26"/>
  <c r="BJ21" i="26" s="1"/>
  <c r="AY21" i="26"/>
  <c r="G31" i="43"/>
  <c r="H31" i="43" s="1"/>
  <c r="I31" i="43" s="1"/>
  <c r="F31" i="43"/>
  <c r="BU21" i="26"/>
  <c r="O40" i="26"/>
  <c r="R40" i="26"/>
  <c r="S40" i="26"/>
  <c r="U40" i="26" s="1"/>
  <c r="P41" i="26"/>
  <c r="Q41" i="26" s="1"/>
  <c r="N44" i="34"/>
  <c r="K44" i="34"/>
  <c r="M45" i="34"/>
  <c r="J46" i="34" s="1"/>
  <c r="L45" i="34"/>
  <c r="Y40" i="26"/>
  <c r="V39" i="26"/>
  <c r="Z39" i="26"/>
  <c r="AA39" i="26"/>
  <c r="X39" i="26"/>
  <c r="W39" i="26"/>
  <c r="Y87" i="37" l="1"/>
  <c r="X87" i="37"/>
  <c r="W87" i="37"/>
  <c r="T87" i="37" s="1"/>
  <c r="U88" i="37"/>
  <c r="T86" i="37"/>
  <c r="AZ21" i="26"/>
  <c r="Z17" i="31"/>
  <c r="AA17" i="31" s="1"/>
  <c r="AH17" i="31" s="1"/>
  <c r="R18" i="31"/>
  <c r="U18" i="31" s="1"/>
  <c r="X17" i="31"/>
  <c r="AI17" i="31" s="1"/>
  <c r="D32" i="43" s="1"/>
  <c r="E32" i="43" s="1"/>
  <c r="F32" i="43" s="1"/>
  <c r="BR21" i="26"/>
  <c r="BS21" i="26"/>
  <c r="BT21" i="26"/>
  <c r="BV21" i="26"/>
  <c r="H59" i="41"/>
  <c r="E59" i="41"/>
  <c r="D60" i="41"/>
  <c r="E60" i="41" s="1"/>
  <c r="E151" i="27"/>
  <c r="E89" i="45" s="1"/>
  <c r="D152" i="27"/>
  <c r="D89" i="45"/>
  <c r="F61" i="41"/>
  <c r="C61" i="41"/>
  <c r="B62" i="41" s="1"/>
  <c r="BC21" i="26"/>
  <c r="BE21" i="26"/>
  <c r="AV22" i="26"/>
  <c r="AW22" i="26" s="1"/>
  <c r="AX22" i="26" s="1"/>
  <c r="BI21" i="26"/>
  <c r="BB21" i="26"/>
  <c r="BH21" i="26"/>
  <c r="BF21" i="26"/>
  <c r="BL21" i="26"/>
  <c r="BK21" i="26"/>
  <c r="BG21" i="26"/>
  <c r="AU21" i="26"/>
  <c r="BA21" i="26"/>
  <c r="BD21" i="26"/>
  <c r="R41" i="26"/>
  <c r="S41" i="26"/>
  <c r="U41" i="26" s="1"/>
  <c r="P42" i="26"/>
  <c r="Q42" i="26" s="1"/>
  <c r="O41" i="26"/>
  <c r="N45" i="34"/>
  <c r="K45" i="34"/>
  <c r="M46" i="34"/>
  <c r="J47" i="34" s="1"/>
  <c r="L46" i="34"/>
  <c r="AA40" i="26"/>
  <c r="AA41" i="26"/>
  <c r="W40" i="26"/>
  <c r="V40" i="26"/>
  <c r="X40" i="26"/>
  <c r="Z40" i="26"/>
  <c r="W88" i="37" l="1"/>
  <c r="Y88" i="37"/>
  <c r="X88" i="37"/>
  <c r="U89" i="37"/>
  <c r="G32" i="43"/>
  <c r="H32" i="43" s="1"/>
  <c r="I32" i="43" s="1"/>
  <c r="Y18" i="31"/>
  <c r="T18" i="31"/>
  <c r="Q19" i="31" s="1"/>
  <c r="R19" i="31" s="1"/>
  <c r="D153" i="27"/>
  <c r="D90" i="45"/>
  <c r="E152" i="27"/>
  <c r="E90" i="45" s="1"/>
  <c r="J59" i="41"/>
  <c r="L59" i="41" s="1"/>
  <c r="H60" i="41"/>
  <c r="D61" i="41"/>
  <c r="F62" i="41"/>
  <c r="C62" i="41"/>
  <c r="B63" i="41" s="1"/>
  <c r="AY22" i="26"/>
  <c r="AU22" i="26" s="1"/>
  <c r="BJ22" i="26"/>
  <c r="W18" i="31"/>
  <c r="Z18" i="31" s="1"/>
  <c r="AA18" i="31" s="1"/>
  <c r="AH18" i="31" s="1"/>
  <c r="AG18" i="31"/>
  <c r="C33" i="43" s="1"/>
  <c r="AB18" i="31"/>
  <c r="P43" i="26"/>
  <c r="Q43" i="26" s="1"/>
  <c r="O42" i="26"/>
  <c r="R42" i="26"/>
  <c r="S42" i="26"/>
  <c r="U42" i="26" s="1"/>
  <c r="N46" i="34"/>
  <c r="K46" i="34"/>
  <c r="M47" i="34"/>
  <c r="J48" i="34" s="1"/>
  <c r="L47" i="34"/>
  <c r="AA42" i="26"/>
  <c r="V41" i="26"/>
  <c r="Y41" i="26"/>
  <c r="X41" i="26"/>
  <c r="W41" i="26"/>
  <c r="Z41" i="26"/>
  <c r="Y89" i="37" l="1"/>
  <c r="X89" i="37"/>
  <c r="W89" i="37"/>
  <c r="T89" i="37" s="1"/>
  <c r="U90" i="37"/>
  <c r="T88" i="37"/>
  <c r="BT22" i="26"/>
  <c r="BI22" i="26"/>
  <c r="D62" i="41"/>
  <c r="E62" i="41" s="1"/>
  <c r="AV23" i="26"/>
  <c r="AW23" i="26" s="1"/>
  <c r="BR22" i="26"/>
  <c r="BS22" i="26"/>
  <c r="BV22" i="26"/>
  <c r="BU22" i="26"/>
  <c r="J60" i="41"/>
  <c r="L60" i="41" s="1"/>
  <c r="BB22" i="26"/>
  <c r="BD22" i="26"/>
  <c r="BK22" i="26"/>
  <c r="BA22" i="26"/>
  <c r="BG22" i="26"/>
  <c r="AZ22" i="26"/>
  <c r="F63" i="41"/>
  <c r="C63" i="41"/>
  <c r="B64" i="41" s="1"/>
  <c r="BH22" i="26"/>
  <c r="BE22" i="26"/>
  <c r="BL22" i="26"/>
  <c r="BC22" i="26"/>
  <c r="H61" i="41"/>
  <c r="E61" i="41"/>
  <c r="D91" i="45"/>
  <c r="E153" i="27"/>
  <c r="E91" i="45" s="1"/>
  <c r="D154" i="27"/>
  <c r="BF22" i="26"/>
  <c r="X18" i="31"/>
  <c r="AI18" i="31" s="1"/>
  <c r="D33" i="43" s="1"/>
  <c r="E33" i="43" s="1"/>
  <c r="G33" i="43" s="1"/>
  <c r="H33" i="43" s="1"/>
  <c r="I33" i="43" s="1"/>
  <c r="S19" i="31"/>
  <c r="Y19" i="31" s="1"/>
  <c r="O43" i="26"/>
  <c r="R43" i="26"/>
  <c r="S43" i="26"/>
  <c r="U43" i="26" s="1"/>
  <c r="P44" i="26"/>
  <c r="Q44" i="26" s="1"/>
  <c r="N47" i="34"/>
  <c r="K47" i="34"/>
  <c r="M48" i="34"/>
  <c r="J49" i="34" s="1"/>
  <c r="L48" i="34"/>
  <c r="W42" i="26"/>
  <c r="W43" i="26"/>
  <c r="V42" i="26"/>
  <c r="X42" i="26"/>
  <c r="Y42" i="26"/>
  <c r="Z42" i="26"/>
  <c r="Y90" i="37" l="1"/>
  <c r="W90" i="37"/>
  <c r="X90" i="37"/>
  <c r="U91" i="37"/>
  <c r="H62" i="41"/>
  <c r="J62" i="41" s="1"/>
  <c r="L62" i="41" s="1"/>
  <c r="J61" i="41"/>
  <c r="L61" i="41" s="1"/>
  <c r="C64" i="41"/>
  <c r="B65" i="41" s="1"/>
  <c r="F64" i="41"/>
  <c r="F33" i="43"/>
  <c r="D92" i="45"/>
  <c r="E154" i="27"/>
  <c r="E92" i="45" s="1"/>
  <c r="D155" i="27"/>
  <c r="D63" i="41"/>
  <c r="BJ23" i="26"/>
  <c r="AX23" i="26"/>
  <c r="AY23" i="26"/>
  <c r="N8" i="43"/>
  <c r="T19" i="31"/>
  <c r="U19" i="31"/>
  <c r="BS23" i="26"/>
  <c r="O44" i="26"/>
  <c r="P45" i="26"/>
  <c r="Q45" i="26" s="1"/>
  <c r="R44" i="26"/>
  <c r="S44" i="26"/>
  <c r="U44" i="26" s="1"/>
  <c r="N48" i="34"/>
  <c r="K48" i="34"/>
  <c r="M49" i="34"/>
  <c r="J50" i="34" s="1"/>
  <c r="L49" i="34"/>
  <c r="X43" i="26"/>
  <c r="X44" i="26"/>
  <c r="Y43" i="26"/>
  <c r="Z43" i="26"/>
  <c r="AA43" i="26"/>
  <c r="V43" i="26"/>
  <c r="Y91" i="37" l="1"/>
  <c r="W91" i="37"/>
  <c r="T91" i="37" s="1"/>
  <c r="X91" i="37"/>
  <c r="U92" i="37"/>
  <c r="T90" i="37"/>
  <c r="D64" i="41"/>
  <c r="E64" i="41" s="1"/>
  <c r="BT23" i="26"/>
  <c r="BV23" i="26"/>
  <c r="BR23" i="26"/>
  <c r="BU23" i="26"/>
  <c r="H63" i="41"/>
  <c r="E63" i="41"/>
  <c r="E155" i="27"/>
  <c r="E93" i="45" s="1"/>
  <c r="D156" i="27"/>
  <c r="D93" i="45"/>
  <c r="C65" i="41"/>
  <c r="B66" i="41" s="1"/>
  <c r="F65" i="41"/>
  <c r="BK23" i="26"/>
  <c r="BL23" i="26"/>
  <c r="BE23" i="26"/>
  <c r="BB23" i="26"/>
  <c r="AV24" i="26"/>
  <c r="BF23" i="26"/>
  <c r="BI23" i="26"/>
  <c r="BA23" i="26"/>
  <c r="BG23" i="26"/>
  <c r="BH23" i="26"/>
  <c r="AU23" i="26"/>
  <c r="BD23" i="26"/>
  <c r="BC23" i="26"/>
  <c r="AZ23" i="26"/>
  <c r="W19" i="31"/>
  <c r="X19" i="31" s="1"/>
  <c r="AI19" i="31" s="1"/>
  <c r="D34" i="43" s="1"/>
  <c r="E34" i="43" s="1"/>
  <c r="G34" i="43" s="1"/>
  <c r="Q20" i="31"/>
  <c r="S20" i="31" s="1"/>
  <c r="AB19" i="31"/>
  <c r="AG19" i="31"/>
  <c r="C34" i="43" s="1"/>
  <c r="P46" i="26"/>
  <c r="Q46" i="26" s="1"/>
  <c r="O45" i="26"/>
  <c r="R45" i="26"/>
  <c r="S45" i="26"/>
  <c r="U45" i="26" s="1"/>
  <c r="K49" i="34"/>
  <c r="M50" i="34"/>
  <c r="J51" i="34" s="1"/>
  <c r="L50" i="34"/>
  <c r="N49" i="34"/>
  <c r="W44" i="26"/>
  <c r="AA44" i="26"/>
  <c r="Z44" i="26"/>
  <c r="V44" i="26"/>
  <c r="Z45" i="26"/>
  <c r="Y44" i="26"/>
  <c r="X92" i="37" l="1"/>
  <c r="W92" i="37"/>
  <c r="Y92" i="37"/>
  <c r="U93" i="37"/>
  <c r="H64" i="41"/>
  <c r="J64" i="41" s="1"/>
  <c r="L64" i="41" s="1"/>
  <c r="D65" i="41"/>
  <c r="H65" i="41" s="1"/>
  <c r="F66" i="41"/>
  <c r="C66" i="41"/>
  <c r="B67" i="41" s="1"/>
  <c r="J63" i="41"/>
  <c r="L63" i="41" s="1"/>
  <c r="D94" i="45"/>
  <c r="D157" i="27"/>
  <c r="E156" i="27"/>
  <c r="E94" i="45" s="1"/>
  <c r="Z19" i="31"/>
  <c r="AA19" i="31" s="1"/>
  <c r="AH19" i="31" s="1"/>
  <c r="AW24" i="26"/>
  <c r="R20" i="31"/>
  <c r="F34" i="43"/>
  <c r="H34" i="43"/>
  <c r="I34" i="43" s="1"/>
  <c r="BV24" i="26"/>
  <c r="P47" i="26"/>
  <c r="Q47" i="26" s="1"/>
  <c r="O46" i="26"/>
  <c r="R46" i="26"/>
  <c r="S46" i="26"/>
  <c r="U46" i="26" s="1"/>
  <c r="K50" i="34"/>
  <c r="N50" i="34"/>
  <c r="L51" i="34"/>
  <c r="M51" i="34"/>
  <c r="J52" i="34" s="1"/>
  <c r="V45" i="26"/>
  <c r="X45" i="26"/>
  <c r="W45" i="26"/>
  <c r="AA45" i="26"/>
  <c r="Y45" i="26"/>
  <c r="Y93" i="37" l="1"/>
  <c r="W93" i="37"/>
  <c r="X93" i="37"/>
  <c r="U94" i="37"/>
  <c r="T92" i="37"/>
  <c r="BT24" i="26"/>
  <c r="BR24" i="26"/>
  <c r="E65" i="41"/>
  <c r="BS24" i="26"/>
  <c r="BU24" i="26"/>
  <c r="J65" i="41"/>
  <c r="L65" i="41" s="1"/>
  <c r="D66" i="41"/>
  <c r="F67" i="41"/>
  <c r="C67" i="41"/>
  <c r="B68" i="41" s="1"/>
  <c r="D95" i="45"/>
  <c r="E157" i="27"/>
  <c r="E95" i="45" s="1"/>
  <c r="D158" i="27"/>
  <c r="AY24" i="26"/>
  <c r="AU24" i="26" s="1"/>
  <c r="AX24" i="26"/>
  <c r="T20" i="31"/>
  <c r="Y20" i="31"/>
  <c r="U20" i="31"/>
  <c r="O47" i="26"/>
  <c r="R47" i="26"/>
  <c r="S47" i="26"/>
  <c r="U47" i="26" s="1"/>
  <c r="P48" i="26"/>
  <c r="Q48" i="26" s="1"/>
  <c r="N51" i="34"/>
  <c r="M52" i="34"/>
  <c r="J53" i="34" s="1"/>
  <c r="L52" i="34"/>
  <c r="K51" i="34"/>
  <c r="X46" i="26"/>
  <c r="W46" i="26"/>
  <c r="V46" i="26"/>
  <c r="Z46" i="26"/>
  <c r="AA46" i="26"/>
  <c r="Y46" i="26"/>
  <c r="Y94" i="37" l="1"/>
  <c r="X94" i="37"/>
  <c r="W94" i="37"/>
  <c r="T94" i="37" s="1"/>
  <c r="U95" i="37"/>
  <c r="T93" i="37"/>
  <c r="BA24" i="26"/>
  <c r="BJ24" i="26"/>
  <c r="BE24" i="26"/>
  <c r="C68" i="41"/>
  <c r="B69" i="41" s="1"/>
  <c r="F68" i="41"/>
  <c r="H66" i="41"/>
  <c r="E66" i="41"/>
  <c r="D96" i="45"/>
  <c r="E158" i="27"/>
  <c r="E96" i="45" s="1"/>
  <c r="D159" i="27"/>
  <c r="D67" i="41"/>
  <c r="BI24" i="26"/>
  <c r="BF24" i="26"/>
  <c r="BD24" i="26"/>
  <c r="BG24" i="26"/>
  <c r="BH24" i="26"/>
  <c r="BB24" i="26"/>
  <c r="BL24" i="26"/>
  <c r="BK24" i="26"/>
  <c r="AV25" i="26"/>
  <c r="AZ24" i="26"/>
  <c r="BC24" i="26"/>
  <c r="AG20" i="31"/>
  <c r="C35" i="43" s="1"/>
  <c r="AD4" i="45"/>
  <c r="AN4" i="45" s="1"/>
  <c r="BI4" i="45" s="1"/>
  <c r="AB20" i="31"/>
  <c r="W20" i="31"/>
  <c r="Q21" i="31"/>
  <c r="S21" i="31" s="1"/>
  <c r="O48" i="26"/>
  <c r="R48" i="26"/>
  <c r="P49" i="26"/>
  <c r="Q49" i="26" s="1"/>
  <c r="S48" i="26"/>
  <c r="U48" i="26" s="1"/>
  <c r="K52" i="34"/>
  <c r="N52" i="34"/>
  <c r="M53" i="34"/>
  <c r="J54" i="34" s="1"/>
  <c r="L53" i="34"/>
  <c r="W47" i="26"/>
  <c r="AA47" i="26"/>
  <c r="V47" i="26"/>
  <c r="X47" i="26"/>
  <c r="Z47" i="26"/>
  <c r="Y47" i="26"/>
  <c r="W48" i="26"/>
  <c r="X95" i="37" l="1"/>
  <c r="W95" i="37"/>
  <c r="Y95" i="37"/>
  <c r="U96" i="37"/>
  <c r="BU25" i="26"/>
  <c r="BV25" i="26"/>
  <c r="BR25" i="26"/>
  <c r="BS25" i="26"/>
  <c r="BT25" i="26"/>
  <c r="H67" i="41"/>
  <c r="E67" i="41"/>
  <c r="F69" i="41"/>
  <c r="C69" i="41"/>
  <c r="B70" i="41" s="1"/>
  <c r="E159" i="27"/>
  <c r="E97" i="45" s="1"/>
  <c r="D160" i="27"/>
  <c r="D97" i="45"/>
  <c r="J66" i="41"/>
  <c r="L66" i="41" s="1"/>
  <c r="D68" i="41"/>
  <c r="AW25" i="26"/>
  <c r="X20" i="31"/>
  <c r="AI20" i="31" s="1"/>
  <c r="D35" i="43" s="1"/>
  <c r="E35" i="43" s="1"/>
  <c r="F35" i="43" s="1"/>
  <c r="R21" i="31"/>
  <c r="Z20" i="31"/>
  <c r="AA20" i="31" s="1"/>
  <c r="AH20" i="31" s="1"/>
  <c r="S49" i="26"/>
  <c r="U49" i="26" s="1"/>
  <c r="O49" i="26"/>
  <c r="P50" i="26"/>
  <c r="Q50" i="26" s="1"/>
  <c r="R49" i="26"/>
  <c r="N53" i="34"/>
  <c r="K53" i="34"/>
  <c r="M54" i="34"/>
  <c r="J55" i="34" s="1"/>
  <c r="L54" i="34"/>
  <c r="Y49" i="26"/>
  <c r="AF4" i="45"/>
  <c r="X48" i="26"/>
  <c r="Y48" i="26"/>
  <c r="V48" i="26"/>
  <c r="AA48" i="26"/>
  <c r="Z48" i="26"/>
  <c r="AC5" i="45"/>
  <c r="X96" i="37" l="1"/>
  <c r="W96" i="37"/>
  <c r="Y96" i="37"/>
  <c r="U97" i="37"/>
  <c r="T95" i="37"/>
  <c r="AM4" i="45"/>
  <c r="AV4" i="45" s="1"/>
  <c r="AQ4" i="45" s="1"/>
  <c r="J67" i="41"/>
  <c r="L67" i="41" s="1"/>
  <c r="D69" i="41"/>
  <c r="F70" i="41"/>
  <c r="C70" i="41"/>
  <c r="B71" i="41" s="1"/>
  <c r="H68" i="41"/>
  <c r="E68" i="41"/>
  <c r="D161" i="27"/>
  <c r="D98" i="45"/>
  <c r="E160" i="27"/>
  <c r="E98" i="45" s="1"/>
  <c r="AY25" i="26"/>
  <c r="AX25" i="26"/>
  <c r="BJ25" i="26"/>
  <c r="Y21" i="31"/>
  <c r="G35" i="43"/>
  <c r="H35" i="43" s="1"/>
  <c r="I35" i="43" s="1"/>
  <c r="T21" i="31"/>
  <c r="U21" i="31"/>
  <c r="BU26" i="26"/>
  <c r="O50" i="26"/>
  <c r="R50" i="26"/>
  <c r="S50" i="26"/>
  <c r="U50" i="26" s="1"/>
  <c r="P51" i="26"/>
  <c r="Q51" i="26" s="1"/>
  <c r="K54" i="34"/>
  <c r="N54" i="34"/>
  <c r="L55" i="34"/>
  <c r="M55" i="34"/>
  <c r="J56" i="34" s="1"/>
  <c r="Z49" i="26"/>
  <c r="Z50" i="26"/>
  <c r="AA49" i="26"/>
  <c r="V49" i="26"/>
  <c r="X49" i="26"/>
  <c r="W49" i="26"/>
  <c r="Y97" i="37" l="1"/>
  <c r="X97" i="37"/>
  <c r="W97" i="37"/>
  <c r="U98" i="37"/>
  <c r="T96" i="37"/>
  <c r="BV26" i="26"/>
  <c r="BR26" i="26"/>
  <c r="AZ25" i="26"/>
  <c r="D70" i="41"/>
  <c r="E70" i="41" s="1"/>
  <c r="BB25" i="26"/>
  <c r="AU4" i="45"/>
  <c r="AP4" i="45" s="1"/>
  <c r="AW4" i="45"/>
  <c r="AT4" i="45" s="1"/>
  <c r="BH4" i="45"/>
  <c r="BR4" i="45" s="1"/>
  <c r="BT26" i="26"/>
  <c r="BS26" i="26"/>
  <c r="C71" i="41"/>
  <c r="B72" i="41" s="1"/>
  <c r="F71" i="41"/>
  <c r="H69" i="41"/>
  <c r="E69" i="41"/>
  <c r="D99" i="45"/>
  <c r="E161" i="27"/>
  <c r="E99" i="45" s="1"/>
  <c r="D162" i="27"/>
  <c r="J68" i="41"/>
  <c r="L68" i="41" s="1"/>
  <c r="BG25" i="26"/>
  <c r="BA25" i="26"/>
  <c r="BD25" i="26"/>
  <c r="BC25" i="26"/>
  <c r="BE25" i="26"/>
  <c r="BI25" i="26"/>
  <c r="BK25" i="26"/>
  <c r="BH25" i="26"/>
  <c r="BL25" i="26"/>
  <c r="BF25" i="26"/>
  <c r="AU25" i="26"/>
  <c r="AV26" i="26"/>
  <c r="W21" i="31"/>
  <c r="Z21" i="31" s="1"/>
  <c r="AA21" i="31" s="1"/>
  <c r="AH21" i="31" s="1"/>
  <c r="AG21" i="31"/>
  <c r="C36" i="43" s="1"/>
  <c r="AB21" i="31"/>
  <c r="Q22" i="31"/>
  <c r="S22" i="31" s="1"/>
  <c r="O51" i="26"/>
  <c r="R51" i="26"/>
  <c r="S51" i="26"/>
  <c r="U51" i="26" s="1"/>
  <c r="P52" i="26"/>
  <c r="Q52" i="26" s="1"/>
  <c r="N55" i="34"/>
  <c r="K55" i="34"/>
  <c r="M56" i="34"/>
  <c r="J57" i="34" s="1"/>
  <c r="L56" i="34"/>
  <c r="Y50" i="26"/>
  <c r="AA50" i="26"/>
  <c r="W50" i="26"/>
  <c r="V50" i="26"/>
  <c r="X50" i="26"/>
  <c r="X51" i="26"/>
  <c r="Y98" i="37" l="1"/>
  <c r="X98" i="37"/>
  <c r="W98" i="37"/>
  <c r="T98" i="37" s="1"/>
  <c r="U99" i="37"/>
  <c r="T97" i="37"/>
  <c r="H70" i="41"/>
  <c r="J70" i="41" s="1"/>
  <c r="L70" i="41" s="1"/>
  <c r="BD4" i="45"/>
  <c r="AG4" i="45" s="1"/>
  <c r="BQ4" i="45"/>
  <c r="BP4" i="45"/>
  <c r="J69" i="41"/>
  <c r="L69" i="41" s="1"/>
  <c r="D100" i="45"/>
  <c r="E162" i="27"/>
  <c r="E100" i="45" s="1"/>
  <c r="D163" i="27"/>
  <c r="D71" i="41"/>
  <c r="H71" i="41" s="1"/>
  <c r="C72" i="41"/>
  <c r="B73" i="41" s="1"/>
  <c r="F72" i="41"/>
  <c r="AW26" i="26"/>
  <c r="X21" i="31"/>
  <c r="AI21" i="31" s="1"/>
  <c r="D36" i="43" s="1"/>
  <c r="E36" i="43" s="1"/>
  <c r="R22" i="31"/>
  <c r="BT27" i="26"/>
  <c r="S52" i="26"/>
  <c r="U52" i="26" s="1"/>
  <c r="P53" i="26"/>
  <c r="Q53" i="26" s="1"/>
  <c r="O52" i="26"/>
  <c r="R52" i="26"/>
  <c r="K56" i="34"/>
  <c r="R56" i="41"/>
  <c r="R41" i="41"/>
  <c r="R61" i="41"/>
  <c r="R44" i="41"/>
  <c r="R77" i="41"/>
  <c r="R38" i="41"/>
  <c r="R52" i="41"/>
  <c r="R71" i="41"/>
  <c r="R35" i="41"/>
  <c r="R48" i="41"/>
  <c r="R66" i="41"/>
  <c r="N56" i="34"/>
  <c r="L57" i="34"/>
  <c r="M57" i="34"/>
  <c r="J58" i="34" s="1"/>
  <c r="Y51" i="26"/>
  <c r="V51" i="26"/>
  <c r="W51" i="26"/>
  <c r="Z52" i="26"/>
  <c r="AA51" i="26"/>
  <c r="Z51" i="26"/>
  <c r="W99" i="37" l="1"/>
  <c r="Y99" i="37"/>
  <c r="X99" i="37"/>
  <c r="U100" i="37"/>
  <c r="BU27" i="26"/>
  <c r="BR27" i="26"/>
  <c r="BV27" i="26"/>
  <c r="BS27" i="26"/>
  <c r="J71" i="41"/>
  <c r="L71" i="41" s="1"/>
  <c r="D72" i="41"/>
  <c r="E71" i="41"/>
  <c r="F73" i="41"/>
  <c r="C73" i="41"/>
  <c r="B74" i="41" s="1"/>
  <c r="E163" i="27"/>
  <c r="E101" i="45" s="1"/>
  <c r="D164" i="27"/>
  <c r="D101" i="45"/>
  <c r="AY26" i="26"/>
  <c r="AU26" i="26" s="1"/>
  <c r="AX26" i="26"/>
  <c r="T22" i="31"/>
  <c r="G36" i="43"/>
  <c r="H36" i="43" s="1"/>
  <c r="I36" i="43" s="1"/>
  <c r="F36" i="43"/>
  <c r="Y22" i="31"/>
  <c r="U22" i="31"/>
  <c r="O53" i="26"/>
  <c r="R53" i="26"/>
  <c r="S53" i="26"/>
  <c r="U53" i="26" s="1"/>
  <c r="P54" i="26"/>
  <c r="Q54" i="26" s="1"/>
  <c r="N57" i="34"/>
  <c r="M58" i="34"/>
  <c r="J59" i="34" s="1"/>
  <c r="L58" i="34"/>
  <c r="K57" i="34"/>
  <c r="Z53" i="26"/>
  <c r="W52" i="26"/>
  <c r="AA52" i="26"/>
  <c r="Y52" i="26"/>
  <c r="X52" i="26"/>
  <c r="V52" i="26"/>
  <c r="Y100" i="37" l="1"/>
  <c r="X100" i="37"/>
  <c r="W100" i="37"/>
  <c r="T100" i="37" s="1"/>
  <c r="U101" i="37"/>
  <c r="T99" i="37"/>
  <c r="BJ26" i="26"/>
  <c r="AZ26" i="26"/>
  <c r="D73" i="41"/>
  <c r="H73" i="41" s="1"/>
  <c r="C74" i="41"/>
  <c r="B75" i="41" s="1"/>
  <c r="F74" i="41"/>
  <c r="D102" i="45"/>
  <c r="D165" i="27"/>
  <c r="E164" i="27"/>
  <c r="E102" i="45" s="1"/>
  <c r="BA26" i="26"/>
  <c r="H72" i="41"/>
  <c r="E72" i="41"/>
  <c r="BC26" i="26"/>
  <c r="BB26" i="26"/>
  <c r="BH26" i="26"/>
  <c r="BD26" i="26"/>
  <c r="BE26" i="26"/>
  <c r="BI26" i="26"/>
  <c r="AV27" i="26"/>
  <c r="BK26" i="26"/>
  <c r="BL26" i="26"/>
  <c r="BF26" i="26"/>
  <c r="BG26" i="26"/>
  <c r="W22" i="31"/>
  <c r="Z22" i="31" s="1"/>
  <c r="AA22" i="31" s="1"/>
  <c r="AH22" i="31" s="1"/>
  <c r="AG22" i="31"/>
  <c r="C37" i="43" s="1"/>
  <c r="AB22" i="31"/>
  <c r="Q23" i="31"/>
  <c r="R23" i="31" s="1"/>
  <c r="BV28" i="26"/>
  <c r="O54" i="26"/>
  <c r="R54" i="26"/>
  <c r="S54" i="26"/>
  <c r="U54" i="26" s="1"/>
  <c r="P55" i="26"/>
  <c r="Q55" i="26" s="1"/>
  <c r="N58" i="34"/>
  <c r="K58" i="34"/>
  <c r="M59" i="34"/>
  <c r="J60" i="34" s="1"/>
  <c r="L59" i="34"/>
  <c r="AA53" i="26"/>
  <c r="V53" i="26"/>
  <c r="Y53" i="26"/>
  <c r="X54" i="26"/>
  <c r="Z54" i="26"/>
  <c r="X53" i="26"/>
  <c r="W53" i="26"/>
  <c r="Y101" i="37" l="1"/>
  <c r="X101" i="37"/>
  <c r="W101" i="37"/>
  <c r="T101" i="37" s="1"/>
  <c r="U102" i="37"/>
  <c r="D74" i="41"/>
  <c r="E74" i="41" s="1"/>
  <c r="X22" i="31"/>
  <c r="AI22" i="31" s="1"/>
  <c r="D37" i="43" s="1"/>
  <c r="E37" i="43" s="1"/>
  <c r="G37" i="43" s="1"/>
  <c r="H37" i="43" s="1"/>
  <c r="I37" i="43" s="1"/>
  <c r="BU28" i="26"/>
  <c r="BR28" i="26"/>
  <c r="BT28" i="26"/>
  <c r="BS28" i="26"/>
  <c r="J72" i="41"/>
  <c r="L72" i="41" s="1"/>
  <c r="C75" i="41"/>
  <c r="B76" i="41" s="1"/>
  <c r="F75" i="41"/>
  <c r="J73" i="41"/>
  <c r="L73" i="41" s="1"/>
  <c r="E73" i="41"/>
  <c r="D103" i="45"/>
  <c r="E165" i="27"/>
  <c r="E103" i="45" s="1"/>
  <c r="D166" i="27"/>
  <c r="AW27" i="26"/>
  <c r="S23" i="31"/>
  <c r="T23" i="31" s="1"/>
  <c r="O55" i="26"/>
  <c r="R55" i="26"/>
  <c r="S55" i="26"/>
  <c r="U55" i="26" s="1"/>
  <c r="P56" i="26"/>
  <c r="Q56" i="26" s="1"/>
  <c r="N59" i="34"/>
  <c r="K59" i="34"/>
  <c r="M60" i="34"/>
  <c r="J61" i="34" s="1"/>
  <c r="L60" i="34"/>
  <c r="V55" i="26"/>
  <c r="V54" i="26"/>
  <c r="Y54" i="26"/>
  <c r="W54" i="26"/>
  <c r="AA54" i="26"/>
  <c r="Y102" i="37" l="1"/>
  <c r="W102" i="37"/>
  <c r="X102" i="37"/>
  <c r="U103" i="37"/>
  <c r="H74" i="41"/>
  <c r="F37" i="43"/>
  <c r="C76" i="41"/>
  <c r="B77" i="41" s="1"/>
  <c r="F76" i="41"/>
  <c r="D104" i="45"/>
  <c r="E166" i="27"/>
  <c r="E104" i="45" s="1"/>
  <c r="D167" i="27"/>
  <c r="D75" i="41"/>
  <c r="AY27" i="26"/>
  <c r="AU27" i="26" s="1"/>
  <c r="AX27" i="26"/>
  <c r="BJ27" i="26"/>
  <c r="U23" i="31"/>
  <c r="W23" i="31" s="1"/>
  <c r="Y23" i="31"/>
  <c r="BR29" i="26"/>
  <c r="O56" i="26"/>
  <c r="R56" i="26"/>
  <c r="S56" i="26"/>
  <c r="U56" i="26" s="1"/>
  <c r="P57" i="26"/>
  <c r="Q57" i="26" s="1"/>
  <c r="N60" i="34"/>
  <c r="K60" i="34"/>
  <c r="M61" i="34"/>
  <c r="J62" i="34" s="1"/>
  <c r="L61" i="34"/>
  <c r="X55" i="26"/>
  <c r="Z55" i="26"/>
  <c r="W55" i="26"/>
  <c r="Y55" i="26"/>
  <c r="AA56" i="26"/>
  <c r="AA55" i="26"/>
  <c r="Y103" i="37" l="1"/>
  <c r="W103" i="37"/>
  <c r="X103" i="37"/>
  <c r="U104" i="37"/>
  <c r="T102" i="37"/>
  <c r="J74" i="41"/>
  <c r="L74" i="41" s="1"/>
  <c r="Q24" i="31"/>
  <c r="S24" i="31" s="1"/>
  <c r="AG23" i="31"/>
  <c r="C38" i="43" s="1"/>
  <c r="AB23" i="31"/>
  <c r="BV29" i="26"/>
  <c r="BU29" i="26"/>
  <c r="BT29" i="26"/>
  <c r="BS29" i="26"/>
  <c r="H75" i="41"/>
  <c r="E75" i="41"/>
  <c r="E167" i="27"/>
  <c r="E105" i="45" s="1"/>
  <c r="D168" i="27"/>
  <c r="D105" i="45"/>
  <c r="BI27" i="26"/>
  <c r="F77" i="41"/>
  <c r="C77" i="41"/>
  <c r="B78" i="41" s="1"/>
  <c r="D76" i="41"/>
  <c r="BD27" i="26"/>
  <c r="BE27" i="26"/>
  <c r="BB27" i="26"/>
  <c r="BG27" i="26"/>
  <c r="BC27" i="26"/>
  <c r="BA27" i="26"/>
  <c r="AZ27" i="26"/>
  <c r="BK27" i="26"/>
  <c r="BH27" i="26"/>
  <c r="BL27" i="26"/>
  <c r="BF27" i="26"/>
  <c r="AV28" i="26"/>
  <c r="X23" i="31"/>
  <c r="AI23" i="31" s="1"/>
  <c r="D38" i="43" s="1"/>
  <c r="E38" i="43" s="1"/>
  <c r="G38" i="43" s="1"/>
  <c r="Z23" i="31"/>
  <c r="AA23" i="31" s="1"/>
  <c r="AH23" i="31" s="1"/>
  <c r="O57" i="26"/>
  <c r="R57" i="26"/>
  <c r="S57" i="26"/>
  <c r="U57" i="26" s="1"/>
  <c r="P58" i="26"/>
  <c r="Q58" i="26" s="1"/>
  <c r="N61" i="34"/>
  <c r="K61" i="34"/>
  <c r="L62" i="34"/>
  <c r="M62" i="34"/>
  <c r="J63" i="34" s="1"/>
  <c r="Y56" i="26"/>
  <c r="W56" i="26"/>
  <c r="V56" i="26"/>
  <c r="V57" i="26"/>
  <c r="Z56" i="26"/>
  <c r="X56" i="26"/>
  <c r="X104" i="37" l="1"/>
  <c r="W104" i="37"/>
  <c r="Y104" i="37"/>
  <c r="U105" i="37"/>
  <c r="T103" i="37"/>
  <c r="D77" i="41"/>
  <c r="E77" i="41" s="1"/>
  <c r="R24" i="31"/>
  <c r="Y24" i="31" s="1"/>
  <c r="D169" i="27"/>
  <c r="D106" i="45"/>
  <c r="E168" i="27"/>
  <c r="E106" i="45" s="1"/>
  <c r="C78" i="41"/>
  <c r="B79" i="41" s="1"/>
  <c r="F78" i="41"/>
  <c r="J75" i="41"/>
  <c r="L75" i="41" s="1"/>
  <c r="H76" i="41"/>
  <c r="E76" i="41"/>
  <c r="AW28" i="26"/>
  <c r="F38" i="43"/>
  <c r="H38" i="43"/>
  <c r="I38" i="43" s="1"/>
  <c r="BR30" i="26"/>
  <c r="S58" i="26"/>
  <c r="U58" i="26" s="1"/>
  <c r="P59" i="26"/>
  <c r="Q59" i="26" s="1"/>
  <c r="O58" i="26"/>
  <c r="R58" i="26"/>
  <c r="N62" i="34"/>
  <c r="M63" i="34"/>
  <c r="J64" i="34" s="1"/>
  <c r="L63" i="34"/>
  <c r="K62" i="34"/>
  <c r="X57" i="26"/>
  <c r="Z57" i="26"/>
  <c r="Y57" i="26"/>
  <c r="AA57" i="26"/>
  <c r="W57" i="26"/>
  <c r="Y105" i="37" l="1"/>
  <c r="X105" i="37"/>
  <c r="W105" i="37"/>
  <c r="U106" i="37"/>
  <c r="T104" i="37"/>
  <c r="BT30" i="26"/>
  <c r="H77" i="41"/>
  <c r="J77" i="41" s="1"/>
  <c r="L77" i="41" s="1"/>
  <c r="U24" i="31"/>
  <c r="AB24" i="31" s="1"/>
  <c r="T24" i="31"/>
  <c r="BV30" i="26"/>
  <c r="BU30" i="26"/>
  <c r="BS30" i="26"/>
  <c r="J76" i="41"/>
  <c r="L76" i="41" s="1"/>
  <c r="C79" i="41"/>
  <c r="B80" i="41" s="1"/>
  <c r="F79" i="41"/>
  <c r="D78" i="41"/>
  <c r="D107" i="45"/>
  <c r="E169" i="27"/>
  <c r="E107" i="45" s="1"/>
  <c r="D170" i="27"/>
  <c r="AY28" i="26"/>
  <c r="AU28" i="26" s="1"/>
  <c r="BJ28" i="26"/>
  <c r="AX28" i="26"/>
  <c r="P60" i="26"/>
  <c r="Q60" i="26" s="1"/>
  <c r="O59" i="26"/>
  <c r="R59" i="26"/>
  <c r="S59" i="26"/>
  <c r="U59" i="26" s="1"/>
  <c r="K63" i="34"/>
  <c r="N63" i="34"/>
  <c r="M64" i="34"/>
  <c r="J65" i="34" s="1"/>
  <c r="L64" i="34"/>
  <c r="AA58" i="26"/>
  <c r="Y58" i="26"/>
  <c r="X59" i="26"/>
  <c r="Z58" i="26"/>
  <c r="X58" i="26"/>
  <c r="V58" i="26"/>
  <c r="W58" i="26"/>
  <c r="Y106" i="37" l="1"/>
  <c r="X106" i="37"/>
  <c r="W106" i="37"/>
  <c r="T106" i="37" s="1"/>
  <c r="U107" i="37"/>
  <c r="T105" i="37"/>
  <c r="W24" i="31"/>
  <c r="X24" i="31" s="1"/>
  <c r="AI24" i="31" s="1"/>
  <c r="D39" i="43" s="1"/>
  <c r="E39" i="43" s="1"/>
  <c r="G39" i="43" s="1"/>
  <c r="BA28" i="26"/>
  <c r="BC28" i="26"/>
  <c r="BB28" i="26"/>
  <c r="BD28" i="26"/>
  <c r="AG24" i="31"/>
  <c r="C39" i="43" s="1"/>
  <c r="Q25" i="31"/>
  <c r="S25" i="31" s="1"/>
  <c r="F80" i="41"/>
  <c r="C80" i="41"/>
  <c r="B81" i="41" s="1"/>
  <c r="AZ28" i="26"/>
  <c r="H78" i="41"/>
  <c r="E78" i="41"/>
  <c r="BE28" i="26"/>
  <c r="D79" i="41"/>
  <c r="H79" i="41" s="1"/>
  <c r="D108" i="45"/>
  <c r="E170" i="27"/>
  <c r="E108" i="45" s="1"/>
  <c r="D171" i="27"/>
  <c r="BL28" i="26"/>
  <c r="BF28" i="26"/>
  <c r="BI28" i="26"/>
  <c r="BK28" i="26"/>
  <c r="BG28" i="26"/>
  <c r="BH28" i="26"/>
  <c r="AV29" i="26"/>
  <c r="BT31" i="26"/>
  <c r="S60" i="26"/>
  <c r="U60" i="26" s="1"/>
  <c r="P61" i="26"/>
  <c r="Q61" i="26" s="1"/>
  <c r="O60" i="26"/>
  <c r="R60" i="26"/>
  <c r="K64" i="34"/>
  <c r="L65" i="34"/>
  <c r="M65" i="34"/>
  <c r="J66" i="34" s="1"/>
  <c r="N64" i="34"/>
  <c r="W59" i="26"/>
  <c r="Y59" i="26"/>
  <c r="V59" i="26"/>
  <c r="Z59" i="26"/>
  <c r="AA59" i="26"/>
  <c r="X107" i="37" l="1"/>
  <c r="W107" i="37"/>
  <c r="Y107" i="37"/>
  <c r="U108" i="37"/>
  <c r="Z24" i="31"/>
  <c r="AA24" i="31" s="1"/>
  <c r="AH24" i="31" s="1"/>
  <c r="R25" i="31"/>
  <c r="T25" i="31" s="1"/>
  <c r="BR31" i="26"/>
  <c r="BV31" i="26"/>
  <c r="BU31" i="26"/>
  <c r="BS31" i="26"/>
  <c r="J78" i="41"/>
  <c r="L78" i="41" s="1"/>
  <c r="J79" i="41"/>
  <c r="L79" i="41" s="1"/>
  <c r="D80" i="41"/>
  <c r="E171" i="27"/>
  <c r="E109" i="45" s="1"/>
  <c r="D172" i="27"/>
  <c r="D109" i="45"/>
  <c r="C81" i="41"/>
  <c r="D81" i="41" s="1"/>
  <c r="F81" i="41"/>
  <c r="E79" i="41"/>
  <c r="AW29" i="26"/>
  <c r="F39" i="43"/>
  <c r="H39" i="43"/>
  <c r="I39" i="43" s="1"/>
  <c r="O61" i="26"/>
  <c r="R61" i="26"/>
  <c r="S61" i="26"/>
  <c r="U61" i="26" s="1"/>
  <c r="P62" i="26"/>
  <c r="Q62" i="26" s="1"/>
  <c r="N65" i="34"/>
  <c r="K65" i="34"/>
  <c r="L66" i="34"/>
  <c r="M66" i="34"/>
  <c r="J67" i="34" s="1"/>
  <c r="W60" i="26"/>
  <c r="V60" i="26"/>
  <c r="AA61" i="26"/>
  <c r="AA60" i="26"/>
  <c r="Y60" i="26"/>
  <c r="Z60" i="26"/>
  <c r="X60" i="26"/>
  <c r="X108" i="37" l="1"/>
  <c r="W108" i="37"/>
  <c r="Y108" i="37"/>
  <c r="U109" i="37"/>
  <c r="T107" i="37"/>
  <c r="U25" i="31"/>
  <c r="Q26" i="31" s="1"/>
  <c r="Y25" i="31"/>
  <c r="G35" i="41"/>
  <c r="G77" i="41"/>
  <c r="G79" i="41"/>
  <c r="G78" i="41"/>
  <c r="G74" i="41"/>
  <c r="G72" i="41"/>
  <c r="H80" i="41"/>
  <c r="G73" i="41"/>
  <c r="D110" i="45"/>
  <c r="D173" i="27"/>
  <c r="E172" i="27"/>
  <c r="E110" i="45" s="1"/>
  <c r="E80" i="41"/>
  <c r="G80" i="41"/>
  <c r="G76" i="41"/>
  <c r="G75" i="41"/>
  <c r="H81" i="41"/>
  <c r="G81" i="41"/>
  <c r="E81" i="41"/>
  <c r="G45" i="41"/>
  <c r="G49" i="41"/>
  <c r="G43" i="41"/>
  <c r="G60" i="41"/>
  <c r="G62" i="41"/>
  <c r="G36" i="41"/>
  <c r="G42" i="41"/>
  <c r="G56" i="41"/>
  <c r="G41" i="41"/>
  <c r="G38" i="41"/>
  <c r="G54" i="41"/>
  <c r="G52" i="41"/>
  <c r="G66" i="41"/>
  <c r="G64" i="41"/>
  <c r="G47" i="41"/>
  <c r="G39" i="41"/>
  <c r="G50" i="41"/>
  <c r="G65" i="41"/>
  <c r="G58" i="41"/>
  <c r="G70" i="41"/>
  <c r="G51" i="41"/>
  <c r="G40" i="41"/>
  <c r="G59" i="41"/>
  <c r="G68" i="41"/>
  <c r="G63" i="41"/>
  <c r="G61" i="41"/>
  <c r="G44" i="41"/>
  <c r="G69" i="41"/>
  <c r="G57" i="41"/>
  <c r="G55" i="41"/>
  <c r="G48" i="41"/>
  <c r="G46" i="41"/>
  <c r="G67" i="41"/>
  <c r="G53" i="41"/>
  <c r="G37" i="41"/>
  <c r="G71" i="41"/>
  <c r="AX29" i="26"/>
  <c r="BJ29" i="26"/>
  <c r="AY29" i="26"/>
  <c r="O62" i="26"/>
  <c r="R62" i="26"/>
  <c r="S62" i="26"/>
  <c r="U62" i="26" s="1"/>
  <c r="P63" i="26"/>
  <c r="Q63" i="26" s="1"/>
  <c r="N66" i="34"/>
  <c r="M67" i="34"/>
  <c r="J68" i="34" s="1"/>
  <c r="L67" i="34"/>
  <c r="K66" i="34"/>
  <c r="X61" i="26"/>
  <c r="Y61" i="26"/>
  <c r="V61" i="26"/>
  <c r="Z61" i="26"/>
  <c r="W61" i="26"/>
  <c r="Y109" i="37" l="1"/>
  <c r="X109" i="37"/>
  <c r="W109" i="37"/>
  <c r="T109" i="37" s="1"/>
  <c r="U110" i="37"/>
  <c r="T108" i="37"/>
  <c r="AB25" i="31"/>
  <c r="W25" i="31"/>
  <c r="Z25" i="31" s="1"/>
  <c r="AA25" i="31" s="1"/>
  <c r="AH25" i="31" s="1"/>
  <c r="AG25" i="31"/>
  <c r="C40" i="43" s="1"/>
  <c r="AZ29" i="26"/>
  <c r="BU32" i="26"/>
  <c r="BV32" i="26"/>
  <c r="BR32" i="26"/>
  <c r="BT32" i="26"/>
  <c r="BS32" i="26"/>
  <c r="J80" i="41"/>
  <c r="L80" i="41" s="1"/>
  <c r="J81" i="41"/>
  <c r="L81" i="41" s="1"/>
  <c r="D111" i="45"/>
  <c r="E173" i="27"/>
  <c r="E111" i="45" s="1"/>
  <c r="D174" i="27"/>
  <c r="BH29" i="26"/>
  <c r="BL29" i="26"/>
  <c r="BD29" i="26"/>
  <c r="BG29" i="26"/>
  <c r="BK29" i="26"/>
  <c r="BF29" i="26"/>
  <c r="AU29" i="26"/>
  <c r="BB29" i="26"/>
  <c r="BC29" i="26"/>
  <c r="BE29" i="26"/>
  <c r="BA29" i="26"/>
  <c r="BI29" i="26"/>
  <c r="AV30" i="26"/>
  <c r="S26" i="31"/>
  <c r="R26" i="31"/>
  <c r="X25" i="31"/>
  <c r="AI25" i="31" s="1"/>
  <c r="D40" i="43" s="1"/>
  <c r="E40" i="43" s="1"/>
  <c r="G40" i="43" s="1"/>
  <c r="O63" i="26"/>
  <c r="R63" i="26"/>
  <c r="S63" i="26"/>
  <c r="U63" i="26" s="1"/>
  <c r="K67" i="34"/>
  <c r="M68" i="34"/>
  <c r="J69" i="34" s="1"/>
  <c r="L68" i="34"/>
  <c r="N67" i="34"/>
  <c r="X62" i="26"/>
  <c r="Z62" i="26"/>
  <c r="AA62" i="26"/>
  <c r="Z63" i="26"/>
  <c r="W62" i="26"/>
  <c r="Y62" i="26"/>
  <c r="V62" i="26"/>
  <c r="Y110" i="37" l="1"/>
  <c r="X110" i="37"/>
  <c r="W110" i="37"/>
  <c r="T110" i="37" s="1"/>
  <c r="U111" i="37"/>
  <c r="D112" i="45"/>
  <c r="D175" i="27"/>
  <c r="E174" i="27"/>
  <c r="E112" i="45" s="1"/>
  <c r="AW30" i="26"/>
  <c r="H40" i="43"/>
  <c r="I40" i="43" s="1"/>
  <c r="F40" i="43"/>
  <c r="T26" i="31"/>
  <c r="Y26" i="31"/>
  <c r="U26" i="31"/>
  <c r="BV33" i="26"/>
  <c r="BV22" i="24"/>
  <c r="AS22" i="24" s="1"/>
  <c r="O68" i="9"/>
  <c r="BT25" i="24"/>
  <c r="AQ25" i="24" s="1"/>
  <c r="M63" i="9"/>
  <c r="BV31" i="24"/>
  <c r="AS31" i="24" s="1"/>
  <c r="O61" i="9"/>
  <c r="BV26" i="24"/>
  <c r="AS26" i="24" s="1"/>
  <c r="BX21" i="24"/>
  <c r="AU21" i="24" s="1"/>
  <c r="P68" i="9"/>
  <c r="BX27" i="24"/>
  <c r="AU27" i="24" s="1"/>
  <c r="BS32" i="24"/>
  <c r="AP32" i="24" s="1"/>
  <c r="N55" i="9"/>
  <c r="BT33" i="24"/>
  <c r="AQ33" i="24" s="1"/>
  <c r="N63" i="9"/>
  <c r="BT30" i="24"/>
  <c r="AQ30" i="24" s="1"/>
  <c r="BW27" i="24"/>
  <c r="AT27" i="24" s="1"/>
  <c r="BV28" i="24"/>
  <c r="AS28" i="24" s="1"/>
  <c r="BT29" i="24"/>
  <c r="AQ29" i="24" s="1"/>
  <c r="M64" i="9"/>
  <c r="N61" i="9"/>
  <c r="N58" i="9"/>
  <c r="BS31" i="24"/>
  <c r="AP31" i="24" s="1"/>
  <c r="BU19" i="24"/>
  <c r="AR19" i="24" s="1"/>
  <c r="BS18" i="24"/>
  <c r="AP18" i="24" s="1"/>
  <c r="BX30" i="24"/>
  <c r="AU30" i="24" s="1"/>
  <c r="BS29" i="24"/>
  <c r="AP29" i="24" s="1"/>
  <c r="P57" i="9"/>
  <c r="M68" i="9"/>
  <c r="BT20" i="24"/>
  <c r="AQ20" i="24" s="1"/>
  <c r="M67" i="9"/>
  <c r="BU31" i="24"/>
  <c r="AR31" i="24" s="1"/>
  <c r="BW22" i="24"/>
  <c r="AT22" i="24" s="1"/>
  <c r="BW31" i="24"/>
  <c r="AT31" i="24" s="1"/>
  <c r="BU29" i="24"/>
  <c r="AR29" i="24" s="1"/>
  <c r="BU22" i="24"/>
  <c r="AR22" i="24" s="1"/>
  <c r="P58" i="9"/>
  <c r="L64" i="9"/>
  <c r="BU23" i="24"/>
  <c r="AR23" i="24" s="1"/>
  <c r="BU18" i="24"/>
  <c r="AR18" i="24" s="1"/>
  <c r="P67" i="9"/>
  <c r="L57" i="9"/>
  <c r="BS30" i="24"/>
  <c r="AP30" i="24" s="1"/>
  <c r="BU25" i="24"/>
  <c r="AR25" i="24" s="1"/>
  <c r="BV27" i="24"/>
  <c r="AS27" i="24" s="1"/>
  <c r="M65" i="9"/>
  <c r="BV25" i="24"/>
  <c r="AS25" i="24" s="1"/>
  <c r="BX18" i="24"/>
  <c r="AU18" i="24" s="1"/>
  <c r="L62" i="9"/>
  <c r="O54" i="9"/>
  <c r="BT17" i="24"/>
  <c r="AQ17" i="24" s="1"/>
  <c r="BS23" i="24"/>
  <c r="AP23" i="24" s="1"/>
  <c r="BV17" i="24"/>
  <c r="AS17" i="24" s="1"/>
  <c r="BT31" i="24"/>
  <c r="AQ31" i="24" s="1"/>
  <c r="M66" i="9"/>
  <c r="L60" i="9"/>
  <c r="BT23" i="24"/>
  <c r="AQ23" i="24" s="1"/>
  <c r="O66" i="9"/>
  <c r="BV24" i="24"/>
  <c r="AS24" i="24" s="1"/>
  <c r="BW25" i="24"/>
  <c r="AT25" i="24" s="1"/>
  <c r="N66" i="9"/>
  <c r="BX26" i="24"/>
  <c r="AU26" i="24" s="1"/>
  <c r="O64" i="9"/>
  <c r="L59" i="9"/>
  <c r="P56" i="9"/>
  <c r="M62" i="9"/>
  <c r="O65" i="9"/>
  <c r="M55" i="9"/>
  <c r="BS25" i="24"/>
  <c r="AP25" i="24" s="1"/>
  <c r="N68" i="9"/>
  <c r="O53" i="9"/>
  <c r="BX25" i="24"/>
  <c r="AU25" i="24" s="1"/>
  <c r="O59" i="9"/>
  <c r="N54" i="9"/>
  <c r="P63" i="9"/>
  <c r="BX24" i="24"/>
  <c r="AU24" i="24" s="1"/>
  <c r="P66" i="9"/>
  <c r="P62" i="9"/>
  <c r="BW28" i="24"/>
  <c r="AT28" i="24" s="1"/>
  <c r="M61" i="9"/>
  <c r="L53" i="9"/>
  <c r="N59" i="9"/>
  <c r="BS17" i="24"/>
  <c r="AP17" i="24" s="1"/>
  <c r="P60" i="9"/>
  <c r="BT28" i="24"/>
  <c r="AQ28" i="24" s="1"/>
  <c r="BW17" i="24"/>
  <c r="AT17" i="24" s="1"/>
  <c r="BW20" i="24"/>
  <c r="AT20" i="24" s="1"/>
  <c r="BT22" i="24"/>
  <c r="AQ22" i="24" s="1"/>
  <c r="BW24" i="24"/>
  <c r="AT24" i="24" s="1"/>
  <c r="BX28" i="24"/>
  <c r="AU28" i="24" s="1"/>
  <c r="BW23" i="24"/>
  <c r="AT23" i="24" s="1"/>
  <c r="BV32" i="24"/>
  <c r="AS32" i="24" s="1"/>
  <c r="BU21" i="24"/>
  <c r="AR21" i="24" s="1"/>
  <c r="L55" i="9"/>
  <c r="BX19" i="24"/>
  <c r="AU19" i="24" s="1"/>
  <c r="O58" i="9"/>
  <c r="L61" i="9"/>
  <c r="BS33" i="24"/>
  <c r="AP33" i="24" s="1"/>
  <c r="O63" i="9"/>
  <c r="M57" i="9"/>
  <c r="M58" i="9"/>
  <c r="N64" i="9"/>
  <c r="P53" i="9"/>
  <c r="BT32" i="24"/>
  <c r="AQ32" i="24" s="1"/>
  <c r="O57" i="9"/>
  <c r="L69" i="9"/>
  <c r="BX33" i="24"/>
  <c r="AU33" i="24" s="1"/>
  <c r="M69" i="9"/>
  <c r="N65" i="9"/>
  <c r="BW30" i="24"/>
  <c r="AT30" i="24" s="1"/>
  <c r="BX23" i="24"/>
  <c r="AU23" i="24" s="1"/>
  <c r="P61" i="9"/>
  <c r="BW33" i="24"/>
  <c r="AT33" i="24" s="1"/>
  <c r="L54" i="9"/>
  <c r="BT27" i="24"/>
  <c r="AQ27" i="24" s="1"/>
  <c r="BW19" i="24"/>
  <c r="AT19" i="24" s="1"/>
  <c r="O62" i="9"/>
  <c r="N67" i="9"/>
  <c r="BV21" i="24"/>
  <c r="AS21" i="24" s="1"/>
  <c r="L67" i="9"/>
  <c r="BS27" i="24"/>
  <c r="AP27" i="24" s="1"/>
  <c r="BS20" i="24"/>
  <c r="AP20" i="24" s="1"/>
  <c r="BV18" i="24"/>
  <c r="AS18" i="24" s="1"/>
  <c r="BS24" i="24"/>
  <c r="AP24" i="24" s="1"/>
  <c r="BX29" i="24"/>
  <c r="AU29" i="24" s="1"/>
  <c r="BW29" i="24"/>
  <c r="AT29" i="24" s="1"/>
  <c r="BT26" i="24"/>
  <c r="AQ26" i="24" s="1"/>
  <c r="O67" i="9"/>
  <c r="N60" i="9"/>
  <c r="BU17" i="24"/>
  <c r="AR17" i="24" s="1"/>
  <c r="P70" i="9"/>
  <c r="BU33" i="24"/>
  <c r="AR33" i="24" s="1"/>
  <c r="BS21" i="24"/>
  <c r="AP21" i="24" s="1"/>
  <c r="BS26" i="24"/>
  <c r="AP26" i="24" s="1"/>
  <c r="BX22" i="24"/>
  <c r="AU22" i="24" s="1"/>
  <c r="L66" i="9"/>
  <c r="BV19" i="24"/>
  <c r="AS19" i="24" s="1"/>
  <c r="M60" i="9"/>
  <c r="M59" i="9"/>
  <c r="M54" i="9"/>
  <c r="BV30" i="24"/>
  <c r="AS30" i="24" s="1"/>
  <c r="P59" i="9"/>
  <c r="BX17" i="24"/>
  <c r="AU17" i="24" s="1"/>
  <c r="P65" i="9"/>
  <c r="P69" i="9"/>
  <c r="L68" i="9"/>
  <c r="L56" i="9"/>
  <c r="O60" i="9"/>
  <c r="N57" i="9"/>
  <c r="BW18" i="24"/>
  <c r="AT18" i="24" s="1"/>
  <c r="BS22" i="24"/>
  <c r="AP22" i="24" s="1"/>
  <c r="P54" i="9"/>
  <c r="BX31" i="24"/>
  <c r="AU31" i="24" s="1"/>
  <c r="M56" i="9"/>
  <c r="L65" i="9"/>
  <c r="BT21" i="24"/>
  <c r="AQ21" i="24" s="1"/>
  <c r="BW26" i="24"/>
  <c r="AT26" i="24" s="1"/>
  <c r="BT24" i="24"/>
  <c r="AQ24" i="24" s="1"/>
  <c r="N56" i="9"/>
  <c r="P55" i="9"/>
  <c r="BS19" i="24"/>
  <c r="AP19" i="24" s="1"/>
  <c r="P64" i="9"/>
  <c r="BT18" i="24"/>
  <c r="AQ18" i="24" s="1"/>
  <c r="BX20" i="24"/>
  <c r="AU20" i="24" s="1"/>
  <c r="BU26" i="24"/>
  <c r="AR26" i="24" s="1"/>
  <c r="BT19" i="24"/>
  <c r="AQ19" i="24" s="1"/>
  <c r="BS28" i="24"/>
  <c r="AP28" i="24" s="1"/>
  <c r="L58" i="9"/>
  <c r="BV29" i="24"/>
  <c r="AS29" i="24" s="1"/>
  <c r="O69" i="9"/>
  <c r="BU30" i="24"/>
  <c r="AR30" i="24" s="1"/>
  <c r="L63" i="9"/>
  <c r="BW21" i="24"/>
  <c r="AT21" i="24" s="1"/>
  <c r="N69" i="9"/>
  <c r="M53" i="9"/>
  <c r="N53" i="9"/>
  <c r="BV20" i="24"/>
  <c r="AS20" i="24" s="1"/>
  <c r="BV33" i="24"/>
  <c r="AS33" i="24" s="1"/>
  <c r="BU20" i="24"/>
  <c r="AR20" i="24" s="1"/>
  <c r="BX32" i="24"/>
  <c r="AU32" i="24" s="1"/>
  <c r="O55" i="9"/>
  <c r="BV23" i="24"/>
  <c r="AS23" i="24" s="1"/>
  <c r="BU32" i="24"/>
  <c r="AR32" i="24" s="1"/>
  <c r="BU28" i="24"/>
  <c r="AR28" i="24" s="1"/>
  <c r="N62" i="9"/>
  <c r="BU27" i="24"/>
  <c r="AR27" i="24" s="1"/>
  <c r="BU24" i="24"/>
  <c r="AR24" i="24" s="1"/>
  <c r="O56" i="9"/>
  <c r="BW32" i="24"/>
  <c r="AT32" i="24" s="1"/>
  <c r="N68" i="34"/>
  <c r="K68" i="34"/>
  <c r="M69" i="34"/>
  <c r="J70" i="34" s="1"/>
  <c r="L69" i="34"/>
  <c r="V63" i="26"/>
  <c r="X63" i="26"/>
  <c r="Y63" i="26"/>
  <c r="W63" i="26"/>
  <c r="AA63" i="26"/>
  <c r="W111" i="37" l="1"/>
  <c r="X111" i="37"/>
  <c r="Y111" i="37"/>
  <c r="U112" i="37"/>
  <c r="L70" i="9"/>
  <c r="BR33" i="26"/>
  <c r="N70" i="9"/>
  <c r="BT33" i="26"/>
  <c r="BU33" i="26"/>
  <c r="O70" i="9"/>
  <c r="M70" i="9"/>
  <c r="BS33" i="26"/>
  <c r="D113" i="45"/>
  <c r="E175" i="27"/>
  <c r="E113" i="45" s="1"/>
  <c r="D176" i="27"/>
  <c r="AX30" i="26"/>
  <c r="BJ30" i="26" s="1"/>
  <c r="AY30" i="26"/>
  <c r="V36" i="9"/>
  <c r="V28" i="9"/>
  <c r="V30" i="9"/>
  <c r="S29" i="9"/>
  <c r="S35" i="9"/>
  <c r="V25" i="9"/>
  <c r="S32" i="9"/>
  <c r="S30" i="9"/>
  <c r="V21" i="9"/>
  <c r="S25" i="9"/>
  <c r="V32" i="9"/>
  <c r="V22" i="9"/>
  <c r="S23" i="9"/>
  <c r="V24" i="9"/>
  <c r="S37" i="9"/>
  <c r="V33" i="9"/>
  <c r="T29" i="9"/>
  <c r="S24" i="9"/>
  <c r="S34" i="9"/>
  <c r="V26" i="9"/>
  <c r="V29" i="9"/>
  <c r="S26" i="9"/>
  <c r="T30" i="9"/>
  <c r="S36" i="9"/>
  <c r="V35" i="9"/>
  <c r="T31" i="9"/>
  <c r="S22" i="9"/>
  <c r="T32" i="9"/>
  <c r="S31" i="9"/>
  <c r="T27" i="9"/>
  <c r="T37" i="9"/>
  <c r="S21" i="9"/>
  <c r="T25" i="9"/>
  <c r="V37" i="9"/>
  <c r="V23" i="9"/>
  <c r="T36" i="9"/>
  <c r="T21" i="9"/>
  <c r="S27" i="9"/>
  <c r="S33" i="9"/>
  <c r="V31" i="9"/>
  <c r="T26" i="9"/>
  <c r="T34" i="9"/>
  <c r="T22" i="9"/>
  <c r="V34" i="9"/>
  <c r="T35" i="9"/>
  <c r="S28" i="9"/>
  <c r="T24" i="9"/>
  <c r="T33" i="9"/>
  <c r="T23" i="9"/>
  <c r="V27" i="9"/>
  <c r="T28" i="9"/>
  <c r="Q27" i="31"/>
  <c r="W26" i="31"/>
  <c r="AB26" i="31"/>
  <c r="AG26" i="31"/>
  <c r="C41" i="43" s="1"/>
  <c r="N69" i="34"/>
  <c r="K69" i="34"/>
  <c r="L70" i="34"/>
  <c r="M70" i="34"/>
  <c r="J71" i="34" s="1"/>
  <c r="Y112" i="37" l="1"/>
  <c r="X112" i="37"/>
  <c r="W112" i="37"/>
  <c r="T112" i="37" s="1"/>
  <c r="U113" i="37"/>
  <c r="T111" i="37"/>
  <c r="BI30" i="26"/>
  <c r="BE30" i="26"/>
  <c r="BD30" i="26"/>
  <c r="D177" i="27"/>
  <c r="D114" i="45"/>
  <c r="E176" i="27"/>
  <c r="E114" i="45" s="1"/>
  <c r="BH30" i="26"/>
  <c r="BC30" i="26"/>
  <c r="BG30" i="26"/>
  <c r="AU30" i="26"/>
  <c r="BK30" i="26"/>
  <c r="BA30" i="26"/>
  <c r="BF30" i="26"/>
  <c r="BB30" i="26"/>
  <c r="BL30" i="26"/>
  <c r="AZ30" i="26"/>
  <c r="AV31" i="26"/>
  <c r="R27" i="31"/>
  <c r="S27" i="31"/>
  <c r="X26" i="31"/>
  <c r="AI26" i="31" s="1"/>
  <c r="D41" i="43" s="1"/>
  <c r="E41" i="43" s="1"/>
  <c r="G41" i="43" s="1"/>
  <c r="Z26" i="31"/>
  <c r="AA26" i="31" s="1"/>
  <c r="AH26" i="31" s="1"/>
  <c r="N70" i="34"/>
  <c r="K70" i="34"/>
  <c r="L71" i="34"/>
  <c r="M71" i="34"/>
  <c r="J72" i="34" s="1"/>
  <c r="Y113" i="37" l="1"/>
  <c r="X113" i="37"/>
  <c r="W113" i="37"/>
  <c r="T113" i="37" s="1"/>
  <c r="U114" i="37"/>
  <c r="D115" i="45"/>
  <c r="E177" i="27"/>
  <c r="E115" i="45" s="1"/>
  <c r="D178" i="27"/>
  <c r="AW31" i="26"/>
  <c r="T27" i="31"/>
  <c r="Y27" i="31"/>
  <c r="U27" i="31"/>
  <c r="H41" i="43"/>
  <c r="I41" i="43" s="1"/>
  <c r="F41" i="43"/>
  <c r="AA37" i="9"/>
  <c r="Q37" i="9"/>
  <c r="AA35" i="9"/>
  <c r="Q35" i="9"/>
  <c r="AA36" i="9"/>
  <c r="Q36" i="9"/>
  <c r="AA33" i="9"/>
  <c r="Q33" i="9"/>
  <c r="Q34" i="9"/>
  <c r="AA34" i="9"/>
  <c r="AA32" i="9"/>
  <c r="Q32" i="9"/>
  <c r="N71" i="34"/>
  <c r="K71" i="34"/>
  <c r="M72" i="34"/>
  <c r="J73" i="34" s="1"/>
  <c r="L72" i="34"/>
  <c r="Y114" i="37" l="1"/>
  <c r="W114" i="37"/>
  <c r="X114" i="37"/>
  <c r="U115" i="37"/>
  <c r="D116" i="45"/>
  <c r="E178" i="27"/>
  <c r="E116" i="45" s="1"/>
  <c r="D179" i="27"/>
  <c r="AY31" i="26"/>
  <c r="BJ31" i="26" s="1"/>
  <c r="AX31" i="26"/>
  <c r="AA28" i="9"/>
  <c r="W27" i="31"/>
  <c r="Q28" i="31"/>
  <c r="AB27" i="31"/>
  <c r="AG27" i="31"/>
  <c r="C42" i="43" s="1"/>
  <c r="AA29" i="9"/>
  <c r="Q29" i="9"/>
  <c r="R33" i="9"/>
  <c r="AB33" i="9"/>
  <c r="U33" i="9" s="1"/>
  <c r="AJ33" i="9" s="1"/>
  <c r="AN33" i="9" s="1"/>
  <c r="Q21" i="9"/>
  <c r="AA21" i="9"/>
  <c r="AA24" i="9"/>
  <c r="Q24" i="9"/>
  <c r="AA27" i="9"/>
  <c r="Q27" i="9"/>
  <c r="AB35" i="9"/>
  <c r="U35" i="9" s="1"/>
  <c r="AJ35" i="9" s="1"/>
  <c r="AN35" i="9" s="1"/>
  <c r="R35" i="9"/>
  <c r="AB32" i="9"/>
  <c r="U32" i="9" s="1"/>
  <c r="AJ32" i="9" s="1"/>
  <c r="AN32" i="9" s="1"/>
  <c r="R32" i="9"/>
  <c r="AB34" i="9"/>
  <c r="U34" i="9" s="1"/>
  <c r="AJ34" i="9" s="1"/>
  <c r="AN34" i="9" s="1"/>
  <c r="R34" i="9"/>
  <c r="AB36" i="9"/>
  <c r="U36" i="9" s="1"/>
  <c r="AJ36" i="9" s="1"/>
  <c r="AN36" i="9" s="1"/>
  <c r="R36" i="9"/>
  <c r="R37" i="9"/>
  <c r="AB37" i="9"/>
  <c r="U37" i="9" s="1"/>
  <c r="AJ37" i="9" s="1"/>
  <c r="AN37" i="9" s="1"/>
  <c r="K72" i="34"/>
  <c r="N72" i="34"/>
  <c r="M73" i="34"/>
  <c r="J74" i="34" s="1"/>
  <c r="L73" i="34"/>
  <c r="Y115" i="37" l="1"/>
  <c r="W115" i="37"/>
  <c r="X115" i="37"/>
  <c r="U116" i="37"/>
  <c r="T114" i="37"/>
  <c r="AF36" i="9"/>
  <c r="AF34" i="9"/>
  <c r="BC31" i="26"/>
  <c r="AF32" i="9"/>
  <c r="AT12" i="9" s="1"/>
  <c r="AF35" i="9"/>
  <c r="AF33" i="9"/>
  <c r="AT13" i="9" s="1"/>
  <c r="AF37" i="9"/>
  <c r="AG37" i="9" s="1"/>
  <c r="AI35" i="9"/>
  <c r="AL35" i="9" s="1"/>
  <c r="AI36" i="9"/>
  <c r="AL36" i="9" s="1"/>
  <c r="D117" i="45"/>
  <c r="E179" i="27"/>
  <c r="E117" i="45" s="1"/>
  <c r="D180" i="27"/>
  <c r="BD31" i="26"/>
  <c r="BI31" i="26"/>
  <c r="BH31" i="26"/>
  <c r="BF31" i="26"/>
  <c r="AZ31" i="26"/>
  <c r="BE31" i="26"/>
  <c r="BG31" i="26"/>
  <c r="BL31" i="26"/>
  <c r="BB31" i="26"/>
  <c r="BA31" i="26"/>
  <c r="BK31" i="26"/>
  <c r="AU31" i="26"/>
  <c r="AV32" i="26"/>
  <c r="Q28" i="9"/>
  <c r="Q22" i="9"/>
  <c r="AA22" i="9"/>
  <c r="AA23" i="9"/>
  <c r="Q23" i="9"/>
  <c r="Q20" i="9"/>
  <c r="AA20" i="9"/>
  <c r="Q26" i="9"/>
  <c r="AA26" i="9"/>
  <c r="Q31" i="9"/>
  <c r="AA31" i="9"/>
  <c r="AA25" i="9"/>
  <c r="Q25" i="9"/>
  <c r="AA30" i="9"/>
  <c r="Q30" i="9"/>
  <c r="S28" i="31"/>
  <c r="R28" i="31"/>
  <c r="X27" i="31"/>
  <c r="AI27" i="31" s="1"/>
  <c r="D42" i="43" s="1"/>
  <c r="E42" i="43" s="1"/>
  <c r="G42" i="43" s="1"/>
  <c r="Z27" i="31"/>
  <c r="AA27" i="31" s="1"/>
  <c r="AH27" i="31" s="1"/>
  <c r="AI37" i="9"/>
  <c r="AB27" i="9"/>
  <c r="U27" i="9" s="1"/>
  <c r="AJ27" i="9" s="1"/>
  <c r="AN27" i="9" s="1"/>
  <c r="R27" i="9"/>
  <c r="AI32" i="9"/>
  <c r="R21" i="9"/>
  <c r="AB21" i="9"/>
  <c r="U21" i="9" s="1"/>
  <c r="AJ21" i="9" s="1"/>
  <c r="AN21" i="9" s="1"/>
  <c r="AI33" i="9"/>
  <c r="AI34" i="9"/>
  <c r="AB28" i="9"/>
  <c r="U28" i="9" s="1"/>
  <c r="AJ28" i="9" s="1"/>
  <c r="AN28" i="9" s="1"/>
  <c r="R28" i="9"/>
  <c r="AB24" i="9"/>
  <c r="U24" i="9" s="1"/>
  <c r="AJ24" i="9" s="1"/>
  <c r="AN24" i="9" s="1"/>
  <c r="R24" i="9"/>
  <c r="AB29" i="9"/>
  <c r="U29" i="9" s="1"/>
  <c r="AJ29" i="9" s="1"/>
  <c r="AN29" i="9" s="1"/>
  <c r="R29" i="9"/>
  <c r="N73" i="34"/>
  <c r="K73" i="34"/>
  <c r="L74" i="34"/>
  <c r="M74" i="34"/>
  <c r="J75" i="34" s="1"/>
  <c r="X116" i="37" l="1"/>
  <c r="W116" i="37"/>
  <c r="Y116" i="37"/>
  <c r="U117" i="37"/>
  <c r="T115" i="37"/>
  <c r="AF24" i="9"/>
  <c r="AG24" i="9" s="1"/>
  <c r="AF27" i="9"/>
  <c r="AF21" i="9"/>
  <c r="AF28" i="9"/>
  <c r="D94" i="9" s="1"/>
  <c r="AF29" i="9"/>
  <c r="AG29" i="9" s="1"/>
  <c r="AM36" i="9"/>
  <c r="AK36" i="9"/>
  <c r="AK35" i="9"/>
  <c r="AM35" i="9"/>
  <c r="E180" i="27"/>
  <c r="E118" i="45" s="1"/>
  <c r="D118" i="45"/>
  <c r="D181" i="27"/>
  <c r="AW32" i="26"/>
  <c r="R23" i="9"/>
  <c r="AB23" i="9"/>
  <c r="U23" i="9" s="1"/>
  <c r="AJ23" i="9" s="1"/>
  <c r="AN23" i="9" s="1"/>
  <c r="R22" i="9"/>
  <c r="AB22" i="9"/>
  <c r="U22" i="9" s="1"/>
  <c r="AJ22" i="9" s="1"/>
  <c r="AN22" i="9" s="1"/>
  <c r="R26" i="9"/>
  <c r="AB26" i="9"/>
  <c r="U26" i="9" s="1"/>
  <c r="AJ26" i="9" s="1"/>
  <c r="AN26" i="9" s="1"/>
  <c r="R30" i="9"/>
  <c r="AB30" i="9"/>
  <c r="U30" i="9" s="1"/>
  <c r="AJ30" i="9" s="1"/>
  <c r="AN30" i="9" s="1"/>
  <c r="R20" i="9"/>
  <c r="AB20" i="9"/>
  <c r="U20" i="9" s="1"/>
  <c r="AJ20" i="9" s="1"/>
  <c r="AN20" i="9" s="1"/>
  <c r="AB25" i="9"/>
  <c r="U25" i="9" s="1"/>
  <c r="AJ25" i="9" s="1"/>
  <c r="AN25" i="9" s="1"/>
  <c r="R25" i="9"/>
  <c r="R31" i="9"/>
  <c r="AB31" i="9"/>
  <c r="U31" i="9" s="1"/>
  <c r="AJ31" i="9" s="1"/>
  <c r="AN31" i="9" s="1"/>
  <c r="F42" i="43"/>
  <c r="H42" i="43"/>
  <c r="I42" i="43" s="1"/>
  <c r="Y28" i="31"/>
  <c r="T28" i="31"/>
  <c r="U28" i="31"/>
  <c r="AG33" i="9"/>
  <c r="D99" i="9"/>
  <c r="D103" i="9"/>
  <c r="D98" i="9"/>
  <c r="AT17" i="9"/>
  <c r="AG32" i="9"/>
  <c r="AI21" i="9"/>
  <c r="AL32" i="9"/>
  <c r="AK32" i="9"/>
  <c r="AM32" i="9"/>
  <c r="AI24" i="9"/>
  <c r="AT15" i="9"/>
  <c r="AG35" i="9"/>
  <c r="D101" i="9"/>
  <c r="AT16" i="9"/>
  <c r="AG36" i="9"/>
  <c r="D102" i="9"/>
  <c r="AI28" i="9"/>
  <c r="AT14" i="9"/>
  <c r="D100" i="9"/>
  <c r="AG34" i="9"/>
  <c r="AM34" i="9"/>
  <c r="AL34" i="9"/>
  <c r="AK34" i="9"/>
  <c r="AI27" i="9"/>
  <c r="AI29" i="9"/>
  <c r="AL33" i="9"/>
  <c r="AM33" i="9"/>
  <c r="AK33" i="9"/>
  <c r="AL37" i="9"/>
  <c r="AM37" i="9"/>
  <c r="AK37" i="9"/>
  <c r="N74" i="34"/>
  <c r="K74" i="34"/>
  <c r="M75" i="34"/>
  <c r="J76" i="34" s="1"/>
  <c r="L75" i="34"/>
  <c r="Y117" i="37" l="1"/>
  <c r="X117" i="37"/>
  <c r="W117" i="37"/>
  <c r="T117" i="37" s="1"/>
  <c r="U118" i="37"/>
  <c r="T116" i="37"/>
  <c r="AF20" i="9"/>
  <c r="AF23" i="9"/>
  <c r="AF22" i="9"/>
  <c r="AF30" i="9"/>
  <c r="AF31" i="9"/>
  <c r="AF26" i="9"/>
  <c r="AF25" i="9"/>
  <c r="AG25" i="9" s="1"/>
  <c r="E181" i="27"/>
  <c r="E119" i="45" s="1"/>
  <c r="D182" i="27"/>
  <c r="D119" i="45"/>
  <c r="AY32" i="26"/>
  <c r="AX32" i="26"/>
  <c r="BJ32" i="26"/>
  <c r="AI22" i="9"/>
  <c r="AI20" i="9"/>
  <c r="AI26" i="9"/>
  <c r="AI23" i="9"/>
  <c r="AI31" i="9"/>
  <c r="AI25" i="9"/>
  <c r="AI30" i="9"/>
  <c r="Q29" i="31"/>
  <c r="R29" i="31" s="1"/>
  <c r="W28" i="31"/>
  <c r="AB28" i="31"/>
  <c r="AG28" i="31"/>
  <c r="C43" i="43" s="1"/>
  <c r="AG28" i="9"/>
  <c r="D90" i="9"/>
  <c r="K46" i="27" s="1"/>
  <c r="AT8" i="9"/>
  <c r="AU8" i="9" s="1"/>
  <c r="AS14" i="9"/>
  <c r="AU14" i="9" s="1"/>
  <c r="AW14" i="9" s="1"/>
  <c r="D95" i="9"/>
  <c r="K41" i="27" s="1"/>
  <c r="AT9" i="9"/>
  <c r="AU9" i="9" s="1"/>
  <c r="AY9" i="9" s="1"/>
  <c r="AK27" i="9"/>
  <c r="AL27" i="9"/>
  <c r="AM27" i="9"/>
  <c r="AL24" i="9"/>
  <c r="AK24" i="9"/>
  <c r="AM24" i="9"/>
  <c r="K40" i="27"/>
  <c r="P40" i="27"/>
  <c r="AL29" i="9"/>
  <c r="AM29" i="9"/>
  <c r="AK29" i="9"/>
  <c r="AS11" i="9"/>
  <c r="D87" i="9"/>
  <c r="AG21" i="9"/>
  <c r="AL21" i="9"/>
  <c r="AK21" i="9"/>
  <c r="AM21" i="9"/>
  <c r="D93" i="9"/>
  <c r="K49" i="27" s="1"/>
  <c r="AG27" i="9"/>
  <c r="AS17" i="9"/>
  <c r="AU17" i="9" s="1"/>
  <c r="AM28" i="9"/>
  <c r="AK28" i="9"/>
  <c r="AL28" i="9"/>
  <c r="K75" i="34"/>
  <c r="N75" i="34"/>
  <c r="M76" i="34"/>
  <c r="J77" i="34" s="1"/>
  <c r="L76" i="34"/>
  <c r="Y118" i="37" l="1"/>
  <c r="X118" i="37"/>
  <c r="W118" i="37"/>
  <c r="T118" i="37" s="1"/>
  <c r="U119" i="37"/>
  <c r="BI32" i="26"/>
  <c r="BD32" i="26"/>
  <c r="AZ32" i="26"/>
  <c r="BB32" i="26"/>
  <c r="BA32" i="26"/>
  <c r="BE32" i="26"/>
  <c r="BK32" i="26"/>
  <c r="BL32" i="26"/>
  <c r="AU32" i="26"/>
  <c r="BC32" i="26"/>
  <c r="BG32" i="26"/>
  <c r="E182" i="27"/>
  <c r="E120" i="45" s="1"/>
  <c r="D120" i="45"/>
  <c r="D183" i="27"/>
  <c r="BH32" i="26"/>
  <c r="BF32" i="26"/>
  <c r="AV33" i="26"/>
  <c r="X28" i="31"/>
  <c r="AI28" i="31" s="1"/>
  <c r="D43" i="43" s="1"/>
  <c r="E43" i="43" s="1"/>
  <c r="G43" i="43" s="1"/>
  <c r="H43" i="43" s="1"/>
  <c r="I43" i="43" s="1"/>
  <c r="N9" i="43" s="1"/>
  <c r="S29" i="31"/>
  <c r="T29" i="31" s="1"/>
  <c r="D91" i="9"/>
  <c r="K47" i="27" s="1"/>
  <c r="AS15" i="9"/>
  <c r="AU15" i="9" s="1"/>
  <c r="AY15" i="9" s="1"/>
  <c r="AG30" i="9"/>
  <c r="D96" i="9"/>
  <c r="AT10" i="9"/>
  <c r="AM25" i="9"/>
  <c r="AK25" i="9"/>
  <c r="AL25" i="9"/>
  <c r="AL26" i="9"/>
  <c r="AK26" i="9"/>
  <c r="AM26" i="9"/>
  <c r="AL20" i="9"/>
  <c r="AK20" i="9"/>
  <c r="AM20" i="9"/>
  <c r="AS16" i="9"/>
  <c r="AU16" i="9" s="1"/>
  <c r="AW16" i="9" s="1"/>
  <c r="D92" i="9"/>
  <c r="K48" i="27" s="1"/>
  <c r="AG26" i="9"/>
  <c r="AS10" i="9"/>
  <c r="D86" i="9"/>
  <c r="AG20" i="9"/>
  <c r="AT11" i="9"/>
  <c r="AU11" i="9" s="1"/>
  <c r="AX11" i="9" s="1"/>
  <c r="D97" i="9"/>
  <c r="K43" i="27" s="1"/>
  <c r="AG31" i="9"/>
  <c r="AG22" i="9"/>
  <c r="D88" i="9"/>
  <c r="K44" i="27" s="1"/>
  <c r="AS12" i="9"/>
  <c r="AL31" i="9"/>
  <c r="AM31" i="9"/>
  <c r="AK31" i="9"/>
  <c r="AM22" i="9"/>
  <c r="AL22" i="9"/>
  <c r="AK22" i="9"/>
  <c r="AM30" i="9"/>
  <c r="AK30" i="9"/>
  <c r="AL30" i="9"/>
  <c r="AL23" i="9"/>
  <c r="AK23" i="9"/>
  <c r="AM23" i="9"/>
  <c r="D89" i="9"/>
  <c r="K45" i="27" s="1"/>
  <c r="AS13" i="9"/>
  <c r="AU13" i="9" s="1"/>
  <c r="AY13" i="9" s="1"/>
  <c r="AG23" i="9"/>
  <c r="Z28" i="31"/>
  <c r="AA28" i="31" s="1"/>
  <c r="AH28" i="31" s="1"/>
  <c r="AX14" i="9"/>
  <c r="AY14" i="9"/>
  <c r="I112" i="27"/>
  <c r="J112" i="27"/>
  <c r="AW8" i="9"/>
  <c r="AX8" i="9"/>
  <c r="AY8" i="9"/>
  <c r="AX17" i="9"/>
  <c r="AW17" i="9"/>
  <c r="AY17" i="9"/>
  <c r="AX9" i="9"/>
  <c r="AW9" i="9"/>
  <c r="N76" i="34"/>
  <c r="K76" i="34"/>
  <c r="L77" i="34"/>
  <c r="M77" i="34"/>
  <c r="J78" i="34" s="1"/>
  <c r="X119" i="37" l="1"/>
  <c r="W119" i="37"/>
  <c r="Y119" i="37"/>
  <c r="U120" i="37"/>
  <c r="E183" i="27"/>
  <c r="E121" i="45" s="1"/>
  <c r="D184" i="27"/>
  <c r="D121" i="45"/>
  <c r="AW33" i="26"/>
  <c r="U29" i="31"/>
  <c r="Q30" i="31" s="1"/>
  <c r="S30" i="31" s="1"/>
  <c r="Y29" i="31"/>
  <c r="F43" i="43"/>
  <c r="AW15" i="9"/>
  <c r="AX15" i="9"/>
  <c r="AX16" i="9"/>
  <c r="AY16" i="9"/>
  <c r="AW13" i="9"/>
  <c r="AU10" i="9"/>
  <c r="AW10" i="9" s="1"/>
  <c r="K42" i="27"/>
  <c r="AU12" i="9"/>
  <c r="AX13" i="9"/>
  <c r="AW11" i="9"/>
  <c r="AY11" i="9"/>
  <c r="N77" i="34"/>
  <c r="K77" i="34"/>
  <c r="L78" i="34"/>
  <c r="M78" i="34"/>
  <c r="J79" i="34" s="1"/>
  <c r="X120" i="37" l="1"/>
  <c r="W120" i="37"/>
  <c r="Y120" i="37"/>
  <c r="U121" i="37"/>
  <c r="T119" i="37"/>
  <c r="AB29" i="31"/>
  <c r="W29" i="31"/>
  <c r="X29" i="31" s="1"/>
  <c r="AI29" i="31" s="1"/>
  <c r="D44" i="43" s="1"/>
  <c r="E44" i="43" s="1"/>
  <c r="G44" i="43" s="1"/>
  <c r="E184" i="27"/>
  <c r="E122" i="45" s="1"/>
  <c r="D185" i="27"/>
  <c r="D122" i="45"/>
  <c r="AX33" i="26"/>
  <c r="BJ33" i="26"/>
  <c r="AY33" i="26"/>
  <c r="AG29" i="31"/>
  <c r="C44" i="43" s="1"/>
  <c r="R30" i="31"/>
  <c r="Y30" i="31" s="1"/>
  <c r="AY10" i="9"/>
  <c r="AX10" i="9"/>
  <c r="AY12" i="9"/>
  <c r="AW12" i="9"/>
  <c r="AX12" i="9"/>
  <c r="N78" i="34"/>
  <c r="K78" i="34"/>
  <c r="M79" i="34"/>
  <c r="J80" i="34" s="1"/>
  <c r="L79" i="34"/>
  <c r="Y121" i="37" l="1"/>
  <c r="X121" i="37"/>
  <c r="W121" i="37"/>
  <c r="T121" i="37" s="1"/>
  <c r="U122" i="37"/>
  <c r="T120" i="37"/>
  <c r="Z29" i="31"/>
  <c r="AA29" i="31" s="1"/>
  <c r="AH29" i="31" s="1"/>
  <c r="D123" i="45"/>
  <c r="E185" i="27"/>
  <c r="E123" i="45" s="1"/>
  <c r="BC33" i="26"/>
  <c r="BA33" i="26"/>
  <c r="BL33" i="26"/>
  <c r="AZ33" i="26"/>
  <c r="BI33" i="26"/>
  <c r="BK33" i="26"/>
  <c r="BB33" i="26"/>
  <c r="BE33" i="26"/>
  <c r="BD33" i="26"/>
  <c r="BG33" i="26"/>
  <c r="BF33" i="26"/>
  <c r="AU33" i="26"/>
  <c r="AV34" i="26"/>
  <c r="BH33" i="26"/>
  <c r="T30" i="31"/>
  <c r="U30" i="31"/>
  <c r="H44" i="43"/>
  <c r="I44" i="43" s="1"/>
  <c r="F44" i="43"/>
  <c r="N79" i="34"/>
  <c r="K79" i="34"/>
  <c r="M80" i="34"/>
  <c r="J81" i="34" s="1"/>
  <c r="L80" i="34"/>
  <c r="Y122" i="37" l="1"/>
  <c r="X122" i="37"/>
  <c r="W122" i="37"/>
  <c r="T122" i="37" s="1"/>
  <c r="U123" i="37"/>
  <c r="AW34" i="26"/>
  <c r="Q31" i="31"/>
  <c r="R31" i="31" s="1"/>
  <c r="W30" i="31"/>
  <c r="AG30" i="31"/>
  <c r="C45" i="43" s="1"/>
  <c r="AB30" i="31"/>
  <c r="N80" i="34"/>
  <c r="K80" i="34"/>
  <c r="L81" i="34"/>
  <c r="M81" i="34"/>
  <c r="W123" i="37" l="1"/>
  <c r="Y123" i="37"/>
  <c r="X123" i="37"/>
  <c r="U124" i="37"/>
  <c r="AY34" i="26"/>
  <c r="AU34" i="26" s="1"/>
  <c r="AX34" i="26"/>
  <c r="BJ34" i="26" s="1"/>
  <c r="S31" i="31"/>
  <c r="X30" i="31"/>
  <c r="AI30" i="31" s="1"/>
  <c r="D45" i="43" s="1"/>
  <c r="E45" i="43" s="1"/>
  <c r="G45" i="43" s="1"/>
  <c r="Z30" i="31"/>
  <c r="AA30" i="31" s="1"/>
  <c r="AH30" i="31" s="1"/>
  <c r="N81" i="34"/>
  <c r="J82" i="34"/>
  <c r="K81" i="34"/>
  <c r="Y124" i="37" l="1"/>
  <c r="X124" i="37"/>
  <c r="W124" i="37"/>
  <c r="U125" i="37"/>
  <c r="T123" i="37"/>
  <c r="AZ34" i="26"/>
  <c r="BE34" i="26"/>
  <c r="BD34" i="26"/>
  <c r="BB34" i="26"/>
  <c r="BC34" i="26"/>
  <c r="BI34" i="26"/>
  <c r="BL34" i="26"/>
  <c r="BA34" i="26"/>
  <c r="BG34" i="26"/>
  <c r="BK34" i="26"/>
  <c r="BF34" i="26"/>
  <c r="BH34" i="26"/>
  <c r="AV35" i="26"/>
  <c r="Y31" i="31"/>
  <c r="U31" i="31"/>
  <c r="T31" i="31"/>
  <c r="H45" i="43"/>
  <c r="I45" i="43" s="1"/>
  <c r="F45" i="43"/>
  <c r="L82" i="34"/>
  <c r="M82" i="34"/>
  <c r="J83" i="34" s="1"/>
  <c r="Y125" i="37" l="1"/>
  <c r="X125" i="37"/>
  <c r="W125" i="37"/>
  <c r="T125" i="37" s="1"/>
  <c r="U126" i="37"/>
  <c r="T124" i="37"/>
  <c r="Q32" i="31"/>
  <c r="S32" i="31" s="1"/>
  <c r="AW35" i="26"/>
  <c r="W31" i="31"/>
  <c r="AB31" i="31"/>
  <c r="AG31" i="31"/>
  <c r="C46" i="43" s="1"/>
  <c r="K82" i="34"/>
  <c r="N82" i="34"/>
  <c r="L83" i="34"/>
  <c r="M83" i="34"/>
  <c r="J84" i="34" s="1"/>
  <c r="Y126" i="37" l="1"/>
  <c r="W126" i="37"/>
  <c r="X126" i="37"/>
  <c r="U127" i="37"/>
  <c r="R32" i="31"/>
  <c r="T32" i="31" s="1"/>
  <c r="AY35" i="26"/>
  <c r="AX35" i="26"/>
  <c r="BJ35" i="26" s="1"/>
  <c r="X31" i="31"/>
  <c r="AI31" i="31" s="1"/>
  <c r="D46" i="43" s="1"/>
  <c r="E46" i="43" s="1"/>
  <c r="G46" i="43" s="1"/>
  <c r="Z31" i="31"/>
  <c r="AA31" i="31" s="1"/>
  <c r="AH31" i="31" s="1"/>
  <c r="N83" i="34"/>
  <c r="K83" i="34"/>
  <c r="L84" i="34"/>
  <c r="M84" i="34"/>
  <c r="J85" i="34" s="1"/>
  <c r="Y127" i="37" l="1"/>
  <c r="W127" i="37"/>
  <c r="X127" i="37"/>
  <c r="U128" i="37"/>
  <c r="T126" i="37"/>
  <c r="Y32" i="31"/>
  <c r="U32" i="31"/>
  <c r="AG32" i="31" s="1"/>
  <c r="C47" i="43" s="1"/>
  <c r="BB35" i="26"/>
  <c r="BA35" i="26"/>
  <c r="BG35" i="26"/>
  <c r="BK35" i="26"/>
  <c r="BD35" i="26"/>
  <c r="BE35" i="26"/>
  <c r="BF35" i="26"/>
  <c r="AZ35" i="26"/>
  <c r="BC35" i="26"/>
  <c r="BH35" i="26"/>
  <c r="BI35" i="26"/>
  <c r="BL35" i="26"/>
  <c r="AV36" i="26"/>
  <c r="AU35" i="26"/>
  <c r="H46" i="43"/>
  <c r="I46" i="43" s="1"/>
  <c r="F46" i="43"/>
  <c r="N84" i="34"/>
  <c r="K84" i="34"/>
  <c r="L85" i="34"/>
  <c r="M85" i="34"/>
  <c r="J86" i="34" s="1"/>
  <c r="X128" i="37" l="1"/>
  <c r="W128" i="37"/>
  <c r="T128" i="37" s="1"/>
  <c r="Y128" i="37"/>
  <c r="U129" i="37"/>
  <c r="T127" i="37"/>
  <c r="AB32" i="31"/>
  <c r="W32" i="31"/>
  <c r="X32" i="31" s="1"/>
  <c r="AI32" i="31" s="1"/>
  <c r="D47" i="43" s="1"/>
  <c r="E47" i="43" s="1"/>
  <c r="G47" i="43" s="1"/>
  <c r="H47" i="43" s="1"/>
  <c r="I47" i="43" s="1"/>
  <c r="Q33" i="31"/>
  <c r="R33" i="31" s="1"/>
  <c r="AW36" i="26"/>
  <c r="K85" i="34"/>
  <c r="L86" i="34"/>
  <c r="M86" i="34"/>
  <c r="J87" i="34" s="1"/>
  <c r="N85" i="34"/>
  <c r="Y129" i="37" l="1"/>
  <c r="X129" i="37"/>
  <c r="W129" i="37"/>
  <c r="T129" i="37" s="1"/>
  <c r="U130" i="37"/>
  <c r="S33" i="31"/>
  <c r="U33" i="31" s="1"/>
  <c r="F47" i="43"/>
  <c r="Z32" i="31"/>
  <c r="AA32" i="31" s="1"/>
  <c r="AH32" i="31" s="1"/>
  <c r="BJ36" i="26"/>
  <c r="AY36" i="26"/>
  <c r="AX36" i="26"/>
  <c r="K86" i="34"/>
  <c r="M87" i="34"/>
  <c r="J88" i="34" s="1"/>
  <c r="L87" i="34"/>
  <c r="N86" i="34"/>
  <c r="Y130" i="37" l="1"/>
  <c r="X130" i="37"/>
  <c r="W130" i="37"/>
  <c r="T130" i="37" s="1"/>
  <c r="U131" i="37"/>
  <c r="W33" i="31"/>
  <c r="X33" i="31" s="1"/>
  <c r="AI33" i="31" s="1"/>
  <c r="D48" i="43" s="1"/>
  <c r="E48" i="43" s="1"/>
  <c r="G48" i="43" s="1"/>
  <c r="AG33" i="31"/>
  <c r="C48" i="43" s="1"/>
  <c r="AB33" i="31"/>
  <c r="T33" i="31"/>
  <c r="Q34" i="31" s="1"/>
  <c r="Y33" i="31"/>
  <c r="BB36" i="26"/>
  <c r="BH36" i="26"/>
  <c r="BI36" i="26"/>
  <c r="BE36" i="26"/>
  <c r="BA36" i="26"/>
  <c r="AZ36" i="26"/>
  <c r="BC36" i="26"/>
  <c r="BD36" i="26"/>
  <c r="BG36" i="26"/>
  <c r="AV37" i="26"/>
  <c r="BK36" i="26"/>
  <c r="AU36" i="26"/>
  <c r="BL36" i="26"/>
  <c r="BF36" i="26"/>
  <c r="K87" i="34"/>
  <c r="N87" i="34"/>
  <c r="L88" i="34"/>
  <c r="M88" i="34"/>
  <c r="J89" i="34" s="1"/>
  <c r="X131" i="37" l="1"/>
  <c r="W131" i="37"/>
  <c r="Y131" i="37"/>
  <c r="U132" i="37"/>
  <c r="Z33" i="31"/>
  <c r="AA33" i="31" s="1"/>
  <c r="AH33" i="31" s="1"/>
  <c r="R34" i="31"/>
  <c r="S34" i="31"/>
  <c r="AW37" i="26"/>
  <c r="F48" i="43"/>
  <c r="H48" i="43"/>
  <c r="I48" i="43" s="1"/>
  <c r="N88" i="34"/>
  <c r="K88" i="34"/>
  <c r="L89" i="34"/>
  <c r="M89" i="34"/>
  <c r="J90" i="34" s="1"/>
  <c r="X132" i="37" l="1"/>
  <c r="W132" i="37"/>
  <c r="Y132" i="37"/>
  <c r="U133" i="37"/>
  <c r="T131" i="37"/>
  <c r="Y34" i="31"/>
  <c r="U34" i="31"/>
  <c r="AB34" i="31" s="1"/>
  <c r="T34" i="31"/>
  <c r="BI37" i="26"/>
  <c r="AY37" i="26"/>
  <c r="AU37" i="26" s="1"/>
  <c r="AX37" i="26"/>
  <c r="BE37" i="26" s="1"/>
  <c r="N89" i="34"/>
  <c r="AG34" i="31"/>
  <c r="C49" i="43" s="1"/>
  <c r="K89" i="34"/>
  <c r="L90" i="34"/>
  <c r="M90" i="34"/>
  <c r="J91" i="34" s="1"/>
  <c r="Y133" i="37" l="1"/>
  <c r="X133" i="37"/>
  <c r="W133" i="37"/>
  <c r="T133" i="37" s="1"/>
  <c r="U134" i="37"/>
  <c r="T132" i="37"/>
  <c r="Q35" i="31"/>
  <c r="W34" i="31"/>
  <c r="X34" i="31" s="1"/>
  <c r="AI34" i="31" s="1"/>
  <c r="D49" i="43" s="1"/>
  <c r="E49" i="43" s="1"/>
  <c r="F49" i="43" s="1"/>
  <c r="AZ37" i="26"/>
  <c r="BA37" i="26"/>
  <c r="BJ37" i="26"/>
  <c r="BL37" i="26"/>
  <c r="BD37" i="26"/>
  <c r="BC37" i="26"/>
  <c r="BG37" i="26"/>
  <c r="BH37" i="26"/>
  <c r="BF37" i="26"/>
  <c r="BK37" i="26"/>
  <c r="BB37" i="26"/>
  <c r="AV38" i="26"/>
  <c r="R35" i="31"/>
  <c r="S35" i="31"/>
  <c r="K90" i="34"/>
  <c r="L91" i="34"/>
  <c r="M91" i="34"/>
  <c r="J92" i="34" s="1"/>
  <c r="N90" i="34"/>
  <c r="Y134" i="37" l="1"/>
  <c r="X134" i="37"/>
  <c r="W134" i="37"/>
  <c r="U135" i="37"/>
  <c r="Z34" i="31"/>
  <c r="AA34" i="31" s="1"/>
  <c r="AH34" i="31" s="1"/>
  <c r="G49" i="43"/>
  <c r="H49" i="43" s="1"/>
  <c r="I49" i="43" s="1"/>
  <c r="AW38" i="26"/>
  <c r="Y35" i="31"/>
  <c r="T35" i="31"/>
  <c r="U35" i="31"/>
  <c r="N91" i="34"/>
  <c r="K91" i="34"/>
  <c r="M92" i="34"/>
  <c r="J93" i="34" s="1"/>
  <c r="L92" i="34"/>
  <c r="W135" i="37" l="1"/>
  <c r="T135" i="37" s="1"/>
  <c r="Y135" i="37"/>
  <c r="X135" i="37"/>
  <c r="U136" i="37"/>
  <c r="T134" i="37"/>
  <c r="BI38" i="26"/>
  <c r="AY38" i="26"/>
  <c r="AX38" i="26"/>
  <c r="W35" i="31"/>
  <c r="AG35" i="31"/>
  <c r="C50" i="43" s="1"/>
  <c r="Q36" i="31"/>
  <c r="AB35" i="31"/>
  <c r="K92" i="34"/>
  <c r="N92" i="34"/>
  <c r="M93" i="34"/>
  <c r="J94" i="34" s="1"/>
  <c r="L93" i="34"/>
  <c r="Y136" i="37" l="1"/>
  <c r="X136" i="37"/>
  <c r="W136" i="37"/>
  <c r="T136" i="37" s="1"/>
  <c r="U137" i="37"/>
  <c r="BJ38" i="26"/>
  <c r="BG38" i="26"/>
  <c r="AZ38" i="26"/>
  <c r="BC38" i="26"/>
  <c r="BA38" i="26"/>
  <c r="BD38" i="26"/>
  <c r="BF38" i="26"/>
  <c r="BH38" i="26"/>
  <c r="BK38" i="26"/>
  <c r="BB38" i="26"/>
  <c r="BE38" i="26"/>
  <c r="BL38" i="26"/>
  <c r="AV39" i="26"/>
  <c r="AU38" i="26"/>
  <c r="X35" i="31"/>
  <c r="AI35" i="31" s="1"/>
  <c r="D50" i="43" s="1"/>
  <c r="E50" i="43" s="1"/>
  <c r="G50" i="43" s="1"/>
  <c r="Z35" i="31"/>
  <c r="AA35" i="31" s="1"/>
  <c r="AH35" i="31" s="1"/>
  <c r="R36" i="31"/>
  <c r="S36" i="31"/>
  <c r="K93" i="34"/>
  <c r="N93" i="34"/>
  <c r="L94" i="34"/>
  <c r="M94" i="34"/>
  <c r="J95" i="34" s="1"/>
  <c r="Y137" i="37" l="1"/>
  <c r="X137" i="37"/>
  <c r="W137" i="37"/>
  <c r="T137" i="37" s="1"/>
  <c r="U138" i="37"/>
  <c r="AW39" i="26"/>
  <c r="U36" i="31"/>
  <c r="T36" i="31"/>
  <c r="Y36" i="31"/>
  <c r="H50" i="43"/>
  <c r="I50" i="43" s="1"/>
  <c r="F50" i="43"/>
  <c r="N94" i="34"/>
  <c r="K94" i="34"/>
  <c r="L95" i="34"/>
  <c r="M95" i="34"/>
  <c r="J96" i="34" s="1"/>
  <c r="Y138" i="37" l="1"/>
  <c r="W138" i="37"/>
  <c r="X138" i="37"/>
  <c r="U139" i="37"/>
  <c r="BI39" i="26"/>
  <c r="AY39" i="26"/>
  <c r="AX39" i="26"/>
  <c r="BD39" i="26" s="1"/>
  <c r="W36" i="31"/>
  <c r="X36" i="31" s="1"/>
  <c r="AI36" i="31" s="1"/>
  <c r="D51" i="43" s="1"/>
  <c r="E51" i="43" s="1"/>
  <c r="G51" i="43" s="1"/>
  <c r="AG36" i="31"/>
  <c r="C51" i="43" s="1"/>
  <c r="Q37" i="31"/>
  <c r="S37" i="31" s="1"/>
  <c r="AB36" i="31"/>
  <c r="K95" i="34"/>
  <c r="M96" i="34"/>
  <c r="J97" i="34" s="1"/>
  <c r="L96" i="34"/>
  <c r="N95" i="34"/>
  <c r="Y139" i="37" l="1"/>
  <c r="W139" i="37"/>
  <c r="X139" i="37"/>
  <c r="U140" i="37"/>
  <c r="T138" i="37"/>
  <c r="BB39" i="26"/>
  <c r="AZ39" i="26"/>
  <c r="BC39" i="26"/>
  <c r="BF39" i="26"/>
  <c r="BA39" i="26"/>
  <c r="BJ39" i="26"/>
  <c r="AU39" i="26"/>
  <c r="BE39" i="26"/>
  <c r="BH39" i="26"/>
  <c r="BL39" i="26"/>
  <c r="AV40" i="26"/>
  <c r="BK39" i="26"/>
  <c r="BG39" i="26"/>
  <c r="R37" i="31"/>
  <c r="F51" i="43"/>
  <c r="H51" i="43"/>
  <c r="I51" i="43" s="1"/>
  <c r="Z36" i="31"/>
  <c r="AA36" i="31" s="1"/>
  <c r="AH36" i="31" s="1"/>
  <c r="K96" i="34"/>
  <c r="L97" i="34"/>
  <c r="M97" i="34"/>
  <c r="J98" i="34" s="1"/>
  <c r="N96" i="34"/>
  <c r="X140" i="37" l="1"/>
  <c r="W140" i="37"/>
  <c r="T140" i="37" s="1"/>
  <c r="Y140" i="37"/>
  <c r="U141" i="37"/>
  <c r="T139" i="37"/>
  <c r="AW40" i="26"/>
  <c r="U37" i="31"/>
  <c r="AB37" i="31" s="1"/>
  <c r="Y37" i="31"/>
  <c r="T37" i="31"/>
  <c r="K97" i="34"/>
  <c r="L98" i="34"/>
  <c r="M98" i="34"/>
  <c r="J99" i="34" s="1"/>
  <c r="N97" i="34"/>
  <c r="Y141" i="37" l="1"/>
  <c r="X141" i="37"/>
  <c r="W141" i="37"/>
  <c r="T141" i="37" s="1"/>
  <c r="U142" i="37"/>
  <c r="AG37" i="31"/>
  <c r="C52" i="43" s="1"/>
  <c r="Q38" i="31"/>
  <c r="R38" i="31" s="1"/>
  <c r="AX40" i="26"/>
  <c r="BI40" i="26"/>
  <c r="AY40" i="26"/>
  <c r="W37" i="31"/>
  <c r="Z37" i="31" s="1"/>
  <c r="AA37" i="31" s="1"/>
  <c r="AH37" i="31" s="1"/>
  <c r="K98" i="34"/>
  <c r="N98" i="34"/>
  <c r="M99" i="34"/>
  <c r="J100" i="34" s="1"/>
  <c r="L99" i="34"/>
  <c r="Y142" i="37" l="1"/>
  <c r="W142" i="37"/>
  <c r="X142" i="37"/>
  <c r="U143" i="37"/>
  <c r="BL40" i="26"/>
  <c r="BD40" i="26"/>
  <c r="AZ40" i="26"/>
  <c r="BC40" i="26"/>
  <c r="BJ40" i="26"/>
  <c r="BG40" i="26"/>
  <c r="BK40" i="26"/>
  <c r="BH40" i="26"/>
  <c r="S38" i="31"/>
  <c r="U38" i="31" s="1"/>
  <c r="AB38" i="31" s="1"/>
  <c r="BE40" i="26"/>
  <c r="BB40" i="26"/>
  <c r="AV41" i="26"/>
  <c r="AU40" i="26"/>
  <c r="BF40" i="26"/>
  <c r="BA40" i="26"/>
  <c r="X37" i="31"/>
  <c r="AI37" i="31" s="1"/>
  <c r="D52" i="43" s="1"/>
  <c r="E52" i="43" s="1"/>
  <c r="G52" i="43" s="1"/>
  <c r="H52" i="43" s="1"/>
  <c r="I52" i="43" s="1"/>
  <c r="N99" i="34"/>
  <c r="K99" i="34"/>
  <c r="L100" i="34"/>
  <c r="M100" i="34"/>
  <c r="J101" i="34" s="1"/>
  <c r="X143" i="37" l="1"/>
  <c r="W143" i="37"/>
  <c r="Y143" i="37"/>
  <c r="U144" i="37"/>
  <c r="T142" i="37"/>
  <c r="T38" i="31"/>
  <c r="Q39" i="31" s="1"/>
  <c r="R39" i="31" s="1"/>
  <c r="Y38" i="31"/>
  <c r="W38" i="31"/>
  <c r="X38" i="31" s="1"/>
  <c r="AI38" i="31" s="1"/>
  <c r="D53" i="43" s="1"/>
  <c r="E53" i="43" s="1"/>
  <c r="G53" i="43" s="1"/>
  <c r="H53" i="43" s="1"/>
  <c r="I53" i="43" s="1"/>
  <c r="AG38" i="31"/>
  <c r="C53" i="43" s="1"/>
  <c r="AW41" i="26"/>
  <c r="F52" i="43"/>
  <c r="N100" i="34"/>
  <c r="K100" i="34"/>
  <c r="L101" i="34"/>
  <c r="M101" i="34"/>
  <c r="J102" i="34" s="1"/>
  <c r="X144" i="37" l="1"/>
  <c r="W144" i="37"/>
  <c r="Y144" i="37"/>
  <c r="U145" i="37"/>
  <c r="T143" i="37"/>
  <c r="S39" i="31"/>
  <c r="U39" i="31" s="1"/>
  <c r="Z38" i="31"/>
  <c r="AA38" i="31" s="1"/>
  <c r="AH38" i="31" s="1"/>
  <c r="F53" i="43"/>
  <c r="AY41" i="26"/>
  <c r="BI41" i="26"/>
  <c r="AX41" i="26"/>
  <c r="BC41" i="26" s="1"/>
  <c r="N101" i="34"/>
  <c r="K101" i="34"/>
  <c r="L102" i="34"/>
  <c r="M102" i="34"/>
  <c r="J103" i="34" s="1"/>
  <c r="Y145" i="37" l="1"/>
  <c r="X145" i="37"/>
  <c r="W145" i="37"/>
  <c r="T145" i="37" s="1"/>
  <c r="U146" i="37"/>
  <c r="T144" i="37"/>
  <c r="AZ41" i="26"/>
  <c r="BA41" i="26"/>
  <c r="BJ41" i="26"/>
  <c r="AU41" i="26"/>
  <c r="T39" i="31"/>
  <c r="Q40" i="31" s="1"/>
  <c r="Y39" i="31"/>
  <c r="BB41" i="26"/>
  <c r="BH41" i="26"/>
  <c r="BD41" i="26"/>
  <c r="BL41" i="26"/>
  <c r="BE41" i="26"/>
  <c r="BF41" i="26"/>
  <c r="AV42" i="26"/>
  <c r="BG41" i="26"/>
  <c r="BK41" i="26"/>
  <c r="W39" i="31"/>
  <c r="AG39" i="31"/>
  <c r="C54" i="43" s="1"/>
  <c r="AB39" i="31"/>
  <c r="L103" i="34"/>
  <c r="M103" i="34"/>
  <c r="J104" i="34" s="1"/>
  <c r="N102" i="34"/>
  <c r="K102" i="34"/>
  <c r="Y146" i="37" l="1"/>
  <c r="X146" i="37"/>
  <c r="W146" i="37"/>
  <c r="T146" i="37" s="1"/>
  <c r="U147" i="37"/>
  <c r="AW42" i="26"/>
  <c r="S40" i="31"/>
  <c r="R40" i="31"/>
  <c r="X39" i="31"/>
  <c r="AI39" i="31" s="1"/>
  <c r="D54" i="43" s="1"/>
  <c r="E54" i="43" s="1"/>
  <c r="G54" i="43" s="1"/>
  <c r="Z39" i="31"/>
  <c r="AA39" i="31" s="1"/>
  <c r="AH39" i="31" s="1"/>
  <c r="N103" i="34"/>
  <c r="K103" i="34"/>
  <c r="M104" i="34"/>
  <c r="J105" i="34" s="1"/>
  <c r="L104" i="34"/>
  <c r="W147" i="37" l="1"/>
  <c r="Y147" i="37"/>
  <c r="X147" i="37"/>
  <c r="U148" i="37"/>
  <c r="AY42" i="26"/>
  <c r="AU42" i="26" s="1"/>
  <c r="BI42" i="26"/>
  <c r="AX42" i="26"/>
  <c r="AZ42" i="26" s="1"/>
  <c r="K104" i="34"/>
  <c r="H54" i="43"/>
  <c r="I54" i="43" s="1"/>
  <c r="F54" i="43"/>
  <c r="T40" i="31"/>
  <c r="Y40" i="31"/>
  <c r="U40" i="31"/>
  <c r="N104" i="34"/>
  <c r="L105" i="34"/>
  <c r="M105" i="34"/>
  <c r="J106" i="34" s="1"/>
  <c r="Y148" i="37" l="1"/>
  <c r="X148" i="37"/>
  <c r="W148" i="37"/>
  <c r="U149" i="37"/>
  <c r="T147" i="37"/>
  <c r="BE42" i="26"/>
  <c r="BA42" i="26"/>
  <c r="BD42" i="26"/>
  <c r="BB42" i="26"/>
  <c r="BC42" i="26"/>
  <c r="BL42" i="26"/>
  <c r="BK42" i="26"/>
  <c r="BG42" i="26"/>
  <c r="BJ42" i="26"/>
  <c r="AV43" i="26"/>
  <c r="BH42" i="26"/>
  <c r="BF42" i="26"/>
  <c r="W40" i="31"/>
  <c r="X40" i="31" s="1"/>
  <c r="AI40" i="31" s="1"/>
  <c r="D55" i="43" s="1"/>
  <c r="N105" i="34"/>
  <c r="K105" i="34"/>
  <c r="Q41" i="31"/>
  <c r="R41" i="31" s="1"/>
  <c r="AB40" i="31"/>
  <c r="AG40" i="31"/>
  <c r="C55" i="43" s="1"/>
  <c r="L106" i="34"/>
  <c r="M106" i="34"/>
  <c r="J107" i="34" s="1"/>
  <c r="Y149" i="37" l="1"/>
  <c r="X149" i="37"/>
  <c r="W149" i="37"/>
  <c r="U150" i="37"/>
  <c r="T148" i="37"/>
  <c r="AW43" i="26"/>
  <c r="N106" i="34"/>
  <c r="S41" i="31"/>
  <c r="T41" i="31" s="1"/>
  <c r="Z40" i="31"/>
  <c r="AA40" i="31" s="1"/>
  <c r="AH40" i="31" s="1"/>
  <c r="E55" i="43"/>
  <c r="G55" i="43" s="1"/>
  <c r="K106" i="34"/>
  <c r="M107" i="34"/>
  <c r="J108" i="34" s="1"/>
  <c r="L107" i="34"/>
  <c r="Y150" i="37" l="1"/>
  <c r="W150" i="37"/>
  <c r="X150" i="37"/>
  <c r="U151" i="37"/>
  <c r="T149" i="37"/>
  <c r="AY43" i="26"/>
  <c r="AU43" i="26" s="1"/>
  <c r="BI43" i="26"/>
  <c r="AX43" i="26"/>
  <c r="BC43" i="26" s="1"/>
  <c r="N107" i="34"/>
  <c r="K107" i="34"/>
  <c r="Y41" i="31"/>
  <c r="U41" i="31"/>
  <c r="H55" i="43"/>
  <c r="I55" i="43" s="1"/>
  <c r="F55" i="43"/>
  <c r="L108" i="34"/>
  <c r="M108" i="34"/>
  <c r="J109" i="34" s="1"/>
  <c r="Y151" i="37" l="1"/>
  <c r="W151" i="37"/>
  <c r="X151" i="37"/>
  <c r="U152" i="37"/>
  <c r="T150" i="37"/>
  <c r="BB43" i="26"/>
  <c r="BE43" i="26"/>
  <c r="AZ43" i="26"/>
  <c r="BA43" i="26"/>
  <c r="BK43" i="26"/>
  <c r="BF43" i="26"/>
  <c r="BD43" i="26"/>
  <c r="BJ43" i="26"/>
  <c r="BH43" i="26"/>
  <c r="BL43" i="26"/>
  <c r="BG43" i="26"/>
  <c r="AV44" i="26"/>
  <c r="W41" i="31"/>
  <c r="X41" i="31" s="1"/>
  <c r="AI41" i="31" s="1"/>
  <c r="D56" i="43" s="1"/>
  <c r="E56" i="43" s="1"/>
  <c r="G56" i="43" s="1"/>
  <c r="AG41" i="31"/>
  <c r="C56" i="43" s="1"/>
  <c r="AB41" i="31"/>
  <c r="Q42" i="31"/>
  <c r="N108" i="34"/>
  <c r="K108" i="34"/>
  <c r="L109" i="34"/>
  <c r="M109" i="34"/>
  <c r="J110" i="34" s="1"/>
  <c r="X152" i="37" l="1"/>
  <c r="W152" i="37"/>
  <c r="T152" i="37" s="1"/>
  <c r="Y152" i="37"/>
  <c r="U153" i="37"/>
  <c r="T151" i="37"/>
  <c r="Z41" i="31"/>
  <c r="AA41" i="31" s="1"/>
  <c r="AH41" i="31" s="1"/>
  <c r="AW44" i="26"/>
  <c r="N109" i="34"/>
  <c r="S42" i="31"/>
  <c r="R42" i="31"/>
  <c r="F56" i="43"/>
  <c r="H56" i="43"/>
  <c r="I56" i="43" s="1"/>
  <c r="K109" i="34"/>
  <c r="L110" i="34"/>
  <c r="M110" i="34"/>
  <c r="J111" i="34" s="1"/>
  <c r="Y153" i="37" l="1"/>
  <c r="X153" i="37"/>
  <c r="W153" i="37"/>
  <c r="T153" i="37" s="1"/>
  <c r="U154" i="37"/>
  <c r="AX44" i="26"/>
  <c r="AZ44" i="26" s="1"/>
  <c r="BI44" i="26"/>
  <c r="AY44" i="26"/>
  <c r="BJ44" i="26"/>
  <c r="U42" i="31"/>
  <c r="T42" i="31"/>
  <c r="Y42" i="31"/>
  <c r="N110" i="34"/>
  <c r="K110" i="34"/>
  <c r="L111" i="34"/>
  <c r="M111" i="34"/>
  <c r="J112" i="34" s="1"/>
  <c r="Y154" i="37" l="1"/>
  <c r="X154" i="37"/>
  <c r="W154" i="37"/>
  <c r="T154" i="37" s="1"/>
  <c r="U155" i="37"/>
  <c r="BB44" i="26"/>
  <c r="BA44" i="26"/>
  <c r="BC44" i="26"/>
  <c r="BK44" i="26"/>
  <c r="BG44" i="26"/>
  <c r="BH44" i="26"/>
  <c r="BL44" i="26"/>
  <c r="BE44" i="26"/>
  <c r="BF44" i="26"/>
  <c r="BD44" i="26"/>
  <c r="AU44" i="26"/>
  <c r="AV45" i="26"/>
  <c r="W42" i="31"/>
  <c r="X42" i="31" s="1"/>
  <c r="AI42" i="31" s="1"/>
  <c r="D57" i="43" s="1"/>
  <c r="E57" i="43" s="1"/>
  <c r="G57" i="43" s="1"/>
  <c r="N111" i="34"/>
  <c r="K111" i="34"/>
  <c r="AG42" i="31"/>
  <c r="C57" i="43" s="1"/>
  <c r="Q43" i="31"/>
  <c r="R43" i="31" s="1"/>
  <c r="AB42" i="31"/>
  <c r="M112" i="34"/>
  <c r="J113" i="34" s="1"/>
  <c r="L112" i="34"/>
  <c r="X155" i="37" l="1"/>
  <c r="W155" i="37"/>
  <c r="T155" i="37" s="1"/>
  <c r="Y155" i="37"/>
  <c r="U156" i="37"/>
  <c r="AW45" i="26"/>
  <c r="S43" i="31"/>
  <c r="T43" i="31" s="1"/>
  <c r="H57" i="43"/>
  <c r="I57" i="43" s="1"/>
  <c r="F57" i="43"/>
  <c r="Z42" i="31"/>
  <c r="AA42" i="31" s="1"/>
  <c r="AH42" i="31" s="1"/>
  <c r="N112" i="34"/>
  <c r="K112" i="34"/>
  <c r="M113" i="34"/>
  <c r="J114" i="34" s="1"/>
  <c r="L113" i="34"/>
  <c r="X156" i="37" l="1"/>
  <c r="W156" i="37"/>
  <c r="Y156" i="37"/>
  <c r="U157" i="37"/>
  <c r="AY45" i="26"/>
  <c r="BI45" i="26"/>
  <c r="AX45" i="26"/>
  <c r="AZ45" i="26" s="1"/>
  <c r="Y43" i="31"/>
  <c r="U43" i="31"/>
  <c r="K113" i="34"/>
  <c r="N113" i="34"/>
  <c r="L114" i="34"/>
  <c r="M114" i="34"/>
  <c r="J115" i="34" s="1"/>
  <c r="Y157" i="37" l="1"/>
  <c r="X157" i="37"/>
  <c r="W157" i="37"/>
  <c r="T157" i="37" s="1"/>
  <c r="U158" i="37"/>
  <c r="T156" i="37"/>
  <c r="BC45" i="26"/>
  <c r="BD45" i="26"/>
  <c r="BF45" i="26"/>
  <c r="BA45" i="26"/>
  <c r="AU45" i="26"/>
  <c r="BB45" i="26"/>
  <c r="BE45" i="26"/>
  <c r="BG45" i="26"/>
  <c r="BJ45" i="26"/>
  <c r="BL45" i="26"/>
  <c r="AV46" i="26"/>
  <c r="BK45" i="26"/>
  <c r="BH45" i="26"/>
  <c r="W43" i="31"/>
  <c r="X43" i="31" s="1"/>
  <c r="AI43" i="31" s="1"/>
  <c r="D58" i="43" s="1"/>
  <c r="E58" i="43" s="1"/>
  <c r="N114" i="34"/>
  <c r="Q44" i="31"/>
  <c r="R44" i="31" s="1"/>
  <c r="AG43" i="31"/>
  <c r="C58" i="43" s="1"/>
  <c r="AB43" i="31"/>
  <c r="K114" i="34"/>
  <c r="L115" i="34"/>
  <c r="M115" i="34"/>
  <c r="J116" i="34" s="1"/>
  <c r="Y158" i="37" l="1"/>
  <c r="X158" i="37"/>
  <c r="W158" i="37"/>
  <c r="T158" i="37" s="1"/>
  <c r="U159" i="37"/>
  <c r="AW46" i="26"/>
  <c r="G58" i="43"/>
  <c r="H58" i="43" s="1"/>
  <c r="I58" i="43" s="1"/>
  <c r="N115" i="34"/>
  <c r="S44" i="31"/>
  <c r="T44" i="31" s="1"/>
  <c r="Z43" i="31"/>
  <c r="AA43" i="31" s="1"/>
  <c r="AH43" i="31" s="1"/>
  <c r="F58" i="43"/>
  <c r="K115" i="34"/>
  <c r="L116" i="34"/>
  <c r="M116" i="34"/>
  <c r="J117" i="34" s="1"/>
  <c r="W159" i="37" l="1"/>
  <c r="Y159" i="37"/>
  <c r="X159" i="37"/>
  <c r="U160" i="37"/>
  <c r="N116" i="34"/>
  <c r="AX46" i="26"/>
  <c r="BI46" i="26"/>
  <c r="AY46" i="26"/>
  <c r="AU46" i="26" s="1"/>
  <c r="Y44" i="31"/>
  <c r="U44" i="31"/>
  <c r="K116" i="34"/>
  <c r="L117" i="34"/>
  <c r="M117" i="34"/>
  <c r="J118" i="34" s="1"/>
  <c r="Y160" i="37" l="1"/>
  <c r="X160" i="37"/>
  <c r="W160" i="37"/>
  <c r="U161" i="37"/>
  <c r="T159" i="37"/>
  <c r="BB46" i="26"/>
  <c r="BC46" i="26"/>
  <c r="BA46" i="26"/>
  <c r="AZ46" i="26"/>
  <c r="BE46" i="26"/>
  <c r="BD46" i="26"/>
  <c r="BH46" i="26"/>
  <c r="BF46" i="26"/>
  <c r="BJ46" i="26"/>
  <c r="BL46" i="26"/>
  <c r="BK46" i="26"/>
  <c r="AV47" i="26"/>
  <c r="BG46" i="26"/>
  <c r="W44" i="31"/>
  <c r="Z44" i="31" s="1"/>
  <c r="AA44" i="31" s="1"/>
  <c r="AH44" i="31" s="1"/>
  <c r="AG44" i="31"/>
  <c r="C59" i="43" s="1"/>
  <c r="AB44" i="31"/>
  <c r="Q45" i="31"/>
  <c r="R45" i="31" s="1"/>
  <c r="K117" i="34"/>
  <c r="N117" i="34"/>
  <c r="L118" i="34"/>
  <c r="M118" i="34"/>
  <c r="J119" i="34" s="1"/>
  <c r="Y161" i="37" l="1"/>
  <c r="X161" i="37"/>
  <c r="W161" i="37"/>
  <c r="U162" i="37"/>
  <c r="T160" i="37"/>
  <c r="AW47" i="26"/>
  <c r="X44" i="31"/>
  <c r="AI44" i="31" s="1"/>
  <c r="D59" i="43" s="1"/>
  <c r="E59" i="43" s="1"/>
  <c r="S45" i="31"/>
  <c r="U45" i="31" s="1"/>
  <c r="N118" i="34"/>
  <c r="K118" i="34"/>
  <c r="L119" i="34"/>
  <c r="M119" i="34"/>
  <c r="J120" i="34" s="1"/>
  <c r="Y162" i="37" l="1"/>
  <c r="W162" i="37"/>
  <c r="X162" i="37"/>
  <c r="U163" i="37"/>
  <c r="T161" i="37"/>
  <c r="BI47" i="26"/>
  <c r="AY47" i="26"/>
  <c r="AX47" i="26"/>
  <c r="BC47" i="26" s="1"/>
  <c r="G59" i="43"/>
  <c r="H59" i="43" s="1"/>
  <c r="I59" i="43" s="1"/>
  <c r="F59" i="43"/>
  <c r="Y45" i="31"/>
  <c r="T45" i="31"/>
  <c r="Q46" i="31" s="1"/>
  <c r="W45" i="31"/>
  <c r="AB45" i="31"/>
  <c r="AG45" i="31"/>
  <c r="C60" i="43" s="1"/>
  <c r="N119" i="34"/>
  <c r="K119" i="34"/>
  <c r="M120" i="34"/>
  <c r="J121" i="34" s="1"/>
  <c r="L120" i="34"/>
  <c r="Y163" i="37" l="1"/>
  <c r="W163" i="37"/>
  <c r="X163" i="37"/>
  <c r="U164" i="37"/>
  <c r="T162" i="37"/>
  <c r="AZ47" i="26"/>
  <c r="BD47" i="26"/>
  <c r="BA47" i="26"/>
  <c r="BE47" i="26"/>
  <c r="BB47" i="26"/>
  <c r="BK47" i="26"/>
  <c r="AU47" i="26"/>
  <c r="BH47" i="26"/>
  <c r="BF47" i="26"/>
  <c r="BL47" i="26"/>
  <c r="AV48" i="26"/>
  <c r="BJ47" i="26"/>
  <c r="BG47" i="26"/>
  <c r="X45" i="31"/>
  <c r="AI45" i="31" s="1"/>
  <c r="D60" i="43" s="1"/>
  <c r="E60" i="43" s="1"/>
  <c r="F60" i="43" s="1"/>
  <c r="R46" i="31"/>
  <c r="S46" i="31"/>
  <c r="Z45" i="31"/>
  <c r="AA45" i="31" s="1"/>
  <c r="AH45" i="31" s="1"/>
  <c r="N120" i="34"/>
  <c r="K120" i="34"/>
  <c r="M121" i="34"/>
  <c r="J122" i="34" s="1"/>
  <c r="L121" i="34"/>
  <c r="X164" i="37" l="1"/>
  <c r="W164" i="37"/>
  <c r="Y164" i="37"/>
  <c r="U165" i="37"/>
  <c r="T163" i="37"/>
  <c r="AW48" i="26"/>
  <c r="G60" i="43"/>
  <c r="H60" i="43" s="1"/>
  <c r="I60" i="43" s="1"/>
  <c r="N10" i="43" s="1"/>
  <c r="U46" i="31"/>
  <c r="Y46" i="31"/>
  <c r="T46" i="31"/>
  <c r="K121" i="34"/>
  <c r="N121" i="34"/>
  <c r="L122" i="34"/>
  <c r="M122" i="34"/>
  <c r="J123" i="34" s="1"/>
  <c r="Y165" i="37" l="1"/>
  <c r="X165" i="37"/>
  <c r="W165" i="37"/>
  <c r="T165" i="37" s="1"/>
  <c r="U166" i="37"/>
  <c r="T164" i="37"/>
  <c r="AX48" i="26"/>
  <c r="BI48" i="26" s="1"/>
  <c r="AY48" i="26"/>
  <c r="AU48" i="26" s="1"/>
  <c r="W46" i="31"/>
  <c r="Z46" i="31" s="1"/>
  <c r="AA46" i="31" s="1"/>
  <c r="AH46" i="31" s="1"/>
  <c r="AB46" i="31"/>
  <c r="AG46" i="31"/>
  <c r="C61" i="43" s="1"/>
  <c r="Q47" i="31"/>
  <c r="R47" i="31" s="1"/>
  <c r="N122" i="34"/>
  <c r="K122" i="34"/>
  <c r="M123" i="34"/>
  <c r="J124" i="34" s="1"/>
  <c r="L123" i="34"/>
  <c r="Y166" i="37" l="1"/>
  <c r="X166" i="37"/>
  <c r="W166" i="37"/>
  <c r="T166" i="37" s="1"/>
  <c r="U167" i="37"/>
  <c r="AZ48" i="26"/>
  <c r="BD48" i="26"/>
  <c r="BE48" i="26"/>
  <c r="BA48" i="26"/>
  <c r="BB48" i="26"/>
  <c r="BJ48" i="26"/>
  <c r="BC48" i="26"/>
  <c r="BH48" i="26"/>
  <c r="BF48" i="26"/>
  <c r="AV49" i="26"/>
  <c r="BL48" i="26"/>
  <c r="BK48" i="26"/>
  <c r="BG48" i="26"/>
  <c r="S47" i="31"/>
  <c r="T47" i="31" s="1"/>
  <c r="X46" i="31"/>
  <c r="AI46" i="31" s="1"/>
  <c r="D61" i="43" s="1"/>
  <c r="E61" i="43" s="1"/>
  <c r="K123" i="34"/>
  <c r="L124" i="34"/>
  <c r="M124" i="34"/>
  <c r="J125" i="34" s="1"/>
  <c r="N123" i="34"/>
  <c r="X167" i="37" l="1"/>
  <c r="W167" i="37"/>
  <c r="Y167" i="37"/>
  <c r="U168" i="37"/>
  <c r="U47" i="31"/>
  <c r="W47" i="31" s="1"/>
  <c r="Y47" i="31"/>
  <c r="AW49" i="26"/>
  <c r="F61" i="43"/>
  <c r="G61" i="43"/>
  <c r="H61" i="43" s="1"/>
  <c r="I61" i="43" s="1"/>
  <c r="N124" i="34"/>
  <c r="K124" i="34"/>
  <c r="M125" i="34"/>
  <c r="J126" i="34" s="1"/>
  <c r="L125" i="34"/>
  <c r="X168" i="37" l="1"/>
  <c r="W168" i="37"/>
  <c r="Y168" i="37"/>
  <c r="U169" i="37"/>
  <c r="T167" i="37"/>
  <c r="AG47" i="31"/>
  <c r="C62" i="43" s="1"/>
  <c r="Z47" i="31"/>
  <c r="AA47" i="31" s="1"/>
  <c r="AH47" i="31" s="1"/>
  <c r="AB47" i="31"/>
  <c r="Q48" i="31"/>
  <c r="R48" i="31" s="1"/>
  <c r="AY49" i="26"/>
  <c r="AU49" i="26" s="1"/>
  <c r="AX49" i="26"/>
  <c r="BE49" i="26" s="1"/>
  <c r="X47" i="31"/>
  <c r="AI47" i="31" s="1"/>
  <c r="D62" i="43" s="1"/>
  <c r="E62" i="43" s="1"/>
  <c r="K125" i="34"/>
  <c r="N125" i="34"/>
  <c r="M126" i="34"/>
  <c r="J127" i="34" s="1"/>
  <c r="L126" i="34"/>
  <c r="Y169" i="37" l="1"/>
  <c r="X169" i="37"/>
  <c r="W169" i="37"/>
  <c r="T169" i="37" s="1"/>
  <c r="U170" i="37"/>
  <c r="T168" i="37"/>
  <c r="AZ49" i="26"/>
  <c r="BI49" i="26"/>
  <c r="BK49" i="26"/>
  <c r="S48" i="31"/>
  <c r="T48" i="31" s="1"/>
  <c r="BC49" i="26"/>
  <c r="BF49" i="26"/>
  <c r="BL49" i="26"/>
  <c r="BH49" i="26"/>
  <c r="BB49" i="26"/>
  <c r="BA49" i="26"/>
  <c r="BJ49" i="26"/>
  <c r="BD49" i="26"/>
  <c r="AV50" i="26"/>
  <c r="BG49" i="26"/>
  <c r="G62" i="43"/>
  <c r="H62" i="43" s="1"/>
  <c r="I62" i="43" s="1"/>
  <c r="F62" i="43"/>
  <c r="N126" i="34"/>
  <c r="K126" i="34"/>
  <c r="L127" i="34"/>
  <c r="M127" i="34"/>
  <c r="Y170" i="37" l="1"/>
  <c r="X170" i="37"/>
  <c r="W170" i="37"/>
  <c r="T170" i="37" s="1"/>
  <c r="U171" i="37"/>
  <c r="Y48" i="31"/>
  <c r="U48" i="31"/>
  <c r="W48" i="31" s="1"/>
  <c r="X48" i="31" s="1"/>
  <c r="AI48" i="31" s="1"/>
  <c r="D63" i="43" s="1"/>
  <c r="E63" i="43" s="1"/>
  <c r="G63" i="43" s="1"/>
  <c r="AW50" i="26"/>
  <c r="K127" i="34"/>
  <c r="N127" i="34"/>
  <c r="J128" i="34"/>
  <c r="W171" i="37" l="1"/>
  <c r="Y171" i="37"/>
  <c r="X171" i="37"/>
  <c r="U172" i="37"/>
  <c r="Q49" i="31"/>
  <c r="R49" i="31" s="1"/>
  <c r="AG48" i="31"/>
  <c r="C63" i="43" s="1"/>
  <c r="AB48" i="31"/>
  <c r="Z48" i="31"/>
  <c r="AA48" i="31" s="1"/>
  <c r="AH48" i="31" s="1"/>
  <c r="BI50" i="26"/>
  <c r="AY50" i="26"/>
  <c r="AX50" i="26"/>
  <c r="BC50" i="26" s="1"/>
  <c r="F63" i="43"/>
  <c r="H63" i="43"/>
  <c r="I63" i="43" s="1"/>
  <c r="L128" i="34"/>
  <c r="M128" i="34"/>
  <c r="J129" i="34" s="1"/>
  <c r="Y172" i="37" l="1"/>
  <c r="X172" i="37"/>
  <c r="W172" i="37"/>
  <c r="U173" i="37"/>
  <c r="T171" i="37"/>
  <c r="AZ50" i="26"/>
  <c r="BD50" i="26"/>
  <c r="S49" i="31"/>
  <c r="U49" i="31" s="1"/>
  <c r="AG49" i="31" s="1"/>
  <c r="C64" i="43" s="1"/>
  <c r="BB50" i="26"/>
  <c r="BE50" i="26"/>
  <c r="BG50" i="26"/>
  <c r="BK50" i="26"/>
  <c r="AU50" i="26"/>
  <c r="AV51" i="26"/>
  <c r="BJ50" i="26"/>
  <c r="BL50" i="26"/>
  <c r="BA50" i="26"/>
  <c r="BH50" i="26"/>
  <c r="BF50" i="26"/>
  <c r="K128" i="34"/>
  <c r="N128" i="34"/>
  <c r="L129" i="34"/>
  <c r="M129" i="34"/>
  <c r="J130" i="34" s="1"/>
  <c r="Y173" i="37" l="1"/>
  <c r="X173" i="37"/>
  <c r="W173" i="37"/>
  <c r="T173" i="37" s="1"/>
  <c r="U174" i="37"/>
  <c r="T172" i="37"/>
  <c r="AB49" i="31"/>
  <c r="W49" i="31"/>
  <c r="Y49" i="31"/>
  <c r="T49" i="31"/>
  <c r="Q50" i="31" s="1"/>
  <c r="R50" i="31" s="1"/>
  <c r="AW51" i="26"/>
  <c r="K129" i="34"/>
  <c r="N129" i="34"/>
  <c r="L130" i="34"/>
  <c r="M130" i="34"/>
  <c r="J131" i="34" s="1"/>
  <c r="Y174" i="37" l="1"/>
  <c r="W174" i="37"/>
  <c r="X174" i="37"/>
  <c r="U175" i="37"/>
  <c r="S50" i="31"/>
  <c r="T50" i="31" s="1"/>
  <c r="Z49" i="31"/>
  <c r="AA49" i="31" s="1"/>
  <c r="AH49" i="31" s="1"/>
  <c r="X49" i="31"/>
  <c r="AI49" i="31" s="1"/>
  <c r="D64" i="43" s="1"/>
  <c r="E64" i="43" s="1"/>
  <c r="F64" i="43" s="1"/>
  <c r="AY51" i="26"/>
  <c r="AX51" i="26"/>
  <c r="AZ51" i="26" s="1"/>
  <c r="N130" i="34"/>
  <c r="K130" i="34"/>
  <c r="M131" i="34"/>
  <c r="J132" i="34" s="1"/>
  <c r="L131" i="34"/>
  <c r="Y175" i="37" l="1"/>
  <c r="W175" i="37"/>
  <c r="X175" i="37"/>
  <c r="U176" i="37"/>
  <c r="T174" i="37"/>
  <c r="BD51" i="26"/>
  <c r="BI51" i="26"/>
  <c r="AU51" i="26"/>
  <c r="G64" i="43"/>
  <c r="H64" i="43" s="1"/>
  <c r="I64" i="43" s="1"/>
  <c r="U50" i="31"/>
  <c r="AG50" i="31" s="1"/>
  <c r="C65" i="43" s="1"/>
  <c r="Y50" i="31"/>
  <c r="BE51" i="26"/>
  <c r="BB51" i="26"/>
  <c r="BC51" i="26"/>
  <c r="BL51" i="26"/>
  <c r="BJ51" i="26"/>
  <c r="BK51" i="26"/>
  <c r="BF51" i="26"/>
  <c r="BA51" i="26"/>
  <c r="AV52" i="26"/>
  <c r="BG51" i="26"/>
  <c r="BH51" i="26"/>
  <c r="K131" i="34"/>
  <c r="N131" i="34"/>
  <c r="M132" i="34"/>
  <c r="J133" i="34" s="1"/>
  <c r="L132" i="34"/>
  <c r="X176" i="37" l="1"/>
  <c r="W176" i="37"/>
  <c r="Y176" i="37"/>
  <c r="U177" i="37"/>
  <c r="T175" i="37"/>
  <c r="W50" i="31"/>
  <c r="Z50" i="31" s="1"/>
  <c r="AA50" i="31" s="1"/>
  <c r="AH50" i="31" s="1"/>
  <c r="Q51" i="31"/>
  <c r="AB50" i="31"/>
  <c r="AW52" i="26"/>
  <c r="K132" i="34"/>
  <c r="N132" i="34"/>
  <c r="L133" i="34"/>
  <c r="M133" i="34"/>
  <c r="J134" i="34" s="1"/>
  <c r="Y177" i="37" l="1"/>
  <c r="X177" i="37"/>
  <c r="W177" i="37"/>
  <c r="T177" i="37" s="1"/>
  <c r="U178" i="37"/>
  <c r="T176" i="37"/>
  <c r="R51" i="31"/>
  <c r="S51" i="31"/>
  <c r="X50" i="31"/>
  <c r="AI50" i="31" s="1"/>
  <c r="D65" i="43" s="1"/>
  <c r="E65" i="43" s="1"/>
  <c r="F65" i="43" s="1"/>
  <c r="AY52" i="26"/>
  <c r="BJ52" i="26"/>
  <c r="AX52" i="26"/>
  <c r="AZ52" i="26" s="1"/>
  <c r="N133" i="34"/>
  <c r="K133" i="34"/>
  <c r="M134" i="34"/>
  <c r="J135" i="34" s="1"/>
  <c r="L134" i="34"/>
  <c r="Y178" i="37" l="1"/>
  <c r="X178" i="37"/>
  <c r="W178" i="37"/>
  <c r="T178" i="37" s="1"/>
  <c r="U179" i="37"/>
  <c r="Y51" i="31"/>
  <c r="T51" i="31"/>
  <c r="U51" i="31"/>
  <c r="AG51" i="31" s="1"/>
  <c r="C66" i="43" s="1"/>
  <c r="G65" i="43"/>
  <c r="H65" i="43" s="1"/>
  <c r="I65" i="43" s="1"/>
  <c r="BE52" i="26"/>
  <c r="BH52" i="26"/>
  <c r="AU52" i="26"/>
  <c r="BI52" i="26"/>
  <c r="BA52" i="26"/>
  <c r="BB52" i="26"/>
  <c r="BD52" i="26"/>
  <c r="BF52" i="26"/>
  <c r="BG52" i="26"/>
  <c r="BC52" i="26"/>
  <c r="AV53" i="26"/>
  <c r="BK52" i="26"/>
  <c r="BL52" i="26"/>
  <c r="K134" i="34"/>
  <c r="N134" i="34"/>
  <c r="M135" i="34"/>
  <c r="J136" i="34" s="1"/>
  <c r="L135" i="34"/>
  <c r="X179" i="37" l="1"/>
  <c r="W179" i="37"/>
  <c r="Y179" i="37"/>
  <c r="U180" i="37"/>
  <c r="Q52" i="31"/>
  <c r="AB51" i="31"/>
  <c r="W51" i="31"/>
  <c r="AW53" i="26"/>
  <c r="N135" i="34"/>
  <c r="K135" i="34"/>
  <c r="L136" i="34"/>
  <c r="M136" i="34"/>
  <c r="J137" i="34" s="1"/>
  <c r="X180" i="37" l="1"/>
  <c r="W180" i="37"/>
  <c r="Y180" i="37"/>
  <c r="U181" i="37"/>
  <c r="T179" i="37"/>
  <c r="S52" i="31"/>
  <c r="R52" i="31"/>
  <c r="X51" i="31"/>
  <c r="AI51" i="31" s="1"/>
  <c r="D66" i="43" s="1"/>
  <c r="E66" i="43" s="1"/>
  <c r="Z51" i="31"/>
  <c r="AA51" i="31" s="1"/>
  <c r="AH51" i="31" s="1"/>
  <c r="AX53" i="26"/>
  <c r="AZ53" i="26" s="1"/>
  <c r="BJ53" i="26"/>
  <c r="AY53" i="26"/>
  <c r="K136" i="34"/>
  <c r="N136" i="34"/>
  <c r="L137" i="34"/>
  <c r="M137" i="34"/>
  <c r="J138" i="34" s="1"/>
  <c r="Y181" i="37" l="1"/>
  <c r="X181" i="37"/>
  <c r="W181" i="37"/>
  <c r="T181" i="37" s="1"/>
  <c r="U182" i="37"/>
  <c r="T180" i="37"/>
  <c r="BA53" i="26"/>
  <c r="BB53" i="26"/>
  <c r="T52" i="31"/>
  <c r="Y52" i="31"/>
  <c r="U52" i="31"/>
  <c r="AG52" i="31" s="1"/>
  <c r="C67" i="43" s="1"/>
  <c r="G66" i="43"/>
  <c r="H66" i="43" s="1"/>
  <c r="I66" i="43" s="1"/>
  <c r="F66" i="43"/>
  <c r="BD53" i="26"/>
  <c r="BE53" i="26"/>
  <c r="BH53" i="26"/>
  <c r="BG53" i="26"/>
  <c r="AU53" i="26"/>
  <c r="BC53" i="26"/>
  <c r="BK53" i="26"/>
  <c r="AV54" i="26"/>
  <c r="BI53" i="26"/>
  <c r="BF53" i="26"/>
  <c r="BL53" i="26"/>
  <c r="N137" i="34"/>
  <c r="K137" i="34"/>
  <c r="L138" i="34"/>
  <c r="M138" i="34"/>
  <c r="J139" i="34" s="1"/>
  <c r="Y182" i="37" l="1"/>
  <c r="X182" i="37"/>
  <c r="W182" i="37"/>
  <c r="T182" i="37" s="1"/>
  <c r="U183" i="37"/>
  <c r="Q53" i="31"/>
  <c r="R53" i="31" s="1"/>
  <c r="AB52" i="31"/>
  <c r="W52" i="31"/>
  <c r="AW54" i="26"/>
  <c r="N138" i="34"/>
  <c r="K138" i="34"/>
  <c r="L139" i="34"/>
  <c r="M139" i="34"/>
  <c r="J140" i="34" s="1"/>
  <c r="W183" i="37" l="1"/>
  <c r="X183" i="37"/>
  <c r="Y183" i="37"/>
  <c r="U184" i="37"/>
  <c r="S53" i="31"/>
  <c r="Y53" i="31" s="1"/>
  <c r="Z52" i="31"/>
  <c r="AA52" i="31" s="1"/>
  <c r="AH52" i="31" s="1"/>
  <c r="X52" i="31"/>
  <c r="AI52" i="31" s="1"/>
  <c r="D67" i="43" s="1"/>
  <c r="E67" i="43" s="1"/>
  <c r="BJ54" i="26"/>
  <c r="AY54" i="26"/>
  <c r="AX54" i="26"/>
  <c r="K139" i="34"/>
  <c r="L140" i="34"/>
  <c r="M140" i="34"/>
  <c r="J141" i="34" s="1"/>
  <c r="N139" i="34"/>
  <c r="Y184" i="37" l="1"/>
  <c r="X184" i="37"/>
  <c r="W184" i="37"/>
  <c r="U185" i="37"/>
  <c r="T183" i="37"/>
  <c r="BD54" i="26"/>
  <c r="BB54" i="26"/>
  <c r="T53" i="31"/>
  <c r="U53" i="31"/>
  <c r="W53" i="31" s="1"/>
  <c r="X53" i="31" s="1"/>
  <c r="AI53" i="31" s="1"/>
  <c r="D68" i="43" s="1"/>
  <c r="E68" i="43" s="1"/>
  <c r="G68" i="43" s="1"/>
  <c r="F67" i="43"/>
  <c r="G67" i="43"/>
  <c r="H67" i="43" s="1"/>
  <c r="I67" i="43" s="1"/>
  <c r="AZ54" i="26"/>
  <c r="BE54" i="26"/>
  <c r="BC54" i="26"/>
  <c r="BH54" i="26"/>
  <c r="BK54" i="26"/>
  <c r="AU54" i="26"/>
  <c r="BG54" i="26"/>
  <c r="BI54" i="26"/>
  <c r="BL54" i="26"/>
  <c r="BF54" i="26"/>
  <c r="AV55" i="26"/>
  <c r="BA54" i="26"/>
  <c r="L141" i="34"/>
  <c r="M141" i="34"/>
  <c r="J142" i="34" s="1"/>
  <c r="N140" i="34"/>
  <c r="K140" i="34"/>
  <c r="Y185" i="37" l="1"/>
  <c r="X185" i="37"/>
  <c r="W185" i="37"/>
  <c r="T185" i="37" s="1"/>
  <c r="U186" i="37"/>
  <c r="T184" i="37"/>
  <c r="H68" i="43"/>
  <c r="I68" i="43" s="1"/>
  <c r="AG53" i="31"/>
  <c r="C68" i="43" s="1"/>
  <c r="Z53" i="31"/>
  <c r="AA53" i="31" s="1"/>
  <c r="AH53" i="31" s="1"/>
  <c r="AB53" i="31"/>
  <c r="Q54" i="31"/>
  <c r="S54" i="31" s="1"/>
  <c r="F68" i="43"/>
  <c r="AW55" i="26"/>
  <c r="K141" i="34"/>
  <c r="M142" i="34"/>
  <c r="J143" i="34" s="1"/>
  <c r="L142" i="34"/>
  <c r="N141" i="34"/>
  <c r="Y186" i="37" l="1"/>
  <c r="W186" i="37"/>
  <c r="X186" i="37"/>
  <c r="U187" i="37"/>
  <c r="R54" i="31"/>
  <c r="Y54" i="31" s="1"/>
  <c r="BJ55" i="26"/>
  <c r="AY55" i="26"/>
  <c r="AU55" i="26" s="1"/>
  <c r="AX55" i="26"/>
  <c r="AZ55" i="26" s="1"/>
  <c r="N142" i="34"/>
  <c r="K142" i="34"/>
  <c r="M143" i="34"/>
  <c r="J144" i="34" s="1"/>
  <c r="L143" i="34"/>
  <c r="Y187" i="37" l="1"/>
  <c r="W187" i="37"/>
  <c r="X187" i="37"/>
  <c r="U188" i="37"/>
  <c r="T186" i="37"/>
  <c r="U54" i="31"/>
  <c r="W54" i="31" s="1"/>
  <c r="Z54" i="31" s="1"/>
  <c r="AA54" i="31" s="1"/>
  <c r="AH54" i="31" s="1"/>
  <c r="T54" i="31"/>
  <c r="BK55" i="26"/>
  <c r="BI55" i="26"/>
  <c r="BC55" i="26"/>
  <c r="BB55" i="26"/>
  <c r="BE55" i="26"/>
  <c r="BL55" i="26"/>
  <c r="BA55" i="26"/>
  <c r="BD55" i="26"/>
  <c r="BF55" i="26"/>
  <c r="AV56" i="26"/>
  <c r="BG55" i="26"/>
  <c r="BH55" i="26"/>
  <c r="N143" i="34"/>
  <c r="K143" i="34"/>
  <c r="L144" i="34"/>
  <c r="M144" i="34"/>
  <c r="J145" i="34" s="1"/>
  <c r="X188" i="37" l="1"/>
  <c r="W188" i="37"/>
  <c r="T188" i="37" s="1"/>
  <c r="Y188" i="37"/>
  <c r="U189" i="37"/>
  <c r="T187" i="37"/>
  <c r="X54" i="31"/>
  <c r="AI54" i="31" s="1"/>
  <c r="D69" i="43" s="1"/>
  <c r="E69" i="43" s="1"/>
  <c r="G69" i="43" s="1"/>
  <c r="H69" i="43" s="1"/>
  <c r="I69" i="43" s="1"/>
  <c r="Q55" i="31"/>
  <c r="S55" i="31" s="1"/>
  <c r="AB54" i="31"/>
  <c r="AG54" i="31"/>
  <c r="C69" i="43" s="1"/>
  <c r="AW56" i="26"/>
  <c r="N144" i="34"/>
  <c r="K144" i="34"/>
  <c r="M145" i="34"/>
  <c r="J146" i="34" s="1"/>
  <c r="L145" i="34"/>
  <c r="Y189" i="37" l="1"/>
  <c r="X189" i="37"/>
  <c r="W189" i="37"/>
  <c r="T189" i="37" s="1"/>
  <c r="U190" i="37"/>
  <c r="F69" i="43"/>
  <c r="R55" i="31"/>
  <c r="Y55" i="31" s="1"/>
  <c r="AY56" i="26"/>
  <c r="BJ56" i="26"/>
  <c r="AX56" i="26"/>
  <c r="BB56" i="26" s="1"/>
  <c r="N145" i="34"/>
  <c r="K145" i="34"/>
  <c r="L146" i="34"/>
  <c r="M146" i="34"/>
  <c r="J147" i="34" s="1"/>
  <c r="Y190" i="37" l="1"/>
  <c r="X190" i="37"/>
  <c r="W190" i="37"/>
  <c r="T190" i="37" s="1"/>
  <c r="U191" i="37"/>
  <c r="BI56" i="26"/>
  <c r="BC56" i="26"/>
  <c r="BE56" i="26"/>
  <c r="AU56" i="26"/>
  <c r="T55" i="31"/>
  <c r="U55" i="31"/>
  <c r="AG55" i="31" s="1"/>
  <c r="C70" i="43" s="1"/>
  <c r="BD56" i="26"/>
  <c r="AZ56" i="26"/>
  <c r="BA56" i="26"/>
  <c r="BH56" i="26"/>
  <c r="BL56" i="26"/>
  <c r="BK56" i="26"/>
  <c r="BF56" i="26"/>
  <c r="BG56" i="26"/>
  <c r="AV57" i="26"/>
  <c r="L147" i="34"/>
  <c r="M147" i="34"/>
  <c r="J148" i="34" s="1"/>
  <c r="N146" i="34"/>
  <c r="K146" i="34"/>
  <c r="X191" i="37" l="1"/>
  <c r="W191" i="37"/>
  <c r="T191" i="37" s="1"/>
  <c r="Y191" i="37"/>
  <c r="U192" i="37"/>
  <c r="W55" i="31"/>
  <c r="Q56" i="31"/>
  <c r="S56" i="31" s="1"/>
  <c r="AB55" i="31"/>
  <c r="AW57" i="26"/>
  <c r="N147" i="34"/>
  <c r="K147" i="34"/>
  <c r="M148" i="34"/>
  <c r="J149" i="34" s="1"/>
  <c r="L148" i="34"/>
  <c r="X192" i="37" l="1"/>
  <c r="W192" i="37"/>
  <c r="T192" i="37" s="1"/>
  <c r="Y192" i="37"/>
  <c r="U193" i="37"/>
  <c r="Z55" i="31"/>
  <c r="AA55" i="31" s="1"/>
  <c r="AH55" i="31" s="1"/>
  <c r="X55" i="31"/>
  <c r="AI55" i="31" s="1"/>
  <c r="D70" i="43" s="1"/>
  <c r="E70" i="43" s="1"/>
  <c r="R56" i="31"/>
  <c r="T56" i="31" s="1"/>
  <c r="AX57" i="26"/>
  <c r="AZ57" i="26" s="1"/>
  <c r="AY57" i="26"/>
  <c r="AU57" i="26" s="1"/>
  <c r="BJ57" i="26"/>
  <c r="N148" i="34"/>
  <c r="K148" i="34"/>
  <c r="M149" i="34"/>
  <c r="J150" i="34" s="1"/>
  <c r="L149" i="34"/>
  <c r="Y193" i="37" l="1"/>
  <c r="X193" i="37"/>
  <c r="W193" i="37"/>
  <c r="T193" i="37" s="1"/>
  <c r="U194" i="37"/>
  <c r="G70" i="43"/>
  <c r="H70" i="43" s="1"/>
  <c r="I70" i="43" s="1"/>
  <c r="F70" i="43"/>
  <c r="Y56" i="31"/>
  <c r="U56" i="31"/>
  <c r="Q57" i="31" s="1"/>
  <c r="R57" i="31" s="1"/>
  <c r="BE57" i="26"/>
  <c r="BI57" i="26"/>
  <c r="BB57" i="26"/>
  <c r="BL57" i="26"/>
  <c r="AV58" i="26"/>
  <c r="BG57" i="26"/>
  <c r="BK57" i="26"/>
  <c r="BH57" i="26"/>
  <c r="BF57" i="26"/>
  <c r="BC57" i="26"/>
  <c r="BD57" i="26"/>
  <c r="BA57" i="26"/>
  <c r="K149" i="34"/>
  <c r="N149" i="34"/>
  <c r="M150" i="34"/>
  <c r="J151" i="34" s="1"/>
  <c r="L150" i="34"/>
  <c r="Y194" i="37" l="1"/>
  <c r="X194" i="37"/>
  <c r="W194" i="37"/>
  <c r="U195" i="37"/>
  <c r="AG56" i="31"/>
  <c r="C71" i="43" s="1"/>
  <c r="AB56" i="31"/>
  <c r="S57" i="31"/>
  <c r="Y57" i="31" s="1"/>
  <c r="W56" i="31"/>
  <c r="Z56" i="31" s="1"/>
  <c r="AA56" i="31" s="1"/>
  <c r="AH56" i="31" s="1"/>
  <c r="AW58" i="26"/>
  <c r="K150" i="34"/>
  <c r="N150" i="34"/>
  <c r="L151" i="34"/>
  <c r="M151" i="34"/>
  <c r="J152" i="34" s="1"/>
  <c r="W195" i="37" l="1"/>
  <c r="Y195" i="37"/>
  <c r="X195" i="37"/>
  <c r="U196" i="37"/>
  <c r="T194" i="37"/>
  <c r="T57" i="31"/>
  <c r="U57" i="31"/>
  <c r="AG57" i="31" s="1"/>
  <c r="C72" i="43" s="1"/>
  <c r="X56" i="31"/>
  <c r="AI56" i="31" s="1"/>
  <c r="D71" i="43" s="1"/>
  <c r="E71" i="43" s="1"/>
  <c r="BJ58" i="26"/>
  <c r="AX58" i="26"/>
  <c r="AY58" i="26"/>
  <c r="AU58" i="26" s="1"/>
  <c r="K151" i="34"/>
  <c r="L152" i="34"/>
  <c r="M152" i="34"/>
  <c r="J153" i="34" s="1"/>
  <c r="N151" i="34"/>
  <c r="Y196" i="37" l="1"/>
  <c r="X196" i="37"/>
  <c r="W196" i="37"/>
  <c r="T196" i="37" s="1"/>
  <c r="U197" i="37"/>
  <c r="T195" i="37"/>
  <c r="Q58" i="31"/>
  <c r="R58" i="31" s="1"/>
  <c r="AB57" i="31"/>
  <c r="W57" i="31"/>
  <c r="X57" i="31" s="1"/>
  <c r="AI57" i="31" s="1"/>
  <c r="D72" i="43" s="1"/>
  <c r="E72" i="43" s="1"/>
  <c r="G72" i="43" s="1"/>
  <c r="G71" i="43"/>
  <c r="H71" i="43" s="1"/>
  <c r="I71" i="43" s="1"/>
  <c r="F71" i="43"/>
  <c r="BD58" i="26"/>
  <c r="BC58" i="26"/>
  <c r="BA58" i="26"/>
  <c r="BB58" i="26"/>
  <c r="BH58" i="26"/>
  <c r="BE58" i="26"/>
  <c r="AZ58" i="26"/>
  <c r="BK58" i="26"/>
  <c r="BF58" i="26"/>
  <c r="AV59" i="26"/>
  <c r="BG58" i="26"/>
  <c r="BL58" i="26"/>
  <c r="BI58" i="26"/>
  <c r="N152" i="34"/>
  <c r="K152" i="34"/>
  <c r="L153" i="34"/>
  <c r="M153" i="34"/>
  <c r="J154" i="34" s="1"/>
  <c r="Y197" i="37" l="1"/>
  <c r="X197" i="37"/>
  <c r="W197" i="37"/>
  <c r="U198" i="37"/>
  <c r="Z57" i="31"/>
  <c r="AA57" i="31" s="1"/>
  <c r="AH57" i="31" s="1"/>
  <c r="S58" i="31"/>
  <c r="U58" i="31" s="1"/>
  <c r="AG58" i="31" s="1"/>
  <c r="C73" i="43" s="1"/>
  <c r="AW59" i="26"/>
  <c r="H72" i="43"/>
  <c r="I72" i="43" s="1"/>
  <c r="F72" i="43"/>
  <c r="K153" i="34"/>
  <c r="M154" i="34"/>
  <c r="J155" i="34" s="1"/>
  <c r="L154" i="34"/>
  <c r="N153" i="34"/>
  <c r="Y198" i="37" l="1"/>
  <c r="W198" i="37"/>
  <c r="X198" i="37"/>
  <c r="U199" i="37"/>
  <c r="T197" i="37"/>
  <c r="T58" i="31"/>
  <c r="Q59" i="31" s="1"/>
  <c r="S59" i="31" s="1"/>
  <c r="Y58" i="31"/>
  <c r="AB58" i="31"/>
  <c r="W58" i="31"/>
  <c r="X58" i="31" s="1"/>
  <c r="AI58" i="31" s="1"/>
  <c r="D73" i="43" s="1"/>
  <c r="E73" i="43" s="1"/>
  <c r="G73" i="43" s="1"/>
  <c r="H73" i="43" s="1"/>
  <c r="I73" i="43" s="1"/>
  <c r="AX59" i="26"/>
  <c r="BA59" i="26" s="1"/>
  <c r="AY59" i="26"/>
  <c r="BJ59" i="26"/>
  <c r="K154" i="34"/>
  <c r="N154" i="34"/>
  <c r="L155" i="34"/>
  <c r="M155" i="34"/>
  <c r="J156" i="34" s="1"/>
  <c r="Y199" i="37" l="1"/>
  <c r="W199" i="37"/>
  <c r="X199" i="37"/>
  <c r="U200" i="37"/>
  <c r="T198" i="37"/>
  <c r="AZ59" i="26"/>
  <c r="BE59" i="26"/>
  <c r="BI59" i="26"/>
  <c r="BH59" i="26"/>
  <c r="BF59" i="26"/>
  <c r="Z58" i="31"/>
  <c r="AA58" i="31" s="1"/>
  <c r="AH58" i="31" s="1"/>
  <c r="R59" i="31"/>
  <c r="Y59" i="31" s="1"/>
  <c r="F73" i="43"/>
  <c r="BB59" i="26"/>
  <c r="BD59" i="26"/>
  <c r="BC59" i="26"/>
  <c r="AU59" i="26"/>
  <c r="BG59" i="26"/>
  <c r="BL59" i="26"/>
  <c r="AV60" i="26"/>
  <c r="BK59" i="26"/>
  <c r="N155" i="34"/>
  <c r="K155" i="34"/>
  <c r="M156" i="34"/>
  <c r="J157" i="34" s="1"/>
  <c r="L156" i="34"/>
  <c r="X200" i="37" l="1"/>
  <c r="W200" i="37"/>
  <c r="T200" i="37" s="1"/>
  <c r="Y200" i="37"/>
  <c r="U201" i="37"/>
  <c r="T199" i="37"/>
  <c r="U59" i="31"/>
  <c r="AG59" i="31" s="1"/>
  <c r="C74" i="43" s="1"/>
  <c r="T59" i="31"/>
  <c r="AW60" i="26"/>
  <c r="N156" i="34"/>
  <c r="K156" i="34"/>
  <c r="L157" i="34"/>
  <c r="M157" i="34"/>
  <c r="J158" i="34" s="1"/>
  <c r="Y201" i="37" l="1"/>
  <c r="X201" i="37"/>
  <c r="W201" i="37"/>
  <c r="U202" i="37"/>
  <c r="Q60" i="31"/>
  <c r="S60" i="31" s="1"/>
  <c r="W59" i="31"/>
  <c r="Z59" i="31" s="1"/>
  <c r="AA59" i="31" s="1"/>
  <c r="AH59" i="31" s="1"/>
  <c r="AB59" i="31"/>
  <c r="AX60" i="26"/>
  <c r="AY60" i="26"/>
  <c r="AU60" i="26" s="1"/>
  <c r="BJ60" i="26"/>
  <c r="N157" i="34"/>
  <c r="K157" i="34"/>
  <c r="L158" i="34"/>
  <c r="M158" i="34"/>
  <c r="J159" i="34" s="1"/>
  <c r="Y202" i="37" l="1"/>
  <c r="X202" i="37"/>
  <c r="W202" i="37"/>
  <c r="U203" i="37"/>
  <c r="T201" i="37"/>
  <c r="R60" i="31"/>
  <c r="U60" i="31" s="1"/>
  <c r="AB60" i="31" s="1"/>
  <c r="X59" i="31"/>
  <c r="AI59" i="31" s="1"/>
  <c r="D74" i="43" s="1"/>
  <c r="E74" i="43" s="1"/>
  <c r="G74" i="43" s="1"/>
  <c r="H74" i="43" s="1"/>
  <c r="I74" i="43" s="1"/>
  <c r="AZ60" i="26"/>
  <c r="BA60" i="26"/>
  <c r="BD60" i="26"/>
  <c r="BE60" i="26"/>
  <c r="BF60" i="26"/>
  <c r="BI60" i="26"/>
  <c r="BL60" i="26"/>
  <c r="BK60" i="26"/>
  <c r="BB60" i="26"/>
  <c r="BC60" i="26"/>
  <c r="AV61" i="26"/>
  <c r="BH60" i="26"/>
  <c r="BG60" i="26"/>
  <c r="N158" i="34"/>
  <c r="K158" i="34"/>
  <c r="L159" i="34"/>
  <c r="M159" i="34"/>
  <c r="J160" i="34" s="1"/>
  <c r="X203" i="37" l="1"/>
  <c r="W203" i="37"/>
  <c r="T203" i="37" s="1"/>
  <c r="Y203" i="37"/>
  <c r="U204" i="37"/>
  <c r="T202" i="37"/>
  <c r="F74" i="43"/>
  <c r="W60" i="31"/>
  <c r="T60" i="31"/>
  <c r="Q61" i="31" s="1"/>
  <c r="R61" i="31" s="1"/>
  <c r="Y60" i="31"/>
  <c r="AG60" i="31"/>
  <c r="C75" i="43" s="1"/>
  <c r="AW61" i="26"/>
  <c r="N159" i="34"/>
  <c r="K159" i="34"/>
  <c r="L160" i="34"/>
  <c r="M160" i="34"/>
  <c r="J161" i="34" s="1"/>
  <c r="X204" i="37" l="1"/>
  <c r="W204" i="37"/>
  <c r="Y204" i="37"/>
  <c r="U205" i="37"/>
  <c r="Z60" i="31"/>
  <c r="AA60" i="31" s="1"/>
  <c r="AH60" i="31" s="1"/>
  <c r="S61" i="31"/>
  <c r="Y61" i="31" s="1"/>
  <c r="X60" i="31"/>
  <c r="AI60" i="31" s="1"/>
  <c r="D75" i="43" s="1"/>
  <c r="E75" i="43" s="1"/>
  <c r="G75" i="43" s="1"/>
  <c r="H75" i="43" s="1"/>
  <c r="I75" i="43" s="1"/>
  <c r="AY61" i="26"/>
  <c r="AU61" i="26" s="1"/>
  <c r="BJ61" i="26"/>
  <c r="AX61" i="26"/>
  <c r="AZ61" i="26" s="1"/>
  <c r="L161" i="34"/>
  <c r="M161" i="34"/>
  <c r="J162" i="34" s="1"/>
  <c r="N160" i="34"/>
  <c r="K160" i="34"/>
  <c r="Y205" i="37" l="1"/>
  <c r="X205" i="37"/>
  <c r="W205" i="37"/>
  <c r="T205" i="37" s="1"/>
  <c r="U206" i="37"/>
  <c r="T204" i="37"/>
  <c r="BD61" i="26"/>
  <c r="F75" i="43"/>
  <c r="U61" i="31"/>
  <c r="AG61" i="31" s="1"/>
  <c r="C76" i="43" s="1"/>
  <c r="T61" i="31"/>
  <c r="BE61" i="26"/>
  <c r="BC61" i="26"/>
  <c r="BI61" i="26"/>
  <c r="BG61" i="26"/>
  <c r="BA61" i="26"/>
  <c r="BB61" i="26"/>
  <c r="BL61" i="26"/>
  <c r="BF61" i="26"/>
  <c r="AV62" i="26"/>
  <c r="BH61" i="26"/>
  <c r="BK61" i="26"/>
  <c r="M162" i="34"/>
  <c r="J163" i="34" s="1"/>
  <c r="L162" i="34"/>
  <c r="N161" i="34"/>
  <c r="K161" i="34"/>
  <c r="Y206" i="37" l="1"/>
  <c r="X206" i="37"/>
  <c r="W206" i="37"/>
  <c r="U207" i="37"/>
  <c r="Q62" i="31"/>
  <c r="R62" i="31" s="1"/>
  <c r="W61" i="31"/>
  <c r="X61" i="31" s="1"/>
  <c r="AI61" i="31" s="1"/>
  <c r="D76" i="43" s="1"/>
  <c r="E76" i="43" s="1"/>
  <c r="AB61" i="31"/>
  <c r="AW62" i="26"/>
  <c r="N162" i="34"/>
  <c r="K162" i="34"/>
  <c r="M163" i="34"/>
  <c r="J164" i="34" s="1"/>
  <c r="L163" i="34"/>
  <c r="W207" i="37" l="1"/>
  <c r="Y207" i="37"/>
  <c r="X207" i="37"/>
  <c r="U208" i="37"/>
  <c r="T206" i="37"/>
  <c r="S62" i="31"/>
  <c r="T62" i="31" s="1"/>
  <c r="Z61" i="31"/>
  <c r="AA61" i="31" s="1"/>
  <c r="AH61" i="31" s="1"/>
  <c r="G76" i="43"/>
  <c r="H76" i="43" s="1"/>
  <c r="I76" i="43" s="1"/>
  <c r="F76" i="43"/>
  <c r="AX62" i="26"/>
  <c r="AZ62" i="26" s="1"/>
  <c r="BJ62" i="26"/>
  <c r="AY62" i="26"/>
  <c r="BI62" i="26" s="1"/>
  <c r="K163" i="34"/>
  <c r="N163" i="34"/>
  <c r="L164" i="34"/>
  <c r="M164" i="34"/>
  <c r="J165" i="34" s="1"/>
  <c r="Y208" i="37" l="1"/>
  <c r="X208" i="37"/>
  <c r="W208" i="37"/>
  <c r="T208" i="37" s="1"/>
  <c r="U209" i="37"/>
  <c r="T207" i="37"/>
  <c r="BE62" i="26"/>
  <c r="BD62" i="26"/>
  <c r="BA62" i="26"/>
  <c r="Y62" i="31"/>
  <c r="U62" i="31"/>
  <c r="W62" i="31" s="1"/>
  <c r="X62" i="31" s="1"/>
  <c r="BB62" i="26"/>
  <c r="BC62" i="26"/>
  <c r="BG62" i="26"/>
  <c r="BL62" i="26"/>
  <c r="BK62" i="26"/>
  <c r="BH62" i="26"/>
  <c r="BF62" i="26"/>
  <c r="AV63" i="26"/>
  <c r="AU62" i="26"/>
  <c r="N164" i="34"/>
  <c r="K164" i="34"/>
  <c r="M165" i="34"/>
  <c r="J166" i="34" s="1"/>
  <c r="L165" i="34"/>
  <c r="Y209" i="37" l="1"/>
  <c r="X209" i="37"/>
  <c r="W209" i="37"/>
  <c r="U210" i="37"/>
  <c r="Q63" i="31"/>
  <c r="R63" i="31" s="1"/>
  <c r="Z62" i="31"/>
  <c r="AA62" i="31" s="1"/>
  <c r="AH62" i="31" s="1"/>
  <c r="AB62" i="31"/>
  <c r="AG62" i="31"/>
  <c r="C77" i="43" s="1"/>
  <c r="AI62" i="31"/>
  <c r="D77" i="43" s="1"/>
  <c r="E77" i="43" s="1"/>
  <c r="G77" i="43" s="1"/>
  <c r="H77" i="43" s="1"/>
  <c r="I77" i="43" s="1"/>
  <c r="AW63" i="26"/>
  <c r="N165" i="34"/>
  <c r="K165" i="34"/>
  <c r="L166" i="34"/>
  <c r="M166" i="34"/>
  <c r="J167" i="34" s="1"/>
  <c r="Y210" i="37" l="1"/>
  <c r="W210" i="37"/>
  <c r="X210" i="37"/>
  <c r="U211" i="37"/>
  <c r="T209" i="37"/>
  <c r="S63" i="31"/>
  <c r="T63" i="31" s="1"/>
  <c r="F77" i="43"/>
  <c r="AY63" i="26"/>
  <c r="AX63" i="26"/>
  <c r="AZ63" i="26" s="1"/>
  <c r="BJ63" i="26"/>
  <c r="N166" i="34"/>
  <c r="K166" i="34"/>
  <c r="L167" i="34"/>
  <c r="M167" i="34"/>
  <c r="J168" i="34" s="1"/>
  <c r="Y211" i="37" l="1"/>
  <c r="W211" i="37"/>
  <c r="X211" i="37"/>
  <c r="U212" i="37"/>
  <c r="T210" i="37"/>
  <c r="BB63" i="26"/>
  <c r="U63" i="31"/>
  <c r="AB63" i="31" s="1"/>
  <c r="Y63" i="31"/>
  <c r="BE63" i="26"/>
  <c r="BI63" i="26"/>
  <c r="BA63" i="26"/>
  <c r="BD63" i="26"/>
  <c r="BC63" i="26"/>
  <c r="AU63" i="26"/>
  <c r="BF63" i="26"/>
  <c r="AV64" i="26"/>
  <c r="BG63" i="26"/>
  <c r="BL63" i="26"/>
  <c r="BK63" i="26"/>
  <c r="BH63" i="26"/>
  <c r="N167" i="34"/>
  <c r="K167" i="34"/>
  <c r="M168" i="34"/>
  <c r="N168" i="34" s="1"/>
  <c r="L168" i="34"/>
  <c r="X212" i="37" l="1"/>
  <c r="W212" i="37"/>
  <c r="T212" i="37" s="1"/>
  <c r="Y212" i="37"/>
  <c r="U213" i="37"/>
  <c r="T211" i="37"/>
  <c r="W63" i="31"/>
  <c r="Z63" i="31" s="1"/>
  <c r="AA63" i="31" s="1"/>
  <c r="AH63" i="31" s="1"/>
  <c r="AG63" i="31"/>
  <c r="C78" i="43" s="1"/>
  <c r="Q64" i="31"/>
  <c r="R64" i="31" s="1"/>
  <c r="AW64" i="26"/>
  <c r="K168" i="34"/>
  <c r="Y213" i="37" l="1"/>
  <c r="X213" i="37"/>
  <c r="W213" i="37"/>
  <c r="U214" i="37"/>
  <c r="X63" i="31"/>
  <c r="AI63" i="31" s="1"/>
  <c r="D78" i="43" s="1"/>
  <c r="E78" i="43" s="1"/>
  <c r="G78" i="43" s="1"/>
  <c r="H78" i="43" s="1"/>
  <c r="I78" i="43" s="1"/>
  <c r="S64" i="31"/>
  <c r="U64" i="31" s="1"/>
  <c r="BJ64" i="26"/>
  <c r="AY64" i="26"/>
  <c r="AX64" i="26"/>
  <c r="Y214" i="37" l="1"/>
  <c r="X214" i="37"/>
  <c r="W214" i="37"/>
  <c r="U215" i="37"/>
  <c r="T213" i="37"/>
  <c r="BB64" i="26"/>
  <c r="BF64" i="26"/>
  <c r="T64" i="31"/>
  <c r="Q65" i="31" s="1"/>
  <c r="R65" i="31" s="1"/>
  <c r="Y64" i="31"/>
  <c r="F78" i="43"/>
  <c r="W64" i="31"/>
  <c r="AB64" i="31"/>
  <c r="AG64" i="31"/>
  <c r="C79" i="43" s="1"/>
  <c r="BA64" i="26"/>
  <c r="AZ64" i="26"/>
  <c r="BD64" i="26"/>
  <c r="BC64" i="26"/>
  <c r="BE64" i="26"/>
  <c r="AV65" i="26"/>
  <c r="BH64" i="26"/>
  <c r="BL64" i="26"/>
  <c r="BG64" i="26"/>
  <c r="BK64" i="26"/>
  <c r="AU64" i="26"/>
  <c r="BI64" i="26"/>
  <c r="X215" i="37" l="1"/>
  <c r="W215" i="37"/>
  <c r="Y215" i="37"/>
  <c r="U216" i="37"/>
  <c r="T214" i="37"/>
  <c r="S65" i="31"/>
  <c r="T65" i="31" s="1"/>
  <c r="X64" i="31"/>
  <c r="AI64" i="31" s="1"/>
  <c r="D79" i="43" s="1"/>
  <c r="E79" i="43" s="1"/>
  <c r="Z64" i="31"/>
  <c r="AA64" i="31" s="1"/>
  <c r="AH64" i="31" s="1"/>
  <c r="AW65" i="26"/>
  <c r="X216" i="37" l="1"/>
  <c r="W216" i="37"/>
  <c r="Y216" i="37"/>
  <c r="U217" i="37"/>
  <c r="T215" i="37"/>
  <c r="U65" i="31"/>
  <c r="Q66" i="31" s="1"/>
  <c r="S66" i="31" s="1"/>
  <c r="Y65" i="31"/>
  <c r="G79" i="43"/>
  <c r="H79" i="43" s="1"/>
  <c r="I79" i="43" s="1"/>
  <c r="F79" i="43"/>
  <c r="AX65" i="26"/>
  <c r="AZ65" i="26" s="1"/>
  <c r="AY65" i="26"/>
  <c r="AU65" i="26" s="1"/>
  <c r="BJ65" i="26"/>
  <c r="S116" i="36"/>
  <c r="J50" i="36"/>
  <c r="BC50" i="36"/>
  <c r="J77" i="36"/>
  <c r="AB50" i="36"/>
  <c r="S77" i="36"/>
  <c r="S50" i="36"/>
  <c r="AB77" i="36"/>
  <c r="BU80" i="36"/>
  <c r="BU122" i="36"/>
  <c r="BU50" i="36"/>
  <c r="BC122" i="36"/>
  <c r="BC80" i="36"/>
  <c r="J116" i="36"/>
  <c r="AB116" i="36"/>
  <c r="Y217" i="37" l="1"/>
  <c r="X217" i="37"/>
  <c r="W217" i="37"/>
  <c r="U218" i="37"/>
  <c r="T216" i="37"/>
  <c r="BE65" i="26"/>
  <c r="AG65" i="31"/>
  <c r="C80" i="43" s="1"/>
  <c r="AB65" i="31"/>
  <c r="R66" i="31"/>
  <c r="Y66" i="31" s="1"/>
  <c r="W65" i="31"/>
  <c r="X65" i="31" s="1"/>
  <c r="AI65" i="31" s="1"/>
  <c r="D80" i="43" s="1"/>
  <c r="E80" i="43" s="1"/>
  <c r="G80" i="43" s="1"/>
  <c r="H80" i="43" s="1"/>
  <c r="I80" i="43" s="1"/>
  <c r="BG65" i="26"/>
  <c r="BL65" i="26"/>
  <c r="BI65" i="26"/>
  <c r="BA65" i="26"/>
  <c r="BB65" i="26"/>
  <c r="BD65" i="26"/>
  <c r="BH65" i="26"/>
  <c r="BF65" i="26"/>
  <c r="BC65" i="26"/>
  <c r="AV66" i="26"/>
  <c r="BK65" i="26"/>
  <c r="BC173" i="36"/>
  <c r="S161" i="36"/>
  <c r="J161" i="36"/>
  <c r="BU236" i="36"/>
  <c r="AB161" i="36"/>
  <c r="S467" i="36"/>
  <c r="BU155" i="36"/>
  <c r="BU342" i="36"/>
  <c r="S329" i="36"/>
  <c r="BC439" i="36"/>
  <c r="S209" i="36"/>
  <c r="AB266" i="36"/>
  <c r="AB467" i="36"/>
  <c r="S394" i="36"/>
  <c r="J394" i="36"/>
  <c r="BU194" i="36"/>
  <c r="BU287" i="36"/>
  <c r="AB209" i="36"/>
  <c r="BC230" i="36"/>
  <c r="J329" i="36"/>
  <c r="J209" i="36"/>
  <c r="BC521" i="36"/>
  <c r="S266" i="36"/>
  <c r="BC293" i="36"/>
  <c r="J266" i="36"/>
  <c r="BU404" i="36"/>
  <c r="AB329" i="36"/>
  <c r="AB394" i="36"/>
  <c r="BC365" i="36"/>
  <c r="Y218" i="37" l="1"/>
  <c r="X218" i="37"/>
  <c r="W218" i="37"/>
  <c r="T218" i="37" s="1"/>
  <c r="U219" i="37"/>
  <c r="T217" i="37"/>
  <c r="F80" i="43"/>
  <c r="Z65" i="31"/>
  <c r="AA65" i="31" s="1"/>
  <c r="AH65" i="31" s="1"/>
  <c r="T66" i="31"/>
  <c r="U66" i="31"/>
  <c r="W66" i="31" s="1"/>
  <c r="X66" i="31" s="1"/>
  <c r="AI66" i="31" s="1"/>
  <c r="D81" i="43" s="1"/>
  <c r="E81" i="43" s="1"/>
  <c r="G81" i="43" s="1"/>
  <c r="H81" i="43" s="1"/>
  <c r="I81" i="43" s="1"/>
  <c r="N11" i="43" s="1"/>
  <c r="AW66" i="26"/>
  <c r="J467" i="36"/>
  <c r="BB1" i="36"/>
  <c r="BT1" i="36"/>
  <c r="AA1" i="36"/>
  <c r="AS1" i="36"/>
  <c r="R1" i="36"/>
  <c r="BK1" i="36"/>
  <c r="AJ1" i="36"/>
  <c r="W219" i="37" l="1"/>
  <c r="Y219" i="37"/>
  <c r="X219" i="37"/>
  <c r="U220" i="37"/>
  <c r="Q67" i="31"/>
  <c r="R67" i="31" s="1"/>
  <c r="Z66" i="31"/>
  <c r="AA66" i="31" s="1"/>
  <c r="AH66" i="31" s="1"/>
  <c r="F81" i="43"/>
  <c r="AB66" i="31"/>
  <c r="AG66" i="31"/>
  <c r="C81" i="43" s="1"/>
  <c r="AY66" i="26"/>
  <c r="AX66" i="26"/>
  <c r="BJ66" i="26"/>
  <c r="I1" i="36"/>
  <c r="Y220" i="37" l="1"/>
  <c r="X220" i="37"/>
  <c r="W220" i="37"/>
  <c r="U221" i="37"/>
  <c r="T219" i="37"/>
  <c r="AZ66" i="26"/>
  <c r="BL66" i="26"/>
  <c r="S67" i="31"/>
  <c r="Y67" i="31" s="1"/>
  <c r="BA66" i="26"/>
  <c r="AU66" i="26"/>
  <c r="BH66" i="26"/>
  <c r="AV67" i="26"/>
  <c r="BI66" i="26"/>
  <c r="BF66" i="26"/>
  <c r="BK66" i="26"/>
  <c r="BC66" i="26"/>
  <c r="BG66" i="26"/>
  <c r="BB66" i="26"/>
  <c r="BD66" i="26"/>
  <c r="BE66" i="26"/>
  <c r="Y221" i="37" l="1"/>
  <c r="X221" i="37"/>
  <c r="W221" i="37"/>
  <c r="U222" i="37"/>
  <c r="T220" i="37"/>
  <c r="U67" i="31"/>
  <c r="W67" i="31" s="1"/>
  <c r="X67" i="31" s="1"/>
  <c r="AI67" i="31" s="1"/>
  <c r="D82" i="43" s="1"/>
  <c r="T67" i="31"/>
  <c r="AW67" i="26"/>
  <c r="Y222" i="37" l="1"/>
  <c r="W222" i="37"/>
  <c r="X222" i="37"/>
  <c r="U223" i="37"/>
  <c r="T221" i="37"/>
  <c r="Q68" i="31"/>
  <c r="S68" i="31" s="1"/>
  <c r="AB67" i="31"/>
  <c r="Z67" i="31"/>
  <c r="AA67" i="31" s="1"/>
  <c r="AH67" i="31" s="1"/>
  <c r="AG67" i="31"/>
  <c r="C82" i="43" s="1"/>
  <c r="E82" i="43" s="1"/>
  <c r="G82" i="43" s="1"/>
  <c r="H82" i="43" s="1"/>
  <c r="I82" i="43" s="1"/>
  <c r="BJ67" i="26"/>
  <c r="AY67" i="26"/>
  <c r="AX67" i="26"/>
  <c r="AZ67" i="26" s="1"/>
  <c r="Y223" i="37" l="1"/>
  <c r="W223" i="37"/>
  <c r="X223" i="37"/>
  <c r="U224" i="37"/>
  <c r="T222" i="37"/>
  <c r="BD67" i="26"/>
  <c r="BI67" i="26"/>
  <c r="BH67" i="26"/>
  <c r="R68" i="31"/>
  <c r="T68" i="31" s="1"/>
  <c r="F82" i="43"/>
  <c r="BC67" i="26"/>
  <c r="BA67" i="26"/>
  <c r="BE67" i="26"/>
  <c r="BB67" i="26"/>
  <c r="BG67" i="26"/>
  <c r="AV68" i="26"/>
  <c r="BK67" i="26"/>
  <c r="BF67" i="26"/>
  <c r="AU67" i="26"/>
  <c r="BL67" i="26"/>
  <c r="X224" i="37" l="1"/>
  <c r="W224" i="37"/>
  <c r="T224" i="37" s="1"/>
  <c r="Y224" i="37"/>
  <c r="U225" i="37"/>
  <c r="T223" i="37"/>
  <c r="Y68" i="31"/>
  <c r="U68" i="31"/>
  <c r="Q69" i="31" s="1"/>
  <c r="R69" i="31" s="1"/>
  <c r="AW68" i="26"/>
  <c r="Y225" i="37" l="1"/>
  <c r="X225" i="37"/>
  <c r="W225" i="37"/>
  <c r="U226" i="37"/>
  <c r="S69" i="31"/>
  <c r="Y69" i="31" s="1"/>
  <c r="AB68" i="31"/>
  <c r="AG68" i="31"/>
  <c r="C83" i="43" s="1"/>
  <c r="W68" i="31"/>
  <c r="X68" i="31" s="1"/>
  <c r="AI68" i="31" s="1"/>
  <c r="D83" i="43" s="1"/>
  <c r="E83" i="43" s="1"/>
  <c r="G83" i="43" s="1"/>
  <c r="H83" i="43" s="1"/>
  <c r="I83" i="43" s="1"/>
  <c r="AX68" i="26"/>
  <c r="BD68" i="26" s="1"/>
  <c r="AY68" i="26"/>
  <c r="AU68" i="26" s="1"/>
  <c r="Y226" i="37" l="1"/>
  <c r="X226" i="37"/>
  <c r="W226" i="37"/>
  <c r="U227" i="37"/>
  <c r="T225" i="37"/>
  <c r="BJ68" i="26"/>
  <c r="Z68" i="31"/>
  <c r="AA68" i="31" s="1"/>
  <c r="AH68" i="31" s="1"/>
  <c r="F83" i="43"/>
  <c r="U69" i="31"/>
  <c r="AG69" i="31" s="1"/>
  <c r="C84" i="43" s="1"/>
  <c r="T69" i="31"/>
  <c r="AZ68" i="26"/>
  <c r="BA68" i="26"/>
  <c r="BC68" i="26"/>
  <c r="BK68" i="26"/>
  <c r="BE68" i="26"/>
  <c r="BL68" i="26"/>
  <c r="BF68" i="26"/>
  <c r="BB68" i="26"/>
  <c r="BI68" i="26"/>
  <c r="BG68" i="26"/>
  <c r="AV69" i="26"/>
  <c r="BH68" i="26"/>
  <c r="X227" i="37" l="1"/>
  <c r="W227" i="37"/>
  <c r="T227" i="37" s="1"/>
  <c r="Y227" i="37"/>
  <c r="U228" i="37"/>
  <c r="T226" i="37"/>
  <c r="AB69" i="31"/>
  <c r="W69" i="31"/>
  <c r="X69" i="31" s="1"/>
  <c r="AI69" i="31" s="1"/>
  <c r="D84" i="43" s="1"/>
  <c r="E84" i="43" s="1"/>
  <c r="F84" i="43" s="1"/>
  <c r="Q70" i="31"/>
  <c r="S70" i="31" s="1"/>
  <c r="AW69" i="26"/>
  <c r="X228" i="37" l="1"/>
  <c r="W228" i="37"/>
  <c r="Y228" i="37"/>
  <c r="U229" i="37"/>
  <c r="R70" i="31"/>
  <c r="Y70" i="31" s="1"/>
  <c r="Z69" i="31"/>
  <c r="AA69" i="31" s="1"/>
  <c r="AH69" i="31" s="1"/>
  <c r="G84" i="43"/>
  <c r="H84" i="43" s="1"/>
  <c r="I84" i="43" s="1"/>
  <c r="AX69" i="26"/>
  <c r="AZ69" i="26" s="1"/>
  <c r="AY69" i="26"/>
  <c r="AU69" i="26" s="1"/>
  <c r="BJ69" i="26"/>
  <c r="Y229" i="37" l="1"/>
  <c r="X229" i="37"/>
  <c r="W229" i="37"/>
  <c r="U230" i="37"/>
  <c r="T228" i="37"/>
  <c r="U70" i="31"/>
  <c r="AB70" i="31" s="1"/>
  <c r="T70" i="31"/>
  <c r="BF69" i="26"/>
  <c r="BC69" i="26"/>
  <c r="BH69" i="26"/>
  <c r="BI69" i="26"/>
  <c r="BD69" i="26"/>
  <c r="BK69" i="26"/>
  <c r="BB69" i="26"/>
  <c r="BA69" i="26"/>
  <c r="BG69" i="26"/>
  <c r="BE69" i="26"/>
  <c r="AV70" i="26"/>
  <c r="BL69" i="26"/>
  <c r="Y230" i="37" l="1"/>
  <c r="X230" i="37"/>
  <c r="W230" i="37"/>
  <c r="T230" i="37" s="1"/>
  <c r="U231" i="37"/>
  <c r="T229" i="37"/>
  <c r="Q71" i="31"/>
  <c r="S71" i="31" s="1"/>
  <c r="W70" i="31"/>
  <c r="X70" i="31" s="1"/>
  <c r="AI70" i="31" s="1"/>
  <c r="D85" i="43" s="1"/>
  <c r="E85" i="43" s="1"/>
  <c r="AG70" i="31"/>
  <c r="C85" i="43" s="1"/>
  <c r="AW70" i="26"/>
  <c r="W231" i="37" l="1"/>
  <c r="Y231" i="37"/>
  <c r="X231" i="37"/>
  <c r="U232" i="37"/>
  <c r="R71" i="31"/>
  <c r="Y71" i="31" s="1"/>
  <c r="Z70" i="31"/>
  <c r="AA70" i="31" s="1"/>
  <c r="AH70" i="31" s="1"/>
  <c r="G85" i="43"/>
  <c r="H85" i="43" s="1"/>
  <c r="I85" i="43" s="1"/>
  <c r="F85" i="43"/>
  <c r="AY70" i="26"/>
  <c r="BJ70" i="26"/>
  <c r="AX70" i="26"/>
  <c r="AZ70" i="26" s="1"/>
  <c r="Y232" i="37" l="1"/>
  <c r="X232" i="37"/>
  <c r="W232" i="37"/>
  <c r="U233" i="37"/>
  <c r="T231" i="37"/>
  <c r="BA70" i="26"/>
  <c r="BD70" i="26"/>
  <c r="BE70" i="26"/>
  <c r="BB70" i="26"/>
  <c r="T71" i="31"/>
  <c r="U71" i="31"/>
  <c r="AG71" i="31" s="1"/>
  <c r="C86" i="43" s="1"/>
  <c r="BC70" i="26"/>
  <c r="BL70" i="26"/>
  <c r="BK70" i="26"/>
  <c r="BG70" i="26"/>
  <c r="BH70" i="26"/>
  <c r="AU70" i="26"/>
  <c r="BF70" i="26"/>
  <c r="AV71" i="26"/>
  <c r="BI70" i="26"/>
  <c r="Y233" i="37" l="1"/>
  <c r="X233" i="37"/>
  <c r="W233" i="37"/>
  <c r="U234" i="37"/>
  <c r="T232" i="37"/>
  <c r="Q72" i="31"/>
  <c r="S72" i="31" s="1"/>
  <c r="W71" i="31"/>
  <c r="X71" i="31" s="1"/>
  <c r="AI71" i="31" s="1"/>
  <c r="D86" i="43" s="1"/>
  <c r="E86" i="43" s="1"/>
  <c r="AB71" i="31"/>
  <c r="AW71" i="26"/>
  <c r="Y234" i="37" l="1"/>
  <c r="W234" i="37"/>
  <c r="X234" i="37"/>
  <c r="T233" i="37"/>
  <c r="R72" i="31"/>
  <c r="U72" i="31" s="1"/>
  <c r="AB72" i="31" s="1"/>
  <c r="Z71" i="31"/>
  <c r="AA71" i="31" s="1"/>
  <c r="AH71" i="31" s="1"/>
  <c r="G86" i="43"/>
  <c r="H86" i="43" s="1"/>
  <c r="I86" i="43" s="1"/>
  <c r="F86" i="43"/>
  <c r="AX71" i="26"/>
  <c r="AZ71" i="26" s="1"/>
  <c r="AY71" i="26"/>
  <c r="BJ71" i="26" s="1"/>
  <c r="T234" i="37" l="1"/>
  <c r="W72" i="31"/>
  <c r="X72" i="31" s="1"/>
  <c r="AI72" i="31" s="1"/>
  <c r="D87" i="43" s="1"/>
  <c r="E87" i="43" s="1"/>
  <c r="F87" i="43" s="1"/>
  <c r="AG72" i="31"/>
  <c r="C87" i="43" s="1"/>
  <c r="T72" i="31"/>
  <c r="Q73" i="31" s="1"/>
  <c r="R73" i="31" s="1"/>
  <c r="Y72" i="31"/>
  <c r="BB71" i="26"/>
  <c r="BC71" i="26"/>
  <c r="BD71" i="26"/>
  <c r="BE71" i="26"/>
  <c r="BI71" i="26"/>
  <c r="BA71" i="26"/>
  <c r="AV72" i="26"/>
  <c r="BL71" i="26"/>
  <c r="BG71" i="26"/>
  <c r="BH71" i="26"/>
  <c r="AU71" i="26"/>
  <c r="BK71" i="26"/>
  <c r="BF71" i="26"/>
  <c r="G87" i="43" l="1"/>
  <c r="H87" i="43" s="1"/>
  <c r="I87" i="43" s="1"/>
  <c r="Z72" i="31"/>
  <c r="AA72" i="31" s="1"/>
  <c r="AH72" i="31" s="1"/>
  <c r="S73" i="31"/>
  <c r="Y73" i="31" s="1"/>
  <c r="AW72" i="26"/>
  <c r="T73" i="31" l="1"/>
  <c r="U73" i="31"/>
  <c r="AB73" i="31" s="1"/>
  <c r="AY72" i="26"/>
  <c r="AU72" i="26" s="1"/>
  <c r="AX72" i="26"/>
  <c r="BE72" i="26" s="1"/>
  <c r="BJ72" i="26"/>
  <c r="AZ72" i="26" l="1"/>
  <c r="BC72" i="26"/>
  <c r="BA72" i="26"/>
  <c r="BB72" i="26"/>
  <c r="BD72" i="26"/>
  <c r="Q74" i="31"/>
  <c r="S74" i="31" s="1"/>
  <c r="W73" i="31"/>
  <c r="X73" i="31" s="1"/>
  <c r="AI73" i="31" s="1"/>
  <c r="D88" i="43" s="1"/>
  <c r="E88" i="43" s="1"/>
  <c r="F88" i="43" s="1"/>
  <c r="AG73" i="31"/>
  <c r="C88" i="43" s="1"/>
  <c r="BF72" i="26"/>
  <c r="BG72" i="26"/>
  <c r="BL72" i="26"/>
  <c r="BH72" i="26"/>
  <c r="BI72" i="26"/>
  <c r="BK72" i="26"/>
  <c r="AV73" i="26"/>
  <c r="R74" i="31" l="1"/>
  <c r="T74" i="31" s="1"/>
  <c r="Z73" i="31"/>
  <c r="AA73" i="31" s="1"/>
  <c r="AH73" i="31" s="1"/>
  <c r="G88" i="43"/>
  <c r="H88" i="43" s="1"/>
  <c r="I88" i="43" s="1"/>
  <c r="AW73" i="26"/>
  <c r="Y74" i="31" l="1"/>
  <c r="U74" i="31"/>
  <c r="W74" i="31" s="1"/>
  <c r="X74" i="31" s="1"/>
  <c r="AI74" i="31" s="1"/>
  <c r="D89" i="43" s="1"/>
  <c r="E89" i="43" s="1"/>
  <c r="G89" i="43" s="1"/>
  <c r="H89" i="43" s="1"/>
  <c r="I89" i="43" s="1"/>
  <c r="AY73" i="26"/>
  <c r="BJ73" i="26"/>
  <c r="AX73" i="26"/>
  <c r="BA73" i="26" s="1"/>
  <c r="AZ73" i="26" l="1"/>
  <c r="BC73" i="26"/>
  <c r="BI73" i="26"/>
  <c r="BL73" i="26"/>
  <c r="BG73" i="26"/>
  <c r="AG74" i="31"/>
  <c r="C89" i="43" s="1"/>
  <c r="Z74" i="31"/>
  <c r="AA74" i="31" s="1"/>
  <c r="AH74" i="31" s="1"/>
  <c r="Q75" i="31"/>
  <c r="S75" i="31" s="1"/>
  <c r="AB74" i="31"/>
  <c r="F89" i="43"/>
  <c r="BD73" i="26"/>
  <c r="BB73" i="26"/>
  <c r="AU73" i="26"/>
  <c r="BE73" i="26"/>
  <c r="BF73" i="26"/>
  <c r="BH73" i="26"/>
  <c r="BK73" i="26"/>
  <c r="AV74" i="26"/>
  <c r="R75" i="31" l="1"/>
  <c r="Y75" i="31" s="1"/>
  <c r="AW74" i="26"/>
  <c r="U75" i="31" l="1"/>
  <c r="W75" i="31" s="1"/>
  <c r="X75" i="31" s="1"/>
  <c r="AI75" i="31" s="1"/>
  <c r="D90" i="43" s="1"/>
  <c r="E90" i="43" s="1"/>
  <c r="G90" i="43" s="1"/>
  <c r="H90" i="43" s="1"/>
  <c r="I90" i="43" s="1"/>
  <c r="T75" i="31"/>
  <c r="AY74" i="26"/>
  <c r="BJ74" i="26"/>
  <c r="AX74" i="26"/>
  <c r="AZ74" i="26" s="1"/>
  <c r="BA74" i="26" l="1"/>
  <c r="BI74" i="26"/>
  <c r="Q76" i="31"/>
  <c r="R76" i="31" s="1"/>
  <c r="AB75" i="31"/>
  <c r="AG75" i="31"/>
  <c r="C90" i="43" s="1"/>
  <c r="Z75" i="31"/>
  <c r="AA75" i="31" s="1"/>
  <c r="AH75" i="31" s="1"/>
  <c r="F90" i="43"/>
  <c r="BB74" i="26"/>
  <c r="BC74" i="26"/>
  <c r="BE74" i="26"/>
  <c r="BD74" i="26"/>
  <c r="BG74" i="26"/>
  <c r="BF74" i="26"/>
  <c r="BH74" i="26"/>
  <c r="AV75" i="26"/>
  <c r="BL74" i="26"/>
  <c r="BK74" i="26"/>
  <c r="AU74" i="26"/>
  <c r="S76" i="31" l="1"/>
  <c r="Y76" i="31" s="1"/>
  <c r="AW75" i="26"/>
  <c r="T76" i="31" l="1"/>
  <c r="U76" i="31"/>
  <c r="AG76" i="31" s="1"/>
  <c r="C91" i="43" s="1"/>
  <c r="AX75" i="26"/>
  <c r="BA75" i="26" s="1"/>
  <c r="AY75" i="26"/>
  <c r="BJ75" i="26"/>
  <c r="AZ75" i="26" l="1"/>
  <c r="BI75" i="26"/>
  <c r="BE75" i="26"/>
  <c r="BC75" i="26"/>
  <c r="Q77" i="31"/>
  <c r="S77" i="31" s="1"/>
  <c r="AB76" i="31"/>
  <c r="W76" i="31"/>
  <c r="X76" i="31" s="1"/>
  <c r="AI76" i="31" s="1"/>
  <c r="D91" i="43" s="1"/>
  <c r="E91" i="43" s="1"/>
  <c r="G91" i="43" s="1"/>
  <c r="H91" i="43" s="1"/>
  <c r="I91" i="43" s="1"/>
  <c r="BB75" i="26"/>
  <c r="BD75" i="26"/>
  <c r="BF75" i="26"/>
  <c r="BK75" i="26"/>
  <c r="AV76" i="26"/>
  <c r="BL75" i="26"/>
  <c r="BG75" i="26"/>
  <c r="BH75" i="26"/>
  <c r="AU75" i="26"/>
  <c r="Z76" i="31" l="1"/>
  <c r="AA76" i="31" s="1"/>
  <c r="AH76" i="31" s="1"/>
  <c r="F91" i="43"/>
  <c r="R77" i="31"/>
  <c r="T77" i="31" s="1"/>
  <c r="AW76" i="26"/>
  <c r="U77" i="31" l="1"/>
  <c r="AG77" i="31" s="1"/>
  <c r="C92" i="43" s="1"/>
  <c r="Y77" i="31"/>
  <c r="AY76" i="26"/>
  <c r="BJ76" i="26"/>
  <c r="AX76" i="26"/>
  <c r="AZ76" i="26" s="1"/>
  <c r="BD76" i="26" l="1"/>
  <c r="W77" i="31"/>
  <c r="X77" i="31" s="1"/>
  <c r="AI77" i="31" s="1"/>
  <c r="D92" i="43" s="1"/>
  <c r="E92" i="43" s="1"/>
  <c r="AB77" i="31"/>
  <c r="Q78" i="31"/>
  <c r="BI76" i="26"/>
  <c r="BA76" i="26"/>
  <c r="BC76" i="26"/>
  <c r="BB76" i="26"/>
  <c r="BE76" i="26"/>
  <c r="BG76" i="26"/>
  <c r="BL76" i="26"/>
  <c r="BK76" i="26"/>
  <c r="BH76" i="26"/>
  <c r="BF76" i="26"/>
  <c r="AV77" i="26"/>
  <c r="AU76" i="26"/>
  <c r="Z77" i="31" l="1"/>
  <c r="AA77" i="31" s="1"/>
  <c r="AH77" i="31" s="1"/>
  <c r="S78" i="31"/>
  <c r="R78" i="31"/>
  <c r="G92" i="43"/>
  <c r="H92" i="43" s="1"/>
  <c r="I92" i="43" s="1"/>
  <c r="F92" i="43"/>
  <c r="AW77" i="26"/>
  <c r="U78" i="31" l="1"/>
  <c r="Y78" i="31"/>
  <c r="T78" i="31"/>
  <c r="AX77" i="26"/>
  <c r="AZ77" i="26" s="1"/>
  <c r="AY77" i="26"/>
  <c r="BE77" i="26" s="1"/>
  <c r="BI77" i="26" l="1"/>
  <c r="BJ77" i="26"/>
  <c r="BH77" i="26"/>
  <c r="AG78" i="31"/>
  <c r="C93" i="43" s="1"/>
  <c r="AB78" i="31"/>
  <c r="W78" i="31"/>
  <c r="X78" i="31" s="1"/>
  <c r="AI78" i="31" s="1"/>
  <c r="D93" i="43" s="1"/>
  <c r="Q79" i="31"/>
  <c r="BD77" i="26"/>
  <c r="BB77" i="26"/>
  <c r="BA77" i="26"/>
  <c r="BC77" i="26"/>
  <c r="BF77" i="26"/>
  <c r="AV78" i="26"/>
  <c r="BG77" i="26"/>
  <c r="BL77" i="26"/>
  <c r="AU77" i="26"/>
  <c r="BK77" i="26"/>
  <c r="E93" i="43" l="1"/>
  <c r="F93" i="43" s="1"/>
  <c r="Z78" i="31"/>
  <c r="AA78" i="31" s="1"/>
  <c r="AH78" i="31" s="1"/>
  <c r="R79" i="31"/>
  <c r="S79" i="31"/>
  <c r="AW78" i="26"/>
  <c r="G93" i="43" l="1"/>
  <c r="H93" i="43" s="1"/>
  <c r="I93" i="43" s="1"/>
  <c r="T79" i="31"/>
  <c r="Y79" i="31"/>
  <c r="U79" i="31"/>
  <c r="BJ78" i="26"/>
  <c r="AY78" i="26"/>
  <c r="BE78" i="26" s="1"/>
  <c r="AX78" i="26"/>
  <c r="AZ78" i="26" s="1"/>
  <c r="Q80" i="31" l="1"/>
  <c r="S80" i="31" s="1"/>
  <c r="AG79" i="31"/>
  <c r="C94" i="43" s="1"/>
  <c r="W79" i="31"/>
  <c r="AB79" i="31"/>
  <c r="BA78" i="26"/>
  <c r="BD78" i="26"/>
  <c r="BB78" i="26"/>
  <c r="BC78" i="26"/>
  <c r="AU78" i="26"/>
  <c r="AV79" i="26"/>
  <c r="BG78" i="26"/>
  <c r="BF78" i="26"/>
  <c r="BK78" i="26"/>
  <c r="BI78" i="26"/>
  <c r="BL78" i="26"/>
  <c r="BH78" i="26"/>
  <c r="R80" i="31" l="1"/>
  <c r="Y80" i="31" s="1"/>
  <c r="Z79" i="31"/>
  <c r="AA79" i="31" s="1"/>
  <c r="AH79" i="31" s="1"/>
  <c r="X79" i="31"/>
  <c r="AI79" i="31" s="1"/>
  <c r="D94" i="43" s="1"/>
  <c r="E94" i="43" s="1"/>
  <c r="AW79" i="26"/>
  <c r="T80" i="31" l="1"/>
  <c r="U80" i="31"/>
  <c r="AG80" i="31" s="1"/>
  <c r="C95" i="43" s="1"/>
  <c r="G94" i="43"/>
  <c r="H94" i="43" s="1"/>
  <c r="I94" i="43" s="1"/>
  <c r="F94" i="43"/>
  <c r="AX79" i="26"/>
  <c r="AY79" i="26"/>
  <c r="BJ79" i="26"/>
  <c r="BH79" i="26" l="1"/>
  <c r="BB79" i="26"/>
  <c r="Q81" i="31"/>
  <c r="S81" i="31" s="1"/>
  <c r="AB80" i="31"/>
  <c r="W80" i="31"/>
  <c r="X80" i="31" s="1"/>
  <c r="AI80" i="31" s="1"/>
  <c r="D95" i="43" s="1"/>
  <c r="E95" i="43" s="1"/>
  <c r="F95" i="43" s="1"/>
  <c r="AZ79" i="26"/>
  <c r="BE79" i="26"/>
  <c r="BD79" i="26"/>
  <c r="BA79" i="26"/>
  <c r="BC79" i="26"/>
  <c r="AV80" i="26"/>
  <c r="BG79" i="26"/>
  <c r="AU79" i="26"/>
  <c r="BK79" i="26"/>
  <c r="BI79" i="26"/>
  <c r="BF79" i="26"/>
  <c r="BL79" i="26"/>
  <c r="R81" i="31" l="1"/>
  <c r="Y81" i="31" s="1"/>
  <c r="G95" i="43"/>
  <c r="H95" i="43" s="1"/>
  <c r="I95" i="43" s="1"/>
  <c r="Z80" i="31"/>
  <c r="AA80" i="31" s="1"/>
  <c r="AH80" i="31" s="1"/>
  <c r="AW80" i="26"/>
  <c r="U81" i="31" l="1"/>
  <c r="AG81" i="31" s="1"/>
  <c r="C96" i="43" s="1"/>
  <c r="T81" i="31"/>
  <c r="AY80" i="26"/>
  <c r="AU80" i="26" s="1"/>
  <c r="AX80" i="26"/>
  <c r="BE80" i="26" s="1"/>
  <c r="BJ80" i="26"/>
  <c r="Q82" i="31" l="1"/>
  <c r="R82" i="31" s="1"/>
  <c r="AB81" i="31"/>
  <c r="W81" i="31"/>
  <c r="X81" i="31" s="1"/>
  <c r="AI81" i="31" s="1"/>
  <c r="D96" i="43" s="1"/>
  <c r="E96" i="43" s="1"/>
  <c r="F96" i="43" s="1"/>
  <c r="AZ80" i="26"/>
  <c r="BD80" i="26"/>
  <c r="BA80" i="26"/>
  <c r="BC80" i="26"/>
  <c r="BB80" i="26"/>
  <c r="BK80" i="26"/>
  <c r="BI80" i="26"/>
  <c r="BG80" i="26"/>
  <c r="BH80" i="26"/>
  <c r="BF80" i="26"/>
  <c r="BL80" i="26"/>
  <c r="AV81" i="26"/>
  <c r="S82" i="31" l="1"/>
  <c r="U82" i="31" s="1"/>
  <c r="AB82" i="31" s="1"/>
  <c r="Z81" i="31"/>
  <c r="AA81" i="31" s="1"/>
  <c r="AH81" i="31" s="1"/>
  <c r="G96" i="43"/>
  <c r="H96" i="43" s="1"/>
  <c r="I96" i="43" s="1"/>
  <c r="AW81" i="26"/>
  <c r="T82" i="31" l="1"/>
  <c r="Q83" i="31" s="1"/>
  <c r="R83" i="31" s="1"/>
  <c r="W82" i="31"/>
  <c r="X82" i="31" s="1"/>
  <c r="AI82" i="31" s="1"/>
  <c r="D97" i="43" s="1"/>
  <c r="E97" i="43" s="1"/>
  <c r="F97" i="43" s="1"/>
  <c r="Y82" i="31"/>
  <c r="AG82" i="31"/>
  <c r="C97" i="43" s="1"/>
  <c r="BJ81" i="26"/>
  <c r="AX81" i="26"/>
  <c r="AY81" i="26"/>
  <c r="BA81" i="26" l="1"/>
  <c r="S83" i="31"/>
  <c r="Y83" i="31" s="1"/>
  <c r="G97" i="43"/>
  <c r="H97" i="43" s="1"/>
  <c r="I97" i="43" s="1"/>
  <c r="Z82" i="31"/>
  <c r="AA82" i="31" s="1"/>
  <c r="AH82" i="31" s="1"/>
  <c r="BL81" i="26"/>
  <c r="BB81" i="26"/>
  <c r="AZ81" i="26"/>
  <c r="BE81" i="26"/>
  <c r="BD81" i="26"/>
  <c r="BC81" i="26"/>
  <c r="BI81" i="26"/>
  <c r="AV82" i="26"/>
  <c r="BK81" i="26"/>
  <c r="BF81" i="26"/>
  <c r="BG81" i="26"/>
  <c r="BH81" i="26"/>
  <c r="AU81" i="26"/>
  <c r="T83" i="31" l="1"/>
  <c r="U83" i="31"/>
  <c r="AB83" i="31" s="1"/>
  <c r="AW82" i="26"/>
  <c r="Q84" i="31" l="1"/>
  <c r="R84" i="31" s="1"/>
  <c r="AG83" i="31"/>
  <c r="C98" i="43" s="1"/>
  <c r="W83" i="31"/>
  <c r="X83" i="31" s="1"/>
  <c r="AI83" i="31" s="1"/>
  <c r="D98" i="43" s="1"/>
  <c r="E98" i="43" s="1"/>
  <c r="G98" i="43" s="1"/>
  <c r="H98" i="43" s="1"/>
  <c r="I98" i="43" s="1"/>
  <c r="AX82" i="26"/>
  <c r="AZ82" i="26" s="1"/>
  <c r="BJ82" i="26"/>
  <c r="AY82" i="26"/>
  <c r="AU82" i="26" s="1"/>
  <c r="S84" i="31" l="1"/>
  <c r="U84" i="31" s="1"/>
  <c r="AG84" i="31" s="1"/>
  <c r="C99" i="43" s="1"/>
  <c r="F98" i="43"/>
  <c r="Z83" i="31"/>
  <c r="AA83" i="31" s="1"/>
  <c r="AH83" i="31" s="1"/>
  <c r="BD82" i="26"/>
  <c r="BB82" i="26"/>
  <c r="BE82" i="26"/>
  <c r="BA82" i="26"/>
  <c r="BI82" i="26"/>
  <c r="BC82" i="26"/>
  <c r="AV83" i="26"/>
  <c r="BF82" i="26"/>
  <c r="BK82" i="26"/>
  <c r="BH82" i="26"/>
  <c r="BG82" i="26"/>
  <c r="BL82" i="26"/>
  <c r="Y84" i="31" l="1"/>
  <c r="W84" i="31"/>
  <c r="X84" i="31" s="1"/>
  <c r="AI84" i="31" s="1"/>
  <c r="D99" i="43" s="1"/>
  <c r="E99" i="43" s="1"/>
  <c r="G99" i="43" s="1"/>
  <c r="H99" i="43" s="1"/>
  <c r="I99" i="43" s="1"/>
  <c r="T84" i="31"/>
  <c r="Q85" i="31" s="1"/>
  <c r="S85" i="31" s="1"/>
  <c r="AB84" i="31"/>
  <c r="AW83" i="26"/>
  <c r="F99" i="43" l="1"/>
  <c r="R85" i="31"/>
  <c r="T85" i="31" s="1"/>
  <c r="Z84" i="31"/>
  <c r="AA84" i="31" s="1"/>
  <c r="AH84" i="31" s="1"/>
  <c r="AX83" i="26"/>
  <c r="AZ83" i="26" s="1"/>
  <c r="BJ83" i="26"/>
  <c r="AY83" i="26"/>
  <c r="BI83" i="26" s="1"/>
  <c r="U85" i="31" l="1"/>
  <c r="Q86" i="31" s="1"/>
  <c r="S86" i="31" s="1"/>
  <c r="Y85" i="31"/>
  <c r="BC83" i="26"/>
  <c r="BE83" i="26"/>
  <c r="BA83" i="26"/>
  <c r="BB83" i="26"/>
  <c r="BD83" i="26"/>
  <c r="BL83" i="26"/>
  <c r="BH83" i="26"/>
  <c r="AU83" i="26"/>
  <c r="AV84" i="26"/>
  <c r="BK83" i="26"/>
  <c r="BG83" i="26"/>
  <c r="BF83" i="26"/>
  <c r="R86" i="31" l="1"/>
  <c r="Y86" i="31" s="1"/>
  <c r="AG85" i="31"/>
  <c r="C100" i="43" s="1"/>
  <c r="W85" i="31"/>
  <c r="X85" i="31" s="1"/>
  <c r="AI85" i="31" s="1"/>
  <c r="D100" i="43" s="1"/>
  <c r="E100" i="43" s="1"/>
  <c r="G100" i="43" s="1"/>
  <c r="H100" i="43" s="1"/>
  <c r="I100" i="43" s="1"/>
  <c r="AB85" i="31"/>
  <c r="AW84" i="26"/>
  <c r="T86" i="31" l="1"/>
  <c r="U86" i="31"/>
  <c r="W86" i="31" s="1"/>
  <c r="X86" i="31" s="1"/>
  <c r="F100" i="43"/>
  <c r="Z85" i="31"/>
  <c r="AA85" i="31" s="1"/>
  <c r="AH85" i="31" s="1"/>
  <c r="AX84" i="26"/>
  <c r="AY84" i="26"/>
  <c r="AU84" i="26" s="1"/>
  <c r="BJ84" i="26"/>
  <c r="AG86" i="31" l="1"/>
  <c r="C101" i="43" s="1"/>
  <c r="Z86" i="31"/>
  <c r="AA86" i="31" s="1"/>
  <c r="AH86" i="31" s="1"/>
  <c r="AI86" i="31"/>
  <c r="D101" i="43" s="1"/>
  <c r="E101" i="43" s="1"/>
  <c r="G101" i="43" s="1"/>
  <c r="H101" i="43" s="1"/>
  <c r="I101" i="43" s="1"/>
  <c r="AB86" i="31"/>
  <c r="Q87" i="31"/>
  <c r="R87" i="31" s="1"/>
  <c r="BI84" i="26"/>
  <c r="BF84" i="26"/>
  <c r="BB84" i="26"/>
  <c r="BG84" i="26"/>
  <c r="BK84" i="26"/>
  <c r="BA84" i="26"/>
  <c r="BD84" i="26"/>
  <c r="BL84" i="26"/>
  <c r="AZ84" i="26"/>
  <c r="BE84" i="26"/>
  <c r="BC84" i="26"/>
  <c r="AV85" i="26"/>
  <c r="BH84" i="26"/>
  <c r="S87" i="31" l="1"/>
  <c r="T87" i="31" s="1"/>
  <c r="F101" i="43"/>
  <c r="AW85" i="26"/>
  <c r="Y87" i="31" l="1"/>
  <c r="U87" i="31"/>
  <c r="AB87" i="31" s="1"/>
  <c r="AY85" i="26"/>
  <c r="AU85" i="26" s="1"/>
  <c r="AX85" i="26"/>
  <c r="BE85" i="26" s="1"/>
  <c r="BJ85" i="26"/>
  <c r="AZ85" i="26" l="1"/>
  <c r="AG87" i="31"/>
  <c r="C102" i="43" s="1"/>
  <c r="W87" i="31"/>
  <c r="X87" i="31" s="1"/>
  <c r="AI87" i="31" s="1"/>
  <c r="D102" i="43" s="1"/>
  <c r="E102" i="43" s="1"/>
  <c r="F102" i="43" s="1"/>
  <c r="Q88" i="31"/>
  <c r="S88" i="31" s="1"/>
  <c r="BC85" i="26"/>
  <c r="BD85" i="26"/>
  <c r="BB85" i="26"/>
  <c r="BI85" i="26"/>
  <c r="BL85" i="26"/>
  <c r="BG85" i="26"/>
  <c r="BK85" i="26"/>
  <c r="BH85" i="26"/>
  <c r="AV86" i="26"/>
  <c r="BF85" i="26"/>
  <c r="BA85" i="26"/>
  <c r="G102" i="43" l="1"/>
  <c r="H102" i="43" s="1"/>
  <c r="I102" i="43" s="1"/>
  <c r="Z87" i="31"/>
  <c r="AA87" i="31" s="1"/>
  <c r="AH87" i="31" s="1"/>
  <c r="R88" i="31"/>
  <c r="Y88" i="31" s="1"/>
  <c r="AW86" i="26"/>
  <c r="T88" i="31" l="1"/>
  <c r="U88" i="31"/>
  <c r="AB88" i="31" s="1"/>
  <c r="BJ86" i="26"/>
  <c r="AX86" i="26"/>
  <c r="AZ86" i="26" s="1"/>
  <c r="AY86" i="26"/>
  <c r="Q89" i="31" l="1"/>
  <c r="S89" i="31" s="1"/>
  <c r="W88" i="31"/>
  <c r="X88" i="31" s="1"/>
  <c r="AI88" i="31" s="1"/>
  <c r="D103" i="43" s="1"/>
  <c r="E103" i="43" s="1"/>
  <c r="F103" i="43" s="1"/>
  <c r="AG88" i="31"/>
  <c r="C103" i="43" s="1"/>
  <c r="BA86" i="26"/>
  <c r="BI86" i="26"/>
  <c r="BG86" i="26"/>
  <c r="BD86" i="26"/>
  <c r="BB86" i="26"/>
  <c r="AU86" i="26"/>
  <c r="BE86" i="26"/>
  <c r="BC86" i="26"/>
  <c r="BL86" i="26"/>
  <c r="AV87" i="26"/>
  <c r="BK86" i="26"/>
  <c r="BF86" i="26"/>
  <c r="BH86" i="26"/>
  <c r="R89" i="31" l="1"/>
  <c r="Y89" i="31" s="1"/>
  <c r="Z88" i="31"/>
  <c r="AA88" i="31" s="1"/>
  <c r="AH88" i="31" s="1"/>
  <c r="G103" i="43"/>
  <c r="H103" i="43" s="1"/>
  <c r="I103" i="43" s="1"/>
  <c r="AW87" i="26"/>
  <c r="T89" i="31" l="1"/>
  <c r="U89" i="31"/>
  <c r="AG89" i="31" s="1"/>
  <c r="C104" i="43" s="1"/>
  <c r="AY87" i="26"/>
  <c r="AU87" i="26" s="1"/>
  <c r="BJ87" i="26"/>
  <c r="AX87" i="26"/>
  <c r="BD87" i="26" s="1"/>
  <c r="Q90" i="31" l="1"/>
  <c r="R90" i="31" s="1"/>
  <c r="AB89" i="31"/>
  <c r="W89" i="31"/>
  <c r="X89" i="31" s="1"/>
  <c r="AI89" i="31" s="1"/>
  <c r="D104" i="43" s="1"/>
  <c r="E104" i="43" s="1"/>
  <c r="G104" i="43" s="1"/>
  <c r="H104" i="43" s="1"/>
  <c r="I104" i="43" s="1"/>
  <c r="BC87" i="26"/>
  <c r="BB87" i="26"/>
  <c r="BE87" i="26"/>
  <c r="AZ87" i="26"/>
  <c r="BA87" i="26"/>
  <c r="BH87" i="26"/>
  <c r="BG87" i="26"/>
  <c r="BL87" i="26"/>
  <c r="BI87" i="26"/>
  <c r="BK87" i="26"/>
  <c r="AV88" i="26"/>
  <c r="BF87" i="26"/>
  <c r="S90" i="31" l="1"/>
  <c r="T90" i="31" s="1"/>
  <c r="F104" i="43"/>
  <c r="Z89" i="31"/>
  <c r="AA89" i="31" s="1"/>
  <c r="AH89" i="31" s="1"/>
  <c r="AW88" i="26"/>
  <c r="Y90" i="31" l="1"/>
  <c r="U90" i="31"/>
  <c r="W90" i="31" s="1"/>
  <c r="X90" i="31" s="1"/>
  <c r="AI90" i="31" s="1"/>
  <c r="D105" i="43" s="1"/>
  <c r="E105" i="43" s="1"/>
  <c r="F105" i="43" s="1"/>
  <c r="BJ88" i="26"/>
  <c r="AY88" i="26"/>
  <c r="AX88" i="26"/>
  <c r="BB88" i="26" l="1"/>
  <c r="G105" i="43"/>
  <c r="H105" i="43" s="1"/>
  <c r="I105" i="43" s="1"/>
  <c r="Z90" i="31"/>
  <c r="AA90" i="31" s="1"/>
  <c r="AH90" i="31" s="1"/>
  <c r="AB90" i="31"/>
  <c r="AG90" i="31"/>
  <c r="C105" i="43" s="1"/>
  <c r="Q91" i="31"/>
  <c r="R91" i="31" s="1"/>
  <c r="BE88" i="26"/>
  <c r="AZ88" i="26"/>
  <c r="BF88" i="26"/>
  <c r="BD88" i="26"/>
  <c r="BC88" i="26"/>
  <c r="BH88" i="26"/>
  <c r="BA88" i="26"/>
  <c r="BK88" i="26"/>
  <c r="AU88" i="26"/>
  <c r="BI88" i="26"/>
  <c r="AV89" i="26"/>
  <c r="BL88" i="26"/>
  <c r="BG88" i="26"/>
  <c r="S91" i="31" l="1"/>
  <c r="U91" i="31" s="1"/>
  <c r="AB91" i="31" s="1"/>
  <c r="AW89" i="26"/>
  <c r="Y91" i="31" l="1"/>
  <c r="AG91" i="31"/>
  <c r="C106" i="43" s="1"/>
  <c r="T91" i="31"/>
  <c r="Q92" i="31" s="1"/>
  <c r="S92" i="31" s="1"/>
  <c r="W91" i="31"/>
  <c r="X91" i="31" s="1"/>
  <c r="AI91" i="31" s="1"/>
  <c r="D106" i="43" s="1"/>
  <c r="E106" i="43" s="1"/>
  <c r="G106" i="43" s="1"/>
  <c r="H106" i="43" s="1"/>
  <c r="I106" i="43" s="1"/>
  <c r="AY89" i="26"/>
  <c r="AU89" i="26" s="1"/>
  <c r="AX89" i="26"/>
  <c r="AZ89" i="26" s="1"/>
  <c r="BJ89" i="26"/>
  <c r="Z91" i="31" l="1"/>
  <c r="AA91" i="31" s="1"/>
  <c r="AH91" i="31" s="1"/>
  <c r="R92" i="31"/>
  <c r="T92" i="31" s="1"/>
  <c r="F106" i="43"/>
  <c r="BD89" i="26"/>
  <c r="BH89" i="26"/>
  <c r="BG89" i="26"/>
  <c r="BE89" i="26"/>
  <c r="BB89" i="26"/>
  <c r="BC89" i="26"/>
  <c r="BK89" i="26"/>
  <c r="BL89" i="26"/>
  <c r="BI89" i="26"/>
  <c r="AV90" i="26"/>
  <c r="BF89" i="26"/>
  <c r="BA89" i="26"/>
  <c r="U92" i="31" l="1"/>
  <c r="Q93" i="31" s="1"/>
  <c r="R93" i="31" s="1"/>
  <c r="Y92" i="31"/>
  <c r="AW90" i="26"/>
  <c r="AG92" i="31" l="1"/>
  <c r="C107" i="43" s="1"/>
  <c r="S93" i="31"/>
  <c r="U93" i="31" s="1"/>
  <c r="AB93" i="31" s="1"/>
  <c r="W92" i="31"/>
  <c r="X92" i="31" s="1"/>
  <c r="AI92" i="31" s="1"/>
  <c r="D107" i="43" s="1"/>
  <c r="E107" i="43" s="1"/>
  <c r="F107" i="43" s="1"/>
  <c r="AB92" i="31"/>
  <c r="AX90" i="26"/>
  <c r="BJ90" i="26"/>
  <c r="AY90" i="26"/>
  <c r="BA90" i="26" l="1"/>
  <c r="BE90" i="26"/>
  <c r="AG93" i="31"/>
  <c r="C108" i="43" s="1"/>
  <c r="Z92" i="31"/>
  <c r="AA92" i="31" s="1"/>
  <c r="AH92" i="31" s="1"/>
  <c r="T93" i="31"/>
  <c r="Q94" i="31" s="1"/>
  <c r="R94" i="31" s="1"/>
  <c r="G107" i="43"/>
  <c r="H107" i="43" s="1"/>
  <c r="I107" i="43" s="1"/>
  <c r="Y93" i="31"/>
  <c r="W93" i="31"/>
  <c r="X93" i="31" s="1"/>
  <c r="AI93" i="31" s="1"/>
  <c r="D108" i="43" s="1"/>
  <c r="E108" i="43" s="1"/>
  <c r="G108" i="43" s="1"/>
  <c r="BC90" i="26"/>
  <c r="BD90" i="26"/>
  <c r="BB90" i="26"/>
  <c r="AZ90" i="26"/>
  <c r="BK90" i="26"/>
  <c r="BG90" i="26"/>
  <c r="BI90" i="26"/>
  <c r="AU90" i="26"/>
  <c r="AV91" i="26"/>
  <c r="BH90" i="26"/>
  <c r="BF90" i="26"/>
  <c r="BL90" i="26"/>
  <c r="H108" i="43" l="1"/>
  <c r="I108" i="43" s="1"/>
  <c r="S94" i="31"/>
  <c r="T94" i="31" s="1"/>
  <c r="Z93" i="31"/>
  <c r="AA93" i="31" s="1"/>
  <c r="AH93" i="31" s="1"/>
  <c r="F108" i="43"/>
  <c r="AW91" i="26"/>
  <c r="Y94" i="31" l="1"/>
  <c r="U94" i="31"/>
  <c r="Q95" i="31" s="1"/>
  <c r="R95" i="31" s="1"/>
  <c r="AY91" i="26"/>
  <c r="AU91" i="26" s="1"/>
  <c r="AX91" i="26"/>
  <c r="BB91" i="26" s="1"/>
  <c r="BJ91" i="26"/>
  <c r="W94" i="31" l="1"/>
  <c r="X94" i="31" s="1"/>
  <c r="AI94" i="31" s="1"/>
  <c r="D109" i="43" s="1"/>
  <c r="E109" i="43" s="1"/>
  <c r="F109" i="43" s="1"/>
  <c r="AB94" i="31"/>
  <c r="S95" i="31"/>
  <c r="U95" i="31" s="1"/>
  <c r="W95" i="31" s="1"/>
  <c r="X95" i="31" s="1"/>
  <c r="AG94" i="31"/>
  <c r="C109" i="43" s="1"/>
  <c r="AZ91" i="26"/>
  <c r="BC91" i="26"/>
  <c r="BE91" i="26"/>
  <c r="BD91" i="26"/>
  <c r="BA91" i="26"/>
  <c r="BI91" i="26"/>
  <c r="BL91" i="26"/>
  <c r="BH91" i="26"/>
  <c r="AV92" i="26"/>
  <c r="BF91" i="26"/>
  <c r="BG91" i="26"/>
  <c r="BK91" i="26"/>
  <c r="Z94" i="31" l="1"/>
  <c r="AA94" i="31" s="1"/>
  <c r="AH94" i="31" s="1"/>
  <c r="G109" i="43"/>
  <c r="H109" i="43" s="1"/>
  <c r="I109" i="43" s="1"/>
  <c r="Y95" i="31"/>
  <c r="AG95" i="31"/>
  <c r="C110" i="43" s="1"/>
  <c r="AI95" i="31"/>
  <c r="D110" i="43" s="1"/>
  <c r="E110" i="43" s="1"/>
  <c r="G110" i="43" s="1"/>
  <c r="AB95" i="31"/>
  <c r="T95" i="31"/>
  <c r="Q96" i="31" s="1"/>
  <c r="S96" i="31" s="1"/>
  <c r="AW92" i="26"/>
  <c r="F110" i="43" l="1"/>
  <c r="Z95" i="31"/>
  <c r="AA95" i="31" s="1"/>
  <c r="AH95" i="31" s="1"/>
  <c r="H110" i="43"/>
  <c r="I110" i="43" s="1"/>
  <c r="R96" i="31"/>
  <c r="Y96" i="31" s="1"/>
  <c r="BJ92" i="26"/>
  <c r="AX92" i="26"/>
  <c r="BB92" i="26" s="1"/>
  <c r="AY92" i="26"/>
  <c r="T96" i="31" l="1"/>
  <c r="U96" i="31"/>
  <c r="AB96" i="31" s="1"/>
  <c r="AZ92" i="26"/>
  <c r="BC92" i="26"/>
  <c r="BK92" i="26"/>
  <c r="BE92" i="26"/>
  <c r="BA92" i="26"/>
  <c r="BD92" i="26"/>
  <c r="BI92" i="26"/>
  <c r="BH92" i="26"/>
  <c r="BF92" i="26"/>
  <c r="AV93" i="26"/>
  <c r="AU92" i="26"/>
  <c r="BL92" i="26"/>
  <c r="BG92" i="26"/>
  <c r="W96" i="31" l="1"/>
  <c r="X96" i="31" s="1"/>
  <c r="AI96" i="31" s="1"/>
  <c r="D111" i="43" s="1"/>
  <c r="E111" i="43" s="1"/>
  <c r="F111" i="43" s="1"/>
  <c r="AG96" i="31"/>
  <c r="C111" i="43" s="1"/>
  <c r="Q97" i="31"/>
  <c r="R97" i="31" s="1"/>
  <c r="AW93" i="26"/>
  <c r="Z96" i="31" l="1"/>
  <c r="AA96" i="31" s="1"/>
  <c r="AH96" i="31" s="1"/>
  <c r="S97" i="31"/>
  <c r="Y97" i="31" s="1"/>
  <c r="G111" i="43"/>
  <c r="H111" i="43" s="1"/>
  <c r="I111" i="43" s="1"/>
  <c r="AX93" i="26"/>
  <c r="AZ93" i="26" s="1"/>
  <c r="BJ93" i="26"/>
  <c r="AY93" i="26"/>
  <c r="U97" i="31" l="1"/>
  <c r="AG97" i="31" s="1"/>
  <c r="C112" i="43" s="1"/>
  <c r="T97" i="31"/>
  <c r="BD93" i="26"/>
  <c r="BA93" i="26"/>
  <c r="BK93" i="26"/>
  <c r="BH93" i="26"/>
  <c r="BC93" i="26"/>
  <c r="BF93" i="26"/>
  <c r="BE93" i="26"/>
  <c r="BL93" i="26"/>
  <c r="BB93" i="26"/>
  <c r="BG93" i="26"/>
  <c r="BI93" i="26"/>
  <c r="AU93" i="26"/>
  <c r="AV94" i="26"/>
  <c r="W97" i="31" l="1"/>
  <c r="X97" i="31" s="1"/>
  <c r="AI97" i="31" s="1"/>
  <c r="D112" i="43" s="1"/>
  <c r="E112" i="43" s="1"/>
  <c r="G112" i="43" s="1"/>
  <c r="H112" i="43" s="1"/>
  <c r="I112" i="43" s="1"/>
  <c r="AB97" i="31"/>
  <c r="Q98" i="31"/>
  <c r="S98" i="31" s="1"/>
  <c r="AW94" i="26"/>
  <c r="R98" i="31" l="1"/>
  <c r="U98" i="31" s="1"/>
  <c r="W98" i="31" s="1"/>
  <c r="X98" i="31" s="1"/>
  <c r="AI98" i="31" s="1"/>
  <c r="D113" i="43" s="1"/>
  <c r="E113" i="43" s="1"/>
  <c r="G113" i="43" s="1"/>
  <c r="H113" i="43" s="1"/>
  <c r="I113" i="43" s="1"/>
  <c r="Z97" i="31"/>
  <c r="AA97" i="31" s="1"/>
  <c r="AH97" i="31" s="1"/>
  <c r="F112" i="43"/>
  <c r="AY94" i="26"/>
  <c r="AX94" i="26"/>
  <c r="BE94" i="26" s="1"/>
  <c r="BJ94" i="26"/>
  <c r="AZ94" i="26" l="1"/>
  <c r="AB98" i="31"/>
  <c r="Y98" i="31"/>
  <c r="Z98" i="31" s="1"/>
  <c r="AA98" i="31" s="1"/>
  <c r="AH98" i="31" s="1"/>
  <c r="F113" i="43"/>
  <c r="AG98" i="31"/>
  <c r="C113" i="43" s="1"/>
  <c r="T98" i="31"/>
  <c r="Q99" i="31" s="1"/>
  <c r="S99" i="31" s="1"/>
  <c r="BC94" i="26"/>
  <c r="BB94" i="26"/>
  <c r="AU94" i="26"/>
  <c r="BA94" i="26"/>
  <c r="BK94" i="26"/>
  <c r="AV95" i="26"/>
  <c r="BF94" i="26"/>
  <c r="BL94" i="26"/>
  <c r="BI94" i="26"/>
  <c r="BH94" i="26"/>
  <c r="BG94" i="26"/>
  <c r="BD94" i="26"/>
  <c r="R99" i="31" l="1"/>
  <c r="U99" i="31" s="1"/>
  <c r="W99" i="31" s="1"/>
  <c r="X99" i="31" s="1"/>
  <c r="AI99" i="31" s="1"/>
  <c r="D114" i="43" s="1"/>
  <c r="E114" i="43" s="1"/>
  <c r="G114" i="43" s="1"/>
  <c r="H114" i="43" s="1"/>
  <c r="I114" i="43" s="1"/>
  <c r="AW95" i="26"/>
  <c r="Y99" i="31" l="1"/>
  <c r="Z99" i="31" s="1"/>
  <c r="AA99" i="31" s="1"/>
  <c r="AH99" i="31" s="1"/>
  <c r="AB99" i="31"/>
  <c r="AG99" i="31"/>
  <c r="C114" i="43" s="1"/>
  <c r="T99" i="31"/>
  <c r="Q100" i="31" s="1"/>
  <c r="R100" i="31" s="1"/>
  <c r="F114" i="43"/>
  <c r="AY95" i="26"/>
  <c r="AX95" i="26"/>
  <c r="AZ95" i="26" s="1"/>
  <c r="BJ95" i="26"/>
  <c r="BC95" i="26" l="1"/>
  <c r="S100" i="31"/>
  <c r="U100" i="31" s="1"/>
  <c r="W100" i="31" s="1"/>
  <c r="X100" i="31" s="1"/>
  <c r="AI100" i="31" s="1"/>
  <c r="D115" i="43" s="1"/>
  <c r="E115" i="43" s="1"/>
  <c r="G115" i="43" s="1"/>
  <c r="H115" i="43" s="1"/>
  <c r="I115" i="43" s="1"/>
  <c r="BA95" i="26"/>
  <c r="BD95" i="26"/>
  <c r="BF95" i="26"/>
  <c r="BI95" i="26"/>
  <c r="BH95" i="26"/>
  <c r="BB95" i="26"/>
  <c r="BE95" i="26"/>
  <c r="AV96" i="26"/>
  <c r="BG95" i="26"/>
  <c r="BK95" i="26"/>
  <c r="AU95" i="26"/>
  <c r="BL95" i="26"/>
  <c r="T100" i="31" l="1"/>
  <c r="Q101" i="31" s="1"/>
  <c r="R101" i="31" s="1"/>
  <c r="Y100" i="31"/>
  <c r="Z100" i="31" s="1"/>
  <c r="AA100" i="31" s="1"/>
  <c r="AH100" i="31" s="1"/>
  <c r="AG100" i="31"/>
  <c r="C115" i="43" s="1"/>
  <c r="AB100" i="31"/>
  <c r="F115" i="43"/>
  <c r="AW96" i="26"/>
  <c r="S101" i="31" l="1"/>
  <c r="T101" i="31" s="1"/>
  <c r="AX96" i="26"/>
  <c r="BC96" i="26" s="1"/>
  <c r="AY96" i="26"/>
  <c r="BJ96" i="26"/>
  <c r="AZ96" i="26" l="1"/>
  <c r="U101" i="31"/>
  <c r="AG101" i="31" s="1"/>
  <c r="C116" i="43" s="1"/>
  <c r="Y101" i="31"/>
  <c r="BA96" i="26"/>
  <c r="BK96" i="26"/>
  <c r="BB96" i="26"/>
  <c r="BD96" i="26"/>
  <c r="BE96" i="26"/>
  <c r="AU96" i="26"/>
  <c r="BI96" i="26"/>
  <c r="BL96" i="26"/>
  <c r="AV97" i="26"/>
  <c r="BG96" i="26"/>
  <c r="BF96" i="26"/>
  <c r="BH96" i="26"/>
  <c r="AB101" i="31" l="1"/>
  <c r="W101" i="31"/>
  <c r="X101" i="31" s="1"/>
  <c r="AI101" i="31" s="1"/>
  <c r="D116" i="43" s="1"/>
  <c r="E116" i="43" s="1"/>
  <c r="G116" i="43" s="1"/>
  <c r="H116" i="43" s="1"/>
  <c r="I116" i="43" s="1"/>
  <c r="Q102" i="31"/>
  <c r="S102" i="31" s="1"/>
  <c r="AW97" i="26"/>
  <c r="R102" i="31" l="1"/>
  <c r="T102" i="31" s="1"/>
  <c r="F116" i="43"/>
  <c r="Z101" i="31"/>
  <c r="AA101" i="31" s="1"/>
  <c r="AH101" i="31" s="1"/>
  <c r="BJ97" i="26"/>
  <c r="AX97" i="26"/>
  <c r="BI97" i="26" s="1"/>
  <c r="AY97" i="26"/>
  <c r="BD97" i="26" l="1"/>
  <c r="AZ97" i="26"/>
  <c r="U102" i="31"/>
  <c r="AG102" i="31" s="1"/>
  <c r="C117" i="43" s="1"/>
  <c r="Y102" i="31"/>
  <c r="BE97" i="26"/>
  <c r="BA97" i="26"/>
  <c r="BB97" i="26"/>
  <c r="BC97" i="26"/>
  <c r="BG97" i="26"/>
  <c r="BH97" i="26"/>
  <c r="BL97" i="26"/>
  <c r="BK97" i="26"/>
  <c r="AU97" i="26"/>
  <c r="AV98" i="26"/>
  <c r="BF97" i="26"/>
  <c r="AB102" i="31" l="1"/>
  <c r="Q103" i="31"/>
  <c r="R103" i="31" s="1"/>
  <c r="W102" i="31"/>
  <c r="X102" i="31" s="1"/>
  <c r="AI102" i="31" s="1"/>
  <c r="D117" i="43" s="1"/>
  <c r="E117" i="43" s="1"/>
  <c r="G117" i="43" s="1"/>
  <c r="H117" i="43" s="1"/>
  <c r="I117" i="43" s="1"/>
  <c r="AW98" i="26"/>
  <c r="S103" i="31" l="1"/>
  <c r="T103" i="31" s="1"/>
  <c r="Z102" i="31"/>
  <c r="AA102" i="31" s="1"/>
  <c r="AH102" i="31" s="1"/>
  <c r="F117" i="43"/>
  <c r="AY98" i="26"/>
  <c r="BJ98" i="26"/>
  <c r="AX98" i="26"/>
  <c r="BA98" i="26" s="1"/>
  <c r="U103" i="31" l="1"/>
  <c r="Q104" i="31" s="1"/>
  <c r="R104" i="31" s="1"/>
  <c r="Y103" i="31"/>
  <c r="BB98" i="26"/>
  <c r="BC98" i="26"/>
  <c r="AZ98" i="26"/>
  <c r="BD98" i="26"/>
  <c r="BE98" i="26"/>
  <c r="BH98" i="26"/>
  <c r="BK98" i="26"/>
  <c r="BG98" i="26"/>
  <c r="BF98" i="26"/>
  <c r="BL98" i="26"/>
  <c r="AV99" i="26"/>
  <c r="AU98" i="26"/>
  <c r="BI98" i="26"/>
  <c r="S104" i="31" l="1"/>
  <c r="U104" i="31" s="1"/>
  <c r="AB104" i="31" s="1"/>
  <c r="AG103" i="31"/>
  <c r="C118" i="43" s="1"/>
  <c r="AB103" i="31"/>
  <c r="W103" i="31"/>
  <c r="Z103" i="31" s="1"/>
  <c r="AA103" i="31" s="1"/>
  <c r="AH103" i="31" s="1"/>
  <c r="AW99" i="26"/>
  <c r="W104" i="31" l="1"/>
  <c r="X104" i="31" s="1"/>
  <c r="AG104" i="31"/>
  <c r="C119" i="43" s="1"/>
  <c r="Y104" i="31"/>
  <c r="T104" i="31"/>
  <c r="Q105" i="31" s="1"/>
  <c r="R105" i="31" s="1"/>
  <c r="X103" i="31"/>
  <c r="AI103" i="31" s="1"/>
  <c r="D118" i="43" s="1"/>
  <c r="E118" i="43" s="1"/>
  <c r="F118" i="43" s="1"/>
  <c r="AX99" i="26"/>
  <c r="BE99" i="26" s="1"/>
  <c r="AY99" i="26"/>
  <c r="BJ99" i="26"/>
  <c r="AI104" i="31" l="1"/>
  <c r="D119" i="43" s="1"/>
  <c r="E119" i="43" s="1"/>
  <c r="G119" i="43" s="1"/>
  <c r="Z104" i="31"/>
  <c r="AA104" i="31" s="1"/>
  <c r="AH104" i="31" s="1"/>
  <c r="S105" i="31"/>
  <c r="Y105" i="31" s="1"/>
  <c r="G118" i="43"/>
  <c r="H118" i="43" s="1"/>
  <c r="I118" i="43" s="1"/>
  <c r="N12" i="43" s="1"/>
  <c r="AZ99" i="26"/>
  <c r="BB99" i="26"/>
  <c r="BD99" i="26"/>
  <c r="BL99" i="26"/>
  <c r="BC99" i="26"/>
  <c r="BG99" i="26"/>
  <c r="BH99" i="26"/>
  <c r="AV100" i="26"/>
  <c r="BI99" i="26"/>
  <c r="BF99" i="26"/>
  <c r="AU99" i="26"/>
  <c r="BK99" i="26"/>
  <c r="BA99" i="26"/>
  <c r="H119" i="43" l="1"/>
  <c r="I119" i="43" s="1"/>
  <c r="F119" i="43"/>
  <c r="T105" i="31"/>
  <c r="U105" i="31"/>
  <c r="AB105" i="31" s="1"/>
  <c r="AW100" i="26"/>
  <c r="Q106" i="31" l="1"/>
  <c r="R106" i="31" s="1"/>
  <c r="W105" i="31"/>
  <c r="X105" i="31" s="1"/>
  <c r="AI105" i="31" s="1"/>
  <c r="D120" i="43" s="1"/>
  <c r="E120" i="43" s="1"/>
  <c r="G120" i="43" s="1"/>
  <c r="H120" i="43" s="1"/>
  <c r="I120" i="43" s="1"/>
  <c r="AG105" i="31"/>
  <c r="C120" i="43" s="1"/>
  <c r="AX100" i="26"/>
  <c r="AY100" i="26"/>
  <c r="BJ100" i="26"/>
  <c r="BB100" i="26" l="1"/>
  <c r="S106" i="31"/>
  <c r="U106" i="31" s="1"/>
  <c r="W106" i="31" s="1"/>
  <c r="X106" i="31" s="1"/>
  <c r="F120" i="43"/>
  <c r="Z105" i="31"/>
  <c r="AA105" i="31" s="1"/>
  <c r="AH105" i="31" s="1"/>
  <c r="BD100" i="26"/>
  <c r="BE100" i="26"/>
  <c r="BA100" i="26"/>
  <c r="AZ100" i="26"/>
  <c r="BF100" i="26"/>
  <c r="BI100" i="26"/>
  <c r="BC100" i="26"/>
  <c r="BG100" i="26"/>
  <c r="BK100" i="26"/>
  <c r="BL100" i="26"/>
  <c r="BH100" i="26"/>
  <c r="AV101" i="26"/>
  <c r="AU100" i="26"/>
  <c r="T106" i="31" l="1"/>
  <c r="Q107" i="31" s="1"/>
  <c r="Y106" i="31"/>
  <c r="Z106" i="31" s="1"/>
  <c r="AA106" i="31" s="1"/>
  <c r="AH106" i="31" s="1"/>
  <c r="AB106" i="31"/>
  <c r="AI106" i="31"/>
  <c r="D121" i="43" s="1"/>
  <c r="E121" i="43" s="1"/>
  <c r="AG106" i="31"/>
  <c r="C121" i="43" s="1"/>
  <c r="AW101" i="26"/>
  <c r="R107" i="31" l="1"/>
  <c r="S107" i="31"/>
  <c r="G121" i="43"/>
  <c r="H121" i="43" s="1"/>
  <c r="I121" i="43" s="1"/>
  <c r="F121" i="43"/>
  <c r="BJ101" i="26"/>
  <c r="AX101" i="26"/>
  <c r="AZ101" i="26" s="1"/>
  <c r="AY101" i="26"/>
  <c r="BI101" i="26" s="1"/>
  <c r="U107" i="31" l="1"/>
  <c r="W107" i="31" s="1"/>
  <c r="X107" i="31" s="1"/>
  <c r="AI107" i="31" s="1"/>
  <c r="D122" i="43" s="1"/>
  <c r="E122" i="43" s="1"/>
  <c r="Y107" i="31"/>
  <c r="T107" i="31"/>
  <c r="BA101" i="26"/>
  <c r="BD101" i="26"/>
  <c r="BB101" i="26"/>
  <c r="BC101" i="26"/>
  <c r="BE101" i="26"/>
  <c r="BL101" i="26"/>
  <c r="AV102" i="26"/>
  <c r="BF101" i="26"/>
  <c r="BK101" i="26"/>
  <c r="AU101" i="26"/>
  <c r="BH101" i="26"/>
  <c r="BG101" i="26"/>
  <c r="AG107" i="31" l="1"/>
  <c r="C122" i="43" s="1"/>
  <c r="Q108" i="31"/>
  <c r="R108" i="31" s="1"/>
  <c r="AB107" i="31"/>
  <c r="Z107" i="31"/>
  <c r="AA107" i="31" s="1"/>
  <c r="AH107" i="31" s="1"/>
  <c r="G122" i="43"/>
  <c r="H122" i="43" s="1"/>
  <c r="I122" i="43" s="1"/>
  <c r="F122" i="43"/>
  <c r="AW102" i="26"/>
  <c r="S108" i="31" l="1"/>
  <c r="Y108" i="31" s="1"/>
  <c r="AY102" i="26"/>
  <c r="AU102" i="26" s="1"/>
  <c r="BJ102" i="26"/>
  <c r="AX102" i="26"/>
  <c r="AZ102" i="26" s="1"/>
  <c r="U108" i="31" l="1"/>
  <c r="AG108" i="31" s="1"/>
  <c r="C123" i="43" s="1"/>
  <c r="T108" i="31"/>
  <c r="Q109" i="31" s="1"/>
  <c r="R109" i="31" s="1"/>
  <c r="BB102" i="26"/>
  <c r="BC102" i="26"/>
  <c r="BD102" i="26"/>
  <c r="BE102" i="26"/>
  <c r="BA102" i="26"/>
  <c r="BH102" i="26"/>
  <c r="BG102" i="26"/>
  <c r="BL102" i="26"/>
  <c r="BI102" i="26"/>
  <c r="BK102" i="26"/>
  <c r="BF102" i="26"/>
  <c r="AV103" i="26"/>
  <c r="W108" i="31" l="1"/>
  <c r="Z108" i="31" s="1"/>
  <c r="AA108" i="31" s="1"/>
  <c r="AH108" i="31" s="1"/>
  <c r="AB108" i="31"/>
  <c r="S109" i="31"/>
  <c r="Y109" i="31" s="1"/>
  <c r="AW103" i="26"/>
  <c r="X108" i="31" l="1"/>
  <c r="AI108" i="31" s="1"/>
  <c r="D123" i="43" s="1"/>
  <c r="E123" i="43" s="1"/>
  <c r="F123" i="43" s="1"/>
  <c r="U109" i="31"/>
  <c r="AB109" i="31" s="1"/>
  <c r="T109" i="31"/>
  <c r="Q110" i="31" s="1"/>
  <c r="S110" i="31" s="1"/>
  <c r="BJ103" i="26"/>
  <c r="AY103" i="26"/>
  <c r="AX103" i="26"/>
  <c r="BD103" i="26" s="1"/>
  <c r="BE103" i="26" l="1"/>
  <c r="G123" i="43"/>
  <c r="H123" i="43" s="1"/>
  <c r="I123" i="43" s="1"/>
  <c r="W109" i="31"/>
  <c r="Z109" i="31" s="1"/>
  <c r="AA109" i="31" s="1"/>
  <c r="AH109" i="31" s="1"/>
  <c r="AG109" i="31"/>
  <c r="C124" i="43" s="1"/>
  <c r="R110" i="31"/>
  <c r="U110" i="31" s="1"/>
  <c r="AG110" i="31" s="1"/>
  <c r="C125" i="43" s="1"/>
  <c r="BC103" i="26"/>
  <c r="BB103" i="26"/>
  <c r="AZ103" i="26"/>
  <c r="BA103" i="26"/>
  <c r="BL103" i="26"/>
  <c r="BH103" i="26"/>
  <c r="BI103" i="26"/>
  <c r="AV104" i="26"/>
  <c r="BG103" i="26"/>
  <c r="BF103" i="26"/>
  <c r="AU103" i="26"/>
  <c r="BK103" i="26"/>
  <c r="X109" i="31" l="1"/>
  <c r="AI109" i="31" s="1"/>
  <c r="D124" i="43" s="1"/>
  <c r="E124" i="43" s="1"/>
  <c r="G124" i="43" s="1"/>
  <c r="H124" i="43" s="1"/>
  <c r="I124" i="43" s="1"/>
  <c r="T110" i="31"/>
  <c r="Q111" i="31" s="1"/>
  <c r="S111" i="31" s="1"/>
  <c r="Y110" i="31"/>
  <c r="W110" i="31"/>
  <c r="X110" i="31" s="1"/>
  <c r="AI110" i="31" s="1"/>
  <c r="D125" i="43" s="1"/>
  <c r="E125" i="43" s="1"/>
  <c r="G125" i="43" s="1"/>
  <c r="AB110" i="31"/>
  <c r="AW104" i="26"/>
  <c r="H125" i="43" l="1"/>
  <c r="I125" i="43" s="1"/>
  <c r="F124" i="43"/>
  <c r="F125" i="43" s="1"/>
  <c r="R111" i="31"/>
  <c r="Y111" i="31" s="1"/>
  <c r="Z110" i="31"/>
  <c r="AA110" i="31" s="1"/>
  <c r="AH110" i="31" s="1"/>
  <c r="AY104" i="26"/>
  <c r="AU104" i="26" s="1"/>
  <c r="BJ104" i="26"/>
  <c r="AX104" i="26"/>
  <c r="BD104" i="26" s="1"/>
  <c r="T111" i="31" l="1"/>
  <c r="U111" i="31"/>
  <c r="W111" i="31" s="1"/>
  <c r="X111" i="31" s="1"/>
  <c r="AI111" i="31" s="1"/>
  <c r="D126" i="43" s="1"/>
  <c r="E126" i="43" s="1"/>
  <c r="BI104" i="26"/>
  <c r="BC104" i="26"/>
  <c r="BE104" i="26"/>
  <c r="BB104" i="26"/>
  <c r="AZ104" i="26"/>
  <c r="BA104" i="26"/>
  <c r="BK104" i="26"/>
  <c r="BH104" i="26"/>
  <c r="BG104" i="26"/>
  <c r="BL104" i="26"/>
  <c r="AV105" i="26"/>
  <c r="BF104" i="26"/>
  <c r="AG111" i="31" l="1"/>
  <c r="C126" i="43" s="1"/>
  <c r="Q112" i="31"/>
  <c r="AB111" i="31"/>
  <c r="G126" i="43"/>
  <c r="H126" i="43" s="1"/>
  <c r="I126" i="43" s="1"/>
  <c r="F126" i="43"/>
  <c r="Z111" i="31"/>
  <c r="AA111" i="31" s="1"/>
  <c r="AH111" i="31" s="1"/>
  <c r="AW105" i="26"/>
  <c r="R112" i="31" l="1"/>
  <c r="S112" i="31"/>
  <c r="AX105" i="26"/>
  <c r="AY105" i="26"/>
  <c r="BJ105" i="26"/>
  <c r="AZ105" i="26" l="1"/>
  <c r="BI105" i="26"/>
  <c r="BA105" i="26"/>
  <c r="BB105" i="26"/>
  <c r="Y112" i="31"/>
  <c r="U112" i="31"/>
  <c r="T112" i="31"/>
  <c r="BF105" i="26"/>
  <c r="BK105" i="26"/>
  <c r="BD105" i="26"/>
  <c r="BC105" i="26"/>
  <c r="BG105" i="26"/>
  <c r="AV106" i="26"/>
  <c r="BE105" i="26"/>
  <c r="BH105" i="26"/>
  <c r="BL105" i="26"/>
  <c r="AU105" i="26"/>
  <c r="W112" i="31" l="1"/>
  <c r="AB112" i="31"/>
  <c r="AG112" i="31"/>
  <c r="C127" i="43" s="1"/>
  <c r="Q113" i="31"/>
  <c r="AW106" i="26"/>
  <c r="X112" i="31" l="1"/>
  <c r="AI112" i="31" s="1"/>
  <c r="D127" i="43" s="1"/>
  <c r="E127" i="43" s="1"/>
  <c r="Z112" i="31"/>
  <c r="AA112" i="31" s="1"/>
  <c r="AH112" i="31" s="1"/>
  <c r="S113" i="31"/>
  <c r="R113" i="31"/>
  <c r="AX106" i="26"/>
  <c r="AZ106" i="26" s="1"/>
  <c r="AY106" i="26"/>
  <c r="AU106" i="26" s="1"/>
  <c r="BI106" i="26"/>
  <c r="BJ106" i="26"/>
  <c r="F127" i="43" l="1"/>
  <c r="G127" i="43"/>
  <c r="H127" i="43" s="1"/>
  <c r="I127" i="43" s="1"/>
  <c r="U113" i="31"/>
  <c r="Y113" i="31"/>
  <c r="T113" i="31"/>
  <c r="BE106" i="26"/>
  <c r="BD106" i="26"/>
  <c r="BA106" i="26"/>
  <c r="BB106" i="26"/>
  <c r="BC106" i="26"/>
  <c r="BL106" i="26"/>
  <c r="AV107" i="26"/>
  <c r="BG106" i="26"/>
  <c r="BF106" i="26"/>
  <c r="BK106" i="26"/>
  <c r="BH106" i="26"/>
  <c r="Q114" i="31" l="1"/>
  <c r="R114" i="31" s="1"/>
  <c r="AB113" i="31"/>
  <c r="W113" i="31"/>
  <c r="X113" i="31" s="1"/>
  <c r="AI113" i="31" s="1"/>
  <c r="D128" i="43" s="1"/>
  <c r="E128" i="43" s="1"/>
  <c r="AG113" i="31"/>
  <c r="C128" i="43" s="1"/>
  <c r="AW107" i="26"/>
  <c r="S114" i="31" l="1"/>
  <c r="U114" i="31" s="1"/>
  <c r="AG114" i="31" s="1"/>
  <c r="C129" i="43" s="1"/>
  <c r="G128" i="43"/>
  <c r="H128" i="43" s="1"/>
  <c r="I128" i="43" s="1"/>
  <c r="F128" i="43"/>
  <c r="Z113" i="31"/>
  <c r="AA113" i="31" s="1"/>
  <c r="AH113" i="31" s="1"/>
  <c r="AX107" i="26"/>
  <c r="BC107" i="26" s="1"/>
  <c r="BJ107" i="26"/>
  <c r="AY107" i="26"/>
  <c r="Y114" i="31" l="1"/>
  <c r="T114" i="31"/>
  <c r="Q115" i="31" s="1"/>
  <c r="R115" i="31" s="1"/>
  <c r="AB114" i="31"/>
  <c r="W114" i="31"/>
  <c r="X114" i="31" s="1"/>
  <c r="AI114" i="31" s="1"/>
  <c r="D129" i="43" s="1"/>
  <c r="E129" i="43" s="1"/>
  <c r="AZ107" i="26"/>
  <c r="BL107" i="26"/>
  <c r="BB107" i="26"/>
  <c r="BA107" i="26"/>
  <c r="BD107" i="26"/>
  <c r="BE107" i="26"/>
  <c r="BI107" i="26"/>
  <c r="AU107" i="26"/>
  <c r="AV108" i="26"/>
  <c r="BH107" i="26"/>
  <c r="BK107" i="26"/>
  <c r="BG107" i="26"/>
  <c r="BF107" i="26"/>
  <c r="S115" i="31" l="1"/>
  <c r="Y115" i="31" s="1"/>
  <c r="F129" i="43"/>
  <c r="G129" i="43"/>
  <c r="H129" i="43" s="1"/>
  <c r="I129" i="43" s="1"/>
  <c r="Z114" i="31"/>
  <c r="AA114" i="31" s="1"/>
  <c r="AH114" i="31" s="1"/>
  <c r="AW108" i="26"/>
  <c r="U115" i="31" l="1"/>
  <c r="AB115" i="31" s="1"/>
  <c r="T115" i="31"/>
  <c r="BJ108" i="26"/>
  <c r="AX108" i="26"/>
  <c r="BC108" i="26" s="1"/>
  <c r="AY108" i="26"/>
  <c r="AG115" i="31" l="1"/>
  <c r="C130" i="43" s="1"/>
  <c r="W115" i="31"/>
  <c r="X115" i="31" s="1"/>
  <c r="AI115" i="31" s="1"/>
  <c r="D130" i="43" s="1"/>
  <c r="E130" i="43" s="1"/>
  <c r="F130" i="43" s="1"/>
  <c r="Q116" i="31"/>
  <c r="AZ108" i="26"/>
  <c r="BH108" i="26"/>
  <c r="BD108" i="26"/>
  <c r="BA108" i="26"/>
  <c r="BB108" i="26"/>
  <c r="BI108" i="26"/>
  <c r="BK108" i="26"/>
  <c r="BE108" i="26"/>
  <c r="AU108" i="26"/>
  <c r="BF108" i="26"/>
  <c r="AV109" i="26"/>
  <c r="BG108" i="26"/>
  <c r="BL108" i="26"/>
  <c r="G130" i="43" l="1"/>
  <c r="H130" i="43" s="1"/>
  <c r="I130" i="43" s="1"/>
  <c r="Z115" i="31"/>
  <c r="AA115" i="31" s="1"/>
  <c r="AH115" i="31" s="1"/>
  <c r="S116" i="31"/>
  <c r="R116" i="31"/>
  <c r="AW109" i="26"/>
  <c r="U116" i="31" l="1"/>
  <c r="AG116" i="31" s="1"/>
  <c r="C131" i="43" s="1"/>
  <c r="T116" i="31"/>
  <c r="Y116" i="31"/>
  <c r="BJ109" i="26"/>
  <c r="AY109" i="26"/>
  <c r="AX109" i="26"/>
  <c r="AZ109" i="26" s="1"/>
  <c r="BD109" i="26" l="1"/>
  <c r="AB116" i="31"/>
  <c r="W116" i="31"/>
  <c r="X116" i="31" s="1"/>
  <c r="AI116" i="31" s="1"/>
  <c r="D131" i="43" s="1"/>
  <c r="E131" i="43" s="1"/>
  <c r="G131" i="43" s="1"/>
  <c r="H131" i="43" s="1"/>
  <c r="I131" i="43" s="1"/>
  <c r="Q117" i="31"/>
  <c r="S117" i="31" s="1"/>
  <c r="BC109" i="26"/>
  <c r="BB109" i="26"/>
  <c r="BE109" i="26"/>
  <c r="BL109" i="26"/>
  <c r="BK109" i="26"/>
  <c r="BI109" i="26"/>
  <c r="AV110" i="26"/>
  <c r="AU109" i="26"/>
  <c r="BA109" i="26"/>
  <c r="BH109" i="26"/>
  <c r="BG109" i="26"/>
  <c r="BF109" i="26"/>
  <c r="R117" i="31" l="1"/>
  <c r="Y117" i="31" s="1"/>
  <c r="Z116" i="31"/>
  <c r="AA116" i="31" s="1"/>
  <c r="AH116" i="31" s="1"/>
  <c r="F131" i="43"/>
  <c r="AW110" i="26"/>
  <c r="U117" i="31" l="1"/>
  <c r="AG117" i="31" s="1"/>
  <c r="C132" i="43" s="1"/>
  <c r="T117" i="31"/>
  <c r="BJ110" i="26"/>
  <c r="AX110" i="26"/>
  <c r="AZ110" i="26" s="1"/>
  <c r="AY110" i="26"/>
  <c r="BB110" i="26" s="1"/>
  <c r="AB117" i="31" l="1"/>
  <c r="W117" i="31"/>
  <c r="Z117" i="31" s="1"/>
  <c r="AA117" i="31" s="1"/>
  <c r="AH117" i="31" s="1"/>
  <c r="Q118" i="31"/>
  <c r="R118" i="31" s="1"/>
  <c r="BA110" i="26"/>
  <c r="BD110" i="26"/>
  <c r="BE110" i="26"/>
  <c r="BC110" i="26"/>
  <c r="BG110" i="26"/>
  <c r="BL110" i="26"/>
  <c r="BI110" i="26"/>
  <c r="BH110" i="26"/>
  <c r="AV111" i="26"/>
  <c r="BK110" i="26"/>
  <c r="AU110" i="26"/>
  <c r="BF110" i="26"/>
  <c r="X117" i="31" l="1"/>
  <c r="AI117" i="31" s="1"/>
  <c r="D132" i="43" s="1"/>
  <c r="E132" i="43" s="1"/>
  <c r="G132" i="43" s="1"/>
  <c r="H132" i="43" s="1"/>
  <c r="I132" i="43" s="1"/>
  <c r="S118" i="31"/>
  <c r="U118" i="31" s="1"/>
  <c r="AB118" i="31" s="1"/>
  <c r="AW111" i="26"/>
  <c r="F132" i="43" l="1"/>
  <c r="W118" i="31"/>
  <c r="X118" i="31" s="1"/>
  <c r="AI118" i="31" s="1"/>
  <c r="D133" i="43" s="1"/>
  <c r="E133" i="43" s="1"/>
  <c r="G133" i="43" s="1"/>
  <c r="H133" i="43" s="1"/>
  <c r="I133" i="43" s="1"/>
  <c r="Y118" i="31"/>
  <c r="AG118" i="31"/>
  <c r="C133" i="43" s="1"/>
  <c r="T118" i="31"/>
  <c r="Q119" i="31" s="1"/>
  <c r="S119" i="31" s="1"/>
  <c r="AY111" i="26"/>
  <c r="AU111" i="26" s="1"/>
  <c r="AX111" i="26"/>
  <c r="AZ111" i="26" s="1"/>
  <c r="BJ111" i="26"/>
  <c r="Z118" i="31" l="1"/>
  <c r="AA118" i="31" s="1"/>
  <c r="AH118" i="31" s="1"/>
  <c r="F133" i="43"/>
  <c r="R119" i="31"/>
  <c r="U119" i="31" s="1"/>
  <c r="W119" i="31" s="1"/>
  <c r="X119" i="31" s="1"/>
  <c r="BD111" i="26"/>
  <c r="BA111" i="26"/>
  <c r="BB111" i="26"/>
  <c r="BE111" i="26"/>
  <c r="BC111" i="26"/>
  <c r="BH111" i="26"/>
  <c r="BK111" i="26"/>
  <c r="BL111" i="26"/>
  <c r="BF111" i="26"/>
  <c r="AV112" i="26"/>
  <c r="BI111" i="26"/>
  <c r="BG111" i="26"/>
  <c r="Y119" i="31" l="1"/>
  <c r="Z119" i="31" s="1"/>
  <c r="AA119" i="31" s="1"/>
  <c r="AH119" i="31" s="1"/>
  <c r="AI119" i="31"/>
  <c r="D134" i="43" s="1"/>
  <c r="E134" i="43" s="1"/>
  <c r="G134" i="43" s="1"/>
  <c r="H134" i="43" s="1"/>
  <c r="I134" i="43" s="1"/>
  <c r="AB119" i="31"/>
  <c r="AG119" i="31"/>
  <c r="C134" i="43" s="1"/>
  <c r="T119" i="31"/>
  <c r="Q120" i="31" s="1"/>
  <c r="S120" i="31" s="1"/>
  <c r="AW112" i="26"/>
  <c r="F134" i="43" l="1"/>
  <c r="R120" i="31"/>
  <c r="U120" i="31" s="1"/>
  <c r="AB120" i="31" s="1"/>
  <c r="AX112" i="26"/>
  <c r="AZ112" i="26" s="1"/>
  <c r="AY112" i="26"/>
  <c r="BC112" i="26" s="1"/>
  <c r="BJ112" i="26"/>
  <c r="BD112" i="26" l="1"/>
  <c r="Y120" i="31"/>
  <c r="T120" i="31"/>
  <c r="Q121" i="31" s="1"/>
  <c r="S121" i="31" s="1"/>
  <c r="W120" i="31"/>
  <c r="X120" i="31" s="1"/>
  <c r="AI120" i="31" s="1"/>
  <c r="D135" i="43" s="1"/>
  <c r="E135" i="43" s="1"/>
  <c r="F135" i="43" s="1"/>
  <c r="AG120" i="31"/>
  <c r="C135" i="43" s="1"/>
  <c r="BH112" i="26"/>
  <c r="BL112" i="26"/>
  <c r="BI112" i="26"/>
  <c r="BK112" i="26"/>
  <c r="BF112" i="26"/>
  <c r="BA112" i="26"/>
  <c r="BE112" i="26"/>
  <c r="BG112" i="26"/>
  <c r="AV113" i="26"/>
  <c r="AU112" i="26"/>
  <c r="BB112" i="26"/>
  <c r="R121" i="31" l="1"/>
  <c r="T121" i="31" s="1"/>
  <c r="G135" i="43"/>
  <c r="H135" i="43" s="1"/>
  <c r="I135" i="43" s="1"/>
  <c r="Z120" i="31"/>
  <c r="AA120" i="31" s="1"/>
  <c r="AH120" i="31" s="1"/>
  <c r="AW113" i="26"/>
  <c r="Y121" i="31" l="1"/>
  <c r="U121" i="31"/>
  <c r="AB121" i="31" s="1"/>
  <c r="AX113" i="26"/>
  <c r="BJ113" i="26"/>
  <c r="AY113" i="26"/>
  <c r="AU113" i="26" s="1"/>
  <c r="AZ113" i="26"/>
  <c r="BE113" i="26" l="1"/>
  <c r="W121" i="31"/>
  <c r="X121" i="31" s="1"/>
  <c r="AI121" i="31" s="1"/>
  <c r="D136" i="43" s="1"/>
  <c r="E136" i="43" s="1"/>
  <c r="G136" i="43" s="1"/>
  <c r="H136" i="43" s="1"/>
  <c r="I136" i="43" s="1"/>
  <c r="Q122" i="31"/>
  <c r="S122" i="31" s="1"/>
  <c r="AG121" i="31"/>
  <c r="C136" i="43" s="1"/>
  <c r="BC113" i="26"/>
  <c r="BB113" i="26"/>
  <c r="BG113" i="26"/>
  <c r="BA113" i="26"/>
  <c r="BI113" i="26"/>
  <c r="BD113" i="26"/>
  <c r="BF113" i="26"/>
  <c r="BK113" i="26"/>
  <c r="BH113" i="26"/>
  <c r="AV114" i="26"/>
  <c r="BL113" i="26"/>
  <c r="F136" i="43" l="1"/>
  <c r="R122" i="31"/>
  <c r="Y122" i="31" s="1"/>
  <c r="Z121" i="31"/>
  <c r="AA121" i="31" s="1"/>
  <c r="AH121" i="31" s="1"/>
  <c r="AW114" i="26"/>
  <c r="T122" i="31" l="1"/>
  <c r="U122" i="31"/>
  <c r="AG122" i="31" s="1"/>
  <c r="C137" i="43" s="1"/>
  <c r="AX114" i="26"/>
  <c r="AZ114" i="26" s="1"/>
  <c r="BJ114" i="26"/>
  <c r="AY114" i="26"/>
  <c r="W122" i="31" l="1"/>
  <c r="X122" i="31" s="1"/>
  <c r="AI122" i="31" s="1"/>
  <c r="D137" i="43" s="1"/>
  <c r="E137" i="43" s="1"/>
  <c r="AB122" i="31"/>
  <c r="Q123" i="31"/>
  <c r="BL114" i="26"/>
  <c r="BD114" i="26"/>
  <c r="BE114" i="26"/>
  <c r="BB114" i="26"/>
  <c r="BA114" i="26"/>
  <c r="BF114" i="26"/>
  <c r="BC114" i="26"/>
  <c r="BK114" i="26"/>
  <c r="BI114" i="26"/>
  <c r="BH114" i="26"/>
  <c r="AU114" i="26"/>
  <c r="BG114" i="26"/>
  <c r="AV115" i="26"/>
  <c r="Z122" i="31" l="1"/>
  <c r="AA122" i="31" s="1"/>
  <c r="AH122" i="31" s="1"/>
  <c r="S123" i="31"/>
  <c r="R123" i="31"/>
  <c r="G137" i="43"/>
  <c r="H137" i="43" s="1"/>
  <c r="I137" i="43" s="1"/>
  <c r="F137" i="43"/>
  <c r="AW115" i="26"/>
  <c r="T123" i="31" l="1"/>
  <c r="U123" i="31"/>
  <c r="Y123" i="31"/>
  <c r="AX115" i="26"/>
  <c r="AZ115" i="26" s="1"/>
  <c r="AY115" i="26"/>
  <c r="AU115" i="26" s="1"/>
  <c r="BJ115" i="26"/>
  <c r="BI115" i="26"/>
  <c r="Q124" i="31" l="1"/>
  <c r="AG123" i="31"/>
  <c r="C138" i="43" s="1"/>
  <c r="W123" i="31"/>
  <c r="X123" i="31" s="1"/>
  <c r="AI123" i="31" s="1"/>
  <c r="D138" i="43" s="1"/>
  <c r="E138" i="43" s="1"/>
  <c r="AB123" i="31"/>
  <c r="BK115" i="26"/>
  <c r="BH115" i="26"/>
  <c r="BG115" i="26"/>
  <c r="BL115" i="26"/>
  <c r="BF115" i="26"/>
  <c r="BC115" i="26"/>
  <c r="BA115" i="26"/>
  <c r="BB115" i="26"/>
  <c r="BE115" i="26"/>
  <c r="BD115" i="26"/>
  <c r="AV116" i="26"/>
  <c r="Z123" i="31" l="1"/>
  <c r="AA123" i="31" s="1"/>
  <c r="AH123" i="31" s="1"/>
  <c r="F138" i="43"/>
  <c r="G138" i="43"/>
  <c r="H138" i="43" s="1"/>
  <c r="I138" i="43" s="1"/>
  <c r="S124" i="31"/>
  <c r="R124" i="31"/>
  <c r="AW116" i="26"/>
  <c r="U124" i="31" l="1"/>
  <c r="AG124" i="31" s="1"/>
  <c r="C139" i="43" s="1"/>
  <c r="Y124" i="31"/>
  <c r="T124" i="31"/>
  <c r="AY116" i="26"/>
  <c r="AX116" i="26"/>
  <c r="AZ116" i="26" s="1"/>
  <c r="BI116" i="26"/>
  <c r="BJ116" i="26"/>
  <c r="BE116" i="26" l="1"/>
  <c r="Q125" i="31"/>
  <c r="S125" i="31" s="1"/>
  <c r="W124" i="31"/>
  <c r="X124" i="31" s="1"/>
  <c r="AI124" i="31" s="1"/>
  <c r="D139" i="43" s="1"/>
  <c r="E139" i="43" s="1"/>
  <c r="AB124" i="31"/>
  <c r="BH116" i="26"/>
  <c r="BA116" i="26"/>
  <c r="BB116" i="26"/>
  <c r="BD116" i="26"/>
  <c r="BC116" i="26"/>
  <c r="BF116" i="26"/>
  <c r="BG116" i="26"/>
  <c r="BL116" i="26"/>
  <c r="BK116" i="26"/>
  <c r="AV117" i="26"/>
  <c r="AU116" i="26"/>
  <c r="R125" i="31" l="1"/>
  <c r="T125" i="31" s="1"/>
  <c r="F139" i="43"/>
  <c r="G139" i="43"/>
  <c r="H139" i="43" s="1"/>
  <c r="I139" i="43" s="1"/>
  <c r="Z124" i="31"/>
  <c r="AA124" i="31" s="1"/>
  <c r="AH124" i="31" s="1"/>
  <c r="AW117" i="26"/>
  <c r="Y125" i="31" l="1"/>
  <c r="U125" i="31"/>
  <c r="AG125" i="31" s="1"/>
  <c r="C140" i="43" s="1"/>
  <c r="AY117" i="26"/>
  <c r="AU117" i="26" s="1"/>
  <c r="AX117" i="26"/>
  <c r="AZ117" i="26" s="1"/>
  <c r="BJ117" i="26"/>
  <c r="Q126" i="31" l="1"/>
  <c r="S126" i="31" s="1"/>
  <c r="AB125" i="31"/>
  <c r="W125" i="31"/>
  <c r="X125" i="31" s="1"/>
  <c r="AI125" i="31" s="1"/>
  <c r="D140" i="43" s="1"/>
  <c r="E140" i="43" s="1"/>
  <c r="G140" i="43" s="1"/>
  <c r="H140" i="43" s="1"/>
  <c r="I140" i="43" s="1"/>
  <c r="BB117" i="26"/>
  <c r="BD117" i="26"/>
  <c r="BA117" i="26"/>
  <c r="BI117" i="26"/>
  <c r="BC117" i="26"/>
  <c r="BE117" i="26"/>
  <c r="BH117" i="26"/>
  <c r="BG117" i="26"/>
  <c r="BL117" i="26"/>
  <c r="BF117" i="26"/>
  <c r="AV118" i="26"/>
  <c r="BK117" i="26"/>
  <c r="F140" i="43" l="1"/>
  <c r="R126" i="31"/>
  <c r="T126" i="31" s="1"/>
  <c r="Z125" i="31"/>
  <c r="AA125" i="31" s="1"/>
  <c r="AH125" i="31" s="1"/>
  <c r="AW118" i="26"/>
  <c r="Y126" i="31" l="1"/>
  <c r="U126" i="31"/>
  <c r="Q127" i="31" s="1"/>
  <c r="AX118" i="26"/>
  <c r="BC118" i="26" s="1"/>
  <c r="AY118" i="26"/>
  <c r="BI118" i="26" s="1"/>
  <c r="BJ118" i="26"/>
  <c r="AZ118" i="26"/>
  <c r="BE118" i="26" l="1"/>
  <c r="AB126" i="31"/>
  <c r="S127" i="31"/>
  <c r="R127" i="31"/>
  <c r="AG126" i="31"/>
  <c r="C141" i="43" s="1"/>
  <c r="W126" i="31"/>
  <c r="X126" i="31" s="1"/>
  <c r="AI126" i="31" s="1"/>
  <c r="D141" i="43" s="1"/>
  <c r="E141" i="43" s="1"/>
  <c r="F141" i="43" s="1"/>
  <c r="BH118" i="26"/>
  <c r="BA118" i="26"/>
  <c r="BB118" i="26"/>
  <c r="BD118" i="26"/>
  <c r="AU118" i="26"/>
  <c r="BL118" i="26"/>
  <c r="AV119" i="26"/>
  <c r="BF118" i="26"/>
  <c r="BG118" i="26"/>
  <c r="BK118" i="26"/>
  <c r="Z126" i="31" l="1"/>
  <c r="AA126" i="31" s="1"/>
  <c r="AH126" i="31" s="1"/>
  <c r="T127" i="31"/>
  <c r="Y127" i="31"/>
  <c r="G141" i="43"/>
  <c r="H141" i="43" s="1"/>
  <c r="I141" i="43" s="1"/>
  <c r="U127" i="31"/>
  <c r="AG127" i="31" s="1"/>
  <c r="C142" i="43" s="1"/>
  <c r="AW119" i="26"/>
  <c r="Q128" i="31" l="1"/>
  <c r="W127" i="31"/>
  <c r="X127" i="31" s="1"/>
  <c r="AI127" i="31" s="1"/>
  <c r="D142" i="43" s="1"/>
  <c r="E142" i="43" s="1"/>
  <c r="F142" i="43" s="1"/>
  <c r="AB127" i="31"/>
  <c r="BJ119" i="26"/>
  <c r="AX119" i="26"/>
  <c r="AY119" i="26"/>
  <c r="R128" i="31" l="1"/>
  <c r="S128" i="31"/>
  <c r="G142" i="43"/>
  <c r="H142" i="43" s="1"/>
  <c r="I142" i="43" s="1"/>
  <c r="Z127" i="31"/>
  <c r="AA127" i="31" s="1"/>
  <c r="AH127" i="31" s="1"/>
  <c r="BD119" i="26"/>
  <c r="BF119" i="26"/>
  <c r="BC119" i="26"/>
  <c r="BB119" i="26"/>
  <c r="BE119" i="26"/>
  <c r="AZ119" i="26"/>
  <c r="BA119" i="26"/>
  <c r="BG119" i="26"/>
  <c r="BH119" i="26"/>
  <c r="BK119" i="26"/>
  <c r="AV120" i="26"/>
  <c r="BI119" i="26"/>
  <c r="AU119" i="26"/>
  <c r="BL119" i="26"/>
  <c r="Y128" i="31" l="1"/>
  <c r="U128" i="31"/>
  <c r="T128" i="31"/>
  <c r="AW120" i="26"/>
  <c r="Q129" i="31" l="1"/>
  <c r="R129" i="31" s="1"/>
  <c r="W128" i="31"/>
  <c r="X128" i="31" s="1"/>
  <c r="AI128" i="31" s="1"/>
  <c r="D143" i="43" s="1"/>
  <c r="E143" i="43" s="1"/>
  <c r="AB128" i="31"/>
  <c r="AG128" i="31"/>
  <c r="C143" i="43" s="1"/>
  <c r="BJ120" i="26"/>
  <c r="AX120" i="26"/>
  <c r="AZ120" i="26" s="1"/>
  <c r="AY120" i="26"/>
  <c r="BI120" i="26" s="1"/>
  <c r="S129" i="31" l="1"/>
  <c r="Y129" i="31" s="1"/>
  <c r="Z128" i="31"/>
  <c r="AA128" i="31" s="1"/>
  <c r="AH128" i="31" s="1"/>
  <c r="F143" i="43"/>
  <c r="G143" i="43"/>
  <c r="H143" i="43" s="1"/>
  <c r="I143" i="43" s="1"/>
  <c r="BB120" i="26"/>
  <c r="BL120" i="26"/>
  <c r="BE120" i="26"/>
  <c r="BC120" i="26"/>
  <c r="AU120" i="26"/>
  <c r="BA120" i="26"/>
  <c r="BG120" i="26"/>
  <c r="BD120" i="26"/>
  <c r="BK120" i="26"/>
  <c r="AV121" i="26"/>
  <c r="BF120" i="26"/>
  <c r="BH120" i="26"/>
  <c r="U129" i="31" l="1"/>
  <c r="AG129" i="31" s="1"/>
  <c r="C144" i="43" s="1"/>
  <c r="T129" i="31"/>
  <c r="AW121" i="26"/>
  <c r="Q130" i="31" l="1"/>
  <c r="S130" i="31" s="1"/>
  <c r="W129" i="31"/>
  <c r="X129" i="31" s="1"/>
  <c r="AI129" i="31" s="1"/>
  <c r="D144" i="43" s="1"/>
  <c r="E144" i="43" s="1"/>
  <c r="G144" i="43" s="1"/>
  <c r="H144" i="43" s="1"/>
  <c r="I144" i="43" s="1"/>
  <c r="AB129" i="31"/>
  <c r="BJ121" i="26"/>
  <c r="AY121" i="26"/>
  <c r="AX121" i="26"/>
  <c r="AZ121" i="26" s="1"/>
  <c r="BE121" i="26" l="1"/>
  <c r="R130" i="31"/>
  <c r="T130" i="31" s="1"/>
  <c r="Z129" i="31"/>
  <c r="AA129" i="31" s="1"/>
  <c r="AH129" i="31" s="1"/>
  <c r="F144" i="43"/>
  <c r="BI121" i="26"/>
  <c r="BD121" i="26"/>
  <c r="BC121" i="26"/>
  <c r="BH121" i="26"/>
  <c r="BA121" i="26"/>
  <c r="BB121" i="26"/>
  <c r="BG121" i="26"/>
  <c r="BF121" i="26"/>
  <c r="AV122" i="26"/>
  <c r="BK121" i="26"/>
  <c r="BL121" i="26"/>
  <c r="AU121" i="26"/>
  <c r="Y130" i="31" l="1"/>
  <c r="U130" i="31"/>
  <c r="AG130" i="31" s="1"/>
  <c r="C145" i="43" s="1"/>
  <c r="AW122" i="26"/>
  <c r="AB130" i="31" l="1"/>
  <c r="Q131" i="31"/>
  <c r="S131" i="31" s="1"/>
  <c r="W130" i="31"/>
  <c r="X130" i="31" s="1"/>
  <c r="AI130" i="31" s="1"/>
  <c r="D145" i="43" s="1"/>
  <c r="E145" i="43" s="1"/>
  <c r="G145" i="43" s="1"/>
  <c r="H145" i="43" s="1"/>
  <c r="I145" i="43" s="1"/>
  <c r="BJ122" i="26"/>
  <c r="AX122" i="26"/>
  <c r="BI122" i="26" s="1"/>
  <c r="AY122" i="26"/>
  <c r="AZ122" i="26" l="1"/>
  <c r="BD122" i="26"/>
  <c r="R131" i="31"/>
  <c r="U131" i="31" s="1"/>
  <c r="AB131" i="31" s="1"/>
  <c r="F145" i="43"/>
  <c r="Z130" i="31"/>
  <c r="AA130" i="31" s="1"/>
  <c r="AH130" i="31" s="1"/>
  <c r="BL122" i="26"/>
  <c r="BA122" i="26"/>
  <c r="BE122" i="26"/>
  <c r="BC122" i="26"/>
  <c r="BK122" i="26"/>
  <c r="AU122" i="26"/>
  <c r="BF122" i="26"/>
  <c r="BG122" i="26"/>
  <c r="AV123" i="26"/>
  <c r="BH122" i="26"/>
  <c r="BB122" i="26"/>
  <c r="AG131" i="31" l="1"/>
  <c r="C146" i="43" s="1"/>
  <c r="T131" i="31"/>
  <c r="Q132" i="31" s="1"/>
  <c r="S132" i="31" s="1"/>
  <c r="Y131" i="31"/>
  <c r="W131" i="31"/>
  <c r="X131" i="31" s="1"/>
  <c r="AI131" i="31" s="1"/>
  <c r="D146" i="43" s="1"/>
  <c r="E146" i="43" s="1"/>
  <c r="G146" i="43" s="1"/>
  <c r="H146" i="43" s="1"/>
  <c r="I146" i="43" s="1"/>
  <c r="AW123" i="26"/>
  <c r="F146" i="43" l="1"/>
  <c r="R132" i="31"/>
  <c r="Y132" i="31" s="1"/>
  <c r="Z131" i="31"/>
  <c r="AA131" i="31" s="1"/>
  <c r="AH131" i="31" s="1"/>
  <c r="BJ123" i="26"/>
  <c r="AY123" i="26"/>
  <c r="AU123" i="26" s="1"/>
  <c r="AX123" i="26"/>
  <c r="T132" i="31" l="1"/>
  <c r="U132" i="31"/>
  <c r="W132" i="31" s="1"/>
  <c r="X132" i="31" s="1"/>
  <c r="AI132" i="31" s="1"/>
  <c r="D147" i="43" s="1"/>
  <c r="E147" i="43" s="1"/>
  <c r="F147" i="43" s="1"/>
  <c r="BB123" i="26"/>
  <c r="BI123" i="26"/>
  <c r="BD123" i="26"/>
  <c r="AZ123" i="26"/>
  <c r="BA123" i="26"/>
  <c r="BE123" i="26"/>
  <c r="BC123" i="26"/>
  <c r="AV124" i="26"/>
  <c r="BG123" i="26"/>
  <c r="BK123" i="26"/>
  <c r="BH123" i="26"/>
  <c r="BL123" i="26"/>
  <c r="BF123" i="26"/>
  <c r="AG132" i="31" l="1"/>
  <c r="C147" i="43" s="1"/>
  <c r="AB132" i="31"/>
  <c r="Q133" i="31"/>
  <c r="S133" i="31" s="1"/>
  <c r="G147" i="43"/>
  <c r="H147" i="43" s="1"/>
  <c r="I147" i="43" s="1"/>
  <c r="Z132" i="31"/>
  <c r="AA132" i="31" s="1"/>
  <c r="AH132" i="31" s="1"/>
  <c r="AW124" i="26"/>
  <c r="R133" i="31" l="1"/>
  <c r="U133" i="31" s="1"/>
  <c r="AB133" i="31" s="1"/>
  <c r="BJ124" i="26"/>
  <c r="AX124" i="26"/>
  <c r="AZ124" i="26" s="1"/>
  <c r="AY124" i="26"/>
  <c r="W133" i="31" l="1"/>
  <c r="X133" i="31" s="1"/>
  <c r="AI133" i="31" s="1"/>
  <c r="D148" i="43" s="1"/>
  <c r="E148" i="43" s="1"/>
  <c r="G148" i="43" s="1"/>
  <c r="H148" i="43" s="1"/>
  <c r="I148" i="43" s="1"/>
  <c r="Y133" i="31"/>
  <c r="AG133" i="31"/>
  <c r="C148" i="43" s="1"/>
  <c r="T133" i="31"/>
  <c r="Q134" i="31" s="1"/>
  <c r="R134" i="31" s="1"/>
  <c r="BD124" i="26"/>
  <c r="BA124" i="26"/>
  <c r="BE124" i="26"/>
  <c r="BC124" i="26"/>
  <c r="BB124" i="26"/>
  <c r="AV125" i="26"/>
  <c r="BK124" i="26"/>
  <c r="BI124" i="26"/>
  <c r="BL124" i="26"/>
  <c r="AU124" i="26"/>
  <c r="BH124" i="26"/>
  <c r="BG124" i="26"/>
  <c r="BF124" i="26"/>
  <c r="Z133" i="31" l="1"/>
  <c r="AA133" i="31" s="1"/>
  <c r="AH133" i="31" s="1"/>
  <c r="F148" i="43"/>
  <c r="S134" i="31"/>
  <c r="U134" i="31" s="1"/>
  <c r="AG134" i="31" s="1"/>
  <c r="C149" i="43" s="1"/>
  <c r="AW125" i="26"/>
  <c r="T134" i="31" l="1"/>
  <c r="Q135" i="31" s="1"/>
  <c r="R135" i="31" s="1"/>
  <c r="Y134" i="31"/>
  <c r="AB134" i="31"/>
  <c r="W134" i="31"/>
  <c r="X134" i="31" s="1"/>
  <c r="AI134" i="31" s="1"/>
  <c r="D149" i="43" s="1"/>
  <c r="E149" i="43" s="1"/>
  <c r="G149" i="43" s="1"/>
  <c r="H149" i="43" s="1"/>
  <c r="I149" i="43" s="1"/>
  <c r="AX125" i="26"/>
  <c r="BB125" i="26" s="1"/>
  <c r="AY125" i="26"/>
  <c r="BJ125" i="26"/>
  <c r="AZ125" i="26" l="1"/>
  <c r="BD125" i="26"/>
  <c r="S135" i="31"/>
  <c r="Y135" i="31" s="1"/>
  <c r="Z134" i="31"/>
  <c r="AA134" i="31" s="1"/>
  <c r="AH134" i="31" s="1"/>
  <c r="F149" i="43"/>
  <c r="BI125" i="26"/>
  <c r="BF125" i="26"/>
  <c r="BK125" i="26"/>
  <c r="BE125" i="26"/>
  <c r="BA125" i="26"/>
  <c r="BC125" i="26"/>
  <c r="AV126" i="26"/>
  <c r="BH125" i="26"/>
  <c r="BG125" i="26"/>
  <c r="BL125" i="26"/>
  <c r="AU125" i="26"/>
  <c r="U135" i="31" l="1"/>
  <c r="AB135" i="31" s="1"/>
  <c r="T135" i="31"/>
  <c r="AW126" i="26"/>
  <c r="W135" i="31" l="1"/>
  <c r="X135" i="31" s="1"/>
  <c r="AI135" i="31" s="1"/>
  <c r="D150" i="43" s="1"/>
  <c r="E150" i="43" s="1"/>
  <c r="F150" i="43" s="1"/>
  <c r="Q136" i="31"/>
  <c r="S136" i="31" s="1"/>
  <c r="AG135" i="31"/>
  <c r="C150" i="43" s="1"/>
  <c r="BJ126" i="26"/>
  <c r="AX126" i="26"/>
  <c r="AZ126" i="26" s="1"/>
  <c r="AY126" i="26"/>
  <c r="BE126" i="26" l="1"/>
  <c r="R136" i="31"/>
  <c r="T136" i="31" s="1"/>
  <c r="G150" i="43"/>
  <c r="H150" i="43" s="1"/>
  <c r="I150" i="43" s="1"/>
  <c r="Z135" i="31"/>
  <c r="AA135" i="31" s="1"/>
  <c r="AH135" i="31" s="1"/>
  <c r="BA126" i="26"/>
  <c r="BD126" i="26"/>
  <c r="BI126" i="26"/>
  <c r="BB126" i="26"/>
  <c r="BC126" i="26"/>
  <c r="BL126" i="26"/>
  <c r="BK126" i="26"/>
  <c r="AV127" i="26"/>
  <c r="AU126" i="26"/>
  <c r="BG126" i="26"/>
  <c r="BF126" i="26"/>
  <c r="BH126" i="26"/>
  <c r="U136" i="31" l="1"/>
  <c r="Q137" i="31" s="1"/>
  <c r="S137" i="31" s="1"/>
  <c r="Y136" i="31"/>
  <c r="AW127" i="26"/>
  <c r="AG136" i="31" l="1"/>
  <c r="C151" i="43" s="1"/>
  <c r="W136" i="31"/>
  <c r="X136" i="31" s="1"/>
  <c r="AI136" i="31" s="1"/>
  <c r="D151" i="43" s="1"/>
  <c r="E151" i="43" s="1"/>
  <c r="G151" i="43" s="1"/>
  <c r="H151" i="43" s="1"/>
  <c r="I151" i="43" s="1"/>
  <c r="AB136" i="31"/>
  <c r="R137" i="31"/>
  <c r="Y137" i="31" s="1"/>
  <c r="AX127" i="26"/>
  <c r="BA127" i="26" s="1"/>
  <c r="BI127" i="26"/>
  <c r="AY127" i="26"/>
  <c r="BJ127" i="26" s="1"/>
  <c r="Z136" i="31" l="1"/>
  <c r="AA136" i="31" s="1"/>
  <c r="AH136" i="31" s="1"/>
  <c r="F151" i="43"/>
  <c r="U137" i="31"/>
  <c r="AG137" i="31" s="1"/>
  <c r="C152" i="43" s="1"/>
  <c r="T137" i="31"/>
  <c r="BE127" i="26"/>
  <c r="BL127" i="26"/>
  <c r="AZ127" i="26"/>
  <c r="BC127" i="26"/>
  <c r="BB127" i="26"/>
  <c r="BD127" i="26"/>
  <c r="AU127" i="26"/>
  <c r="BH127" i="26"/>
  <c r="AV128" i="26"/>
  <c r="BG127" i="26"/>
  <c r="BF127" i="26"/>
  <c r="BK127" i="26"/>
  <c r="Q138" i="31" l="1"/>
  <c r="S138" i="31" s="1"/>
  <c r="AB137" i="31"/>
  <c r="W137" i="31"/>
  <c r="AW128" i="26"/>
  <c r="R138" i="31" l="1"/>
  <c r="U138" i="31" s="1"/>
  <c r="W138" i="31" s="1"/>
  <c r="X138" i="31" s="1"/>
  <c r="X137" i="31"/>
  <c r="AI137" i="31" s="1"/>
  <c r="D152" i="43" s="1"/>
  <c r="E152" i="43" s="1"/>
  <c r="Z137" i="31"/>
  <c r="AA137" i="31" s="1"/>
  <c r="AH137" i="31" s="1"/>
  <c r="BI128" i="26"/>
  <c r="AY128" i="26"/>
  <c r="AX128" i="26"/>
  <c r="BA128" i="26" s="1"/>
  <c r="AZ128" i="26" l="1"/>
  <c r="BE128" i="26"/>
  <c r="AB138" i="31"/>
  <c r="AG138" i="31"/>
  <c r="C153" i="43" s="1"/>
  <c r="Y138" i="31"/>
  <c r="Z138" i="31" s="1"/>
  <c r="AA138" i="31" s="1"/>
  <c r="AH138" i="31" s="1"/>
  <c r="T138" i="31"/>
  <c r="Q139" i="31" s="1"/>
  <c r="R139" i="31" s="1"/>
  <c r="AI138" i="31"/>
  <c r="D153" i="43" s="1"/>
  <c r="E153" i="43" s="1"/>
  <c r="F152" i="43"/>
  <c r="G152" i="43"/>
  <c r="H152" i="43" s="1"/>
  <c r="I152" i="43" s="1"/>
  <c r="BD128" i="26"/>
  <c r="BB128" i="26"/>
  <c r="BC128" i="26"/>
  <c r="BJ128" i="26"/>
  <c r="BL128" i="26"/>
  <c r="BH128" i="26"/>
  <c r="AV129" i="26"/>
  <c r="BF128" i="26"/>
  <c r="BK128" i="26"/>
  <c r="BG128" i="26"/>
  <c r="AU128" i="26"/>
  <c r="S139" i="31" l="1"/>
  <c r="U139" i="31" s="1"/>
  <c r="AG139" i="31" s="1"/>
  <c r="C154" i="43" s="1"/>
  <c r="G153" i="43"/>
  <c r="H153" i="43" s="1"/>
  <c r="I153" i="43" s="1"/>
  <c r="F153" i="43"/>
  <c r="AW129" i="26"/>
  <c r="Y139" i="31" l="1"/>
  <c r="T139" i="31"/>
  <c r="Q140" i="31" s="1"/>
  <c r="R140" i="31" s="1"/>
  <c r="AB139" i="31"/>
  <c r="W139" i="31"/>
  <c r="X139" i="31" s="1"/>
  <c r="AI139" i="31" s="1"/>
  <c r="D154" i="43" s="1"/>
  <c r="E154" i="43" s="1"/>
  <c r="G154" i="43" s="1"/>
  <c r="H154" i="43" s="1"/>
  <c r="I154" i="43" s="1"/>
  <c r="AY129" i="26"/>
  <c r="BI129" i="26"/>
  <c r="AX129" i="26"/>
  <c r="AZ129" i="26" s="1"/>
  <c r="Z139" i="31" l="1"/>
  <c r="AA139" i="31" s="1"/>
  <c r="AH139" i="31" s="1"/>
  <c r="S140" i="31"/>
  <c r="T140" i="31" s="1"/>
  <c r="F154" i="43"/>
  <c r="BB129" i="26"/>
  <c r="BC129" i="26"/>
  <c r="BD129" i="26"/>
  <c r="BA129" i="26"/>
  <c r="BE129" i="26"/>
  <c r="BF129" i="26"/>
  <c r="BK129" i="26"/>
  <c r="BJ129" i="26"/>
  <c r="AV130" i="26"/>
  <c r="BL129" i="26"/>
  <c r="BG129" i="26"/>
  <c r="AU129" i="26"/>
  <c r="BH129" i="26"/>
  <c r="U140" i="31" l="1"/>
  <c r="W140" i="31" s="1"/>
  <c r="X140" i="31" s="1"/>
  <c r="AI140" i="31" s="1"/>
  <c r="D155" i="43" s="1"/>
  <c r="Y140" i="31"/>
  <c r="AW130" i="26"/>
  <c r="Z140" i="31" l="1"/>
  <c r="AA140" i="31" s="1"/>
  <c r="AH140" i="31" s="1"/>
  <c r="AG140" i="31"/>
  <c r="C155" i="43" s="1"/>
  <c r="E155" i="43" s="1"/>
  <c r="F155" i="43" s="1"/>
  <c r="Q141" i="31"/>
  <c r="R141" i="31" s="1"/>
  <c r="AB140" i="31"/>
  <c r="AY130" i="26"/>
  <c r="BI130" i="26" s="1"/>
  <c r="AX130" i="26"/>
  <c r="AZ130" i="26" s="1"/>
  <c r="I28" i="31"/>
  <c r="J28" i="31" s="1"/>
  <c r="D74" i="27" s="1"/>
  <c r="I26" i="31"/>
  <c r="I25" i="31"/>
  <c r="I24" i="31"/>
  <c r="I23" i="31"/>
  <c r="I22" i="31"/>
  <c r="I21" i="31"/>
  <c r="I27" i="31"/>
  <c r="G155" i="43" l="1"/>
  <c r="H155" i="43" s="1"/>
  <c r="I155" i="43" s="1"/>
  <c r="S141" i="31"/>
  <c r="T141" i="31" s="1"/>
  <c r="BE130" i="26"/>
  <c r="BJ130" i="26"/>
  <c r="BD130" i="26"/>
  <c r="BA130" i="26"/>
  <c r="BK130" i="26"/>
  <c r="BC130" i="26"/>
  <c r="BG130" i="26"/>
  <c r="BL130" i="26"/>
  <c r="AU130" i="26"/>
  <c r="BF130" i="26"/>
  <c r="BB130" i="26"/>
  <c r="BH130" i="26"/>
  <c r="AV131" i="26"/>
  <c r="F43" i="31"/>
  <c r="F38" i="31"/>
  <c r="F40" i="31"/>
  <c r="F39" i="31"/>
  <c r="F41" i="31"/>
  <c r="F37" i="31"/>
  <c r="F42" i="31"/>
  <c r="F36" i="31"/>
  <c r="J27" i="31"/>
  <c r="D73" i="27" s="1"/>
  <c r="L27" i="31"/>
  <c r="L21" i="31"/>
  <c r="J21" i="31"/>
  <c r="D67" i="27" s="1"/>
  <c r="L28" i="31"/>
  <c r="J22" i="31"/>
  <c r="D68" i="27" s="1"/>
  <c r="L22" i="31"/>
  <c r="J23" i="31"/>
  <c r="D69" i="27" s="1"/>
  <c r="L23" i="31"/>
  <c r="J24" i="31"/>
  <c r="D70" i="27" s="1"/>
  <c r="L24" i="31"/>
  <c r="J25" i="31"/>
  <c r="D71" i="27" s="1"/>
  <c r="L25" i="31"/>
  <c r="L26" i="31"/>
  <c r="J26" i="31"/>
  <c r="D72" i="27" s="1"/>
  <c r="D11" i="43"/>
  <c r="Y141" i="31" l="1"/>
  <c r="U141" i="31"/>
  <c r="AG141" i="31" s="1"/>
  <c r="C156" i="43" s="1"/>
  <c r="AW131" i="26"/>
  <c r="E54" i="29"/>
  <c r="J54" i="29" s="1"/>
  <c r="E60" i="29"/>
  <c r="E56" i="29"/>
  <c r="E61" i="29"/>
  <c r="E55" i="29"/>
  <c r="E59" i="29"/>
  <c r="E58" i="29"/>
  <c r="D5" i="43"/>
  <c r="E57" i="29"/>
  <c r="D4" i="43"/>
  <c r="E4" i="43" s="1"/>
  <c r="D8" i="43"/>
  <c r="D7" i="43"/>
  <c r="D9" i="43"/>
  <c r="D6" i="43"/>
  <c r="D10" i="43"/>
  <c r="AD79" i="31"/>
  <c r="AE79" i="31" s="1"/>
  <c r="AD82" i="31"/>
  <c r="AE82" i="31" s="1"/>
  <c r="AD80" i="31"/>
  <c r="AE80" i="31" s="1"/>
  <c r="AD81" i="31"/>
  <c r="AE81" i="31" s="1"/>
  <c r="C16" i="37"/>
  <c r="AD78" i="31"/>
  <c r="AE78" i="31" s="1"/>
  <c r="H41" i="46"/>
  <c r="AD83" i="31"/>
  <c r="AE83" i="31" s="1"/>
  <c r="AD84" i="31"/>
  <c r="AE84" i="31" s="1"/>
  <c r="AD85" i="31"/>
  <c r="AE85" i="31" s="1"/>
  <c r="AD86" i="31"/>
  <c r="AE86" i="31" s="1"/>
  <c r="AD87" i="31"/>
  <c r="AE87" i="31" s="1"/>
  <c r="AD88" i="31"/>
  <c r="AE88" i="31" s="1"/>
  <c r="AD89" i="31"/>
  <c r="AE89" i="31" s="1"/>
  <c r="AD90" i="31"/>
  <c r="AE90" i="31" s="1"/>
  <c r="AD91" i="31"/>
  <c r="AE91" i="31" s="1"/>
  <c r="AD92" i="31"/>
  <c r="AE92" i="31" s="1"/>
  <c r="AD93" i="31"/>
  <c r="AE93" i="31" s="1"/>
  <c r="AD94" i="31"/>
  <c r="AE94" i="31" s="1"/>
  <c r="AD95" i="31"/>
  <c r="AE95" i="31" s="1"/>
  <c r="Q142" i="31" l="1"/>
  <c r="S142" i="31" s="1"/>
  <c r="W141" i="31"/>
  <c r="X141" i="31" s="1"/>
  <c r="AI141" i="31" s="1"/>
  <c r="D156" i="43" s="1"/>
  <c r="E156" i="43" s="1"/>
  <c r="G156" i="43" s="1"/>
  <c r="H156" i="43" s="1"/>
  <c r="I156" i="43" s="1"/>
  <c r="AB141" i="31"/>
  <c r="I29" i="31"/>
  <c r="F44" i="31"/>
  <c r="AX131" i="26"/>
  <c r="BI131" i="26"/>
  <c r="AY131" i="26"/>
  <c r="K60" i="29"/>
  <c r="K54" i="29"/>
  <c r="J60" i="29"/>
  <c r="J55" i="29"/>
  <c r="K59" i="29"/>
  <c r="J59" i="29"/>
  <c r="K58" i="29"/>
  <c r="K55" i="29"/>
  <c r="J58" i="29"/>
  <c r="J61" i="29"/>
  <c r="J56" i="29"/>
  <c r="K56" i="29"/>
  <c r="K61" i="29"/>
  <c r="J57" i="29"/>
  <c r="K57" i="29"/>
  <c r="AD27" i="31"/>
  <c r="AE27" i="31" s="1"/>
  <c r="AD19" i="31"/>
  <c r="AE19" i="31" s="1"/>
  <c r="C11" i="37"/>
  <c r="AD16" i="31"/>
  <c r="AE16" i="31" s="1"/>
  <c r="AD20" i="31"/>
  <c r="AE20" i="31" s="1"/>
  <c r="AD21" i="31"/>
  <c r="AE21" i="31" s="1"/>
  <c r="AD22" i="31"/>
  <c r="AE22" i="31" s="1"/>
  <c r="AD23" i="31"/>
  <c r="AE23" i="31" s="1"/>
  <c r="AD25" i="31"/>
  <c r="AE25" i="31" s="1"/>
  <c r="AD18" i="31"/>
  <c r="AE18" i="31" s="1"/>
  <c r="AD26" i="31"/>
  <c r="AE26" i="31" s="1"/>
  <c r="AD17" i="31"/>
  <c r="AE17" i="31" s="1"/>
  <c r="H36" i="46"/>
  <c r="AD24" i="31"/>
  <c r="AE24" i="31" s="1"/>
  <c r="AD33" i="31"/>
  <c r="AE33" i="31" s="1"/>
  <c r="H37" i="46"/>
  <c r="AD28" i="31"/>
  <c r="AE28" i="31" s="1"/>
  <c r="AD34" i="31"/>
  <c r="AE34" i="31" s="1"/>
  <c r="C12" i="37"/>
  <c r="AD31" i="31"/>
  <c r="AE31" i="31" s="1"/>
  <c r="AD29" i="31"/>
  <c r="AE29" i="31" s="1"/>
  <c r="AD35" i="31"/>
  <c r="AE35" i="31" s="1"/>
  <c r="AD30" i="31"/>
  <c r="AE30" i="31" s="1"/>
  <c r="AD32" i="31"/>
  <c r="AE32" i="31" s="1"/>
  <c r="AD36" i="31"/>
  <c r="AE36" i="31" s="1"/>
  <c r="AD50" i="31"/>
  <c r="AE50" i="31" s="1"/>
  <c r="AD48" i="31"/>
  <c r="AE48" i="31" s="1"/>
  <c r="AD37" i="31"/>
  <c r="AE37" i="31" s="1"/>
  <c r="AD51" i="31"/>
  <c r="AE51" i="31" s="1"/>
  <c r="AD40" i="31"/>
  <c r="AE40" i="31" s="1"/>
  <c r="AD42" i="31"/>
  <c r="AE42" i="31" s="1"/>
  <c r="AD41" i="31"/>
  <c r="AE41" i="31" s="1"/>
  <c r="AD43" i="31"/>
  <c r="AE43" i="31" s="1"/>
  <c r="H38" i="46"/>
  <c r="AD38" i="31"/>
  <c r="AE38" i="31" s="1"/>
  <c r="AD44" i="31"/>
  <c r="AE44" i="31" s="1"/>
  <c r="C13" i="37"/>
  <c r="AD39" i="31"/>
  <c r="AE39" i="31" s="1"/>
  <c r="AD46" i="31"/>
  <c r="AE46" i="31" s="1"/>
  <c r="AD45" i="31"/>
  <c r="AE45" i="31" s="1"/>
  <c r="AD49" i="31"/>
  <c r="AE49" i="31" s="1"/>
  <c r="AD47" i="31"/>
  <c r="AE47" i="31" s="1"/>
  <c r="AD74" i="31"/>
  <c r="AE74" i="31" s="1"/>
  <c r="AD67" i="31"/>
  <c r="AE67" i="31" s="1"/>
  <c r="AD71" i="31"/>
  <c r="AE71" i="31" s="1"/>
  <c r="C15" i="37"/>
  <c r="AD72" i="31"/>
  <c r="AE72" i="31" s="1"/>
  <c r="H40" i="46"/>
  <c r="AD75" i="31"/>
  <c r="AE75" i="31" s="1"/>
  <c r="AD77" i="31"/>
  <c r="AE77" i="31" s="1"/>
  <c r="AD68" i="31"/>
  <c r="AE68" i="31" s="1"/>
  <c r="AD76" i="31"/>
  <c r="AE76" i="31" s="1"/>
  <c r="AD69" i="31"/>
  <c r="AE69" i="31" s="1"/>
  <c r="AD70" i="31"/>
  <c r="AE70" i="31" s="1"/>
  <c r="AD73" i="31"/>
  <c r="AE73" i="31" s="1"/>
  <c r="AD62" i="31"/>
  <c r="AE62" i="31" s="1"/>
  <c r="AD66" i="31"/>
  <c r="AE66" i="31" s="1"/>
  <c r="C14" i="37"/>
  <c r="AD60" i="31"/>
  <c r="AE60" i="31" s="1"/>
  <c r="H39" i="46"/>
  <c r="AD52" i="31"/>
  <c r="AE52" i="31" s="1"/>
  <c r="AD53" i="31"/>
  <c r="AE53" i="31" s="1"/>
  <c r="AD56" i="31"/>
  <c r="AE56" i="31" s="1"/>
  <c r="AD54" i="31"/>
  <c r="AE54" i="31" s="1"/>
  <c r="AD63" i="31"/>
  <c r="AE63" i="31" s="1"/>
  <c r="AD55" i="31"/>
  <c r="AE55" i="31" s="1"/>
  <c r="AD64" i="31"/>
  <c r="AE64" i="31" s="1"/>
  <c r="AD58" i="31"/>
  <c r="AE58" i="31" s="1"/>
  <c r="AD61" i="31"/>
  <c r="AE61" i="31" s="1"/>
  <c r="AD65" i="31"/>
  <c r="AE65" i="31" s="1"/>
  <c r="AD59" i="31"/>
  <c r="AE59" i="31" s="1"/>
  <c r="AD57" i="31"/>
  <c r="AE57" i="31" s="1"/>
  <c r="AD5" i="31"/>
  <c r="AE5" i="31" s="1"/>
  <c r="AD4" i="31"/>
  <c r="AE4" i="31" s="1"/>
  <c r="AD6" i="31"/>
  <c r="AE6" i="31" s="1"/>
  <c r="AD7" i="31"/>
  <c r="AE7" i="31" s="1"/>
  <c r="H34" i="46"/>
  <c r="AD8" i="31"/>
  <c r="AE8" i="31" s="1"/>
  <c r="E5" i="43"/>
  <c r="E6" i="43" s="1"/>
  <c r="E7" i="43" s="1"/>
  <c r="E8" i="43" s="1"/>
  <c r="E9" i="43" s="1"/>
  <c r="E10" i="43" s="1"/>
  <c r="E11" i="43" s="1"/>
  <c r="AD12" i="31"/>
  <c r="AE12" i="31" s="1"/>
  <c r="AD15" i="31"/>
  <c r="AE15" i="31" s="1"/>
  <c r="AD11" i="31"/>
  <c r="AE11" i="31" s="1"/>
  <c r="AD10" i="31"/>
  <c r="AE10" i="31" s="1"/>
  <c r="AD13" i="31"/>
  <c r="AE13" i="31" s="1"/>
  <c r="AD9" i="31"/>
  <c r="AE9" i="31" s="1"/>
  <c r="AD14" i="31"/>
  <c r="AE14" i="31" s="1"/>
  <c r="H35" i="46"/>
  <c r="C10" i="37"/>
  <c r="F16" i="37"/>
  <c r="G16" i="37"/>
  <c r="E16" i="37"/>
  <c r="R142" i="31" l="1"/>
  <c r="Y142" i="31" s="1"/>
  <c r="F156" i="43"/>
  <c r="Z141" i="31"/>
  <c r="AA141" i="31" s="1"/>
  <c r="AH141" i="31" s="1"/>
  <c r="J29" i="31"/>
  <c r="L29" i="31"/>
  <c r="E62" i="29" s="1"/>
  <c r="AZ131" i="26"/>
  <c r="BJ131" i="26"/>
  <c r="BA131" i="26"/>
  <c r="BD131" i="26"/>
  <c r="BE131" i="26"/>
  <c r="BG131" i="26"/>
  <c r="BF131" i="26"/>
  <c r="BB131" i="26"/>
  <c r="BC131" i="26"/>
  <c r="AU131" i="26"/>
  <c r="AV132" i="26"/>
  <c r="BL131" i="26"/>
  <c r="BH131" i="26"/>
  <c r="BK131" i="26"/>
  <c r="G12" i="37"/>
  <c r="E12" i="37"/>
  <c r="F12" i="37"/>
  <c r="F11" i="37"/>
  <c r="G11" i="37"/>
  <c r="E11" i="37"/>
  <c r="G10" i="37"/>
  <c r="F10" i="37"/>
  <c r="E10" i="37"/>
  <c r="G14" i="37"/>
  <c r="E14" i="37"/>
  <c r="F14" i="37"/>
  <c r="E15" i="37"/>
  <c r="G15" i="37"/>
  <c r="F15" i="37"/>
  <c r="F13" i="37"/>
  <c r="G13" i="37"/>
  <c r="E13" i="37"/>
  <c r="G57" i="37"/>
  <c r="G55" i="37"/>
  <c r="G56" i="37"/>
  <c r="G62" i="37"/>
  <c r="G61" i="37"/>
  <c r="G63" i="37"/>
  <c r="G59" i="37"/>
  <c r="G58" i="37"/>
  <c r="G60" i="37"/>
  <c r="Z106" i="37" l="1"/>
  <c r="Z107" i="37"/>
  <c r="Z108" i="37"/>
  <c r="Z124" i="37"/>
  <c r="Z125" i="37"/>
  <c r="Z126" i="37"/>
  <c r="Z109" i="37"/>
  <c r="Z110" i="37"/>
  <c r="Z111" i="37"/>
  <c r="Z121" i="37"/>
  <c r="Z122" i="37"/>
  <c r="Z123" i="37"/>
  <c r="Z115" i="37"/>
  <c r="Z116" i="37"/>
  <c r="Z117" i="37"/>
  <c r="Z118" i="37"/>
  <c r="Z119" i="37"/>
  <c r="Z120" i="37"/>
  <c r="Z103" i="37"/>
  <c r="Z104" i="37"/>
  <c r="Z105" i="37"/>
  <c r="Z112" i="37"/>
  <c r="Z113" i="37"/>
  <c r="Z114" i="37"/>
  <c r="Z100" i="37"/>
  <c r="Z101" i="37"/>
  <c r="Z102" i="37"/>
  <c r="T142" i="31"/>
  <c r="U142" i="31"/>
  <c r="AG142" i="31" s="1"/>
  <c r="C157" i="43" s="1"/>
  <c r="J62" i="29"/>
  <c r="K62" i="29"/>
  <c r="D75" i="27"/>
  <c r="D12" i="43"/>
  <c r="E12" i="43" s="1"/>
  <c r="AW132" i="26"/>
  <c r="G54" i="37"/>
  <c r="G52" i="37"/>
  <c r="G53" i="37"/>
  <c r="G48" i="37"/>
  <c r="G46" i="37"/>
  <c r="G47" i="37"/>
  <c r="G27" i="37"/>
  <c r="G26" i="37"/>
  <c r="G43" i="37"/>
  <c r="G45" i="37"/>
  <c r="G44" i="37"/>
  <c r="G42" i="37"/>
  <c r="G40" i="37"/>
  <c r="G41" i="37"/>
  <c r="G35" i="37"/>
  <c r="G34" i="37"/>
  <c r="G36" i="37"/>
  <c r="G32" i="37"/>
  <c r="G33" i="37"/>
  <c r="G31" i="37"/>
  <c r="G49" i="37"/>
  <c r="G50" i="37"/>
  <c r="G51" i="37"/>
  <c r="G24" i="37"/>
  <c r="G25" i="37"/>
  <c r="G29" i="37"/>
  <c r="G28" i="37"/>
  <c r="G30" i="37"/>
  <c r="G38" i="37"/>
  <c r="G39" i="37"/>
  <c r="G37" i="37"/>
  <c r="L58" i="37"/>
  <c r="M58" i="37" s="1"/>
  <c r="J58" i="37"/>
  <c r="K58" i="37" s="1"/>
  <c r="I58" i="37"/>
  <c r="I59" i="37"/>
  <c r="L59" i="37"/>
  <c r="M59" i="37" s="1"/>
  <c r="J59" i="37"/>
  <c r="K59" i="37" s="1"/>
  <c r="I63" i="37"/>
  <c r="L63" i="37"/>
  <c r="M63" i="37" s="1"/>
  <c r="J63" i="37"/>
  <c r="K63" i="37" s="1"/>
  <c r="L61" i="37"/>
  <c r="M61" i="37" s="1"/>
  <c r="J61" i="37"/>
  <c r="K61" i="37" s="1"/>
  <c r="I61" i="37"/>
  <c r="J62" i="37"/>
  <c r="K62" i="37" s="1"/>
  <c r="I62" i="37"/>
  <c r="L62" i="37"/>
  <c r="M62" i="37" s="1"/>
  <c r="I56" i="37"/>
  <c r="L56" i="37"/>
  <c r="M56" i="37" s="1"/>
  <c r="J56" i="37"/>
  <c r="K56" i="37" s="1"/>
  <c r="L55" i="37"/>
  <c r="M55" i="37" s="1"/>
  <c r="I55" i="37"/>
  <c r="J55" i="37"/>
  <c r="K55" i="37" s="1"/>
  <c r="J60" i="37"/>
  <c r="K60" i="37" s="1"/>
  <c r="I60" i="37"/>
  <c r="L60" i="37"/>
  <c r="M60" i="37" s="1"/>
  <c r="I57" i="37"/>
  <c r="L57" i="37"/>
  <c r="M57" i="37" s="1"/>
  <c r="J57" i="37"/>
  <c r="K57" i="37" s="1"/>
  <c r="Z10" i="37" l="1"/>
  <c r="Z11" i="37"/>
  <c r="Z12" i="37"/>
  <c r="Z55" i="37"/>
  <c r="Z56" i="37"/>
  <c r="Z57" i="37"/>
  <c r="Z97" i="37"/>
  <c r="Z98" i="37"/>
  <c r="Z99" i="37"/>
  <c r="Z7" i="37"/>
  <c r="Z8" i="37"/>
  <c r="Z9" i="37"/>
  <c r="Z61" i="37"/>
  <c r="Z62" i="37"/>
  <c r="Z63" i="37"/>
  <c r="Z88" i="37"/>
  <c r="Z89" i="37"/>
  <c r="Z90" i="37"/>
  <c r="Z67" i="37"/>
  <c r="Z68" i="37"/>
  <c r="Z69" i="37"/>
  <c r="Z91" i="37"/>
  <c r="Z92" i="37"/>
  <c r="Z93" i="37"/>
  <c r="Z85" i="37"/>
  <c r="Z86" i="37"/>
  <c r="Z87" i="37"/>
  <c r="Z70" i="37"/>
  <c r="Z71" i="37"/>
  <c r="Z72" i="37"/>
  <c r="Z82" i="37"/>
  <c r="Z83" i="37"/>
  <c r="Z84" i="37"/>
  <c r="Z64" i="37"/>
  <c r="Z65" i="37"/>
  <c r="Z66" i="37"/>
  <c r="Z58" i="37"/>
  <c r="Z59" i="37"/>
  <c r="Z60" i="37"/>
  <c r="Z28" i="37"/>
  <c r="Z29" i="37"/>
  <c r="Z30" i="37"/>
  <c r="Z13" i="37"/>
  <c r="Z14" i="37"/>
  <c r="Z15" i="37"/>
  <c r="Z46" i="37"/>
  <c r="Z47" i="37"/>
  <c r="Z48" i="37"/>
  <c r="Z34" i="37"/>
  <c r="Z35" i="37"/>
  <c r="Z36" i="37"/>
  <c r="Z16" i="37"/>
  <c r="Z17" i="37"/>
  <c r="Z18" i="37"/>
  <c r="Z22" i="37"/>
  <c r="Z23" i="37"/>
  <c r="Z24" i="37"/>
  <c r="Z52" i="37"/>
  <c r="Z53" i="37"/>
  <c r="Z54" i="37"/>
  <c r="Z31" i="37"/>
  <c r="Z32" i="37"/>
  <c r="Z33" i="37"/>
  <c r="Z76" i="37"/>
  <c r="Z77" i="37"/>
  <c r="Z78" i="37"/>
  <c r="Z49" i="37"/>
  <c r="Z50" i="37"/>
  <c r="Z51" i="37"/>
  <c r="Z43" i="37"/>
  <c r="Z44" i="37"/>
  <c r="Z45" i="37"/>
  <c r="Z73" i="37"/>
  <c r="Z74" i="37"/>
  <c r="Z75" i="37"/>
  <c r="Z25" i="37"/>
  <c r="Z26" i="37"/>
  <c r="Z27" i="37"/>
  <c r="Z37" i="37"/>
  <c r="Z38" i="37"/>
  <c r="Z39" i="37"/>
  <c r="Z79" i="37"/>
  <c r="Z80" i="37"/>
  <c r="Z81" i="37"/>
  <c r="Z19" i="37"/>
  <c r="Z20" i="37"/>
  <c r="Z21" i="37"/>
  <c r="Z40" i="37"/>
  <c r="Z41" i="37"/>
  <c r="Z42" i="37"/>
  <c r="Z94" i="37"/>
  <c r="Z95" i="37"/>
  <c r="Z96" i="37"/>
  <c r="Q143" i="31"/>
  <c r="R143" i="31" s="1"/>
  <c r="AB142" i="31"/>
  <c r="W142" i="31"/>
  <c r="X142" i="31" s="1"/>
  <c r="AI142" i="31" s="1"/>
  <c r="D157" i="43" s="1"/>
  <c r="E157" i="43" s="1"/>
  <c r="F157" i="43" s="1"/>
  <c r="AD96" i="31"/>
  <c r="AE96" i="31" s="1"/>
  <c r="AD104" i="31"/>
  <c r="AE104" i="31" s="1"/>
  <c r="AD112" i="31"/>
  <c r="AE112" i="31" s="1"/>
  <c r="AD97" i="31"/>
  <c r="AE97" i="31" s="1"/>
  <c r="AD105" i="31"/>
  <c r="AE105" i="31" s="1"/>
  <c r="AD113" i="31"/>
  <c r="AE113" i="31" s="1"/>
  <c r="AD98" i="31"/>
  <c r="AE98" i="31" s="1"/>
  <c r="AD106" i="31"/>
  <c r="AE106" i="31" s="1"/>
  <c r="AD99" i="31"/>
  <c r="AE99" i="31" s="1"/>
  <c r="AD107" i="31"/>
  <c r="AE107" i="31" s="1"/>
  <c r="AD100" i="31"/>
  <c r="AE100" i="31" s="1"/>
  <c r="AD108" i="31"/>
  <c r="AE108" i="31" s="1"/>
  <c r="AD101" i="31"/>
  <c r="AE101" i="31" s="1"/>
  <c r="AD109" i="31"/>
  <c r="AE109" i="31" s="1"/>
  <c r="AD102" i="31"/>
  <c r="AE102" i="31" s="1"/>
  <c r="AD110" i="31"/>
  <c r="AE110" i="31" s="1"/>
  <c r="AD103" i="31"/>
  <c r="AE103" i="31" s="1"/>
  <c r="AD111" i="31"/>
  <c r="AE111" i="31" s="1"/>
  <c r="H42" i="46"/>
  <c r="C17" i="37"/>
  <c r="AY132" i="26"/>
  <c r="AU132" i="26" s="1"/>
  <c r="AX132" i="26"/>
  <c r="BI132" i="26" s="1"/>
  <c r="L24" i="37"/>
  <c r="M24" i="37" s="1"/>
  <c r="I24" i="37"/>
  <c r="J24" i="37"/>
  <c r="K24" i="37" s="1"/>
  <c r="J34" i="37"/>
  <c r="K34" i="37" s="1"/>
  <c r="I34" i="37"/>
  <c r="L34" i="37"/>
  <c r="M34" i="37" s="1"/>
  <c r="I26" i="37"/>
  <c r="L26" i="37"/>
  <c r="M26" i="37" s="1"/>
  <c r="J26" i="37"/>
  <c r="K26" i="37" s="1"/>
  <c r="J37" i="37"/>
  <c r="K37" i="37" s="1"/>
  <c r="L37" i="37"/>
  <c r="M37" i="37" s="1"/>
  <c r="I37" i="37"/>
  <c r="L51" i="37"/>
  <c r="M51" i="37" s="1"/>
  <c r="I51" i="37"/>
  <c r="J51" i="37"/>
  <c r="K51" i="37" s="1"/>
  <c r="L35" i="37"/>
  <c r="M35" i="37" s="1"/>
  <c r="J35" i="37"/>
  <c r="K35" i="37" s="1"/>
  <c r="I35" i="37"/>
  <c r="L27" i="37"/>
  <c r="M27" i="37" s="1"/>
  <c r="J27" i="37"/>
  <c r="K27" i="37" s="1"/>
  <c r="I27" i="37"/>
  <c r="J39" i="37"/>
  <c r="K39" i="37" s="1"/>
  <c r="I39" i="37"/>
  <c r="L39" i="37"/>
  <c r="M39" i="37" s="1"/>
  <c r="L50" i="37"/>
  <c r="M50" i="37" s="1"/>
  <c r="J50" i="37"/>
  <c r="K50" i="37" s="1"/>
  <c r="I50" i="37"/>
  <c r="L41" i="37"/>
  <c r="M41" i="37" s="1"/>
  <c r="J41" i="37"/>
  <c r="K41" i="37" s="1"/>
  <c r="I41" i="37"/>
  <c r="L47" i="37"/>
  <c r="M47" i="37" s="1"/>
  <c r="J47" i="37"/>
  <c r="K47" i="37" s="1"/>
  <c r="I47" i="37"/>
  <c r="L38" i="37"/>
  <c r="M38" i="37" s="1"/>
  <c r="J38" i="37"/>
  <c r="K38" i="37" s="1"/>
  <c r="I38" i="37"/>
  <c r="I49" i="37"/>
  <c r="L49" i="37"/>
  <c r="M49" i="37" s="1"/>
  <c r="J49" i="37"/>
  <c r="K49" i="37" s="1"/>
  <c r="I40" i="37"/>
  <c r="J40" i="37"/>
  <c r="K40" i="37" s="1"/>
  <c r="L40" i="37"/>
  <c r="M40" i="37" s="1"/>
  <c r="L46" i="37"/>
  <c r="M46" i="37" s="1"/>
  <c r="J46" i="37"/>
  <c r="K46" i="37" s="1"/>
  <c r="I46" i="37"/>
  <c r="J30" i="37"/>
  <c r="K30" i="37" s="1"/>
  <c r="L30" i="37"/>
  <c r="M30" i="37" s="1"/>
  <c r="I30" i="37"/>
  <c r="L31" i="37"/>
  <c r="M31" i="37" s="1"/>
  <c r="J31" i="37"/>
  <c r="K31" i="37" s="1"/>
  <c r="I31" i="37"/>
  <c r="I42" i="37"/>
  <c r="L42" i="37"/>
  <c r="M42" i="37" s="1"/>
  <c r="J42" i="37"/>
  <c r="K42" i="37" s="1"/>
  <c r="I48" i="37"/>
  <c r="L48" i="37"/>
  <c r="M48" i="37" s="1"/>
  <c r="J48" i="37"/>
  <c r="K48" i="37" s="1"/>
  <c r="J28" i="37"/>
  <c r="K28" i="37" s="1"/>
  <c r="I28" i="37"/>
  <c r="L28" i="37"/>
  <c r="M28" i="37" s="1"/>
  <c r="J33" i="37"/>
  <c r="K33" i="37" s="1"/>
  <c r="L33" i="37"/>
  <c r="M33" i="37" s="1"/>
  <c r="I33" i="37"/>
  <c r="J44" i="37"/>
  <c r="K44" i="37" s="1"/>
  <c r="I44" i="37"/>
  <c r="L44" i="37"/>
  <c r="M44" i="37" s="1"/>
  <c r="L53" i="37"/>
  <c r="M53" i="37" s="1"/>
  <c r="J53" i="37"/>
  <c r="K53" i="37" s="1"/>
  <c r="I53" i="37"/>
  <c r="I29" i="37"/>
  <c r="J29" i="37"/>
  <c r="K29" i="37" s="1"/>
  <c r="L29" i="37"/>
  <c r="M29" i="37" s="1"/>
  <c r="L32" i="37"/>
  <c r="M32" i="37" s="1"/>
  <c r="I32" i="37"/>
  <c r="J32" i="37"/>
  <c r="K32" i="37" s="1"/>
  <c r="I45" i="37"/>
  <c r="J45" i="37"/>
  <c r="K45" i="37" s="1"/>
  <c r="L45" i="37"/>
  <c r="M45" i="37" s="1"/>
  <c r="J52" i="37"/>
  <c r="K52" i="37" s="1"/>
  <c r="I52" i="37"/>
  <c r="L52" i="37"/>
  <c r="M52" i="37" s="1"/>
  <c r="J25" i="37"/>
  <c r="K25" i="37" s="1"/>
  <c r="I25" i="37"/>
  <c r="L25" i="37"/>
  <c r="M25" i="37" s="1"/>
  <c r="I36" i="37"/>
  <c r="L36" i="37"/>
  <c r="M36" i="37" s="1"/>
  <c r="J36" i="37"/>
  <c r="K36" i="37" s="1"/>
  <c r="I43" i="37"/>
  <c r="L43" i="37"/>
  <c r="M43" i="37" s="1"/>
  <c r="J43" i="37"/>
  <c r="K43" i="37" s="1"/>
  <c r="L54" i="37"/>
  <c r="M54" i="37" s="1"/>
  <c r="J54" i="37"/>
  <c r="K54" i="37" s="1"/>
  <c r="I54" i="37"/>
  <c r="S143" i="31" l="1"/>
  <c r="Y143" i="31" s="1"/>
  <c r="G157" i="43"/>
  <c r="H157" i="43" s="1"/>
  <c r="I157" i="43" s="1"/>
  <c r="Z142" i="31"/>
  <c r="AA142" i="31" s="1"/>
  <c r="AH142" i="31" s="1"/>
  <c r="G17" i="37"/>
  <c r="E17" i="37"/>
  <c r="F17" i="37"/>
  <c r="AZ132" i="26"/>
  <c r="BF132" i="26"/>
  <c r="BJ132" i="26"/>
  <c r="BC132" i="26"/>
  <c r="BB132" i="26"/>
  <c r="BA132" i="26"/>
  <c r="BE132" i="26"/>
  <c r="BD132" i="26"/>
  <c r="BG132" i="26"/>
  <c r="BK132" i="26"/>
  <c r="AV133" i="26"/>
  <c r="BL132" i="26"/>
  <c r="BH132" i="26"/>
  <c r="U143" i="31" l="1"/>
  <c r="AB143" i="31" s="1"/>
  <c r="T143" i="31"/>
  <c r="G69" i="37"/>
  <c r="G67" i="37"/>
  <c r="G68" i="37"/>
  <c r="G64" i="37"/>
  <c r="G65" i="37"/>
  <c r="G66" i="37"/>
  <c r="G72" i="37"/>
  <c r="G70" i="37"/>
  <c r="G71" i="37"/>
  <c r="AW133" i="26"/>
  <c r="Z148" i="37" l="1"/>
  <c r="Z149" i="37"/>
  <c r="Z150" i="37"/>
  <c r="Z133" i="37"/>
  <c r="Z134" i="37"/>
  <c r="Z135" i="37"/>
  <c r="Z130" i="37"/>
  <c r="Z131" i="37"/>
  <c r="Z132" i="37"/>
  <c r="Z127" i="37"/>
  <c r="Z128" i="37"/>
  <c r="Z129" i="37"/>
  <c r="Z139" i="37"/>
  <c r="Z140" i="37"/>
  <c r="Z141" i="37"/>
  <c r="Z151" i="37"/>
  <c r="Z152" i="37"/>
  <c r="Z153" i="37"/>
  <c r="Z136" i="37"/>
  <c r="Z137" i="37"/>
  <c r="Z138" i="37"/>
  <c r="Z145" i="37"/>
  <c r="Z146" i="37"/>
  <c r="Z147" i="37"/>
  <c r="Z142" i="37"/>
  <c r="Z143" i="37"/>
  <c r="Z144" i="37"/>
  <c r="Q144" i="31"/>
  <c r="S144" i="31" s="1"/>
  <c r="AG143" i="31"/>
  <c r="C158" i="43" s="1"/>
  <c r="W143" i="31"/>
  <c r="X143" i="31" s="1"/>
  <c r="AI143" i="31" s="1"/>
  <c r="D158" i="43" s="1"/>
  <c r="E158" i="43" s="1"/>
  <c r="F158" i="43" s="1"/>
  <c r="L71" i="37"/>
  <c r="M71" i="37" s="1"/>
  <c r="J71" i="37"/>
  <c r="K71" i="37" s="1"/>
  <c r="I71" i="37"/>
  <c r="J70" i="37"/>
  <c r="K70" i="37" s="1"/>
  <c r="I70" i="37"/>
  <c r="L70" i="37"/>
  <c r="M70" i="37" s="1"/>
  <c r="I72" i="37"/>
  <c r="L72" i="37"/>
  <c r="M72" i="37" s="1"/>
  <c r="J72" i="37"/>
  <c r="K72" i="37" s="1"/>
  <c r="L66" i="37"/>
  <c r="M66" i="37" s="1"/>
  <c r="J66" i="37"/>
  <c r="K66" i="37" s="1"/>
  <c r="I66" i="37"/>
  <c r="I65" i="37"/>
  <c r="L65" i="37"/>
  <c r="M65" i="37" s="1"/>
  <c r="J65" i="37"/>
  <c r="K65" i="37" s="1"/>
  <c r="L64" i="37"/>
  <c r="M64" i="37" s="1"/>
  <c r="J64" i="37"/>
  <c r="K64" i="37" s="1"/>
  <c r="I64" i="37"/>
  <c r="J68" i="37"/>
  <c r="K68" i="37" s="1"/>
  <c r="I68" i="37"/>
  <c r="L68" i="37"/>
  <c r="M68" i="37" s="1"/>
  <c r="J67" i="37"/>
  <c r="K67" i="37" s="1"/>
  <c r="L67" i="37"/>
  <c r="M67" i="37" s="1"/>
  <c r="I67" i="37"/>
  <c r="L69" i="37"/>
  <c r="M69" i="37" s="1"/>
  <c r="J69" i="37"/>
  <c r="K69" i="37" s="1"/>
  <c r="I69" i="37"/>
  <c r="BI133" i="26"/>
  <c r="AY133" i="26"/>
  <c r="AU133" i="26" s="1"/>
  <c r="AX133" i="26"/>
  <c r="R144" i="31" l="1"/>
  <c r="U144" i="31" s="1"/>
  <c r="W144" i="31" s="1"/>
  <c r="X144" i="31" s="1"/>
  <c r="Z143" i="31"/>
  <c r="AA143" i="31" s="1"/>
  <c r="AH143" i="31" s="1"/>
  <c r="G158" i="43"/>
  <c r="H158" i="43" s="1"/>
  <c r="I158" i="43" s="1"/>
  <c r="BB133" i="26"/>
  <c r="AZ133" i="26"/>
  <c r="BE133" i="26"/>
  <c r="BC133" i="26"/>
  <c r="BA133" i="26"/>
  <c r="BD133" i="26"/>
  <c r="BG133" i="26"/>
  <c r="BJ133" i="26"/>
  <c r="BH133" i="26"/>
  <c r="AV134" i="26"/>
  <c r="BL133" i="26"/>
  <c r="BK133" i="26"/>
  <c r="BF133" i="26"/>
  <c r="AB144" i="31" l="1"/>
  <c r="AI144" i="31"/>
  <c r="D159" i="43" s="1"/>
  <c r="E159" i="43" s="1"/>
  <c r="G159" i="43" s="1"/>
  <c r="H159" i="43" s="1"/>
  <c r="I159" i="43" s="1"/>
  <c r="AG144" i="31"/>
  <c r="C159" i="43" s="1"/>
  <c r="Y144" i="31"/>
  <c r="Z144" i="31" s="1"/>
  <c r="AA144" i="31" s="1"/>
  <c r="AH144" i="31" s="1"/>
  <c r="T144" i="31"/>
  <c r="Q145" i="31" s="1"/>
  <c r="R145" i="31" s="1"/>
  <c r="F159" i="43"/>
  <c r="AW134" i="26"/>
  <c r="S145" i="31" l="1"/>
  <c r="U145" i="31" s="1"/>
  <c r="W145" i="31" s="1"/>
  <c r="X145" i="31" s="1"/>
  <c r="AY134" i="26"/>
  <c r="BI134" i="26" s="1"/>
  <c r="AX134" i="26"/>
  <c r="BB134" i="26" s="1"/>
  <c r="AZ134" i="26" l="1"/>
  <c r="Y145" i="31"/>
  <c r="AB145" i="31"/>
  <c r="AI145" i="31"/>
  <c r="D160" i="43" s="1"/>
  <c r="E160" i="43" s="1"/>
  <c r="G160" i="43" s="1"/>
  <c r="H160" i="43" s="1"/>
  <c r="I160" i="43" s="1"/>
  <c r="T145" i="31"/>
  <c r="Q146" i="31" s="1"/>
  <c r="S146" i="31" s="1"/>
  <c r="Z145" i="31"/>
  <c r="AA145" i="31" s="1"/>
  <c r="AH145" i="31" s="1"/>
  <c r="AG145" i="31"/>
  <c r="C160" i="43" s="1"/>
  <c r="F160" i="43"/>
  <c r="BJ134" i="26"/>
  <c r="BK134" i="26"/>
  <c r="BD134" i="26"/>
  <c r="BE134" i="26"/>
  <c r="BC134" i="26"/>
  <c r="BA134" i="26"/>
  <c r="BG134" i="26"/>
  <c r="BF134" i="26"/>
  <c r="AV135" i="26"/>
  <c r="BL134" i="26"/>
  <c r="AU134" i="26"/>
  <c r="BH134" i="26"/>
  <c r="R146" i="31" l="1"/>
  <c r="Y146" i="31" s="1"/>
  <c r="AW135" i="26"/>
  <c r="U146" i="31" l="1"/>
  <c r="AB146" i="31" s="1"/>
  <c r="T146" i="31"/>
  <c r="Q147" i="31" s="1"/>
  <c r="S147" i="31" s="1"/>
  <c r="AX135" i="26"/>
  <c r="BD135" i="26" s="1"/>
  <c r="BI135" i="26"/>
  <c r="AY135" i="26"/>
  <c r="W146" i="31" l="1"/>
  <c r="X146" i="31" s="1"/>
  <c r="AI146" i="31" s="1"/>
  <c r="D161" i="43" s="1"/>
  <c r="E161" i="43" s="1"/>
  <c r="G161" i="43" s="1"/>
  <c r="H161" i="43" s="1"/>
  <c r="I161" i="43" s="1"/>
  <c r="AG146" i="31"/>
  <c r="C161" i="43" s="1"/>
  <c r="R147" i="31"/>
  <c r="U147" i="31" s="1"/>
  <c r="AB147" i="31" s="1"/>
  <c r="BJ135" i="26"/>
  <c r="AZ135" i="26"/>
  <c r="BA135" i="26"/>
  <c r="BC135" i="26"/>
  <c r="BE135" i="26"/>
  <c r="BB135" i="26"/>
  <c r="BK135" i="26"/>
  <c r="AV136" i="26"/>
  <c r="BH135" i="26"/>
  <c r="AU135" i="26"/>
  <c r="BL135" i="26"/>
  <c r="BG135" i="26"/>
  <c r="BF135" i="26"/>
  <c r="F161" i="43" l="1"/>
  <c r="Z146" i="31"/>
  <c r="AA146" i="31" s="1"/>
  <c r="AH146" i="31" s="1"/>
  <c r="T147" i="31"/>
  <c r="Q148" i="31" s="1"/>
  <c r="Y147" i="31"/>
  <c r="AG147" i="31"/>
  <c r="C162" i="43" s="1"/>
  <c r="W147" i="31"/>
  <c r="X147" i="31" s="1"/>
  <c r="AI147" i="31" s="1"/>
  <c r="D162" i="43" s="1"/>
  <c r="E162" i="43" s="1"/>
  <c r="F162" i="43" s="1"/>
  <c r="AW136" i="26"/>
  <c r="S148" i="31" l="1"/>
  <c r="R148" i="31"/>
  <c r="Z147" i="31"/>
  <c r="AA147" i="31" s="1"/>
  <c r="AH147" i="31" s="1"/>
  <c r="G162" i="43"/>
  <c r="H162" i="43" s="1"/>
  <c r="I162" i="43" s="1"/>
  <c r="BI136" i="26"/>
  <c r="AX136" i="26"/>
  <c r="AZ136" i="26" s="1"/>
  <c r="AY136" i="26"/>
  <c r="BC136" i="26" s="1"/>
  <c r="Y148" i="31" l="1"/>
  <c r="T148" i="31"/>
  <c r="U148" i="31"/>
  <c r="BJ136" i="26"/>
  <c r="BL136" i="26"/>
  <c r="BD136" i="26"/>
  <c r="BB136" i="26"/>
  <c r="BE136" i="26"/>
  <c r="BA136" i="26"/>
  <c r="BK136" i="26"/>
  <c r="AU136" i="26"/>
  <c r="AV137" i="26"/>
  <c r="BF136" i="26"/>
  <c r="BH136" i="26"/>
  <c r="BG136" i="26"/>
  <c r="Q149" i="31" l="1"/>
  <c r="R149" i="31" s="1"/>
  <c r="AG148" i="31"/>
  <c r="C163" i="43" s="1"/>
  <c r="AB148" i="31"/>
  <c r="W148" i="31"/>
  <c r="AW137" i="26"/>
  <c r="S149" i="31" l="1"/>
  <c r="Y149" i="31" s="1"/>
  <c r="X148" i="31"/>
  <c r="AI148" i="31" s="1"/>
  <c r="D163" i="43" s="1"/>
  <c r="E163" i="43" s="1"/>
  <c r="Z148" i="31"/>
  <c r="AA148" i="31" s="1"/>
  <c r="AH148" i="31" s="1"/>
  <c r="AX137" i="26"/>
  <c r="AZ137" i="26" s="1"/>
  <c r="BI137" i="26"/>
  <c r="AY137" i="26"/>
  <c r="AU137" i="26" s="1"/>
  <c r="U149" i="31" l="1"/>
  <c r="AG149" i="31" s="1"/>
  <c r="C164" i="43" s="1"/>
  <c r="T149" i="31"/>
  <c r="G163" i="43"/>
  <c r="H163" i="43" s="1"/>
  <c r="I163" i="43" s="1"/>
  <c r="F163" i="43"/>
  <c r="BC137" i="26"/>
  <c r="BA137" i="26"/>
  <c r="BJ137" i="26"/>
  <c r="BB137" i="26"/>
  <c r="BD137" i="26"/>
  <c r="BE137" i="26"/>
  <c r="BG137" i="26"/>
  <c r="BH137" i="26"/>
  <c r="BF137" i="26"/>
  <c r="BK137" i="26"/>
  <c r="AV138" i="26"/>
  <c r="BL137" i="26"/>
  <c r="W149" i="31" l="1"/>
  <c r="X149" i="31" s="1"/>
  <c r="AI149" i="31" s="1"/>
  <c r="D164" i="43" s="1"/>
  <c r="E164" i="43" s="1"/>
  <c r="F164" i="43" s="1"/>
  <c r="AB149" i="31"/>
  <c r="Q150" i="31"/>
  <c r="R150" i="31" s="1"/>
  <c r="AW138" i="26"/>
  <c r="AH6" i="35"/>
  <c r="AI7" i="35"/>
  <c r="AH7" i="35"/>
  <c r="AI6" i="35"/>
  <c r="AJ6" i="35"/>
  <c r="AJ7" i="35"/>
  <c r="AJ9" i="35"/>
  <c r="AJ10" i="35"/>
  <c r="AH9" i="35"/>
  <c r="AI8" i="35"/>
  <c r="AH8" i="35"/>
  <c r="AI10" i="35"/>
  <c r="AJ8" i="35"/>
  <c r="AJ13" i="35"/>
  <c r="AI12" i="35"/>
  <c r="AI9" i="35"/>
  <c r="AH10" i="35"/>
  <c r="AJ12" i="35"/>
  <c r="AJ11" i="35"/>
  <c r="AH11" i="35"/>
  <c r="AI11" i="35"/>
  <c r="AI13" i="35"/>
  <c r="AH13" i="35"/>
  <c r="AH12" i="35"/>
  <c r="Z12" i="35"/>
  <c r="AA6" i="35"/>
  <c r="AA13" i="35"/>
  <c r="G42" i="9"/>
  <c r="AA14" i="35"/>
  <c r="AB9" i="35"/>
  <c r="AB7" i="35"/>
  <c r="AB12" i="35"/>
  <c r="Y17" i="35"/>
  <c r="Y13" i="35"/>
  <c r="AB16" i="35"/>
  <c r="Z14" i="35"/>
  <c r="AB6" i="35"/>
  <c r="I42" i="9"/>
  <c r="AA12" i="35"/>
  <c r="Z10" i="35"/>
  <c r="J42" i="9"/>
  <c r="AB15" i="35"/>
  <c r="AB14" i="35"/>
  <c r="AA8" i="35"/>
  <c r="AA15" i="35"/>
  <c r="AC17" i="35"/>
  <c r="AB11" i="35"/>
  <c r="AC15" i="35"/>
  <c r="AB17" i="35"/>
  <c r="Z16" i="35"/>
  <c r="AA17" i="35"/>
  <c r="AB13" i="35"/>
  <c r="AA7" i="35"/>
  <c r="AA16" i="35"/>
  <c r="AB8" i="35"/>
  <c r="Y16" i="35"/>
  <c r="AA10" i="35"/>
  <c r="AB10" i="35"/>
  <c r="AA11" i="35"/>
  <c r="AA9" i="35"/>
  <c r="Y6" i="35"/>
  <c r="AC10" i="35"/>
  <c r="AC11" i="35"/>
  <c r="Z9" i="35"/>
  <c r="Y9" i="35"/>
  <c r="Z17" i="35"/>
  <c r="AC19" i="35"/>
  <c r="AC6" i="35"/>
  <c r="Y12" i="35"/>
  <c r="Y11" i="35"/>
  <c r="Y18" i="35"/>
  <c r="Y7" i="35"/>
  <c r="Y10" i="35"/>
  <c r="Y20" i="35"/>
  <c r="Y8" i="35"/>
  <c r="Z11" i="35"/>
  <c r="AC16" i="35"/>
  <c r="Z13" i="35"/>
  <c r="Y19" i="35"/>
  <c r="AC9" i="35"/>
  <c r="AC14" i="35"/>
  <c r="AC7" i="35"/>
  <c r="Z20" i="35"/>
  <c r="AC8" i="35"/>
  <c r="Z15" i="35"/>
  <c r="AC18" i="35"/>
  <c r="Y14" i="35"/>
  <c r="AC20" i="35"/>
  <c r="Z18" i="35"/>
  <c r="Z19" i="35"/>
  <c r="AC13" i="35"/>
  <c r="Y15" i="35"/>
  <c r="Z6" i="35"/>
  <c r="Z8" i="35"/>
  <c r="AC12" i="35"/>
  <c r="Z7" i="35"/>
  <c r="G43" i="9"/>
  <c r="I43" i="9"/>
  <c r="BM4" i="45"/>
  <c r="BL4" i="45"/>
  <c r="BN4" i="45"/>
  <c r="BK4" i="45"/>
  <c r="BU4" i="45"/>
  <c r="BT4" i="45"/>
  <c r="BO4" i="45"/>
  <c r="BV4" i="45"/>
  <c r="I44" i="9"/>
  <c r="G44" i="9"/>
  <c r="G45" i="9"/>
  <c r="J45" i="9"/>
  <c r="I46" i="9"/>
  <c r="K46" i="9" s="1"/>
  <c r="Q46" i="9" s="1"/>
  <c r="E79" i="9" s="1"/>
  <c r="G46" i="9"/>
  <c r="G47" i="9"/>
  <c r="I47" i="9"/>
  <c r="I48" i="9"/>
  <c r="K48" i="9" s="1"/>
  <c r="Q48" i="9" s="1"/>
  <c r="E81" i="9" s="1"/>
  <c r="G48" i="9"/>
  <c r="AI17" i="35"/>
  <c r="AI34" i="35"/>
  <c r="AH26" i="35"/>
  <c r="AH21" i="35"/>
  <c r="AJ21" i="35"/>
  <c r="AJ16" i="35"/>
  <c r="AH28" i="35"/>
  <c r="AI20" i="35"/>
  <c r="AI23" i="35"/>
  <c r="AJ37" i="35"/>
  <c r="AI29" i="35"/>
  <c r="AK29" i="35" s="1"/>
  <c r="I45" i="9"/>
  <c r="AH29" i="35"/>
  <c r="AI21" i="35"/>
  <c r="AJ24" i="35"/>
  <c r="AI18" i="35"/>
  <c r="AJ32" i="35"/>
  <c r="AH17" i="35"/>
  <c r="AH20" i="35"/>
  <c r="AH25" i="35"/>
  <c r="AI14" i="35"/>
  <c r="AI28" i="35"/>
  <c r="AK28" i="35" s="1"/>
  <c r="AJ33" i="35"/>
  <c r="AH30" i="35"/>
  <c r="AJ17" i="35"/>
  <c r="AJ28" i="35"/>
  <c r="AH22" i="35"/>
  <c r="AI16" i="35"/>
  <c r="AH18" i="35"/>
  <c r="AH35" i="35"/>
  <c r="AI32" i="35"/>
  <c r="AI24" i="35"/>
  <c r="AI31" i="35"/>
  <c r="AJ22" i="35"/>
  <c r="AJ19" i="35"/>
  <c r="AI36" i="35"/>
  <c r="AI30" i="35"/>
  <c r="AK30" i="35" s="1"/>
  <c r="J46" i="9"/>
  <c r="AI33" i="35"/>
  <c r="AH16" i="35"/>
  <c r="AJ30" i="35"/>
  <c r="AJ36" i="35"/>
  <c r="AI27" i="35"/>
  <c r="AK27" i="35" s="1"/>
  <c r="AI22" i="35"/>
  <c r="AI19" i="35"/>
  <c r="AJ35" i="35"/>
  <c r="J47" i="9"/>
  <c r="AJ15" i="35"/>
  <c r="AH31" i="35"/>
  <c r="AJ29" i="35"/>
  <c r="AJ23" i="35"/>
  <c r="AI15" i="35"/>
  <c r="AJ26" i="35"/>
  <c r="J44" i="9"/>
  <c r="AH23" i="35"/>
  <c r="AH32" i="35"/>
  <c r="AH14" i="35"/>
  <c r="AH15" i="35"/>
  <c r="J48" i="9"/>
  <c r="AH34" i="35"/>
  <c r="AK34" i="35" s="1"/>
  <c r="AJ27" i="35"/>
  <c r="AI37" i="35"/>
  <c r="AJ14" i="35"/>
  <c r="AJ34" i="35"/>
  <c r="AH27" i="35"/>
  <c r="AJ31" i="35"/>
  <c r="AI26" i="35"/>
  <c r="AH19" i="35"/>
  <c r="AI25" i="35"/>
  <c r="AJ18" i="35"/>
  <c r="J43" i="9"/>
  <c r="AH33" i="35"/>
  <c r="AI35" i="35"/>
  <c r="AH37" i="35"/>
  <c r="AH24" i="35"/>
  <c r="AJ25" i="35"/>
  <c r="AJ20" i="35"/>
  <c r="AH36" i="35"/>
  <c r="AB35" i="35"/>
  <c r="AA25" i="35"/>
  <c r="AB18" i="35"/>
  <c r="AA32" i="35"/>
  <c r="AB24" i="35"/>
  <c r="AB22" i="35"/>
  <c r="AA33" i="35"/>
  <c r="AA24" i="35"/>
  <c r="AB28" i="35"/>
  <c r="AB32" i="35"/>
  <c r="AA22" i="35"/>
  <c r="AA37" i="35"/>
  <c r="AA27" i="35"/>
  <c r="AB21" i="35"/>
  <c r="AB31" i="35"/>
  <c r="AA26" i="35"/>
  <c r="AA23" i="35"/>
  <c r="AA18" i="35"/>
  <c r="AB30" i="35"/>
  <c r="AB25" i="35"/>
  <c r="AA31" i="35"/>
  <c r="AB27" i="35"/>
  <c r="AB29" i="35"/>
  <c r="AB34" i="35"/>
  <c r="AB20" i="35"/>
  <c r="AA28" i="35"/>
  <c r="AA35" i="35"/>
  <c r="AB23" i="35"/>
  <c r="AA19" i="35"/>
  <c r="AA36" i="35"/>
  <c r="AB33" i="35"/>
  <c r="AA20" i="35"/>
  <c r="AA21" i="35"/>
  <c r="AA34" i="35"/>
  <c r="AB19" i="35"/>
  <c r="AB26" i="35"/>
  <c r="AA29" i="35"/>
  <c r="AA30" i="35"/>
  <c r="AB37" i="35"/>
  <c r="AB36" i="35"/>
  <c r="AC36" i="35"/>
  <c r="Z25" i="35"/>
  <c r="Z37" i="35"/>
  <c r="AC26" i="35"/>
  <c r="Y31" i="35"/>
  <c r="AC33" i="35"/>
  <c r="Z22" i="35"/>
  <c r="AC29" i="35"/>
  <c r="Y28" i="35"/>
  <c r="AC37" i="35"/>
  <c r="AC21" i="35"/>
  <c r="Z36" i="35"/>
  <c r="Y34" i="35"/>
  <c r="Y33" i="35"/>
  <c r="Z30" i="35"/>
  <c r="Y21" i="35"/>
  <c r="AC23" i="35"/>
  <c r="Y25" i="35"/>
  <c r="Y26" i="35"/>
  <c r="Y27" i="35"/>
  <c r="Z21" i="35"/>
  <c r="AC31" i="35"/>
  <c r="Y24" i="35"/>
  <c r="Z28" i="35"/>
  <c r="Z32" i="35"/>
  <c r="Z27" i="35"/>
  <c r="Z23" i="35"/>
  <c r="AC35" i="35"/>
  <c r="Y30" i="35"/>
  <c r="AC22" i="35"/>
  <c r="Y29" i="35"/>
  <c r="AC28" i="35"/>
  <c r="AC27" i="35"/>
  <c r="Y32" i="35"/>
  <c r="Z31" i="35"/>
  <c r="Z35" i="35"/>
  <c r="Y23" i="35"/>
  <c r="AC30" i="35"/>
  <c r="AC24" i="35"/>
  <c r="Z33" i="35"/>
  <c r="Z29" i="35"/>
  <c r="AC25" i="35"/>
  <c r="Z26" i="35"/>
  <c r="Y37" i="35"/>
  <c r="Z34" i="35"/>
  <c r="Z24" i="35"/>
  <c r="Y22" i="35"/>
  <c r="AC34" i="35"/>
  <c r="Y35" i="35"/>
  <c r="Y36" i="35"/>
  <c r="AC32" i="35"/>
  <c r="S150" i="31" l="1"/>
  <c r="Y150" i="31" s="1"/>
  <c r="G164" i="43"/>
  <c r="H164" i="43" s="1"/>
  <c r="I164" i="43" s="1"/>
  <c r="Z149" i="31"/>
  <c r="AA149" i="31" s="1"/>
  <c r="AH149" i="31" s="1"/>
  <c r="AK36" i="35"/>
  <c r="V36" i="35" s="1"/>
  <c r="AK14" i="35"/>
  <c r="V14" i="35" s="1"/>
  <c r="AY138" i="26"/>
  <c r="BI138" i="26"/>
  <c r="AX138" i="26"/>
  <c r="AZ138" i="26" s="1"/>
  <c r="AK18" i="35"/>
  <c r="V18" i="35" s="1"/>
  <c r="AK20" i="35"/>
  <c r="V20" i="35" s="1"/>
  <c r="AK33" i="35"/>
  <c r="V33" i="35" s="1"/>
  <c r="AK24" i="35"/>
  <c r="V24" i="35" s="1"/>
  <c r="AK17" i="35"/>
  <c r="V17" i="35" s="1"/>
  <c r="AK12" i="35"/>
  <c r="V12" i="35" s="1"/>
  <c r="AK13" i="35"/>
  <c r="V13" i="35" s="1"/>
  <c r="AK6" i="35"/>
  <c r="V6" i="35" s="1"/>
  <c r="AK19" i="35"/>
  <c r="V19" i="35" s="1"/>
  <c r="AK16" i="35"/>
  <c r="V16" i="35" s="1"/>
  <c r="AK7" i="35"/>
  <c r="V7" i="35" s="1"/>
  <c r="K45" i="9"/>
  <c r="Q45" i="9" s="1"/>
  <c r="E78" i="9" s="1"/>
  <c r="K44" i="9"/>
  <c r="Q44" i="9" s="1"/>
  <c r="E77" i="9" s="1"/>
  <c r="K47" i="9"/>
  <c r="Q47" i="9" s="1"/>
  <c r="E80" i="9" s="1"/>
  <c r="AK10" i="35"/>
  <c r="V10" i="35" s="1"/>
  <c r="BW4" i="45"/>
  <c r="BY4" i="45" s="1"/>
  <c r="AI4" i="45" s="1"/>
  <c r="U5" i="45" s="1"/>
  <c r="AK31" i="35"/>
  <c r="AK9" i="35"/>
  <c r="V9" i="35" s="1"/>
  <c r="AK37" i="35"/>
  <c r="V37" i="35" s="1"/>
  <c r="K42" i="9"/>
  <c r="Q42" i="9" s="1"/>
  <c r="E75" i="9" s="1"/>
  <c r="AK11" i="35"/>
  <c r="V11" i="35" s="1"/>
  <c r="AK8" i="35"/>
  <c r="V8" i="35" s="1"/>
  <c r="K43" i="9"/>
  <c r="Q43" i="9" s="1"/>
  <c r="E76" i="9" s="1"/>
  <c r="AK32" i="35"/>
  <c r="AK23" i="35"/>
  <c r="V34" i="35"/>
  <c r="AK22" i="35"/>
  <c r="V22" i="35" s="1"/>
  <c r="V28" i="35"/>
  <c r="AK35" i="35"/>
  <c r="V35" i="35" s="1"/>
  <c r="V27" i="35"/>
  <c r="AK15" i="35"/>
  <c r="V15" i="35" s="1"/>
  <c r="AK21" i="35"/>
  <c r="V29" i="35"/>
  <c r="V30" i="35"/>
  <c r="AK25" i="35"/>
  <c r="AK26" i="35"/>
  <c r="V26" i="35" s="1"/>
  <c r="U150" i="31" l="1"/>
  <c r="W150" i="31" s="1"/>
  <c r="X150" i="31" s="1"/>
  <c r="AI150" i="31" s="1"/>
  <c r="D165" i="43" s="1"/>
  <c r="E165" i="43" s="1"/>
  <c r="F165" i="43" s="1"/>
  <c r="T150" i="31"/>
  <c r="Q151" i="31" s="1"/>
  <c r="S151" i="31" s="1"/>
  <c r="BD138" i="26"/>
  <c r="BJ138" i="26"/>
  <c r="BC138" i="26"/>
  <c r="AU138" i="26"/>
  <c r="BG138" i="26"/>
  <c r="BE138" i="26"/>
  <c r="BA138" i="26"/>
  <c r="BB138" i="26"/>
  <c r="BF138" i="26"/>
  <c r="BK138" i="26"/>
  <c r="BL138" i="26"/>
  <c r="AV139" i="26"/>
  <c r="BH138" i="26"/>
  <c r="V5" i="45"/>
  <c r="W5" i="45" s="1"/>
  <c r="AH5" i="45" s="1"/>
  <c r="BF5" i="45" s="1"/>
  <c r="AK5" i="45"/>
  <c r="V31" i="35"/>
  <c r="V32" i="35"/>
  <c r="V25" i="35"/>
  <c r="V23" i="35"/>
  <c r="V21" i="35"/>
  <c r="AB150" i="31" l="1"/>
  <c r="AG150" i="31"/>
  <c r="C165" i="43" s="1"/>
  <c r="Z150" i="31"/>
  <c r="AA150" i="31" s="1"/>
  <c r="AH150" i="31" s="1"/>
  <c r="G165" i="43"/>
  <c r="H165" i="43" s="1"/>
  <c r="I165" i="43" s="1"/>
  <c r="R151" i="31"/>
  <c r="U151" i="31" s="1"/>
  <c r="AW139" i="26"/>
  <c r="AX5" i="45"/>
  <c r="BC5" i="45"/>
  <c r="AL5" i="45"/>
  <c r="BG5" i="45"/>
  <c r="BX5" i="45"/>
  <c r="BS5" i="45"/>
  <c r="Y151" i="31" l="1"/>
  <c r="T151" i="31"/>
  <c r="Q152" i="31" s="1"/>
  <c r="S152" i="31" s="1"/>
  <c r="AG151" i="31"/>
  <c r="C166" i="43" s="1"/>
  <c r="W151" i="31"/>
  <c r="X151" i="31" s="1"/>
  <c r="AI151" i="31" s="1"/>
  <c r="D166" i="43" s="1"/>
  <c r="E166" i="43" s="1"/>
  <c r="AB151" i="31"/>
  <c r="BJ139" i="26"/>
  <c r="AY139" i="26"/>
  <c r="AX139" i="26"/>
  <c r="AZ139" i="26" s="1"/>
  <c r="BE139" i="26" l="1"/>
  <c r="R152" i="31"/>
  <c r="Y152" i="31" s="1"/>
  <c r="G166" i="43"/>
  <c r="H166" i="43" s="1"/>
  <c r="I166" i="43" s="1"/>
  <c r="F166" i="43"/>
  <c r="Z151" i="31"/>
  <c r="AA151" i="31" s="1"/>
  <c r="AH151" i="31" s="1"/>
  <c r="AU139" i="26"/>
  <c r="BD139" i="26"/>
  <c r="BI139" i="26"/>
  <c r="BA139" i="26"/>
  <c r="BB139" i="26"/>
  <c r="BC139" i="26"/>
  <c r="BH139" i="26"/>
  <c r="BK139" i="26"/>
  <c r="BL139" i="26"/>
  <c r="AV140" i="26"/>
  <c r="BG139" i="26"/>
  <c r="BF139" i="26"/>
  <c r="T152" i="31" l="1"/>
  <c r="U152" i="31"/>
  <c r="AG152" i="31" s="1"/>
  <c r="C167" i="43" s="1"/>
  <c r="AW140" i="26"/>
  <c r="Q153" i="31" l="1"/>
  <c r="W152" i="31"/>
  <c r="X152" i="31" s="1"/>
  <c r="AI152" i="31" s="1"/>
  <c r="D167" i="43" s="1"/>
  <c r="E167" i="43" s="1"/>
  <c r="AB152" i="31"/>
  <c r="R153" i="31"/>
  <c r="S153" i="31"/>
  <c r="AY140" i="26"/>
  <c r="AU140" i="26" s="1"/>
  <c r="BJ140" i="26"/>
  <c r="AX140" i="26"/>
  <c r="AZ140" i="26" s="1"/>
  <c r="BE140" i="26" l="1"/>
  <c r="BB140" i="26"/>
  <c r="Z152" i="31"/>
  <c r="AA152" i="31" s="1"/>
  <c r="AH152" i="31" s="1"/>
  <c r="Y153" i="31"/>
  <c r="U153" i="31"/>
  <c r="T153" i="31"/>
  <c r="G167" i="43"/>
  <c r="H167" i="43" s="1"/>
  <c r="I167" i="43" s="1"/>
  <c r="F167" i="43"/>
  <c r="BA140" i="26"/>
  <c r="BD140" i="26"/>
  <c r="BC140" i="26"/>
  <c r="BI140" i="26"/>
  <c r="BF140" i="26"/>
  <c r="BG140" i="26"/>
  <c r="BK140" i="26"/>
  <c r="AV141" i="26"/>
  <c r="BL140" i="26"/>
  <c r="BH140" i="26"/>
  <c r="Q154" i="31" l="1"/>
  <c r="AG153" i="31"/>
  <c r="C168" i="43" s="1"/>
  <c r="W153" i="31"/>
  <c r="AB153" i="31"/>
  <c r="AW141" i="26"/>
  <c r="S154" i="31" l="1"/>
  <c r="R154" i="31"/>
  <c r="X153" i="31"/>
  <c r="AI153" i="31" s="1"/>
  <c r="D168" i="43" s="1"/>
  <c r="E168" i="43" s="1"/>
  <c r="Z153" i="31"/>
  <c r="AA153" i="31" s="1"/>
  <c r="AH153" i="31" s="1"/>
  <c r="AY141" i="26"/>
  <c r="AX141" i="26"/>
  <c r="BG141" i="26" s="1"/>
  <c r="BJ141" i="26"/>
  <c r="BD141" i="26" l="1"/>
  <c r="F168" i="43"/>
  <c r="G168" i="43"/>
  <c r="H168" i="43" s="1"/>
  <c r="I168" i="43" s="1"/>
  <c r="Y154" i="31"/>
  <c r="U154" i="31"/>
  <c r="T154" i="31"/>
  <c r="BI141" i="26"/>
  <c r="AU141" i="26"/>
  <c r="BB141" i="26"/>
  <c r="BA141" i="26"/>
  <c r="BK141" i="26"/>
  <c r="BL141" i="26"/>
  <c r="BE141" i="26"/>
  <c r="AZ141" i="26"/>
  <c r="BC141" i="26"/>
  <c r="BH141" i="26"/>
  <c r="AV142" i="26"/>
  <c r="BF141" i="26"/>
  <c r="Q155" i="31" l="1"/>
  <c r="R155" i="31" s="1"/>
  <c r="W154" i="31"/>
  <c r="X154" i="31" s="1"/>
  <c r="AI154" i="31" s="1"/>
  <c r="D169" i="43" s="1"/>
  <c r="E169" i="43" s="1"/>
  <c r="AB154" i="31"/>
  <c r="AG154" i="31"/>
  <c r="C169" i="43" s="1"/>
  <c r="AW142" i="26"/>
  <c r="S155" i="31" l="1"/>
  <c r="T155" i="31" s="1"/>
  <c r="Z154" i="31"/>
  <c r="AA154" i="31" s="1"/>
  <c r="AH154" i="31" s="1"/>
  <c r="G169" i="43"/>
  <c r="H169" i="43" s="1"/>
  <c r="I169" i="43" s="1"/>
  <c r="F169" i="43"/>
  <c r="BJ142" i="26"/>
  <c r="AY142" i="26"/>
  <c r="AX142" i="26"/>
  <c r="AZ142" i="26" s="1"/>
  <c r="BC142" i="26" l="1"/>
  <c r="Y155" i="31"/>
  <c r="U155" i="31"/>
  <c r="Q156" i="31" s="1"/>
  <c r="BE142" i="26"/>
  <c r="BA142" i="26"/>
  <c r="BB142" i="26"/>
  <c r="BD142" i="26"/>
  <c r="BF142" i="26"/>
  <c r="BK142" i="26"/>
  <c r="BG142" i="26"/>
  <c r="BH142" i="26"/>
  <c r="BL142" i="26"/>
  <c r="BI142" i="26"/>
  <c r="AV143" i="26"/>
  <c r="AU142" i="26"/>
  <c r="X5" i="45"/>
  <c r="Y5" i="45"/>
  <c r="AB155" i="31" l="1"/>
  <c r="W155" i="31"/>
  <c r="Z155" i="31" s="1"/>
  <c r="AA155" i="31" s="1"/>
  <c r="AH155" i="31" s="1"/>
  <c r="AG155" i="31"/>
  <c r="C170" i="43" s="1"/>
  <c r="R156" i="31"/>
  <c r="S156" i="31"/>
  <c r="AW143" i="26"/>
  <c r="BJ5" i="45"/>
  <c r="Z5" i="45"/>
  <c r="AI5" i="45"/>
  <c r="AA5" i="45"/>
  <c r="Y156" i="31" l="1"/>
  <c r="X155" i="31"/>
  <c r="AI155" i="31" s="1"/>
  <c r="D170" i="43" s="1"/>
  <c r="E170" i="43" s="1"/>
  <c r="G170" i="43" s="1"/>
  <c r="H170" i="43" s="1"/>
  <c r="I170" i="43" s="1"/>
  <c r="U156" i="31"/>
  <c r="AG156" i="31" s="1"/>
  <c r="C171" i="43" s="1"/>
  <c r="T156" i="31"/>
  <c r="Q157" i="31" s="1"/>
  <c r="S157" i="31" s="1"/>
  <c r="AX143" i="26"/>
  <c r="AZ143" i="26" s="1"/>
  <c r="AY143" i="26"/>
  <c r="BJ143" i="26"/>
  <c r="AO5" i="45"/>
  <c r="AZ5" i="45" s="1"/>
  <c r="F170" i="43" l="1"/>
  <c r="AB156" i="31"/>
  <c r="W156" i="31"/>
  <c r="X156" i="31" s="1"/>
  <c r="AI156" i="31" s="1"/>
  <c r="D171" i="43" s="1"/>
  <c r="E171" i="43" s="1"/>
  <c r="G171" i="43" s="1"/>
  <c r="H171" i="43" s="1"/>
  <c r="I171" i="43" s="1"/>
  <c r="R157" i="31"/>
  <c r="U157" i="31" s="1"/>
  <c r="AG157" i="31" s="1"/>
  <c r="C172" i="43" s="1"/>
  <c r="BE143" i="26"/>
  <c r="BI143" i="26"/>
  <c r="BH143" i="26"/>
  <c r="BL143" i="26"/>
  <c r="BK143" i="26"/>
  <c r="BC143" i="26"/>
  <c r="BA143" i="26"/>
  <c r="BF143" i="26"/>
  <c r="AU143" i="26"/>
  <c r="BD143" i="26"/>
  <c r="BG143" i="26"/>
  <c r="BB143" i="26"/>
  <c r="AV144" i="26"/>
  <c r="BA5" i="45"/>
  <c r="AS5" i="45"/>
  <c r="AR5" i="45"/>
  <c r="AY5" i="45"/>
  <c r="F171" i="43" l="1"/>
  <c r="Z156" i="31"/>
  <c r="AA156" i="31" s="1"/>
  <c r="AH156" i="31" s="1"/>
  <c r="T157" i="31"/>
  <c r="Q158" i="31" s="1"/>
  <c r="R158" i="31" s="1"/>
  <c r="Y157" i="31"/>
  <c r="AB157" i="31"/>
  <c r="W157" i="31"/>
  <c r="X157" i="31" s="1"/>
  <c r="AI157" i="31" s="1"/>
  <c r="D172" i="43" s="1"/>
  <c r="E172" i="43" s="1"/>
  <c r="AW144" i="26"/>
  <c r="BB5" i="45"/>
  <c r="S158" i="31" l="1"/>
  <c r="Y158" i="31" s="1"/>
  <c r="G172" i="43"/>
  <c r="H172" i="43" s="1"/>
  <c r="I172" i="43" s="1"/>
  <c r="F172" i="43"/>
  <c r="Z157" i="31"/>
  <c r="AA157" i="31" s="1"/>
  <c r="AH157" i="31" s="1"/>
  <c r="AY144" i="26"/>
  <c r="AU144" i="26" s="1"/>
  <c r="BJ144" i="26"/>
  <c r="AX144" i="26"/>
  <c r="AZ144" i="26" s="1"/>
  <c r="AG5" i="45"/>
  <c r="U6" i="45" s="1"/>
  <c r="BI144" i="26" l="1"/>
  <c r="U158" i="31"/>
  <c r="W158" i="31" s="1"/>
  <c r="T158" i="31"/>
  <c r="BD144" i="26"/>
  <c r="BC144" i="26"/>
  <c r="BE144" i="26"/>
  <c r="BA144" i="26"/>
  <c r="BG144" i="26"/>
  <c r="BF144" i="26"/>
  <c r="BB144" i="26"/>
  <c r="BL144" i="26"/>
  <c r="AV145" i="26"/>
  <c r="BH144" i="26"/>
  <c r="BK144" i="26"/>
  <c r="V6" i="45"/>
  <c r="AK6" i="45"/>
  <c r="AA6" i="45"/>
  <c r="AG158" i="31" l="1"/>
  <c r="C173" i="43" s="1"/>
  <c r="AB158" i="31"/>
  <c r="Q159" i="31"/>
  <c r="S159" i="31" s="1"/>
  <c r="X158" i="31"/>
  <c r="AI158" i="31" s="1"/>
  <c r="D173" i="43" s="1"/>
  <c r="E173" i="43" s="1"/>
  <c r="Z158" i="31"/>
  <c r="AA158" i="31" s="1"/>
  <c r="AH158" i="31" s="1"/>
  <c r="AW145" i="26"/>
  <c r="AO6" i="45"/>
  <c r="AY6" i="45" s="1"/>
  <c r="AL6" i="45"/>
  <c r="BB6" i="45" s="1"/>
  <c r="BC6" i="45"/>
  <c r="AX6" i="45"/>
  <c r="Z6" i="45"/>
  <c r="W6" i="45"/>
  <c r="R159" i="31" l="1"/>
  <c r="U159" i="31" s="1"/>
  <c r="W159" i="31" s="1"/>
  <c r="X159" i="31" s="1"/>
  <c r="AI159" i="31" s="1"/>
  <c r="D174" i="43" s="1"/>
  <c r="E174" i="43" s="1"/>
  <c r="F173" i="43"/>
  <c r="G173" i="43"/>
  <c r="H173" i="43" s="1"/>
  <c r="I173" i="43" s="1"/>
  <c r="AX145" i="26"/>
  <c r="AZ145" i="26" s="1"/>
  <c r="AY145" i="26"/>
  <c r="BJ145" i="26"/>
  <c r="AZ6" i="45"/>
  <c r="AS6" i="45"/>
  <c r="AR6" i="45"/>
  <c r="BA6" i="45"/>
  <c r="AH6" i="45"/>
  <c r="BF6" i="45" s="1"/>
  <c r="BC145" i="26" l="1"/>
  <c r="BD145" i="26"/>
  <c r="T159" i="31"/>
  <c r="Q160" i="31" s="1"/>
  <c r="R160" i="31" s="1"/>
  <c r="AG159" i="31"/>
  <c r="C174" i="43" s="1"/>
  <c r="AB159" i="31"/>
  <c r="Y159" i="31"/>
  <c r="Z159" i="31" s="1"/>
  <c r="AA159" i="31" s="1"/>
  <c r="AH159" i="31" s="1"/>
  <c r="G174" i="43"/>
  <c r="H174" i="43" s="1"/>
  <c r="I174" i="43" s="1"/>
  <c r="F174" i="43"/>
  <c r="BG145" i="26"/>
  <c r="BE145" i="26"/>
  <c r="BB145" i="26"/>
  <c r="BA145" i="26"/>
  <c r="AU145" i="26"/>
  <c r="BK145" i="26"/>
  <c r="BL145" i="26"/>
  <c r="AV146" i="26"/>
  <c r="BI145" i="26"/>
  <c r="BH145" i="26"/>
  <c r="BF145" i="26"/>
  <c r="BS6" i="45"/>
  <c r="BG6" i="45"/>
  <c r="BX6" i="45"/>
  <c r="AG7" i="45"/>
  <c r="S160" i="31" l="1"/>
  <c r="U160" i="31" s="1"/>
  <c r="AG160" i="31" s="1"/>
  <c r="C175" i="43" s="1"/>
  <c r="AW146" i="26"/>
  <c r="W160" i="31" l="1"/>
  <c r="X160" i="31" s="1"/>
  <c r="AI160" i="31" s="1"/>
  <c r="D175" i="43" s="1"/>
  <c r="E175" i="43" s="1"/>
  <c r="F175" i="43" s="1"/>
  <c r="AB160" i="31"/>
  <c r="Y160" i="31"/>
  <c r="T160" i="31"/>
  <c r="Q161" i="31" s="1"/>
  <c r="R161" i="31" s="1"/>
  <c r="BJ146" i="26"/>
  <c r="AY146" i="26"/>
  <c r="AU146" i="26" s="1"/>
  <c r="AX146" i="26"/>
  <c r="BK146" i="26" s="1"/>
  <c r="Z160" i="31" l="1"/>
  <c r="AA160" i="31" s="1"/>
  <c r="AH160" i="31" s="1"/>
  <c r="G175" i="43"/>
  <c r="H175" i="43" s="1"/>
  <c r="I175" i="43" s="1"/>
  <c r="S161" i="31"/>
  <c r="Y161" i="31" s="1"/>
  <c r="BE146" i="26"/>
  <c r="BD146" i="26"/>
  <c r="BC146" i="26"/>
  <c r="BB146" i="26"/>
  <c r="AZ146" i="26"/>
  <c r="BA146" i="26"/>
  <c r="BI146" i="26"/>
  <c r="BH146" i="26"/>
  <c r="AV147" i="26"/>
  <c r="BG146" i="26"/>
  <c r="BF146" i="26"/>
  <c r="BL146" i="26"/>
  <c r="T161" i="31" l="1"/>
  <c r="U161" i="31"/>
  <c r="AB161" i="31" s="1"/>
  <c r="AW147" i="26"/>
  <c r="Q162" i="31" l="1"/>
  <c r="R162" i="31" s="1"/>
  <c r="AG161" i="31"/>
  <c r="C176" i="43" s="1"/>
  <c r="W161" i="31"/>
  <c r="X161" i="31" s="1"/>
  <c r="AI161" i="31" s="1"/>
  <c r="D176" i="43" s="1"/>
  <c r="E176" i="43" s="1"/>
  <c r="AX147" i="26"/>
  <c r="BC147" i="26" s="1"/>
  <c r="AY147" i="26"/>
  <c r="BJ147" i="26"/>
  <c r="AG9" i="45"/>
  <c r="BE147" i="26" l="1"/>
  <c r="S162" i="31"/>
  <c r="T162" i="31" s="1"/>
  <c r="Z161" i="31"/>
  <c r="AA161" i="31" s="1"/>
  <c r="AH161" i="31" s="1"/>
  <c r="G176" i="43"/>
  <c r="H176" i="43" s="1"/>
  <c r="I176" i="43" s="1"/>
  <c r="F176" i="43"/>
  <c r="BI147" i="26"/>
  <c r="AZ147" i="26"/>
  <c r="BF147" i="26"/>
  <c r="BA147" i="26"/>
  <c r="AU147" i="26"/>
  <c r="BD147" i="26"/>
  <c r="BG147" i="26"/>
  <c r="BB147" i="26"/>
  <c r="AV148" i="26"/>
  <c r="BH147" i="26"/>
  <c r="BK147" i="26"/>
  <c r="BL147" i="26"/>
  <c r="Y162" i="31" l="1"/>
  <c r="U162" i="31"/>
  <c r="W162" i="31" s="1"/>
  <c r="AW148" i="26"/>
  <c r="AG162" i="31" l="1"/>
  <c r="C177" i="43" s="1"/>
  <c r="Q163" i="31"/>
  <c r="S163" i="31" s="1"/>
  <c r="AB162" i="31"/>
  <c r="Z162" i="31"/>
  <c r="AA162" i="31" s="1"/>
  <c r="AH162" i="31" s="1"/>
  <c r="X162" i="31"/>
  <c r="AI162" i="31" s="1"/>
  <c r="D177" i="43" s="1"/>
  <c r="E177" i="43" s="1"/>
  <c r="BJ148" i="26"/>
  <c r="AX148" i="26"/>
  <c r="AZ148" i="26" s="1"/>
  <c r="AY148" i="26"/>
  <c r="R163" i="31" l="1"/>
  <c r="Y163" i="31" s="1"/>
  <c r="G177" i="43"/>
  <c r="H177" i="43" s="1"/>
  <c r="I177" i="43" s="1"/>
  <c r="F177" i="43"/>
  <c r="BI148" i="26"/>
  <c r="BC148" i="26"/>
  <c r="BG148" i="26"/>
  <c r="BD148" i="26"/>
  <c r="BA148" i="26"/>
  <c r="BE148" i="26"/>
  <c r="BB148" i="26"/>
  <c r="AV149" i="26"/>
  <c r="BK148" i="26"/>
  <c r="BL148" i="26"/>
  <c r="AU148" i="26"/>
  <c r="BF148" i="26"/>
  <c r="BH148" i="26"/>
  <c r="U163" i="31" l="1"/>
  <c r="AG163" i="31" s="1"/>
  <c r="C178" i="43" s="1"/>
  <c r="T163" i="31"/>
  <c r="AW149" i="26"/>
  <c r="Q164" i="31" l="1"/>
  <c r="S164" i="31" s="1"/>
  <c r="W163" i="31"/>
  <c r="X163" i="31" s="1"/>
  <c r="AI163" i="31" s="1"/>
  <c r="D178" i="43" s="1"/>
  <c r="E178" i="43" s="1"/>
  <c r="F178" i="43" s="1"/>
  <c r="AB163" i="31"/>
  <c r="AY149" i="26"/>
  <c r="AX149" i="26"/>
  <c r="BD149" i="26" s="1"/>
  <c r="BJ149" i="26"/>
  <c r="R164" i="31" l="1"/>
  <c r="T164" i="31" s="1"/>
  <c r="G178" i="43"/>
  <c r="H178" i="43" s="1"/>
  <c r="I178" i="43" s="1"/>
  <c r="Z163" i="31"/>
  <c r="AA163" i="31" s="1"/>
  <c r="AH163" i="31" s="1"/>
  <c r="BA149" i="26"/>
  <c r="BB149" i="26"/>
  <c r="AZ149" i="26"/>
  <c r="BE149" i="26"/>
  <c r="BI149" i="26"/>
  <c r="BC149" i="26"/>
  <c r="BK149" i="26"/>
  <c r="BF149" i="26"/>
  <c r="BL149" i="26"/>
  <c r="BH149" i="26"/>
  <c r="AV150" i="26"/>
  <c r="BG149" i="26"/>
  <c r="AU149" i="26"/>
  <c r="U164" i="31" l="1"/>
  <c r="W164" i="31" s="1"/>
  <c r="X164" i="31" s="1"/>
  <c r="AI164" i="31" s="1"/>
  <c r="D179" i="43" s="1"/>
  <c r="E179" i="43" s="1"/>
  <c r="F179" i="43" s="1"/>
  <c r="Y164" i="31"/>
  <c r="AW150" i="26"/>
  <c r="AG10" i="45"/>
  <c r="Z164" i="31" l="1"/>
  <c r="AA164" i="31" s="1"/>
  <c r="AH164" i="31" s="1"/>
  <c r="G179" i="43"/>
  <c r="H179" i="43" s="1"/>
  <c r="I179" i="43" s="1"/>
  <c r="AB164" i="31"/>
  <c r="AG164" i="31"/>
  <c r="C179" i="43" s="1"/>
  <c r="Q165" i="31"/>
  <c r="S165" i="31" s="1"/>
  <c r="AY150" i="26"/>
  <c r="AX150" i="26"/>
  <c r="AZ150" i="26" s="1"/>
  <c r="BJ150" i="26"/>
  <c r="BB150" i="26" l="1"/>
  <c r="R165" i="31"/>
  <c r="U165" i="31" s="1"/>
  <c r="W165" i="31" s="1"/>
  <c r="X165" i="31" s="1"/>
  <c r="AI165" i="31" s="1"/>
  <c r="D180" i="43" s="1"/>
  <c r="E180" i="43" s="1"/>
  <c r="BD150" i="26"/>
  <c r="BC150" i="26"/>
  <c r="BA150" i="26"/>
  <c r="BE150" i="26"/>
  <c r="BI150" i="26"/>
  <c r="BK150" i="26"/>
  <c r="BL150" i="26"/>
  <c r="BH150" i="26"/>
  <c r="BG150" i="26"/>
  <c r="AU150" i="26"/>
  <c r="AV151" i="26"/>
  <c r="BF150" i="26"/>
  <c r="Y165" i="31" l="1"/>
  <c r="Z165" i="31" s="1"/>
  <c r="AA165" i="31" s="1"/>
  <c r="AH165" i="31" s="1"/>
  <c r="T165" i="31"/>
  <c r="Q166" i="31" s="1"/>
  <c r="S166" i="31" s="1"/>
  <c r="AG165" i="31"/>
  <c r="C180" i="43" s="1"/>
  <c r="AB165" i="31"/>
  <c r="G180" i="43"/>
  <c r="H180" i="43" s="1"/>
  <c r="I180" i="43" s="1"/>
  <c r="F180" i="43"/>
  <c r="AW151" i="26"/>
  <c r="R166" i="31" l="1"/>
  <c r="Y166" i="31" s="1"/>
  <c r="I30" i="31"/>
  <c r="I31" i="31"/>
  <c r="AX151" i="26"/>
  <c r="AZ151" i="26" s="1"/>
  <c r="BI151" i="26"/>
  <c r="AY151" i="26"/>
  <c r="U166" i="31" l="1"/>
  <c r="AG166" i="31" s="1"/>
  <c r="C181" i="43" s="1"/>
  <c r="T166" i="31"/>
  <c r="F45" i="31"/>
  <c r="F46" i="31"/>
  <c r="J31" i="31"/>
  <c r="L31" i="31"/>
  <c r="E64" i="29" s="1"/>
  <c r="J30" i="31"/>
  <c r="L30" i="31"/>
  <c r="E63" i="29" s="1"/>
  <c r="BC151" i="26"/>
  <c r="BK151" i="26"/>
  <c r="BA151" i="26"/>
  <c r="BE151" i="26"/>
  <c r="BD151" i="26"/>
  <c r="BB151" i="26"/>
  <c r="BJ151" i="26"/>
  <c r="BH151" i="26"/>
  <c r="BL151" i="26"/>
  <c r="AV152" i="26"/>
  <c r="AU151" i="26"/>
  <c r="BG151" i="26"/>
  <c r="BF151" i="26"/>
  <c r="Q167" i="31" l="1"/>
  <c r="S167" i="31" s="1"/>
  <c r="W166" i="31"/>
  <c r="X166" i="31" s="1"/>
  <c r="AI166" i="31" s="1"/>
  <c r="D181" i="43" s="1"/>
  <c r="E181" i="43" s="1"/>
  <c r="G181" i="43" s="1"/>
  <c r="H181" i="43" s="1"/>
  <c r="I181" i="43" s="1"/>
  <c r="AB166" i="31"/>
  <c r="D76" i="27"/>
  <c r="D13" i="43"/>
  <c r="E13" i="43" s="1"/>
  <c r="K64" i="29"/>
  <c r="J64" i="29"/>
  <c r="D77" i="27"/>
  <c r="D14" i="43"/>
  <c r="J63" i="29"/>
  <c r="K63" i="29"/>
  <c r="AW152" i="26"/>
  <c r="R167" i="31" l="1"/>
  <c r="Y167" i="31" s="1"/>
  <c r="F181" i="43"/>
  <c r="Z166" i="31"/>
  <c r="AA166" i="31" s="1"/>
  <c r="AH166" i="31" s="1"/>
  <c r="AD120" i="31"/>
  <c r="AE120" i="31" s="1"/>
  <c r="AD121" i="31"/>
  <c r="AE121" i="31" s="1"/>
  <c r="AD114" i="31"/>
  <c r="AE114" i="31" s="1"/>
  <c r="AD122" i="31"/>
  <c r="AE122" i="31" s="1"/>
  <c r="AD115" i="31"/>
  <c r="AE115" i="31" s="1"/>
  <c r="AD123" i="31"/>
  <c r="AE123" i="31" s="1"/>
  <c r="AD116" i="31"/>
  <c r="AE116" i="31" s="1"/>
  <c r="AD124" i="31"/>
  <c r="AE124" i="31" s="1"/>
  <c r="AD117" i="31"/>
  <c r="AE117" i="31" s="1"/>
  <c r="AD125" i="31"/>
  <c r="AE125" i="31" s="1"/>
  <c r="AD118" i="31"/>
  <c r="AE118" i="31" s="1"/>
  <c r="AD119" i="31"/>
  <c r="AE119" i="31" s="1"/>
  <c r="AD126" i="31"/>
  <c r="AE126" i="31" s="1"/>
  <c r="AD131" i="31"/>
  <c r="AE131" i="31" s="1"/>
  <c r="AD132" i="31"/>
  <c r="AE132" i="31" s="1"/>
  <c r="AD128" i="31"/>
  <c r="AE128" i="31" s="1"/>
  <c r="AD134" i="31"/>
  <c r="AE134" i="31" s="1"/>
  <c r="AD127" i="31"/>
  <c r="AE127" i="31" s="1"/>
  <c r="AD135" i="31"/>
  <c r="AE135" i="31" s="1"/>
  <c r="AD137" i="31"/>
  <c r="AE137" i="31" s="1"/>
  <c r="AD138" i="31"/>
  <c r="AE138" i="31" s="1"/>
  <c r="AD130" i="31"/>
  <c r="AE130" i="31" s="1"/>
  <c r="AD136" i="31"/>
  <c r="AE136" i="31" s="1"/>
  <c r="AD133" i="31"/>
  <c r="AE133" i="31" s="1"/>
  <c r="AD129" i="31"/>
  <c r="AE129" i="31" s="1"/>
  <c r="AD139" i="31"/>
  <c r="AE139" i="31" s="1"/>
  <c r="H44" i="46"/>
  <c r="C19" i="37"/>
  <c r="E14" i="43"/>
  <c r="H43" i="46"/>
  <c r="C18" i="37"/>
  <c r="BI152" i="26"/>
  <c r="AY152" i="26"/>
  <c r="AX152" i="26"/>
  <c r="AZ152" i="26" s="1"/>
  <c r="U167" i="31" l="1"/>
  <c r="AG167" i="31" s="1"/>
  <c r="C182" i="43" s="1"/>
  <c r="T167" i="31"/>
  <c r="Q168" i="31" s="1"/>
  <c r="BC152" i="26"/>
  <c r="F19" i="37"/>
  <c r="E19" i="37"/>
  <c r="G19" i="37"/>
  <c r="F18" i="37"/>
  <c r="E18" i="37"/>
  <c r="G18" i="37"/>
  <c r="BB152" i="26"/>
  <c r="BE152" i="26"/>
  <c r="BD152" i="26"/>
  <c r="BK152" i="26"/>
  <c r="BA152" i="26"/>
  <c r="BF152" i="26"/>
  <c r="BG152" i="26"/>
  <c r="BH152" i="26"/>
  <c r="AV153" i="26"/>
  <c r="AU152" i="26"/>
  <c r="BJ152" i="26"/>
  <c r="BL152" i="26"/>
  <c r="AB167" i="31" l="1"/>
  <c r="W167" i="31"/>
  <c r="X167" i="31" s="1"/>
  <c r="AI167" i="31" s="1"/>
  <c r="D182" i="43" s="1"/>
  <c r="E182" i="43" s="1"/>
  <c r="G182" i="43" s="1"/>
  <c r="H182" i="43" s="1"/>
  <c r="I182" i="43" s="1"/>
  <c r="R168" i="31"/>
  <c r="S168" i="31"/>
  <c r="AD140" i="31"/>
  <c r="AE140" i="31" s="1"/>
  <c r="AD145" i="31"/>
  <c r="AE145" i="31" s="1"/>
  <c r="AD147" i="31"/>
  <c r="AE147" i="31" s="1"/>
  <c r="AD141" i="31"/>
  <c r="AE141" i="31" s="1"/>
  <c r="AD146" i="31"/>
  <c r="AE146" i="31" s="1"/>
  <c r="AD143" i="31"/>
  <c r="AE143" i="31" s="1"/>
  <c r="AD142" i="31"/>
  <c r="AE142" i="31" s="1"/>
  <c r="AD144" i="31"/>
  <c r="AE144" i="31" s="1"/>
  <c r="G85" i="37"/>
  <c r="G87" i="37"/>
  <c r="G86" i="37"/>
  <c r="G81" i="37"/>
  <c r="G79" i="37"/>
  <c r="G80" i="37"/>
  <c r="G73" i="37"/>
  <c r="G74" i="37"/>
  <c r="G75" i="37"/>
  <c r="G77" i="37"/>
  <c r="G76" i="37"/>
  <c r="G78" i="37"/>
  <c r="G89" i="37"/>
  <c r="G88" i="37"/>
  <c r="G90" i="37"/>
  <c r="G83" i="37"/>
  <c r="G84" i="37"/>
  <c r="G82" i="37"/>
  <c r="AW153" i="26"/>
  <c r="Z169" i="37" l="1"/>
  <c r="Z170" i="37"/>
  <c r="Z171" i="37"/>
  <c r="Z163" i="37"/>
  <c r="Z164" i="37"/>
  <c r="Z165" i="37"/>
  <c r="Z166" i="37"/>
  <c r="Z167" i="37"/>
  <c r="Z168" i="37"/>
  <c r="Z160" i="37"/>
  <c r="Z161" i="37"/>
  <c r="Z162" i="37"/>
  <c r="Z157" i="37"/>
  <c r="Z158" i="37"/>
  <c r="Z159" i="37"/>
  <c r="Z181" i="37"/>
  <c r="Z182" i="37"/>
  <c r="Z183" i="37"/>
  <c r="Z154" i="37"/>
  <c r="Z155" i="37"/>
  <c r="Z156" i="37"/>
  <c r="Z175" i="37"/>
  <c r="Z176" i="37"/>
  <c r="Z177" i="37"/>
  <c r="Z187" i="37"/>
  <c r="Z188" i="37"/>
  <c r="Z189" i="37"/>
  <c r="Z172" i="37"/>
  <c r="Z173" i="37"/>
  <c r="Z174" i="37"/>
  <c r="Z184" i="37"/>
  <c r="Z185" i="37"/>
  <c r="Z186" i="37"/>
  <c r="Z178" i="37"/>
  <c r="Z179" i="37"/>
  <c r="Z180" i="37"/>
  <c r="Z205" i="37"/>
  <c r="Z206" i="37"/>
  <c r="Z207" i="37"/>
  <c r="Z193" i="37"/>
  <c r="Z194" i="37"/>
  <c r="Z195" i="37"/>
  <c r="Z199" i="37"/>
  <c r="Z200" i="37"/>
  <c r="Z201" i="37"/>
  <c r="Z196" i="37"/>
  <c r="Z197" i="37"/>
  <c r="Z198" i="37"/>
  <c r="Z202" i="37"/>
  <c r="Z203" i="37"/>
  <c r="Z204" i="37"/>
  <c r="Z190" i="37"/>
  <c r="Z191" i="37"/>
  <c r="Z192" i="37"/>
  <c r="Z167" i="31"/>
  <c r="AA167" i="31" s="1"/>
  <c r="AH167" i="31" s="1"/>
  <c r="F182" i="43"/>
  <c r="Y168" i="31"/>
  <c r="U168" i="31"/>
  <c r="T168" i="31"/>
  <c r="J73" i="37"/>
  <c r="K73" i="37" s="1"/>
  <c r="I73" i="37"/>
  <c r="L73" i="37"/>
  <c r="M73" i="37" s="1"/>
  <c r="J90" i="37"/>
  <c r="K90" i="37" s="1"/>
  <c r="I90" i="37"/>
  <c r="L90" i="37"/>
  <c r="M90" i="37" s="1"/>
  <c r="L88" i="37"/>
  <c r="M88" i="37" s="1"/>
  <c r="J88" i="37"/>
  <c r="K88" i="37" s="1"/>
  <c r="I88" i="37"/>
  <c r="J80" i="37"/>
  <c r="K80" i="37" s="1"/>
  <c r="I80" i="37"/>
  <c r="L80" i="37"/>
  <c r="M80" i="37" s="1"/>
  <c r="I74" i="37"/>
  <c r="J74" i="37"/>
  <c r="K74" i="37" s="1"/>
  <c r="L74" i="37"/>
  <c r="M74" i="37" s="1"/>
  <c r="J89" i="37"/>
  <c r="K89" i="37" s="1"/>
  <c r="L89" i="37"/>
  <c r="M89" i="37" s="1"/>
  <c r="I89" i="37"/>
  <c r="L79" i="37"/>
  <c r="M79" i="37" s="1"/>
  <c r="J79" i="37"/>
  <c r="K79" i="37" s="1"/>
  <c r="I79" i="37"/>
  <c r="L81" i="37"/>
  <c r="M81" i="37" s="1"/>
  <c r="I81" i="37"/>
  <c r="J81" i="37"/>
  <c r="K81" i="37" s="1"/>
  <c r="L83" i="37"/>
  <c r="M83" i="37" s="1"/>
  <c r="J83" i="37"/>
  <c r="K83" i="37" s="1"/>
  <c r="I83" i="37"/>
  <c r="I76" i="37"/>
  <c r="J76" i="37"/>
  <c r="K76" i="37" s="1"/>
  <c r="L76" i="37"/>
  <c r="M76" i="37" s="1"/>
  <c r="L86" i="37"/>
  <c r="M86" i="37" s="1"/>
  <c r="I86" i="37"/>
  <c r="J86" i="37"/>
  <c r="K86" i="37" s="1"/>
  <c r="J78" i="37"/>
  <c r="K78" i="37" s="1"/>
  <c r="I78" i="37"/>
  <c r="L78" i="37"/>
  <c r="M78" i="37" s="1"/>
  <c r="I82" i="37"/>
  <c r="J82" i="37"/>
  <c r="K82" i="37" s="1"/>
  <c r="L82" i="37"/>
  <c r="M82" i="37" s="1"/>
  <c r="I77" i="37"/>
  <c r="J77" i="37"/>
  <c r="K77" i="37" s="1"/>
  <c r="L77" i="37"/>
  <c r="M77" i="37" s="1"/>
  <c r="L87" i="37"/>
  <c r="M87" i="37" s="1"/>
  <c r="J87" i="37"/>
  <c r="K87" i="37" s="1"/>
  <c r="I87" i="37"/>
  <c r="L84" i="37"/>
  <c r="M84" i="37" s="1"/>
  <c r="I84" i="37"/>
  <c r="J84" i="37"/>
  <c r="K84" i="37" s="1"/>
  <c r="J75" i="37"/>
  <c r="K75" i="37" s="1"/>
  <c r="I75" i="37"/>
  <c r="L75" i="37"/>
  <c r="M75" i="37" s="1"/>
  <c r="L85" i="37"/>
  <c r="M85" i="37" s="1"/>
  <c r="J85" i="37"/>
  <c r="K85" i="37" s="1"/>
  <c r="I85" i="37"/>
  <c r="AY153" i="26"/>
  <c r="AX153" i="26"/>
  <c r="AZ153" i="26" s="1"/>
  <c r="BI153" i="26"/>
  <c r="AG11" i="45"/>
  <c r="AG168" i="31" l="1"/>
  <c r="W168" i="31"/>
  <c r="X168" i="31" s="1"/>
  <c r="AI168" i="31" s="1"/>
  <c r="D183" i="43" s="1"/>
  <c r="E183" i="43" s="1"/>
  <c r="AB168" i="31"/>
  <c r="BB153" i="26"/>
  <c r="AU153" i="26"/>
  <c r="BL153" i="26"/>
  <c r="BD153" i="26"/>
  <c r="BF153" i="26"/>
  <c r="BH153" i="26"/>
  <c r="BG153" i="26"/>
  <c r="BE153" i="26"/>
  <c r="BC153" i="26"/>
  <c r="BK153" i="26"/>
  <c r="BA153" i="26"/>
  <c r="BJ153" i="26"/>
  <c r="AV154" i="26"/>
  <c r="Z168" i="31" l="1"/>
  <c r="AA168" i="31" s="1"/>
  <c r="AH168" i="31" s="1"/>
  <c r="F47" i="31" s="1"/>
  <c r="G183" i="43"/>
  <c r="H183" i="43" s="1"/>
  <c r="I183" i="43" s="1"/>
  <c r="N13" i="43" s="1"/>
  <c r="F183" i="43"/>
  <c r="C183" i="43"/>
  <c r="I32" i="31"/>
  <c r="AW154" i="26"/>
  <c r="J32" i="31" l="1"/>
  <c r="L32" i="31"/>
  <c r="E65" i="29" s="1"/>
  <c r="AY154" i="26"/>
  <c r="AX154" i="26"/>
  <c r="BD154" i="26" s="1"/>
  <c r="BI154" i="26"/>
  <c r="BE154" i="26" l="1"/>
  <c r="K65" i="29"/>
  <c r="J65" i="29"/>
  <c r="D15" i="43"/>
  <c r="E15" i="43" s="1"/>
  <c r="D78" i="27"/>
  <c r="BA154" i="26"/>
  <c r="BJ154" i="26"/>
  <c r="AU154" i="26"/>
  <c r="AZ154" i="26"/>
  <c r="BH154" i="26"/>
  <c r="BL154" i="26"/>
  <c r="BC154" i="26"/>
  <c r="BB154" i="26"/>
  <c r="BF154" i="26"/>
  <c r="BK154" i="26"/>
  <c r="BG154" i="26"/>
  <c r="AV155" i="26"/>
  <c r="AD157" i="31" l="1"/>
  <c r="AE157" i="31" s="1"/>
  <c r="AD151" i="31"/>
  <c r="AE151" i="31" s="1"/>
  <c r="AD153" i="31"/>
  <c r="AE153" i="31" s="1"/>
  <c r="AD148" i="31"/>
  <c r="AE148" i="31" s="1"/>
  <c r="AD158" i="31"/>
  <c r="AE158" i="31" s="1"/>
  <c r="AD168" i="31"/>
  <c r="AE168" i="31" s="1"/>
  <c r="AD154" i="31"/>
  <c r="AE154" i="31" s="1"/>
  <c r="AD167" i="31"/>
  <c r="AE167" i="31" s="1"/>
  <c r="AD164" i="31"/>
  <c r="AE164" i="31" s="1"/>
  <c r="AD161" i="31"/>
  <c r="AE161" i="31" s="1"/>
  <c r="AD163" i="31"/>
  <c r="AE163" i="31" s="1"/>
  <c r="AD152" i="31"/>
  <c r="AE152" i="31" s="1"/>
  <c r="AD160" i="31"/>
  <c r="AE160" i="31" s="1"/>
  <c r="H45" i="46"/>
  <c r="C20" i="37"/>
  <c r="AD159" i="31"/>
  <c r="AE159" i="31" s="1"/>
  <c r="AD155" i="31"/>
  <c r="AE155" i="31" s="1"/>
  <c r="AD149" i="31"/>
  <c r="AE149" i="31" s="1"/>
  <c r="AD162" i="31"/>
  <c r="AE162" i="31" s="1"/>
  <c r="AD150" i="31"/>
  <c r="AE150" i="31" s="1"/>
  <c r="AD165" i="31"/>
  <c r="AE165" i="31" s="1"/>
  <c r="AD156" i="31"/>
  <c r="AE156" i="31" s="1"/>
  <c r="AD166" i="31"/>
  <c r="AE166" i="31" s="1"/>
  <c r="AW155" i="26"/>
  <c r="E20" i="37" l="1"/>
  <c r="G20" i="37"/>
  <c r="F20" i="37"/>
  <c r="BI155" i="26"/>
  <c r="AX155" i="26"/>
  <c r="AZ155" i="26" s="1"/>
  <c r="AY155" i="26"/>
  <c r="AG12" i="45"/>
  <c r="BA155" i="26" l="1"/>
  <c r="G95" i="37"/>
  <c r="G94" i="37"/>
  <c r="G96" i="37"/>
  <c r="G97" i="37"/>
  <c r="G98" i="37"/>
  <c r="G99" i="37"/>
  <c r="G91" i="37"/>
  <c r="G93" i="37"/>
  <c r="G92" i="37"/>
  <c r="BE155" i="26"/>
  <c r="BD155" i="26"/>
  <c r="BL155" i="26"/>
  <c r="BB155" i="26"/>
  <c r="BC155" i="26"/>
  <c r="BJ155" i="26"/>
  <c r="BF155" i="26"/>
  <c r="AV156" i="26"/>
  <c r="BK155" i="26"/>
  <c r="BH155" i="26"/>
  <c r="BG155" i="26"/>
  <c r="AU155" i="26"/>
  <c r="Z211" i="37" l="1"/>
  <c r="Z212" i="37"/>
  <c r="Z213" i="37"/>
  <c r="Z214" i="37"/>
  <c r="Z215" i="37"/>
  <c r="Z216" i="37"/>
  <c r="Z208" i="37"/>
  <c r="Z209" i="37"/>
  <c r="Z210" i="37"/>
  <c r="Z232" i="37"/>
  <c r="Z233" i="37"/>
  <c r="Z234" i="37"/>
  <c r="Z229" i="37"/>
  <c r="Z230" i="37"/>
  <c r="Z231" i="37"/>
  <c r="Z226" i="37"/>
  <c r="Z227" i="37"/>
  <c r="Z228" i="37"/>
  <c r="Z223" i="37"/>
  <c r="Z224" i="37"/>
  <c r="Z225" i="37"/>
  <c r="Z217" i="37"/>
  <c r="Z218" i="37"/>
  <c r="Z219" i="37"/>
  <c r="Z220" i="37"/>
  <c r="Z221" i="37"/>
  <c r="Z222" i="37"/>
  <c r="J93" i="37"/>
  <c r="K93" i="37" s="1"/>
  <c r="I93" i="37"/>
  <c r="L93" i="37"/>
  <c r="M93" i="37" s="1"/>
  <c r="L91" i="37"/>
  <c r="M91" i="37" s="1"/>
  <c r="I91" i="37"/>
  <c r="J91" i="37"/>
  <c r="K91" i="37" s="1"/>
  <c r="I99" i="37"/>
  <c r="J99" i="37"/>
  <c r="K99" i="37" s="1"/>
  <c r="L99" i="37"/>
  <c r="M99" i="37" s="1"/>
  <c r="I98" i="37"/>
  <c r="J98" i="37"/>
  <c r="K98" i="37" s="1"/>
  <c r="L98" i="37"/>
  <c r="M98" i="37" s="1"/>
  <c r="I97" i="37"/>
  <c r="L97" i="37"/>
  <c r="M97" i="37" s="1"/>
  <c r="J97" i="37"/>
  <c r="K97" i="37" s="1"/>
  <c r="I96" i="37"/>
  <c r="L96" i="37"/>
  <c r="M96" i="37" s="1"/>
  <c r="J96" i="37"/>
  <c r="K96" i="37" s="1"/>
  <c r="L94" i="37"/>
  <c r="M94" i="37" s="1"/>
  <c r="I94" i="37"/>
  <c r="J94" i="37"/>
  <c r="K94" i="37" s="1"/>
  <c r="L92" i="37"/>
  <c r="M92" i="37" s="1"/>
  <c r="I92" i="37"/>
  <c r="J92" i="37"/>
  <c r="K92" i="37" s="1"/>
  <c r="J95" i="37"/>
  <c r="K95" i="37" s="1"/>
  <c r="L95" i="37"/>
  <c r="M95" i="37" s="1"/>
  <c r="I95" i="37"/>
  <c r="AW156" i="26"/>
  <c r="BI156" i="26" l="1"/>
  <c r="AX156" i="26"/>
  <c r="AZ156" i="26" s="1"/>
  <c r="AY156" i="26"/>
  <c r="BH156" i="26" l="1"/>
  <c r="BB156" i="26"/>
  <c r="BE156" i="26"/>
  <c r="BD156" i="26"/>
  <c r="BC156" i="26"/>
  <c r="BA156" i="26"/>
  <c r="BJ156" i="26"/>
  <c r="BK156" i="26"/>
  <c r="BF156" i="26"/>
  <c r="AV157" i="26"/>
  <c r="BL156" i="26"/>
  <c r="AU156" i="26"/>
  <c r="BG156" i="26"/>
  <c r="AW157" i="26" l="1"/>
  <c r="AX157" i="26" l="1"/>
  <c r="AZ157" i="26" s="1"/>
  <c r="BI157" i="26"/>
  <c r="AY157" i="26"/>
  <c r="AG13" i="45"/>
  <c r="BE157" i="26" l="1"/>
  <c r="BA157" i="26"/>
  <c r="BC157" i="26"/>
  <c r="BD157" i="26"/>
  <c r="BB157" i="26"/>
  <c r="BF157" i="26"/>
  <c r="AU157" i="26"/>
  <c r="BK157" i="26"/>
  <c r="BH157" i="26"/>
  <c r="AV158" i="26"/>
  <c r="BJ157" i="26"/>
  <c r="BL157" i="26"/>
  <c r="BG157" i="26"/>
  <c r="AW158" i="26" l="1"/>
  <c r="AY158" i="26" l="1"/>
  <c r="AX158" i="26"/>
  <c r="AZ158" i="26" s="1"/>
  <c r="BI158" i="26"/>
  <c r="BB158" i="26" l="1"/>
  <c r="BA158" i="26"/>
  <c r="BF158" i="26"/>
  <c r="BD158" i="26"/>
  <c r="BG158" i="26"/>
  <c r="BE158" i="26"/>
  <c r="BC158" i="26"/>
  <c r="BK158" i="26"/>
  <c r="BJ158" i="26"/>
  <c r="BH158" i="26"/>
  <c r="BL158" i="26"/>
  <c r="AV159" i="26"/>
  <c r="AU158" i="26"/>
  <c r="AW159" i="26" l="1"/>
  <c r="AY159" i="26" l="1"/>
  <c r="BI159" i="26"/>
  <c r="AX159" i="26"/>
  <c r="AZ159" i="26" s="1"/>
  <c r="BB159" i="26" l="1"/>
  <c r="BE159" i="26"/>
  <c r="BD159" i="26"/>
  <c r="AU159" i="26"/>
  <c r="BC159" i="26"/>
  <c r="BA159" i="26"/>
  <c r="BJ159" i="26"/>
  <c r="BK159" i="26"/>
  <c r="BH159" i="26"/>
  <c r="BL159" i="26"/>
  <c r="BG159" i="26"/>
  <c r="BF159" i="26"/>
  <c r="AV160" i="26"/>
  <c r="AW160" i="26" l="1"/>
  <c r="BJ160" i="26" l="1"/>
  <c r="AY160" i="26"/>
  <c r="AX160" i="26"/>
  <c r="BC160" i="26" s="1"/>
  <c r="BE160" i="26" l="1"/>
  <c r="AZ160" i="26"/>
  <c r="BD160" i="26"/>
  <c r="BB160" i="26"/>
  <c r="BA160" i="26"/>
  <c r="BL160" i="26"/>
  <c r="AV161" i="26"/>
  <c r="AU160" i="26"/>
  <c r="BF160" i="26"/>
  <c r="BI160" i="26"/>
  <c r="BG160" i="26"/>
  <c r="BH160" i="26"/>
  <c r="BK160" i="26"/>
  <c r="AW161" i="26" l="1"/>
  <c r="AX161" i="26" l="1"/>
  <c r="AZ161" i="26" s="1"/>
  <c r="AY161" i="26"/>
  <c r="BI161" i="26" s="1"/>
  <c r="BJ161" i="26"/>
  <c r="BB161" i="26" l="1"/>
  <c r="BH161" i="26"/>
  <c r="BE161" i="26"/>
  <c r="BD161" i="26"/>
  <c r="BA161" i="26"/>
  <c r="BG161" i="26"/>
  <c r="BC161" i="26"/>
  <c r="BL161" i="26"/>
  <c r="BK161" i="26"/>
  <c r="BF161" i="26"/>
  <c r="AV162" i="26"/>
  <c r="AU161" i="26"/>
  <c r="AW162" i="26" l="1"/>
  <c r="AX162" i="26" l="1"/>
  <c r="AY162" i="26"/>
  <c r="BJ162" i="26"/>
  <c r="BC162" i="26" l="1"/>
  <c r="BI162" i="26"/>
  <c r="BH162" i="26"/>
  <c r="BA162" i="26"/>
  <c r="BB162" i="26"/>
  <c r="BD162" i="26"/>
  <c r="AZ162" i="26"/>
  <c r="BE162" i="26"/>
  <c r="BG162" i="26"/>
  <c r="BL162" i="26"/>
  <c r="AU162" i="26"/>
  <c r="AV163" i="26"/>
  <c r="BK162" i="26"/>
  <c r="BF162" i="26"/>
  <c r="AW163" i="26" l="1"/>
  <c r="AX163" i="26" l="1"/>
  <c r="AZ163" i="26" s="1"/>
  <c r="AY163" i="26"/>
  <c r="BJ163" i="26"/>
  <c r="BA163" i="26" l="1"/>
  <c r="BE163" i="26"/>
  <c r="BL163" i="26"/>
  <c r="BC163" i="26"/>
  <c r="BI163" i="26"/>
  <c r="BD163" i="26"/>
  <c r="BB163" i="26"/>
  <c r="BF163" i="26"/>
  <c r="AV164" i="26"/>
  <c r="BH163" i="26"/>
  <c r="BK163" i="26"/>
  <c r="AU163" i="26"/>
  <c r="BG163" i="26"/>
  <c r="AW164" i="26" l="1"/>
  <c r="AX164" i="26" l="1"/>
  <c r="AZ164" i="26" s="1"/>
  <c r="BJ164" i="26"/>
  <c r="BI164" i="26"/>
  <c r="AY164" i="26"/>
  <c r="BA164" i="26" s="1"/>
  <c r="BF164" i="26" l="1"/>
  <c r="BC164" i="26"/>
  <c r="BB164" i="26"/>
  <c r="BD164" i="26"/>
  <c r="BE164" i="26"/>
  <c r="BK164" i="26"/>
  <c r="AV165" i="26"/>
  <c r="BL164" i="26"/>
  <c r="AU164" i="26"/>
  <c r="BG164" i="26"/>
  <c r="BH164" i="26"/>
  <c r="AW165" i="26" l="1"/>
  <c r="AY165" i="26" l="1"/>
  <c r="AU165" i="26" s="1"/>
  <c r="BJ165" i="26"/>
  <c r="AX165" i="26"/>
  <c r="AZ165" i="26" s="1"/>
  <c r="BC165" i="26" l="1"/>
  <c r="BB165" i="26"/>
  <c r="BA165" i="26"/>
  <c r="BE165" i="26"/>
  <c r="BD165" i="26"/>
  <c r="BG165" i="26"/>
  <c r="BF165" i="26"/>
  <c r="BH165" i="26"/>
  <c r="BL165" i="26"/>
  <c r="BK165" i="26"/>
  <c r="BI165" i="26"/>
  <c r="AV166" i="26"/>
  <c r="AW166" i="26" l="1"/>
  <c r="BJ166" i="26" l="1"/>
  <c r="AX166" i="26"/>
  <c r="BB166" i="26" s="1"/>
  <c r="AY166" i="26"/>
  <c r="BF166" i="26" l="1"/>
  <c r="BH166" i="26"/>
  <c r="BE166" i="26"/>
  <c r="BD166" i="26"/>
  <c r="BC166" i="26"/>
  <c r="AZ166" i="26"/>
  <c r="BA166" i="26"/>
  <c r="BG166" i="26"/>
  <c r="AV167" i="26"/>
  <c r="BL166" i="26"/>
  <c r="BK166" i="26"/>
  <c r="AU166" i="26"/>
  <c r="BI166" i="26"/>
  <c r="AW167" i="26" l="1"/>
  <c r="BJ167" i="26" l="1"/>
  <c r="AX167" i="26"/>
  <c r="AZ167" i="26" s="1"/>
  <c r="AY167" i="26"/>
  <c r="BA167" i="26" s="1"/>
  <c r="AG17" i="45"/>
  <c r="BD167" i="26" l="1"/>
  <c r="BG167" i="26"/>
  <c r="BC167" i="26"/>
  <c r="BB167" i="26"/>
  <c r="BE167" i="26"/>
  <c r="BK167" i="26"/>
  <c r="AU167" i="26"/>
  <c r="BI167" i="26"/>
  <c r="AV168" i="26"/>
  <c r="BL167" i="26"/>
  <c r="BF167" i="26"/>
  <c r="BH167" i="26"/>
  <c r="AW168" i="26" l="1"/>
  <c r="AY168" i="26" l="1"/>
  <c r="AX168" i="26"/>
  <c r="BD168" i="26" s="1"/>
  <c r="AZ168" i="26" l="1"/>
  <c r="BE168" i="26"/>
  <c r="BA168" i="26"/>
  <c r="BJ168" i="26"/>
  <c r="BG168" i="26"/>
  <c r="BK168" i="26"/>
  <c r="BI168" i="26"/>
  <c r="BB168" i="26"/>
  <c r="BC168" i="26"/>
  <c r="AV169" i="26"/>
  <c r="BF168" i="26"/>
  <c r="BL168" i="26"/>
  <c r="AU168" i="26"/>
  <c r="BH168" i="26"/>
  <c r="AW169" i="26" l="1"/>
  <c r="AX169" i="26" l="1"/>
  <c r="AZ169" i="26" s="1"/>
  <c r="AY169" i="26"/>
  <c r="BJ169" i="26"/>
  <c r="BD169" i="26" l="1"/>
  <c r="BA169" i="26"/>
  <c r="BK169" i="26"/>
  <c r="BB169" i="26"/>
  <c r="BC169" i="26"/>
  <c r="BE169" i="26"/>
  <c r="BL169" i="26"/>
  <c r="AV170" i="26"/>
  <c r="BI169" i="26"/>
  <c r="BG169" i="26"/>
  <c r="AU169" i="26"/>
  <c r="BF169" i="26"/>
  <c r="BH169" i="26"/>
  <c r="AW170" i="26" l="1"/>
  <c r="AG18" i="45"/>
  <c r="AX170" i="26" l="1"/>
  <c r="AZ170" i="26" s="1"/>
  <c r="AY170" i="26"/>
  <c r="BJ170" i="26"/>
  <c r="BD170" i="26" l="1"/>
  <c r="BF170" i="26"/>
  <c r="BB170" i="26"/>
  <c r="BK170" i="26"/>
  <c r="BA170" i="26"/>
  <c r="BC170" i="26"/>
  <c r="BE170" i="26"/>
  <c r="AU170" i="26"/>
  <c r="BI170" i="26"/>
  <c r="BG170" i="26"/>
  <c r="BH170" i="26"/>
  <c r="BL170" i="26"/>
  <c r="AV171" i="26"/>
  <c r="AW171" i="26" l="1"/>
  <c r="AX171" i="26" l="1"/>
  <c r="AZ171" i="26" s="1"/>
  <c r="BJ171" i="26"/>
  <c r="AY171" i="26"/>
  <c r="AU171" i="26" s="1"/>
  <c r="BD171" i="26" l="1"/>
  <c r="BI171" i="26"/>
  <c r="BB171" i="26"/>
  <c r="BE171" i="26"/>
  <c r="BC171" i="26"/>
  <c r="BA171" i="26"/>
  <c r="BK171" i="26"/>
  <c r="BF171" i="26"/>
  <c r="AV172" i="26"/>
  <c r="BG171" i="26"/>
  <c r="BL171" i="26"/>
  <c r="BH171" i="26"/>
  <c r="AW172" i="26" l="1"/>
  <c r="AY172" i="26" l="1"/>
  <c r="BJ172" i="26"/>
  <c r="AX172" i="26"/>
  <c r="BB172" i="26" s="1"/>
  <c r="BA172" i="26" l="1"/>
  <c r="AZ172" i="26"/>
  <c r="BI172" i="26"/>
  <c r="BG172" i="26"/>
  <c r="BF172" i="26"/>
  <c r="BK172" i="26"/>
  <c r="AU172" i="26"/>
  <c r="BL172" i="26"/>
  <c r="BH172" i="26"/>
  <c r="BC172" i="26"/>
  <c r="BE172" i="26"/>
  <c r="BD172" i="26"/>
  <c r="AV173" i="26"/>
  <c r="AW173" i="26" l="1"/>
  <c r="AY173" i="26" l="1"/>
  <c r="BJ173" i="26"/>
  <c r="AX173" i="26"/>
  <c r="AZ173" i="26" s="1"/>
  <c r="BC173" i="26" l="1"/>
  <c r="BI173" i="26"/>
  <c r="BB173" i="26"/>
  <c r="BF173" i="26"/>
  <c r="BE173" i="26"/>
  <c r="BA173" i="26"/>
  <c r="BD173" i="26"/>
  <c r="AU173" i="26"/>
  <c r="BG173" i="26"/>
  <c r="AV174" i="26"/>
  <c r="BL173" i="26"/>
  <c r="BK173" i="26"/>
  <c r="BH173" i="26"/>
  <c r="AW174" i="26" l="1"/>
  <c r="AY174" i="26" l="1"/>
  <c r="AX174" i="26"/>
  <c r="AZ174" i="26" s="1"/>
  <c r="BC174" i="26" l="1"/>
  <c r="BI174" i="26"/>
  <c r="BJ174" i="26"/>
  <c r="BD174" i="26"/>
  <c r="BB174" i="26"/>
  <c r="BA174" i="26"/>
  <c r="BG174" i="26"/>
  <c r="BE174" i="26"/>
  <c r="BH174" i="26"/>
  <c r="BK174" i="26"/>
  <c r="AV175" i="26"/>
  <c r="BF174" i="26"/>
  <c r="BL174" i="26"/>
  <c r="AU174" i="26"/>
  <c r="AW175" i="26" l="1"/>
  <c r="BJ175" i="26" l="1"/>
  <c r="AY175" i="26"/>
  <c r="AX175" i="26"/>
  <c r="AZ175" i="26" s="1"/>
  <c r="BI175" i="26"/>
  <c r="BD175" i="26" l="1"/>
  <c r="BA175" i="26"/>
  <c r="BE175" i="26"/>
  <c r="BB175" i="26"/>
  <c r="BC175" i="26"/>
  <c r="AV176" i="26"/>
  <c r="BG175" i="26"/>
  <c r="BH175" i="26"/>
  <c r="BF175" i="26"/>
  <c r="AU175" i="26"/>
  <c r="BK175" i="26"/>
  <c r="BL175" i="26"/>
  <c r="AW176" i="26" l="1"/>
  <c r="BJ176" i="26" l="1"/>
  <c r="AY176" i="26"/>
  <c r="AX176" i="26"/>
  <c r="AZ176" i="26" s="1"/>
  <c r="BI176" i="26"/>
  <c r="BD176" i="26" l="1"/>
  <c r="BF176" i="26"/>
  <c r="BC176" i="26"/>
  <c r="BE176" i="26"/>
  <c r="BA176" i="26"/>
  <c r="BB176" i="26"/>
  <c r="BG176" i="26"/>
  <c r="AU176" i="26"/>
  <c r="AV177" i="26"/>
  <c r="BL176" i="26"/>
  <c r="BK176" i="26"/>
  <c r="BH176" i="26"/>
  <c r="AW177" i="26" l="1"/>
  <c r="BJ177" i="26" l="1"/>
  <c r="AX177" i="26"/>
  <c r="AZ177" i="26" s="1"/>
  <c r="AY177" i="26"/>
  <c r="BE177" i="26" l="1"/>
  <c r="BC177" i="26"/>
  <c r="BD177" i="26"/>
  <c r="BA177" i="26"/>
  <c r="BB177" i="26"/>
  <c r="BK177" i="26"/>
  <c r="BF177" i="26"/>
  <c r="AV178" i="26"/>
  <c r="BL177" i="26"/>
  <c r="AU177" i="26"/>
  <c r="BH177" i="26"/>
  <c r="BI177" i="26"/>
  <c r="BG177" i="26"/>
  <c r="AG21" i="45"/>
  <c r="AW178" i="26" l="1"/>
  <c r="AX178" i="26" l="1"/>
  <c r="AZ178" i="26" s="1"/>
  <c r="AY178" i="26"/>
  <c r="AU178" i="26" s="1"/>
  <c r="BJ178" i="26"/>
  <c r="BK178" i="26" l="1"/>
  <c r="BB178" i="26"/>
  <c r="BA178" i="26"/>
  <c r="BE178" i="26"/>
  <c r="BD178" i="26"/>
  <c r="BC178" i="26"/>
  <c r="BF178" i="26"/>
  <c r="BH178" i="26"/>
  <c r="BI178" i="26"/>
  <c r="AV179" i="26"/>
  <c r="BL178" i="26"/>
  <c r="BG178" i="26"/>
  <c r="AW179" i="26" l="1"/>
  <c r="AX179" i="26" l="1"/>
  <c r="AZ179" i="26" s="1"/>
  <c r="AY179" i="26"/>
  <c r="AU179" i="26" s="1"/>
  <c r="BJ179" i="26"/>
  <c r="BI179" i="26" l="1"/>
  <c r="BC179" i="26"/>
  <c r="BB179" i="26"/>
  <c r="BE179" i="26"/>
  <c r="BA179" i="26"/>
  <c r="BD179" i="26"/>
  <c r="BH179" i="26"/>
  <c r="BF179" i="26"/>
  <c r="AV180" i="26"/>
  <c r="BK179" i="26"/>
  <c r="BL179" i="26"/>
  <c r="BG179" i="26"/>
  <c r="AW180" i="26" l="1"/>
  <c r="BI180" i="26" l="1"/>
  <c r="AY180" i="26"/>
  <c r="BJ180" i="26"/>
  <c r="AX180" i="26"/>
  <c r="AZ180" i="26" s="1"/>
  <c r="BE180" i="26" l="1"/>
  <c r="BB180" i="26"/>
  <c r="BA180" i="26"/>
  <c r="BD180" i="26"/>
  <c r="BF180" i="26"/>
  <c r="BC180" i="26"/>
  <c r="BL180" i="26"/>
  <c r="BH180" i="26"/>
  <c r="BK180" i="26"/>
  <c r="AU180" i="26"/>
  <c r="BG180" i="26"/>
  <c r="AV181" i="26"/>
  <c r="AW181" i="26" l="1"/>
  <c r="AX181" i="26" l="1"/>
  <c r="AZ181" i="26" s="1"/>
  <c r="BJ181" i="26"/>
  <c r="AY181" i="26"/>
  <c r="BC181" i="26" l="1"/>
  <c r="BE181" i="26"/>
  <c r="BB181" i="26"/>
  <c r="BD181" i="26"/>
  <c r="BL181" i="26"/>
  <c r="BI181" i="26"/>
  <c r="BA181" i="26"/>
  <c r="AV182" i="26"/>
  <c r="BG181" i="26"/>
  <c r="AU181" i="26"/>
  <c r="BF181" i="26"/>
  <c r="BK181" i="26"/>
  <c r="BH181" i="26"/>
  <c r="AW182" i="26" l="1"/>
  <c r="AX182" i="26" l="1"/>
  <c r="AZ182" i="26" s="1"/>
  <c r="AY182" i="26"/>
  <c r="BJ182" i="26" s="1"/>
  <c r="BG182" i="26" l="1"/>
  <c r="BC182" i="26"/>
  <c r="BD182" i="26"/>
  <c r="BB182" i="26"/>
  <c r="BE182" i="26"/>
  <c r="BA182" i="26"/>
  <c r="BI182" i="26"/>
  <c r="BK182" i="26"/>
  <c r="AV183" i="26"/>
  <c r="BL182" i="26"/>
  <c r="AU182" i="26"/>
  <c r="BF182" i="26"/>
  <c r="BH182" i="26"/>
  <c r="AG23" i="45"/>
  <c r="AW183" i="26" l="1"/>
  <c r="AY183" i="26" l="1"/>
  <c r="BJ183" i="26"/>
  <c r="BI183" i="26"/>
  <c r="AX183" i="26"/>
  <c r="BE183" i="26" s="1"/>
  <c r="BD183" i="26" l="1"/>
  <c r="AU183" i="26"/>
  <c r="BA183" i="26"/>
  <c r="BB183" i="26"/>
  <c r="BC183" i="26"/>
  <c r="AZ183" i="26"/>
  <c r="BF183" i="26"/>
  <c r="BG183" i="26"/>
  <c r="BH183" i="26"/>
  <c r="AV184" i="26"/>
  <c r="BK183" i="26"/>
  <c r="BL183" i="26"/>
  <c r="AW184" i="26" l="1"/>
  <c r="AX184" i="26" l="1"/>
  <c r="AZ184" i="26" s="1"/>
  <c r="BJ184" i="26"/>
  <c r="AY184" i="26"/>
  <c r="AU184" i="26" s="1"/>
  <c r="BE184" i="26" l="1"/>
  <c r="BB184" i="26"/>
  <c r="BC184" i="26"/>
  <c r="BA184" i="26"/>
  <c r="BD184" i="26"/>
  <c r="BI184" i="26"/>
  <c r="BK184" i="26"/>
  <c r="BF184" i="26"/>
  <c r="AV185" i="26"/>
  <c r="BL184" i="26"/>
  <c r="BH184" i="26"/>
  <c r="BG184" i="26"/>
  <c r="AW185" i="26" l="1"/>
  <c r="BJ185" i="26" l="1"/>
  <c r="AX185" i="26"/>
  <c r="AZ185" i="26" s="1"/>
  <c r="AY185" i="26"/>
  <c r="BI185" i="26" s="1"/>
  <c r="BD185" i="26" l="1"/>
  <c r="BL185" i="26"/>
  <c r="BB185" i="26"/>
  <c r="BE185" i="26"/>
  <c r="BC185" i="26"/>
  <c r="AU185" i="26"/>
  <c r="BA185" i="26"/>
  <c r="BG185" i="26"/>
  <c r="AV186" i="26"/>
  <c r="BF185" i="26"/>
  <c r="BK185" i="26"/>
  <c r="BH185" i="26"/>
  <c r="AW186" i="26" l="1"/>
  <c r="AY186" i="26" l="1"/>
  <c r="BJ186" i="26"/>
  <c r="AX186" i="26"/>
  <c r="BA186" i="26" s="1"/>
  <c r="AZ186" i="26" l="1"/>
  <c r="BD186" i="26"/>
  <c r="BE186" i="26"/>
  <c r="BI186" i="26"/>
  <c r="AU186" i="26"/>
  <c r="BB186" i="26"/>
  <c r="BC186" i="26"/>
  <c r="BH186" i="26"/>
  <c r="BL186" i="26"/>
  <c r="BF186" i="26"/>
  <c r="BG186" i="26"/>
  <c r="AV187" i="26"/>
  <c r="BK186" i="26"/>
  <c r="AW187" i="26" l="1"/>
  <c r="BJ187" i="26" l="1"/>
  <c r="AY187" i="26"/>
  <c r="AU187" i="26" s="1"/>
  <c r="AX187" i="26"/>
  <c r="AZ187" i="26" s="1"/>
  <c r="BI187" i="26"/>
  <c r="BB187" i="26" l="1"/>
  <c r="BA187" i="26"/>
  <c r="BE187" i="26"/>
  <c r="BD187" i="26"/>
  <c r="BC187" i="26"/>
  <c r="BH187" i="26"/>
  <c r="BG187" i="26"/>
  <c r="AV188" i="26"/>
  <c r="BL187" i="26"/>
  <c r="BF187" i="26"/>
  <c r="BK187" i="26"/>
  <c r="AW188" i="26" l="1"/>
  <c r="AY188" i="26" l="1"/>
  <c r="AX188" i="26"/>
  <c r="AZ188" i="26" s="1"/>
  <c r="BJ188" i="26"/>
  <c r="BE188" i="26" l="1"/>
  <c r="BD188" i="26"/>
  <c r="BC188" i="26"/>
  <c r="BL188" i="26"/>
  <c r="BB188" i="26"/>
  <c r="BA188" i="26"/>
  <c r="BH188" i="26"/>
  <c r="AU188" i="26"/>
  <c r="BG188" i="26"/>
  <c r="BI188" i="26"/>
  <c r="AV189" i="26"/>
  <c r="BF188" i="26"/>
  <c r="BK188" i="26"/>
  <c r="AW189" i="26" l="1"/>
  <c r="AY189" i="26" l="1"/>
  <c r="AU189" i="26" s="1"/>
  <c r="AX189" i="26"/>
  <c r="AZ189" i="26" s="1"/>
  <c r="BJ189" i="26"/>
  <c r="BI189" i="26"/>
  <c r="BA189" i="26" l="1"/>
  <c r="BD189" i="26"/>
  <c r="BE189" i="26"/>
  <c r="BB189" i="26"/>
  <c r="BC189" i="26"/>
  <c r="BG189" i="26"/>
  <c r="BF189" i="26"/>
  <c r="BK189" i="26"/>
  <c r="BL189" i="26"/>
  <c r="AV190" i="26"/>
  <c r="BH189" i="26"/>
  <c r="AW190" i="26" l="1"/>
  <c r="AG26" i="45"/>
  <c r="AY190" i="26" l="1"/>
  <c r="AU190" i="26" s="1"/>
  <c r="BI190" i="26"/>
  <c r="AX190" i="26"/>
  <c r="AZ190" i="26" s="1"/>
  <c r="BE190" i="26" l="1"/>
  <c r="BD190" i="26"/>
  <c r="BA190" i="26"/>
  <c r="BC190" i="26"/>
  <c r="BB190" i="26"/>
  <c r="BJ190" i="26"/>
  <c r="BH190" i="26"/>
  <c r="BF190" i="26"/>
  <c r="BG190" i="26"/>
  <c r="AV191" i="26"/>
  <c r="BK190" i="26"/>
  <c r="BL190" i="26"/>
  <c r="AW191" i="26" l="1"/>
  <c r="AX191" i="26" l="1"/>
  <c r="BA191" i="26" s="1"/>
  <c r="BI191" i="26"/>
  <c r="AY191" i="26"/>
  <c r="AU191" i="26" s="1"/>
  <c r="BD191" i="26" l="1"/>
  <c r="BE191" i="26"/>
  <c r="BF191" i="26"/>
  <c r="AZ191" i="26"/>
  <c r="BK191" i="26"/>
  <c r="BJ191" i="26"/>
  <c r="BC191" i="26"/>
  <c r="BB191" i="26"/>
  <c r="BH191" i="26"/>
  <c r="AV192" i="26"/>
  <c r="BG191" i="26"/>
  <c r="BL191" i="26"/>
  <c r="AW192" i="26" l="1"/>
  <c r="BI192" i="26" l="1"/>
  <c r="AY192" i="26"/>
  <c r="AX192" i="26"/>
  <c r="AZ192" i="26" s="1"/>
  <c r="BB192" i="26" l="1"/>
  <c r="BC192" i="26"/>
  <c r="BE192" i="26"/>
  <c r="BD192" i="26"/>
  <c r="BA192" i="26"/>
  <c r="BK192" i="26"/>
  <c r="BG192" i="26"/>
  <c r="BL192" i="26"/>
  <c r="BF192" i="26"/>
  <c r="BH192" i="26"/>
  <c r="BJ192" i="26"/>
  <c r="AV193" i="26"/>
  <c r="AU192" i="26"/>
  <c r="AG27" i="45"/>
  <c r="AW193" i="26" l="1"/>
  <c r="AY193" i="26" l="1"/>
  <c r="AX193" i="26"/>
  <c r="BD193" i="26" s="1"/>
  <c r="BI193" i="26"/>
  <c r="BA193" i="26" l="1"/>
  <c r="BJ193" i="26"/>
  <c r="BE193" i="26"/>
  <c r="AZ193" i="26"/>
  <c r="BB193" i="26"/>
  <c r="BK193" i="26"/>
  <c r="BL193" i="26"/>
  <c r="BC193" i="26"/>
  <c r="BH193" i="26"/>
  <c r="BG193" i="26"/>
  <c r="AV194" i="26"/>
  <c r="AU193" i="26"/>
  <c r="BF193" i="26"/>
  <c r="AW194" i="26" l="1"/>
  <c r="AY194" i="26" l="1"/>
  <c r="AU194" i="26" s="1"/>
  <c r="BI194" i="26"/>
  <c r="AX194" i="26"/>
  <c r="BE194" i="26" s="1"/>
  <c r="AZ194" i="26" l="1"/>
  <c r="BB194" i="26"/>
  <c r="BC194" i="26"/>
  <c r="BD194" i="26"/>
  <c r="BJ194" i="26"/>
  <c r="BK194" i="26"/>
  <c r="BF194" i="26"/>
  <c r="AV195" i="26"/>
  <c r="BL194" i="26"/>
  <c r="BG194" i="26"/>
  <c r="BA194" i="26"/>
  <c r="BH194" i="26"/>
  <c r="AW195" i="26" l="1"/>
  <c r="AX195" i="26" l="1"/>
  <c r="AZ195" i="26" s="1"/>
  <c r="AY195" i="26"/>
  <c r="BI195" i="26"/>
  <c r="BJ195" i="26"/>
  <c r="BD195" i="26" l="1"/>
  <c r="AU195" i="26"/>
  <c r="BK195" i="26"/>
  <c r="BG195" i="26"/>
  <c r="BH195" i="26"/>
  <c r="BF195" i="26"/>
  <c r="BA195" i="26"/>
  <c r="BE195" i="26"/>
  <c r="BC195" i="26"/>
  <c r="BL195" i="26"/>
  <c r="BB195" i="26"/>
  <c r="AV196" i="26"/>
  <c r="AW196" i="26" l="1"/>
  <c r="BI196" i="26" l="1"/>
  <c r="AY196" i="26"/>
  <c r="AU196" i="26" s="1"/>
  <c r="AX196" i="26"/>
  <c r="BE196" i="26" s="1"/>
  <c r="AZ196" i="26" l="1"/>
  <c r="BC196" i="26"/>
  <c r="BB196" i="26"/>
  <c r="BD196" i="26"/>
  <c r="BA196" i="26"/>
  <c r="BG196" i="26"/>
  <c r="BF196" i="26"/>
  <c r="BK196" i="26"/>
  <c r="BH196" i="26"/>
  <c r="BJ196" i="26"/>
  <c r="AV197" i="26"/>
  <c r="BL196" i="26"/>
  <c r="AW197" i="26" l="1"/>
  <c r="BI197" i="26" l="1"/>
  <c r="AX197" i="26"/>
  <c r="AZ197" i="26" s="1"/>
  <c r="AY197" i="26"/>
  <c r="BH197" i="26" l="1"/>
  <c r="BE197" i="26"/>
  <c r="BC197" i="26"/>
  <c r="BD197" i="26"/>
  <c r="BB197" i="26"/>
  <c r="BA197" i="26"/>
  <c r="BJ197" i="26"/>
  <c r="BL197" i="26"/>
  <c r="AU197" i="26"/>
  <c r="AV198" i="26"/>
  <c r="BK197" i="26"/>
  <c r="BG197" i="26"/>
  <c r="BF197" i="26"/>
  <c r="AG29" i="45"/>
  <c r="AW198" i="26" l="1"/>
  <c r="AX198" i="26" l="1"/>
  <c r="AZ198" i="26" s="1"/>
  <c r="BI198" i="26"/>
  <c r="AY198" i="26"/>
  <c r="BF198" i="26" l="1"/>
  <c r="BE198" i="26"/>
  <c r="BC198" i="26"/>
  <c r="BB198" i="26"/>
  <c r="BD198" i="26"/>
  <c r="BA198" i="26"/>
  <c r="BG198" i="26"/>
  <c r="BJ198" i="26"/>
  <c r="AU198" i="26"/>
  <c r="AV199" i="26"/>
  <c r="BK198" i="26"/>
  <c r="BL198" i="26"/>
  <c r="BH198" i="26"/>
  <c r="AW199" i="26" l="1"/>
  <c r="AX199" i="26" l="1"/>
  <c r="BI199" i="26"/>
  <c r="AY199" i="26"/>
  <c r="BB199" i="26" l="1"/>
  <c r="AZ199" i="26"/>
  <c r="BF199" i="26"/>
  <c r="BE199" i="26"/>
  <c r="BC199" i="26"/>
  <c r="BL199" i="26"/>
  <c r="BG199" i="26"/>
  <c r="BD199" i="26"/>
  <c r="BH199" i="26"/>
  <c r="BA199" i="26"/>
  <c r="BJ199" i="26"/>
  <c r="AV200" i="26"/>
  <c r="BK199" i="26"/>
  <c r="AU199" i="26"/>
  <c r="AW200" i="26" l="1"/>
  <c r="BI200" i="26" l="1"/>
  <c r="AX200" i="26"/>
  <c r="BA200" i="26" s="1"/>
  <c r="AY200" i="26"/>
  <c r="BD200" i="26" s="1"/>
  <c r="BJ200" i="26"/>
  <c r="AZ200" i="26" l="1"/>
  <c r="BK200" i="26"/>
  <c r="BL200" i="26"/>
  <c r="BC200" i="26"/>
  <c r="BB200" i="26"/>
  <c r="BE200" i="26"/>
  <c r="BH200" i="26"/>
  <c r="AV201" i="26"/>
  <c r="BF200" i="26"/>
  <c r="BG200" i="26"/>
  <c r="AU200" i="26"/>
  <c r="AG30" i="45"/>
  <c r="AW201" i="26" l="1"/>
  <c r="BI201" i="26" l="1"/>
  <c r="AX201" i="26"/>
  <c r="AZ201" i="26" s="1"/>
  <c r="AY201" i="26"/>
  <c r="BJ201" i="26"/>
  <c r="BD201" i="26" l="1"/>
  <c r="BE201" i="26"/>
  <c r="BH201" i="26"/>
  <c r="BA201" i="26"/>
  <c r="BC201" i="26"/>
  <c r="BK201" i="26"/>
  <c r="BB201" i="26"/>
  <c r="AU201" i="26"/>
  <c r="AV202" i="26"/>
  <c r="BG201" i="26"/>
  <c r="BF201" i="26"/>
  <c r="BL201" i="26"/>
  <c r="AW202" i="26" l="1"/>
  <c r="AX202" i="26" l="1"/>
  <c r="AZ202" i="26" s="1"/>
  <c r="BJ202" i="26"/>
  <c r="AY202" i="26"/>
  <c r="BE202" i="26" l="1"/>
  <c r="BL202" i="26"/>
  <c r="BA202" i="26"/>
  <c r="BD202" i="26"/>
  <c r="BB202" i="26"/>
  <c r="BF202" i="26"/>
  <c r="BK202" i="26"/>
  <c r="BC202" i="26"/>
  <c r="BH202" i="26"/>
  <c r="BI202" i="26"/>
  <c r="BG202" i="26"/>
  <c r="AV203" i="26"/>
  <c r="AU202" i="26"/>
  <c r="AW203" i="26" l="1"/>
  <c r="BJ203" i="26" l="1"/>
  <c r="AX203" i="26"/>
  <c r="AZ203" i="26" s="1"/>
  <c r="AY203" i="26"/>
  <c r="BB203" i="26" l="1"/>
  <c r="BK203" i="26"/>
  <c r="BA203" i="26"/>
  <c r="BD203" i="26"/>
  <c r="BC203" i="26"/>
  <c r="BE203" i="26"/>
  <c r="BF203" i="26"/>
  <c r="BL203" i="26"/>
  <c r="AV204" i="26"/>
  <c r="BI203" i="26"/>
  <c r="BH203" i="26"/>
  <c r="BG203" i="26"/>
  <c r="AU203" i="26"/>
  <c r="AW204" i="26" l="1"/>
  <c r="AX204" i="26" l="1"/>
  <c r="AZ204" i="26" s="1"/>
  <c r="AY204" i="26"/>
  <c r="AU204" i="26" s="1"/>
  <c r="BJ204" i="26"/>
  <c r="BK204" i="26" l="1"/>
  <c r="BB204" i="26"/>
  <c r="BE204" i="26"/>
  <c r="BC204" i="26"/>
  <c r="BD204" i="26"/>
  <c r="BA204" i="26"/>
  <c r="BI204" i="26"/>
  <c r="BF204" i="26"/>
  <c r="AV205" i="26"/>
  <c r="BG204" i="26"/>
  <c r="BL204" i="26"/>
  <c r="BH204" i="26"/>
  <c r="AW205" i="26" l="1"/>
  <c r="AX205" i="26" l="1"/>
  <c r="AZ205" i="26" s="1"/>
  <c r="BJ205" i="26"/>
  <c r="AY205" i="26"/>
  <c r="BL205" i="26" l="1"/>
  <c r="BE205" i="26"/>
  <c r="BD205" i="26"/>
  <c r="BB205" i="26"/>
  <c r="BC205" i="26"/>
  <c r="BA205" i="26"/>
  <c r="BF205" i="26"/>
  <c r="AU205" i="26"/>
  <c r="AV206" i="26"/>
  <c r="BI205" i="26"/>
  <c r="BK205" i="26"/>
  <c r="BH205" i="26"/>
  <c r="BG205" i="26"/>
  <c r="AG32" i="45"/>
  <c r="AW206" i="26" l="1"/>
  <c r="AX206" i="26" l="1"/>
  <c r="AZ206" i="26" s="1"/>
  <c r="BJ206" i="26"/>
  <c r="AY206" i="26"/>
  <c r="BI206" i="26"/>
  <c r="BC206" i="26" l="1"/>
  <c r="BE206" i="26"/>
  <c r="BL206" i="26"/>
  <c r="BK206" i="26"/>
  <c r="BD206" i="26"/>
  <c r="BH206" i="26"/>
  <c r="BA206" i="26"/>
  <c r="AU206" i="26"/>
  <c r="BB206" i="26"/>
  <c r="AV207" i="26"/>
  <c r="BG206" i="26"/>
  <c r="BF206" i="26"/>
  <c r="AW207" i="26" l="1"/>
  <c r="AY207" i="26" l="1"/>
  <c r="AU207" i="26" s="1"/>
  <c r="AX207" i="26"/>
  <c r="BE207" i="26" s="1"/>
  <c r="BJ207" i="26"/>
  <c r="AZ207" i="26" l="1"/>
  <c r="BA207" i="26"/>
  <c r="BK207" i="26"/>
  <c r="BH207" i="26"/>
  <c r="BI207" i="26"/>
  <c r="BD207" i="26"/>
  <c r="BL207" i="26"/>
  <c r="BG207" i="26"/>
  <c r="BB207" i="26"/>
  <c r="BC207" i="26"/>
  <c r="BF207" i="26"/>
  <c r="AV208" i="26"/>
  <c r="AW208" i="26" l="1"/>
  <c r="AY208" i="26" l="1"/>
  <c r="AU208" i="26" s="1"/>
  <c r="BJ208" i="26"/>
  <c r="AX208" i="26"/>
  <c r="AZ208" i="26" l="1"/>
  <c r="BB208" i="26"/>
  <c r="BL208" i="26"/>
  <c r="BC208" i="26"/>
  <c r="BG208" i="26"/>
  <c r="BA208" i="26"/>
  <c r="BE208" i="26"/>
  <c r="BD208" i="26"/>
  <c r="BI208" i="26"/>
  <c r="BF208" i="26"/>
  <c r="AV209" i="26"/>
  <c r="BK208" i="26"/>
  <c r="BH208" i="26"/>
  <c r="AW209" i="26" l="1"/>
  <c r="AX209" i="26" l="1"/>
  <c r="BI209" i="26" s="1"/>
  <c r="AY209" i="26"/>
  <c r="BJ209" i="26"/>
  <c r="BE209" i="26" l="1"/>
  <c r="AZ209" i="26"/>
  <c r="BA209" i="26"/>
  <c r="BD209" i="26"/>
  <c r="BC209" i="26"/>
  <c r="BB209" i="26"/>
  <c r="BG209" i="26"/>
  <c r="AU209" i="26"/>
  <c r="BF209" i="26"/>
  <c r="AV210" i="26"/>
  <c r="BL209" i="26"/>
  <c r="BH209" i="26"/>
  <c r="BK209" i="26"/>
  <c r="AW210" i="26" l="1"/>
  <c r="BJ210" i="26" l="1"/>
  <c r="AX210" i="26"/>
  <c r="AZ210" i="26" s="1"/>
  <c r="AY210" i="26"/>
  <c r="AU210" i="26" s="1"/>
  <c r="BI210" i="26" l="1"/>
  <c r="BE210" i="26"/>
  <c r="BD210" i="26"/>
  <c r="BC210" i="26"/>
  <c r="BA210" i="26"/>
  <c r="BB210" i="26"/>
  <c r="BH210" i="26"/>
  <c r="BL210" i="26"/>
  <c r="BG210" i="26"/>
  <c r="AV211" i="26"/>
  <c r="BK210" i="26"/>
  <c r="BF210" i="26"/>
  <c r="AW211" i="26" l="1"/>
  <c r="AY211" i="26" l="1"/>
  <c r="AU211" i="26" s="1"/>
  <c r="BJ211" i="26"/>
  <c r="AX211" i="26"/>
  <c r="BD211" i="26" s="1"/>
  <c r="BA211" i="26" l="1"/>
  <c r="BC211" i="26"/>
  <c r="AZ211" i="26"/>
  <c r="BB211" i="26"/>
  <c r="BE211" i="26"/>
  <c r="BG211" i="26"/>
  <c r="BI211" i="26"/>
  <c r="BH211" i="26"/>
  <c r="BF211" i="26"/>
  <c r="BL211" i="26"/>
  <c r="BK211" i="26"/>
  <c r="AV212" i="26"/>
  <c r="AW212" i="26" l="1"/>
  <c r="BJ212" i="26" l="1"/>
  <c r="AX212" i="26"/>
  <c r="AZ212" i="26" s="1"/>
  <c r="AY212" i="26"/>
  <c r="BI212" i="26"/>
  <c r="BL212" i="26" l="1"/>
  <c r="BB212" i="26"/>
  <c r="BD212" i="26"/>
  <c r="BA212" i="26"/>
  <c r="AU212" i="26"/>
  <c r="BC212" i="26"/>
  <c r="BE212" i="26"/>
  <c r="BH212" i="26"/>
  <c r="AV213" i="26"/>
  <c r="BK212" i="26"/>
  <c r="BG212" i="26"/>
  <c r="BF212" i="26"/>
  <c r="AW213" i="26" l="1"/>
  <c r="AY213" i="26" l="1"/>
  <c r="AU213" i="26" s="1"/>
  <c r="BJ213" i="26"/>
  <c r="AX213" i="26"/>
  <c r="BC213" i="26" s="1"/>
  <c r="BI213" i="26"/>
  <c r="BG213" i="26" l="1"/>
  <c r="BH213" i="26"/>
  <c r="BB213" i="26"/>
  <c r="BE213" i="26"/>
  <c r="BF213" i="26"/>
  <c r="BA213" i="26"/>
  <c r="BK213" i="26"/>
  <c r="AZ213" i="26"/>
  <c r="BD213" i="26"/>
  <c r="BL213" i="26"/>
  <c r="AV214" i="26"/>
  <c r="AW214" i="26" l="1"/>
  <c r="AX214" i="26" l="1"/>
  <c r="AZ214" i="26" s="1"/>
  <c r="AY214" i="26"/>
  <c r="BJ214" i="26"/>
  <c r="BF214" i="26" l="1"/>
  <c r="BC214" i="26"/>
  <c r="BD214" i="26"/>
  <c r="BA214" i="26"/>
  <c r="BB214" i="26"/>
  <c r="BE214" i="26"/>
  <c r="BG214" i="26"/>
  <c r="BK214" i="26"/>
  <c r="BI214" i="26"/>
  <c r="AU214" i="26"/>
  <c r="AV215" i="26"/>
  <c r="BL214" i="26"/>
  <c r="BH214" i="26"/>
  <c r="AW215" i="26" l="1"/>
  <c r="BJ215" i="26" l="1"/>
  <c r="AX215" i="26"/>
  <c r="AZ215" i="26" s="1"/>
  <c r="AY215" i="26"/>
  <c r="BI215" i="26" s="1"/>
  <c r="BD215" i="26" l="1"/>
  <c r="BE215" i="26"/>
  <c r="BC215" i="26"/>
  <c r="BB215" i="26"/>
  <c r="BA215" i="26"/>
  <c r="AV216" i="26"/>
  <c r="BF215" i="26"/>
  <c r="BH215" i="26"/>
  <c r="BL215" i="26"/>
  <c r="BG215" i="26"/>
  <c r="AU215" i="26"/>
  <c r="BK215" i="26"/>
  <c r="AW216" i="26" l="1"/>
  <c r="BJ216" i="26" l="1"/>
  <c r="AY216" i="26"/>
  <c r="AX216" i="26"/>
  <c r="BA216" i="26" s="1"/>
  <c r="BI216" i="26"/>
  <c r="BE216" i="26" l="1"/>
  <c r="BC216" i="26"/>
  <c r="BK216" i="26"/>
  <c r="BL216" i="26"/>
  <c r="BH216" i="26"/>
  <c r="BD216" i="26"/>
  <c r="BB216" i="26"/>
  <c r="AZ216" i="26"/>
  <c r="BF216" i="26"/>
  <c r="BG216" i="26"/>
  <c r="AU216" i="26"/>
  <c r="AV217" i="26"/>
  <c r="AW217" i="26" l="1"/>
  <c r="AX217" i="26" l="1"/>
  <c r="BF217" i="26" s="1"/>
  <c r="BI217" i="26"/>
  <c r="BJ217" i="26"/>
  <c r="AY217" i="26"/>
  <c r="BC217" i="26" l="1"/>
  <c r="AZ217" i="26"/>
  <c r="BL217" i="26"/>
  <c r="BD217" i="26"/>
  <c r="BA217" i="26"/>
  <c r="BB217" i="26"/>
  <c r="BE217" i="26"/>
  <c r="AV218" i="26"/>
  <c r="BH217" i="26"/>
  <c r="AU217" i="26"/>
  <c r="BK217" i="26"/>
  <c r="BG217" i="26"/>
  <c r="AW218" i="26" l="1"/>
  <c r="AY218" i="26" l="1"/>
  <c r="AU218" i="26" s="1"/>
  <c r="BJ218" i="26"/>
  <c r="AX218" i="26"/>
  <c r="BB218" i="26" s="1"/>
  <c r="AZ218" i="26" l="1"/>
  <c r="BC218" i="26"/>
  <c r="BD218" i="26"/>
  <c r="BA218" i="26"/>
  <c r="BE218" i="26"/>
  <c r="BH218" i="26"/>
  <c r="BF218" i="26"/>
  <c r="BG218" i="26"/>
  <c r="BI218" i="26"/>
  <c r="BK218" i="26"/>
  <c r="BL218" i="26"/>
  <c r="AV219" i="26"/>
  <c r="AW219" i="26" l="1"/>
  <c r="BJ219" i="26" l="1"/>
  <c r="AY219" i="26"/>
  <c r="AX219" i="26"/>
  <c r="BA219" i="26" s="1"/>
  <c r="BB219" i="26" l="1"/>
  <c r="BC219" i="26"/>
  <c r="BD219" i="26"/>
  <c r="AZ219" i="26"/>
  <c r="BE219" i="26"/>
  <c r="BL219" i="26"/>
  <c r="BK219" i="26"/>
  <c r="BH219" i="26"/>
  <c r="BI219" i="26"/>
  <c r="BG219" i="26"/>
  <c r="BF219" i="26"/>
  <c r="AV220" i="26"/>
  <c r="AU219" i="26"/>
  <c r="AW220" i="26" l="1"/>
  <c r="AY220" i="26" l="1"/>
  <c r="BJ220" i="26"/>
  <c r="AX220" i="26"/>
  <c r="AZ220" i="26" s="1"/>
  <c r="BE220" i="26" l="1"/>
  <c r="BI220" i="26"/>
  <c r="AU220" i="26"/>
  <c r="BD220" i="26"/>
  <c r="BF220" i="26"/>
  <c r="BA220" i="26"/>
  <c r="BH220" i="26"/>
  <c r="BL220" i="26"/>
  <c r="BB220" i="26"/>
  <c r="BK220" i="26"/>
  <c r="BC220" i="26"/>
  <c r="BG220" i="26"/>
  <c r="AV221" i="26"/>
  <c r="AW221" i="26" l="1"/>
  <c r="AG38" i="45"/>
  <c r="AX221" i="26" l="1"/>
  <c r="AZ221" i="26" s="1"/>
  <c r="BJ221" i="26"/>
  <c r="AY221" i="26"/>
  <c r="BH221" i="26" l="1"/>
  <c r="BD221" i="26"/>
  <c r="BE221" i="26"/>
  <c r="BC221" i="26"/>
  <c r="BA221" i="26"/>
  <c r="BB221" i="26"/>
  <c r="AV222" i="26"/>
  <c r="BG221" i="26"/>
  <c r="BL221" i="26"/>
  <c r="BF221" i="26"/>
  <c r="BI221" i="26"/>
  <c r="AU221" i="26"/>
  <c r="BK221" i="26"/>
  <c r="AW222" i="26" l="1"/>
  <c r="AY222" i="26" l="1"/>
  <c r="AU222" i="26" s="1"/>
  <c r="BJ222" i="26"/>
  <c r="AX222" i="26"/>
  <c r="AZ222" i="26" s="1"/>
  <c r="BA222" i="26" l="1"/>
  <c r="BE222" i="26"/>
  <c r="BD222" i="26"/>
  <c r="BB222" i="26"/>
  <c r="BC222" i="26"/>
  <c r="BI222" i="26"/>
  <c r="BL222" i="26"/>
  <c r="BG222" i="26"/>
  <c r="BF222" i="26"/>
  <c r="AV223" i="26"/>
  <c r="BH222" i="26"/>
  <c r="BK222" i="26"/>
  <c r="AW223" i="26" l="1"/>
  <c r="AX223" i="26" l="1"/>
  <c r="BL223" i="26" s="1"/>
  <c r="AY223" i="26"/>
  <c r="BJ223" i="26"/>
  <c r="BE223" i="26" l="1"/>
  <c r="BI223" i="26"/>
  <c r="BG223" i="26"/>
  <c r="AU223" i="26"/>
  <c r="AZ223" i="26"/>
  <c r="BA223" i="26"/>
  <c r="BB223" i="26"/>
  <c r="BF223" i="26"/>
  <c r="BK223" i="26"/>
  <c r="BC223" i="26"/>
  <c r="BH223" i="26"/>
  <c r="BD223" i="26"/>
  <c r="AV224" i="26"/>
  <c r="AW224" i="26" l="1"/>
  <c r="AX224" i="26" l="1"/>
  <c r="AZ224" i="26" s="1"/>
  <c r="BI224" i="26"/>
  <c r="AY224" i="26"/>
  <c r="BJ224" i="26"/>
  <c r="BD224" i="26" l="1"/>
  <c r="BC224" i="26"/>
  <c r="BE224" i="26"/>
  <c r="BG224" i="26"/>
  <c r="BB224" i="26"/>
  <c r="BA224" i="26"/>
  <c r="AU224" i="26"/>
  <c r="BF224" i="26"/>
  <c r="AV225" i="26"/>
  <c r="BL224" i="26"/>
  <c r="BH224" i="26"/>
  <c r="BK224" i="26"/>
  <c r="AW225" i="26" l="1"/>
  <c r="BJ225" i="26" l="1"/>
  <c r="AX225" i="26"/>
  <c r="BD225" i="26" s="1"/>
  <c r="AY225" i="26"/>
  <c r="BI225" i="26" s="1"/>
  <c r="AZ225" i="26" l="1"/>
  <c r="BF225" i="26"/>
  <c r="BB225" i="26"/>
  <c r="BC225" i="26"/>
  <c r="BE225" i="26"/>
  <c r="BA225" i="26"/>
  <c r="BG225" i="26"/>
  <c r="AU225" i="26"/>
  <c r="BL225" i="26"/>
  <c r="BH225" i="26"/>
  <c r="AV226" i="26"/>
  <c r="BK225" i="26"/>
  <c r="AW226" i="26" l="1"/>
  <c r="AY226" i="26" l="1"/>
  <c r="AX226" i="26"/>
  <c r="BA226" i="26" s="1"/>
  <c r="BJ226" i="26"/>
  <c r="BI226" i="26"/>
  <c r="BD226" i="26" l="1"/>
  <c r="AU226" i="26"/>
  <c r="BB226" i="26"/>
  <c r="AZ226" i="26"/>
  <c r="BE226" i="26"/>
  <c r="BC226" i="26"/>
  <c r="BL226" i="26"/>
  <c r="BH226" i="26"/>
  <c r="BG226" i="26"/>
  <c r="BF226" i="26"/>
  <c r="BK226" i="26"/>
  <c r="AV227" i="26"/>
  <c r="AW227" i="26" l="1"/>
  <c r="BJ227" i="26" l="1"/>
  <c r="AX227" i="26"/>
  <c r="AZ227" i="26" s="1"/>
  <c r="AY227" i="26"/>
  <c r="BI227" i="26" s="1"/>
  <c r="BD227" i="26" l="1"/>
  <c r="BC227" i="26"/>
  <c r="BA227" i="26"/>
  <c r="BL227" i="26"/>
  <c r="BB227" i="26"/>
  <c r="BE227" i="26"/>
  <c r="AU227" i="26"/>
  <c r="AV228" i="26"/>
  <c r="BG227" i="26"/>
  <c r="BK227" i="26"/>
  <c r="BH227" i="26"/>
  <c r="BF227" i="26"/>
  <c r="AW228" i="26" l="1"/>
  <c r="AX228" i="26" l="1"/>
  <c r="AZ228" i="26" s="1"/>
  <c r="AY228" i="26"/>
  <c r="BJ228" i="26"/>
  <c r="BI228" i="26"/>
  <c r="BK228" i="26" l="1"/>
  <c r="BD228" i="26"/>
  <c r="BA228" i="26"/>
  <c r="BE228" i="26"/>
  <c r="BF228" i="26"/>
  <c r="BB228" i="26"/>
  <c r="BC228" i="26"/>
  <c r="BG228" i="26"/>
  <c r="AU228" i="26"/>
  <c r="AV229" i="26"/>
  <c r="BH228" i="26"/>
  <c r="BL228" i="26"/>
  <c r="AW229" i="26" l="1"/>
  <c r="AG41" i="45"/>
  <c r="AY229" i="26" l="1"/>
  <c r="AU229" i="26" s="1"/>
  <c r="BJ229" i="26"/>
  <c r="AX229" i="26"/>
  <c r="BL229" i="26" s="1"/>
  <c r="BI229" i="26"/>
  <c r="BD229" i="26" l="1"/>
  <c r="BC229" i="26"/>
  <c r="AZ229" i="26"/>
  <c r="BE229" i="26"/>
  <c r="BG229" i="26"/>
  <c r="BA229" i="26"/>
  <c r="BB229" i="26"/>
  <c r="BF229" i="26"/>
  <c r="BH229" i="26"/>
  <c r="BK229" i="26"/>
  <c r="AV230" i="26"/>
  <c r="AW230" i="26" l="1"/>
  <c r="AY230" i="26" l="1"/>
  <c r="BJ230" i="26"/>
  <c r="BI230" i="26"/>
  <c r="AX230" i="26"/>
  <c r="AZ230" i="26" s="1"/>
  <c r="BC230" i="26" l="1"/>
  <c r="BB230" i="26"/>
  <c r="BD230" i="26"/>
  <c r="BF230" i="26"/>
  <c r="BA230" i="26"/>
  <c r="BE230" i="26"/>
  <c r="AU230" i="26"/>
  <c r="BL230" i="26"/>
  <c r="BH230" i="26"/>
  <c r="AV231" i="26"/>
  <c r="BG230" i="26"/>
  <c r="BK230" i="26"/>
  <c r="AW231" i="26" l="1"/>
  <c r="AX231" i="26" l="1"/>
  <c r="AZ231" i="26" s="1"/>
  <c r="AY231" i="26"/>
  <c r="BJ231" i="26"/>
  <c r="BE231" i="26" l="1"/>
  <c r="BB231" i="26"/>
  <c r="BA231" i="26"/>
  <c r="BD231" i="26"/>
  <c r="BF231" i="26"/>
  <c r="BC231" i="26"/>
  <c r="BI231" i="26"/>
  <c r="AV232" i="26"/>
  <c r="BG231" i="26"/>
  <c r="BL231" i="26"/>
  <c r="BH231" i="26"/>
  <c r="AU231" i="26"/>
  <c r="BK231" i="26"/>
  <c r="AW232" i="26" l="1"/>
  <c r="BJ232" i="26" l="1"/>
  <c r="AX232" i="26"/>
  <c r="AZ232" i="26" s="1"/>
  <c r="AY232" i="26"/>
  <c r="BL232" i="26" l="1"/>
  <c r="BB232" i="26"/>
  <c r="BD232" i="26"/>
  <c r="BE232" i="26"/>
  <c r="BF232" i="26"/>
  <c r="BC232" i="26"/>
  <c r="BI232" i="26"/>
  <c r="BA232" i="26"/>
  <c r="AV233" i="26"/>
  <c r="BK232" i="26"/>
  <c r="BH232" i="26"/>
  <c r="AU232" i="26"/>
  <c r="BG232" i="26"/>
  <c r="AW233" i="26" l="1"/>
  <c r="AX233" i="26" l="1"/>
  <c r="AZ233" i="26" s="1"/>
  <c r="BJ233" i="26"/>
  <c r="AY233" i="26"/>
  <c r="AU233" i="26" s="1"/>
  <c r="BI233" i="26"/>
  <c r="BH233" i="26" l="1"/>
  <c r="BK233" i="26"/>
  <c r="BG233" i="26"/>
  <c r="BB233" i="26"/>
  <c r="BF233" i="26"/>
  <c r="BC233" i="26"/>
  <c r="BD233" i="26"/>
  <c r="BE233" i="26"/>
  <c r="BL233" i="26"/>
  <c r="BA233" i="26"/>
  <c r="AV234" i="26"/>
  <c r="AW234" i="26" l="1"/>
  <c r="BJ234" i="26" l="1"/>
  <c r="AY234" i="26"/>
  <c r="AU234" i="26" s="1"/>
  <c r="AX234" i="26"/>
  <c r="AZ234" i="26" s="1"/>
  <c r="BI234" i="26"/>
  <c r="BF234" i="26" l="1"/>
  <c r="BE234" i="26"/>
  <c r="BB234" i="26"/>
  <c r="BA234" i="26"/>
  <c r="BD234" i="26"/>
  <c r="BK234" i="26"/>
  <c r="BC234" i="26"/>
  <c r="BH234" i="26"/>
  <c r="BL234" i="26"/>
  <c r="BG234" i="26"/>
  <c r="AV235" i="26"/>
  <c r="AW235" i="26" l="1"/>
  <c r="BJ235" i="26" l="1"/>
  <c r="AX235" i="26"/>
  <c r="AZ235" i="26" s="1"/>
  <c r="AY235" i="26"/>
  <c r="BE235" i="26" l="1"/>
  <c r="BF235" i="26"/>
  <c r="BC235" i="26"/>
  <c r="BB235" i="26"/>
  <c r="BD235" i="26"/>
  <c r="BG235" i="26"/>
  <c r="BA235" i="26"/>
  <c r="BH235" i="26"/>
  <c r="BI235" i="26"/>
  <c r="BK235" i="26"/>
  <c r="AU235" i="26"/>
  <c r="AV236" i="26"/>
  <c r="BL235" i="26"/>
  <c r="AW236" i="26" l="1"/>
  <c r="BJ236" i="26" l="1"/>
  <c r="AY236" i="26"/>
  <c r="AX236" i="26"/>
  <c r="BA236" i="26" s="1"/>
  <c r="BB236" i="26" l="1"/>
  <c r="AU236" i="26"/>
  <c r="BF236" i="26"/>
  <c r="AZ236" i="26"/>
  <c r="BD236" i="26"/>
  <c r="BE236" i="26"/>
  <c r="BC236" i="26"/>
  <c r="BK236" i="26"/>
  <c r="BG236" i="26"/>
  <c r="BH236" i="26"/>
  <c r="AV237" i="26"/>
  <c r="BI236" i="26"/>
  <c r="BL236" i="26"/>
  <c r="AW237" i="26" l="1"/>
  <c r="AG44" i="45"/>
  <c r="BJ237" i="26" l="1"/>
  <c r="AY237" i="26"/>
  <c r="AX237" i="26"/>
  <c r="AZ237" i="26" s="1"/>
  <c r="BI237" i="26"/>
  <c r="BB237" i="26" l="1"/>
  <c r="BD237" i="26"/>
  <c r="BA237" i="26"/>
  <c r="BE237" i="26"/>
  <c r="BC237" i="26"/>
  <c r="BL237" i="26"/>
  <c r="BH237" i="26"/>
  <c r="BF237" i="26"/>
  <c r="AV238" i="26"/>
  <c r="BK237" i="26"/>
  <c r="BG237" i="26"/>
  <c r="AU237" i="26"/>
  <c r="AW238" i="26" l="1"/>
  <c r="BJ238" i="26" l="1"/>
  <c r="AY238" i="26"/>
  <c r="AX238" i="26"/>
  <c r="AZ238" i="26" s="1"/>
  <c r="BE238" i="26" l="1"/>
  <c r="BA238" i="26"/>
  <c r="BC238" i="26"/>
  <c r="BB238" i="26"/>
  <c r="BD238" i="26"/>
  <c r="BF238" i="26"/>
  <c r="BK238" i="26"/>
  <c r="AU238" i="26"/>
  <c r="AV239" i="26"/>
  <c r="BL238" i="26"/>
  <c r="BG238" i="26"/>
  <c r="BH238" i="26"/>
  <c r="BI238" i="26"/>
  <c r="AW239" i="26" l="1"/>
  <c r="BJ239" i="26" l="1"/>
  <c r="AX239" i="26"/>
  <c r="AZ239" i="26" s="1"/>
  <c r="AY239" i="26"/>
  <c r="AU239" i="26" s="1"/>
  <c r="BD239" i="26" l="1"/>
  <c r="BC239" i="26"/>
  <c r="BB239" i="26"/>
  <c r="BA239" i="26"/>
  <c r="BK239" i="26"/>
  <c r="BE239" i="26"/>
  <c r="BF239" i="26"/>
  <c r="BL239" i="26"/>
  <c r="BG239" i="26"/>
  <c r="BH239" i="26"/>
  <c r="BI239" i="26"/>
  <c r="AV240" i="26"/>
  <c r="AW240" i="26" l="1"/>
  <c r="AY240" i="26" l="1"/>
  <c r="BI240" i="26"/>
  <c r="AX240" i="26"/>
  <c r="BG240" i="26" s="1"/>
  <c r="BJ240" i="26"/>
  <c r="BE240" i="26" l="1"/>
  <c r="AU240" i="26"/>
  <c r="BB240" i="26"/>
  <c r="BF240" i="26"/>
  <c r="BK240" i="26"/>
  <c r="AZ240" i="26"/>
  <c r="BC240" i="26"/>
  <c r="BA240" i="26"/>
  <c r="BD240" i="26"/>
  <c r="BL240" i="26"/>
  <c r="BH240" i="26"/>
  <c r="AV241" i="26"/>
  <c r="AW241" i="26" l="1"/>
  <c r="BJ241" i="26" l="1"/>
  <c r="AX241" i="26"/>
  <c r="AZ241" i="26" s="1"/>
  <c r="AY241" i="26"/>
  <c r="BI241" i="26" s="1"/>
  <c r="BC241" i="26" l="1"/>
  <c r="BD241" i="26"/>
  <c r="BE241" i="26"/>
  <c r="BA241" i="26"/>
  <c r="BB241" i="26"/>
  <c r="BH241" i="26"/>
  <c r="BG241" i="26"/>
  <c r="BK241" i="26"/>
  <c r="AU241" i="26"/>
  <c r="AV242" i="26"/>
  <c r="BL241" i="26"/>
  <c r="BF241" i="26"/>
  <c r="AW242" i="26" l="1"/>
  <c r="BJ242" i="26" l="1"/>
  <c r="AX242" i="26"/>
  <c r="AZ242" i="26" s="1"/>
  <c r="AY242" i="26"/>
  <c r="AG46" i="45"/>
  <c r="BA242" i="26" l="1"/>
  <c r="BC242" i="26"/>
  <c r="BD242" i="26"/>
  <c r="BE242" i="26"/>
  <c r="BB242" i="26"/>
  <c r="BI242" i="26"/>
  <c r="BG242" i="26"/>
  <c r="AU242" i="26"/>
  <c r="BF242" i="26"/>
  <c r="BK242" i="26"/>
  <c r="AV243" i="26"/>
  <c r="BL242" i="26"/>
  <c r="BH242" i="26"/>
  <c r="AW243" i="26" l="1"/>
  <c r="BJ243" i="26" l="1"/>
  <c r="AY243" i="26"/>
  <c r="AX243" i="26"/>
  <c r="AZ243" i="26" s="1"/>
  <c r="BI243" i="26" l="1"/>
  <c r="BD243" i="26"/>
  <c r="BB243" i="26"/>
  <c r="BA243" i="26"/>
  <c r="AU243" i="26"/>
  <c r="BG243" i="26"/>
  <c r="BC243" i="26"/>
  <c r="BE243" i="26"/>
  <c r="BK243" i="26"/>
  <c r="BL243" i="26"/>
  <c r="BF243" i="26"/>
  <c r="BH243" i="26"/>
  <c r="AV244" i="26"/>
  <c r="AW244" i="26" l="1"/>
  <c r="AX244" i="26" l="1"/>
  <c r="BA244" i="26" s="1"/>
  <c r="AY244" i="26"/>
  <c r="AU244" i="26" s="1"/>
  <c r="BJ244" i="26"/>
  <c r="BC244" i="26" l="1"/>
  <c r="AZ244" i="26"/>
  <c r="BB244" i="26"/>
  <c r="BG244" i="26"/>
  <c r="BE244" i="26"/>
  <c r="BD244" i="26"/>
  <c r="BK244" i="26"/>
  <c r="BH244" i="26"/>
  <c r="BF244" i="26"/>
  <c r="BI244" i="26"/>
  <c r="AV245" i="26"/>
  <c r="BL244" i="26"/>
  <c r="AW245" i="26" l="1"/>
  <c r="BJ245" i="26" l="1"/>
  <c r="AX245" i="26"/>
  <c r="BA245" i="26" s="1"/>
  <c r="AY245" i="26"/>
  <c r="BB245" i="26" l="1"/>
  <c r="AZ245" i="26"/>
  <c r="BC245" i="26"/>
  <c r="BK245" i="26"/>
  <c r="BD245" i="26"/>
  <c r="BG245" i="26"/>
  <c r="BE245" i="26"/>
  <c r="BL245" i="26"/>
  <c r="BF245" i="26"/>
  <c r="BH245" i="26"/>
  <c r="BI245" i="26"/>
  <c r="AU245" i="26"/>
  <c r="AV246" i="26"/>
  <c r="AW246" i="26" l="1"/>
  <c r="BJ246" i="26" l="1"/>
  <c r="AY246" i="26"/>
  <c r="AX246" i="26"/>
  <c r="AZ246" i="26" s="1"/>
  <c r="BD246" i="26" l="1"/>
  <c r="BC246" i="26"/>
  <c r="BB246" i="26"/>
  <c r="BE246" i="26"/>
  <c r="BA246" i="26"/>
  <c r="BF246" i="26"/>
  <c r="BL246" i="26"/>
  <c r="BG246" i="26"/>
  <c r="AV247" i="26"/>
  <c r="BK246" i="26"/>
  <c r="BI246" i="26"/>
  <c r="AU246" i="26"/>
  <c r="BH246" i="26"/>
  <c r="AW247" i="26" l="1"/>
  <c r="BJ247" i="26" l="1"/>
  <c r="AY247" i="26"/>
  <c r="AU247" i="26" s="1"/>
  <c r="AX247" i="26"/>
  <c r="AZ247" i="26" s="1"/>
  <c r="AG48" i="45"/>
  <c r="BI247" i="26" l="1"/>
  <c r="BH247" i="26"/>
  <c r="BA247" i="26"/>
  <c r="BE247" i="26"/>
  <c r="BC247" i="26"/>
  <c r="BD247" i="26"/>
  <c r="BB247" i="26"/>
  <c r="BK247" i="26"/>
  <c r="AV248" i="26"/>
  <c r="BG247" i="26"/>
  <c r="BF247" i="26"/>
  <c r="BL247" i="26"/>
  <c r="AW248" i="26" l="1"/>
  <c r="BJ248" i="26" l="1"/>
  <c r="AY248" i="26"/>
  <c r="AX248" i="26"/>
  <c r="AZ248" i="26" s="1"/>
  <c r="BC248" i="26" l="1"/>
  <c r="BB248" i="26"/>
  <c r="BA248" i="26"/>
  <c r="BD248" i="26"/>
  <c r="BE248" i="26"/>
  <c r="BG248" i="26"/>
  <c r="BI248" i="26"/>
  <c r="AV249" i="26"/>
  <c r="BH248" i="26"/>
  <c r="BK248" i="26"/>
  <c r="BL248" i="26"/>
  <c r="AU248" i="26"/>
  <c r="BF248" i="26"/>
  <c r="AW249" i="26" l="1"/>
  <c r="AY249" i="26" l="1"/>
  <c r="BJ249" i="26"/>
  <c r="AX249" i="26"/>
  <c r="AZ249" i="26" s="1"/>
  <c r="BC249" i="26" l="1"/>
  <c r="BB249" i="26"/>
  <c r="BE249" i="26"/>
  <c r="BD249" i="26"/>
  <c r="AU249" i="26"/>
  <c r="BA249" i="26"/>
  <c r="BG249" i="26"/>
  <c r="BL249" i="26"/>
  <c r="AV250" i="26"/>
  <c r="BK249" i="26"/>
  <c r="BF249" i="26"/>
  <c r="BH249" i="26"/>
  <c r="BI249" i="26"/>
  <c r="AW250" i="26" l="1"/>
  <c r="AG49" i="45"/>
  <c r="BJ250" i="26" l="1"/>
  <c r="AX250" i="26"/>
  <c r="AZ250" i="26" s="1"/>
  <c r="AY250" i="26"/>
  <c r="BF250" i="26" l="1"/>
  <c r="BB250" i="26"/>
  <c r="BA250" i="26"/>
  <c r="BC250" i="26"/>
  <c r="BD250" i="26"/>
  <c r="BK250" i="26"/>
  <c r="BE250" i="26"/>
  <c r="BH250" i="26"/>
  <c r="BG250" i="26"/>
  <c r="AU250" i="26"/>
  <c r="AV251" i="26"/>
  <c r="BI250" i="26"/>
  <c r="BL250" i="26"/>
  <c r="AW251" i="26" l="1"/>
  <c r="AX251" i="26" l="1"/>
  <c r="AZ251" i="26" s="1"/>
  <c r="BJ251" i="26"/>
  <c r="AY251" i="26"/>
  <c r="BG251" i="26" l="1"/>
  <c r="BE251" i="26"/>
  <c r="BB251" i="26"/>
  <c r="BD251" i="26"/>
  <c r="BH251" i="26"/>
  <c r="BA251" i="26"/>
  <c r="BC251" i="26"/>
  <c r="BL251" i="26"/>
  <c r="AV252" i="26"/>
  <c r="BF251" i="26"/>
  <c r="BI251" i="26"/>
  <c r="BK251" i="26"/>
  <c r="AU251" i="26"/>
  <c r="AW252" i="26" l="1"/>
  <c r="AY252" i="26" l="1"/>
  <c r="AU252" i="26" s="1"/>
  <c r="AX252" i="26"/>
  <c r="AZ252" i="26" s="1"/>
  <c r="BJ252" i="26" l="1"/>
  <c r="BE252" i="26"/>
  <c r="BB252" i="26"/>
  <c r="BC252" i="26"/>
  <c r="BD252" i="26"/>
  <c r="BA252" i="26"/>
  <c r="BF252" i="26"/>
  <c r="BL252" i="26"/>
  <c r="BH252" i="26"/>
  <c r="BK252" i="26"/>
  <c r="BG252" i="26"/>
  <c r="AV253" i="26"/>
  <c r="BI252" i="26"/>
  <c r="AW253" i="26" l="1"/>
  <c r="AX253" i="26" l="1"/>
  <c r="AZ253" i="26" s="1"/>
  <c r="AY253" i="26"/>
  <c r="BB253" i="26" s="1"/>
  <c r="BJ253" i="26"/>
  <c r="BG253" i="26" l="1"/>
  <c r="BA253" i="26"/>
  <c r="BD253" i="26"/>
  <c r="BC253" i="26"/>
  <c r="BE253" i="26"/>
  <c r="AU253" i="26"/>
  <c r="BH253" i="26"/>
  <c r="AV254" i="26"/>
  <c r="BF253" i="26"/>
  <c r="BL253" i="26"/>
  <c r="BK253" i="26"/>
  <c r="BI253" i="26"/>
  <c r="AW254" i="26" l="1"/>
  <c r="AX254" i="26" l="1"/>
  <c r="AY254" i="26"/>
  <c r="BJ254" i="26"/>
  <c r="BB254" i="26" l="1"/>
  <c r="AZ254" i="26"/>
  <c r="BI254" i="26"/>
  <c r="BH254" i="26"/>
  <c r="BE254" i="26"/>
  <c r="BC254" i="26"/>
  <c r="BL254" i="26"/>
  <c r="BA254" i="26"/>
  <c r="BD254" i="26"/>
  <c r="BG254" i="26"/>
  <c r="AV255" i="26"/>
  <c r="AU254" i="26"/>
  <c r="BF254" i="26"/>
  <c r="BK254" i="26"/>
  <c r="AW255" i="26" l="1"/>
  <c r="AX255" i="26" l="1"/>
  <c r="BJ255" i="26"/>
  <c r="AY255" i="26"/>
  <c r="BH255" i="26" l="1"/>
  <c r="BD255" i="26"/>
  <c r="BG255" i="26"/>
  <c r="BE255" i="26"/>
  <c r="BF255" i="26"/>
  <c r="BB255" i="26"/>
  <c r="BA255" i="26"/>
  <c r="AZ255" i="26"/>
  <c r="BC255" i="26"/>
  <c r="AU255" i="26"/>
  <c r="BK255" i="26"/>
  <c r="AV256" i="26"/>
  <c r="BI255" i="26"/>
  <c r="BL255" i="26"/>
  <c r="AW256" i="26" l="1"/>
  <c r="AX256" i="26" l="1"/>
  <c r="AZ256" i="26" s="1"/>
  <c r="BJ256" i="26"/>
  <c r="AY256" i="26"/>
  <c r="BA256" i="26" l="1"/>
  <c r="BE256" i="26"/>
  <c r="BD256" i="26"/>
  <c r="BB256" i="26"/>
  <c r="BI256" i="26"/>
  <c r="AV257" i="26"/>
  <c r="BG256" i="26"/>
  <c r="BH256" i="26"/>
  <c r="BK256" i="26"/>
  <c r="BL256" i="26"/>
  <c r="AU256" i="26"/>
  <c r="BF256" i="26"/>
  <c r="BC256" i="26"/>
  <c r="AW257" i="26" l="1"/>
  <c r="AY257" i="26" l="1"/>
  <c r="AX257" i="26"/>
  <c r="AZ257" i="26" s="1"/>
  <c r="BJ257" i="26"/>
  <c r="BA257" i="26" l="1"/>
  <c r="BB257" i="26"/>
  <c r="BC257" i="26"/>
  <c r="BE257" i="26"/>
  <c r="BI257" i="26"/>
  <c r="AU257" i="26"/>
  <c r="BD257" i="26"/>
  <c r="BK257" i="26"/>
  <c r="BF257" i="26"/>
  <c r="BH257" i="26"/>
  <c r="BL257" i="26"/>
  <c r="BG257" i="26"/>
  <c r="AV258" i="26"/>
  <c r="AW258" i="26" l="1"/>
  <c r="AX258" i="26" l="1"/>
  <c r="BE258" i="26" s="1"/>
  <c r="BJ258" i="26"/>
  <c r="AY258" i="26"/>
  <c r="AU258" i="26" s="1"/>
  <c r="BA258" i="26" l="1"/>
  <c r="BC258" i="26"/>
  <c r="BB258" i="26"/>
  <c r="BH258" i="26"/>
  <c r="AZ258" i="26"/>
  <c r="BK258" i="26"/>
  <c r="BD258" i="26"/>
  <c r="BL258" i="26"/>
  <c r="AV259" i="26"/>
  <c r="BF258" i="26"/>
  <c r="BG258" i="26"/>
  <c r="BI258" i="26"/>
  <c r="AW259" i="26" l="1"/>
  <c r="AY259" i="26" l="1"/>
  <c r="BJ259" i="26"/>
  <c r="AX259" i="26"/>
  <c r="AZ259" i="26" s="1"/>
  <c r="BB259" i="26" l="1"/>
  <c r="BE259" i="26"/>
  <c r="AU259" i="26"/>
  <c r="BA259" i="26"/>
  <c r="BC259" i="26"/>
  <c r="BD259" i="26"/>
  <c r="BF259" i="26"/>
  <c r="BG259" i="26"/>
  <c r="BK259" i="26"/>
  <c r="BL259" i="26"/>
  <c r="AV260" i="26"/>
  <c r="BI259" i="26"/>
  <c r="BH259" i="26"/>
  <c r="AW260" i="26" l="1"/>
  <c r="BJ260" i="26" l="1"/>
  <c r="AY260" i="26"/>
  <c r="AX260" i="26"/>
  <c r="AZ260" i="26" s="1"/>
  <c r="BD260" i="26" l="1"/>
  <c r="BA260" i="26"/>
  <c r="BC260" i="26"/>
  <c r="BB260" i="26"/>
  <c r="BE260" i="26"/>
  <c r="BK260" i="26"/>
  <c r="BH260" i="26"/>
  <c r="BF260" i="26"/>
  <c r="BI260" i="26"/>
  <c r="BL260" i="26"/>
  <c r="AU260" i="26"/>
  <c r="AV261" i="26"/>
  <c r="BG260" i="26"/>
  <c r="AW261" i="26" l="1"/>
  <c r="BJ261" i="26" l="1"/>
  <c r="AX261" i="26"/>
  <c r="AZ261" i="26" s="1"/>
  <c r="AY261" i="26"/>
  <c r="AU261" i="26" s="1"/>
  <c r="BI261" i="26"/>
  <c r="BB261" i="26" l="1"/>
  <c r="BE261" i="26"/>
  <c r="BK261" i="26"/>
  <c r="BC261" i="26"/>
  <c r="BA261" i="26"/>
  <c r="BD261" i="26"/>
  <c r="BF261" i="26"/>
  <c r="BH261" i="26"/>
  <c r="BG261" i="26"/>
  <c r="AV262" i="26"/>
  <c r="BL261" i="26"/>
  <c r="AW262" i="26" l="1"/>
  <c r="AY262" i="26" l="1"/>
  <c r="AU262" i="26" s="1"/>
  <c r="BJ262" i="26"/>
  <c r="AX262" i="26"/>
  <c r="AZ262" i="26" s="1"/>
  <c r="BA262" i="26" l="1"/>
  <c r="BD262" i="26"/>
  <c r="BE262" i="26"/>
  <c r="BH262" i="26"/>
  <c r="BC262" i="26"/>
  <c r="BB262" i="26"/>
  <c r="BL262" i="26"/>
  <c r="BI262" i="26"/>
  <c r="BK262" i="26"/>
  <c r="AV263" i="26"/>
  <c r="BG262" i="26"/>
  <c r="BF262" i="26"/>
  <c r="AW263" i="26" l="1"/>
  <c r="BJ263" i="26" l="1"/>
  <c r="AX263" i="26"/>
  <c r="AZ263" i="26" s="1"/>
  <c r="AY263" i="26"/>
  <c r="AU263" i="26" s="1"/>
  <c r="BB263" i="26" l="1"/>
  <c r="BA263" i="26"/>
  <c r="BE263" i="26"/>
  <c r="BG263" i="26"/>
  <c r="BD263" i="26"/>
  <c r="BL263" i="26"/>
  <c r="BC263" i="26"/>
  <c r="BF263" i="26"/>
  <c r="BI263" i="26"/>
  <c r="AV264" i="26"/>
  <c r="BH263" i="26"/>
  <c r="BK263" i="26"/>
  <c r="AW264" i="26" l="1"/>
  <c r="AY264" i="26" l="1"/>
  <c r="BJ264" i="26"/>
  <c r="AX264" i="26"/>
  <c r="BB264" i="26" l="1"/>
  <c r="AU264" i="26"/>
  <c r="BK264" i="26"/>
  <c r="AZ264" i="26"/>
  <c r="BD264" i="26"/>
  <c r="BA264" i="26"/>
  <c r="BE264" i="26"/>
  <c r="BC264" i="26"/>
  <c r="BF264" i="26"/>
  <c r="BL264" i="26"/>
  <c r="BH264" i="26"/>
  <c r="AV265" i="26"/>
  <c r="BI264" i="26"/>
  <c r="BG264" i="26"/>
  <c r="AW265" i="26" l="1"/>
  <c r="AG55" i="45"/>
  <c r="AX265" i="26" l="1"/>
  <c r="AZ265" i="26" s="1"/>
  <c r="BJ265" i="26"/>
  <c r="AY265" i="26"/>
  <c r="BI265" i="26" s="1"/>
  <c r="BC265" i="26" l="1"/>
  <c r="BB265" i="26"/>
  <c r="BD265" i="26"/>
  <c r="BA265" i="26"/>
  <c r="BE265" i="26"/>
  <c r="BG265" i="26"/>
  <c r="BH265" i="26"/>
  <c r="BL265" i="26"/>
  <c r="AU265" i="26"/>
  <c r="AV266" i="26"/>
  <c r="BF265" i="26"/>
  <c r="BK265" i="26"/>
  <c r="AW266" i="26" l="1"/>
  <c r="BJ266" i="26" l="1"/>
  <c r="AY266" i="26"/>
  <c r="AX266" i="26"/>
  <c r="BG266" i="26" l="1"/>
  <c r="BD266" i="26"/>
  <c r="BC266" i="26"/>
  <c r="BA266" i="26"/>
  <c r="BE266" i="26"/>
  <c r="AZ266" i="26"/>
  <c r="BB266" i="26"/>
  <c r="BK266" i="26"/>
  <c r="BF266" i="26"/>
  <c r="BI266" i="26"/>
  <c r="AU266" i="26"/>
  <c r="BH266" i="26"/>
  <c r="AV267" i="26"/>
  <c r="BL266" i="26"/>
  <c r="AW267" i="26" l="1"/>
  <c r="AY267" i="26" l="1"/>
  <c r="BJ267" i="26"/>
  <c r="AX267" i="26"/>
  <c r="BC267" i="26" s="1"/>
  <c r="BE267" i="26" l="1"/>
  <c r="AU267" i="26"/>
  <c r="AZ267" i="26"/>
  <c r="BD267" i="26"/>
  <c r="BK267" i="26"/>
  <c r="BL267" i="26"/>
  <c r="BH267" i="26"/>
  <c r="AV268" i="26"/>
  <c r="BI267" i="26"/>
  <c r="BG267" i="26"/>
  <c r="BF267" i="26"/>
  <c r="BA267" i="26"/>
  <c r="BB267" i="26"/>
  <c r="AW268" i="26" l="1"/>
  <c r="BJ268" i="26" l="1"/>
  <c r="AX268" i="26"/>
  <c r="AZ268" i="26" s="1"/>
  <c r="AY268" i="26"/>
  <c r="BE268" i="26" l="1"/>
  <c r="BB268" i="26"/>
  <c r="BA268" i="26"/>
  <c r="BL268" i="26"/>
  <c r="BH268" i="26"/>
  <c r="BC268" i="26"/>
  <c r="BD268" i="26"/>
  <c r="BI268" i="26"/>
  <c r="BG268" i="26"/>
  <c r="BF268" i="26"/>
  <c r="AU268" i="26"/>
  <c r="AV269" i="26"/>
  <c r="BK268" i="26"/>
  <c r="AW269" i="26" l="1"/>
  <c r="BJ269" i="26" l="1"/>
  <c r="AX269" i="26"/>
  <c r="BB269" i="26" s="1"/>
  <c r="AY269" i="26"/>
  <c r="AU269" i="26" s="1"/>
  <c r="BL269" i="26" l="1"/>
  <c r="AZ269" i="26"/>
  <c r="BA269" i="26"/>
  <c r="BE269" i="26"/>
  <c r="BD269" i="26"/>
  <c r="BC269" i="26"/>
  <c r="BG269" i="26"/>
  <c r="BK269" i="26"/>
  <c r="BI269" i="26"/>
  <c r="AV270" i="26"/>
  <c r="BF269" i="26"/>
  <c r="BH269" i="26"/>
  <c r="AW270" i="26" l="1"/>
  <c r="BJ270" i="26" l="1"/>
  <c r="AY270" i="26"/>
  <c r="AX270" i="26"/>
  <c r="AZ270" i="26" s="1"/>
  <c r="BI270" i="26" l="1"/>
  <c r="BB270" i="26"/>
  <c r="BC270" i="26"/>
  <c r="BD270" i="26"/>
  <c r="AU270" i="26"/>
  <c r="BA270" i="26"/>
  <c r="BE270" i="26"/>
  <c r="BG270" i="26"/>
  <c r="BK270" i="26"/>
  <c r="BF270" i="26"/>
  <c r="BL270" i="26"/>
  <c r="AV271" i="26"/>
  <c r="BH270" i="26"/>
  <c r="AW271" i="26" l="1"/>
  <c r="AX271" i="26" l="1"/>
  <c r="AZ271" i="26" s="1"/>
  <c r="BJ271" i="26"/>
  <c r="AY271" i="26"/>
  <c r="BI271" i="26" s="1"/>
  <c r="BB271" i="26" l="1"/>
  <c r="BD271" i="26"/>
  <c r="BC271" i="26"/>
  <c r="BE271" i="26"/>
  <c r="BA271" i="26"/>
  <c r="AU271" i="26"/>
  <c r="BK271" i="26"/>
  <c r="BF271" i="26"/>
  <c r="BG271" i="26"/>
  <c r="AV272" i="26"/>
  <c r="BH271" i="26"/>
  <c r="BL271" i="26"/>
  <c r="AW272" i="26" l="1"/>
  <c r="AY272" i="26" l="1"/>
  <c r="AX272" i="26"/>
  <c r="AZ272" i="26" s="1"/>
  <c r="BJ272" i="26"/>
  <c r="BC272" i="26" l="1"/>
  <c r="BE272" i="26"/>
  <c r="BA272" i="26"/>
  <c r="BB272" i="26"/>
  <c r="AU272" i="26"/>
  <c r="BD272" i="26"/>
  <c r="BG272" i="26"/>
  <c r="BK272" i="26"/>
  <c r="BF272" i="26"/>
  <c r="BI272" i="26"/>
  <c r="BL272" i="26"/>
  <c r="AV273" i="26"/>
  <c r="BH272" i="26"/>
  <c r="AW273" i="26" l="1"/>
  <c r="AX273" i="26" l="1"/>
  <c r="BJ273" i="26"/>
  <c r="AY273" i="26"/>
  <c r="AU273" i="26" s="1"/>
  <c r="BE273" i="26" l="1"/>
  <c r="BB273" i="26"/>
  <c r="BH273" i="26"/>
  <c r="BC273" i="26"/>
  <c r="BA273" i="26"/>
  <c r="AZ273" i="26"/>
  <c r="BF273" i="26"/>
  <c r="BI273" i="26"/>
  <c r="BD273" i="26"/>
  <c r="BL273" i="26"/>
  <c r="AV274" i="26"/>
  <c r="BG273" i="26"/>
  <c r="BK273" i="26"/>
  <c r="AW274" i="26" l="1"/>
  <c r="AX274" i="26" l="1"/>
  <c r="AZ274" i="26" s="1"/>
  <c r="BJ274" i="26"/>
  <c r="AY274" i="26"/>
  <c r="BI274" i="26"/>
  <c r="BK274" i="26" l="1"/>
  <c r="BB274" i="26"/>
  <c r="BD274" i="26"/>
  <c r="BE274" i="26"/>
  <c r="BL274" i="26"/>
  <c r="BA274" i="26"/>
  <c r="BC274" i="26"/>
  <c r="AV275" i="26"/>
  <c r="BH274" i="26"/>
  <c r="AU274" i="26"/>
  <c r="BG274" i="26"/>
  <c r="BF274" i="26"/>
  <c r="AW275" i="26" l="1"/>
  <c r="AX275" i="26" l="1"/>
  <c r="AZ275" i="26" s="1"/>
  <c r="AY275" i="26"/>
  <c r="BI275" i="26" s="1"/>
  <c r="BJ275" i="26"/>
  <c r="AG59" i="45"/>
  <c r="BE275" i="26" l="1"/>
  <c r="BD275" i="26"/>
  <c r="BA275" i="26"/>
  <c r="AU275" i="26"/>
  <c r="BB275" i="26"/>
  <c r="BL275" i="26"/>
  <c r="BC275" i="26"/>
  <c r="BF275" i="26"/>
  <c r="BH275" i="26"/>
  <c r="BG275" i="26"/>
  <c r="AV276" i="26"/>
  <c r="BK275" i="26"/>
  <c r="AW276" i="26" l="1"/>
  <c r="BJ276" i="26" l="1"/>
  <c r="AX276" i="26"/>
  <c r="BH276" i="26" s="1"/>
  <c r="AY276" i="26"/>
  <c r="BE276" i="26" s="1"/>
  <c r="BI276" i="26"/>
  <c r="BA276" i="26" l="1"/>
  <c r="AU276" i="26"/>
  <c r="AZ276" i="26"/>
  <c r="BF276" i="26"/>
  <c r="BB276" i="26"/>
  <c r="BL276" i="26"/>
  <c r="BK276" i="26"/>
  <c r="BC276" i="26"/>
  <c r="BD276" i="26"/>
  <c r="BG276" i="26"/>
  <c r="AV277" i="26"/>
  <c r="AW277" i="26" l="1"/>
  <c r="AY277" i="26" l="1"/>
  <c r="AU277" i="26" s="1"/>
  <c r="BJ277" i="26"/>
  <c r="BI277" i="26"/>
  <c r="AX277" i="26"/>
  <c r="BA277" i="26" s="1"/>
  <c r="BD277" i="26" l="1"/>
  <c r="BB277" i="26"/>
  <c r="BE277" i="26"/>
  <c r="BC277" i="26"/>
  <c r="AZ277" i="26"/>
  <c r="BL277" i="26"/>
  <c r="BG277" i="26"/>
  <c r="BK277" i="26"/>
  <c r="BH277" i="26"/>
  <c r="BF277" i="26"/>
  <c r="AV278" i="26"/>
  <c r="AW278" i="26" l="1"/>
  <c r="AX278" i="26" l="1"/>
  <c r="BB278" i="26" s="1"/>
  <c r="BI278" i="26"/>
  <c r="BJ278" i="26"/>
  <c r="AY278" i="26"/>
  <c r="AU278" i="26" s="1"/>
  <c r="AG60" i="45"/>
  <c r="AZ278" i="26" l="1"/>
  <c r="BE278" i="26"/>
  <c r="BD278" i="26"/>
  <c r="BC278" i="26"/>
  <c r="BA278" i="26"/>
  <c r="BF278" i="26"/>
  <c r="BK278" i="26"/>
  <c r="AV279" i="26"/>
  <c r="BH278" i="26"/>
  <c r="BL278" i="26"/>
  <c r="BG278" i="26"/>
  <c r="AW279" i="26" l="1"/>
  <c r="BJ279" i="26" l="1"/>
  <c r="AY279" i="26"/>
  <c r="AX279" i="26"/>
  <c r="BH279" i="26" s="1"/>
  <c r="BI279" i="26"/>
  <c r="BB279" i="26" l="1"/>
  <c r="AU279" i="26"/>
  <c r="BA279" i="26"/>
  <c r="BD279" i="26"/>
  <c r="BE279" i="26"/>
  <c r="BG279" i="26"/>
  <c r="BC279" i="26"/>
  <c r="BF279" i="26"/>
  <c r="AZ279" i="26"/>
  <c r="BL279" i="26"/>
  <c r="BK279" i="26"/>
  <c r="AV280" i="26"/>
  <c r="AW280" i="26" l="1"/>
  <c r="AX280" i="26" l="1"/>
  <c r="BJ280" i="26"/>
  <c r="AY280" i="26"/>
  <c r="BL280" i="26" l="1"/>
  <c r="BE280" i="26"/>
  <c r="BI280" i="26"/>
  <c r="AZ280" i="26"/>
  <c r="BD280" i="26"/>
  <c r="BC280" i="26"/>
  <c r="BH280" i="26"/>
  <c r="BB280" i="26"/>
  <c r="AU280" i="26"/>
  <c r="BA280" i="26"/>
  <c r="AV281" i="26"/>
  <c r="BF280" i="26"/>
  <c r="BK280" i="26"/>
  <c r="BG280" i="26"/>
  <c r="AW281" i="26" l="1"/>
  <c r="BJ281" i="26" l="1"/>
  <c r="AY281" i="26"/>
  <c r="AX281" i="26"/>
  <c r="AZ281" i="26" s="1"/>
  <c r="BI281" i="26"/>
  <c r="BD281" i="26" l="1"/>
  <c r="AU281" i="26"/>
  <c r="BE281" i="26"/>
  <c r="BA281" i="26"/>
  <c r="BH281" i="26"/>
  <c r="BG281" i="26"/>
  <c r="BF281" i="26"/>
  <c r="BK281" i="26"/>
  <c r="BB281" i="26"/>
  <c r="BL281" i="26"/>
  <c r="AV282" i="26"/>
  <c r="BC281" i="26"/>
  <c r="AW282" i="26" l="1"/>
  <c r="BJ282" i="26" l="1"/>
  <c r="AY282" i="26"/>
  <c r="AX282" i="26"/>
  <c r="AZ282" i="26" s="1"/>
  <c r="BA282" i="26" l="1"/>
  <c r="BG282" i="26"/>
  <c r="BD282" i="26"/>
  <c r="BB282" i="26"/>
  <c r="BE282" i="26"/>
  <c r="BC282" i="26"/>
  <c r="BF282" i="26"/>
  <c r="BL282" i="26"/>
  <c r="BH282" i="26"/>
  <c r="BI282" i="26"/>
  <c r="BK282" i="26"/>
  <c r="AV283" i="26"/>
  <c r="AU282" i="26"/>
  <c r="AW283" i="26" l="1"/>
  <c r="BJ283" i="26" l="1"/>
  <c r="AX283" i="26"/>
  <c r="AZ283" i="26" s="1"/>
  <c r="AY283" i="26"/>
  <c r="BH283" i="26" l="1"/>
  <c r="BD283" i="26"/>
  <c r="BE283" i="26"/>
  <c r="BC283" i="26"/>
  <c r="BA283" i="26"/>
  <c r="BB283" i="26"/>
  <c r="BI283" i="26"/>
  <c r="AU283" i="26"/>
  <c r="AV284" i="26"/>
  <c r="BK283" i="26"/>
  <c r="BL283" i="26"/>
  <c r="BG283" i="26"/>
  <c r="BF283" i="26"/>
  <c r="AW284" i="26" l="1"/>
  <c r="BI284" i="26" l="1"/>
  <c r="BJ284" i="26"/>
  <c r="AY284" i="26"/>
  <c r="AX284" i="26"/>
  <c r="AZ284" i="26" s="1"/>
  <c r="BD284" i="26" l="1"/>
  <c r="BB284" i="26"/>
  <c r="BC284" i="26"/>
  <c r="BA284" i="26"/>
  <c r="BE284" i="26"/>
  <c r="BF284" i="26"/>
  <c r="BL284" i="26"/>
  <c r="AU284" i="26"/>
  <c r="BK284" i="26"/>
  <c r="BG284" i="26"/>
  <c r="AV285" i="26"/>
  <c r="BH284" i="26"/>
  <c r="AW285" i="26" l="1"/>
  <c r="AX285" i="26" l="1"/>
  <c r="BE285" i="26" s="1"/>
  <c r="AY285" i="26"/>
  <c r="AU285" i="26" s="1"/>
  <c r="BJ285" i="26"/>
  <c r="BI285" i="26" l="1"/>
  <c r="AZ285" i="26"/>
  <c r="BB285" i="26"/>
  <c r="BA285" i="26"/>
  <c r="BD285" i="26"/>
  <c r="BC285" i="26"/>
  <c r="BL285" i="26"/>
  <c r="BH285" i="26"/>
  <c r="BG285" i="26"/>
  <c r="BK285" i="26"/>
  <c r="AV286" i="26"/>
  <c r="BF285" i="26"/>
  <c r="AW286" i="26" l="1"/>
  <c r="AY286" i="26" l="1"/>
  <c r="AU286" i="26" s="1"/>
  <c r="AX286" i="26"/>
  <c r="BJ286" i="26"/>
  <c r="BH286" i="26" l="1"/>
  <c r="BL286" i="26"/>
  <c r="BB286" i="26"/>
  <c r="BI286" i="26"/>
  <c r="BC286" i="26"/>
  <c r="BD286" i="26"/>
  <c r="BE286" i="26"/>
  <c r="BA286" i="26"/>
  <c r="AZ286" i="26"/>
  <c r="BK286" i="26"/>
  <c r="BF286" i="26"/>
  <c r="BG286" i="26"/>
  <c r="AV287" i="26"/>
  <c r="AW287" i="26" l="1"/>
  <c r="AX287" i="26" l="1"/>
  <c r="AZ287" i="26" s="1"/>
  <c r="BJ287" i="26"/>
  <c r="AY287" i="26"/>
  <c r="AU287" i="26" s="1"/>
  <c r="BE287" i="26" l="1"/>
  <c r="BC287" i="26"/>
  <c r="BD287" i="26"/>
  <c r="BA287" i="26"/>
  <c r="BB287" i="26"/>
  <c r="BF287" i="26"/>
  <c r="BL287" i="26"/>
  <c r="BG287" i="26"/>
  <c r="BI287" i="26"/>
  <c r="BK287" i="26"/>
  <c r="AV288" i="26"/>
  <c r="BH287" i="26"/>
  <c r="AW288" i="26" l="1"/>
  <c r="BJ288" i="26" l="1"/>
  <c r="AX288" i="26"/>
  <c r="BD288" i="26" s="1"/>
  <c r="AY288" i="26"/>
  <c r="BI288" i="26"/>
  <c r="AZ288" i="26" l="1"/>
  <c r="BB288" i="26"/>
  <c r="BH288" i="26"/>
  <c r="AU288" i="26"/>
  <c r="BE288" i="26"/>
  <c r="BC288" i="26"/>
  <c r="BA288" i="26"/>
  <c r="BL288" i="26"/>
  <c r="BF288" i="26"/>
  <c r="BK288" i="26"/>
  <c r="BG288" i="26"/>
  <c r="AV289" i="26"/>
  <c r="AW289" i="26" l="1"/>
  <c r="AG64" i="45"/>
  <c r="BJ289" i="26" l="1"/>
  <c r="AY289" i="26"/>
  <c r="AX289" i="26"/>
  <c r="AZ289" i="26" s="1"/>
  <c r="BI289" i="26"/>
  <c r="BD289" i="26" l="1"/>
  <c r="AU289" i="26"/>
  <c r="BC289" i="26"/>
  <c r="BH289" i="26"/>
  <c r="BE289" i="26"/>
  <c r="BA289" i="26"/>
  <c r="BB289" i="26"/>
  <c r="BL289" i="26"/>
  <c r="BG289" i="26"/>
  <c r="BK289" i="26"/>
  <c r="BF289" i="26"/>
  <c r="AV290" i="26"/>
  <c r="AW290" i="26" l="1"/>
  <c r="AY290" i="26" l="1"/>
  <c r="AU290" i="26" s="1"/>
  <c r="BJ290" i="26"/>
  <c r="AX290" i="26"/>
  <c r="BD290" i="26" s="1"/>
  <c r="BI290" i="26" l="1"/>
  <c r="BC290" i="26"/>
  <c r="BF290" i="26"/>
  <c r="BE290" i="26"/>
  <c r="BA290" i="26"/>
  <c r="BG290" i="26"/>
  <c r="BH290" i="26"/>
  <c r="AZ290" i="26"/>
  <c r="BB290" i="26"/>
  <c r="BK290" i="26"/>
  <c r="BL290" i="26"/>
  <c r="AV291" i="26"/>
  <c r="AW291" i="26" l="1"/>
  <c r="AX291" i="26" l="1"/>
  <c r="AZ291" i="26" s="1"/>
  <c r="BJ291" i="26"/>
  <c r="AY291" i="26"/>
  <c r="AU291" i="26" s="1"/>
  <c r="BC291" i="26" l="1"/>
  <c r="BB291" i="26"/>
  <c r="BA291" i="26"/>
  <c r="BE291" i="26"/>
  <c r="BD291" i="26"/>
  <c r="AV292" i="26"/>
  <c r="BH291" i="26"/>
  <c r="BL291" i="26"/>
  <c r="BK291" i="26"/>
  <c r="BI291" i="26"/>
  <c r="BF291" i="26"/>
  <c r="BG291" i="26"/>
  <c r="AG65" i="45"/>
  <c r="AW292" i="26" l="1"/>
  <c r="AX292" i="26" l="1"/>
  <c r="AZ292" i="26" s="1"/>
  <c r="BJ292" i="26"/>
  <c r="AY292" i="26"/>
  <c r="BC292" i="26" l="1"/>
  <c r="BF292" i="26"/>
  <c r="BE292" i="26"/>
  <c r="BB292" i="26"/>
  <c r="BD292" i="26"/>
  <c r="BA292" i="26"/>
  <c r="BI292" i="26"/>
  <c r="BH292" i="26"/>
  <c r="BL292" i="26"/>
  <c r="BG292" i="26"/>
  <c r="AU292" i="26"/>
  <c r="AV293" i="26"/>
  <c r="BK292" i="26"/>
  <c r="AW293" i="26" l="1"/>
  <c r="BJ293" i="26" l="1"/>
  <c r="AX293" i="26"/>
  <c r="BA293" i="26" s="1"/>
  <c r="AY293" i="26"/>
  <c r="BB293" i="26" l="1"/>
  <c r="AZ293" i="26"/>
  <c r="BE293" i="26"/>
  <c r="BD293" i="26"/>
  <c r="BK293" i="26"/>
  <c r="BC293" i="26"/>
  <c r="AV294" i="26"/>
  <c r="BF293" i="26"/>
  <c r="BI293" i="26"/>
  <c r="BG293" i="26"/>
  <c r="BL293" i="26"/>
  <c r="BH293" i="26"/>
  <c r="AU293" i="26"/>
  <c r="AW294" i="26" l="1"/>
  <c r="AY294" i="26" l="1"/>
  <c r="AU294" i="26" s="1"/>
  <c r="BJ294" i="26"/>
  <c r="AX294" i="26"/>
  <c r="AZ294" i="26" s="1"/>
  <c r="BI294" i="26"/>
  <c r="BC294" i="26" l="1"/>
  <c r="BA294" i="26"/>
  <c r="BD294" i="26"/>
  <c r="BE294" i="26"/>
  <c r="BB294" i="26"/>
  <c r="BH294" i="26"/>
  <c r="BL294" i="26"/>
  <c r="BG294" i="26"/>
  <c r="BK294" i="26"/>
  <c r="BF294" i="26"/>
  <c r="AV295" i="26"/>
  <c r="AW295" i="26" l="1"/>
  <c r="AX295" i="26" l="1"/>
  <c r="BC295" i="26" s="1"/>
  <c r="AY295" i="26"/>
  <c r="BJ295" i="26"/>
  <c r="BI295" i="26"/>
  <c r="BE295" i="26" l="1"/>
  <c r="BB295" i="26"/>
  <c r="BL295" i="26"/>
  <c r="BD295" i="26"/>
  <c r="BH295" i="26"/>
  <c r="BA295" i="26"/>
  <c r="AZ295" i="26"/>
  <c r="BF295" i="26"/>
  <c r="BG295" i="26"/>
  <c r="BK295" i="26"/>
  <c r="AU295" i="26"/>
  <c r="AV296" i="26"/>
  <c r="AW296" i="26" l="1"/>
  <c r="AX296" i="26" l="1"/>
  <c r="AZ296" i="26" s="1"/>
  <c r="AY296" i="26"/>
  <c r="AU296" i="26" s="1"/>
  <c r="BJ296" i="26"/>
  <c r="BI296" i="26"/>
  <c r="BK296" i="26" l="1"/>
  <c r="BE296" i="26"/>
  <c r="BD296" i="26"/>
  <c r="BA296" i="26"/>
  <c r="BG296" i="26"/>
  <c r="BC296" i="26"/>
  <c r="BB296" i="26"/>
  <c r="AV297" i="26"/>
  <c r="BH296" i="26"/>
  <c r="BL296" i="26"/>
  <c r="BF296" i="26"/>
  <c r="AW297" i="26" l="1"/>
  <c r="AG67" i="45"/>
  <c r="AY297" i="26" l="1"/>
  <c r="AU297" i="26" s="1"/>
  <c r="AX297" i="26"/>
  <c r="AZ297" i="26" s="1"/>
  <c r="BJ297" i="26"/>
  <c r="BI297" i="26"/>
  <c r="BC297" i="26" l="1"/>
  <c r="BB297" i="26"/>
  <c r="BK297" i="26"/>
  <c r="BD297" i="26"/>
  <c r="BF297" i="26"/>
  <c r="BH297" i="26"/>
  <c r="BA297" i="26"/>
  <c r="BE297" i="26"/>
  <c r="BL297" i="26"/>
  <c r="BG297" i="26"/>
  <c r="AV298" i="26"/>
  <c r="AW298" i="26" l="1"/>
  <c r="BJ298" i="26" l="1"/>
  <c r="AY298" i="26"/>
  <c r="AU298" i="26" s="1"/>
  <c r="AX298" i="26"/>
  <c r="BI298" i="26" s="1"/>
  <c r="AZ298" i="26" l="1"/>
  <c r="BC298" i="26"/>
  <c r="BA298" i="26"/>
  <c r="BE298" i="26"/>
  <c r="BD298" i="26"/>
  <c r="BB298" i="26"/>
  <c r="BF298" i="26"/>
  <c r="BH298" i="26"/>
  <c r="BG298" i="26"/>
  <c r="BK298" i="26"/>
  <c r="AV299" i="26"/>
  <c r="BL298" i="26"/>
  <c r="AW299" i="26" l="1"/>
  <c r="BJ299" i="26" l="1"/>
  <c r="AX299" i="26"/>
  <c r="AY299" i="26"/>
  <c r="AU299" i="26" s="1"/>
  <c r="BI299" i="26"/>
  <c r="BG299" i="26" l="1"/>
  <c r="BA299" i="26"/>
  <c r="AZ299" i="26"/>
  <c r="BK299" i="26"/>
  <c r="BC299" i="26"/>
  <c r="BH299" i="26"/>
  <c r="BB299" i="26"/>
  <c r="BF299" i="26"/>
  <c r="BD299" i="26"/>
  <c r="BE299" i="26"/>
  <c r="BL299" i="26"/>
  <c r="AV300" i="26"/>
  <c r="AW300" i="26" l="1"/>
  <c r="AG68" i="45"/>
  <c r="AX300" i="26" l="1"/>
  <c r="AZ300" i="26" s="1"/>
  <c r="AY300" i="26"/>
  <c r="BJ300" i="26"/>
  <c r="BC300" i="26" l="1"/>
  <c r="BD300" i="26"/>
  <c r="BA300" i="26"/>
  <c r="BB300" i="26"/>
  <c r="BE300" i="26"/>
  <c r="AV301" i="26"/>
  <c r="AU300" i="26"/>
  <c r="BK300" i="26"/>
  <c r="BG300" i="26"/>
  <c r="BL300" i="26"/>
  <c r="BF300" i="26"/>
  <c r="BH300" i="26"/>
  <c r="BI300" i="26"/>
  <c r="AW301" i="26" l="1"/>
  <c r="AX301" i="26" l="1"/>
  <c r="AZ301" i="26" s="1"/>
  <c r="AY301" i="26"/>
  <c r="BA301" i="26" s="1"/>
  <c r="BJ301" i="26"/>
  <c r="BE301" i="26" l="1"/>
  <c r="BH301" i="26"/>
  <c r="BF301" i="26"/>
  <c r="BI301" i="26"/>
  <c r="BG301" i="26"/>
  <c r="BL301" i="26"/>
  <c r="BK301" i="26"/>
  <c r="BD301" i="26"/>
  <c r="AU301" i="26"/>
  <c r="BC301" i="26"/>
  <c r="BB301" i="26"/>
  <c r="AV302" i="26"/>
  <c r="AW302" i="26" l="1"/>
  <c r="AY302" i="26" l="1"/>
  <c r="AX302" i="26"/>
  <c r="AZ302" i="26" s="1"/>
  <c r="BJ302" i="26"/>
  <c r="BB302" i="26" l="1"/>
  <c r="BD302" i="26"/>
  <c r="BE302" i="26"/>
  <c r="BF302" i="26"/>
  <c r="BC302" i="26"/>
  <c r="BA302" i="26"/>
  <c r="AU302" i="26"/>
  <c r="BH302" i="26"/>
  <c r="BL302" i="26"/>
  <c r="BG302" i="26"/>
  <c r="BI302" i="26"/>
  <c r="BK302" i="26"/>
  <c r="AV303" i="26"/>
  <c r="AG69" i="45"/>
  <c r="AW303" i="26" l="1"/>
  <c r="BJ303" i="26" l="1"/>
  <c r="AY303" i="26"/>
  <c r="AU303" i="26" s="1"/>
  <c r="AX303" i="26"/>
  <c r="AZ303" i="26" s="1"/>
  <c r="BI303" i="26"/>
  <c r="BC303" i="26" l="1"/>
  <c r="BF303" i="26"/>
  <c r="BD303" i="26"/>
  <c r="BH303" i="26"/>
  <c r="BB303" i="26"/>
  <c r="BE303" i="26"/>
  <c r="BK303" i="26"/>
  <c r="BL303" i="26"/>
  <c r="BA303" i="26"/>
  <c r="AV304" i="26"/>
  <c r="BG303" i="26"/>
  <c r="AW304" i="26" l="1"/>
  <c r="AY304" i="26" l="1"/>
  <c r="AU304" i="26" s="1"/>
  <c r="BJ304" i="26"/>
  <c r="AX304" i="26"/>
  <c r="BD304" i="26" s="1"/>
  <c r="BE304" i="26" l="1"/>
  <c r="AZ304" i="26"/>
  <c r="BA304" i="26"/>
  <c r="BB304" i="26"/>
  <c r="BG304" i="26"/>
  <c r="BK304" i="26"/>
  <c r="BL304" i="26"/>
  <c r="BI304" i="26"/>
  <c r="BC304" i="26"/>
  <c r="BH304" i="26"/>
  <c r="BF304" i="26"/>
  <c r="AV305" i="26"/>
  <c r="AW305" i="26" l="1"/>
  <c r="AX305" i="26" l="1"/>
  <c r="BJ305" i="26"/>
  <c r="AY305" i="26"/>
  <c r="BI305" i="26" l="1"/>
  <c r="AZ305" i="26"/>
  <c r="BA305" i="26"/>
  <c r="BB305" i="26"/>
  <c r="BG305" i="26"/>
  <c r="BE305" i="26"/>
  <c r="BC305" i="26"/>
  <c r="BD305" i="26"/>
  <c r="BK305" i="26"/>
  <c r="BH305" i="26"/>
  <c r="BL305" i="26"/>
  <c r="AV306" i="26"/>
  <c r="AU305" i="26"/>
  <c r="BF305" i="26"/>
  <c r="AG70" i="45"/>
  <c r="AW306" i="26" l="1"/>
  <c r="AX306" i="26" l="1"/>
  <c r="AZ306" i="26" s="1"/>
  <c r="AY306" i="26"/>
  <c r="BI306" i="26" s="1"/>
  <c r="BJ306" i="26"/>
  <c r="BB306" i="26" l="1"/>
  <c r="BA306" i="26"/>
  <c r="BC306" i="26"/>
  <c r="BE306" i="26"/>
  <c r="BG306" i="26"/>
  <c r="BD306" i="26"/>
  <c r="BK306" i="26"/>
  <c r="AV307" i="26"/>
  <c r="AU306" i="26"/>
  <c r="BF306" i="26"/>
  <c r="BH306" i="26"/>
  <c r="BL306" i="26"/>
  <c r="AW307" i="26" l="1"/>
  <c r="BJ307" i="26" l="1"/>
  <c r="AY307" i="26"/>
  <c r="AX307" i="26"/>
  <c r="AZ307" i="26" s="1"/>
  <c r="BI307" i="26"/>
  <c r="BE307" i="26" l="1"/>
  <c r="BA307" i="26"/>
  <c r="BD307" i="26"/>
  <c r="BC307" i="26"/>
  <c r="BB307" i="26"/>
  <c r="BG307" i="26"/>
  <c r="BF307" i="26"/>
  <c r="AU307" i="26"/>
  <c r="BK307" i="26"/>
  <c r="BL307" i="26"/>
  <c r="BH307" i="26"/>
  <c r="AV308" i="26"/>
  <c r="AW308" i="26" l="1"/>
  <c r="BJ308" i="26" l="1"/>
  <c r="BI308" i="26"/>
  <c r="AX308" i="26"/>
  <c r="AZ308" i="26" s="1"/>
  <c r="AY308" i="26"/>
  <c r="BK308" i="26" l="1"/>
  <c r="BE308" i="26"/>
  <c r="BC308" i="26"/>
  <c r="BD308" i="26"/>
  <c r="BA308" i="26"/>
  <c r="BB308" i="26"/>
  <c r="BF308" i="26"/>
  <c r="BG308" i="26"/>
  <c r="AV309" i="26"/>
  <c r="AU308" i="26"/>
  <c r="BL308" i="26"/>
  <c r="BH308" i="26"/>
  <c r="AW309" i="26" l="1"/>
  <c r="BJ309" i="26" l="1"/>
  <c r="AX309" i="26"/>
  <c r="AZ309" i="26" s="1"/>
  <c r="AY309" i="26"/>
  <c r="BB309" i="26" l="1"/>
  <c r="BA309" i="26"/>
  <c r="BC309" i="26"/>
  <c r="BE309" i="26"/>
  <c r="BK309" i="26"/>
  <c r="BD309" i="26"/>
  <c r="AV310" i="26"/>
  <c r="BH309" i="26"/>
  <c r="BL309" i="26"/>
  <c r="AU309" i="26"/>
  <c r="BG309" i="26"/>
  <c r="BF309" i="26"/>
  <c r="BI309" i="26"/>
  <c r="AW310" i="26" l="1"/>
  <c r="AY310" i="26" l="1"/>
  <c r="BJ310" i="26"/>
  <c r="AX310" i="26"/>
  <c r="AZ310" i="26" s="1"/>
  <c r="BD310" i="26" l="1"/>
  <c r="AU310" i="26"/>
  <c r="BB310" i="26"/>
  <c r="BE310" i="26"/>
  <c r="BC310" i="26"/>
  <c r="BF310" i="26"/>
  <c r="BL310" i="26"/>
  <c r="BI310" i="26"/>
  <c r="BH310" i="26"/>
  <c r="BK310" i="26"/>
  <c r="BG310" i="26"/>
  <c r="AV311" i="26"/>
  <c r="BA310" i="26"/>
  <c r="AW311" i="26" l="1"/>
  <c r="AY311" i="26" l="1"/>
  <c r="AX311" i="26"/>
  <c r="BH311" i="26" s="1"/>
  <c r="BJ311" i="26"/>
  <c r="BA311" i="26" l="1"/>
  <c r="BC311" i="26"/>
  <c r="BD311" i="26"/>
  <c r="BF311" i="26"/>
  <c r="BE311" i="26"/>
  <c r="BK311" i="26"/>
  <c r="AZ311" i="26"/>
  <c r="BL311" i="26"/>
  <c r="BB311" i="26"/>
  <c r="BG311" i="26"/>
  <c r="BI311" i="26"/>
  <c r="AU311" i="26"/>
  <c r="AV312" i="26"/>
  <c r="AW312" i="26" l="1"/>
  <c r="BI312" i="26" l="1"/>
  <c r="BJ312" i="26"/>
  <c r="AX312" i="26"/>
  <c r="AZ312" i="26" s="1"/>
  <c r="AY312" i="26"/>
  <c r="AU312" i="26" s="1"/>
  <c r="BE312" i="26" l="1"/>
  <c r="BG312" i="26"/>
  <c r="BK312" i="26"/>
  <c r="BH312" i="26"/>
  <c r="BA312" i="26"/>
  <c r="BD312" i="26"/>
  <c r="BC312" i="26"/>
  <c r="BF312" i="26"/>
  <c r="BB312" i="26"/>
  <c r="AV313" i="26"/>
  <c r="BL312" i="26"/>
  <c r="AW313" i="26" l="1"/>
  <c r="BJ313" i="26" l="1"/>
  <c r="AX313" i="26"/>
  <c r="AZ313" i="26" s="1"/>
  <c r="AY313" i="26"/>
  <c r="AU313" i="26" s="1"/>
  <c r="BA313" i="26" l="1"/>
  <c r="BB313" i="26"/>
  <c r="BD313" i="26"/>
  <c r="BE313" i="26"/>
  <c r="BC313" i="26"/>
  <c r="BL313" i="26"/>
  <c r="BG313" i="26"/>
  <c r="BI313" i="26"/>
  <c r="BK313" i="26"/>
  <c r="BH313" i="26"/>
  <c r="BF313" i="26"/>
  <c r="AV314" i="26"/>
  <c r="AW314" i="26" l="1"/>
  <c r="AG73" i="45"/>
  <c r="AY314" i="26" l="1"/>
  <c r="AX314" i="26"/>
  <c r="BB314" i="26" s="1"/>
  <c r="BJ314" i="26"/>
  <c r="BC314" i="26" l="1"/>
  <c r="AU314" i="26"/>
  <c r="BE314" i="26"/>
  <c r="BD314" i="26"/>
  <c r="AZ314" i="26"/>
  <c r="BA314" i="26"/>
  <c r="BF314" i="26"/>
  <c r="BL314" i="26"/>
  <c r="BK314" i="26"/>
  <c r="BH314" i="26"/>
  <c r="BG314" i="26"/>
  <c r="BI314" i="26"/>
  <c r="AV315" i="26"/>
  <c r="AW315" i="26" l="1"/>
  <c r="BJ315" i="26" l="1"/>
  <c r="AX315" i="26"/>
  <c r="AY315" i="26"/>
  <c r="BH315" i="26" l="1"/>
  <c r="BB315" i="26"/>
  <c r="AZ315" i="26"/>
  <c r="BA315" i="26"/>
  <c r="BE315" i="26"/>
  <c r="BC315" i="26"/>
  <c r="BD315" i="26"/>
  <c r="BG315" i="26"/>
  <c r="AV316" i="26"/>
  <c r="BL315" i="26"/>
  <c r="BF315" i="26"/>
  <c r="BI315" i="26"/>
  <c r="BK315" i="26"/>
  <c r="AU315" i="26"/>
  <c r="AW316" i="26" l="1"/>
  <c r="AX316" i="26" l="1"/>
  <c r="AZ316" i="26" s="1"/>
  <c r="BJ316" i="26"/>
  <c r="AY316" i="26"/>
  <c r="BI316" i="26" s="1"/>
  <c r="BL316" i="26" l="1"/>
  <c r="BG316" i="26"/>
  <c r="BB316" i="26"/>
  <c r="BC316" i="26"/>
  <c r="BH316" i="26"/>
  <c r="BE316" i="26"/>
  <c r="BD316" i="26"/>
  <c r="BA316" i="26"/>
  <c r="BK316" i="26"/>
  <c r="AV317" i="26"/>
  <c r="AU316" i="26"/>
  <c r="BF316" i="26"/>
  <c r="AG74" i="45"/>
  <c r="AW317" i="26" l="1"/>
  <c r="AX317" i="26" l="1"/>
  <c r="AZ317" i="26" s="1"/>
  <c r="BJ317" i="26"/>
  <c r="AY317" i="26"/>
  <c r="BB317" i="26" s="1"/>
  <c r="BC317" i="26" l="1"/>
  <c r="BI317" i="26"/>
  <c r="BK317" i="26"/>
  <c r="BL317" i="26"/>
  <c r="BD317" i="26"/>
  <c r="BA317" i="26"/>
  <c r="BF317" i="26"/>
  <c r="BE317" i="26"/>
  <c r="BG317" i="26"/>
  <c r="BH317" i="26"/>
  <c r="AV318" i="26"/>
  <c r="AU317" i="26"/>
  <c r="AW318" i="26" l="1"/>
  <c r="AX318" i="26" l="1"/>
  <c r="AZ318" i="26" s="1"/>
  <c r="AY318" i="26"/>
  <c r="BB318" i="26" s="1"/>
  <c r="BJ318" i="26"/>
  <c r="BI318" i="26"/>
  <c r="BC318" i="26" l="1"/>
  <c r="BA318" i="26"/>
  <c r="BH318" i="26"/>
  <c r="BG318" i="26"/>
  <c r="BL318" i="26"/>
  <c r="AU318" i="26"/>
  <c r="BF318" i="26"/>
  <c r="BK318" i="26"/>
  <c r="BD318" i="26"/>
  <c r="AV319" i="26"/>
  <c r="BE318" i="26"/>
  <c r="AW319" i="26" l="1"/>
  <c r="BJ319" i="26" l="1"/>
  <c r="AX319" i="26"/>
  <c r="BD319" i="26" s="1"/>
  <c r="BI319" i="26"/>
  <c r="AY319" i="26"/>
  <c r="AU319" i="26" s="1"/>
  <c r="BA319" i="26" l="1"/>
  <c r="BH319" i="26"/>
  <c r="BE319" i="26"/>
  <c r="BC319" i="26"/>
  <c r="AZ319" i="26"/>
  <c r="BB319" i="26"/>
  <c r="BK319" i="26"/>
  <c r="BL319" i="26"/>
  <c r="AV320" i="26"/>
  <c r="BG319" i="26"/>
  <c r="BF319" i="26"/>
  <c r="AW320" i="26" l="1"/>
  <c r="AY320" i="26" l="1"/>
  <c r="AU320" i="26" s="1"/>
  <c r="BJ320" i="26"/>
  <c r="AX320" i="26"/>
  <c r="BE320" i="26" s="1"/>
  <c r="BI320" i="26"/>
  <c r="BC320" i="26" l="1"/>
  <c r="AZ320" i="26"/>
  <c r="BA320" i="26"/>
  <c r="BB320" i="26"/>
  <c r="BD320" i="26"/>
  <c r="BG320" i="26"/>
  <c r="BF320" i="26"/>
  <c r="BH320" i="26"/>
  <c r="BK320" i="26"/>
  <c r="BL320" i="26"/>
  <c r="AV321" i="26"/>
  <c r="AW321" i="26" l="1"/>
  <c r="BJ321" i="26" l="1"/>
  <c r="AY321" i="26"/>
  <c r="AX321" i="26"/>
  <c r="AZ321" i="26" s="1"/>
  <c r="BC321" i="26" l="1"/>
  <c r="BB321" i="26"/>
  <c r="BA321" i="26"/>
  <c r="BD321" i="26"/>
  <c r="BE321" i="26"/>
  <c r="BH321" i="26"/>
  <c r="BK321" i="26"/>
  <c r="BL321" i="26"/>
  <c r="BI321" i="26"/>
  <c r="AV322" i="26"/>
  <c r="BF321" i="26"/>
  <c r="BG321" i="26"/>
  <c r="AU321" i="26"/>
  <c r="AW322" i="26" l="1"/>
  <c r="AY322" i="26" l="1"/>
  <c r="BJ322" i="26"/>
  <c r="AX322" i="26"/>
  <c r="BL322" i="26" s="1"/>
  <c r="BI322" i="26"/>
  <c r="BD322" i="26" l="1"/>
  <c r="AU322" i="26"/>
  <c r="BA322" i="26"/>
  <c r="BH322" i="26"/>
  <c r="AZ322" i="26"/>
  <c r="BE322" i="26"/>
  <c r="BG322" i="26"/>
  <c r="BF322" i="26"/>
  <c r="BB322" i="26"/>
  <c r="BC322" i="26"/>
  <c r="BK322" i="26"/>
  <c r="AV323" i="26"/>
  <c r="AW323" i="26" l="1"/>
  <c r="AX323" i="26" l="1"/>
  <c r="AZ323" i="26" s="1"/>
  <c r="BJ323" i="26"/>
  <c r="AY323" i="26"/>
  <c r="BB323" i="26" s="1"/>
  <c r="BI323" i="26" l="1"/>
  <c r="BG323" i="26"/>
  <c r="BC323" i="26"/>
  <c r="BA323" i="26"/>
  <c r="BD323" i="26"/>
  <c r="BE323" i="26"/>
  <c r="AV324" i="26"/>
  <c r="BK323" i="26"/>
  <c r="BH323" i="26"/>
  <c r="BF323" i="26"/>
  <c r="AU323" i="26"/>
  <c r="BL323" i="26"/>
  <c r="AW324" i="26" l="1"/>
  <c r="AY324" i="26" l="1"/>
  <c r="BJ324" i="26"/>
  <c r="AX324" i="26"/>
  <c r="BA324" i="26" s="1"/>
  <c r="BC324" i="26" l="1"/>
  <c r="AU324" i="26"/>
  <c r="BE324" i="26"/>
  <c r="AZ324" i="26"/>
  <c r="BD324" i="26"/>
  <c r="BK324" i="26"/>
  <c r="BB324" i="26"/>
  <c r="BI324" i="26"/>
  <c r="BG324" i="26"/>
  <c r="AV325" i="26"/>
  <c r="BF324" i="26"/>
  <c r="BL324" i="26"/>
  <c r="BH324" i="26"/>
  <c r="AW325" i="26" l="1"/>
  <c r="BJ325" i="26" l="1"/>
  <c r="AX325" i="26"/>
  <c r="AZ325" i="26" s="1"/>
  <c r="AY325" i="26"/>
  <c r="BA325" i="26" s="1"/>
  <c r="BI325" i="26"/>
  <c r="BH325" i="26" l="1"/>
  <c r="BG325" i="26"/>
  <c r="BB325" i="26"/>
  <c r="BK325" i="26"/>
  <c r="BD325" i="26"/>
  <c r="BE325" i="26"/>
  <c r="BL325" i="26"/>
  <c r="BC325" i="26"/>
  <c r="AV326" i="26"/>
  <c r="BF325" i="26"/>
  <c r="AU325" i="26"/>
  <c r="AW326" i="26" l="1"/>
  <c r="AX326" i="26" l="1"/>
  <c r="AZ326" i="26" s="1"/>
  <c r="BJ326" i="26"/>
  <c r="AY326" i="26"/>
  <c r="BB326" i="26" s="1"/>
  <c r="BD326" i="26" l="1"/>
  <c r="BK326" i="26"/>
  <c r="BH326" i="26"/>
  <c r="BI326" i="26"/>
  <c r="BG326" i="26"/>
  <c r="BL326" i="26"/>
  <c r="BA326" i="26"/>
  <c r="BC326" i="26"/>
  <c r="BE326" i="26"/>
  <c r="BF326" i="26"/>
  <c r="AU326" i="26"/>
  <c r="AV327" i="26"/>
  <c r="AW327" i="26" l="1"/>
  <c r="AY327" i="26" l="1"/>
  <c r="BJ327" i="26"/>
  <c r="AX327" i="26"/>
  <c r="AZ327" i="26" s="1"/>
  <c r="AG78" i="45"/>
  <c r="BC327" i="26" l="1"/>
  <c r="BE327" i="26"/>
  <c r="BB327" i="26"/>
  <c r="BD327" i="26"/>
  <c r="BA327" i="26"/>
  <c r="AU327" i="26"/>
  <c r="BK327" i="26"/>
  <c r="BF327" i="26"/>
  <c r="BG327" i="26"/>
  <c r="BH327" i="26"/>
  <c r="BL327" i="26"/>
  <c r="AV328" i="26"/>
  <c r="BI327" i="26"/>
  <c r="AW328" i="26" l="1"/>
  <c r="AY328" i="26" l="1"/>
  <c r="AX328" i="26"/>
  <c r="BF328" i="26" s="1"/>
  <c r="BJ328" i="26"/>
  <c r="BE328" i="26" l="1"/>
  <c r="BC328" i="26"/>
  <c r="AZ328" i="26"/>
  <c r="BB328" i="26"/>
  <c r="BD328" i="26"/>
  <c r="BA328" i="26"/>
  <c r="BK328" i="26"/>
  <c r="BH328" i="26"/>
  <c r="BI328" i="26"/>
  <c r="BG328" i="26"/>
  <c r="BL328" i="26"/>
  <c r="AU328" i="26"/>
  <c r="AV329" i="26"/>
  <c r="AW329" i="26" l="1"/>
  <c r="BJ329" i="26" l="1"/>
  <c r="AY329" i="26"/>
  <c r="AX329" i="26"/>
  <c r="AZ329" i="26" s="1"/>
  <c r="BI329" i="26"/>
  <c r="BB329" i="26" l="1"/>
  <c r="BD329" i="26"/>
  <c r="BA329" i="26"/>
  <c r="BE329" i="26"/>
  <c r="BC329" i="26"/>
  <c r="BF329" i="26"/>
  <c r="BH329" i="26"/>
  <c r="BK329" i="26"/>
  <c r="BG329" i="26"/>
  <c r="AU329" i="26"/>
  <c r="AV330" i="26"/>
  <c r="BL329" i="26"/>
  <c r="AW330" i="26" l="1"/>
  <c r="AG79" i="45"/>
  <c r="AY330" i="26" l="1"/>
  <c r="AX330" i="26"/>
  <c r="BG330" i="26" s="1"/>
  <c r="BJ330" i="26"/>
  <c r="BI330" i="26"/>
  <c r="BB330" i="26" l="1"/>
  <c r="AZ330" i="26"/>
  <c r="BH330" i="26"/>
  <c r="BD330" i="26"/>
  <c r="BF330" i="26"/>
  <c r="BE330" i="26"/>
  <c r="BC330" i="26"/>
  <c r="BL330" i="26"/>
  <c r="BA330" i="26"/>
  <c r="BK330" i="26"/>
  <c r="AU330" i="26"/>
  <c r="AV331" i="26"/>
  <c r="AW331" i="26" l="1"/>
  <c r="AY331" i="26" l="1"/>
  <c r="AU331" i="26" s="1"/>
  <c r="BJ331" i="26"/>
  <c r="AX331" i="26"/>
  <c r="BE331" i="26" s="1"/>
  <c r="BI331" i="26"/>
  <c r="BC331" i="26" l="1"/>
  <c r="AZ331" i="26"/>
  <c r="BB331" i="26"/>
  <c r="BA331" i="26"/>
  <c r="BD331" i="26"/>
  <c r="BF331" i="26"/>
  <c r="BG331" i="26"/>
  <c r="BH331" i="26"/>
  <c r="BL331" i="26"/>
  <c r="BK331" i="26"/>
  <c r="AV332" i="26"/>
  <c r="AW332" i="26" l="1"/>
  <c r="BJ332" i="26" l="1"/>
  <c r="AY332" i="26"/>
  <c r="AX332" i="26"/>
  <c r="AZ332" i="26" s="1"/>
  <c r="BA332" i="26" l="1"/>
  <c r="BD332" i="26"/>
  <c r="BB332" i="26"/>
  <c r="BC332" i="26"/>
  <c r="BE332" i="26"/>
  <c r="BG332" i="26"/>
  <c r="AV333" i="26"/>
  <c r="BK332" i="26"/>
  <c r="BH332" i="26"/>
  <c r="BL332" i="26"/>
  <c r="BF332" i="26"/>
  <c r="AU332" i="26"/>
  <c r="BI332" i="26"/>
  <c r="AW333" i="26" l="1"/>
  <c r="BJ333" i="26" l="1"/>
  <c r="AX333" i="26"/>
  <c r="BH333" i="26" s="1"/>
  <c r="AY333" i="26"/>
  <c r="BI333" i="26"/>
  <c r="BA333" i="26" l="1"/>
  <c r="BE333" i="26"/>
  <c r="BG333" i="26"/>
  <c r="BC333" i="26"/>
  <c r="BF333" i="26"/>
  <c r="BD333" i="26"/>
  <c r="BB333" i="26"/>
  <c r="BK333" i="26"/>
  <c r="BL333" i="26"/>
  <c r="AZ333" i="26"/>
  <c r="AU333" i="26"/>
  <c r="AV334" i="26"/>
  <c r="AW334" i="26" l="1"/>
  <c r="AY334" i="26" l="1"/>
  <c r="BJ334" i="26"/>
  <c r="AX334" i="26"/>
  <c r="BD334" i="26" s="1"/>
  <c r="BE334" i="26" l="1"/>
  <c r="BI334" i="26"/>
  <c r="AU334" i="26"/>
  <c r="BB334" i="26"/>
  <c r="BA334" i="26"/>
  <c r="BC334" i="26"/>
  <c r="AZ334" i="26"/>
  <c r="BK334" i="26"/>
  <c r="BF334" i="26"/>
  <c r="BL334" i="26"/>
  <c r="BG334" i="26"/>
  <c r="BH334" i="26"/>
  <c r="AV335" i="26"/>
  <c r="AW335" i="26" l="1"/>
  <c r="AY335" i="26" l="1"/>
  <c r="AU335" i="26" s="1"/>
  <c r="BJ335" i="26"/>
  <c r="AX335" i="26"/>
  <c r="BL335" i="26" s="1"/>
  <c r="AG81" i="45"/>
  <c r="BB335" i="26" l="1"/>
  <c r="BA335" i="26"/>
  <c r="BC335" i="26"/>
  <c r="AZ335" i="26"/>
  <c r="BD335" i="26"/>
  <c r="BE335" i="26"/>
  <c r="BI335" i="26"/>
  <c r="BK335" i="26"/>
  <c r="BF335" i="26"/>
  <c r="BG335" i="26"/>
  <c r="BH335" i="26"/>
  <c r="AV336" i="26"/>
  <c r="AW336" i="26" l="1"/>
  <c r="AX336" i="26" l="1"/>
  <c r="AZ336" i="26" s="1"/>
  <c r="AY336" i="26"/>
  <c r="BJ336" i="26"/>
  <c r="BC336" i="26" l="1"/>
  <c r="BL336" i="26"/>
  <c r="BB336" i="26"/>
  <c r="BF336" i="26"/>
  <c r="BG336" i="26"/>
  <c r="BH336" i="26"/>
  <c r="BD336" i="26"/>
  <c r="BE336" i="26"/>
  <c r="BK336" i="26"/>
  <c r="BA336" i="26"/>
  <c r="AV337" i="26"/>
  <c r="AU336" i="26"/>
  <c r="BI336" i="26"/>
  <c r="AW337" i="26" l="1"/>
  <c r="BJ337" i="26" l="1"/>
  <c r="AY337" i="26"/>
  <c r="AX337" i="26"/>
  <c r="AZ337" i="26" s="1"/>
  <c r="BE337" i="26" l="1"/>
  <c r="AU337" i="26"/>
  <c r="BA337" i="26"/>
  <c r="BD337" i="26"/>
  <c r="BB337" i="26"/>
  <c r="BC337" i="26"/>
  <c r="BI337" i="26"/>
  <c r="BK337" i="26"/>
  <c r="BL337" i="26"/>
  <c r="BF337" i="26"/>
  <c r="BG337" i="26"/>
  <c r="BH337" i="26"/>
  <c r="AV338" i="26"/>
  <c r="AW338" i="26" l="1"/>
  <c r="AY338" i="26" l="1"/>
  <c r="AX338" i="26"/>
  <c r="AZ338" i="26" s="1"/>
  <c r="BJ338" i="26"/>
  <c r="BB338" i="26" l="1"/>
  <c r="AU338" i="26"/>
  <c r="BE338" i="26"/>
  <c r="BD338" i="26"/>
  <c r="BA338" i="26"/>
  <c r="BC338" i="26"/>
  <c r="BK338" i="26"/>
  <c r="BF338" i="26"/>
  <c r="BG338" i="26"/>
  <c r="BL338" i="26"/>
  <c r="BI338" i="26"/>
  <c r="BH338" i="26"/>
  <c r="AV339" i="26"/>
  <c r="AW339" i="26" l="1"/>
  <c r="BJ339" i="26" l="1"/>
  <c r="AX339" i="26"/>
  <c r="AZ339" i="26" s="1"/>
  <c r="AY339" i="26"/>
  <c r="BD339" i="26" l="1"/>
  <c r="BF339" i="26"/>
  <c r="BC339" i="26"/>
  <c r="BE339" i="26"/>
  <c r="BA339" i="26"/>
  <c r="BB339" i="26"/>
  <c r="BG339" i="26"/>
  <c r="BI339" i="26"/>
  <c r="BH339" i="26"/>
  <c r="BK339" i="26"/>
  <c r="AU339" i="26"/>
  <c r="AV340" i="26"/>
  <c r="BL339" i="26"/>
  <c r="AW340" i="26" l="1"/>
  <c r="AX340" i="26" l="1"/>
  <c r="BJ340" i="26"/>
  <c r="AY340" i="26"/>
  <c r="BF340" i="26" l="1"/>
  <c r="BD340" i="26"/>
  <c r="BA340" i="26"/>
  <c r="BC340" i="26"/>
  <c r="BK340" i="26"/>
  <c r="AZ340" i="26"/>
  <c r="BE340" i="26"/>
  <c r="BL340" i="26"/>
  <c r="BG340" i="26"/>
  <c r="BH340" i="26"/>
  <c r="BB340" i="26"/>
  <c r="AV341" i="26"/>
  <c r="AU340" i="26"/>
  <c r="BI340" i="26"/>
  <c r="AW341" i="26" l="1"/>
  <c r="AX341" i="26" l="1"/>
  <c r="AZ341" i="26" s="1"/>
  <c r="AY341" i="26"/>
  <c r="BJ341" i="26"/>
  <c r="BI341" i="26"/>
  <c r="BB341" i="26" l="1"/>
  <c r="BE341" i="26"/>
  <c r="BG341" i="26"/>
  <c r="BC341" i="26"/>
  <c r="BL341" i="26"/>
  <c r="BH341" i="26"/>
  <c r="BF341" i="26"/>
  <c r="BA341" i="26"/>
  <c r="BD341" i="26"/>
  <c r="BK341" i="26"/>
  <c r="AU341" i="26"/>
  <c r="AV342" i="26"/>
  <c r="AW342" i="26" l="1"/>
  <c r="AY342" i="26" l="1"/>
  <c r="AU342" i="26" s="1"/>
  <c r="BJ342" i="26"/>
  <c r="AX342" i="26"/>
  <c r="BB342" i="26" s="1"/>
  <c r="BI342" i="26"/>
  <c r="BE342" i="26" l="1"/>
  <c r="BC342" i="26"/>
  <c r="BL342" i="26"/>
  <c r="BD342" i="26"/>
  <c r="AZ342" i="26"/>
  <c r="BF342" i="26"/>
  <c r="BA342" i="26"/>
  <c r="BK342" i="26"/>
  <c r="BG342" i="26"/>
  <c r="BH342" i="26"/>
  <c r="AV343" i="26"/>
  <c r="AW343" i="26" l="1"/>
  <c r="AX343" i="26" l="1"/>
  <c r="AZ343" i="26" s="1"/>
  <c r="AY343" i="26"/>
  <c r="BJ343" i="26"/>
  <c r="BL343" i="26" l="1"/>
  <c r="BB343" i="26"/>
  <c r="BC343" i="26"/>
  <c r="BI343" i="26"/>
  <c r="BE343" i="26"/>
  <c r="BD343" i="26"/>
  <c r="AU343" i="26"/>
  <c r="BG343" i="26"/>
  <c r="BF343" i="26"/>
  <c r="BK343" i="26"/>
  <c r="BH343" i="26"/>
  <c r="AV344" i="26"/>
  <c r="BA343" i="26"/>
  <c r="AW344" i="26" l="1"/>
  <c r="AX344" i="26" l="1"/>
  <c r="BB344" i="26" s="1"/>
  <c r="AY344" i="26"/>
  <c r="BI344" i="26" s="1"/>
  <c r="BJ344" i="26"/>
  <c r="AZ344" i="26" l="1"/>
  <c r="BC344" i="26"/>
  <c r="BF344" i="26"/>
  <c r="BG344" i="26"/>
  <c r="BD344" i="26"/>
  <c r="BE344" i="26"/>
  <c r="BA344" i="26"/>
  <c r="BK344" i="26"/>
  <c r="BH344" i="26"/>
  <c r="BL344" i="26"/>
  <c r="AV345" i="26"/>
  <c r="AU344" i="26"/>
  <c r="AW345" i="26" l="1"/>
  <c r="AY345" i="26" l="1"/>
  <c r="AX345" i="26"/>
  <c r="BE345" i="26" s="1"/>
  <c r="BJ345" i="26"/>
  <c r="BI345" i="26"/>
  <c r="AG85" i="45"/>
  <c r="BF345" i="26" l="1"/>
  <c r="BD345" i="26"/>
  <c r="BL345" i="26"/>
  <c r="AZ345" i="26"/>
  <c r="BK345" i="26"/>
  <c r="BG345" i="26"/>
  <c r="BA345" i="26"/>
  <c r="BB345" i="26"/>
  <c r="BH345" i="26"/>
  <c r="BC345" i="26"/>
  <c r="AU345" i="26"/>
  <c r="AV346" i="26"/>
  <c r="AW346" i="26" l="1"/>
  <c r="BJ346" i="26" l="1"/>
  <c r="AY346" i="26"/>
  <c r="AX346" i="26"/>
  <c r="BB346" i="26" s="1"/>
  <c r="BI346" i="26" l="1"/>
  <c r="BA346" i="26"/>
  <c r="AZ346" i="26"/>
  <c r="BL346" i="26"/>
  <c r="BG346" i="26"/>
  <c r="BC346" i="26"/>
  <c r="BD346" i="26"/>
  <c r="BK346" i="26"/>
  <c r="BE346" i="26"/>
  <c r="BH346" i="26"/>
  <c r="BF346" i="26"/>
  <c r="AU346" i="26"/>
  <c r="AV347" i="26"/>
  <c r="AW347" i="26" l="1"/>
  <c r="BJ347" i="26" l="1"/>
  <c r="AX347" i="26"/>
  <c r="AZ347" i="26" s="1"/>
  <c r="AY347" i="26"/>
  <c r="BF347" i="26" l="1"/>
  <c r="BD347" i="26"/>
  <c r="BK347" i="26"/>
  <c r="BC347" i="26"/>
  <c r="BB347" i="26"/>
  <c r="BA347" i="26"/>
  <c r="BL347" i="26"/>
  <c r="BE347" i="26"/>
  <c r="BG347" i="26"/>
  <c r="AU347" i="26"/>
  <c r="BI347" i="26"/>
  <c r="AV348" i="26"/>
  <c r="BH347" i="26"/>
  <c r="AW348" i="26" l="1"/>
  <c r="AY348" i="26" l="1"/>
  <c r="BJ348" i="26"/>
  <c r="AX348" i="26"/>
  <c r="AZ348" i="26" s="1"/>
  <c r="BC348" i="26" l="1"/>
  <c r="BD348" i="26"/>
  <c r="BL348" i="26"/>
  <c r="BA348" i="26"/>
  <c r="BB348" i="26"/>
  <c r="BE348" i="26"/>
  <c r="BF348" i="26"/>
  <c r="BK348" i="26"/>
  <c r="AU348" i="26"/>
  <c r="AV349" i="26"/>
  <c r="BG348" i="26"/>
  <c r="BI348" i="26"/>
  <c r="BH348" i="26"/>
  <c r="AW349" i="26" l="1"/>
  <c r="BJ349" i="26" l="1"/>
  <c r="AY349" i="26"/>
  <c r="AU349" i="26" s="1"/>
  <c r="AX349" i="26"/>
  <c r="AZ349" i="26" s="1"/>
  <c r="BA349" i="26" l="1"/>
  <c r="BE349" i="26"/>
  <c r="BB349" i="26"/>
  <c r="BC349" i="26"/>
  <c r="BD349" i="26"/>
  <c r="BG349" i="26"/>
  <c r="BL349" i="26"/>
  <c r="BF349" i="26"/>
  <c r="BH349" i="26"/>
  <c r="BI349" i="26"/>
  <c r="AV350" i="26"/>
  <c r="BK349" i="26"/>
  <c r="AW350" i="26" l="1"/>
  <c r="AX350" i="26" l="1"/>
  <c r="AZ350" i="26" s="1"/>
  <c r="AY350" i="26"/>
  <c r="BJ350" i="26"/>
  <c r="BI350" i="26" l="1"/>
  <c r="BH350" i="26"/>
  <c r="BF350" i="26"/>
  <c r="BA350" i="26"/>
  <c r="BL350" i="26"/>
  <c r="BC350" i="26"/>
  <c r="BE350" i="26"/>
  <c r="BB350" i="26"/>
  <c r="BD350" i="26"/>
  <c r="BG350" i="26"/>
  <c r="BK350" i="26"/>
  <c r="AU350" i="26"/>
  <c r="AV351" i="26"/>
  <c r="AW351" i="26" l="1"/>
  <c r="AX351" i="26" l="1"/>
  <c r="AZ351" i="26" s="1"/>
  <c r="BJ351" i="26"/>
  <c r="AY351" i="26"/>
  <c r="AU351" i="26" s="1"/>
  <c r="BB351" i="26" l="1"/>
  <c r="BL351" i="26"/>
  <c r="BF351" i="26"/>
  <c r="BC351" i="26"/>
  <c r="BE351" i="26"/>
  <c r="BH351" i="26"/>
  <c r="BK351" i="26"/>
  <c r="BA351" i="26"/>
  <c r="BI351" i="26"/>
  <c r="BD351" i="26"/>
  <c r="AV352" i="26"/>
  <c r="BG351" i="26"/>
  <c r="AW352" i="26" l="1"/>
  <c r="BJ352" i="26" l="1"/>
  <c r="AY352" i="26"/>
  <c r="AX352" i="26"/>
  <c r="AZ352" i="26" s="1"/>
  <c r="BD352" i="26" l="1"/>
  <c r="BC352" i="26"/>
  <c r="BA352" i="26"/>
  <c r="BE352" i="26"/>
  <c r="BB352" i="26"/>
  <c r="BK352" i="26"/>
  <c r="BL352" i="26"/>
  <c r="BG352" i="26"/>
  <c r="BH352" i="26"/>
  <c r="AV353" i="26"/>
  <c r="BF352" i="26"/>
  <c r="AU352" i="26"/>
  <c r="BI352" i="26"/>
  <c r="AG88" i="45"/>
  <c r="AW353" i="26" l="1"/>
  <c r="BJ353" i="26" l="1"/>
  <c r="AY353" i="26"/>
  <c r="AX353" i="26"/>
  <c r="AZ353" i="26" s="1"/>
  <c r="BE353" i="26" l="1"/>
  <c r="BC353" i="26"/>
  <c r="BL353" i="26"/>
  <c r="BD353" i="26"/>
  <c r="BA353" i="26"/>
  <c r="AU353" i="26"/>
  <c r="BB353" i="26"/>
  <c r="BF353" i="26"/>
  <c r="BK353" i="26"/>
  <c r="BG353" i="26"/>
  <c r="AV354" i="26"/>
  <c r="BH353" i="26"/>
  <c r="BI353" i="26"/>
  <c r="AW354" i="26" l="1"/>
  <c r="AY354" i="26" l="1"/>
  <c r="BJ354" i="26"/>
  <c r="AX354" i="26"/>
  <c r="BC354" i="26" s="1"/>
  <c r="BD354" i="26" l="1"/>
  <c r="AU354" i="26"/>
  <c r="AZ354" i="26"/>
  <c r="BB354" i="26"/>
  <c r="BL354" i="26"/>
  <c r="BA354" i="26"/>
  <c r="BE354" i="26"/>
  <c r="BI354" i="26"/>
  <c r="BG354" i="26"/>
  <c r="BF354" i="26"/>
  <c r="BH354" i="26"/>
  <c r="BK354" i="26"/>
  <c r="AV355" i="26"/>
  <c r="AW355" i="26" l="1"/>
  <c r="BJ355" i="26" l="1"/>
  <c r="AY355" i="26"/>
  <c r="AX355" i="26"/>
  <c r="AZ355" i="26" s="1"/>
  <c r="BA355" i="26" l="1"/>
  <c r="BE355" i="26"/>
  <c r="BC355" i="26"/>
  <c r="BB355" i="26"/>
  <c r="BD355" i="26"/>
  <c r="BK355" i="26"/>
  <c r="BF355" i="26"/>
  <c r="AU355" i="26"/>
  <c r="BG355" i="26"/>
  <c r="BI355" i="26"/>
  <c r="AV356" i="26"/>
  <c r="BL355" i="26"/>
  <c r="BH355" i="26"/>
  <c r="AW356" i="26" l="1"/>
  <c r="AX356" i="26" l="1"/>
  <c r="AZ356" i="26" s="1"/>
  <c r="BJ356" i="26"/>
  <c r="AY356" i="26"/>
  <c r="BC356" i="26" l="1"/>
  <c r="BD356" i="26"/>
  <c r="BG356" i="26"/>
  <c r="BA356" i="26"/>
  <c r="BE356" i="26"/>
  <c r="BB356" i="26"/>
  <c r="BK356" i="26"/>
  <c r="AV357" i="26"/>
  <c r="BI356" i="26"/>
  <c r="BH356" i="26"/>
  <c r="BL356" i="26"/>
  <c r="AU356" i="26"/>
  <c r="BF356" i="26"/>
  <c r="AW357" i="26" l="1"/>
  <c r="AY357" i="26" l="1"/>
  <c r="AX357" i="26"/>
  <c r="BE357" i="26" s="1"/>
  <c r="BJ357" i="26"/>
  <c r="BI357" i="26"/>
  <c r="AZ357" i="26" l="1"/>
  <c r="BG357" i="26"/>
  <c r="BF357" i="26"/>
  <c r="BC357" i="26"/>
  <c r="BA357" i="26"/>
  <c r="BB357" i="26"/>
  <c r="BD357" i="26"/>
  <c r="BH357" i="26"/>
  <c r="BK357" i="26"/>
  <c r="BL357" i="26"/>
  <c r="AU357" i="26"/>
  <c r="AV358" i="26"/>
  <c r="AW358" i="26" l="1"/>
  <c r="AG90" i="45"/>
  <c r="BJ358" i="26" l="1"/>
  <c r="AY358" i="26"/>
  <c r="BI358" i="26" s="1"/>
  <c r="AX358" i="26"/>
  <c r="AZ358" i="26" s="1"/>
  <c r="BC358" i="26" l="1"/>
  <c r="BD358" i="26"/>
  <c r="BA358" i="26"/>
  <c r="BB358" i="26"/>
  <c r="BE358" i="26"/>
  <c r="BL358" i="26"/>
  <c r="BH358" i="26"/>
  <c r="BK358" i="26"/>
  <c r="BG358" i="26"/>
  <c r="AU358" i="26"/>
  <c r="AV359" i="26"/>
  <c r="BF358" i="26"/>
  <c r="AW359" i="26" l="1"/>
  <c r="AX359" i="26" l="1"/>
  <c r="BB359" i="26" s="1"/>
  <c r="BJ359" i="26"/>
  <c r="AY359" i="26"/>
  <c r="BE359" i="26" l="1"/>
  <c r="BD359" i="26"/>
  <c r="AZ359" i="26"/>
  <c r="BA359" i="26"/>
  <c r="BL359" i="26"/>
  <c r="BC359" i="26"/>
  <c r="AU359" i="26"/>
  <c r="BI359" i="26"/>
  <c r="AV360" i="26"/>
  <c r="BK359" i="26"/>
  <c r="BF359" i="26"/>
  <c r="BH359" i="26"/>
  <c r="BG359" i="26"/>
  <c r="AW360" i="26" l="1"/>
  <c r="BJ360" i="26" l="1"/>
  <c r="AY360" i="26"/>
  <c r="AU360" i="26" s="1"/>
  <c r="AX360" i="26"/>
  <c r="AZ360" i="26" s="1"/>
  <c r="BA360" i="26" l="1"/>
  <c r="BB360" i="26"/>
  <c r="BE360" i="26"/>
  <c r="BF360" i="26"/>
  <c r="BD360" i="26"/>
  <c r="BL360" i="26"/>
  <c r="BI360" i="26"/>
  <c r="BH360" i="26"/>
  <c r="BK360" i="26"/>
  <c r="BC360" i="26"/>
  <c r="BG360" i="26"/>
  <c r="AV361" i="26"/>
  <c r="AW361" i="26" l="1"/>
  <c r="BJ361" i="26" l="1"/>
  <c r="AY361" i="26"/>
  <c r="AU361" i="26" s="1"/>
  <c r="AX361" i="26"/>
  <c r="BA361" i="26" s="1"/>
  <c r="BB361" i="26" l="1"/>
  <c r="AZ361" i="26"/>
  <c r="BC361" i="26"/>
  <c r="BE361" i="26"/>
  <c r="BG361" i="26"/>
  <c r="BD361" i="26"/>
  <c r="BL361" i="26"/>
  <c r="BF361" i="26"/>
  <c r="BI361" i="26"/>
  <c r="BH361" i="26"/>
  <c r="BK361" i="26"/>
  <c r="AV362" i="26"/>
  <c r="AW362" i="26" l="1"/>
  <c r="AX362" i="26" l="1"/>
  <c r="AZ362" i="26" s="1"/>
  <c r="BJ362" i="26"/>
  <c r="AY362" i="26"/>
  <c r="BE362" i="26" l="1"/>
  <c r="BD362" i="26"/>
  <c r="BA362" i="26"/>
  <c r="BC362" i="26"/>
  <c r="BB362" i="26"/>
  <c r="BI362" i="26"/>
  <c r="BF362" i="26"/>
  <c r="BL362" i="26"/>
  <c r="BH362" i="26"/>
  <c r="AV363" i="26"/>
  <c r="BG362" i="26"/>
  <c r="BK362" i="26"/>
  <c r="AU362" i="26"/>
  <c r="AW363" i="26" l="1"/>
  <c r="AG92" i="45"/>
  <c r="AY363" i="26" l="1"/>
  <c r="AU363" i="26" s="1"/>
  <c r="AX363" i="26"/>
  <c r="BA363" i="26" s="1"/>
  <c r="BJ363" i="26"/>
  <c r="AZ363" i="26" l="1"/>
  <c r="BD363" i="26"/>
  <c r="BB363" i="26"/>
  <c r="BE363" i="26"/>
  <c r="BC363" i="26"/>
  <c r="BI363" i="26"/>
  <c r="BH363" i="26"/>
  <c r="BF363" i="26"/>
  <c r="BK363" i="26"/>
  <c r="BG363" i="26"/>
  <c r="BL363" i="26"/>
  <c r="AV364" i="26"/>
  <c r="AW364" i="26" l="1"/>
  <c r="BJ364" i="26" l="1"/>
  <c r="AX364" i="26"/>
  <c r="BE364" i="26" s="1"/>
  <c r="AY364" i="26"/>
  <c r="BI364" i="26" l="1"/>
  <c r="BB364" i="26"/>
  <c r="BD364" i="26"/>
  <c r="AZ364" i="26"/>
  <c r="BL364" i="26"/>
  <c r="BH364" i="26"/>
  <c r="BC364" i="26"/>
  <c r="BA364" i="26"/>
  <c r="AV365" i="26"/>
  <c r="BG364" i="26"/>
  <c r="BK364" i="26"/>
  <c r="AU364" i="26"/>
  <c r="BF364" i="26"/>
  <c r="AW365" i="26" l="1"/>
  <c r="AY365" i="26" l="1"/>
  <c r="AU365" i="26" s="1"/>
  <c r="BJ365" i="26"/>
  <c r="AX365" i="26"/>
  <c r="AZ365" i="26" s="1"/>
  <c r="BE365" i="26" l="1"/>
  <c r="BD365" i="26"/>
  <c r="BA365" i="26"/>
  <c r="BI365" i="26"/>
  <c r="BC365" i="26"/>
  <c r="BB365" i="26"/>
  <c r="BH365" i="26"/>
  <c r="BK365" i="26"/>
  <c r="AV366" i="26"/>
  <c r="BL365" i="26"/>
  <c r="BF365" i="26"/>
  <c r="BG365" i="26"/>
  <c r="AW366" i="26" l="1"/>
  <c r="BJ366" i="26" l="1"/>
  <c r="AX366" i="26"/>
  <c r="AZ366" i="26" s="1"/>
  <c r="AY366" i="26"/>
  <c r="BI366" i="26" s="1"/>
  <c r="BH366" i="26" l="1"/>
  <c r="BA366" i="26"/>
  <c r="BD366" i="26"/>
  <c r="BE366" i="26"/>
  <c r="BC366" i="26"/>
  <c r="BB366" i="26"/>
  <c r="BL366" i="26"/>
  <c r="AU366" i="26"/>
  <c r="BK366" i="26"/>
  <c r="AV367" i="26"/>
  <c r="BF366" i="26"/>
  <c r="BG366" i="26"/>
  <c r="AW367" i="26" l="1"/>
  <c r="AX367" i="26" l="1"/>
  <c r="BE367" i="26" s="1"/>
  <c r="AY367" i="26"/>
  <c r="BJ367" i="26"/>
  <c r="BD367" i="26" l="1"/>
  <c r="BA367" i="26"/>
  <c r="BK367" i="26"/>
  <c r="AZ367" i="26"/>
  <c r="BB367" i="26"/>
  <c r="BF367" i="26"/>
  <c r="BH367" i="26"/>
  <c r="BL367" i="26"/>
  <c r="BG367" i="26"/>
  <c r="BC367" i="26"/>
  <c r="AU367" i="26"/>
  <c r="AV368" i="26"/>
  <c r="BI367" i="26"/>
  <c r="AW368" i="26" l="1"/>
  <c r="AX368" i="26" l="1"/>
  <c r="AZ368" i="26" s="1"/>
  <c r="BJ368" i="26"/>
  <c r="AY368" i="26"/>
  <c r="BB368" i="26" l="1"/>
  <c r="BF368" i="26"/>
  <c r="BA368" i="26"/>
  <c r="BD368" i="26"/>
  <c r="BC368" i="26"/>
  <c r="BE368" i="26"/>
  <c r="BH368" i="26"/>
  <c r="AV369" i="26"/>
  <c r="BL368" i="26"/>
  <c r="BG368" i="26"/>
  <c r="BI368" i="26"/>
  <c r="BK368" i="26"/>
  <c r="AU368" i="26"/>
  <c r="AW369" i="26" l="1"/>
  <c r="AX369" i="26" l="1"/>
  <c r="AZ369" i="26" s="1"/>
  <c r="BJ369" i="26"/>
  <c r="AY369" i="26"/>
  <c r="AU369" i="26" s="1"/>
  <c r="BD369" i="26" l="1"/>
  <c r="BB369" i="26"/>
  <c r="BA369" i="26"/>
  <c r="BC369" i="26"/>
  <c r="BE369" i="26"/>
  <c r="BI369" i="26"/>
  <c r="BH369" i="26"/>
  <c r="BL369" i="26"/>
  <c r="AV370" i="26"/>
  <c r="BK369" i="26"/>
  <c r="BF369" i="26"/>
  <c r="BG369" i="26"/>
  <c r="AW370" i="26" l="1"/>
  <c r="BJ370" i="26" l="1"/>
  <c r="AX370" i="26"/>
  <c r="AY370" i="26"/>
  <c r="G54" i="9"/>
  <c r="AU21" i="35"/>
  <c r="AU24" i="35"/>
  <c r="AM28" i="35"/>
  <c r="AM21" i="35"/>
  <c r="AN29" i="35"/>
  <c r="AV26" i="35"/>
  <c r="AM30" i="35"/>
  <c r="AN21" i="35"/>
  <c r="AO21" i="35"/>
  <c r="AV23" i="35"/>
  <c r="AX23" i="35" s="1"/>
  <c r="AL22" i="35"/>
  <c r="I55" i="9"/>
  <c r="K55" i="9" s="1"/>
  <c r="Q55" i="9" s="1"/>
  <c r="E88" i="9" s="1"/>
  <c r="AL26" i="35"/>
  <c r="J57" i="9"/>
  <c r="AO22" i="35"/>
  <c r="AN22" i="35"/>
  <c r="G57" i="9"/>
  <c r="AL24" i="35"/>
  <c r="AW24" i="35"/>
  <c r="AL21" i="35"/>
  <c r="AW25" i="35"/>
  <c r="AU23" i="35"/>
  <c r="G55" i="9"/>
  <c r="AL25" i="35"/>
  <c r="AO27" i="35"/>
  <c r="AP24" i="35"/>
  <c r="AM27" i="35"/>
  <c r="AV29" i="35"/>
  <c r="AX29" i="35" s="1"/>
  <c r="AV27" i="35"/>
  <c r="AW28" i="35"/>
  <c r="AU28" i="35"/>
  <c r="AL23" i="35"/>
  <c r="AO28" i="35"/>
  <c r="AW22" i="35"/>
  <c r="AW21" i="35"/>
  <c r="AU26" i="35"/>
  <c r="AO30" i="35"/>
  <c r="AM25" i="35"/>
  <c r="AN25" i="35"/>
  <c r="AW23" i="35"/>
  <c r="AU30" i="35"/>
  <c r="AL29" i="35"/>
  <c r="AM22" i="35"/>
  <c r="G56" i="9"/>
  <c r="AO23" i="35"/>
  <c r="J56" i="9"/>
  <c r="AV21" i="35"/>
  <c r="AP22" i="35"/>
  <c r="AU27" i="35"/>
  <c r="J53" i="9"/>
  <c r="AM23" i="35"/>
  <c r="AP23" i="35"/>
  <c r="AV22" i="35"/>
  <c r="AP26" i="35"/>
  <c r="AO24" i="35"/>
  <c r="AN27" i="35"/>
  <c r="AN24" i="35"/>
  <c r="AO25" i="35"/>
  <c r="AV24" i="35"/>
  <c r="AX24" i="35" s="1"/>
  <c r="AN28" i="35"/>
  <c r="AP28" i="35"/>
  <c r="AU22" i="35"/>
  <c r="AM26" i="35"/>
  <c r="I56" i="9"/>
  <c r="K56" i="9" s="1"/>
  <c r="Q56" i="9" s="1"/>
  <c r="E89" i="9" s="1"/>
  <c r="AV25" i="35"/>
  <c r="AX25" i="35" s="1"/>
  <c r="AN26" i="35"/>
  <c r="AP29" i="35"/>
  <c r="AN23" i="35"/>
  <c r="AW30" i="35"/>
  <c r="I57" i="9"/>
  <c r="AL27" i="35"/>
  <c r="AU25" i="35"/>
  <c r="AO29" i="35"/>
  <c r="I53" i="9"/>
  <c r="K53" i="9" s="1"/>
  <c r="Q53" i="9" s="1"/>
  <c r="E86" i="9" s="1"/>
  <c r="AW27" i="35"/>
  <c r="AW26" i="35"/>
  <c r="J55" i="9"/>
  <c r="AU29" i="35"/>
  <c r="AP25" i="35"/>
  <c r="AP30" i="35"/>
  <c r="AM29" i="35"/>
  <c r="AW29" i="35"/>
  <c r="J54" i="9"/>
  <c r="AL30" i="35"/>
  <c r="AV30" i="35"/>
  <c r="AX30" i="35" s="1"/>
  <c r="AM24" i="35"/>
  <c r="AP21" i="35"/>
  <c r="AO26" i="35"/>
  <c r="AV28" i="35"/>
  <c r="AN30" i="35"/>
  <c r="G53" i="9"/>
  <c r="AL28" i="35"/>
  <c r="I54" i="9"/>
  <c r="AP27" i="35"/>
  <c r="AM31" i="35"/>
  <c r="AO31" i="35"/>
  <c r="AP32" i="35"/>
  <c r="AV31" i="35"/>
  <c r="AX31" i="35" s="1"/>
  <c r="AN31" i="35"/>
  <c r="AP31" i="35"/>
  <c r="AL31" i="35"/>
  <c r="AN32" i="35"/>
  <c r="AU32" i="35"/>
  <c r="AM32" i="35"/>
  <c r="AO32" i="35"/>
  <c r="AW31" i="35"/>
  <c r="AV32" i="35"/>
  <c r="AX32" i="35" s="1"/>
  <c r="AL32" i="35"/>
  <c r="AW32" i="35"/>
  <c r="AU31" i="35"/>
  <c r="BI9" i="35"/>
  <c r="BK9" i="35" s="1"/>
  <c r="BJ7" i="35"/>
  <c r="G63" i="9"/>
  <c r="BI22" i="35"/>
  <c r="BK22" i="35" s="1"/>
  <c r="BI23" i="35"/>
  <c r="BK23" i="35" s="1"/>
  <c r="BJ12" i="35"/>
  <c r="BH12" i="35"/>
  <c r="BH17" i="35"/>
  <c r="BJ22" i="35"/>
  <c r="BJ9" i="35"/>
  <c r="AV34" i="35"/>
  <c r="AX34" i="35" s="1"/>
  <c r="BI17" i="35"/>
  <c r="BK17" i="35" s="1"/>
  <c r="BH9" i="35"/>
  <c r="BI21" i="35"/>
  <c r="BK21" i="35" s="1"/>
  <c r="BI4" i="35"/>
  <c r="BK4" i="35" s="1"/>
  <c r="BH20" i="35"/>
  <c r="BH10" i="35"/>
  <c r="J61" i="9"/>
  <c r="AU37" i="35"/>
  <c r="I59" i="9"/>
  <c r="K59" i="9" s="1"/>
  <c r="Q59" i="9" s="1"/>
  <c r="E92" i="9" s="1"/>
  <c r="BH18" i="35"/>
  <c r="BH13" i="35"/>
  <c r="BJ19" i="35"/>
  <c r="I60" i="9"/>
  <c r="K60" i="9" s="1"/>
  <c r="Q60" i="9" s="1"/>
  <c r="E93" i="9" s="1"/>
  <c r="BI18" i="35"/>
  <c r="BK18" i="35" s="1"/>
  <c r="AU34" i="35"/>
  <c r="BI7" i="35"/>
  <c r="BK7" i="35" s="1"/>
  <c r="BI5" i="35"/>
  <c r="BK5" i="35" s="1"/>
  <c r="BJ18" i="35"/>
  <c r="G62" i="9"/>
  <c r="J58" i="9"/>
  <c r="I58" i="9"/>
  <c r="K58" i="9" s="1"/>
  <c r="Q58" i="9" s="1"/>
  <c r="E91" i="9" s="1"/>
  <c r="J59" i="9"/>
  <c r="AU33" i="35"/>
  <c r="I61" i="9"/>
  <c r="K61" i="9" s="1"/>
  <c r="Q61" i="9" s="1"/>
  <c r="E94" i="9" s="1"/>
  <c r="BI10" i="35"/>
  <c r="BK10" i="35" s="1"/>
  <c r="I62" i="9"/>
  <c r="K62" i="9" s="1"/>
  <c r="Q62" i="9" s="1"/>
  <c r="E95" i="9" s="1"/>
  <c r="BI13" i="35"/>
  <c r="BK13" i="35" s="1"/>
  <c r="BJ8" i="35"/>
  <c r="BI6" i="35"/>
  <c r="BK6" i="35" s="1"/>
  <c r="BH6" i="35"/>
  <c r="BI15" i="35"/>
  <c r="BK15" i="35" s="1"/>
  <c r="BJ17" i="35"/>
  <c r="AW37" i="35"/>
  <c r="BH14" i="35"/>
  <c r="AV37" i="35"/>
  <c r="AX37" i="35" s="1"/>
  <c r="AV33" i="35"/>
  <c r="AX33" i="35" s="1"/>
  <c r="BH15" i="35"/>
  <c r="AW33" i="35"/>
  <c r="BH22" i="35"/>
  <c r="BI11" i="35"/>
  <c r="BK11" i="35" s="1"/>
  <c r="BJ13" i="35"/>
  <c r="BJ15" i="35"/>
  <c r="BI16" i="35"/>
  <c r="BK16" i="35" s="1"/>
  <c r="J60" i="9"/>
  <c r="G60" i="9"/>
  <c r="BJ21" i="35"/>
  <c r="BH19" i="35"/>
  <c r="BI20" i="35"/>
  <c r="BK20" i="35" s="1"/>
  <c r="G61" i="9"/>
  <c r="BH4" i="35"/>
  <c r="G58" i="9"/>
  <c r="BJ23" i="35"/>
  <c r="BJ5" i="35"/>
  <c r="BJ4" i="35"/>
  <c r="BI14" i="35"/>
  <c r="BK14" i="35" s="1"/>
  <c r="AU35" i="35"/>
  <c r="AW35" i="35"/>
  <c r="I63" i="9"/>
  <c r="K63" i="9" s="1"/>
  <c r="Q63" i="9" s="1"/>
  <c r="E96" i="9" s="1"/>
  <c r="BJ6" i="35"/>
  <c r="BJ10" i="35"/>
  <c r="AU36" i="35"/>
  <c r="BH5" i="35"/>
  <c r="AW36" i="35"/>
  <c r="BH21" i="35"/>
  <c r="AV36" i="35"/>
  <c r="AX36" i="35" s="1"/>
  <c r="BH23" i="35"/>
  <c r="BJ16" i="35"/>
  <c r="BJ11" i="35"/>
  <c r="BH16" i="35"/>
  <c r="BJ14" i="35"/>
  <c r="G59" i="9"/>
  <c r="AW34" i="35"/>
  <c r="BI8" i="35"/>
  <c r="BK8" i="35" s="1"/>
  <c r="J62" i="9"/>
  <c r="J63" i="9"/>
  <c r="BI12" i="35"/>
  <c r="BK12" i="35" s="1"/>
  <c r="AV35" i="35"/>
  <c r="AX35" i="35" s="1"/>
  <c r="BI19" i="35"/>
  <c r="BK19" i="35" s="1"/>
  <c r="BH11" i="35"/>
  <c r="BH8" i="35"/>
  <c r="BJ20" i="35"/>
  <c r="BH7" i="35"/>
  <c r="AO33" i="35"/>
  <c r="AP33" i="35"/>
  <c r="AN33" i="35"/>
  <c r="AM33" i="35"/>
  <c r="AL33" i="35"/>
  <c r="AL36" i="35"/>
  <c r="AP35" i="35"/>
  <c r="AM34" i="35"/>
  <c r="AN34" i="35"/>
  <c r="AO35" i="35"/>
  <c r="AN35" i="35"/>
  <c r="AL34" i="35"/>
  <c r="AM35" i="35"/>
  <c r="AO34" i="35"/>
  <c r="AP34" i="35"/>
  <c r="AL35" i="35"/>
  <c r="AM36" i="35"/>
  <c r="AN37" i="35"/>
  <c r="AM37" i="35"/>
  <c r="AP37" i="35"/>
  <c r="AO36" i="35"/>
  <c r="AO37" i="35"/>
  <c r="AN36" i="35"/>
  <c r="AL37" i="35"/>
  <c r="AP36" i="35"/>
  <c r="AZ6" i="35"/>
  <c r="AY4" i="35"/>
  <c r="BC6" i="35"/>
  <c r="AZ4" i="35"/>
  <c r="BB4" i="35"/>
  <c r="BA7" i="35"/>
  <c r="BB7" i="35"/>
  <c r="BB5" i="35"/>
  <c r="AZ7" i="35"/>
  <c r="BA5" i="35"/>
  <c r="AY5" i="35"/>
  <c r="BB6" i="35"/>
  <c r="BC7" i="35"/>
  <c r="AY6" i="35"/>
  <c r="BC5" i="35"/>
  <c r="BC4" i="35"/>
  <c r="AY7" i="35"/>
  <c r="BA4" i="35"/>
  <c r="BA6" i="35"/>
  <c r="AZ5" i="35"/>
  <c r="AY10" i="35"/>
  <c r="BA9" i="35"/>
  <c r="BC10" i="35"/>
  <c r="BB10" i="35"/>
  <c r="AZ12" i="35"/>
  <c r="AZ10" i="35"/>
  <c r="BC8" i="35"/>
  <c r="AY12" i="35"/>
  <c r="BC13" i="35"/>
  <c r="BB13" i="35"/>
  <c r="AY13" i="35"/>
  <c r="BB8" i="35"/>
  <c r="BC12" i="35"/>
  <c r="BC9" i="35"/>
  <c r="AZ8" i="35"/>
  <c r="AZ13" i="35"/>
  <c r="BA11" i="35"/>
  <c r="BA13" i="35"/>
  <c r="BA12" i="35"/>
  <c r="AZ9" i="35"/>
  <c r="BC11" i="35"/>
  <c r="BB9" i="35"/>
  <c r="AY11" i="35"/>
  <c r="AY9" i="35"/>
  <c r="BA10" i="35"/>
  <c r="BB11" i="35"/>
  <c r="BB12" i="35"/>
  <c r="BA8" i="35"/>
  <c r="AY8" i="35"/>
  <c r="AZ11" i="35"/>
  <c r="BC15" i="35"/>
  <c r="AY17" i="35"/>
  <c r="AY15" i="35"/>
  <c r="BC18" i="35"/>
  <c r="AY18" i="35"/>
  <c r="BB18" i="35"/>
  <c r="BA18" i="35"/>
  <c r="BA16" i="35"/>
  <c r="BA17" i="35"/>
  <c r="AY14" i="35"/>
  <c r="BC16" i="35"/>
  <c r="BB14" i="35"/>
  <c r="BB15" i="35"/>
  <c r="AZ18" i="35"/>
  <c r="BB16" i="35"/>
  <c r="BA15" i="35"/>
  <c r="AZ17" i="35"/>
  <c r="AY16" i="35"/>
  <c r="BC14" i="35"/>
  <c r="BC17" i="35"/>
  <c r="BB17" i="35"/>
  <c r="AZ16" i="35"/>
  <c r="AZ15" i="35"/>
  <c r="BA14" i="35"/>
  <c r="AZ14" i="35"/>
  <c r="BC19" i="35"/>
  <c r="AZ19" i="35"/>
  <c r="AY19" i="35"/>
  <c r="BB19" i="35"/>
  <c r="BA20" i="35"/>
  <c r="BC20" i="35"/>
  <c r="BB20" i="35"/>
  <c r="AY20" i="35"/>
  <c r="AZ20" i="35"/>
  <c r="BA19" i="35"/>
  <c r="AY22" i="35"/>
  <c r="BB23" i="35"/>
  <c r="BA23" i="35"/>
  <c r="BA22" i="35"/>
  <c r="BC21" i="35"/>
  <c r="AZ23" i="35"/>
  <c r="AY21" i="35"/>
  <c r="BC22" i="35"/>
  <c r="BB21" i="35"/>
  <c r="AZ22" i="35"/>
  <c r="AZ21" i="35"/>
  <c r="AY23" i="35"/>
  <c r="BA21" i="35"/>
  <c r="BC23" i="35"/>
  <c r="BB22" i="35"/>
  <c r="H76" i="9" l="1"/>
  <c r="AZ370" i="26"/>
  <c r="BM23" i="35"/>
  <c r="BE370" i="26"/>
  <c r="AX22" i="35"/>
  <c r="W22" i="35" s="1"/>
  <c r="BF370" i="26"/>
  <c r="BC370" i="26"/>
  <c r="BG370" i="26"/>
  <c r="BA370" i="26"/>
  <c r="AU370" i="26"/>
  <c r="BD370" i="26"/>
  <c r="BI370" i="26"/>
  <c r="BK370" i="26"/>
  <c r="BB370" i="26"/>
  <c r="AV371" i="26"/>
  <c r="BL370" i="26"/>
  <c r="BH370" i="26"/>
  <c r="X21" i="35"/>
  <c r="C21" i="35" s="1"/>
  <c r="X9" i="35"/>
  <c r="C9" i="35" s="1"/>
  <c r="W32" i="35"/>
  <c r="X11" i="35"/>
  <c r="C11" i="35" s="1"/>
  <c r="K57" i="9"/>
  <c r="Q57" i="9" s="1"/>
  <c r="E90" i="9" s="1"/>
  <c r="AX28" i="35"/>
  <c r="W28" i="35" s="1"/>
  <c r="X16" i="35"/>
  <c r="C16" i="35" s="1"/>
  <c r="X14" i="35"/>
  <c r="C14" i="35" s="1"/>
  <c r="X17" i="35"/>
  <c r="C17" i="35" s="1"/>
  <c r="X12" i="35"/>
  <c r="C12" i="35" s="1"/>
  <c r="W33" i="35"/>
  <c r="C33" i="35" s="1"/>
  <c r="W30" i="35"/>
  <c r="X18" i="35"/>
  <c r="C18" i="35" s="1"/>
  <c r="W37" i="35"/>
  <c r="C37" i="35" s="1"/>
  <c r="AX26" i="35"/>
  <c r="W26" i="35" s="1"/>
  <c r="X20" i="35"/>
  <c r="C20" i="35" s="1"/>
  <c r="X5" i="35"/>
  <c r="C5" i="35" s="1"/>
  <c r="W34" i="35"/>
  <c r="C34" i="35" s="1"/>
  <c r="X4" i="35"/>
  <c r="C4" i="35" s="1"/>
  <c r="W29" i="35"/>
  <c r="W24" i="35"/>
  <c r="X23" i="35"/>
  <c r="C23" i="35" s="1"/>
  <c r="X8" i="35"/>
  <c r="C8" i="35" s="1"/>
  <c r="X7" i="35"/>
  <c r="C7" i="35" s="1"/>
  <c r="AX27" i="35"/>
  <c r="W27" i="35" s="1"/>
  <c r="AX21" i="35"/>
  <c r="W21" i="35" s="1"/>
  <c r="W23" i="35"/>
  <c r="W25" i="35"/>
  <c r="K54" i="9"/>
  <c r="Q54" i="9" s="1"/>
  <c r="E87" i="9" s="1"/>
  <c r="X13" i="35"/>
  <c r="C13" i="35" s="1"/>
  <c r="W35" i="35"/>
  <c r="C35" i="35" s="1"/>
  <c r="X22" i="35"/>
  <c r="C22" i="35" s="1"/>
  <c r="X19" i="35"/>
  <c r="C19" i="35" s="1"/>
  <c r="X6" i="35"/>
  <c r="C6" i="35" s="1"/>
  <c r="X15" i="35"/>
  <c r="C15" i="35" s="1"/>
  <c r="X10" i="35"/>
  <c r="C10" i="35" s="1"/>
  <c r="W36" i="35"/>
  <c r="C36" i="35" s="1"/>
  <c r="W31" i="35"/>
  <c r="BM22" i="35" l="1"/>
  <c r="BM21" i="35"/>
  <c r="AW371" i="26"/>
  <c r="AY371" i="26" l="1"/>
  <c r="AU371" i="26" s="1"/>
  <c r="BJ371" i="26"/>
  <c r="AX371" i="26"/>
  <c r="BC371" i="26" s="1"/>
  <c r="BI371" i="26" l="1"/>
  <c r="AZ371" i="26"/>
  <c r="BE371" i="26"/>
  <c r="BA371" i="26"/>
  <c r="BB371" i="26"/>
  <c r="BD371" i="26"/>
  <c r="BL371" i="26"/>
  <c r="BF371" i="26"/>
  <c r="BK371" i="26"/>
  <c r="BG371" i="26"/>
  <c r="BH371" i="26"/>
  <c r="AV372" i="26"/>
  <c r="AW372" i="26" l="1"/>
  <c r="BJ372" i="26" l="1"/>
  <c r="AY372" i="26"/>
  <c r="AX372" i="26"/>
  <c r="AZ372" i="26" s="1"/>
  <c r="BD372" i="26" l="1"/>
  <c r="BF372" i="26"/>
  <c r="BE372" i="26"/>
  <c r="BL372" i="26"/>
  <c r="BI372" i="26"/>
  <c r="AU372" i="26"/>
  <c r="BK372" i="26"/>
  <c r="BH372" i="26"/>
  <c r="BB372" i="26"/>
  <c r="BC372" i="26"/>
  <c r="BA372" i="26"/>
  <c r="BG372" i="26"/>
  <c r="BB30" i="35" l="1"/>
  <c r="BH34" i="35"/>
  <c r="AZ31" i="35"/>
  <c r="I66" i="9"/>
  <c r="K66" i="9" s="1"/>
  <c r="Q66" i="9" s="1"/>
  <c r="E99" i="9" s="1"/>
  <c r="H79" i="9" s="1"/>
  <c r="BC31" i="35"/>
  <c r="BJ29" i="35"/>
  <c r="AZ36" i="35"/>
  <c r="AY25" i="35"/>
  <c r="BB37" i="35"/>
  <c r="AZ32" i="35"/>
  <c r="BI25" i="35"/>
  <c r="BK25" i="35" s="1"/>
  <c r="BB35" i="35"/>
  <c r="I67" i="9"/>
  <c r="K67" i="9" s="1"/>
  <c r="Q67" i="9" s="1"/>
  <c r="E100" i="9" s="1"/>
  <c r="H80" i="9" s="1"/>
  <c r="AY37" i="35"/>
  <c r="BJ28" i="35"/>
  <c r="AZ37" i="35"/>
  <c r="G66" i="9"/>
  <c r="G67" i="9"/>
  <c r="BH33" i="35"/>
  <c r="BI35" i="35"/>
  <c r="BK35" i="35" s="1"/>
  <c r="G65" i="9"/>
  <c r="AY26" i="35"/>
  <c r="BJ37" i="35"/>
  <c r="BA35" i="35"/>
  <c r="BI24" i="35"/>
  <c r="BK24" i="35" s="1"/>
  <c r="BC37" i="35"/>
  <c r="BH36" i="35"/>
  <c r="BJ35" i="35"/>
  <c r="BA27" i="35"/>
  <c r="BH32" i="35"/>
  <c r="BC28" i="35"/>
  <c r="BH31" i="35"/>
  <c r="AY27" i="35"/>
  <c r="AY31" i="35"/>
  <c r="AZ26" i="35"/>
  <c r="AY29" i="35"/>
  <c r="BB33" i="35"/>
  <c r="BJ25" i="35"/>
  <c r="BJ24" i="35"/>
  <c r="BI32" i="35"/>
  <c r="BK32" i="35" s="1"/>
  <c r="BB36" i="35"/>
  <c r="J65" i="9"/>
  <c r="BI28" i="35"/>
  <c r="BK28" i="35" s="1"/>
  <c r="BC26" i="35"/>
  <c r="BA26" i="35"/>
  <c r="BB29" i="35"/>
  <c r="BA30" i="35"/>
  <c r="AZ29" i="35"/>
  <c r="BC25" i="35"/>
  <c r="AZ34" i="35"/>
  <c r="I69" i="9"/>
  <c r="K69" i="9" s="1"/>
  <c r="Q69" i="9" s="1"/>
  <c r="E102" i="9" s="1"/>
  <c r="BI26" i="35"/>
  <c r="BK26" i="35" s="1"/>
  <c r="AZ25" i="35"/>
  <c r="BH35" i="35"/>
  <c r="BA31" i="35"/>
  <c r="BJ30" i="35"/>
  <c r="BC33" i="35"/>
  <c r="BI34" i="35"/>
  <c r="BK34" i="35" s="1"/>
  <c r="BC34" i="35"/>
  <c r="BH26" i="35"/>
  <c r="AY36" i="35"/>
  <c r="BJ36" i="35"/>
  <c r="AY34" i="35"/>
  <c r="BI36" i="35"/>
  <c r="BK36" i="35" s="1"/>
  <c r="BJ34" i="35"/>
  <c r="J66" i="9"/>
  <c r="BA32" i="35"/>
  <c r="AY28" i="35"/>
  <c r="BH30" i="35"/>
  <c r="BC32" i="35"/>
  <c r="BI37" i="35"/>
  <c r="BK37" i="35" s="1"/>
  <c r="BA34" i="35"/>
  <c r="J67" i="9"/>
  <c r="BJ32" i="35"/>
  <c r="J64" i="9"/>
  <c r="BI30" i="35"/>
  <c r="BK30" i="35" s="1"/>
  <c r="G64" i="9"/>
  <c r="I64" i="9"/>
  <c r="K64" i="9" s="1"/>
  <c r="Q64" i="9" s="1"/>
  <c r="E97" i="9" s="1"/>
  <c r="H77" i="9" s="1"/>
  <c r="AY24" i="35"/>
  <c r="BA24" i="35"/>
  <c r="BA28" i="35"/>
  <c r="AY33" i="35"/>
  <c r="BH29" i="35"/>
  <c r="AY32" i="35"/>
  <c r="I65" i="9"/>
  <c r="K65" i="9" s="1"/>
  <c r="Q65" i="9" s="1"/>
  <c r="E98" i="9" s="1"/>
  <c r="H78" i="9" s="1"/>
  <c r="BJ31" i="35"/>
  <c r="AZ27" i="35"/>
  <c r="J68" i="9"/>
  <c r="AZ28" i="35"/>
  <c r="BC24" i="35"/>
  <c r="AY35" i="35"/>
  <c r="BB25" i="35"/>
  <c r="BA36" i="35"/>
  <c r="BC29" i="35"/>
  <c r="BB28" i="35"/>
  <c r="BA29" i="35"/>
  <c r="BH28" i="35"/>
  <c r="BJ26" i="35"/>
  <c r="BB26" i="35"/>
  <c r="I68" i="9"/>
  <c r="K68" i="9" s="1"/>
  <c r="Q68" i="9" s="1"/>
  <c r="E101" i="9" s="1"/>
  <c r="H81" i="9" s="1"/>
  <c r="BB34" i="35"/>
  <c r="AY30" i="35"/>
  <c r="BI29" i="35"/>
  <c r="BK29" i="35" s="1"/>
  <c r="BB32" i="35"/>
  <c r="G68" i="9"/>
  <c r="BC36" i="35"/>
  <c r="BJ33" i="35"/>
  <c r="BC35" i="35"/>
  <c r="BI27" i="35"/>
  <c r="BK27" i="35" s="1"/>
  <c r="BA33" i="35"/>
  <c r="BI31" i="35"/>
  <c r="BK31" i="35" s="1"/>
  <c r="BM31" i="35" s="1"/>
  <c r="AZ30" i="35"/>
  <c r="BH25" i="35"/>
  <c r="BC30" i="35"/>
  <c r="BC27" i="35"/>
  <c r="BI33" i="35"/>
  <c r="BK33" i="35" s="1"/>
  <c r="AZ35" i="35"/>
  <c r="J69" i="9"/>
  <c r="BH24" i="35"/>
  <c r="BJ27" i="35"/>
  <c r="G69" i="9"/>
  <c r="BA25" i="35"/>
  <c r="BH37" i="35"/>
  <c r="BB27" i="35"/>
  <c r="BH27" i="35"/>
  <c r="BB31" i="35"/>
  <c r="BB24" i="35"/>
  <c r="AZ33" i="35"/>
  <c r="AZ24" i="35"/>
  <c r="BA37" i="35"/>
  <c r="J41" i="9"/>
  <c r="G41" i="9"/>
  <c r="I41" i="9"/>
  <c r="AP9" i="35"/>
  <c r="AO15" i="35"/>
  <c r="AP6" i="35"/>
  <c r="AN14" i="35"/>
  <c r="AL16" i="35"/>
  <c r="AW14" i="35"/>
  <c r="AL15" i="35"/>
  <c r="AL4" i="35"/>
  <c r="AU6" i="35"/>
  <c r="AL9" i="35"/>
  <c r="AW4" i="35"/>
  <c r="AL6" i="35"/>
  <c r="AU16" i="35"/>
  <c r="I49" i="9"/>
  <c r="AV5" i="35"/>
  <c r="AU14" i="35"/>
  <c r="AU4" i="35"/>
  <c r="AW10" i="35"/>
  <c r="G50" i="9"/>
  <c r="AM13" i="35"/>
  <c r="AO11" i="35"/>
  <c r="AP10" i="35"/>
  <c r="AO8" i="35"/>
  <c r="AU9" i="35"/>
  <c r="AL13" i="35"/>
  <c r="AO7" i="35"/>
  <c r="AM10" i="35"/>
  <c r="AO5" i="35"/>
  <c r="AM12" i="35"/>
  <c r="I50" i="9"/>
  <c r="K50" i="9" s="1"/>
  <c r="Q50" i="9" s="1"/>
  <c r="E83" i="9" s="1"/>
  <c r="AW6" i="35"/>
  <c r="AW16" i="35"/>
  <c r="AL12" i="35"/>
  <c r="AV4" i="35"/>
  <c r="AO6" i="35"/>
  <c r="AW15" i="35"/>
  <c r="AP16" i="35"/>
  <c r="AP5" i="35"/>
  <c r="AP8" i="35"/>
  <c r="AU15" i="35"/>
  <c r="AO16" i="35"/>
  <c r="AW5" i="35"/>
  <c r="G51" i="9"/>
  <c r="AN8" i="35"/>
  <c r="AM14" i="35"/>
  <c r="AU11" i="35"/>
  <c r="AM16" i="35"/>
  <c r="G49" i="9"/>
  <c r="AV8" i="35"/>
  <c r="AM7" i="35"/>
  <c r="AU12" i="35"/>
  <c r="AN7" i="35"/>
  <c r="AV11" i="35"/>
  <c r="AO10" i="35"/>
  <c r="AV15" i="35"/>
  <c r="AN5" i="35"/>
  <c r="AN16" i="35"/>
  <c r="AU8" i="35"/>
  <c r="AO13" i="35"/>
  <c r="AM8" i="35"/>
  <c r="AV12" i="35"/>
  <c r="G52" i="9"/>
  <c r="AM5" i="35"/>
  <c r="AP7" i="35"/>
  <c r="AV16" i="35"/>
  <c r="AN15" i="35"/>
  <c r="AN6" i="35"/>
  <c r="J51" i="9"/>
  <c r="AV9" i="35"/>
  <c r="AL5" i="35"/>
  <c r="AL11" i="35"/>
  <c r="AW9" i="35"/>
  <c r="AM9" i="35"/>
  <c r="AU7" i="35"/>
  <c r="AN9" i="35"/>
  <c r="AW12" i="35"/>
  <c r="AM11" i="35"/>
  <c r="AN4" i="35"/>
  <c r="AP11" i="35"/>
  <c r="AL8" i="35"/>
  <c r="AW11" i="35"/>
  <c r="AM6" i="35"/>
  <c r="AV7" i="35"/>
  <c r="J50" i="9"/>
  <c r="AN12" i="35"/>
  <c r="AV6" i="35"/>
  <c r="I51" i="9"/>
  <c r="AP13" i="35"/>
  <c r="AM4" i="35"/>
  <c r="AU10" i="35"/>
  <c r="AX10" i="35" s="1"/>
  <c r="AO12" i="35"/>
  <c r="AN10" i="35"/>
  <c r="AL10" i="35"/>
  <c r="AO9" i="35"/>
  <c r="AP12" i="35"/>
  <c r="AP4" i="35"/>
  <c r="AP14" i="35"/>
  <c r="AW8" i="35"/>
  <c r="AV13" i="35"/>
  <c r="AV10" i="35"/>
  <c r="AN11" i="35"/>
  <c r="AM15" i="35"/>
  <c r="AW7" i="35"/>
  <c r="AW13" i="35"/>
  <c r="J52" i="9"/>
  <c r="AO14" i="35"/>
  <c r="J49" i="9"/>
  <c r="AN13" i="35"/>
  <c r="AU13" i="35"/>
  <c r="AP15" i="35"/>
  <c r="AL7" i="35"/>
  <c r="AL14" i="35"/>
  <c r="AU5" i="35"/>
  <c r="AV14" i="35"/>
  <c r="AO4" i="35"/>
  <c r="AV18" i="35"/>
  <c r="AX18" i="35" s="1"/>
  <c r="AP17" i="35"/>
  <c r="I52" i="9"/>
  <c r="AL18" i="35"/>
  <c r="AL19" i="35"/>
  <c r="AV19" i="35"/>
  <c r="AX19" i="35" s="1"/>
  <c r="AU19" i="35"/>
  <c r="AM17" i="35"/>
  <c r="AM20" i="35"/>
  <c r="AU18" i="35"/>
  <c r="AW19" i="35"/>
  <c r="AO17" i="35"/>
  <c r="AV20" i="35"/>
  <c r="AX20" i="35" s="1"/>
  <c r="AN19" i="35"/>
  <c r="AO19" i="35"/>
  <c r="AW18" i="35"/>
  <c r="AL17" i="35"/>
  <c r="AM19" i="35"/>
  <c r="AV17" i="35"/>
  <c r="AX17" i="35" s="1"/>
  <c r="AN17" i="35"/>
  <c r="AP19" i="35"/>
  <c r="AM18" i="35"/>
  <c r="AU17" i="35"/>
  <c r="AN18" i="35"/>
  <c r="AO18" i="35"/>
  <c r="AP18" i="35"/>
  <c r="AO20" i="35"/>
  <c r="AW17" i="35"/>
  <c r="AP20" i="35"/>
  <c r="AU20" i="35"/>
  <c r="AN20" i="35"/>
  <c r="AL20" i="35"/>
  <c r="AW20" i="35"/>
  <c r="BN5" i="45"/>
  <c r="BV5" i="45"/>
  <c r="I70" i="9"/>
  <c r="K70" i="9" s="1"/>
  <c r="Q70" i="9" s="1"/>
  <c r="E103" i="9" s="1"/>
  <c r="BM5" i="45"/>
  <c r="G70" i="9"/>
  <c r="BU5" i="45"/>
  <c r="BW5" i="45" s="1"/>
  <c r="BT5" i="45"/>
  <c r="J70" i="9"/>
  <c r="BM32" i="35" l="1"/>
  <c r="AX13" i="35"/>
  <c r="BM34" i="35"/>
  <c r="AX16" i="35"/>
  <c r="W16" i="35" s="1"/>
  <c r="AX5" i="35"/>
  <c r="W5" i="35" s="1"/>
  <c r="AX4" i="35"/>
  <c r="BM4" i="35" s="1"/>
  <c r="K49" i="9"/>
  <c r="Q49" i="9" s="1"/>
  <c r="E82" i="9" s="1"/>
  <c r="H82" i="9" s="1"/>
  <c r="BM29" i="35"/>
  <c r="BM37" i="35"/>
  <c r="BM26" i="35"/>
  <c r="BM36" i="35"/>
  <c r="BM27" i="35"/>
  <c r="BM17" i="35"/>
  <c r="X32" i="35"/>
  <c r="C32" i="35" s="1"/>
  <c r="W20" i="35"/>
  <c r="AX12" i="35"/>
  <c r="K51" i="9"/>
  <c r="Q51" i="9" s="1"/>
  <c r="E84" i="9" s="1"/>
  <c r="X25" i="35"/>
  <c r="C25" i="35" s="1"/>
  <c r="W10" i="35"/>
  <c r="BM10" i="35"/>
  <c r="AX7" i="35"/>
  <c r="BM7" i="35" s="1"/>
  <c r="AX8" i="35"/>
  <c r="X24" i="35"/>
  <c r="C24" i="35" s="1"/>
  <c r="X34" i="35"/>
  <c r="BM19" i="35"/>
  <c r="AX6" i="35"/>
  <c r="X30" i="35"/>
  <c r="C30" i="35" s="1"/>
  <c r="X26" i="35"/>
  <c r="C26" i="35" s="1"/>
  <c r="X37" i="35"/>
  <c r="BM20" i="35"/>
  <c r="W19" i="35"/>
  <c r="AX15" i="35"/>
  <c r="AX9" i="35"/>
  <c r="BM9" i="35" s="1"/>
  <c r="AX14" i="35"/>
  <c r="X36" i="35"/>
  <c r="W18" i="35"/>
  <c r="K41" i="9"/>
  <c r="Q41" i="9" s="1"/>
  <c r="E74" i="9" s="1"/>
  <c r="BM33" i="35"/>
  <c r="BM30" i="35"/>
  <c r="X28" i="35"/>
  <c r="C28" i="35" s="1"/>
  <c r="X29" i="35"/>
  <c r="C29" i="35" s="1"/>
  <c r="BM35" i="35"/>
  <c r="K52" i="9"/>
  <c r="Q52" i="9" s="1"/>
  <c r="E85" i="9" s="1"/>
  <c r="H75" i="9" s="1"/>
  <c r="AX11" i="35"/>
  <c r="X35" i="35"/>
  <c r="BM28" i="35"/>
  <c r="BM25" i="35"/>
  <c r="X33" i="35"/>
  <c r="X31" i="35"/>
  <c r="C31" i="35" s="1"/>
  <c r="W13" i="35"/>
  <c r="BM13" i="35"/>
  <c r="W17" i="35"/>
  <c r="BM18" i="35"/>
  <c r="X27" i="35"/>
  <c r="C27" i="35" s="1"/>
  <c r="BM24" i="35"/>
  <c r="K63" i="27"/>
  <c r="K50" i="27" s="1"/>
  <c r="K51" i="27" s="1"/>
  <c r="K52" i="27" s="1"/>
  <c r="K53" i="27" s="1"/>
  <c r="K54" i="27" s="1"/>
  <c r="K55" i="27" s="1"/>
  <c r="K56" i="27" s="1"/>
  <c r="K57" i="27" s="1"/>
  <c r="K58" i="27" s="1"/>
  <c r="K59" i="27" s="1"/>
  <c r="K60" i="27" s="1"/>
  <c r="K61" i="27" s="1"/>
  <c r="K62" i="27" s="1"/>
  <c r="I97" i="9"/>
  <c r="K97" i="9" s="1"/>
  <c r="L97" i="9" s="1"/>
  <c r="O97" i="9" s="1"/>
  <c r="I63" i="27" s="1"/>
  <c r="H97" i="9"/>
  <c r="BM16" i="35" l="1"/>
  <c r="W4" i="35"/>
  <c r="BM5" i="35"/>
  <c r="I74" i="9"/>
  <c r="K74" i="9" s="1"/>
  <c r="L74" i="9" s="1"/>
  <c r="H74" i="9"/>
  <c r="I89" i="9" s="1"/>
  <c r="K89" i="9" s="1"/>
  <c r="L89" i="9" s="1"/>
  <c r="O89" i="9" s="1"/>
  <c r="W14" i="35"/>
  <c r="BM14" i="35"/>
  <c r="W6" i="35"/>
  <c r="BM6" i="35"/>
  <c r="W8" i="35"/>
  <c r="BM8" i="35"/>
  <c r="W15" i="35"/>
  <c r="BM15" i="35"/>
  <c r="W11" i="35"/>
  <c r="BM11" i="35"/>
  <c r="W7" i="35"/>
  <c r="W12" i="35"/>
  <c r="BM12" i="35"/>
  <c r="W9" i="35"/>
  <c r="H89" i="9"/>
  <c r="H91" i="9"/>
  <c r="H95" i="9"/>
  <c r="H92" i="9"/>
  <c r="H94" i="9"/>
  <c r="H84" i="9"/>
  <c r="H90" i="9"/>
  <c r="H96" i="9"/>
  <c r="H87" i="9"/>
  <c r="H86" i="9"/>
  <c r="H85" i="9"/>
  <c r="H83" i="9"/>
  <c r="H93" i="9"/>
  <c r="H88" i="9"/>
  <c r="H63" i="27"/>
  <c r="C46" i="45" s="1"/>
  <c r="L63" i="27"/>
  <c r="M63" i="27" s="1"/>
  <c r="N63" i="27" s="1"/>
  <c r="D46" i="45"/>
  <c r="AG6" i="45"/>
  <c r="I96" i="9" l="1"/>
  <c r="K96" i="9" s="1"/>
  <c r="L96" i="9" s="1"/>
  <c r="O96" i="9" s="1"/>
  <c r="I62" i="27" s="1"/>
  <c r="I91" i="9"/>
  <c r="K91" i="9" s="1"/>
  <c r="L91" i="9" s="1"/>
  <c r="O91" i="9" s="1"/>
  <c r="P58" i="27" s="1"/>
  <c r="I88" i="9"/>
  <c r="K88" i="9" s="1"/>
  <c r="L88" i="9" s="1"/>
  <c r="O88" i="9" s="1"/>
  <c r="P55" i="27" s="1"/>
  <c r="I90" i="9"/>
  <c r="K90" i="9" s="1"/>
  <c r="L90" i="9" s="1"/>
  <c r="O90" i="9" s="1"/>
  <c r="P57" i="27" s="1"/>
  <c r="I83" i="9"/>
  <c r="K83" i="9" s="1"/>
  <c r="L83" i="9" s="1"/>
  <c r="O83" i="9" s="1"/>
  <c r="P50" i="27" s="1"/>
  <c r="J164" i="27" s="1"/>
  <c r="I81" i="9"/>
  <c r="K81" i="9" s="1"/>
  <c r="L81" i="9" s="1"/>
  <c r="O81" i="9" s="1"/>
  <c r="I47" i="27" s="1"/>
  <c r="I92" i="9"/>
  <c r="K92" i="9" s="1"/>
  <c r="L92" i="9" s="1"/>
  <c r="O92" i="9" s="1"/>
  <c r="I58" i="27" s="1"/>
  <c r="I95" i="9"/>
  <c r="K95" i="9" s="1"/>
  <c r="L95" i="9" s="1"/>
  <c r="O95" i="9" s="1"/>
  <c r="P62" i="27" s="1"/>
  <c r="I77" i="9"/>
  <c r="K77" i="9" s="1"/>
  <c r="L77" i="9" s="1"/>
  <c r="O77" i="9" s="1"/>
  <c r="P44" i="27" s="1"/>
  <c r="J126" i="27" s="1"/>
  <c r="I86" i="9"/>
  <c r="K86" i="9" s="1"/>
  <c r="L86" i="9" s="1"/>
  <c r="O86" i="9" s="1"/>
  <c r="P53" i="27" s="1"/>
  <c r="I75" i="9"/>
  <c r="K75" i="9" s="1"/>
  <c r="L75" i="9" s="1"/>
  <c r="O75" i="9" s="1"/>
  <c r="P42" i="27" s="1"/>
  <c r="J117" i="27" s="1"/>
  <c r="I80" i="9"/>
  <c r="K80" i="9" s="1"/>
  <c r="L80" i="9" s="1"/>
  <c r="O80" i="9" s="1"/>
  <c r="I46" i="27" s="1"/>
  <c r="I93" i="9"/>
  <c r="K93" i="9" s="1"/>
  <c r="L93" i="9" s="1"/>
  <c r="O93" i="9" s="1"/>
  <c r="I59" i="27" s="1"/>
  <c r="I85" i="9"/>
  <c r="K85" i="9" s="1"/>
  <c r="L85" i="9" s="1"/>
  <c r="O85" i="9" s="1"/>
  <c r="I51" i="27" s="1"/>
  <c r="I78" i="9"/>
  <c r="K78" i="9" s="1"/>
  <c r="L78" i="9" s="1"/>
  <c r="O78" i="9" s="1"/>
  <c r="I44" i="27" s="1"/>
  <c r="I94" i="9"/>
  <c r="K94" i="9" s="1"/>
  <c r="L94" i="9" s="1"/>
  <c r="O94" i="9" s="1"/>
  <c r="P61" i="27" s="1"/>
  <c r="I82" i="9"/>
  <c r="K82" i="9" s="1"/>
  <c r="L82" i="9" s="1"/>
  <c r="O82" i="9" s="1"/>
  <c r="I48" i="27" s="1"/>
  <c r="I79" i="9"/>
  <c r="K79" i="9" s="1"/>
  <c r="L79" i="9" s="1"/>
  <c r="O79" i="9" s="1"/>
  <c r="I45" i="27" s="1"/>
  <c r="I84" i="9"/>
  <c r="K84" i="9" s="1"/>
  <c r="L84" i="9" s="1"/>
  <c r="O84" i="9" s="1"/>
  <c r="I50" i="27" s="1"/>
  <c r="I87" i="9"/>
  <c r="K87" i="9" s="1"/>
  <c r="L87" i="9" s="1"/>
  <c r="O87" i="9" s="1"/>
  <c r="P54" i="27" s="1"/>
  <c r="I76" i="9"/>
  <c r="K76" i="9" s="1"/>
  <c r="L76" i="9" s="1"/>
  <c r="O76" i="9" s="1"/>
  <c r="I42" i="27" s="1"/>
  <c r="O74" i="9"/>
  <c r="R71" i="9"/>
  <c r="I55" i="27"/>
  <c r="P56" i="27"/>
  <c r="P63" i="27" l="1"/>
  <c r="Q63" i="27" s="1"/>
  <c r="R63" i="27" s="1"/>
  <c r="I49" i="27"/>
  <c r="H49" i="27" s="1"/>
  <c r="I57" i="27"/>
  <c r="H57" i="27" s="1"/>
  <c r="C40" i="45" s="1"/>
  <c r="P43" i="27"/>
  <c r="J120" i="27" s="1"/>
  <c r="P46" i="27"/>
  <c r="J138" i="27" s="1"/>
  <c r="I52" i="27"/>
  <c r="H52" i="27" s="1"/>
  <c r="C35" i="45" s="1"/>
  <c r="P48" i="27"/>
  <c r="J150" i="27" s="1"/>
  <c r="I41" i="27"/>
  <c r="H41" i="27" s="1"/>
  <c r="P60" i="27"/>
  <c r="P51" i="27"/>
  <c r="J172" i="27" s="1"/>
  <c r="I56" i="27"/>
  <c r="L56" i="27" s="1"/>
  <c r="M56" i="27" s="1"/>
  <c r="N56" i="27" s="1"/>
  <c r="I53" i="27"/>
  <c r="L53" i="27" s="1"/>
  <c r="M53" i="27" s="1"/>
  <c r="N53" i="27" s="1"/>
  <c r="P52" i="27"/>
  <c r="J185" i="27" s="1"/>
  <c r="I61" i="27"/>
  <c r="H61" i="27" s="1"/>
  <c r="C44" i="45" s="1"/>
  <c r="P49" i="27"/>
  <c r="J156" i="27" s="1"/>
  <c r="I43" i="27"/>
  <c r="H43" i="27" s="1"/>
  <c r="P45" i="27"/>
  <c r="J132" i="27" s="1"/>
  <c r="P47" i="27"/>
  <c r="J144" i="27" s="1"/>
  <c r="I60" i="27"/>
  <c r="L60" i="27" s="1"/>
  <c r="M60" i="27" s="1"/>
  <c r="N60" i="27" s="1"/>
  <c r="P59" i="27"/>
  <c r="Q59" i="27" s="1"/>
  <c r="R59" i="27" s="1"/>
  <c r="I54" i="27"/>
  <c r="Q54" i="27" s="1"/>
  <c r="R54" i="27" s="1"/>
  <c r="I40" i="27"/>
  <c r="P41" i="27"/>
  <c r="J114" i="27" s="1"/>
  <c r="D42" i="45"/>
  <c r="H59" i="27"/>
  <c r="C42" i="45" s="1"/>
  <c r="L59" i="27"/>
  <c r="M59" i="27" s="1"/>
  <c r="N59" i="27" s="1"/>
  <c r="L42" i="27"/>
  <c r="M42" i="27" s="1"/>
  <c r="N42" i="27" s="1"/>
  <c r="Q42" i="27"/>
  <c r="R42" i="27" s="1"/>
  <c r="D25" i="45"/>
  <c r="H42" i="27"/>
  <c r="H62" i="27"/>
  <c r="C45" i="45" s="1"/>
  <c r="L62" i="27"/>
  <c r="M62" i="27" s="1"/>
  <c r="N62" i="27" s="1"/>
  <c r="Q62" i="27"/>
  <c r="R62" i="27" s="1"/>
  <c r="D45" i="45"/>
  <c r="L45" i="27"/>
  <c r="M45" i="27" s="1"/>
  <c r="N45" i="27" s="1"/>
  <c r="D28" i="45"/>
  <c r="H45" i="27"/>
  <c r="I138" i="27"/>
  <c r="I185" i="27"/>
  <c r="L51" i="27"/>
  <c r="M51" i="27" s="1"/>
  <c r="N51" i="27" s="1"/>
  <c r="D34" i="45"/>
  <c r="H51" i="27"/>
  <c r="I144" i="27"/>
  <c r="H46" i="27"/>
  <c r="D29" i="45"/>
  <c r="L46" i="27"/>
  <c r="M46" i="27" s="1"/>
  <c r="N46" i="27" s="1"/>
  <c r="Q50" i="27"/>
  <c r="R50" i="27" s="1"/>
  <c r="L50" i="27"/>
  <c r="M50" i="27" s="1"/>
  <c r="N50" i="27" s="1"/>
  <c r="D33" i="45"/>
  <c r="I172" i="27"/>
  <c r="H50" i="27"/>
  <c r="I150" i="27"/>
  <c r="L47" i="27"/>
  <c r="M47" i="27" s="1"/>
  <c r="N47" i="27" s="1"/>
  <c r="D30" i="45"/>
  <c r="H47" i="27"/>
  <c r="Q58" i="27"/>
  <c r="R58" i="27" s="1"/>
  <c r="L58" i="27"/>
  <c r="M58" i="27" s="1"/>
  <c r="N58" i="27" s="1"/>
  <c r="H58" i="27"/>
  <c r="C41" i="45" s="1"/>
  <c r="D41" i="45"/>
  <c r="D31" i="45"/>
  <c r="H48" i="27"/>
  <c r="L48" i="27"/>
  <c r="M48" i="27" s="1"/>
  <c r="N48" i="27" s="1"/>
  <c r="I156" i="27"/>
  <c r="L55" i="27"/>
  <c r="M55" i="27" s="1"/>
  <c r="N55" i="27" s="1"/>
  <c r="D38" i="45"/>
  <c r="Q55" i="27"/>
  <c r="R55" i="27" s="1"/>
  <c r="H55" i="27"/>
  <c r="C38" i="45" s="1"/>
  <c r="I132" i="27"/>
  <c r="L44" i="27"/>
  <c r="M44" i="27" s="1"/>
  <c r="N44" i="27" s="1"/>
  <c r="Q44" i="27"/>
  <c r="R44" i="27" s="1"/>
  <c r="H44" i="27"/>
  <c r="D27" i="45"/>
  <c r="I120" i="27" l="1"/>
  <c r="D35" i="45"/>
  <c r="D32" i="45"/>
  <c r="L49" i="27"/>
  <c r="M49" i="27" s="1"/>
  <c r="N49" i="27" s="1"/>
  <c r="I164" i="27"/>
  <c r="Q46" i="27"/>
  <c r="R46" i="27" s="1"/>
  <c r="D40" i="45"/>
  <c r="L57" i="27"/>
  <c r="M57" i="27" s="1"/>
  <c r="N57" i="27" s="1"/>
  <c r="Q57" i="27"/>
  <c r="R57" i="27" s="1"/>
  <c r="Q48" i="27"/>
  <c r="R48" i="27" s="1"/>
  <c r="Q51" i="27"/>
  <c r="R51" i="27" s="1"/>
  <c r="D39" i="45"/>
  <c r="D24" i="45"/>
  <c r="I117" i="27"/>
  <c r="L52" i="27"/>
  <c r="M52" i="27" s="1"/>
  <c r="N52" i="27" s="1"/>
  <c r="Q47" i="27"/>
  <c r="R47" i="27" s="1"/>
  <c r="L41" i="27"/>
  <c r="M41" i="27" s="1"/>
  <c r="N41" i="27" s="1"/>
  <c r="L61" i="27"/>
  <c r="M61" i="27" s="1"/>
  <c r="N61" i="27" s="1"/>
  <c r="Q61" i="27"/>
  <c r="R61" i="27" s="1"/>
  <c r="D26" i="45"/>
  <c r="Q56" i="27"/>
  <c r="R56" i="27" s="1"/>
  <c r="Q49" i="27"/>
  <c r="R49" i="27" s="1"/>
  <c r="L43" i="27"/>
  <c r="M43" i="27" s="1"/>
  <c r="N43" i="27" s="1"/>
  <c r="H56" i="27"/>
  <c r="C39" i="45" s="1"/>
  <c r="Q43" i="27"/>
  <c r="R43" i="27" s="1"/>
  <c r="Q45" i="27"/>
  <c r="R45" i="27" s="1"/>
  <c r="I126" i="27"/>
  <c r="H53" i="27"/>
  <c r="C36" i="45" s="1"/>
  <c r="Q53" i="27"/>
  <c r="R53" i="27" s="1"/>
  <c r="D36" i="45"/>
  <c r="H60" i="27"/>
  <c r="C43" i="45" s="1"/>
  <c r="D44" i="45"/>
  <c r="Q52" i="27"/>
  <c r="R52" i="27" s="1"/>
  <c r="H54" i="27"/>
  <c r="C37" i="45" s="1"/>
  <c r="D37" i="45"/>
  <c r="Q60" i="27"/>
  <c r="R60" i="27" s="1"/>
  <c r="L54" i="27"/>
  <c r="M54" i="27" s="1"/>
  <c r="N54" i="27" s="1"/>
  <c r="D43" i="45"/>
  <c r="Q41" i="27"/>
  <c r="R41" i="27" s="1"/>
  <c r="H40" i="27"/>
  <c r="C23" i="45" s="1"/>
  <c r="D23" i="45"/>
  <c r="Q40" i="27"/>
  <c r="R40" i="27" s="1"/>
  <c r="I114" i="27"/>
  <c r="C31" i="45"/>
  <c r="G151" i="27"/>
  <c r="G156" i="27"/>
  <c r="G152" i="27"/>
  <c r="G155" i="27"/>
  <c r="G154" i="27"/>
  <c r="G153" i="27"/>
  <c r="G148" i="27"/>
  <c r="G149" i="27"/>
  <c r="G145" i="27"/>
  <c r="G147" i="27"/>
  <c r="G150" i="27"/>
  <c r="G146" i="27"/>
  <c r="C30" i="45"/>
  <c r="G131" i="27"/>
  <c r="G132" i="27"/>
  <c r="C27" i="45"/>
  <c r="G127" i="27"/>
  <c r="G128" i="27"/>
  <c r="G130" i="27"/>
  <c r="G129" i="27"/>
  <c r="G116" i="27"/>
  <c r="C24" i="45"/>
  <c r="G115" i="27"/>
  <c r="G117" i="27"/>
  <c r="G140" i="27"/>
  <c r="G141" i="27"/>
  <c r="G143" i="27"/>
  <c r="C29" i="45"/>
  <c r="G139" i="27"/>
  <c r="G142" i="27"/>
  <c r="G144" i="27"/>
  <c r="G133" i="27"/>
  <c r="G134" i="27"/>
  <c r="C28" i="45"/>
  <c r="G137" i="27"/>
  <c r="G138" i="27"/>
  <c r="G136" i="27"/>
  <c r="G135" i="27"/>
  <c r="G125" i="27"/>
  <c r="G121" i="27"/>
  <c r="G123" i="27"/>
  <c r="C26" i="45"/>
  <c r="G122" i="27"/>
  <c r="G124" i="27"/>
  <c r="G126" i="27"/>
  <c r="C34" i="45"/>
  <c r="G174" i="27"/>
  <c r="G182" i="27"/>
  <c r="G177" i="27"/>
  <c r="G183" i="27"/>
  <c r="G180" i="27"/>
  <c r="G179" i="27"/>
  <c r="G181" i="27"/>
  <c r="G185" i="27"/>
  <c r="G176" i="27"/>
  <c r="G184" i="27"/>
  <c r="G175" i="27"/>
  <c r="G178" i="27"/>
  <c r="G173" i="27"/>
  <c r="C33" i="45"/>
  <c r="G170" i="27"/>
  <c r="G169" i="27"/>
  <c r="G172" i="27"/>
  <c r="G168" i="27"/>
  <c r="G171" i="27"/>
  <c r="G167" i="27"/>
  <c r="G165" i="27"/>
  <c r="G166" i="27"/>
  <c r="G158" i="27"/>
  <c r="G164" i="27"/>
  <c r="G161" i="27"/>
  <c r="G159" i="27"/>
  <c r="G163" i="27"/>
  <c r="G157" i="27"/>
  <c r="C32" i="45"/>
  <c r="G162" i="27"/>
  <c r="G160" i="27"/>
  <c r="G119" i="27"/>
  <c r="C25" i="45"/>
  <c r="G120" i="27"/>
  <c r="G118" i="27"/>
  <c r="AG98" i="45" l="1"/>
  <c r="AG101" i="45" l="1"/>
  <c r="AG14" i="45" l="1"/>
  <c r="AG15" i="45" l="1"/>
  <c r="AG103" i="45" l="1"/>
  <c r="AG105" i="45" l="1"/>
  <c r="AG20" i="45" l="1"/>
  <c r="AG22" i="45" l="1"/>
  <c r="AG107" i="45"/>
  <c r="AG25" i="45" l="1"/>
  <c r="AG113" i="45" l="1"/>
  <c r="AG33" i="45" l="1"/>
  <c r="AG115" i="45" l="1"/>
  <c r="AG116" i="45" l="1"/>
  <c r="AG36" i="45" l="1"/>
  <c r="AG118" i="45" l="1"/>
  <c r="AG40" i="45" l="1"/>
  <c r="AG120" i="45" l="1"/>
  <c r="AG43" i="45" l="1"/>
  <c r="AG124" i="45" l="1"/>
  <c r="AG125" i="45" l="1"/>
  <c r="AG50" i="45" l="1"/>
  <c r="AG52" i="45" l="1"/>
  <c r="AG127" i="45" l="1"/>
  <c r="AG53" i="45" l="1"/>
  <c r="AG56" i="45" l="1"/>
  <c r="AG57" i="45" l="1"/>
  <c r="AG58" i="45" l="1"/>
  <c r="AG133" i="45" l="1"/>
  <c r="AG62" i="45" l="1"/>
  <c r="AG63" i="45" l="1"/>
  <c r="AG135" i="45" l="1"/>
  <c r="AG66" i="45" l="1"/>
  <c r="AG136" i="45" l="1"/>
  <c r="AG138" i="45" l="1"/>
  <c r="AG72" i="45" l="1"/>
  <c r="AG140" i="45" l="1"/>
  <c r="AG75" i="45" l="1"/>
  <c r="AG142" i="45" l="1"/>
  <c r="AG77" i="45" l="1"/>
  <c r="AG144" i="45" l="1"/>
  <c r="AG146" i="45" l="1"/>
  <c r="AG84" i="45" l="1"/>
  <c r="AG148" i="45" l="1"/>
  <c r="AG150" i="45" l="1"/>
  <c r="AG89" i="45" l="1"/>
  <c r="AG152" i="45" l="1"/>
  <c r="AG94" i="45" l="1"/>
  <c r="AG154" i="45" l="1"/>
  <c r="AG96" i="45" l="1"/>
  <c r="AG155" i="45" l="1"/>
  <c r="AG100" i="45" l="1"/>
  <c r="AG158" i="45" l="1"/>
  <c r="AG159" i="45" l="1"/>
  <c r="AG160" i="45" l="1"/>
  <c r="AG162" i="45" l="1"/>
  <c r="AG110" i="45" l="1"/>
  <c r="AG165" i="45" l="1"/>
  <c r="AG170" i="45" l="1"/>
  <c r="AG122" i="45" l="1"/>
  <c r="AG172" i="45" l="1"/>
  <c r="AG128" i="45" l="1"/>
  <c r="AG131" i="45" l="1"/>
  <c r="AG179" i="45" l="1"/>
  <c r="AG181" i="45" l="1"/>
  <c r="AG183" i="45" l="1"/>
  <c r="AG185" i="45" l="1"/>
  <c r="AG188" i="45" l="1"/>
  <c r="AG190" i="45" l="1"/>
  <c r="AG151" i="45" l="1"/>
  <c r="AG192" i="45" l="1"/>
  <c r="AG193" i="45" l="1"/>
  <c r="AG194" i="45" l="1"/>
  <c r="AG163" i="45" l="1"/>
  <c r="AG200" i="45" l="1"/>
  <c r="AG167" i="45" l="1"/>
  <c r="AG201" i="45" l="1"/>
  <c r="AG202" i="45" l="1"/>
  <c r="AG171" i="45" l="1"/>
  <c r="AG173" i="45" l="1"/>
  <c r="AG175" i="45" l="1"/>
  <c r="AG206" i="45" l="1"/>
  <c r="AG177" i="45" l="1"/>
  <c r="AG207" i="45" l="1"/>
  <c r="AG208" i="45" l="1"/>
  <c r="AG186" i="45" l="1"/>
  <c r="AG213" i="45" l="1"/>
  <c r="AG214" i="45" l="1"/>
  <c r="AG215" i="45" l="1"/>
  <c r="AG218" i="45" l="1"/>
  <c r="AG196" i="45" l="1"/>
  <c r="AG220" i="45" l="1"/>
  <c r="AG198" i="45" l="1"/>
  <c r="AG221" i="45" l="1"/>
  <c r="AG222" i="45" l="1"/>
  <c r="AG204" i="45" l="1"/>
  <c r="AG224" i="45"/>
  <c r="AG205" i="45" l="1"/>
  <c r="AG226" i="45" l="1"/>
  <c r="AG227" i="45" l="1"/>
  <c r="AG210" i="45" l="1"/>
  <c r="AG228" i="45" l="1"/>
  <c r="AG212" i="45" l="1"/>
  <c r="AG229" i="45"/>
  <c r="AG230" i="45" l="1"/>
  <c r="AG216" i="45" l="1"/>
  <c r="AG233" i="45" l="1"/>
  <c r="AG219" i="45" l="1"/>
  <c r="AG235" i="45" l="1"/>
  <c r="AG236" i="45" l="1"/>
  <c r="AG238" i="45" l="1"/>
  <c r="AG240" i="45" l="1"/>
  <c r="AG231" i="45" l="1"/>
  <c r="AG242" i="45" l="1"/>
  <c r="AG246" i="45" l="1"/>
  <c r="AG247" i="45" l="1"/>
  <c r="AG243" i="45" l="1"/>
  <c r="AG249" i="45" l="1"/>
  <c r="AG245" i="45" l="1"/>
  <c r="AG248" i="45" l="1"/>
  <c r="AG250" i="45" l="1"/>
  <c r="AG252" i="45" l="1"/>
  <c r="AG253" i="45" l="1"/>
  <c r="R39" i="41" l="1"/>
  <c r="R49" i="41"/>
  <c r="R72" i="41"/>
  <c r="R53" i="41"/>
  <c r="R78" i="41"/>
  <c r="R45" i="41"/>
  <c r="R67" i="41"/>
  <c r="R62" i="41" l="1"/>
  <c r="R57" i="41"/>
  <c r="AG256" i="45" l="1"/>
  <c r="AG255" i="45" l="1"/>
  <c r="AG258" i="45" l="1"/>
  <c r="AG259" i="45" l="1"/>
  <c r="AG260" i="45" l="1"/>
  <c r="R42" i="41" l="1"/>
  <c r="M42" i="41"/>
  <c r="R36" i="41"/>
  <c r="M36" i="41"/>
  <c r="AG266" i="45" l="1"/>
  <c r="AG270" i="45" l="1"/>
  <c r="AG274" i="45" l="1"/>
  <c r="X6" i="45"/>
  <c r="Y6" i="45"/>
  <c r="AI6" i="45" l="1"/>
  <c r="U7" i="45" s="1"/>
  <c r="X7" i="45" l="1"/>
  <c r="V7" i="45"/>
  <c r="W7" i="45" s="1"/>
  <c r="Y7" i="45"/>
  <c r="AI7" i="45" l="1"/>
  <c r="U8" i="45" s="1"/>
  <c r="AG8" i="45"/>
  <c r="X8" i="45" l="1"/>
  <c r="V8" i="45"/>
  <c r="W8" i="45" s="1"/>
  <c r="Y8" i="45"/>
  <c r="AI8" i="45" l="1"/>
  <c r="U9" i="45" s="1"/>
  <c r="V9" i="45" l="1"/>
  <c r="W9" i="45" s="1"/>
  <c r="X9" i="45"/>
  <c r="Y9" i="45"/>
  <c r="AI9" i="45" l="1"/>
  <c r="U10" i="45" s="1"/>
  <c r="V10" i="45" l="1"/>
  <c r="W10" i="45" s="1"/>
  <c r="X10" i="45"/>
  <c r="Y10" i="45"/>
  <c r="AI10" i="45" l="1"/>
  <c r="U11" i="45" s="1"/>
  <c r="X11" i="45" l="1"/>
  <c r="V11" i="45"/>
  <c r="W11" i="45" s="1"/>
  <c r="Y11" i="45"/>
  <c r="AI11" i="45" l="1"/>
  <c r="U12" i="45" s="1"/>
  <c r="AG16" i="45"/>
  <c r="X12" i="45" l="1"/>
  <c r="V12" i="45"/>
  <c r="W12" i="45" s="1"/>
  <c r="Y12" i="45"/>
  <c r="AI12" i="45" l="1"/>
  <c r="U13" i="45" s="1"/>
  <c r="X13" i="45" l="1"/>
  <c r="V13" i="45"/>
  <c r="W13" i="45" s="1"/>
  <c r="AG19" i="45"/>
  <c r="Y13" i="45"/>
  <c r="AI13" i="45" l="1"/>
  <c r="U14" i="45" s="1"/>
  <c r="X14" i="45" l="1"/>
  <c r="V14" i="45"/>
  <c r="W14" i="45" s="1"/>
  <c r="Y14" i="45"/>
  <c r="AI14" i="45" l="1"/>
  <c r="U15" i="45" s="1"/>
  <c r="X15" i="45" l="1"/>
  <c r="V15" i="45"/>
  <c r="W15" i="45" s="1"/>
  <c r="Y15" i="45"/>
  <c r="AI15" i="45" l="1"/>
  <c r="U16" i="45" s="1"/>
  <c r="AG24" i="45"/>
  <c r="X16" i="45" l="1"/>
  <c r="V16" i="45"/>
  <c r="W16" i="45" s="1"/>
  <c r="Y16" i="45"/>
  <c r="AI16" i="45" l="1"/>
  <c r="U17" i="45" s="1"/>
  <c r="X17" i="45" l="1"/>
  <c r="V17" i="45"/>
  <c r="W17" i="45" s="1"/>
  <c r="Y17" i="45"/>
  <c r="AI17" i="45" l="1"/>
  <c r="U18" i="45" s="1"/>
  <c r="AG28" i="45"/>
  <c r="X18" i="45" l="1"/>
  <c r="V18" i="45"/>
  <c r="W18" i="45" s="1"/>
  <c r="Y18" i="45"/>
  <c r="AI18" i="45" l="1"/>
  <c r="U19" i="45" s="1"/>
  <c r="X19" i="45" l="1"/>
  <c r="V19" i="45"/>
  <c r="W19" i="45" s="1"/>
  <c r="AG31" i="45"/>
  <c r="Y19" i="45"/>
  <c r="AI19" i="45" l="1"/>
  <c r="U20" i="45" s="1"/>
  <c r="X20" i="45" l="1"/>
  <c r="V20" i="45"/>
  <c r="W20" i="45" s="1"/>
  <c r="Y20" i="45"/>
  <c r="AI20" i="45" l="1"/>
  <c r="U21" i="45" s="1"/>
  <c r="AG34" i="45"/>
  <c r="X21" i="45" l="1"/>
  <c r="V21" i="45"/>
  <c r="W21" i="45" s="1"/>
  <c r="AG35" i="45"/>
  <c r="Y21" i="45"/>
  <c r="AI21" i="45" l="1"/>
  <c r="U22" i="45" s="1"/>
  <c r="X22" i="45" l="1"/>
  <c r="V22" i="45"/>
  <c r="W22" i="45" s="1"/>
  <c r="AG37" i="45"/>
  <c r="Y22" i="45"/>
  <c r="AI22" i="45" l="1"/>
  <c r="U23" i="45" s="1"/>
  <c r="X23" i="45" l="1"/>
  <c r="V23" i="45"/>
  <c r="W23" i="45" s="1"/>
  <c r="AG39" i="45"/>
  <c r="Y23" i="45"/>
  <c r="AI23" i="45" l="1"/>
  <c r="U24" i="45" s="1"/>
  <c r="X24" i="45" l="1"/>
  <c r="V24" i="45"/>
  <c r="W24" i="45" s="1"/>
  <c r="Y24" i="45"/>
  <c r="AI24" i="45" l="1"/>
  <c r="U25" i="45" s="1"/>
  <c r="AG42" i="45"/>
  <c r="V25" i="45" l="1"/>
  <c r="W25" i="45" s="1"/>
  <c r="X25" i="45"/>
  <c r="Y25" i="45"/>
  <c r="AI25" i="45" l="1"/>
  <c r="U26" i="45" s="1"/>
  <c r="X26" i="45" l="1"/>
  <c r="V26" i="45"/>
  <c r="W26" i="45" s="1"/>
  <c r="AG45" i="45"/>
  <c r="Y26" i="45"/>
  <c r="AI26" i="45" l="1"/>
  <c r="U27" i="45" s="1"/>
  <c r="X27" i="45" l="1"/>
  <c r="V27" i="45"/>
  <c r="W27" i="45" s="1"/>
  <c r="AG47" i="45"/>
  <c r="Y27" i="45"/>
  <c r="AI27" i="45" l="1"/>
  <c r="U28" i="45" s="1"/>
  <c r="X28" i="45" l="1"/>
  <c r="V28" i="45"/>
  <c r="W28" i="45" s="1"/>
  <c r="Y28" i="45"/>
  <c r="AI28" i="45" l="1"/>
  <c r="U29" i="45" s="1"/>
  <c r="X29" i="45" l="1"/>
  <c r="V29" i="45"/>
  <c r="W29" i="45" s="1"/>
  <c r="AG51" i="45"/>
  <c r="Y29" i="45"/>
  <c r="AI29" i="45" l="1"/>
  <c r="U30" i="45" s="1"/>
  <c r="V30" i="45" l="1"/>
  <c r="W30" i="45" s="1"/>
  <c r="X30" i="45"/>
  <c r="Y30" i="45"/>
  <c r="AI30" i="45" l="1"/>
  <c r="U31" i="45" s="1"/>
  <c r="AG54" i="45"/>
  <c r="V31" i="45" l="1"/>
  <c r="W31" i="45" s="1"/>
  <c r="X31" i="45"/>
  <c r="Y31" i="45"/>
  <c r="AI31" i="45" l="1"/>
  <c r="U32" i="45" s="1"/>
  <c r="V32" i="45" l="1"/>
  <c r="W32" i="45" s="1"/>
  <c r="X32" i="45"/>
  <c r="Y32" i="45"/>
  <c r="AI32" i="45" l="1"/>
  <c r="U33" i="45" s="1"/>
  <c r="X33" i="45" l="1"/>
  <c r="V33" i="45"/>
  <c r="W33" i="45" s="1"/>
  <c r="Y33" i="45"/>
  <c r="AI33" i="45" l="1"/>
  <c r="U34" i="45" s="1"/>
  <c r="X34" i="45" l="1"/>
  <c r="V34" i="45"/>
  <c r="W34" i="45" s="1"/>
  <c r="AG61" i="45"/>
  <c r="Y34" i="45"/>
  <c r="AI34" i="45" l="1"/>
  <c r="U35" i="45" s="1"/>
  <c r="V35" i="45" l="1"/>
  <c r="W35" i="45" s="1"/>
  <c r="X35" i="45"/>
  <c r="Y35" i="45"/>
  <c r="AI35" i="45" l="1"/>
  <c r="U36" i="45" s="1"/>
  <c r="X36" i="45" l="1"/>
  <c r="V36" i="45"/>
  <c r="W36" i="45" s="1"/>
  <c r="Y36" i="45"/>
  <c r="AI36" i="45" l="1"/>
  <c r="U37" i="45" s="1"/>
  <c r="X37" i="45" l="1"/>
  <c r="V37" i="45"/>
  <c r="W37" i="45" s="1"/>
  <c r="Y37" i="45"/>
  <c r="AI37" i="45" l="1"/>
  <c r="U38" i="45" s="1"/>
  <c r="V38" i="45" l="1"/>
  <c r="W38" i="45" s="1"/>
  <c r="X38" i="45"/>
  <c r="Y38" i="45"/>
  <c r="AI38" i="45" l="1"/>
  <c r="U39" i="45" s="1"/>
  <c r="X39" i="45" l="1"/>
  <c r="V39" i="45"/>
  <c r="W39" i="45" s="1"/>
  <c r="AG71" i="45"/>
  <c r="Y39" i="45"/>
  <c r="AI39" i="45" l="1"/>
  <c r="U40" i="45" s="1"/>
  <c r="X40" i="45" l="1"/>
  <c r="V40" i="45"/>
  <c r="W40" i="45" s="1"/>
  <c r="Y40" i="45"/>
  <c r="AI40" i="45" l="1"/>
  <c r="U41" i="45" s="1"/>
  <c r="X41" i="45" l="1"/>
  <c r="V41" i="45"/>
  <c r="W41" i="45" s="1"/>
  <c r="Y41" i="45"/>
  <c r="AI41" i="45" l="1"/>
  <c r="U42" i="45" s="1"/>
  <c r="AG76" i="45"/>
  <c r="V42" i="45" l="1"/>
  <c r="W42" i="45" s="1"/>
  <c r="X42" i="45"/>
  <c r="Y42" i="45"/>
  <c r="AI42" i="45" l="1"/>
  <c r="U43" i="45" s="1"/>
  <c r="X43" i="45" l="1"/>
  <c r="V43" i="45"/>
  <c r="W43" i="45" s="1"/>
  <c r="Y43" i="45"/>
  <c r="AI43" i="45" l="1"/>
  <c r="U44" i="45" s="1"/>
  <c r="AG80" i="45"/>
  <c r="V44" i="45" l="1"/>
  <c r="W44" i="45" s="1"/>
  <c r="X44" i="45"/>
  <c r="Y44" i="45"/>
  <c r="AI44" i="45" l="1"/>
  <c r="U45" i="45" s="1"/>
  <c r="AG82" i="45"/>
  <c r="X45" i="45" l="1"/>
  <c r="V45" i="45"/>
  <c r="W45" i="45" s="1"/>
  <c r="AG83" i="45"/>
  <c r="Y45" i="45"/>
  <c r="AI45" i="45" l="1"/>
  <c r="U46" i="45" s="1"/>
  <c r="X46" i="45" l="1"/>
  <c r="V46" i="45"/>
  <c r="W46" i="45" s="1"/>
  <c r="Y46" i="45"/>
  <c r="AI46" i="45" l="1"/>
  <c r="U47" i="45" s="1"/>
  <c r="AG86" i="45"/>
  <c r="V47" i="45" l="1"/>
  <c r="W47" i="45" s="1"/>
  <c r="X47" i="45"/>
  <c r="AG87" i="45"/>
  <c r="Y47" i="45"/>
  <c r="AI47" i="45" l="1"/>
  <c r="U48" i="45" s="1"/>
  <c r="X48" i="45" l="1"/>
  <c r="V48" i="45"/>
  <c r="W48" i="45" s="1"/>
  <c r="Y48" i="45"/>
  <c r="AI48" i="45" l="1"/>
  <c r="U49" i="45" s="1"/>
  <c r="V49" i="45" l="1"/>
  <c r="W49" i="45" s="1"/>
  <c r="X49" i="45"/>
  <c r="AG91" i="45"/>
  <c r="Y49" i="45"/>
  <c r="AI49" i="45" l="1"/>
  <c r="U50" i="45" s="1"/>
  <c r="V50" i="45" l="1"/>
  <c r="W50" i="45" s="1"/>
  <c r="X50" i="45"/>
  <c r="AG93" i="45"/>
  <c r="Y50" i="45"/>
  <c r="AI50" i="45" l="1"/>
  <c r="U51" i="45" s="1"/>
  <c r="X51" i="45" l="1"/>
  <c r="V51" i="45"/>
  <c r="W51" i="45" s="1"/>
  <c r="AG95" i="45"/>
  <c r="Y51" i="45"/>
  <c r="AI51" i="45" l="1"/>
  <c r="U52" i="45" s="1"/>
  <c r="V52" i="45" l="1"/>
  <c r="W52" i="45" s="1"/>
  <c r="X52" i="45"/>
  <c r="AG97" i="45"/>
  <c r="Y52" i="45"/>
  <c r="AI52" i="45" l="1"/>
  <c r="U53" i="45" s="1"/>
  <c r="X53" i="45" l="1"/>
  <c r="V53" i="45"/>
  <c r="W53" i="45" s="1"/>
  <c r="AG99" i="45"/>
  <c r="Y53" i="45"/>
  <c r="AI53" i="45" l="1"/>
  <c r="U54" i="45" s="1"/>
  <c r="X54" i="45" l="1"/>
  <c r="V54" i="45"/>
  <c r="W54" i="45" s="1"/>
  <c r="Y54" i="45"/>
  <c r="AI54" i="45" l="1"/>
  <c r="U55" i="45" s="1"/>
  <c r="AG102" i="45"/>
  <c r="X55" i="45" l="1"/>
  <c r="V55" i="45"/>
  <c r="W55" i="45" s="1"/>
  <c r="Y55" i="45"/>
  <c r="AI55" i="45" l="1"/>
  <c r="U56" i="45" s="1"/>
  <c r="AG104" i="45"/>
  <c r="V56" i="45" l="1"/>
  <c r="W56" i="45" s="1"/>
  <c r="X56" i="45"/>
  <c r="Y56" i="45"/>
  <c r="AI56" i="45" l="1"/>
  <c r="U57" i="45" s="1"/>
  <c r="AG106" i="45"/>
  <c r="X57" i="45" l="1"/>
  <c r="V57" i="45"/>
  <c r="W57" i="45" s="1"/>
  <c r="Y57" i="45"/>
  <c r="AI57" i="45" l="1"/>
  <c r="U58" i="45" s="1"/>
  <c r="AG108" i="45"/>
  <c r="V58" i="45" l="1"/>
  <c r="W58" i="45" s="1"/>
  <c r="X58" i="45"/>
  <c r="AG109" i="45"/>
  <c r="Y58" i="45"/>
  <c r="AI58" i="45" l="1"/>
  <c r="U59" i="45" s="1"/>
  <c r="V59" i="45" l="1"/>
  <c r="W59" i="45" s="1"/>
  <c r="X59" i="45"/>
  <c r="AG111" i="45"/>
  <c r="Y59" i="45"/>
  <c r="AI59" i="45" l="1"/>
  <c r="U60" i="45" s="1"/>
  <c r="AG112" i="45"/>
  <c r="X60" i="45" l="1"/>
  <c r="V60" i="45"/>
  <c r="W60" i="45" s="1"/>
  <c r="Y60" i="45"/>
  <c r="AI60" i="45" l="1"/>
  <c r="U61" i="45" s="1"/>
  <c r="AG114" i="45"/>
  <c r="X61" i="45" l="1"/>
  <c r="V61" i="45"/>
  <c r="W61" i="45" s="1"/>
  <c r="Y61" i="45"/>
  <c r="AI61" i="45" l="1"/>
  <c r="U62" i="45" s="1"/>
  <c r="X62" i="45" l="1"/>
  <c r="V62" i="45"/>
  <c r="W62" i="45" s="1"/>
  <c r="AG117" i="45"/>
  <c r="Y62" i="45"/>
  <c r="AI62" i="45" l="1"/>
  <c r="U63" i="45" s="1"/>
  <c r="X63" i="45" l="1"/>
  <c r="V63" i="45"/>
  <c r="W63" i="45" s="1"/>
  <c r="AG119" i="45"/>
  <c r="Y63" i="45"/>
  <c r="AI63" i="45" l="1"/>
  <c r="U64" i="45" s="1"/>
  <c r="V64" i="45" l="1"/>
  <c r="W64" i="45" s="1"/>
  <c r="X64" i="45"/>
  <c r="AG121" i="45"/>
  <c r="Y64" i="45"/>
  <c r="AI64" i="45" l="1"/>
  <c r="U65" i="45" s="1"/>
  <c r="X65" i="45" l="1"/>
  <c r="V65" i="45"/>
  <c r="W65" i="45" s="1"/>
  <c r="AG123" i="45"/>
  <c r="Y65" i="45"/>
  <c r="AI65" i="45" l="1"/>
  <c r="U66" i="45" s="1"/>
  <c r="X66" i="45" l="1"/>
  <c r="V66" i="45"/>
  <c r="W66" i="45" s="1"/>
  <c r="Y66" i="45"/>
  <c r="AI66" i="45" l="1"/>
  <c r="U67" i="45" s="1"/>
  <c r="AG126" i="45"/>
  <c r="V67" i="45" l="1"/>
  <c r="W67" i="45" s="1"/>
  <c r="X67" i="45"/>
  <c r="Y67" i="45"/>
  <c r="AI67" i="45" l="1"/>
  <c r="U68" i="45" s="1"/>
  <c r="X68" i="45" l="1"/>
  <c r="V68" i="45"/>
  <c r="W68" i="45" s="1"/>
  <c r="AG129" i="45"/>
  <c r="Y68" i="45"/>
  <c r="AI68" i="45" l="1"/>
  <c r="U69" i="45" s="1"/>
  <c r="AG130" i="45"/>
  <c r="X69" i="45" l="1"/>
  <c r="V69" i="45"/>
  <c r="W69" i="45" s="1"/>
  <c r="Y69" i="45"/>
  <c r="AI69" i="45" l="1"/>
  <c r="U70" i="45" s="1"/>
  <c r="AG132" i="45"/>
  <c r="X70" i="45" l="1"/>
  <c r="V70" i="45"/>
  <c r="W70" i="45" s="1"/>
  <c r="Y70" i="45"/>
  <c r="AI70" i="45" l="1"/>
  <c r="U71" i="45" s="1"/>
  <c r="AG134" i="45"/>
  <c r="X71" i="45" l="1"/>
  <c r="V71" i="45"/>
  <c r="W71" i="45" s="1"/>
  <c r="Y71" i="45"/>
  <c r="AI71" i="45" l="1"/>
  <c r="U72" i="45" s="1"/>
  <c r="X72" i="45" l="1"/>
  <c r="V72" i="45"/>
  <c r="W72" i="45" s="1"/>
  <c r="AG137" i="45"/>
  <c r="Y72" i="45"/>
  <c r="AI72" i="45" l="1"/>
  <c r="U73" i="45" s="1"/>
  <c r="X73" i="45" l="1"/>
  <c r="V73" i="45"/>
  <c r="W73" i="45" s="1"/>
  <c r="AG139" i="45"/>
  <c r="Y73" i="45"/>
  <c r="AI73" i="45" l="1"/>
  <c r="U74" i="45" s="1"/>
  <c r="V74" i="45" l="1"/>
  <c r="W74" i="45" s="1"/>
  <c r="X74" i="45"/>
  <c r="AG141" i="45"/>
  <c r="Y74" i="45"/>
  <c r="AI74" i="45" l="1"/>
  <c r="U75" i="45" s="1"/>
  <c r="X75" i="45" l="1"/>
  <c r="V75" i="45"/>
  <c r="W75" i="45" s="1"/>
  <c r="AG143" i="45"/>
  <c r="Y75" i="45"/>
  <c r="AI75" i="45" l="1"/>
  <c r="U76" i="45" s="1"/>
  <c r="X76" i="45" l="1"/>
  <c r="V76" i="45"/>
  <c r="W76" i="45" s="1"/>
  <c r="AG145" i="45"/>
  <c r="Y76" i="45"/>
  <c r="AI76" i="45" l="1"/>
  <c r="U77" i="45" s="1"/>
  <c r="X77" i="45" l="1"/>
  <c r="V77" i="45"/>
  <c r="W77" i="45" s="1"/>
  <c r="AG147" i="45"/>
  <c r="Y77" i="45"/>
  <c r="AI77" i="45" l="1"/>
  <c r="U78" i="45" s="1"/>
  <c r="X78" i="45" l="1"/>
  <c r="V78" i="45"/>
  <c r="W78" i="45" s="1"/>
  <c r="AG149" i="45"/>
  <c r="Y78" i="45"/>
  <c r="AI78" i="45" l="1"/>
  <c r="U79" i="45" s="1"/>
  <c r="X79" i="45" l="1"/>
  <c r="V79" i="45"/>
  <c r="W79" i="45" s="1"/>
  <c r="Y79" i="45"/>
  <c r="AI79" i="45" l="1"/>
  <c r="U80" i="45" s="1"/>
  <c r="X80" i="45" l="1"/>
  <c r="V80" i="45"/>
  <c r="W80" i="45" s="1"/>
  <c r="AG153" i="45"/>
  <c r="Y80" i="45"/>
  <c r="AI80" i="45" l="1"/>
  <c r="U81" i="45" s="1"/>
  <c r="X81" i="45" l="1"/>
  <c r="V81" i="45"/>
  <c r="W81" i="45" s="1"/>
  <c r="Y81" i="45"/>
  <c r="AI81" i="45" l="1"/>
  <c r="U82" i="45" s="1"/>
  <c r="AG156" i="45"/>
  <c r="X82" i="45" l="1"/>
  <c r="V82" i="45"/>
  <c r="W82" i="45" s="1"/>
  <c r="AG157" i="45"/>
  <c r="Y82" i="45"/>
  <c r="AI82" i="45" l="1"/>
  <c r="U83" i="45" s="1"/>
  <c r="X83" i="45" l="1"/>
  <c r="V83" i="45"/>
  <c r="W83" i="45" s="1"/>
  <c r="Y83" i="45"/>
  <c r="AI83" i="45" l="1"/>
  <c r="U84" i="45" s="1"/>
  <c r="X84" i="45" l="1"/>
  <c r="V84" i="45"/>
  <c r="W84" i="45" s="1"/>
  <c r="AG161" i="45"/>
  <c r="Y84" i="45"/>
  <c r="AI84" i="45" l="1"/>
  <c r="U85" i="45" s="1"/>
  <c r="X85" i="45" l="1"/>
  <c r="V85" i="45"/>
  <c r="W85" i="45" s="1"/>
  <c r="Y85" i="45"/>
  <c r="AI85" i="45" l="1"/>
  <c r="U86" i="45" s="1"/>
  <c r="AG164" i="45"/>
  <c r="X86" i="45" l="1"/>
  <c r="V86" i="45"/>
  <c r="W86" i="45" s="1"/>
  <c r="Y86" i="45"/>
  <c r="AI86" i="45" l="1"/>
  <c r="U87" i="45" s="1"/>
  <c r="AG166" i="45"/>
  <c r="V87" i="45" l="1"/>
  <c r="W87" i="45" s="1"/>
  <c r="X87" i="45"/>
  <c r="Y87" i="45"/>
  <c r="AI87" i="45" l="1"/>
  <c r="U88" i="45" s="1"/>
  <c r="AG168" i="45"/>
  <c r="V88" i="45" l="1"/>
  <c r="W88" i="45" s="1"/>
  <c r="X88" i="45"/>
  <c r="AG169" i="45"/>
  <c r="Y88" i="45"/>
  <c r="AI88" i="45" l="1"/>
  <c r="U89" i="45" s="1"/>
  <c r="X89" i="45" l="1"/>
  <c r="V89" i="45"/>
  <c r="W89" i="45" s="1"/>
  <c r="Y89" i="45"/>
  <c r="AI89" i="45" l="1"/>
  <c r="U90" i="45" s="1"/>
  <c r="X90" i="45" l="1"/>
  <c r="V90" i="45"/>
  <c r="W90" i="45" s="1"/>
  <c r="Y90" i="45"/>
  <c r="AI90" i="45" l="1"/>
  <c r="U91" i="45" s="1"/>
  <c r="AG174" i="45"/>
  <c r="X91" i="45" l="1"/>
  <c r="V91" i="45"/>
  <c r="W91" i="45" s="1"/>
  <c r="Y91" i="45"/>
  <c r="AI91" i="45" l="1"/>
  <c r="U92" i="45" s="1"/>
  <c r="AG176" i="45"/>
  <c r="X92" i="45" l="1"/>
  <c r="V92" i="45"/>
  <c r="W92" i="45" s="1"/>
  <c r="Y92" i="45"/>
  <c r="AI92" i="45" l="1"/>
  <c r="U93" i="45" s="1"/>
  <c r="AG178" i="45"/>
  <c r="V93" i="45" l="1"/>
  <c r="W93" i="45" s="1"/>
  <c r="X93" i="45"/>
  <c r="Y93" i="45"/>
  <c r="AI93" i="45" l="1"/>
  <c r="U94" i="45" s="1"/>
  <c r="AG180" i="45"/>
  <c r="X94" i="45" l="1"/>
  <c r="V94" i="45"/>
  <c r="W94" i="45" s="1"/>
  <c r="Y94" i="45"/>
  <c r="AI94" i="45" l="1"/>
  <c r="U95" i="45" s="1"/>
  <c r="AG182" i="45"/>
  <c r="X95" i="45" l="1"/>
  <c r="V95" i="45"/>
  <c r="W95" i="45" s="1"/>
  <c r="Y95" i="45"/>
  <c r="AI95" i="45" l="1"/>
  <c r="U96" i="45" s="1"/>
  <c r="AG184" i="45"/>
  <c r="X96" i="45" l="1"/>
  <c r="V96" i="45"/>
  <c r="W96" i="45" s="1"/>
  <c r="Y96" i="45"/>
  <c r="AI96" i="45" l="1"/>
  <c r="U97" i="45" s="1"/>
  <c r="X97" i="45" l="1"/>
  <c r="V97" i="45"/>
  <c r="W97" i="45" s="1"/>
  <c r="AG187" i="45"/>
  <c r="Y97" i="45"/>
  <c r="AI97" i="45" l="1"/>
  <c r="U98" i="45" s="1"/>
  <c r="X98" i="45" l="1"/>
  <c r="V98" i="45"/>
  <c r="W98" i="45" s="1"/>
  <c r="AG189" i="45"/>
  <c r="Y98" i="45"/>
  <c r="AI98" i="45" l="1"/>
  <c r="U99" i="45" s="1"/>
  <c r="X99" i="45" l="1"/>
  <c r="V99" i="45"/>
  <c r="W99" i="45" s="1"/>
  <c r="AG191" i="45"/>
  <c r="Y99" i="45"/>
  <c r="AI99" i="45" l="1"/>
  <c r="U100" i="45" s="1"/>
  <c r="X100" i="45" l="1"/>
  <c r="V100" i="45"/>
  <c r="W100" i="45" s="1"/>
  <c r="Y100" i="45"/>
  <c r="AI100" i="45" l="1"/>
  <c r="U101" i="45" s="1"/>
  <c r="X101" i="45" l="1"/>
  <c r="V101" i="45"/>
  <c r="W101" i="45" s="1"/>
  <c r="AG195" i="45"/>
  <c r="Y101" i="45"/>
  <c r="AI101" i="45" l="1"/>
  <c r="U102" i="45" s="1"/>
  <c r="X102" i="45" l="1"/>
  <c r="V102" i="45"/>
  <c r="W102" i="45" s="1"/>
  <c r="AG197" i="45"/>
  <c r="Y102" i="45"/>
  <c r="AI102" i="45" l="1"/>
  <c r="U103" i="45" s="1"/>
  <c r="V103" i="45" l="1"/>
  <c r="W103" i="45" s="1"/>
  <c r="X103" i="45"/>
  <c r="AG199" i="45"/>
  <c r="Y103" i="45"/>
  <c r="AI103" i="45" l="1"/>
  <c r="U104" i="45" s="1"/>
  <c r="X104" i="45" l="1"/>
  <c r="V104" i="45"/>
  <c r="W104" i="45" s="1"/>
  <c r="Y104" i="45"/>
  <c r="AI104" i="45" l="1"/>
  <c r="U105" i="45" s="1"/>
  <c r="X105" i="45" l="1"/>
  <c r="V105" i="45"/>
  <c r="W105" i="45" s="1"/>
  <c r="AG203" i="45"/>
  <c r="Y105" i="45"/>
  <c r="AI105" i="45" l="1"/>
  <c r="U106" i="45" s="1"/>
  <c r="X106" i="45" l="1"/>
  <c r="V106" i="45"/>
  <c r="W106" i="45" s="1"/>
  <c r="Y106" i="45"/>
  <c r="AI106" i="45" l="1"/>
  <c r="U107" i="45" s="1"/>
  <c r="X107" i="45" l="1"/>
  <c r="V107" i="45"/>
  <c r="W107" i="45" s="1"/>
  <c r="Y107" i="45"/>
  <c r="AI107" i="45" l="1"/>
  <c r="U108" i="45" s="1"/>
  <c r="X108" i="45" l="1"/>
  <c r="V108" i="45"/>
  <c r="W108" i="45" s="1"/>
  <c r="AG209" i="45"/>
  <c r="Y108" i="45"/>
  <c r="AI108" i="45" l="1"/>
  <c r="U109" i="45" s="1"/>
  <c r="X109" i="45" l="1"/>
  <c r="V109" i="45"/>
  <c r="W109" i="45" s="1"/>
  <c r="AG211" i="45"/>
  <c r="Y109" i="45"/>
  <c r="AI109" i="45" l="1"/>
  <c r="U110" i="45" s="1"/>
  <c r="V110" i="45" l="1"/>
  <c r="W110" i="45" s="1"/>
  <c r="X110" i="45"/>
  <c r="Y110" i="45"/>
  <c r="AI110" i="45" l="1"/>
  <c r="U111" i="45" s="1"/>
  <c r="X111" i="45" l="1"/>
  <c r="V111" i="45"/>
  <c r="W111" i="45" s="1"/>
  <c r="Y111" i="45"/>
  <c r="AI111" i="45" l="1"/>
  <c r="U112" i="45" s="1"/>
  <c r="X112" i="45" l="1"/>
  <c r="V112" i="45"/>
  <c r="W112" i="45" s="1"/>
  <c r="AG217" i="45"/>
  <c r="Y112" i="45"/>
  <c r="AI112" i="45" l="1"/>
  <c r="U113" i="45" s="1"/>
  <c r="X113" i="45" l="1"/>
  <c r="V113" i="45"/>
  <c r="W113" i="45" s="1"/>
  <c r="Y113" i="45"/>
  <c r="AI113" i="45" l="1"/>
  <c r="U114" i="45" s="1"/>
  <c r="X114" i="45" l="1"/>
  <c r="V114" i="45"/>
  <c r="W114" i="45" s="1"/>
  <c r="Y114" i="45"/>
  <c r="AI114" i="45" l="1"/>
  <c r="U115" i="45" s="1"/>
  <c r="X115" i="45" l="1"/>
  <c r="V115" i="45"/>
  <c r="W115" i="45" s="1"/>
  <c r="AG223" i="45"/>
  <c r="Y115" i="45"/>
  <c r="AI115" i="45" l="1"/>
  <c r="U116" i="45" s="1"/>
  <c r="X116" i="45" l="1"/>
  <c r="V116" i="45"/>
  <c r="W116" i="45" s="1"/>
  <c r="AG225" i="45"/>
  <c r="Y116" i="45"/>
  <c r="AI116" i="45" l="1"/>
  <c r="U117" i="45" s="1"/>
  <c r="X117" i="45" l="1"/>
  <c r="V117" i="45"/>
  <c r="W117" i="45" s="1"/>
  <c r="Y117" i="45"/>
  <c r="AI117" i="45" l="1"/>
  <c r="U118" i="45" s="1"/>
  <c r="X118" i="45" l="1"/>
  <c r="V118" i="45"/>
  <c r="W118" i="45" s="1"/>
  <c r="Y118" i="45"/>
  <c r="AI118" i="45" l="1"/>
  <c r="U119" i="45" s="1"/>
  <c r="V119" i="45" l="1"/>
  <c r="W119" i="45" s="1"/>
  <c r="X119" i="45"/>
  <c r="Y119" i="45"/>
  <c r="AI119" i="45" l="1"/>
  <c r="U120" i="45" s="1"/>
  <c r="AG232" i="45"/>
  <c r="X120" i="45" l="1"/>
  <c r="V120" i="45"/>
  <c r="W120" i="45" s="1"/>
  <c r="Y120" i="45"/>
  <c r="AI120" i="45" l="1"/>
  <c r="U121" i="45" s="1"/>
  <c r="AG234" i="45"/>
  <c r="X121" i="45" l="1"/>
  <c r="V121" i="45"/>
  <c r="W121" i="45" s="1"/>
  <c r="Y121" i="45"/>
  <c r="AI121" i="45" l="1"/>
  <c r="U122" i="45" s="1"/>
  <c r="X122" i="45" l="1"/>
  <c r="V122" i="45"/>
  <c r="W122" i="45" s="1"/>
  <c r="AG237" i="45"/>
  <c r="Y122" i="45"/>
  <c r="AI122" i="45" l="1"/>
  <c r="U123" i="45" s="1"/>
  <c r="X123" i="45" l="1"/>
  <c r="V123" i="45"/>
  <c r="W123" i="45" s="1"/>
  <c r="AG239" i="45"/>
  <c r="Y123" i="45"/>
  <c r="AI123" i="45" l="1"/>
  <c r="U124" i="45" s="1"/>
  <c r="V124" i="45" l="1"/>
  <c r="W124" i="45" s="1"/>
  <c r="X124" i="45"/>
  <c r="AG241" i="45"/>
  <c r="Y124" i="45"/>
  <c r="AI124" i="45" l="1"/>
  <c r="U125" i="45" s="1"/>
  <c r="X125" i="45" l="1"/>
  <c r="V125" i="45"/>
  <c r="W125" i="45" s="1"/>
  <c r="Y125" i="45"/>
  <c r="AI125" i="45" l="1"/>
  <c r="U126" i="45" s="1"/>
  <c r="AG244" i="45"/>
  <c r="X126" i="45" l="1"/>
  <c r="V126" i="45"/>
  <c r="W126" i="45" s="1"/>
  <c r="Y126" i="45"/>
  <c r="AI126" i="45" l="1"/>
  <c r="U127" i="45" s="1"/>
  <c r="X127" i="45" l="1"/>
  <c r="V127" i="45"/>
  <c r="W127" i="45" s="1"/>
  <c r="Y127" i="45"/>
  <c r="AI127" i="45" l="1"/>
  <c r="U128" i="45" s="1"/>
  <c r="X128" i="45" l="1"/>
  <c r="V128" i="45"/>
  <c r="W128" i="45" s="1"/>
  <c r="Y128" i="45"/>
  <c r="AI128" i="45" l="1"/>
  <c r="U129" i="45" s="1"/>
  <c r="X129" i="45" l="1"/>
  <c r="V129" i="45"/>
  <c r="W129" i="45" s="1"/>
  <c r="AG251" i="45"/>
  <c r="Y129" i="45"/>
  <c r="AI129" i="45" l="1"/>
  <c r="U130" i="45" s="1"/>
  <c r="X130" i="45" l="1"/>
  <c r="V130" i="45"/>
  <c r="W130" i="45" s="1"/>
  <c r="Y130" i="45"/>
  <c r="AI130" i="45" l="1"/>
  <c r="U131" i="45" s="1"/>
  <c r="AG254" i="45"/>
  <c r="V131" i="45" l="1"/>
  <c r="W131" i="45" s="1"/>
  <c r="X131" i="45"/>
  <c r="Y131" i="45"/>
  <c r="AI131" i="45" l="1"/>
  <c r="U132" i="45" s="1"/>
  <c r="X132" i="45" l="1"/>
  <c r="V132" i="45"/>
  <c r="W132" i="45" s="1"/>
  <c r="AG257" i="45"/>
  <c r="Y132" i="45"/>
  <c r="AI132" i="45" l="1"/>
  <c r="U133" i="45" s="1"/>
  <c r="X133" i="45" l="1"/>
  <c r="V133" i="45"/>
  <c r="W133" i="45" s="1"/>
  <c r="Y133" i="45"/>
  <c r="AI133" i="45" l="1"/>
  <c r="U134" i="45" s="1"/>
  <c r="X134" i="45" l="1"/>
  <c r="V134" i="45"/>
  <c r="W134" i="45" s="1"/>
  <c r="AG261" i="45"/>
  <c r="Y134" i="45"/>
  <c r="AI134" i="45" l="1"/>
  <c r="U135" i="45" s="1"/>
  <c r="AG262" i="45"/>
  <c r="X135" i="45" l="1"/>
  <c r="V135" i="45"/>
  <c r="W135" i="45" s="1"/>
  <c r="AG263" i="45"/>
  <c r="Y135" i="45"/>
  <c r="AI135" i="45" l="1"/>
  <c r="U136" i="45" s="1"/>
  <c r="AG264" i="45"/>
  <c r="X136" i="45" l="1"/>
  <c r="V136" i="45"/>
  <c r="W136" i="45" s="1"/>
  <c r="AG265" i="45"/>
  <c r="Y136" i="45"/>
  <c r="AI136" i="45" l="1"/>
  <c r="U137" i="45" s="1"/>
  <c r="X137" i="45" l="1"/>
  <c r="V137" i="45"/>
  <c r="W137" i="45" s="1"/>
  <c r="AG267" i="45"/>
  <c r="Y137" i="45"/>
  <c r="AI137" i="45" l="1"/>
  <c r="U138" i="45" s="1"/>
  <c r="AG268" i="45"/>
  <c r="X138" i="45" l="1"/>
  <c r="V138" i="45"/>
  <c r="W138" i="45" s="1"/>
  <c r="AG269" i="45"/>
  <c r="Y138" i="45"/>
  <c r="AI138" i="45" l="1"/>
  <c r="U139" i="45" s="1"/>
  <c r="X139" i="45" l="1"/>
  <c r="V139" i="45"/>
  <c r="W139" i="45" s="1"/>
  <c r="AG271" i="45"/>
  <c r="Y139" i="45"/>
  <c r="AI139" i="45" l="1"/>
  <c r="U140" i="45" s="1"/>
  <c r="AG272" i="45"/>
  <c r="X140" i="45" l="1"/>
  <c r="V140" i="45"/>
  <c r="W140" i="45" s="1"/>
  <c r="AG273" i="45"/>
  <c r="Y140" i="45"/>
  <c r="AI140" i="45" l="1"/>
  <c r="U141" i="45" s="1"/>
  <c r="X141" i="45" l="1"/>
  <c r="V141" i="45"/>
  <c r="W141" i="45" s="1"/>
  <c r="AG275" i="45"/>
  <c r="Y141" i="45"/>
  <c r="AI141" i="45" l="1"/>
  <c r="U142" i="45" s="1"/>
  <c r="AG276" i="45"/>
  <c r="X142" i="45" l="1"/>
  <c r="V142" i="45"/>
  <c r="W142" i="45" s="1"/>
  <c r="Y142" i="45"/>
  <c r="AI142" i="45" l="1"/>
  <c r="U143" i="45" s="1"/>
  <c r="AG277" i="45"/>
  <c r="X143" i="45" l="1"/>
  <c r="V143" i="45"/>
  <c r="W143" i="45" s="1"/>
  <c r="Y143" i="45"/>
  <c r="AI143" i="45" l="1"/>
  <c r="U144" i="45" s="1"/>
  <c r="X144" i="45" l="1"/>
  <c r="V144" i="45"/>
  <c r="W144" i="45" s="1"/>
  <c r="Y144" i="45"/>
  <c r="AI144" i="45" l="1"/>
  <c r="U145" i="45" s="1"/>
  <c r="X145" i="45" l="1"/>
  <c r="V145" i="45"/>
  <c r="W145" i="45" s="1"/>
  <c r="Y145" i="45"/>
  <c r="AI145" i="45" l="1"/>
  <c r="U146" i="45" s="1"/>
  <c r="X146" i="45" l="1"/>
  <c r="V146" i="45"/>
  <c r="W146" i="45" s="1"/>
  <c r="Y146" i="45"/>
  <c r="AI146" i="45" l="1"/>
  <c r="U147" i="45" s="1"/>
  <c r="X147" i="45" l="1"/>
  <c r="V147" i="45"/>
  <c r="W147" i="45" s="1"/>
  <c r="Y147" i="45"/>
  <c r="AI147" i="45" l="1"/>
  <c r="U148" i="45" s="1"/>
  <c r="X148" i="45" l="1"/>
  <c r="V148" i="45"/>
  <c r="W148" i="45" s="1"/>
  <c r="Y148" i="45"/>
  <c r="AI148" i="45" l="1"/>
  <c r="U149" i="45" s="1"/>
  <c r="X149" i="45" l="1"/>
  <c r="V149" i="45"/>
  <c r="W149" i="45" s="1"/>
  <c r="Y149" i="45"/>
  <c r="AI149" i="45" l="1"/>
  <c r="U150" i="45" s="1"/>
  <c r="V150" i="45" l="1"/>
  <c r="W150" i="45" s="1"/>
  <c r="X150" i="45"/>
  <c r="Y150" i="45"/>
  <c r="AI150" i="45" l="1"/>
  <c r="U151" i="45" s="1"/>
  <c r="X151" i="45" l="1"/>
  <c r="V151" i="45"/>
  <c r="W151" i="45" s="1"/>
  <c r="Y151" i="45"/>
  <c r="AI151" i="45" l="1"/>
  <c r="U152" i="45" s="1"/>
  <c r="X152" i="45" l="1"/>
  <c r="V152" i="45"/>
  <c r="W152" i="45" s="1"/>
  <c r="Y152" i="45"/>
  <c r="AI152" i="45" l="1"/>
  <c r="U153" i="45" s="1"/>
  <c r="V153" i="45" l="1"/>
  <c r="W153" i="45" s="1"/>
  <c r="X153" i="45"/>
  <c r="Y153" i="45"/>
  <c r="AI153" i="45" l="1"/>
  <c r="U154" i="45" s="1"/>
  <c r="X154" i="45" l="1"/>
  <c r="V154" i="45"/>
  <c r="W154" i="45" s="1"/>
  <c r="Y154" i="45"/>
  <c r="AI154" i="45" l="1"/>
  <c r="U155" i="45" s="1"/>
  <c r="X155" i="45" l="1"/>
  <c r="V155" i="45"/>
  <c r="W155" i="45" s="1"/>
  <c r="Y155" i="45"/>
  <c r="AI155" i="45" l="1"/>
  <c r="U156" i="45" s="1"/>
  <c r="X156" i="45" l="1"/>
  <c r="V156" i="45"/>
  <c r="W156" i="45" s="1"/>
  <c r="Y156" i="45"/>
  <c r="AI156" i="45" l="1"/>
  <c r="U157" i="45" s="1"/>
  <c r="V157" i="45" l="1"/>
  <c r="W157" i="45" s="1"/>
  <c r="X157" i="45"/>
  <c r="Y157" i="45"/>
  <c r="AI157" i="45" l="1"/>
  <c r="U158" i="45" s="1"/>
  <c r="X158" i="45" l="1"/>
  <c r="V158" i="45"/>
  <c r="W158" i="45" s="1"/>
  <c r="Y158" i="45"/>
  <c r="AI158" i="45" l="1"/>
  <c r="U159" i="45" s="1"/>
  <c r="X159" i="45" l="1"/>
  <c r="V159" i="45"/>
  <c r="W159" i="45" s="1"/>
  <c r="Y159" i="45"/>
  <c r="AI159" i="45" l="1"/>
  <c r="U160" i="45" s="1"/>
  <c r="V160" i="45" l="1"/>
  <c r="W160" i="45" s="1"/>
  <c r="X160" i="45"/>
  <c r="Y160" i="45"/>
  <c r="AI160" i="45" l="1"/>
  <c r="U161" i="45" s="1"/>
  <c r="X161" i="45" l="1"/>
  <c r="V161" i="45"/>
  <c r="W161" i="45" s="1"/>
  <c r="Y161" i="45"/>
  <c r="AI161" i="45" l="1"/>
  <c r="U162" i="45" s="1"/>
  <c r="X162" i="45" l="1"/>
  <c r="V162" i="45"/>
  <c r="W162" i="45" s="1"/>
  <c r="Y162" i="45"/>
  <c r="AI162" i="45" l="1"/>
  <c r="U163" i="45" s="1"/>
  <c r="X163" i="45" l="1"/>
  <c r="V163" i="45"/>
  <c r="W163" i="45" s="1"/>
  <c r="Y163" i="45"/>
  <c r="AI163" i="45" l="1"/>
  <c r="U164" i="45" s="1"/>
  <c r="V164" i="45" l="1"/>
  <c r="W164" i="45" s="1"/>
  <c r="X164" i="45"/>
  <c r="Y164" i="45"/>
  <c r="AI164" i="45" l="1"/>
  <c r="U165" i="45" s="1"/>
  <c r="V165" i="45" l="1"/>
  <c r="W165" i="45" s="1"/>
  <c r="X165" i="45"/>
  <c r="Y165" i="45"/>
  <c r="AI165" i="45" l="1"/>
  <c r="U166" i="45" s="1"/>
  <c r="X166" i="45" l="1"/>
  <c r="V166" i="45"/>
  <c r="W166" i="45" s="1"/>
  <c r="Y166" i="45"/>
  <c r="AI166" i="45" l="1"/>
  <c r="U167" i="45" s="1"/>
  <c r="X167" i="45" l="1"/>
  <c r="V167" i="45"/>
  <c r="W167" i="45" s="1"/>
  <c r="Y167" i="45"/>
  <c r="AI167" i="45" l="1"/>
  <c r="U168" i="45" s="1"/>
  <c r="X168" i="45" l="1"/>
  <c r="V168" i="45"/>
  <c r="W168" i="45" s="1"/>
  <c r="Y168" i="45"/>
  <c r="AI168" i="45" l="1"/>
  <c r="U169" i="45" s="1"/>
  <c r="X169" i="45" l="1"/>
  <c r="V169" i="45"/>
  <c r="W169" i="45" s="1"/>
  <c r="Y169" i="45"/>
  <c r="AI169" i="45" l="1"/>
  <c r="U170" i="45" s="1"/>
  <c r="V170" i="45" l="1"/>
  <c r="W170" i="45" s="1"/>
  <c r="X170" i="45"/>
  <c r="Y170" i="45"/>
  <c r="AI170" i="45" l="1"/>
  <c r="U171" i="45" s="1"/>
  <c r="V171" i="45" l="1"/>
  <c r="W171" i="45" s="1"/>
  <c r="X171" i="45"/>
  <c r="Y171" i="45"/>
  <c r="AI171" i="45" l="1"/>
  <c r="U172" i="45" s="1"/>
  <c r="X172" i="45" l="1"/>
  <c r="V172" i="45"/>
  <c r="W172" i="45" s="1"/>
  <c r="Y172" i="45"/>
  <c r="AI172" i="45" l="1"/>
  <c r="U173" i="45" s="1"/>
  <c r="X173" i="45" l="1"/>
  <c r="V173" i="45"/>
  <c r="W173" i="45" s="1"/>
  <c r="Y173" i="45"/>
  <c r="AI173" i="45" l="1"/>
  <c r="U174" i="45" s="1"/>
  <c r="X174" i="45" l="1"/>
  <c r="V174" i="45"/>
  <c r="W174" i="45" s="1"/>
  <c r="Y174" i="45"/>
  <c r="AI174" i="45" l="1"/>
  <c r="U175" i="45" s="1"/>
  <c r="X175" i="45" l="1"/>
  <c r="V175" i="45"/>
  <c r="W175" i="45" s="1"/>
  <c r="Y175" i="45"/>
  <c r="AI175" i="45" l="1"/>
  <c r="U176" i="45" s="1"/>
  <c r="X176" i="45" l="1"/>
  <c r="V176" i="45"/>
  <c r="W176" i="45" s="1"/>
  <c r="Y176" i="45"/>
  <c r="AI176" i="45" l="1"/>
  <c r="U177" i="45" s="1"/>
  <c r="V177" i="45" l="1"/>
  <c r="W177" i="45" s="1"/>
  <c r="X177" i="45"/>
  <c r="Y177" i="45"/>
  <c r="AI177" i="45" l="1"/>
  <c r="U178" i="45" s="1"/>
  <c r="X178" i="45" l="1"/>
  <c r="V178" i="45"/>
  <c r="W178" i="45" s="1"/>
  <c r="Y178" i="45"/>
  <c r="AI178" i="45" l="1"/>
  <c r="U179" i="45" s="1"/>
  <c r="X179" i="45" l="1"/>
  <c r="V179" i="45"/>
  <c r="W179" i="45" s="1"/>
  <c r="Y179" i="45"/>
  <c r="AI179" i="45" l="1"/>
  <c r="U180" i="45" s="1"/>
  <c r="V180" i="45" l="1"/>
  <c r="W180" i="45" s="1"/>
  <c r="X180" i="45"/>
  <c r="Y180" i="45"/>
  <c r="AI180" i="45" l="1"/>
  <c r="U181" i="45" s="1"/>
  <c r="X181" i="45" l="1"/>
  <c r="V181" i="45"/>
  <c r="W181" i="45" s="1"/>
  <c r="Y181" i="45"/>
  <c r="AI181" i="45" l="1"/>
  <c r="U182" i="45" s="1"/>
  <c r="X182" i="45" l="1"/>
  <c r="V182" i="45"/>
  <c r="W182" i="45" s="1"/>
  <c r="Y182" i="45"/>
  <c r="AI182" i="45" l="1"/>
  <c r="U183" i="45" s="1"/>
  <c r="X183" i="45" l="1"/>
  <c r="V183" i="45"/>
  <c r="W183" i="45" s="1"/>
  <c r="Y183" i="45"/>
  <c r="AI183" i="45" l="1"/>
  <c r="U184" i="45" s="1"/>
  <c r="X184" i="45" l="1"/>
  <c r="V184" i="45"/>
  <c r="W184" i="45" s="1"/>
  <c r="Y184" i="45"/>
  <c r="AI184" i="45" l="1"/>
  <c r="U185" i="45" s="1"/>
  <c r="X185" i="45" l="1"/>
  <c r="V185" i="45"/>
  <c r="W185" i="45" s="1"/>
  <c r="Y185" i="45"/>
  <c r="AI185" i="45" l="1"/>
  <c r="U186" i="45" s="1"/>
  <c r="X186" i="45" l="1"/>
  <c r="V186" i="45"/>
  <c r="W186" i="45" s="1"/>
  <c r="Y186" i="45"/>
  <c r="AI186" i="45" l="1"/>
  <c r="U187" i="45" s="1"/>
  <c r="X187" i="45" l="1"/>
  <c r="V187" i="45"/>
  <c r="W187" i="45" s="1"/>
  <c r="AH187" i="45" s="1"/>
  <c r="BF187" i="45" s="1"/>
  <c r="AK187" i="45"/>
  <c r="BS187" i="45" l="1"/>
  <c r="BG187" i="45"/>
  <c r="BX187" i="45"/>
  <c r="AX187" i="45"/>
  <c r="BC187" i="45"/>
  <c r="AL187" i="45"/>
  <c r="BB187" i="45" s="1"/>
  <c r="Z187" i="45"/>
  <c r="AH186" i="45"/>
  <c r="BF186" i="45" s="1"/>
  <c r="BG186" i="45" s="1"/>
  <c r="BJ186" i="45"/>
  <c r="AK186" i="45"/>
  <c r="AA187" i="45"/>
  <c r="AA186" i="45"/>
  <c r="Y187" i="45"/>
  <c r="AI187" i="45" l="1"/>
  <c r="U188" i="45" s="1"/>
  <c r="X188" i="45" s="1"/>
  <c r="BJ187" i="45"/>
  <c r="BM187" i="45" s="1"/>
  <c r="AO187" i="45"/>
  <c r="AR187" i="45" s="1"/>
  <c r="BS186" i="45"/>
  <c r="BU186" i="45"/>
  <c r="AO186" i="45"/>
  <c r="AR186" i="45" s="1"/>
  <c r="BT186" i="45"/>
  <c r="BM186" i="45"/>
  <c r="BV186" i="45"/>
  <c r="BX186" i="45"/>
  <c r="BN186" i="45"/>
  <c r="AL186" i="45"/>
  <c r="BB186" i="45" s="1"/>
  <c r="AX186" i="45"/>
  <c r="BC186" i="45"/>
  <c r="Z186" i="45"/>
  <c r="AH185" i="45"/>
  <c r="BF185" i="45" s="1"/>
  <c r="BJ185" i="45"/>
  <c r="AK185" i="45"/>
  <c r="AA185" i="45"/>
  <c r="AK188" i="45" l="1"/>
  <c r="BC188" i="45" s="1"/>
  <c r="V188" i="45"/>
  <c r="BU187" i="45"/>
  <c r="BW187" i="45" s="1"/>
  <c r="BN187" i="45"/>
  <c r="BV187" i="45"/>
  <c r="AS187" i="45"/>
  <c r="AY187" i="45"/>
  <c r="AZ187" i="45"/>
  <c r="BA187" i="45"/>
  <c r="BT187" i="45"/>
  <c r="BW186" i="45"/>
  <c r="BA186" i="45"/>
  <c r="AS186" i="45"/>
  <c r="BS185" i="45"/>
  <c r="BG185" i="45"/>
  <c r="BU185" i="45"/>
  <c r="AY186" i="45"/>
  <c r="AX188" i="45"/>
  <c r="AZ186" i="45"/>
  <c r="W188" i="45"/>
  <c r="Z188" i="45"/>
  <c r="AO185" i="45"/>
  <c r="AZ185" i="45" s="1"/>
  <c r="BN185" i="45"/>
  <c r="BM185" i="45"/>
  <c r="BX185" i="45"/>
  <c r="BT185" i="45"/>
  <c r="BV185" i="45"/>
  <c r="Z185" i="45"/>
  <c r="AX185" i="45"/>
  <c r="AL185" i="45"/>
  <c r="BB185" i="45" s="1"/>
  <c r="BC185" i="45"/>
  <c r="AH184" i="45"/>
  <c r="BF184" i="45" s="1"/>
  <c r="BG184" i="45" s="1"/>
  <c r="BJ184" i="45"/>
  <c r="AK184" i="45"/>
  <c r="AA188" i="45"/>
  <c r="Y188" i="45"/>
  <c r="AA184" i="45"/>
  <c r="AO188" i="45" l="1"/>
  <c r="AZ188" i="45" s="1"/>
  <c r="AL188" i="45"/>
  <c r="BB188" i="45" s="1"/>
  <c r="AY185" i="45"/>
  <c r="AS185" i="45"/>
  <c r="AR185" i="45"/>
  <c r="BA185" i="45"/>
  <c r="BU184" i="45"/>
  <c r="BW184" i="45" s="1"/>
  <c r="BW185" i="45"/>
  <c r="BS184" i="45"/>
  <c r="AI188" i="45"/>
  <c r="U189" i="45" s="1"/>
  <c r="BJ188" i="45"/>
  <c r="AH188" i="45"/>
  <c r="BF188" i="45" s="1"/>
  <c r="AO184" i="45"/>
  <c r="AY184" i="45" s="1"/>
  <c r="BM184" i="45"/>
  <c r="BX184" i="45"/>
  <c r="BV184" i="45"/>
  <c r="BN184" i="45"/>
  <c r="BT184" i="45"/>
  <c r="AL184" i="45"/>
  <c r="BB184" i="45" s="1"/>
  <c r="AX184" i="45"/>
  <c r="BC184" i="45"/>
  <c r="Z184" i="45"/>
  <c r="AH183" i="45"/>
  <c r="BF183" i="45" s="1"/>
  <c r="BJ183" i="45"/>
  <c r="AK183" i="45"/>
  <c r="AA183" i="45"/>
  <c r="AS188" i="45" l="1"/>
  <c r="AY188" i="45"/>
  <c r="BA188" i="45"/>
  <c r="AR188" i="45"/>
  <c r="BA184" i="45"/>
  <c r="AZ184" i="45"/>
  <c r="AR184" i="45"/>
  <c r="BG183" i="45"/>
  <c r="BU183" i="45"/>
  <c r="BS183" i="45"/>
  <c r="AS184" i="45"/>
  <c r="BV188" i="45"/>
  <c r="BG188" i="45"/>
  <c r="BN188" i="45"/>
  <c r="BU188" i="45"/>
  <c r="BS188" i="45"/>
  <c r="BT188" i="45"/>
  <c r="BX188" i="45"/>
  <c r="BM188" i="45"/>
  <c r="X189" i="45"/>
  <c r="V189" i="45"/>
  <c r="AK189" i="45"/>
  <c r="AO183" i="45"/>
  <c r="AZ183" i="45" s="1"/>
  <c r="BN183" i="45"/>
  <c r="BT183" i="45"/>
  <c r="BV183" i="45"/>
  <c r="BX183" i="45"/>
  <c r="BM183" i="45"/>
  <c r="Z183" i="45"/>
  <c r="AL183" i="45"/>
  <c r="BB183" i="45" s="1"/>
  <c r="AX183" i="45"/>
  <c r="BC183" i="45"/>
  <c r="AH182" i="45"/>
  <c r="BF182" i="45" s="1"/>
  <c r="BJ182" i="45"/>
  <c r="AK182" i="45"/>
  <c r="AA189" i="45"/>
  <c r="AA182" i="45"/>
  <c r="BW183" i="45" l="1"/>
  <c r="BA183" i="45"/>
  <c r="AR183" i="45"/>
  <c r="AS183" i="45"/>
  <c r="AY183" i="45"/>
  <c r="AO189" i="45"/>
  <c r="AS189" i="45" s="1"/>
  <c r="AL189" i="45"/>
  <c r="BB189" i="45" s="1"/>
  <c r="BC189" i="45"/>
  <c r="AX189" i="45"/>
  <c r="W189" i="45"/>
  <c r="Z189" i="45"/>
  <c r="BW188" i="45"/>
  <c r="AO182" i="45"/>
  <c r="AY182" i="45" s="1"/>
  <c r="BU182" i="45"/>
  <c r="BG182" i="45"/>
  <c r="BS182" i="45"/>
  <c r="BM182" i="45"/>
  <c r="BT182" i="45"/>
  <c r="BN182" i="45"/>
  <c r="BX182" i="45"/>
  <c r="BV182" i="45"/>
  <c r="Z182" i="45"/>
  <c r="AX182" i="45"/>
  <c r="BC182" i="45"/>
  <c r="AL182" i="45"/>
  <c r="BB182" i="45" s="1"/>
  <c r="AH181" i="45"/>
  <c r="BF181" i="45" s="1"/>
  <c r="BJ181" i="45"/>
  <c r="AK181" i="45"/>
  <c r="Y189" i="45"/>
  <c r="AA181" i="45"/>
  <c r="AR182" i="45" l="1"/>
  <c r="AZ182" i="45"/>
  <c r="AS182" i="45"/>
  <c r="BW182" i="45"/>
  <c r="AI189" i="45"/>
  <c r="U190" i="45" s="1"/>
  <c r="BJ189" i="45"/>
  <c r="BS181" i="45"/>
  <c r="BG181" i="45"/>
  <c r="BU181" i="45"/>
  <c r="BA182" i="45"/>
  <c r="BA189" i="45"/>
  <c r="AR189" i="45"/>
  <c r="AZ189" i="45"/>
  <c r="AY189" i="45"/>
  <c r="AH189" i="45"/>
  <c r="BF189" i="45" s="1"/>
  <c r="AO181" i="45"/>
  <c r="BA181" i="45" s="1"/>
  <c r="BT181" i="45"/>
  <c r="BM181" i="45"/>
  <c r="BN181" i="45"/>
  <c r="BV181" i="45"/>
  <c r="BX181" i="45"/>
  <c r="Z181" i="45"/>
  <c r="AL181" i="45"/>
  <c r="BB181" i="45" s="1"/>
  <c r="BC181" i="45"/>
  <c r="AX181" i="45"/>
  <c r="AH180" i="45"/>
  <c r="BF180" i="45" s="1"/>
  <c r="BJ180" i="45"/>
  <c r="AK180" i="45"/>
  <c r="AA180" i="45"/>
  <c r="AR181" i="45" l="1"/>
  <c r="AY181" i="45"/>
  <c r="AS181" i="45"/>
  <c r="BS180" i="45"/>
  <c r="BG180" i="45"/>
  <c r="BU180" i="45"/>
  <c r="AZ181" i="45"/>
  <c r="BW181" i="45"/>
  <c r="BN189" i="45"/>
  <c r="BV189" i="45"/>
  <c r="BT189" i="45"/>
  <c r="BG189" i="45"/>
  <c r="BU189" i="45"/>
  <c r="BM189" i="45"/>
  <c r="BS189" i="45"/>
  <c r="BX189" i="45"/>
  <c r="X190" i="45"/>
  <c r="V190" i="45"/>
  <c r="AK190" i="45"/>
  <c r="AO180" i="45"/>
  <c r="BA180" i="45" s="1"/>
  <c r="BN180" i="45"/>
  <c r="BT180" i="45"/>
  <c r="BM180" i="45"/>
  <c r="BV180" i="45"/>
  <c r="BX180" i="45"/>
  <c r="AL180" i="45"/>
  <c r="BB180" i="45" s="1"/>
  <c r="AS180" i="45"/>
  <c r="AZ180" i="45"/>
  <c r="AX180" i="45"/>
  <c r="BC180" i="45"/>
  <c r="Z180" i="45"/>
  <c r="AH179" i="45"/>
  <c r="BF179" i="45" s="1"/>
  <c r="BJ179" i="45"/>
  <c r="AK179" i="45"/>
  <c r="AA179" i="45"/>
  <c r="AA190" i="45"/>
  <c r="AR180" i="45" l="1"/>
  <c r="BW180" i="45"/>
  <c r="AY180" i="45"/>
  <c r="BS179" i="45"/>
  <c r="BU179" i="45"/>
  <c r="BG179" i="45"/>
  <c r="AO190" i="45"/>
  <c r="AS190" i="45" s="1"/>
  <c r="BW189" i="45"/>
  <c r="AX190" i="45"/>
  <c r="BC190" i="45"/>
  <c r="AL190" i="45"/>
  <c r="BB190" i="45" s="1"/>
  <c r="W190" i="45"/>
  <c r="Z190" i="45"/>
  <c r="AO179" i="45"/>
  <c r="AR179" i="45" s="1"/>
  <c r="BT179" i="45"/>
  <c r="BM179" i="45"/>
  <c r="BN179" i="45"/>
  <c r="BX179" i="45"/>
  <c r="BV179" i="45"/>
  <c r="AX179" i="45"/>
  <c r="BC179" i="45"/>
  <c r="AL179" i="45"/>
  <c r="BB179" i="45" s="1"/>
  <c r="Z179" i="45"/>
  <c r="AH178" i="45"/>
  <c r="BF178" i="45" s="1"/>
  <c r="BJ178" i="45"/>
  <c r="AK178" i="45"/>
  <c r="AA178" i="45"/>
  <c r="Y190" i="45"/>
  <c r="AZ179" i="45" l="1"/>
  <c r="AZ190" i="45"/>
  <c r="AS179" i="45"/>
  <c r="BA179" i="45"/>
  <c r="AY179" i="45"/>
  <c r="BW179" i="45"/>
  <c r="BU178" i="45"/>
  <c r="BG178" i="45"/>
  <c r="BS178" i="45"/>
  <c r="AI190" i="45"/>
  <c r="U191" i="45" s="1"/>
  <c r="BJ190" i="45"/>
  <c r="BA190" i="45"/>
  <c r="AR190" i="45"/>
  <c r="AY190" i="45"/>
  <c r="AH190" i="45"/>
  <c r="BF190" i="45" s="1"/>
  <c r="AO178" i="45"/>
  <c r="AY178" i="45" s="1"/>
  <c r="BM178" i="45"/>
  <c r="BX178" i="45"/>
  <c r="BT178" i="45"/>
  <c r="BV178" i="45"/>
  <c r="BN178" i="45"/>
  <c r="AX178" i="45"/>
  <c r="BC178" i="45"/>
  <c r="AL178" i="45"/>
  <c r="BB178" i="45" s="1"/>
  <c r="Z178" i="45"/>
  <c r="AK177" i="45"/>
  <c r="AA177" i="45"/>
  <c r="BW178" i="45" l="1"/>
  <c r="AR178" i="45"/>
  <c r="AS178" i="45"/>
  <c r="BA178" i="45"/>
  <c r="AZ178" i="45"/>
  <c r="BX190" i="45"/>
  <c r="BM190" i="45"/>
  <c r="BG190" i="45"/>
  <c r="BV190" i="45"/>
  <c r="BU190" i="45"/>
  <c r="BN190" i="45"/>
  <c r="BT190" i="45"/>
  <c r="BS190" i="45"/>
  <c r="X191" i="45"/>
  <c r="V191" i="45"/>
  <c r="AK191" i="45"/>
  <c r="AO177" i="45"/>
  <c r="AY177" i="45" s="1"/>
  <c r="AH177" i="45"/>
  <c r="BF177" i="45" s="1"/>
  <c r="BG177" i="45" s="1"/>
  <c r="BJ177" i="45"/>
  <c r="Z177" i="45"/>
  <c r="AX177" i="45"/>
  <c r="AL177" i="45"/>
  <c r="BB177" i="45" s="1"/>
  <c r="BC177" i="45"/>
  <c r="AH176" i="45"/>
  <c r="BF176" i="45" s="1"/>
  <c r="BJ176" i="45"/>
  <c r="AK176" i="45"/>
  <c r="AA191" i="45"/>
  <c r="AA176" i="45"/>
  <c r="AZ177" i="45" l="1"/>
  <c r="AR177" i="45"/>
  <c r="BU177" i="45"/>
  <c r="AS177" i="45"/>
  <c r="BX177" i="45"/>
  <c r="BV177" i="45"/>
  <c r="AO191" i="45"/>
  <c r="AY191" i="45" s="1"/>
  <c r="BG176" i="45"/>
  <c r="BS176" i="45"/>
  <c r="BU176" i="45"/>
  <c r="BT177" i="45"/>
  <c r="BA177" i="45"/>
  <c r="AX191" i="45"/>
  <c r="BC191" i="45"/>
  <c r="AL191" i="45"/>
  <c r="BB191" i="45" s="1"/>
  <c r="BS177" i="45"/>
  <c r="W191" i="45"/>
  <c r="Z191" i="45"/>
  <c r="BM177" i="45"/>
  <c r="BW190" i="45"/>
  <c r="BN177" i="45"/>
  <c r="AO176" i="45"/>
  <c r="AY176" i="45" s="1"/>
  <c r="BX176" i="45"/>
  <c r="BT176" i="45"/>
  <c r="BM176" i="45"/>
  <c r="BN176" i="45"/>
  <c r="BV176" i="45"/>
  <c r="BC176" i="45"/>
  <c r="AL176" i="45"/>
  <c r="BB176" i="45" s="1"/>
  <c r="AX176" i="45"/>
  <c r="Z176" i="45"/>
  <c r="AH175" i="45"/>
  <c r="BF175" i="45" s="1"/>
  <c r="BJ175" i="45"/>
  <c r="AK175" i="45"/>
  <c r="AA175" i="45"/>
  <c r="Y191" i="45"/>
  <c r="AZ191" i="45" l="1"/>
  <c r="BA176" i="45"/>
  <c r="AR176" i="45"/>
  <c r="BW177" i="45"/>
  <c r="BA191" i="45"/>
  <c r="AI191" i="45"/>
  <c r="U192" i="45" s="1"/>
  <c r="BJ191" i="45"/>
  <c r="BS175" i="45"/>
  <c r="BG175" i="45"/>
  <c r="BU175" i="45"/>
  <c r="AR191" i="45"/>
  <c r="AS176" i="45"/>
  <c r="AZ176" i="45"/>
  <c r="AS191" i="45"/>
  <c r="BW176" i="45"/>
  <c r="AH191" i="45"/>
  <c r="BF191" i="45" s="1"/>
  <c r="AO175" i="45"/>
  <c r="AZ175" i="45" s="1"/>
  <c r="BT175" i="45"/>
  <c r="BM175" i="45"/>
  <c r="BN175" i="45"/>
  <c r="BV175" i="45"/>
  <c r="BX175" i="45"/>
  <c r="AL175" i="45"/>
  <c r="BB175" i="45" s="1"/>
  <c r="BC175" i="45"/>
  <c r="AX175" i="45"/>
  <c r="Z175" i="45"/>
  <c r="AH174" i="45"/>
  <c r="BF174" i="45" s="1"/>
  <c r="BJ174" i="45"/>
  <c r="AK174" i="45"/>
  <c r="AA174" i="45"/>
  <c r="AY175" i="45" l="1"/>
  <c r="BA175" i="45"/>
  <c r="AR175" i="45"/>
  <c r="BS174" i="45"/>
  <c r="BG174" i="45"/>
  <c r="BU174" i="45"/>
  <c r="AS175" i="45"/>
  <c r="BW175" i="45"/>
  <c r="BN191" i="45"/>
  <c r="BG191" i="45"/>
  <c r="BX191" i="45"/>
  <c r="BV191" i="45"/>
  <c r="BT191" i="45"/>
  <c r="BM191" i="45"/>
  <c r="BU191" i="45"/>
  <c r="BS191" i="45"/>
  <c r="X192" i="45"/>
  <c r="V192" i="45"/>
  <c r="AK192" i="45"/>
  <c r="AO174" i="45"/>
  <c r="AY174" i="45" s="1"/>
  <c r="BT174" i="45"/>
  <c r="BX174" i="45"/>
  <c r="BN174" i="45"/>
  <c r="BV174" i="45"/>
  <c r="BM174" i="45"/>
  <c r="AL174" i="45"/>
  <c r="BB174" i="45" s="1"/>
  <c r="AX174" i="45"/>
  <c r="BC174" i="45"/>
  <c r="Z174" i="45"/>
  <c r="AH173" i="45"/>
  <c r="BF173" i="45" s="1"/>
  <c r="BJ173" i="45"/>
  <c r="AK173" i="45"/>
  <c r="AA192" i="45"/>
  <c r="AA173" i="45"/>
  <c r="AS174" i="45" l="1"/>
  <c r="AR174" i="45"/>
  <c r="BX173" i="45"/>
  <c r="BU173" i="45"/>
  <c r="BG173" i="45"/>
  <c r="BS173" i="45"/>
  <c r="BV173" i="45"/>
  <c r="BM173" i="45"/>
  <c r="AZ174" i="45"/>
  <c r="BA174" i="45"/>
  <c r="BW174" i="45"/>
  <c r="AO192" i="45"/>
  <c r="AR192" i="45" s="1"/>
  <c r="BN173" i="45"/>
  <c r="BT173" i="45"/>
  <c r="BC192" i="45"/>
  <c r="AL192" i="45"/>
  <c r="BB192" i="45" s="1"/>
  <c r="AX192" i="45"/>
  <c r="W192" i="45"/>
  <c r="Z192" i="45"/>
  <c r="BW191" i="45"/>
  <c r="AO173" i="45"/>
  <c r="AY173" i="45" s="1"/>
  <c r="AL173" i="45"/>
  <c r="BB173" i="45" s="1"/>
  <c r="AX173" i="45"/>
  <c r="BC173" i="45"/>
  <c r="Z173" i="45"/>
  <c r="AH172" i="45"/>
  <c r="BF172" i="45" s="1"/>
  <c r="BJ172" i="45"/>
  <c r="AK172" i="45"/>
  <c r="AA172" i="45"/>
  <c r="Y192" i="45"/>
  <c r="BA192" i="45" l="1"/>
  <c r="BW173" i="45"/>
  <c r="AZ192" i="45"/>
  <c r="AY192" i="45"/>
  <c r="BA173" i="45"/>
  <c r="AZ173" i="45"/>
  <c r="AS192" i="45"/>
  <c r="BX172" i="45"/>
  <c r="BM172" i="45"/>
  <c r="AI192" i="45"/>
  <c r="U193" i="45" s="1"/>
  <c r="BJ192" i="45"/>
  <c r="BS172" i="45"/>
  <c r="BU172" i="45"/>
  <c r="AR173" i="45"/>
  <c r="BN172" i="45"/>
  <c r="BT172" i="45"/>
  <c r="BG172" i="45"/>
  <c r="AS173" i="45"/>
  <c r="AH192" i="45"/>
  <c r="BF192" i="45" s="1"/>
  <c r="BV172" i="45"/>
  <c r="AO172" i="45"/>
  <c r="BA172" i="45" s="1"/>
  <c r="BC172" i="45"/>
  <c r="AX172" i="45"/>
  <c r="AL172" i="45"/>
  <c r="BB172" i="45" s="1"/>
  <c r="Z172" i="45"/>
  <c r="AH171" i="45"/>
  <c r="BF171" i="45" s="1"/>
  <c r="BG171" i="45" s="1"/>
  <c r="BJ171" i="45"/>
  <c r="AK171" i="45"/>
  <c r="AA171" i="45"/>
  <c r="BU171" i="45" l="1"/>
  <c r="BS171" i="45"/>
  <c r="AS172" i="45"/>
  <c r="BW172" i="45"/>
  <c r="AZ172" i="45"/>
  <c r="AR172" i="45"/>
  <c r="AY172" i="45"/>
  <c r="BU192" i="45"/>
  <c r="BS192" i="45"/>
  <c r="BG192" i="45"/>
  <c r="BM192" i="45"/>
  <c r="BX192" i="45"/>
  <c r="BV192" i="45"/>
  <c r="BN192" i="45"/>
  <c r="BT192" i="45"/>
  <c r="X193" i="45"/>
  <c r="V193" i="45"/>
  <c r="AK193" i="45"/>
  <c r="AO171" i="45"/>
  <c r="AS171" i="45" s="1"/>
  <c r="BT171" i="45"/>
  <c r="BM171" i="45"/>
  <c r="BX171" i="45"/>
  <c r="BV171" i="45"/>
  <c r="BN171" i="45"/>
  <c r="AL171" i="45"/>
  <c r="BB171" i="45" s="1"/>
  <c r="BC171" i="45"/>
  <c r="AX171" i="45"/>
  <c r="Z171" i="45"/>
  <c r="AH170" i="45"/>
  <c r="BF170" i="45" s="1"/>
  <c r="BJ170" i="45"/>
  <c r="AK170" i="45"/>
  <c r="AA193" i="45"/>
  <c r="AA170" i="45"/>
  <c r="BA171" i="45" l="1"/>
  <c r="BW171" i="45"/>
  <c r="AZ171" i="45"/>
  <c r="AY171" i="45"/>
  <c r="BG170" i="45"/>
  <c r="BU170" i="45"/>
  <c r="BW170" i="45" s="1"/>
  <c r="BS170" i="45"/>
  <c r="AR171" i="45"/>
  <c r="AO193" i="45"/>
  <c r="AY193" i="45" s="1"/>
  <c r="BC193" i="45"/>
  <c r="AX193" i="45"/>
  <c r="AL193" i="45"/>
  <c r="BB193" i="45" s="1"/>
  <c r="BW192" i="45"/>
  <c r="W193" i="45"/>
  <c r="Z193" i="45"/>
  <c r="AO170" i="45"/>
  <c r="BA170" i="45" s="1"/>
  <c r="BT170" i="45"/>
  <c r="BX170" i="45"/>
  <c r="BV170" i="45"/>
  <c r="BN170" i="45"/>
  <c r="BM170" i="45"/>
  <c r="AL170" i="45"/>
  <c r="BB170" i="45" s="1"/>
  <c r="AX170" i="45"/>
  <c r="BC170" i="45"/>
  <c r="Z170" i="45"/>
  <c r="AH169" i="45"/>
  <c r="BF169" i="45" s="1"/>
  <c r="BJ169" i="45"/>
  <c r="AK169" i="45"/>
  <c r="Y193" i="45"/>
  <c r="AA169" i="45"/>
  <c r="AS170" i="45" l="1"/>
  <c r="AY170" i="45"/>
  <c r="AZ170" i="45"/>
  <c r="BG169" i="45"/>
  <c r="BS169" i="45"/>
  <c r="AR170" i="45"/>
  <c r="AS193" i="45"/>
  <c r="BU169" i="45"/>
  <c r="BW169" i="45" s="1"/>
  <c r="AZ193" i="45"/>
  <c r="BA193" i="45"/>
  <c r="AR193" i="45"/>
  <c r="AI193" i="45"/>
  <c r="U194" i="45" s="1"/>
  <c r="BJ193" i="45"/>
  <c r="AH193" i="45"/>
  <c r="BF193" i="45" s="1"/>
  <c r="AO169" i="45"/>
  <c r="BA169" i="45" s="1"/>
  <c r="BV169" i="45"/>
  <c r="BT169" i="45"/>
  <c r="BX169" i="45"/>
  <c r="BM169" i="45"/>
  <c r="BN169" i="45"/>
  <c r="BC169" i="45"/>
  <c r="AX169" i="45"/>
  <c r="AL169" i="45"/>
  <c r="BB169" i="45" s="1"/>
  <c r="Z169" i="45"/>
  <c r="AH168" i="45"/>
  <c r="BF168" i="45" s="1"/>
  <c r="BJ168" i="45"/>
  <c r="AK168" i="45"/>
  <c r="AA168" i="45"/>
  <c r="AR169" i="45" l="1"/>
  <c r="BU168" i="45"/>
  <c r="BS168" i="45"/>
  <c r="BV168" i="45"/>
  <c r="AS169" i="45"/>
  <c r="AZ169" i="45"/>
  <c r="BX168" i="45"/>
  <c r="BT168" i="45"/>
  <c r="BG168" i="45"/>
  <c r="X194" i="45"/>
  <c r="V194" i="45"/>
  <c r="AK194" i="45"/>
  <c r="BM168" i="45"/>
  <c r="BN168" i="45"/>
  <c r="BM193" i="45"/>
  <c r="BN193" i="45"/>
  <c r="BV193" i="45"/>
  <c r="BG193" i="45"/>
  <c r="BT193" i="45"/>
  <c r="BS193" i="45"/>
  <c r="BX193" i="45"/>
  <c r="BU193" i="45"/>
  <c r="AY169" i="45"/>
  <c r="AO168" i="45"/>
  <c r="AY168" i="45" s="1"/>
  <c r="AX168" i="45"/>
  <c r="AL168" i="45"/>
  <c r="BB168" i="45" s="1"/>
  <c r="BC168" i="45"/>
  <c r="Z168" i="45"/>
  <c r="AH167" i="45"/>
  <c r="BF167" i="45" s="1"/>
  <c r="BJ167" i="45"/>
  <c r="AK167" i="45"/>
  <c r="AA194" i="45"/>
  <c r="AA167" i="45"/>
  <c r="BS167" i="45" l="1"/>
  <c r="BG167" i="45"/>
  <c r="BW168" i="45"/>
  <c r="BU167" i="45"/>
  <c r="BW167" i="45" s="1"/>
  <c r="AZ168" i="45"/>
  <c r="AO194" i="45"/>
  <c r="BA194" i="45" s="1"/>
  <c r="BA168" i="45"/>
  <c r="AX194" i="45"/>
  <c r="BC194" i="45"/>
  <c r="AL194" i="45"/>
  <c r="BB194" i="45" s="1"/>
  <c r="W194" i="45"/>
  <c r="Z194" i="45"/>
  <c r="AS168" i="45"/>
  <c r="AR168" i="45"/>
  <c r="BW193" i="45"/>
  <c r="AO167" i="45"/>
  <c r="BA167" i="45" s="1"/>
  <c r="BN167" i="45"/>
  <c r="BV167" i="45"/>
  <c r="BT167" i="45"/>
  <c r="BX167" i="45"/>
  <c r="BM167" i="45"/>
  <c r="AL167" i="45"/>
  <c r="BB167" i="45" s="1"/>
  <c r="AX167" i="45"/>
  <c r="BC167" i="45"/>
  <c r="Z167" i="45"/>
  <c r="AH166" i="45"/>
  <c r="BF166" i="45" s="1"/>
  <c r="BJ166" i="45"/>
  <c r="AK166" i="45"/>
  <c r="Y194" i="45"/>
  <c r="AA166" i="45"/>
  <c r="AS167" i="45" l="1"/>
  <c r="BN166" i="45"/>
  <c r="AZ167" i="45"/>
  <c r="AY167" i="45"/>
  <c r="BU166" i="45"/>
  <c r="AY194" i="45"/>
  <c r="AR167" i="45"/>
  <c r="AR194" i="45"/>
  <c r="AI194" i="45"/>
  <c r="U195" i="45" s="1"/>
  <c r="BJ194" i="45"/>
  <c r="AH194" i="45"/>
  <c r="BF194" i="45" s="1"/>
  <c r="BX166" i="45"/>
  <c r="AS194" i="45"/>
  <c r="BV166" i="45"/>
  <c r="AZ194" i="45"/>
  <c r="BT166" i="45"/>
  <c r="BM166" i="45"/>
  <c r="BG166" i="45"/>
  <c r="BS166" i="45"/>
  <c r="AO166" i="45"/>
  <c r="AR166" i="45" s="1"/>
  <c r="BC166" i="45"/>
  <c r="AX166" i="45"/>
  <c r="AL166" i="45"/>
  <c r="BB166" i="45" s="1"/>
  <c r="Z166" i="45"/>
  <c r="AH165" i="45"/>
  <c r="BF165" i="45" s="1"/>
  <c r="BJ165" i="45"/>
  <c r="AK165" i="45"/>
  <c r="AA165" i="45"/>
  <c r="AS166" i="45" l="1"/>
  <c r="BA166" i="45"/>
  <c r="AZ166" i="45"/>
  <c r="AY166" i="45"/>
  <c r="BU165" i="45"/>
  <c r="BG165" i="45"/>
  <c r="X195" i="45"/>
  <c r="V195" i="45"/>
  <c r="AK195" i="45"/>
  <c r="BS165" i="45"/>
  <c r="BS194" i="45"/>
  <c r="BT194" i="45"/>
  <c r="BV194" i="45"/>
  <c r="BN194" i="45"/>
  <c r="BU194" i="45"/>
  <c r="BM194" i="45"/>
  <c r="BX194" i="45"/>
  <c r="BG194" i="45"/>
  <c r="BW166" i="45"/>
  <c r="AO165" i="45"/>
  <c r="AR165" i="45" s="1"/>
  <c r="BX165" i="45"/>
  <c r="BN165" i="45"/>
  <c r="BT165" i="45"/>
  <c r="BV165" i="45"/>
  <c r="BM165" i="45"/>
  <c r="BC165" i="45"/>
  <c r="AL165" i="45"/>
  <c r="BB165" i="45" s="1"/>
  <c r="AX165" i="45"/>
  <c r="Z165" i="45"/>
  <c r="AH164" i="45"/>
  <c r="BF164" i="45" s="1"/>
  <c r="BJ164" i="45"/>
  <c r="AK164" i="45"/>
  <c r="AA195" i="45"/>
  <c r="AA164" i="45"/>
  <c r="BG164" i="45" l="1"/>
  <c r="BS164" i="45"/>
  <c r="BU164" i="45"/>
  <c r="BA165" i="45"/>
  <c r="BW165" i="45"/>
  <c r="AY165" i="45"/>
  <c r="AZ165" i="45"/>
  <c r="AO195" i="45"/>
  <c r="AZ195" i="45" s="1"/>
  <c r="AS165" i="45"/>
  <c r="BW194" i="45"/>
  <c r="BC195" i="45"/>
  <c r="AL195" i="45"/>
  <c r="BB195" i="45" s="1"/>
  <c r="AX195" i="45"/>
  <c r="W195" i="45"/>
  <c r="Z195" i="45"/>
  <c r="AO164" i="45"/>
  <c r="AR164" i="45" s="1"/>
  <c r="BN164" i="45"/>
  <c r="BT164" i="45"/>
  <c r="BX164" i="45"/>
  <c r="BV164" i="45"/>
  <c r="BM164" i="45"/>
  <c r="AL164" i="45"/>
  <c r="BB164" i="45" s="1"/>
  <c r="AX164" i="45"/>
  <c r="BC164" i="45"/>
  <c r="Z164" i="45"/>
  <c r="AH163" i="45"/>
  <c r="BF163" i="45" s="1"/>
  <c r="BJ163" i="45"/>
  <c r="AK163" i="45"/>
  <c r="AA163" i="45"/>
  <c r="Y195" i="45"/>
  <c r="BW164" i="45" l="1"/>
  <c r="BS163" i="45"/>
  <c r="BG163" i="45"/>
  <c r="BU163" i="45"/>
  <c r="BA164" i="45"/>
  <c r="AY195" i="45"/>
  <c r="AZ164" i="45"/>
  <c r="AY164" i="45"/>
  <c r="AS164" i="45"/>
  <c r="AI195" i="45"/>
  <c r="U196" i="45" s="1"/>
  <c r="BJ195" i="45"/>
  <c r="BA195" i="45"/>
  <c r="AR195" i="45"/>
  <c r="AS195" i="45"/>
  <c r="AH195" i="45"/>
  <c r="BF195" i="45" s="1"/>
  <c r="AO163" i="45"/>
  <c r="AR163" i="45" s="1"/>
  <c r="BX163" i="45"/>
  <c r="BV163" i="45"/>
  <c r="BN163" i="45"/>
  <c r="BT163" i="45"/>
  <c r="BM163" i="45"/>
  <c r="AL163" i="45"/>
  <c r="BB163" i="45" s="1"/>
  <c r="AX163" i="45"/>
  <c r="BC163" i="45"/>
  <c r="Z163" i="45"/>
  <c r="AH162" i="45"/>
  <c r="BF162" i="45" s="1"/>
  <c r="BJ162" i="45"/>
  <c r="AK162" i="45"/>
  <c r="AA162" i="45"/>
  <c r="BW163" i="45" l="1"/>
  <c r="AY163" i="45"/>
  <c r="AZ163" i="45"/>
  <c r="BA163" i="45"/>
  <c r="BS162" i="45"/>
  <c r="BU162" i="45"/>
  <c r="BT162" i="45"/>
  <c r="BX162" i="45"/>
  <c r="BG162" i="45"/>
  <c r="BN162" i="45"/>
  <c r="BV162" i="45"/>
  <c r="BM162" i="45"/>
  <c r="X196" i="45"/>
  <c r="V196" i="45"/>
  <c r="AK196" i="45"/>
  <c r="AS163" i="45"/>
  <c r="BU195" i="45"/>
  <c r="BS195" i="45"/>
  <c r="BX195" i="45"/>
  <c r="BG195" i="45"/>
  <c r="BT195" i="45"/>
  <c r="BV195" i="45"/>
  <c r="BM195" i="45"/>
  <c r="BN195" i="45"/>
  <c r="AO162" i="45"/>
  <c r="AZ162" i="45" s="1"/>
  <c r="AX162" i="45"/>
  <c r="BC162" i="45"/>
  <c r="AL162" i="45"/>
  <c r="BB162" i="45" s="1"/>
  <c r="Z162" i="45"/>
  <c r="AH161" i="45"/>
  <c r="BF161" i="45" s="1"/>
  <c r="BS161" i="45" s="1"/>
  <c r="BJ161" i="45"/>
  <c r="AK161" i="45"/>
  <c r="AA196" i="45"/>
  <c r="AA161" i="45"/>
  <c r="AY162" i="45" l="1"/>
  <c r="AS162" i="45"/>
  <c r="BU161" i="45"/>
  <c r="BW161" i="45" s="1"/>
  <c r="BG161" i="45"/>
  <c r="AR162" i="45"/>
  <c r="AO196" i="45"/>
  <c r="AR196" i="45" s="1"/>
  <c r="W196" i="45"/>
  <c r="Z196" i="45"/>
  <c r="BA162" i="45"/>
  <c r="BW195" i="45"/>
  <c r="BW162" i="45"/>
  <c r="AL196" i="45"/>
  <c r="BB196" i="45" s="1"/>
  <c r="BC196" i="45"/>
  <c r="AX196" i="45"/>
  <c r="AO161" i="45"/>
  <c r="AR161" i="45" s="1"/>
  <c r="BN161" i="45"/>
  <c r="BV161" i="45"/>
  <c r="BX161" i="45"/>
  <c r="BM161" i="45"/>
  <c r="BT161" i="45"/>
  <c r="AL161" i="45"/>
  <c r="BB161" i="45" s="1"/>
  <c r="AX161" i="45"/>
  <c r="BC161" i="45"/>
  <c r="Z161" i="45"/>
  <c r="AH160" i="45"/>
  <c r="BF160" i="45" s="1"/>
  <c r="BJ160" i="45"/>
  <c r="AK160" i="45"/>
  <c r="Y196" i="45"/>
  <c r="AA160" i="45"/>
  <c r="AS161" i="45" l="1"/>
  <c r="AY161" i="45"/>
  <c r="AS196" i="45"/>
  <c r="AY196" i="45"/>
  <c r="AZ196" i="45"/>
  <c r="BA196" i="45"/>
  <c r="BA161" i="45"/>
  <c r="BX160" i="45"/>
  <c r="BS160" i="45"/>
  <c r="BG160" i="45"/>
  <c r="BU160" i="45"/>
  <c r="BW160" i="45" s="1"/>
  <c r="BN160" i="45"/>
  <c r="BV160" i="45"/>
  <c r="AZ161" i="45"/>
  <c r="AI196" i="45"/>
  <c r="U197" i="45" s="1"/>
  <c r="BJ196" i="45"/>
  <c r="BT160" i="45"/>
  <c r="BM160" i="45"/>
  <c r="AH196" i="45"/>
  <c r="BF196" i="45" s="1"/>
  <c r="AO160" i="45"/>
  <c r="AZ160" i="45" s="1"/>
  <c r="AL160" i="45"/>
  <c r="BB160" i="45" s="1"/>
  <c r="BC160" i="45"/>
  <c r="AX160" i="45"/>
  <c r="Z160" i="45"/>
  <c r="AH159" i="45"/>
  <c r="BF159" i="45" s="1"/>
  <c r="BJ159" i="45"/>
  <c r="AK159" i="45"/>
  <c r="AA159" i="45"/>
  <c r="BS159" i="45" l="1"/>
  <c r="BG159" i="45"/>
  <c r="BU159" i="45"/>
  <c r="AS160" i="45"/>
  <c r="BA160" i="45"/>
  <c r="X197" i="45"/>
  <c r="V197" i="45"/>
  <c r="AK197" i="45"/>
  <c r="AY160" i="45"/>
  <c r="AR160" i="45"/>
  <c r="BS196" i="45"/>
  <c r="BM196" i="45"/>
  <c r="BX196" i="45"/>
  <c r="BN196" i="45"/>
  <c r="BT196" i="45"/>
  <c r="BV196" i="45"/>
  <c r="BU196" i="45"/>
  <c r="BG196" i="45"/>
  <c r="AO159" i="45"/>
  <c r="AY159" i="45" s="1"/>
  <c r="BX159" i="45"/>
  <c r="BT159" i="45"/>
  <c r="BN159" i="45"/>
  <c r="BM159" i="45"/>
  <c r="BV159" i="45"/>
  <c r="AX159" i="45"/>
  <c r="AL159" i="45"/>
  <c r="BB159" i="45" s="1"/>
  <c r="BC159" i="45"/>
  <c r="Z159" i="45"/>
  <c r="AH158" i="45"/>
  <c r="BF158" i="45" s="1"/>
  <c r="BJ158" i="45"/>
  <c r="AK158" i="45"/>
  <c r="AA158" i="45"/>
  <c r="AA197" i="45"/>
  <c r="AS159" i="45" l="1"/>
  <c r="AZ159" i="45"/>
  <c r="AR159" i="45"/>
  <c r="BW159" i="45"/>
  <c r="BG158" i="45"/>
  <c r="BU158" i="45"/>
  <c r="BX158" i="45"/>
  <c r="BS158" i="45"/>
  <c r="BN158" i="45"/>
  <c r="BT158" i="45"/>
  <c r="BA159" i="45"/>
  <c r="BV158" i="45"/>
  <c r="AO197" i="45"/>
  <c r="BA197" i="45" s="1"/>
  <c r="BM158" i="45"/>
  <c r="BW196" i="45"/>
  <c r="BC197" i="45"/>
  <c r="AX197" i="45"/>
  <c r="AL197" i="45"/>
  <c r="BB197" i="45" s="1"/>
  <c r="W197" i="45"/>
  <c r="Z197" i="45"/>
  <c r="AO158" i="45"/>
  <c r="AS158" i="45" s="1"/>
  <c r="BC158" i="45"/>
  <c r="AX158" i="45"/>
  <c r="AL158" i="45"/>
  <c r="BB158" i="45" s="1"/>
  <c r="Z158" i="45"/>
  <c r="AH157" i="45"/>
  <c r="BF157" i="45" s="1"/>
  <c r="BG157" i="45" s="1"/>
  <c r="BJ157" i="45"/>
  <c r="AK157" i="45"/>
  <c r="AA157" i="45"/>
  <c r="Y197" i="45"/>
  <c r="BW158" i="45" l="1"/>
  <c r="AS197" i="45"/>
  <c r="AZ158" i="45"/>
  <c r="BA158" i="45"/>
  <c r="BU157" i="45"/>
  <c r="AZ197" i="45"/>
  <c r="AY197" i="45"/>
  <c r="AR158" i="45"/>
  <c r="AI197" i="45"/>
  <c r="U198" i="45" s="1"/>
  <c r="BJ197" i="45"/>
  <c r="AY158" i="45"/>
  <c r="AR197" i="45"/>
  <c r="BS157" i="45"/>
  <c r="AH197" i="45"/>
  <c r="BF197" i="45" s="1"/>
  <c r="AO157" i="45"/>
  <c r="AR157" i="45" s="1"/>
  <c r="BX157" i="45"/>
  <c r="BM157" i="45"/>
  <c r="BT157" i="45"/>
  <c r="BV157" i="45"/>
  <c r="BN157" i="45"/>
  <c r="BC157" i="45"/>
  <c r="AX157" i="45"/>
  <c r="AL157" i="45"/>
  <c r="BB157" i="45" s="1"/>
  <c r="Z157" i="45"/>
  <c r="AH156" i="45"/>
  <c r="BF156" i="45" s="1"/>
  <c r="BJ156" i="45"/>
  <c r="AK156" i="45"/>
  <c r="AA156" i="45"/>
  <c r="BW157" i="45" l="1"/>
  <c r="AY157" i="45"/>
  <c r="AZ157" i="45"/>
  <c r="AS157" i="45"/>
  <c r="BA157" i="45"/>
  <c r="BG156" i="45"/>
  <c r="BU156" i="45"/>
  <c r="BS156" i="45"/>
  <c r="BU197" i="45"/>
  <c r="BG197" i="45"/>
  <c r="BS197" i="45"/>
  <c r="BM197" i="45"/>
  <c r="BT197" i="45"/>
  <c r="BN197" i="45"/>
  <c r="BX197" i="45"/>
  <c r="BV197" i="45"/>
  <c r="X198" i="45"/>
  <c r="V198" i="45"/>
  <c r="AK198" i="45"/>
  <c r="AO156" i="45"/>
  <c r="AY156" i="45" s="1"/>
  <c r="BX156" i="45"/>
  <c r="BV156" i="45"/>
  <c r="BN156" i="45"/>
  <c r="BM156" i="45"/>
  <c r="BT156" i="45"/>
  <c r="BC156" i="45"/>
  <c r="AL156" i="45"/>
  <c r="BB156" i="45"/>
  <c r="AX156" i="45"/>
  <c r="Z156" i="45"/>
  <c r="AH155" i="45"/>
  <c r="BF155" i="45" s="1"/>
  <c r="BJ155" i="45"/>
  <c r="AK155" i="45"/>
  <c r="AA198" i="45"/>
  <c r="AA155" i="45"/>
  <c r="BW156" i="45" l="1"/>
  <c r="BU155" i="45"/>
  <c r="BG155" i="45"/>
  <c r="BS155" i="45"/>
  <c r="AS156" i="45"/>
  <c r="BA156" i="45"/>
  <c r="AO198" i="45"/>
  <c r="AR198" i="45" s="1"/>
  <c r="AR156" i="45"/>
  <c r="AL198" i="45"/>
  <c r="BB198" i="45" s="1"/>
  <c r="AX198" i="45"/>
  <c r="BC198" i="45"/>
  <c r="AZ156" i="45"/>
  <c r="W198" i="45"/>
  <c r="Z198" i="45"/>
  <c r="BW197" i="45"/>
  <c r="AO155" i="45"/>
  <c r="AY155" i="45" s="1"/>
  <c r="BX155" i="45"/>
  <c r="BT155" i="45"/>
  <c r="BM155" i="45"/>
  <c r="BN155" i="45"/>
  <c r="BV155" i="45"/>
  <c r="BC155" i="45"/>
  <c r="AX155" i="45"/>
  <c r="AL155" i="45"/>
  <c r="BB155" i="45" s="1"/>
  <c r="Z155" i="45"/>
  <c r="AH154" i="45"/>
  <c r="BF154" i="45" s="1"/>
  <c r="BJ154" i="45"/>
  <c r="AK154" i="45"/>
  <c r="AA154" i="45"/>
  <c r="Y198" i="45"/>
  <c r="AS198" i="45" l="1"/>
  <c r="BA198" i="45"/>
  <c r="BW155" i="45"/>
  <c r="AY198" i="45"/>
  <c r="AR155" i="45"/>
  <c r="AI198" i="45"/>
  <c r="U199" i="45" s="1"/>
  <c r="BJ198" i="45"/>
  <c r="BU154" i="45"/>
  <c r="BS154" i="45"/>
  <c r="BV154" i="45"/>
  <c r="BX154" i="45"/>
  <c r="BT154" i="45"/>
  <c r="BM154" i="45"/>
  <c r="BG154" i="45"/>
  <c r="BN154" i="45"/>
  <c r="AZ155" i="45"/>
  <c r="AZ198" i="45"/>
  <c r="BA155" i="45"/>
  <c r="AS155" i="45"/>
  <c r="AH198" i="45"/>
  <c r="BF198" i="45" s="1"/>
  <c r="AO154" i="45"/>
  <c r="AZ154" i="45" s="1"/>
  <c r="BC154" i="45"/>
  <c r="AL154" i="45"/>
  <c r="BB154" i="45" s="1"/>
  <c r="AX154" i="45"/>
  <c r="Z154" i="45"/>
  <c r="AH153" i="45"/>
  <c r="BF153" i="45" s="1"/>
  <c r="BJ153" i="45"/>
  <c r="AK153" i="45"/>
  <c r="AA153" i="45"/>
  <c r="AR154" i="45" l="1"/>
  <c r="BG153" i="45"/>
  <c r="BU153" i="45"/>
  <c r="BS153" i="45"/>
  <c r="BN198" i="45"/>
  <c r="BM198" i="45"/>
  <c r="BX198" i="45"/>
  <c r="BG198" i="45"/>
  <c r="BS198" i="45"/>
  <c r="BU198" i="45"/>
  <c r="BT198" i="45"/>
  <c r="BV198" i="45"/>
  <c r="AS154" i="45"/>
  <c r="AY154" i="45"/>
  <c r="BA154" i="45"/>
  <c r="BW154" i="45"/>
  <c r="X199" i="45"/>
  <c r="V199" i="45"/>
  <c r="AK199" i="45"/>
  <c r="AO153" i="45"/>
  <c r="AS153" i="45" s="1"/>
  <c r="BM153" i="45"/>
  <c r="BX153" i="45"/>
  <c r="BN153" i="45"/>
  <c r="BV153" i="45"/>
  <c r="BT153" i="45"/>
  <c r="AX153" i="45"/>
  <c r="AL153" i="45"/>
  <c r="BB153" i="45" s="1"/>
  <c r="BC153" i="45"/>
  <c r="Z153" i="45"/>
  <c r="AH152" i="45"/>
  <c r="BF152" i="45" s="1"/>
  <c r="BG152" i="45" s="1"/>
  <c r="BJ152" i="45"/>
  <c r="AK152" i="45"/>
  <c r="AA152" i="45"/>
  <c r="AA199" i="45"/>
  <c r="AY153" i="45" l="1"/>
  <c r="AZ153" i="45"/>
  <c r="AO199" i="45"/>
  <c r="AR199" i="45" s="1"/>
  <c r="BW198" i="45"/>
  <c r="BX152" i="45"/>
  <c r="BT152" i="45"/>
  <c r="AR153" i="45"/>
  <c r="AL199" i="45"/>
  <c r="BB199" i="45" s="1"/>
  <c r="BC199" i="45"/>
  <c r="AX199" i="45"/>
  <c r="BA153" i="45"/>
  <c r="W199" i="45"/>
  <c r="Z199" i="45"/>
  <c r="BS152" i="45"/>
  <c r="BU152" i="45"/>
  <c r="BV152" i="45"/>
  <c r="BN152" i="45"/>
  <c r="BM152" i="45"/>
  <c r="BW153" i="45"/>
  <c r="AO152" i="45"/>
  <c r="AY152" i="45" s="1"/>
  <c r="BC152" i="45"/>
  <c r="AX152" i="45"/>
  <c r="AL152" i="45"/>
  <c r="BB152" i="45" s="1"/>
  <c r="Z152" i="45"/>
  <c r="AH151" i="45"/>
  <c r="BF151" i="45" s="1"/>
  <c r="BJ151" i="45"/>
  <c r="AK151" i="45"/>
  <c r="AA151" i="45"/>
  <c r="Y199" i="45"/>
  <c r="AZ152" i="45" l="1"/>
  <c r="BW152" i="45"/>
  <c r="BA152" i="45"/>
  <c r="AY199" i="45"/>
  <c r="BS151" i="45"/>
  <c r="BG151" i="45"/>
  <c r="BU151" i="45"/>
  <c r="BW151" i="45" s="1"/>
  <c r="AS199" i="45"/>
  <c r="AS152" i="45"/>
  <c r="AZ199" i="45"/>
  <c r="AR152" i="45"/>
  <c r="AI199" i="45"/>
  <c r="U200" i="45" s="1"/>
  <c r="BJ199" i="45"/>
  <c r="AH199" i="45"/>
  <c r="BF199" i="45" s="1"/>
  <c r="BA199" i="45"/>
  <c r="AO151" i="45"/>
  <c r="AR151" i="45" s="1"/>
  <c r="BN151" i="45"/>
  <c r="BX151" i="45"/>
  <c r="BM151" i="45"/>
  <c r="BV151" i="45"/>
  <c r="BT151" i="45"/>
  <c r="AL151" i="45"/>
  <c r="BB151" i="45" s="1"/>
  <c r="AX151" i="45"/>
  <c r="BC151" i="45"/>
  <c r="Z151" i="45"/>
  <c r="AH150" i="45"/>
  <c r="BF150" i="45" s="1"/>
  <c r="BJ150" i="45"/>
  <c r="AK150" i="45"/>
  <c r="AA150" i="45"/>
  <c r="AS151" i="45" l="1"/>
  <c r="BX150" i="45"/>
  <c r="BU150" i="45"/>
  <c r="BS150" i="45"/>
  <c r="BA151" i="45"/>
  <c r="X200" i="45"/>
  <c r="V200" i="45"/>
  <c r="AK200" i="45"/>
  <c r="BM150" i="45"/>
  <c r="BG150" i="45"/>
  <c r="BT150" i="45"/>
  <c r="BV150" i="45"/>
  <c r="BN150" i="45"/>
  <c r="AZ151" i="45"/>
  <c r="AY151" i="45"/>
  <c r="BT199" i="45"/>
  <c r="BM199" i="45"/>
  <c r="BU199" i="45"/>
  <c r="BS199" i="45"/>
  <c r="BX199" i="45"/>
  <c r="BV199" i="45"/>
  <c r="BN199" i="45"/>
  <c r="BG199" i="45"/>
  <c r="AO150" i="45"/>
  <c r="AZ150" i="45" s="1"/>
  <c r="AX150" i="45"/>
  <c r="AL150" i="45"/>
  <c r="BB150" i="45" s="1"/>
  <c r="BC150" i="45"/>
  <c r="Z150" i="45"/>
  <c r="AH149" i="45"/>
  <c r="BF149" i="45" s="1"/>
  <c r="BG149" i="45" s="1"/>
  <c r="BJ149" i="45"/>
  <c r="AK149" i="45"/>
  <c r="AA149" i="45"/>
  <c r="AA200" i="45"/>
  <c r="AS150" i="45" l="1"/>
  <c r="AY150" i="45"/>
  <c r="AR150" i="45"/>
  <c r="BT149" i="45"/>
  <c r="BA150" i="45"/>
  <c r="BX149" i="45"/>
  <c r="BU149" i="45"/>
  <c r="BW150" i="45"/>
  <c r="AO200" i="45"/>
  <c r="AY200" i="45" s="1"/>
  <c r="BM149" i="45"/>
  <c r="BN149" i="45"/>
  <c r="BS149" i="45"/>
  <c r="BV149" i="45"/>
  <c r="AX200" i="45"/>
  <c r="BC200" i="45"/>
  <c r="AL200" i="45"/>
  <c r="BB200" i="45" s="1"/>
  <c r="BW199" i="45"/>
  <c r="W200" i="45"/>
  <c r="Z200" i="45"/>
  <c r="AO149" i="45"/>
  <c r="AZ149" i="45" s="1"/>
  <c r="BC149" i="45"/>
  <c r="AL149" i="45"/>
  <c r="BB149" i="45" s="1"/>
  <c r="AX149" i="45"/>
  <c r="Z149" i="45"/>
  <c r="AH148" i="45"/>
  <c r="BF148" i="45" s="1"/>
  <c r="BG148" i="45" s="1"/>
  <c r="BJ148" i="45"/>
  <c r="AK148" i="45"/>
  <c r="AA148" i="45"/>
  <c r="Y200" i="45"/>
  <c r="AZ200" i="45" l="1"/>
  <c r="AS200" i="45"/>
  <c r="BA200" i="45"/>
  <c r="BA149" i="45"/>
  <c r="AY149" i="45"/>
  <c r="AR149" i="45"/>
  <c r="AS149" i="45"/>
  <c r="AR200" i="45"/>
  <c r="BU148" i="45"/>
  <c r="BW149" i="45"/>
  <c r="BN148" i="45"/>
  <c r="BV148" i="45"/>
  <c r="AI200" i="45"/>
  <c r="U201" i="45" s="1"/>
  <c r="BJ200" i="45"/>
  <c r="BT148" i="45"/>
  <c r="AH200" i="45"/>
  <c r="BF200" i="45" s="1"/>
  <c r="BX148" i="45"/>
  <c r="BS148" i="45"/>
  <c r="BM148" i="45"/>
  <c r="AO148" i="45"/>
  <c r="AS148" i="45" s="1"/>
  <c r="AX148" i="45"/>
  <c r="AL148" i="45"/>
  <c r="BB148" i="45" s="1"/>
  <c r="BC148" i="45"/>
  <c r="Z148" i="45"/>
  <c r="AH147" i="45"/>
  <c r="BF147" i="45" s="1"/>
  <c r="BJ147" i="45"/>
  <c r="AK147" i="45"/>
  <c r="AA147" i="45"/>
  <c r="BW148" i="45" l="1"/>
  <c r="AY148" i="45"/>
  <c r="AZ148" i="45"/>
  <c r="BA148" i="45"/>
  <c r="AR148" i="45"/>
  <c r="BS147" i="45"/>
  <c r="BU147" i="45"/>
  <c r="BG147" i="45"/>
  <c r="BT200" i="45"/>
  <c r="BM200" i="45"/>
  <c r="BV200" i="45"/>
  <c r="BX200" i="45"/>
  <c r="BU200" i="45"/>
  <c r="BG200" i="45"/>
  <c r="BN200" i="45"/>
  <c r="BS200" i="45"/>
  <c r="X201" i="45"/>
  <c r="V201" i="45"/>
  <c r="AK201" i="45"/>
  <c r="AO147" i="45"/>
  <c r="AY147" i="45" s="1"/>
  <c r="BN147" i="45"/>
  <c r="BM147" i="45"/>
  <c r="BV147" i="45"/>
  <c r="BX147" i="45"/>
  <c r="BT147" i="45"/>
  <c r="AL147" i="45"/>
  <c r="BB147" i="45" s="1"/>
  <c r="AX147" i="45"/>
  <c r="BC147" i="45"/>
  <c r="Z147" i="45"/>
  <c r="AH146" i="45"/>
  <c r="BF146" i="45" s="1"/>
  <c r="BG146" i="45" s="1"/>
  <c r="BJ146" i="45"/>
  <c r="AK146" i="45"/>
  <c r="AA146" i="45"/>
  <c r="AA201" i="45"/>
  <c r="AS147" i="45" l="1"/>
  <c r="AZ147" i="45"/>
  <c r="AR147" i="45"/>
  <c r="BA147" i="45"/>
  <c r="BT146" i="45"/>
  <c r="BU146" i="45"/>
  <c r="AO201" i="45"/>
  <c r="AR201" i="45" s="1"/>
  <c r="BV146" i="45"/>
  <c r="BX146" i="45"/>
  <c r="BM146" i="45"/>
  <c r="BN146" i="45"/>
  <c r="BC201" i="45"/>
  <c r="AL201" i="45"/>
  <c r="BB201" i="45" s="1"/>
  <c r="AX201" i="45"/>
  <c r="W201" i="45"/>
  <c r="Z201" i="45"/>
  <c r="BS146" i="45"/>
  <c r="BW147" i="45"/>
  <c r="BW200" i="45"/>
  <c r="AO146" i="45"/>
  <c r="AY146" i="45" s="1"/>
  <c r="AX146" i="45"/>
  <c r="BC146" i="45"/>
  <c r="AL146" i="45"/>
  <c r="BB146" i="45" s="1"/>
  <c r="Z146" i="45"/>
  <c r="AH145" i="45"/>
  <c r="BF145" i="45" s="1"/>
  <c r="BJ145" i="45"/>
  <c r="AK145" i="45"/>
  <c r="Y201" i="45"/>
  <c r="AA145" i="45"/>
  <c r="BA146" i="45" l="1"/>
  <c r="BA201" i="45"/>
  <c r="AS201" i="45"/>
  <c r="AZ201" i="45"/>
  <c r="AR146" i="45"/>
  <c r="BW146" i="45"/>
  <c r="AI201" i="45"/>
  <c r="U202" i="45" s="1"/>
  <c r="BJ201" i="45"/>
  <c r="BX145" i="45"/>
  <c r="BN145" i="45"/>
  <c r="BU145" i="45"/>
  <c r="BM145" i="45"/>
  <c r="BV145" i="45"/>
  <c r="BG145" i="45"/>
  <c r="BT145" i="45"/>
  <c r="BS145" i="45"/>
  <c r="AZ146" i="45"/>
  <c r="AS146" i="45"/>
  <c r="AY201" i="45"/>
  <c r="AH201" i="45"/>
  <c r="BF201" i="45" s="1"/>
  <c r="AO145" i="45"/>
  <c r="BA145" i="45" s="1"/>
  <c r="AL145" i="45"/>
  <c r="BB145" i="45" s="1"/>
  <c r="BC145" i="45"/>
  <c r="AX145" i="45"/>
  <c r="Z145" i="45"/>
  <c r="AH144" i="45"/>
  <c r="BF144" i="45" s="1"/>
  <c r="BJ144" i="45"/>
  <c r="AK144" i="45"/>
  <c r="AA144" i="45"/>
  <c r="BS144" i="45" l="1"/>
  <c r="BG144" i="45"/>
  <c r="BU144" i="45"/>
  <c r="X202" i="45"/>
  <c r="V202" i="45"/>
  <c r="AK202" i="45"/>
  <c r="AY145" i="45"/>
  <c r="BW145" i="45"/>
  <c r="BS201" i="45"/>
  <c r="BM201" i="45"/>
  <c r="BG201" i="45"/>
  <c r="BT201" i="45"/>
  <c r="BN201" i="45"/>
  <c r="BV201" i="45"/>
  <c r="BX201" i="45"/>
  <c r="BU201" i="45"/>
  <c r="AZ145" i="45"/>
  <c r="AR145" i="45"/>
  <c r="AS145" i="45"/>
  <c r="AO144" i="45"/>
  <c r="AR144" i="45" s="1"/>
  <c r="BT144" i="45"/>
  <c r="BM144" i="45"/>
  <c r="BV144" i="45"/>
  <c r="BN144" i="45"/>
  <c r="BX144" i="45"/>
  <c r="AX144" i="45"/>
  <c r="AL144" i="45"/>
  <c r="BB144" i="45" s="1"/>
  <c r="BC144" i="45"/>
  <c r="Z144" i="45"/>
  <c r="AH143" i="45"/>
  <c r="BF143" i="45" s="1"/>
  <c r="BS143" i="45" s="1"/>
  <c r="BJ143" i="45"/>
  <c r="AK143" i="45"/>
  <c r="AA202" i="45"/>
  <c r="AA143" i="45"/>
  <c r="BU143" i="45" l="1"/>
  <c r="BG143" i="45"/>
  <c r="AY144" i="45"/>
  <c r="AS144" i="45"/>
  <c r="AO202" i="45"/>
  <c r="AS202" i="45" s="1"/>
  <c r="AL202" i="45"/>
  <c r="BB202" i="45" s="1"/>
  <c r="BC202" i="45"/>
  <c r="AX202" i="45"/>
  <c r="W202" i="45"/>
  <c r="Z202" i="45"/>
  <c r="BW144" i="45"/>
  <c r="BA144" i="45"/>
  <c r="BW201" i="45"/>
  <c r="AZ144" i="45"/>
  <c r="AO143" i="45"/>
  <c r="AS143" i="45" s="1"/>
  <c r="BT143" i="45"/>
  <c r="BN143" i="45"/>
  <c r="BX143" i="45"/>
  <c r="BM143" i="45"/>
  <c r="BV143" i="45"/>
  <c r="AX143" i="45"/>
  <c r="BC143" i="45"/>
  <c r="AL143" i="45"/>
  <c r="BB143" i="45" s="1"/>
  <c r="Z143" i="45"/>
  <c r="AH142" i="45"/>
  <c r="BF142" i="45" s="1"/>
  <c r="BG142" i="45" s="1"/>
  <c r="BJ142" i="45"/>
  <c r="AK142" i="45"/>
  <c r="Y202" i="45"/>
  <c r="AA142" i="45"/>
  <c r="BW143" i="45" l="1"/>
  <c r="AY202" i="45"/>
  <c r="AY143" i="45"/>
  <c r="AZ143" i="45"/>
  <c r="BT142" i="45"/>
  <c r="BA143" i="45"/>
  <c r="AR143" i="45"/>
  <c r="BX142" i="45"/>
  <c r="BN142" i="45"/>
  <c r="AI202" i="45"/>
  <c r="U203" i="45" s="1"/>
  <c r="BJ202" i="45"/>
  <c r="BM142" i="45"/>
  <c r="BV142" i="45"/>
  <c r="AZ202" i="45"/>
  <c r="BA202" i="45"/>
  <c r="BS142" i="45"/>
  <c r="BU142" i="45"/>
  <c r="BW142" i="45" s="1"/>
  <c r="AR202" i="45"/>
  <c r="AH202" i="45"/>
  <c r="BF202" i="45" s="1"/>
  <c r="AO142" i="45"/>
  <c r="AR142" i="45" s="1"/>
  <c r="AL142" i="45"/>
  <c r="BB142" i="45" s="1"/>
  <c r="AX142" i="45"/>
  <c r="BC142" i="45"/>
  <c r="Z142" i="45"/>
  <c r="AH141" i="45"/>
  <c r="BF141" i="45" s="1"/>
  <c r="BJ141" i="45"/>
  <c r="AK141" i="45"/>
  <c r="AA141" i="45"/>
  <c r="AZ142" i="45" l="1"/>
  <c r="AS142" i="45"/>
  <c r="AY142" i="45"/>
  <c r="BG141" i="45"/>
  <c r="BT141" i="45"/>
  <c r="BV141" i="45"/>
  <c r="BM141" i="45"/>
  <c r="BU141" i="45"/>
  <c r="BS141" i="45"/>
  <c r="BN141" i="45"/>
  <c r="BX141" i="45"/>
  <c r="X203" i="45"/>
  <c r="V203" i="45"/>
  <c r="AK203" i="45"/>
  <c r="BA142" i="45"/>
  <c r="BG202" i="45"/>
  <c r="BT202" i="45"/>
  <c r="BN202" i="45"/>
  <c r="BU202" i="45"/>
  <c r="BS202" i="45"/>
  <c r="BX202" i="45"/>
  <c r="BM202" i="45"/>
  <c r="BV202" i="45"/>
  <c r="AO141" i="45"/>
  <c r="AY141" i="45" s="1"/>
  <c r="AX141" i="45"/>
  <c r="AL141" i="45"/>
  <c r="BB141" i="45" s="1"/>
  <c r="BC141" i="45"/>
  <c r="Z141" i="45"/>
  <c r="AH140" i="45"/>
  <c r="BF140" i="45" s="1"/>
  <c r="BJ140" i="45"/>
  <c r="AK140" i="45"/>
  <c r="AA140" i="45"/>
  <c r="AA203" i="45"/>
  <c r="AZ141" i="45" l="1"/>
  <c r="AS141" i="45"/>
  <c r="BA141" i="45"/>
  <c r="AR141" i="45"/>
  <c r="AO203" i="45"/>
  <c r="AY203" i="45" s="1"/>
  <c r="BG140" i="45"/>
  <c r="BS140" i="45"/>
  <c r="BU140" i="45"/>
  <c r="BW202" i="45"/>
  <c r="AX203" i="45"/>
  <c r="AL203" i="45"/>
  <c r="BB203" i="45" s="1"/>
  <c r="BC203" i="45"/>
  <c r="W203" i="45"/>
  <c r="Z203" i="45"/>
  <c r="BW141" i="45"/>
  <c r="AO140" i="45"/>
  <c r="AR140" i="45" s="1"/>
  <c r="BX140" i="45"/>
  <c r="BV140" i="45"/>
  <c r="BN140" i="45"/>
  <c r="BM140" i="45"/>
  <c r="BT140" i="45"/>
  <c r="BC140" i="45"/>
  <c r="AL140" i="45"/>
  <c r="BB140" i="45" s="1"/>
  <c r="AX140" i="45"/>
  <c r="Z140" i="45"/>
  <c r="AH139" i="45"/>
  <c r="BF139" i="45" s="1"/>
  <c r="BJ139" i="45"/>
  <c r="AK139" i="45"/>
  <c r="Y203" i="45"/>
  <c r="AA139" i="45"/>
  <c r="BA203" i="45" l="1"/>
  <c r="AZ140" i="45"/>
  <c r="AZ203" i="45"/>
  <c r="BA140" i="45"/>
  <c r="AS203" i="45"/>
  <c r="AY140" i="45"/>
  <c r="AR203" i="45"/>
  <c r="AS140" i="45"/>
  <c r="BG139" i="45"/>
  <c r="BS139" i="45"/>
  <c r="BU139" i="45"/>
  <c r="BW139" i="45" s="1"/>
  <c r="AI203" i="45"/>
  <c r="U204" i="45" s="1"/>
  <c r="BJ203" i="45"/>
  <c r="BW140" i="45"/>
  <c r="AH203" i="45"/>
  <c r="BF203" i="45" s="1"/>
  <c r="AO139" i="45"/>
  <c r="AY139" i="45" s="1"/>
  <c r="BX139" i="45"/>
  <c r="BV139" i="45"/>
  <c r="BN139" i="45"/>
  <c r="BM139" i="45"/>
  <c r="BT139" i="45"/>
  <c r="AX139" i="45"/>
  <c r="BC139" i="45"/>
  <c r="AL139" i="45"/>
  <c r="BB139" i="45" s="1"/>
  <c r="Z139" i="45"/>
  <c r="AH138" i="45"/>
  <c r="BF138" i="45" s="1"/>
  <c r="BJ138" i="45"/>
  <c r="AK138" i="45"/>
  <c r="AA138" i="45"/>
  <c r="AR139" i="45" l="1"/>
  <c r="AZ139" i="45"/>
  <c r="AS139" i="45"/>
  <c r="BA139" i="45"/>
  <c r="BG138" i="45"/>
  <c r="BU138" i="45"/>
  <c r="BS138" i="45"/>
  <c r="BU203" i="45"/>
  <c r="BS203" i="45"/>
  <c r="BG203" i="45"/>
  <c r="BT203" i="45"/>
  <c r="BX203" i="45"/>
  <c r="BV203" i="45"/>
  <c r="BN203" i="45"/>
  <c r="BM203" i="45"/>
  <c r="X204" i="45"/>
  <c r="V204" i="45"/>
  <c r="AK204" i="45"/>
  <c r="AO138" i="45"/>
  <c r="BA138" i="45" s="1"/>
  <c r="BT138" i="45"/>
  <c r="BM138" i="45"/>
  <c r="BX138" i="45"/>
  <c r="BV138" i="45"/>
  <c r="BN138" i="45"/>
  <c r="AX138" i="45"/>
  <c r="AL138" i="45"/>
  <c r="BB138" i="45" s="1"/>
  <c r="BC138" i="45"/>
  <c r="Z138" i="45"/>
  <c r="AH137" i="45"/>
  <c r="BF137" i="45" s="1"/>
  <c r="BJ137" i="45"/>
  <c r="AK137" i="45"/>
  <c r="AA137" i="45"/>
  <c r="AA204" i="45"/>
  <c r="AZ138" i="45" l="1"/>
  <c r="BW138" i="45"/>
  <c r="BS137" i="45"/>
  <c r="BG137" i="45"/>
  <c r="BU137" i="45"/>
  <c r="BW137" i="45" s="1"/>
  <c r="AR138" i="45"/>
  <c r="AS138" i="45"/>
  <c r="AY138" i="45"/>
  <c r="AO204" i="45"/>
  <c r="AS204" i="45" s="1"/>
  <c r="BC204" i="45"/>
  <c r="AL204" i="45"/>
  <c r="BB204" i="45" s="1"/>
  <c r="AX204" i="45"/>
  <c r="BW203" i="45"/>
  <c r="W204" i="45"/>
  <c r="Z204" i="45"/>
  <c r="AO137" i="45"/>
  <c r="AZ137" i="45" s="1"/>
  <c r="BN137" i="45"/>
  <c r="BX137" i="45"/>
  <c r="BV137" i="45"/>
  <c r="BM137" i="45"/>
  <c r="BT137" i="45"/>
  <c r="AL137" i="45"/>
  <c r="BB137" i="45" s="1"/>
  <c r="BC137" i="45"/>
  <c r="AX137" i="45"/>
  <c r="Z137" i="45"/>
  <c r="AH136" i="45"/>
  <c r="BF136" i="45" s="1"/>
  <c r="BJ136" i="45"/>
  <c r="AK136" i="45"/>
  <c r="Y204" i="45"/>
  <c r="AA136" i="45"/>
  <c r="AS137" i="45" l="1"/>
  <c r="AR137" i="45"/>
  <c r="BG136" i="45"/>
  <c r="BU136" i="45"/>
  <c r="BS136" i="45"/>
  <c r="AI204" i="45"/>
  <c r="U205" i="45" s="1"/>
  <c r="BJ204" i="45"/>
  <c r="AY204" i="45"/>
  <c r="AR204" i="45"/>
  <c r="AZ204" i="45"/>
  <c r="BA204" i="45"/>
  <c r="BA137" i="45"/>
  <c r="AY137" i="45"/>
  <c r="AH204" i="45"/>
  <c r="BF204" i="45" s="1"/>
  <c r="AO136" i="45"/>
  <c r="AR136" i="45" s="1"/>
  <c r="BV136" i="45"/>
  <c r="BX136" i="45"/>
  <c r="BN136" i="45"/>
  <c r="BT136" i="45"/>
  <c r="BM136" i="45"/>
  <c r="AL136" i="45"/>
  <c r="BB136" i="45" s="1"/>
  <c r="AX136" i="45"/>
  <c r="BC136" i="45"/>
  <c r="Z136" i="45"/>
  <c r="AH135" i="45"/>
  <c r="BF135" i="45" s="1"/>
  <c r="BJ135" i="45"/>
  <c r="AK135" i="45"/>
  <c r="AA135" i="45"/>
  <c r="AY136" i="45" l="1"/>
  <c r="BG135" i="45"/>
  <c r="BU135" i="45"/>
  <c r="BS135" i="45"/>
  <c r="AS136" i="45"/>
  <c r="BW136" i="45"/>
  <c r="BA136" i="45"/>
  <c r="BM204" i="45"/>
  <c r="BG204" i="45"/>
  <c r="BV204" i="45"/>
  <c r="BN204" i="45"/>
  <c r="BU204" i="45"/>
  <c r="BT204" i="45"/>
  <c r="BS204" i="45"/>
  <c r="BX204" i="45"/>
  <c r="X205" i="45"/>
  <c r="V205" i="45"/>
  <c r="AK205" i="45"/>
  <c r="AZ136" i="45"/>
  <c r="AO135" i="45"/>
  <c r="AZ135" i="45" s="1"/>
  <c r="BT135" i="45"/>
  <c r="BX135" i="45"/>
  <c r="BN135" i="45"/>
  <c r="BM135" i="45"/>
  <c r="BV135" i="45"/>
  <c r="AL135" i="45"/>
  <c r="BB135" i="45" s="1"/>
  <c r="BC135" i="45"/>
  <c r="AX135" i="45"/>
  <c r="Z135" i="45"/>
  <c r="AH134" i="45"/>
  <c r="BF134" i="45" s="1"/>
  <c r="BJ134" i="45"/>
  <c r="AK134" i="45"/>
  <c r="AA205" i="45"/>
  <c r="AA134" i="45"/>
  <c r="AY135" i="45" l="1"/>
  <c r="AS135" i="45"/>
  <c r="BV134" i="45"/>
  <c r="BA135" i="45"/>
  <c r="AR135" i="45"/>
  <c r="BW135" i="45"/>
  <c r="AO205" i="45"/>
  <c r="AR205" i="45" s="1"/>
  <c r="BT134" i="45"/>
  <c r="BG134" i="45"/>
  <c r="BX134" i="45"/>
  <c r="BN134" i="45"/>
  <c r="BM134" i="45"/>
  <c r="BC205" i="45"/>
  <c r="AL205" i="45"/>
  <c r="BB205" i="45" s="1"/>
  <c r="AX205" i="45"/>
  <c r="BS134" i="45"/>
  <c r="W205" i="45"/>
  <c r="Z205" i="45"/>
  <c r="BW204" i="45"/>
  <c r="BU134" i="45"/>
  <c r="AO134" i="45"/>
  <c r="AY134" i="45" s="1"/>
  <c r="AX134" i="45"/>
  <c r="AL134" i="45"/>
  <c r="BB134" i="45" s="1"/>
  <c r="BC134" i="45"/>
  <c r="Z134" i="45"/>
  <c r="AH133" i="45"/>
  <c r="BF133" i="45" s="1"/>
  <c r="BJ133" i="45"/>
  <c r="AK133" i="45"/>
  <c r="Y205" i="45"/>
  <c r="AA133" i="45"/>
  <c r="BA205" i="45" l="1"/>
  <c r="BA134" i="45"/>
  <c r="AZ205" i="45"/>
  <c r="AR134" i="45"/>
  <c r="AS205" i="45"/>
  <c r="AY205" i="45"/>
  <c r="AZ134" i="45"/>
  <c r="AI205" i="45"/>
  <c r="U206" i="45" s="1"/>
  <c r="BJ205" i="45"/>
  <c r="BU133" i="45"/>
  <c r="BS133" i="45"/>
  <c r="BG133" i="45"/>
  <c r="AS134" i="45"/>
  <c r="AH205" i="45"/>
  <c r="BF205" i="45" s="1"/>
  <c r="BW134" i="45"/>
  <c r="AO133" i="45"/>
  <c r="AR133" i="45" s="1"/>
  <c r="BX133" i="45"/>
  <c r="BN133" i="45"/>
  <c r="BT133" i="45"/>
  <c r="BV133" i="45"/>
  <c r="BM133" i="45"/>
  <c r="Z133" i="45"/>
  <c r="BC133" i="45"/>
  <c r="AX133" i="45"/>
  <c r="AL133" i="45"/>
  <c r="BB133" i="45" s="1"/>
  <c r="AH132" i="45"/>
  <c r="BF132" i="45" s="1"/>
  <c r="BJ132" i="45"/>
  <c r="AK132" i="45"/>
  <c r="AA132" i="45"/>
  <c r="AY133" i="45" l="1"/>
  <c r="BA133" i="45"/>
  <c r="AZ133" i="45"/>
  <c r="AS133" i="45"/>
  <c r="BG132" i="45"/>
  <c r="BU132" i="45"/>
  <c r="BS132" i="45"/>
  <c r="X206" i="45"/>
  <c r="V206" i="45"/>
  <c r="AK206" i="45"/>
  <c r="BU205" i="45"/>
  <c r="BS205" i="45"/>
  <c r="BG205" i="45"/>
  <c r="BX205" i="45"/>
  <c r="BM205" i="45"/>
  <c r="BN205" i="45"/>
  <c r="BT205" i="45"/>
  <c r="BV205" i="45"/>
  <c r="BW133" i="45"/>
  <c r="AO132" i="45"/>
  <c r="AZ132" i="45" s="1"/>
  <c r="BN132" i="45"/>
  <c r="BV132" i="45"/>
  <c r="BT132" i="45"/>
  <c r="BX132" i="45"/>
  <c r="BM132" i="45"/>
  <c r="AL132" i="45"/>
  <c r="BB132" i="45" s="1"/>
  <c r="AX132" i="45"/>
  <c r="BC132" i="45"/>
  <c r="Z132" i="45"/>
  <c r="AH131" i="45"/>
  <c r="BF131" i="45" s="1"/>
  <c r="BJ131" i="45"/>
  <c r="AK131" i="45"/>
  <c r="AA206" i="45"/>
  <c r="AA131" i="45"/>
  <c r="AS132" i="45" l="1"/>
  <c r="BG131" i="45"/>
  <c r="BS131" i="45"/>
  <c r="AR132" i="45"/>
  <c r="BA132" i="45"/>
  <c r="BU131" i="45"/>
  <c r="BW131" i="45" s="1"/>
  <c r="AY132" i="45"/>
  <c r="AO206" i="45"/>
  <c r="AY206" i="45" s="1"/>
  <c r="BW132" i="45"/>
  <c r="AX206" i="45"/>
  <c r="AL206" i="45"/>
  <c r="BB206" i="45" s="1"/>
  <c r="BC206" i="45"/>
  <c r="W206" i="45"/>
  <c r="Z206" i="45"/>
  <c r="BW205" i="45"/>
  <c r="AO131" i="45"/>
  <c r="AS131" i="45" s="1"/>
  <c r="BV131" i="45"/>
  <c r="BM131" i="45"/>
  <c r="BT131" i="45"/>
  <c r="BN131" i="45"/>
  <c r="BX131" i="45"/>
  <c r="BC131" i="45"/>
  <c r="AL131" i="45"/>
  <c r="BB131" i="45" s="1"/>
  <c r="AX131" i="45"/>
  <c r="Z131" i="45"/>
  <c r="AH130" i="45"/>
  <c r="BF130" i="45" s="1"/>
  <c r="BJ130" i="45"/>
  <c r="AK130" i="45"/>
  <c r="Y206" i="45"/>
  <c r="AA130" i="45"/>
  <c r="AS206" i="45" l="1"/>
  <c r="BS130" i="45"/>
  <c r="BG130" i="45"/>
  <c r="BU130" i="45"/>
  <c r="BW130" i="45" s="1"/>
  <c r="AZ131" i="45"/>
  <c r="BA131" i="45"/>
  <c r="AR131" i="45"/>
  <c r="AY131" i="45"/>
  <c r="AI206" i="45"/>
  <c r="U207" i="45" s="1"/>
  <c r="BJ206" i="45"/>
  <c r="BA206" i="45"/>
  <c r="AZ206" i="45"/>
  <c r="AR206" i="45"/>
  <c r="AH206" i="45"/>
  <c r="BF206" i="45" s="1"/>
  <c r="AO130" i="45"/>
  <c r="AZ130" i="45" s="1"/>
  <c r="BN130" i="45"/>
  <c r="BT130" i="45"/>
  <c r="BM130" i="45"/>
  <c r="BX130" i="45"/>
  <c r="BV130" i="45"/>
  <c r="AX130" i="45"/>
  <c r="BC130" i="45"/>
  <c r="AL130" i="45"/>
  <c r="BB130" i="45" s="1"/>
  <c r="Z130" i="45"/>
  <c r="AH129" i="45"/>
  <c r="BF129" i="45" s="1"/>
  <c r="BJ129" i="45"/>
  <c r="AK129" i="45"/>
  <c r="AA129" i="45"/>
  <c r="AR130" i="45" l="1"/>
  <c r="BG129" i="45"/>
  <c r="BU129" i="45"/>
  <c r="BS129" i="45"/>
  <c r="BV129" i="45"/>
  <c r="BN129" i="45"/>
  <c r="AS130" i="45"/>
  <c r="BM129" i="45"/>
  <c r="BA130" i="45"/>
  <c r="AY130" i="45"/>
  <c r="BT129" i="45"/>
  <c r="BX129" i="45"/>
  <c r="BU206" i="45"/>
  <c r="BS206" i="45"/>
  <c r="BV206" i="45"/>
  <c r="BN206" i="45"/>
  <c r="BT206" i="45"/>
  <c r="BM206" i="45"/>
  <c r="BG206" i="45"/>
  <c r="BX206" i="45"/>
  <c r="X207" i="45"/>
  <c r="V207" i="45"/>
  <c r="AK207" i="45"/>
  <c r="AO129" i="45"/>
  <c r="AY129" i="45" s="1"/>
  <c r="AX129" i="45"/>
  <c r="AL129" i="45"/>
  <c r="BB129" i="45" s="1"/>
  <c r="BC129" i="45"/>
  <c r="Z129" i="45"/>
  <c r="AH128" i="45"/>
  <c r="BF128" i="45" s="1"/>
  <c r="BJ128" i="45"/>
  <c r="AK128" i="45"/>
  <c r="AA128" i="45"/>
  <c r="AA207" i="45"/>
  <c r="BW129" i="45" l="1"/>
  <c r="BA129" i="45"/>
  <c r="AS129" i="45"/>
  <c r="AZ129" i="45"/>
  <c r="AR129" i="45"/>
  <c r="AO207" i="45"/>
  <c r="AR207" i="45" s="1"/>
  <c r="BG128" i="45"/>
  <c r="BU128" i="45"/>
  <c r="BS128" i="45"/>
  <c r="BW206" i="45"/>
  <c r="AX207" i="45"/>
  <c r="BC207" i="45"/>
  <c r="AL207" i="45"/>
  <c r="BB207" i="45" s="1"/>
  <c r="W207" i="45"/>
  <c r="Z207" i="45"/>
  <c r="AO128" i="45"/>
  <c r="AZ128" i="45" s="1"/>
  <c r="BM128" i="45"/>
  <c r="BX128" i="45"/>
  <c r="BT128" i="45"/>
  <c r="BV128" i="45"/>
  <c r="BN128" i="45"/>
  <c r="AL128" i="45"/>
  <c r="BB128" i="45" s="1"/>
  <c r="AX128" i="45"/>
  <c r="BC128" i="45"/>
  <c r="Z128" i="45"/>
  <c r="AH127" i="45"/>
  <c r="BF127" i="45" s="1"/>
  <c r="BG127" i="45" s="1"/>
  <c r="BJ127" i="45"/>
  <c r="AK127" i="45"/>
  <c r="Y207" i="45"/>
  <c r="AA127" i="45"/>
  <c r="BA207" i="45" l="1"/>
  <c r="AY207" i="45"/>
  <c r="AS128" i="45"/>
  <c r="BA128" i="45"/>
  <c r="BS127" i="45"/>
  <c r="AR128" i="45"/>
  <c r="AZ207" i="45"/>
  <c r="AY128" i="45"/>
  <c r="BU127" i="45"/>
  <c r="BW127" i="45" s="1"/>
  <c r="AI207" i="45"/>
  <c r="U208" i="45" s="1"/>
  <c r="BJ207" i="45"/>
  <c r="AS207" i="45"/>
  <c r="AH207" i="45"/>
  <c r="BF207" i="45" s="1"/>
  <c r="BW128" i="45"/>
  <c r="AO127" i="45"/>
  <c r="AS127" i="45" s="1"/>
  <c r="BT127" i="45"/>
  <c r="BN127" i="45"/>
  <c r="BM127" i="45"/>
  <c r="BV127" i="45"/>
  <c r="BX127" i="45"/>
  <c r="BC127" i="45"/>
  <c r="AX127" i="45"/>
  <c r="AL127" i="45"/>
  <c r="BB127" i="45" s="1"/>
  <c r="Z127" i="45"/>
  <c r="AH126" i="45"/>
  <c r="BF126" i="45" s="1"/>
  <c r="BJ126" i="45"/>
  <c r="AK126" i="45"/>
  <c r="AA126" i="45"/>
  <c r="BU126" i="45" l="1"/>
  <c r="BV126" i="45"/>
  <c r="BG126" i="45"/>
  <c r="BX126" i="45"/>
  <c r="BS126" i="45"/>
  <c r="BT126" i="45"/>
  <c r="AR127" i="45"/>
  <c r="BN126" i="45"/>
  <c r="BA127" i="45"/>
  <c r="X208" i="45"/>
  <c r="V208" i="45"/>
  <c r="AK208" i="45"/>
  <c r="BM126" i="45"/>
  <c r="AY127" i="45"/>
  <c r="AZ127" i="45"/>
  <c r="BM207" i="45"/>
  <c r="BT207" i="45"/>
  <c r="BX207" i="45"/>
  <c r="BG207" i="45"/>
  <c r="BV207" i="45"/>
  <c r="BN207" i="45"/>
  <c r="BU207" i="45"/>
  <c r="BS207" i="45"/>
  <c r="AO126" i="45"/>
  <c r="AS126" i="45" s="1"/>
  <c r="AX126" i="45"/>
  <c r="BC126" i="45"/>
  <c r="AL126" i="45"/>
  <c r="BB126" i="45"/>
  <c r="Z126" i="45"/>
  <c r="AH125" i="45"/>
  <c r="BF125" i="45" s="1"/>
  <c r="BJ125" i="45"/>
  <c r="AK125" i="45"/>
  <c r="AA208" i="45"/>
  <c r="AA125" i="45"/>
  <c r="BW126" i="45" l="1"/>
  <c r="AZ126" i="45"/>
  <c r="BM125" i="45"/>
  <c r="BS125" i="45"/>
  <c r="BT125" i="45"/>
  <c r="BV125" i="45"/>
  <c r="BA126" i="45"/>
  <c r="BX125" i="45"/>
  <c r="BG125" i="45"/>
  <c r="AO208" i="45"/>
  <c r="AS208" i="45" s="1"/>
  <c r="BU125" i="45"/>
  <c r="BW125" i="45" s="1"/>
  <c r="AX208" i="45"/>
  <c r="AL208" i="45"/>
  <c r="BB208" i="45" s="1"/>
  <c r="BC208" i="45"/>
  <c r="BN125" i="45"/>
  <c r="AY126" i="45"/>
  <c r="AR126" i="45"/>
  <c r="BW207" i="45"/>
  <c r="W208" i="45"/>
  <c r="Z208" i="45"/>
  <c r="AO125" i="45"/>
  <c r="AY125" i="45" s="1"/>
  <c r="AL125" i="45"/>
  <c r="BB125" i="45" s="1"/>
  <c r="BC125" i="45"/>
  <c r="AX125" i="45"/>
  <c r="Z125" i="45"/>
  <c r="AH124" i="45"/>
  <c r="BF124" i="45" s="1"/>
  <c r="BG124" i="45" s="1"/>
  <c r="BJ124" i="45"/>
  <c r="AK124" i="45"/>
  <c r="AA124" i="45"/>
  <c r="Y208" i="45"/>
  <c r="AY208" i="45" l="1"/>
  <c r="BA208" i="45"/>
  <c r="AZ125" i="45"/>
  <c r="AR125" i="45"/>
  <c r="BA125" i="45"/>
  <c r="AS125" i="45"/>
  <c r="AZ208" i="45"/>
  <c r="BU124" i="45"/>
  <c r="BW124" i="45" s="1"/>
  <c r="AR208" i="45"/>
  <c r="AI208" i="45"/>
  <c r="U209" i="45" s="1"/>
  <c r="BJ208" i="45"/>
  <c r="BS124" i="45"/>
  <c r="AH208" i="45"/>
  <c r="BF208" i="45" s="1"/>
  <c r="AO124" i="45"/>
  <c r="BA124" i="45" s="1"/>
  <c r="BT124" i="45"/>
  <c r="BV124" i="45"/>
  <c r="BX124" i="45"/>
  <c r="BN124" i="45"/>
  <c r="BM124" i="45"/>
  <c r="AL124" i="45"/>
  <c r="BB124" i="45" s="1"/>
  <c r="BC124" i="45"/>
  <c r="AX124" i="45"/>
  <c r="Z124" i="45"/>
  <c r="AH123" i="45"/>
  <c r="BF123" i="45" s="1"/>
  <c r="BJ123" i="45"/>
  <c r="AK123" i="45"/>
  <c r="AA123" i="45"/>
  <c r="AY124" i="45" l="1"/>
  <c r="AZ124" i="45"/>
  <c r="AS124" i="45"/>
  <c r="BS123" i="45"/>
  <c r="BG123" i="45"/>
  <c r="BU123" i="45"/>
  <c r="X209" i="45"/>
  <c r="V209" i="45"/>
  <c r="AK209" i="45"/>
  <c r="AR124" i="45"/>
  <c r="BG208" i="45"/>
  <c r="BU208" i="45"/>
  <c r="BS208" i="45"/>
  <c r="BV208" i="45"/>
  <c r="BM208" i="45"/>
  <c r="BX208" i="45"/>
  <c r="BT208" i="45"/>
  <c r="BN208" i="45"/>
  <c r="AO123" i="45"/>
  <c r="AR123" i="45" s="1"/>
  <c r="BV123" i="45"/>
  <c r="BN123" i="45"/>
  <c r="BT123" i="45"/>
  <c r="BM123" i="45"/>
  <c r="BX123" i="45"/>
  <c r="AL123" i="45"/>
  <c r="BB123" i="45" s="1"/>
  <c r="AX123" i="45"/>
  <c r="BC123" i="45"/>
  <c r="Z123" i="45"/>
  <c r="AH122" i="45"/>
  <c r="BF122" i="45" s="1"/>
  <c r="BJ122" i="45"/>
  <c r="AK122" i="45"/>
  <c r="AA209" i="45"/>
  <c r="AA122" i="45"/>
  <c r="AZ123" i="45" l="1"/>
  <c r="AS123" i="45"/>
  <c r="AY123" i="45"/>
  <c r="BS122" i="45"/>
  <c r="BU122" i="45"/>
  <c r="BW122" i="45" s="1"/>
  <c r="BG122" i="45"/>
  <c r="BA123" i="45"/>
  <c r="BW123" i="45"/>
  <c r="AO209" i="45"/>
  <c r="AZ209" i="45" s="1"/>
  <c r="BW208" i="45"/>
  <c r="AX209" i="45"/>
  <c r="AL209" i="45"/>
  <c r="BB209" i="45" s="1"/>
  <c r="BC209" i="45"/>
  <c r="W209" i="45"/>
  <c r="Z209" i="45"/>
  <c r="AO122" i="45"/>
  <c r="AY122" i="45" s="1"/>
  <c r="BM122" i="45"/>
  <c r="BX122" i="45"/>
  <c r="BV122" i="45"/>
  <c r="BT122" i="45"/>
  <c r="BN122" i="45"/>
  <c r="AL122" i="45"/>
  <c r="BB122" i="45" s="1"/>
  <c r="BC122" i="45"/>
  <c r="AX122" i="45"/>
  <c r="Z122" i="45"/>
  <c r="AH121" i="45"/>
  <c r="BF121" i="45" s="1"/>
  <c r="BG121" i="45" s="1"/>
  <c r="BJ121" i="45"/>
  <c r="AK121" i="45"/>
  <c r="Y209" i="45"/>
  <c r="AA121" i="45"/>
  <c r="AR122" i="45" l="1"/>
  <c r="AZ122" i="45"/>
  <c r="BA122" i="45"/>
  <c r="AY209" i="45"/>
  <c r="BS121" i="45"/>
  <c r="BA209" i="45"/>
  <c r="BU121" i="45"/>
  <c r="BW121" i="45" s="1"/>
  <c r="AS209" i="45"/>
  <c r="AR209" i="45"/>
  <c r="AI209" i="45"/>
  <c r="U210" i="45" s="1"/>
  <c r="BJ209" i="45"/>
  <c r="AS122" i="45"/>
  <c r="AH209" i="45"/>
  <c r="BF209" i="45" s="1"/>
  <c r="AO121" i="45"/>
  <c r="AS121" i="45" s="1"/>
  <c r="BN121" i="45"/>
  <c r="BT121" i="45"/>
  <c r="BV121" i="45"/>
  <c r="BX121" i="45"/>
  <c r="BM121" i="45"/>
  <c r="AX121" i="45"/>
  <c r="AL121" i="45"/>
  <c r="BB121" i="45" s="1"/>
  <c r="BC121" i="45"/>
  <c r="Z121" i="45"/>
  <c r="AH120" i="45"/>
  <c r="BF120" i="45" s="1"/>
  <c r="BJ120" i="45"/>
  <c r="AK120" i="45"/>
  <c r="AA120" i="45"/>
  <c r="AY121" i="45" l="1"/>
  <c r="AZ121" i="45"/>
  <c r="AR121" i="45"/>
  <c r="BA121" i="45"/>
  <c r="BS120" i="45"/>
  <c r="BG120" i="45"/>
  <c r="BU120" i="45"/>
  <c r="BU209" i="45"/>
  <c r="BG209" i="45"/>
  <c r="BS209" i="45"/>
  <c r="BM209" i="45"/>
  <c r="BX209" i="45"/>
  <c r="BT209" i="45"/>
  <c r="BV209" i="45"/>
  <c r="BN209" i="45"/>
  <c r="X210" i="45"/>
  <c r="V210" i="45"/>
  <c r="AK210" i="45"/>
  <c r="AO120" i="45"/>
  <c r="AS120" i="45" s="1"/>
  <c r="BX120" i="45"/>
  <c r="BV120" i="45"/>
  <c r="BT120" i="45"/>
  <c r="BN120" i="45"/>
  <c r="BM120" i="45"/>
  <c r="AL120" i="45"/>
  <c r="BB120" i="45" s="1"/>
  <c r="AX120" i="45"/>
  <c r="BC120" i="45"/>
  <c r="Z120" i="45"/>
  <c r="AH119" i="45"/>
  <c r="BF119" i="45" s="1"/>
  <c r="BJ119" i="45"/>
  <c r="AK119" i="45"/>
  <c r="AA119" i="45"/>
  <c r="AA210" i="45"/>
  <c r="BW120" i="45" l="1"/>
  <c r="AZ120" i="45"/>
  <c r="AO210" i="45"/>
  <c r="AY210" i="45" s="1"/>
  <c r="BG119" i="45"/>
  <c r="BU119" i="45"/>
  <c r="BS119" i="45"/>
  <c r="BA120" i="45"/>
  <c r="AR120" i="45"/>
  <c r="BC210" i="45"/>
  <c r="AL210" i="45"/>
  <c r="BB210" i="45" s="1"/>
  <c r="AX210" i="45"/>
  <c r="AY120" i="45"/>
  <c r="W210" i="45"/>
  <c r="Z210" i="45"/>
  <c r="BW209" i="45"/>
  <c r="AO119" i="45"/>
  <c r="BA119" i="45" s="1"/>
  <c r="BT119" i="45"/>
  <c r="BN119" i="45"/>
  <c r="BM119" i="45"/>
  <c r="BV119" i="45"/>
  <c r="BX119" i="45"/>
  <c r="Z119" i="45"/>
  <c r="AX119" i="45"/>
  <c r="BC119" i="45"/>
  <c r="AL119" i="45"/>
  <c r="BB119" i="45" s="1"/>
  <c r="AH118" i="45"/>
  <c r="BF118" i="45" s="1"/>
  <c r="BJ118" i="45"/>
  <c r="AK118" i="45"/>
  <c r="Y210" i="45"/>
  <c r="AA118" i="45"/>
  <c r="BA210" i="45" l="1"/>
  <c r="AR119" i="45"/>
  <c r="AR210" i="45"/>
  <c r="AY119" i="45"/>
  <c r="AS210" i="45"/>
  <c r="AZ119" i="45"/>
  <c r="AZ210" i="45"/>
  <c r="AS119" i="45"/>
  <c r="AI210" i="45"/>
  <c r="U211" i="45" s="1"/>
  <c r="BJ210" i="45"/>
  <c r="BW119" i="45"/>
  <c r="AH210" i="45"/>
  <c r="BF210" i="45" s="1"/>
  <c r="AO118" i="45"/>
  <c r="AZ118" i="45" s="1"/>
  <c r="BT118" i="45"/>
  <c r="BM118" i="45"/>
  <c r="BX118" i="45"/>
  <c r="BG118" i="45"/>
  <c r="BN118" i="45"/>
  <c r="BU118" i="45"/>
  <c r="BS118" i="45"/>
  <c r="BV118" i="45"/>
  <c r="AL118" i="45"/>
  <c r="BB118" i="45" s="1"/>
  <c r="AX118" i="45"/>
  <c r="BC118" i="45"/>
  <c r="Z118" i="45"/>
  <c r="AH117" i="45"/>
  <c r="BF117" i="45" s="1"/>
  <c r="BJ117" i="45"/>
  <c r="AK117" i="45"/>
  <c r="AA117" i="45"/>
  <c r="AS118" i="45" l="1"/>
  <c r="AY118" i="45"/>
  <c r="BW118" i="45"/>
  <c r="AR118" i="45"/>
  <c r="BA118" i="45"/>
  <c r="X211" i="45"/>
  <c r="V211" i="45"/>
  <c r="AK211" i="45"/>
  <c r="BG210" i="45"/>
  <c r="BX210" i="45"/>
  <c r="BV210" i="45"/>
  <c r="BU210" i="45"/>
  <c r="BS210" i="45"/>
  <c r="BM210" i="45"/>
  <c r="BT210" i="45"/>
  <c r="BN210" i="45"/>
  <c r="AO117" i="45"/>
  <c r="AZ117" i="45" s="1"/>
  <c r="BM117" i="45"/>
  <c r="BU117" i="45"/>
  <c r="BG117" i="45"/>
  <c r="BS117" i="45"/>
  <c r="BV117" i="45"/>
  <c r="BN117" i="45"/>
  <c r="BX117" i="45"/>
  <c r="BT117" i="45"/>
  <c r="AX117" i="45"/>
  <c r="AL117" i="45"/>
  <c r="BB117" i="45" s="1"/>
  <c r="BC117" i="45"/>
  <c r="Z117" i="45"/>
  <c r="AH116" i="45"/>
  <c r="BF116" i="45" s="1"/>
  <c r="BJ116" i="45"/>
  <c r="AK116" i="45"/>
  <c r="AA211" i="45"/>
  <c r="AA116" i="45"/>
  <c r="AR117" i="45" l="1"/>
  <c r="AS117" i="45"/>
  <c r="BA117" i="45"/>
  <c r="AY117" i="45"/>
  <c r="BU116" i="45"/>
  <c r="BS116" i="45"/>
  <c r="BG116" i="45"/>
  <c r="BW117" i="45"/>
  <c r="AO211" i="45"/>
  <c r="AY211" i="45" s="1"/>
  <c r="BW210" i="45"/>
  <c r="BC211" i="45"/>
  <c r="AL211" i="45"/>
  <c r="BB211" i="45" s="1"/>
  <c r="AX211" i="45"/>
  <c r="W211" i="45"/>
  <c r="Z211" i="45"/>
  <c r="AO116" i="45"/>
  <c r="AZ116" i="45" s="1"/>
  <c r="BN116" i="45"/>
  <c r="BM116" i="45"/>
  <c r="BT116" i="45"/>
  <c r="BV116" i="45"/>
  <c r="BX116" i="45"/>
  <c r="Z116" i="45"/>
  <c r="BC116" i="45"/>
  <c r="AL116" i="45"/>
  <c r="BB116" i="45" s="1"/>
  <c r="AX116" i="45"/>
  <c r="AH115" i="45"/>
  <c r="BF115" i="45" s="1"/>
  <c r="BJ115" i="45"/>
  <c r="AK115" i="45"/>
  <c r="Y211" i="45"/>
  <c r="AA115" i="45"/>
  <c r="BW116" i="45" l="1"/>
  <c r="BA211" i="45"/>
  <c r="AS116" i="45"/>
  <c r="BA116" i="45"/>
  <c r="AR116" i="45"/>
  <c r="AZ211" i="45"/>
  <c r="AY116" i="45"/>
  <c r="AI211" i="45"/>
  <c r="U212" i="45" s="1"/>
  <c r="BJ211" i="45"/>
  <c r="AR211" i="45"/>
  <c r="AS211" i="45"/>
  <c r="AH211" i="45"/>
  <c r="BF211" i="45" s="1"/>
  <c r="AO115" i="45"/>
  <c r="AY115" i="45" s="1"/>
  <c r="BM115" i="45"/>
  <c r="BU115" i="45"/>
  <c r="BW115" i="45" s="1"/>
  <c r="BG115" i="45"/>
  <c r="BS115" i="45"/>
  <c r="BT115" i="45"/>
  <c r="BV115" i="45"/>
  <c r="BX115" i="45"/>
  <c r="BN115" i="45"/>
  <c r="AX115" i="45"/>
  <c r="BC115" i="45"/>
  <c r="AL115" i="45"/>
  <c r="BB115" i="45" s="1"/>
  <c r="Z115" i="45"/>
  <c r="AH114" i="45"/>
  <c r="BF114" i="45" s="1"/>
  <c r="BJ114" i="45"/>
  <c r="AK114" i="45"/>
  <c r="AA114" i="45"/>
  <c r="BA115" i="45" l="1"/>
  <c r="AS115" i="45"/>
  <c r="BU114" i="45"/>
  <c r="BS114" i="45"/>
  <c r="BG114" i="45"/>
  <c r="AR115" i="45"/>
  <c r="BG211" i="45"/>
  <c r="BU211" i="45"/>
  <c r="BS211" i="45"/>
  <c r="BT211" i="45"/>
  <c r="BX211" i="45"/>
  <c r="BM211" i="45"/>
  <c r="BV211" i="45"/>
  <c r="BN211" i="45"/>
  <c r="AZ115" i="45"/>
  <c r="X212" i="45"/>
  <c r="V212" i="45"/>
  <c r="AK212" i="45"/>
  <c r="AO114" i="45"/>
  <c r="AZ114" i="45" s="1"/>
  <c r="BX114" i="45"/>
  <c r="BN114" i="45"/>
  <c r="BM114" i="45"/>
  <c r="BT114" i="45"/>
  <c r="BV114" i="45"/>
  <c r="AX114" i="45"/>
  <c r="BC114" i="45"/>
  <c r="AL114" i="45"/>
  <c r="BB114" i="45" s="1"/>
  <c r="Z114" i="45"/>
  <c r="AH113" i="45"/>
  <c r="BF113" i="45" s="1"/>
  <c r="BJ113" i="45"/>
  <c r="AK113" i="45"/>
  <c r="AA113" i="45"/>
  <c r="AA212" i="45"/>
  <c r="BA114" i="45" l="1"/>
  <c r="AY114" i="45"/>
  <c r="AS114" i="45"/>
  <c r="AR114" i="45"/>
  <c r="BW114" i="45"/>
  <c r="AO212" i="45"/>
  <c r="BA212" i="45" s="1"/>
  <c r="BC212" i="45"/>
  <c r="AX212" i="45"/>
  <c r="AL212" i="45"/>
  <c r="BB212" i="45" s="1"/>
  <c r="W212" i="45"/>
  <c r="Z212" i="45"/>
  <c r="BW211" i="45"/>
  <c r="AO113" i="45"/>
  <c r="AY113" i="45" s="1"/>
  <c r="BN113" i="45"/>
  <c r="BV113" i="45"/>
  <c r="BU113" i="45"/>
  <c r="BW113" i="45" s="1"/>
  <c r="BG113" i="45"/>
  <c r="BS113" i="45"/>
  <c r="BT113" i="45"/>
  <c r="BM113" i="45"/>
  <c r="BX113" i="45"/>
  <c r="BC113" i="45"/>
  <c r="AL113" i="45"/>
  <c r="BB113" i="45" s="1"/>
  <c r="AX113" i="45"/>
  <c r="Z113" i="45"/>
  <c r="AK112" i="45"/>
  <c r="AA112" i="45"/>
  <c r="Y212" i="45"/>
  <c r="BA113" i="45" l="1"/>
  <c r="AZ113" i="45"/>
  <c r="AZ212" i="45"/>
  <c r="AR212" i="45"/>
  <c r="AS212" i="45"/>
  <c r="AY212" i="45"/>
  <c r="AS113" i="45"/>
  <c r="AR113" i="45"/>
  <c r="AI212" i="45"/>
  <c r="U213" i="45" s="1"/>
  <c r="BJ212" i="45"/>
  <c r="AH212" i="45"/>
  <c r="BF212" i="45" s="1"/>
  <c r="AO112" i="45"/>
  <c r="AY112" i="45" s="1"/>
  <c r="AH112" i="45"/>
  <c r="BF112" i="45" s="1"/>
  <c r="BS112" i="45" s="1"/>
  <c r="BJ112" i="45"/>
  <c r="Z112" i="45"/>
  <c r="AL112" i="45"/>
  <c r="BB112" i="45" s="1"/>
  <c r="AX112" i="45"/>
  <c r="BC112" i="45"/>
  <c r="AH111" i="45"/>
  <c r="BF111" i="45" s="1"/>
  <c r="BJ111" i="45"/>
  <c r="AK111" i="45"/>
  <c r="AA111" i="45"/>
  <c r="AZ112" i="45" l="1"/>
  <c r="BA112" i="45"/>
  <c r="AR112" i="45"/>
  <c r="AS112" i="45"/>
  <c r="BU112" i="45"/>
  <c r="BN112" i="45"/>
  <c r="BG112" i="45"/>
  <c r="BG111" i="45"/>
  <c r="BU111" i="45"/>
  <c r="BS111" i="45"/>
  <c r="BX112" i="45"/>
  <c r="BM112" i="45"/>
  <c r="BT112" i="45"/>
  <c r="BV112" i="45"/>
  <c r="BT212" i="45"/>
  <c r="BM212" i="45"/>
  <c r="BX212" i="45"/>
  <c r="BG212" i="45"/>
  <c r="BN212" i="45"/>
  <c r="BV212" i="45"/>
  <c r="BU212" i="45"/>
  <c r="BS212" i="45"/>
  <c r="X213" i="45"/>
  <c r="V213" i="45"/>
  <c r="AK213" i="45"/>
  <c r="AO111" i="45"/>
  <c r="AY111" i="45" s="1"/>
  <c r="BM111" i="45"/>
  <c r="BT111" i="45"/>
  <c r="BX111" i="45"/>
  <c r="BV111" i="45"/>
  <c r="BN111" i="45"/>
  <c r="AL111" i="45"/>
  <c r="BB111" i="45" s="1"/>
  <c r="BC111" i="45"/>
  <c r="AX111" i="45"/>
  <c r="Z111" i="45"/>
  <c r="AH110" i="45"/>
  <c r="BF110" i="45" s="1"/>
  <c r="BJ110" i="45"/>
  <c r="AK110" i="45"/>
  <c r="AA110" i="45"/>
  <c r="AA213" i="45"/>
  <c r="AZ111" i="45" l="1"/>
  <c r="BA111" i="45"/>
  <c r="AR111" i="45"/>
  <c r="BG110" i="45"/>
  <c r="BS110" i="45"/>
  <c r="BU110" i="45"/>
  <c r="BW110" i="45" s="1"/>
  <c r="BM110" i="45"/>
  <c r="AS111" i="45"/>
  <c r="BW112" i="45"/>
  <c r="BT110" i="45"/>
  <c r="BX110" i="45"/>
  <c r="AO213" i="45"/>
  <c r="AY213" i="45" s="1"/>
  <c r="BN110" i="45"/>
  <c r="BW212" i="45"/>
  <c r="BV110" i="45"/>
  <c r="AX213" i="45"/>
  <c r="AL213" i="45"/>
  <c r="BB213" i="45" s="1"/>
  <c r="BC213" i="45"/>
  <c r="W213" i="45"/>
  <c r="Z213" i="45"/>
  <c r="BW111" i="45"/>
  <c r="AO110" i="45"/>
  <c r="AZ110" i="45" s="1"/>
  <c r="AX110" i="45"/>
  <c r="AL110" i="45"/>
  <c r="BB110" i="45" s="1"/>
  <c r="BC110" i="45"/>
  <c r="Z110" i="45"/>
  <c r="AH109" i="45"/>
  <c r="BF109" i="45" s="1"/>
  <c r="BJ109" i="45"/>
  <c r="AK109" i="45"/>
  <c r="AA109" i="45"/>
  <c r="Y213" i="45"/>
  <c r="AR213" i="45" l="1"/>
  <c r="BA213" i="45"/>
  <c r="AZ213" i="45"/>
  <c r="AS213" i="45"/>
  <c r="AY110" i="45"/>
  <c r="AS110" i="45"/>
  <c r="BT109" i="45"/>
  <c r="BG109" i="45"/>
  <c r="BX109" i="45"/>
  <c r="BV109" i="45"/>
  <c r="BU109" i="45"/>
  <c r="BA110" i="45"/>
  <c r="BN109" i="45"/>
  <c r="AI213" i="45"/>
  <c r="U214" i="45" s="1"/>
  <c r="BJ213" i="45"/>
  <c r="BM109" i="45"/>
  <c r="BS109" i="45"/>
  <c r="AH213" i="45"/>
  <c r="BF213" i="45" s="1"/>
  <c r="AR110" i="45"/>
  <c r="AO109" i="45"/>
  <c r="AZ109" i="45" s="1"/>
  <c r="AX109" i="45"/>
  <c r="AL109" i="45"/>
  <c r="BB109" i="45" s="1"/>
  <c r="BC109" i="45"/>
  <c r="Z109" i="45"/>
  <c r="AH108" i="45"/>
  <c r="BF108" i="45" s="1"/>
  <c r="BJ108" i="45"/>
  <c r="AK108" i="45"/>
  <c r="AA108" i="45"/>
  <c r="AS109" i="45" l="1"/>
  <c r="BS108" i="45"/>
  <c r="BG108" i="45"/>
  <c r="BU108" i="45"/>
  <c r="BA109" i="45"/>
  <c r="BW109" i="45"/>
  <c r="AY109" i="45"/>
  <c r="AR109" i="45"/>
  <c r="X214" i="45"/>
  <c r="V214" i="45"/>
  <c r="AK214" i="45"/>
  <c r="BG213" i="45"/>
  <c r="BX213" i="45"/>
  <c r="BN213" i="45"/>
  <c r="BU213" i="45"/>
  <c r="BM213" i="45"/>
  <c r="BS213" i="45"/>
  <c r="BT213" i="45"/>
  <c r="BV213" i="45"/>
  <c r="AO108" i="45"/>
  <c r="AZ108" i="45" s="1"/>
  <c r="BT108" i="45"/>
  <c r="BM108" i="45"/>
  <c r="BV108" i="45"/>
  <c r="BX108" i="45"/>
  <c r="BN108" i="45"/>
  <c r="AL108" i="45"/>
  <c r="BB108" i="45" s="1"/>
  <c r="BC108" i="45"/>
  <c r="AX108" i="45"/>
  <c r="Z108" i="45"/>
  <c r="AH107" i="45"/>
  <c r="BF107" i="45" s="1"/>
  <c r="BJ107" i="45"/>
  <c r="AK107" i="45"/>
  <c r="AA214" i="45"/>
  <c r="AA107" i="45"/>
  <c r="AR108" i="45" l="1"/>
  <c r="BA108" i="45"/>
  <c r="AY108" i="45"/>
  <c r="AS108" i="45"/>
  <c r="BG107" i="45"/>
  <c r="BS107" i="45"/>
  <c r="BX107" i="45"/>
  <c r="BN107" i="45"/>
  <c r="BU107" i="45"/>
  <c r="BW108" i="45"/>
  <c r="BT107" i="45"/>
  <c r="AO214" i="45"/>
  <c r="BA214" i="45" s="1"/>
  <c r="BM107" i="45"/>
  <c r="BW213" i="45"/>
  <c r="BV107" i="45"/>
  <c r="AX214" i="45"/>
  <c r="AL214" i="45"/>
  <c r="BB214" i="45" s="1"/>
  <c r="BC214" i="45"/>
  <c r="W214" i="45"/>
  <c r="Z214" i="45"/>
  <c r="AO107" i="45"/>
  <c r="AS107" i="45" s="1"/>
  <c r="AX107" i="45"/>
  <c r="BC107" i="45"/>
  <c r="AL107" i="45"/>
  <c r="BB107" i="45" s="1"/>
  <c r="Z107" i="45"/>
  <c r="AH106" i="45"/>
  <c r="BF106" i="45" s="1"/>
  <c r="BJ106" i="45"/>
  <c r="AK106" i="45"/>
  <c r="Y214" i="45"/>
  <c r="AA106" i="45"/>
  <c r="BW107" i="45" l="1"/>
  <c r="AZ107" i="45"/>
  <c r="AS214" i="45"/>
  <c r="AR214" i="45"/>
  <c r="BA107" i="45"/>
  <c r="AZ214" i="45"/>
  <c r="AY214" i="45"/>
  <c r="AY107" i="45"/>
  <c r="AR107" i="45"/>
  <c r="AI214" i="45"/>
  <c r="U215" i="45" s="1"/>
  <c r="BJ214" i="45"/>
  <c r="BU106" i="45"/>
  <c r="BG106" i="45"/>
  <c r="BS106" i="45"/>
  <c r="AH214" i="45"/>
  <c r="BF214" i="45" s="1"/>
  <c r="AO106" i="45"/>
  <c r="AR106" i="45" s="1"/>
  <c r="BN106" i="45"/>
  <c r="BT106" i="45"/>
  <c r="BV106" i="45"/>
  <c r="BX106" i="45"/>
  <c r="BM106" i="45"/>
  <c r="Z106" i="45"/>
  <c r="AL106" i="45"/>
  <c r="BB106" i="45" s="1"/>
  <c r="BC106" i="45"/>
  <c r="AX106" i="45"/>
  <c r="AH105" i="45"/>
  <c r="BF105" i="45" s="1"/>
  <c r="BJ105" i="45"/>
  <c r="AK105" i="45"/>
  <c r="AA105" i="45"/>
  <c r="BA106" i="45" l="1"/>
  <c r="AZ106" i="45"/>
  <c r="AS106" i="45"/>
  <c r="AY106" i="45"/>
  <c r="BS105" i="45"/>
  <c r="BU105" i="45"/>
  <c r="BG105" i="45"/>
  <c r="BT214" i="45"/>
  <c r="BN214" i="45"/>
  <c r="BV214" i="45"/>
  <c r="BU214" i="45"/>
  <c r="BM214" i="45"/>
  <c r="BG214" i="45"/>
  <c r="BX214" i="45"/>
  <c r="BS214" i="45"/>
  <c r="BW106" i="45"/>
  <c r="X215" i="45"/>
  <c r="V215" i="45"/>
  <c r="AK215" i="45"/>
  <c r="AO105" i="45"/>
  <c r="AS105" i="45" s="1"/>
  <c r="BX105" i="45"/>
  <c r="BV105" i="45"/>
  <c r="BN105" i="45"/>
  <c r="BT105" i="45"/>
  <c r="BM105" i="45"/>
  <c r="BC105" i="45"/>
  <c r="AL105" i="45"/>
  <c r="BB105" i="45" s="1"/>
  <c r="AX105" i="45"/>
  <c r="Z105" i="45"/>
  <c r="AK104" i="45"/>
  <c r="AA104" i="45"/>
  <c r="AA215" i="45"/>
  <c r="AZ105" i="45" l="1"/>
  <c r="BW105" i="45"/>
  <c r="AO215" i="45"/>
  <c r="AY215" i="45" s="1"/>
  <c r="AR105" i="45"/>
  <c r="BW214" i="45"/>
  <c r="BC215" i="45"/>
  <c r="AL215" i="45"/>
  <c r="BB215" i="45" s="1"/>
  <c r="AX215" i="45"/>
  <c r="BA105" i="45"/>
  <c r="W215" i="45"/>
  <c r="Z215" i="45"/>
  <c r="AY105" i="45"/>
  <c r="AO104" i="45"/>
  <c r="AR104" i="45" s="1"/>
  <c r="AH104" i="45"/>
  <c r="BF104" i="45" s="1"/>
  <c r="BJ104" i="45"/>
  <c r="AL104" i="45"/>
  <c r="BB104" i="45" s="1"/>
  <c r="AX104" i="45"/>
  <c r="BC104" i="45"/>
  <c r="Z104" i="45"/>
  <c r="AH103" i="45"/>
  <c r="BF103" i="45" s="1"/>
  <c r="BJ103" i="45"/>
  <c r="AK103" i="45"/>
  <c r="AA103" i="45"/>
  <c r="Y215" i="45"/>
  <c r="AZ215" i="45" l="1"/>
  <c r="BT103" i="45"/>
  <c r="BA215" i="45"/>
  <c r="AR215" i="45"/>
  <c r="AS215" i="45"/>
  <c r="AI215" i="45"/>
  <c r="U216" i="45" s="1"/>
  <c r="BJ215" i="45"/>
  <c r="BN104" i="45"/>
  <c r="BT104" i="45"/>
  <c r="BM104" i="45"/>
  <c r="BX104" i="45"/>
  <c r="BV104" i="45"/>
  <c r="BU104" i="45"/>
  <c r="BG104" i="45"/>
  <c r="BS104" i="45"/>
  <c r="BV103" i="45"/>
  <c r="BS103" i="45"/>
  <c r="AY104" i="45"/>
  <c r="BG103" i="45"/>
  <c r="BA104" i="45"/>
  <c r="AH215" i="45"/>
  <c r="BF215" i="45" s="1"/>
  <c r="BU103" i="45"/>
  <c r="BM103" i="45"/>
  <c r="AZ104" i="45"/>
  <c r="BN103" i="45"/>
  <c r="BX103" i="45"/>
  <c r="AS104" i="45"/>
  <c r="AO103" i="45"/>
  <c r="AY103" i="45" s="1"/>
  <c r="Z103" i="45"/>
  <c r="AX103" i="45"/>
  <c r="AL103" i="45"/>
  <c r="BB103" i="45" s="1"/>
  <c r="BC103" i="45"/>
  <c r="AH102" i="45"/>
  <c r="BF102" i="45" s="1"/>
  <c r="BJ102" i="45"/>
  <c r="AK102" i="45"/>
  <c r="AA102" i="45"/>
  <c r="AZ103" i="45" l="1"/>
  <c r="AR103" i="45"/>
  <c r="BA103" i="45"/>
  <c r="AS103" i="45"/>
  <c r="BG102" i="45"/>
  <c r="BU102" i="45"/>
  <c r="BS102" i="45"/>
  <c r="BG215" i="45"/>
  <c r="BU215" i="45"/>
  <c r="BS215" i="45"/>
  <c r="BM215" i="45"/>
  <c r="BT215" i="45"/>
  <c r="BX215" i="45"/>
  <c r="BN215" i="45"/>
  <c r="BV215" i="45"/>
  <c r="BW103" i="45"/>
  <c r="BW104" i="45"/>
  <c r="X216" i="45"/>
  <c r="V216" i="45"/>
  <c r="AK216" i="45"/>
  <c r="AO102" i="45"/>
  <c r="AZ102" i="45" s="1"/>
  <c r="BM102" i="45"/>
  <c r="BX102" i="45"/>
  <c r="BT102" i="45"/>
  <c r="BN102" i="45"/>
  <c r="BV102" i="45"/>
  <c r="Z102" i="45"/>
  <c r="AL102" i="45"/>
  <c r="BB102" i="45" s="1"/>
  <c r="AX102" i="45"/>
  <c r="BC102" i="45"/>
  <c r="AH101" i="45"/>
  <c r="BF101" i="45" s="1"/>
  <c r="BJ101" i="45"/>
  <c r="AK101" i="45"/>
  <c r="AA216" i="45"/>
  <c r="AA101" i="45"/>
  <c r="BA102" i="45" l="1"/>
  <c r="AR102" i="45"/>
  <c r="AY102" i="45"/>
  <c r="AS102" i="45"/>
  <c r="BT101" i="45"/>
  <c r="BM101" i="45"/>
  <c r="BG101" i="45"/>
  <c r="BU101" i="45"/>
  <c r="BS101" i="45"/>
  <c r="BN101" i="45"/>
  <c r="BX101" i="45"/>
  <c r="BV101" i="45"/>
  <c r="AO216" i="45"/>
  <c r="AS216" i="45" s="1"/>
  <c r="AX216" i="45"/>
  <c r="BC216" i="45"/>
  <c r="AL216" i="45"/>
  <c r="BB216" i="45" s="1"/>
  <c r="W216" i="45"/>
  <c r="Z216" i="45"/>
  <c r="BW215" i="45"/>
  <c r="BW102" i="45"/>
  <c r="AO101" i="45"/>
  <c r="AY101" i="45" s="1"/>
  <c r="Z101" i="45"/>
  <c r="AX101" i="45"/>
  <c r="AL101" i="45"/>
  <c r="BB101" i="45" s="1"/>
  <c r="BC101" i="45"/>
  <c r="AH100" i="45"/>
  <c r="BF100" i="45" s="1"/>
  <c r="BJ100" i="45"/>
  <c r="AK100" i="45"/>
  <c r="AA100" i="45"/>
  <c r="Y216" i="45"/>
  <c r="AZ216" i="45" l="1"/>
  <c r="BW101" i="45"/>
  <c r="BA101" i="45"/>
  <c r="AS101" i="45"/>
  <c r="AR101" i="45"/>
  <c r="AY216" i="45"/>
  <c r="AR216" i="45"/>
  <c r="AZ101" i="45"/>
  <c r="BA216" i="45"/>
  <c r="AI216" i="45"/>
  <c r="U217" i="45" s="1"/>
  <c r="BJ216" i="45"/>
  <c r="AH216" i="45"/>
  <c r="BF216" i="45" s="1"/>
  <c r="AO100" i="45"/>
  <c r="AR100" i="45" s="1"/>
  <c r="BU100" i="45"/>
  <c r="BG100" i="45"/>
  <c r="BS100" i="45"/>
  <c r="BV100" i="45"/>
  <c r="BT100" i="45"/>
  <c r="BN100" i="45"/>
  <c r="BM100" i="45"/>
  <c r="BX100" i="45"/>
  <c r="AX100" i="45"/>
  <c r="AL100" i="45"/>
  <c r="BB100" i="45" s="1"/>
  <c r="BC100" i="45"/>
  <c r="Z100" i="45"/>
  <c r="AK99" i="45"/>
  <c r="AA99" i="45"/>
  <c r="AZ100" i="45" l="1"/>
  <c r="AS100" i="45"/>
  <c r="BW100" i="45"/>
  <c r="X217" i="45"/>
  <c r="V217" i="45"/>
  <c r="AK217" i="45"/>
  <c r="AY100" i="45"/>
  <c r="BA100" i="45"/>
  <c r="BG216" i="45"/>
  <c r="BT216" i="45"/>
  <c r="BN216" i="45"/>
  <c r="BV216" i="45"/>
  <c r="BM216" i="45"/>
  <c r="BX216" i="45"/>
  <c r="BS216" i="45"/>
  <c r="BU216" i="45"/>
  <c r="AO99" i="45"/>
  <c r="AS99" i="45" s="1"/>
  <c r="AH99" i="45"/>
  <c r="BF99" i="45" s="1"/>
  <c r="BJ99" i="45"/>
  <c r="AR99" i="45"/>
  <c r="Z99" i="45"/>
  <c r="BC99" i="45"/>
  <c r="AX99" i="45"/>
  <c r="AL99" i="45"/>
  <c r="BB99" i="45" s="1"/>
  <c r="AH98" i="45"/>
  <c r="BF98" i="45" s="1"/>
  <c r="BJ98" i="45"/>
  <c r="AK98" i="45"/>
  <c r="AA217" i="45"/>
  <c r="AA98" i="45"/>
  <c r="BV99" i="45" l="1"/>
  <c r="BA99" i="45"/>
  <c r="AY99" i="45"/>
  <c r="AZ99" i="45"/>
  <c r="BM99" i="45"/>
  <c r="BX99" i="45"/>
  <c r="BS99" i="45"/>
  <c r="BG99" i="45"/>
  <c r="AO217" i="45"/>
  <c r="AR217" i="45" s="1"/>
  <c r="BN99" i="45"/>
  <c r="BW216" i="45"/>
  <c r="BU99" i="45"/>
  <c r="BT99" i="45"/>
  <c r="BC217" i="45"/>
  <c r="AX217" i="45"/>
  <c r="AL217" i="45"/>
  <c r="BB217" i="45" s="1"/>
  <c r="W217" i="45"/>
  <c r="Z217" i="45"/>
  <c r="AO98" i="45"/>
  <c r="AZ98" i="45" s="1"/>
  <c r="BN98" i="45"/>
  <c r="BV98" i="45"/>
  <c r="BM98" i="45"/>
  <c r="BT98" i="45"/>
  <c r="BU98" i="45"/>
  <c r="BG98" i="45"/>
  <c r="BS98" i="45"/>
  <c r="BX98" i="45"/>
  <c r="Z98" i="45"/>
  <c r="AX98" i="45"/>
  <c r="AL98" i="45"/>
  <c r="BB98" i="45" s="1"/>
  <c r="BC98" i="45"/>
  <c r="AH97" i="45"/>
  <c r="BF97" i="45" s="1"/>
  <c r="BG97" i="45" s="1"/>
  <c r="BJ97" i="45"/>
  <c r="AK97" i="45"/>
  <c r="Y217" i="45"/>
  <c r="AA97" i="45"/>
  <c r="BA98" i="45" l="1"/>
  <c r="AR98" i="45"/>
  <c r="AS98" i="45"/>
  <c r="AY98" i="45"/>
  <c r="AS217" i="45"/>
  <c r="BW99" i="45"/>
  <c r="BA217" i="45"/>
  <c r="AZ217" i="45"/>
  <c r="AY217" i="45"/>
  <c r="BW98" i="45"/>
  <c r="AI217" i="45"/>
  <c r="U218" i="45" s="1"/>
  <c r="BJ217" i="45"/>
  <c r="BS97" i="45"/>
  <c r="BU97" i="45"/>
  <c r="BW97" i="45" s="1"/>
  <c r="AH217" i="45"/>
  <c r="BF217" i="45" s="1"/>
  <c r="AO97" i="45"/>
  <c r="AS97" i="45" s="1"/>
  <c r="BN97" i="45"/>
  <c r="BX97" i="45"/>
  <c r="BM97" i="45"/>
  <c r="BT97" i="45"/>
  <c r="BV97" i="45"/>
  <c r="BC97" i="45"/>
  <c r="AX97" i="45"/>
  <c r="AL97" i="45"/>
  <c r="BB97" i="45" s="1"/>
  <c r="Z97" i="45"/>
  <c r="AH96" i="45"/>
  <c r="BF96" i="45" s="1"/>
  <c r="BJ96" i="45"/>
  <c r="AK96" i="45"/>
  <c r="AA96" i="45"/>
  <c r="AR97" i="45" l="1"/>
  <c r="BA97" i="45"/>
  <c r="AY97" i="45"/>
  <c r="AZ97" i="45"/>
  <c r="BS96" i="45"/>
  <c r="BG96" i="45"/>
  <c r="BU96" i="45"/>
  <c r="X218" i="45"/>
  <c r="V218" i="45"/>
  <c r="AK218" i="45"/>
  <c r="BN217" i="45"/>
  <c r="BX217" i="45"/>
  <c r="BV217" i="45"/>
  <c r="BM217" i="45"/>
  <c r="BT217" i="45"/>
  <c r="BG217" i="45"/>
  <c r="BU217" i="45"/>
  <c r="BS217" i="45"/>
  <c r="AO96" i="45"/>
  <c r="AZ96" i="45" s="1"/>
  <c r="BT96" i="45"/>
  <c r="BM96" i="45"/>
  <c r="BN96" i="45"/>
  <c r="BV96" i="45"/>
  <c r="BX96" i="45"/>
  <c r="AX96" i="45"/>
  <c r="BC96" i="45"/>
  <c r="AL96" i="45"/>
  <c r="BB96" i="45" s="1"/>
  <c r="Z96" i="45"/>
  <c r="AH95" i="45"/>
  <c r="BF95" i="45" s="1"/>
  <c r="BJ95" i="45"/>
  <c r="AK95" i="45"/>
  <c r="AA218" i="45"/>
  <c r="AA95" i="45"/>
  <c r="AY96" i="45" l="1"/>
  <c r="BW96" i="45"/>
  <c r="AR96" i="45"/>
  <c r="BS95" i="45"/>
  <c r="BG95" i="45"/>
  <c r="BU95" i="45"/>
  <c r="BW95" i="45" s="1"/>
  <c r="BX95" i="45"/>
  <c r="BV95" i="45"/>
  <c r="BA96" i="45"/>
  <c r="AS96" i="45"/>
  <c r="AO218" i="45"/>
  <c r="AZ218" i="45" s="1"/>
  <c r="BT95" i="45"/>
  <c r="BM95" i="45"/>
  <c r="BN95" i="45"/>
  <c r="AL218" i="45"/>
  <c r="BB218" i="45" s="1"/>
  <c r="AX218" i="45"/>
  <c r="BC218" i="45"/>
  <c r="W218" i="45"/>
  <c r="Z218" i="45"/>
  <c r="BW217" i="45"/>
  <c r="AO95" i="45"/>
  <c r="AR95" i="45" s="1"/>
  <c r="AX95" i="45"/>
  <c r="AL95" i="45"/>
  <c r="BB95" i="45" s="1"/>
  <c r="BC95" i="45"/>
  <c r="Z95" i="45"/>
  <c r="AH94" i="45"/>
  <c r="BF94" i="45" s="1"/>
  <c r="BG94" i="45" s="1"/>
  <c r="BJ94" i="45"/>
  <c r="AK94" i="45"/>
  <c r="AA94" i="45"/>
  <c r="Y218" i="45"/>
  <c r="AY218" i="45" l="1"/>
  <c r="AS95" i="45"/>
  <c r="AZ95" i="45"/>
  <c r="AY95" i="45"/>
  <c r="BA95" i="45"/>
  <c r="AR218" i="45"/>
  <c r="BU94" i="45"/>
  <c r="BW94" i="45" s="1"/>
  <c r="AI218" i="45"/>
  <c r="U219" i="45" s="1"/>
  <c r="BJ218" i="45"/>
  <c r="BS94" i="45"/>
  <c r="BA218" i="45"/>
  <c r="AS218" i="45"/>
  <c r="AH218" i="45"/>
  <c r="BF218" i="45" s="1"/>
  <c r="AO94" i="45"/>
  <c r="AS94" i="45" s="1"/>
  <c r="BV94" i="45"/>
  <c r="BM94" i="45"/>
  <c r="BN94" i="45"/>
  <c r="BT94" i="45"/>
  <c r="BX94" i="45"/>
  <c r="AX94" i="45"/>
  <c r="AL94" i="45"/>
  <c r="BB94" i="45" s="1"/>
  <c r="BC94" i="45"/>
  <c r="Z94" i="45"/>
  <c r="AH93" i="45"/>
  <c r="BF93" i="45" s="1"/>
  <c r="BJ93" i="45"/>
  <c r="AK93" i="45"/>
  <c r="AA93" i="45"/>
  <c r="AY94" i="45" l="1"/>
  <c r="AR94" i="45"/>
  <c r="AZ94" i="45"/>
  <c r="BA94" i="45"/>
  <c r="BS93" i="45"/>
  <c r="BG93" i="45"/>
  <c r="BU93" i="45"/>
  <c r="BG218" i="45"/>
  <c r="BS218" i="45"/>
  <c r="BM218" i="45"/>
  <c r="BX218" i="45"/>
  <c r="BN218" i="45"/>
  <c r="BT218" i="45"/>
  <c r="BV218" i="45"/>
  <c r="BU218" i="45"/>
  <c r="X219" i="45"/>
  <c r="V219" i="45"/>
  <c r="AK219" i="45"/>
  <c r="AO93" i="45"/>
  <c r="AZ93" i="45" s="1"/>
  <c r="BV93" i="45"/>
  <c r="BT93" i="45"/>
  <c r="BN93" i="45"/>
  <c r="BM93" i="45"/>
  <c r="BX93" i="45"/>
  <c r="Z93" i="45"/>
  <c r="AL93" i="45"/>
  <c r="BB93" i="45" s="1"/>
  <c r="AX93" i="45"/>
  <c r="BC93" i="45"/>
  <c r="AH92" i="45"/>
  <c r="BF92" i="45" s="1"/>
  <c r="BJ92" i="45"/>
  <c r="AK92" i="45"/>
  <c r="AA219" i="45"/>
  <c r="AA92" i="45"/>
  <c r="BA93" i="45" l="1"/>
  <c r="AY93" i="45"/>
  <c r="AR93" i="45"/>
  <c r="AS93" i="45"/>
  <c r="BW93" i="45"/>
  <c r="AO219" i="45"/>
  <c r="AY219" i="45" s="1"/>
  <c r="AL219" i="45"/>
  <c r="BB219" i="45" s="1"/>
  <c r="AX219" i="45"/>
  <c r="BC219" i="45"/>
  <c r="W219" i="45"/>
  <c r="Z219" i="45"/>
  <c r="BW218" i="45"/>
  <c r="AO92" i="45"/>
  <c r="AZ92" i="45" s="1"/>
  <c r="BN92" i="45"/>
  <c r="BV92" i="45"/>
  <c r="BT92" i="45"/>
  <c r="BM92" i="45"/>
  <c r="BU92" i="45"/>
  <c r="BG92" i="45"/>
  <c r="BS92" i="45"/>
  <c r="BX92" i="45"/>
  <c r="AX92" i="45"/>
  <c r="AL92" i="45"/>
  <c r="BB92" i="45" s="1"/>
  <c r="BC92" i="45"/>
  <c r="Z92" i="45"/>
  <c r="AH91" i="45"/>
  <c r="BF91" i="45" s="1"/>
  <c r="BJ91" i="45"/>
  <c r="AK91" i="45"/>
  <c r="AA91" i="45"/>
  <c r="Y219" i="45"/>
  <c r="AR92" i="45" l="1"/>
  <c r="AY92" i="45"/>
  <c r="BA92" i="45"/>
  <c r="AS92" i="45"/>
  <c r="BW92" i="45"/>
  <c r="AI219" i="45"/>
  <c r="U220" i="45" s="1"/>
  <c r="BJ219" i="45"/>
  <c r="AS219" i="45"/>
  <c r="AZ219" i="45"/>
  <c r="AR219" i="45"/>
  <c r="BA219" i="45"/>
  <c r="AH219" i="45"/>
  <c r="BF219" i="45" s="1"/>
  <c r="AO91" i="45"/>
  <c r="AZ91" i="45" s="1"/>
  <c r="BG91" i="45"/>
  <c r="BU91" i="45"/>
  <c r="BS91" i="45"/>
  <c r="BV91" i="45"/>
  <c r="BX91" i="45"/>
  <c r="BM91" i="45"/>
  <c r="BN91" i="45"/>
  <c r="BT91" i="45"/>
  <c r="Z91" i="45"/>
  <c r="AL91" i="45"/>
  <c r="BB91" i="45" s="1"/>
  <c r="BC91" i="45"/>
  <c r="AX91" i="45"/>
  <c r="AH90" i="45"/>
  <c r="BF90" i="45" s="1"/>
  <c r="BJ90" i="45"/>
  <c r="AK90" i="45"/>
  <c r="AA90" i="45"/>
  <c r="AR91" i="45" l="1"/>
  <c r="BA91" i="45"/>
  <c r="AY91" i="45"/>
  <c r="BG90" i="45"/>
  <c r="BU90" i="45"/>
  <c r="BS90" i="45"/>
  <c r="AS91" i="45"/>
  <c r="BW91" i="45"/>
  <c r="BG219" i="45"/>
  <c r="BU219" i="45"/>
  <c r="BS219" i="45"/>
  <c r="BX219" i="45"/>
  <c r="BM219" i="45"/>
  <c r="BT219" i="45"/>
  <c r="BV219" i="45"/>
  <c r="BN219" i="45"/>
  <c r="X220" i="45"/>
  <c r="V220" i="45"/>
  <c r="AK220" i="45"/>
  <c r="AO90" i="45"/>
  <c r="BA90" i="45" s="1"/>
  <c r="BN90" i="45"/>
  <c r="BX90" i="45"/>
  <c r="BT90" i="45"/>
  <c r="BV90" i="45"/>
  <c r="BM90" i="45"/>
  <c r="AS90" i="45"/>
  <c r="AX90" i="45"/>
  <c r="BC90" i="45"/>
  <c r="AL90" i="45"/>
  <c r="BB90" i="45" s="1"/>
  <c r="AY90" i="45"/>
  <c r="Z90" i="45"/>
  <c r="AH89" i="45"/>
  <c r="BF89" i="45" s="1"/>
  <c r="BJ89" i="45"/>
  <c r="AK89" i="45"/>
  <c r="AA89" i="45"/>
  <c r="AA220" i="45"/>
  <c r="AZ90" i="45" l="1"/>
  <c r="BW90" i="45"/>
  <c r="AR90" i="45"/>
  <c r="BU89" i="45"/>
  <c r="BW89" i="45" s="1"/>
  <c r="BG89" i="45"/>
  <c r="BS89" i="45"/>
  <c r="AO220" i="45"/>
  <c r="AZ220" i="45" s="1"/>
  <c r="W220" i="45"/>
  <c r="Z220" i="45"/>
  <c r="AL220" i="45"/>
  <c r="BB220" i="45" s="1"/>
  <c r="BC220" i="45"/>
  <c r="AX220" i="45"/>
  <c r="BW219" i="45"/>
  <c r="AO89" i="45"/>
  <c r="BA89" i="45" s="1"/>
  <c r="BX89" i="45"/>
  <c r="BT89" i="45"/>
  <c r="BV89" i="45"/>
  <c r="BM89" i="45"/>
  <c r="BN89" i="45"/>
  <c r="BC89" i="45"/>
  <c r="AX89" i="45"/>
  <c r="AL89" i="45"/>
  <c r="BB89" i="45" s="1"/>
  <c r="Z89" i="45"/>
  <c r="AH88" i="45"/>
  <c r="BF88" i="45" s="1"/>
  <c r="BJ88" i="45"/>
  <c r="AK88" i="45"/>
  <c r="AA88" i="45"/>
  <c r="Y220" i="45"/>
  <c r="BA220" i="45" l="1"/>
  <c r="AS220" i="45"/>
  <c r="AY220" i="45"/>
  <c r="AR220" i="45"/>
  <c r="AY89" i="45"/>
  <c r="AI220" i="45"/>
  <c r="U221" i="45" s="1"/>
  <c r="BJ220" i="45"/>
  <c r="BN88" i="45"/>
  <c r="BT88" i="45"/>
  <c r="BU88" i="45"/>
  <c r="BS88" i="45"/>
  <c r="BV88" i="45"/>
  <c r="BM88" i="45"/>
  <c r="BG88" i="45"/>
  <c r="BX88" i="45"/>
  <c r="AS89" i="45"/>
  <c r="AZ89" i="45"/>
  <c r="AR89" i="45"/>
  <c r="AH220" i="45"/>
  <c r="BF220" i="45" s="1"/>
  <c r="AO88" i="45"/>
  <c r="AR88" i="45" s="1"/>
  <c r="AL88" i="45"/>
  <c r="BB88" i="45" s="1"/>
  <c r="AX88" i="45"/>
  <c r="BC88" i="45"/>
  <c r="Z88" i="45"/>
  <c r="AH87" i="45"/>
  <c r="BF87" i="45" s="1"/>
  <c r="BJ87" i="45"/>
  <c r="AK87" i="45"/>
  <c r="AA87" i="45"/>
  <c r="AS88" i="45" l="1"/>
  <c r="BT87" i="45"/>
  <c r="BX87" i="45"/>
  <c r="AZ88" i="45"/>
  <c r="BS87" i="45"/>
  <c r="BU87" i="45"/>
  <c r="BM87" i="45"/>
  <c r="BG87" i="45"/>
  <c r="BS220" i="45"/>
  <c r="BM220" i="45"/>
  <c r="BU220" i="45"/>
  <c r="BN220" i="45"/>
  <c r="BX220" i="45"/>
  <c r="BT220" i="45"/>
  <c r="BG220" i="45"/>
  <c r="BV220" i="45"/>
  <c r="BN87" i="45"/>
  <c r="AY88" i="45"/>
  <c r="BV87" i="45"/>
  <c r="BA88" i="45"/>
  <c r="BW88" i="45"/>
  <c r="V221" i="45"/>
  <c r="X221" i="45"/>
  <c r="AK221" i="45"/>
  <c r="AO87" i="45"/>
  <c r="AS87" i="45" s="1"/>
  <c r="AZ87" i="45"/>
  <c r="AX87" i="45"/>
  <c r="AL87" i="45"/>
  <c r="BB87" i="45" s="1"/>
  <c r="BC87" i="45"/>
  <c r="Z87" i="45"/>
  <c r="AH86" i="45"/>
  <c r="BF86" i="45" s="1"/>
  <c r="BJ86" i="45"/>
  <c r="AK86" i="45"/>
  <c r="AA221" i="45"/>
  <c r="AA86" i="45"/>
  <c r="AY87" i="45" l="1"/>
  <c r="BW87" i="45"/>
  <c r="AR87" i="45"/>
  <c r="BA87" i="45"/>
  <c r="AO221" i="45"/>
  <c r="AZ221" i="45" s="1"/>
  <c r="BS86" i="45"/>
  <c r="BN86" i="45"/>
  <c r="BG86" i="45"/>
  <c r="BT86" i="45"/>
  <c r="BV86" i="45"/>
  <c r="BX86" i="45"/>
  <c r="BM86" i="45"/>
  <c r="BU86" i="45"/>
  <c r="BC221" i="45"/>
  <c r="AL221" i="45"/>
  <c r="BB221" i="45" s="1"/>
  <c r="AX221" i="45"/>
  <c r="BW220" i="45"/>
  <c r="W221" i="45"/>
  <c r="Z221" i="45"/>
  <c r="AO86" i="45"/>
  <c r="AY86" i="45" s="1"/>
  <c r="AX86" i="45"/>
  <c r="AL86" i="45"/>
  <c r="BB86" i="45" s="1"/>
  <c r="BC86" i="45"/>
  <c r="Z86" i="45"/>
  <c r="AH85" i="45"/>
  <c r="BF85" i="45" s="1"/>
  <c r="BJ85" i="45"/>
  <c r="AK85" i="45"/>
  <c r="AA85" i="45"/>
  <c r="Y221" i="45"/>
  <c r="AS221" i="45" l="1"/>
  <c r="BA221" i="45"/>
  <c r="AR221" i="45"/>
  <c r="AS86" i="45"/>
  <c r="BG85" i="45"/>
  <c r="BN85" i="45"/>
  <c r="BA86" i="45"/>
  <c r="AY221" i="45"/>
  <c r="AR86" i="45"/>
  <c r="AI221" i="45"/>
  <c r="U222" i="45" s="1"/>
  <c r="BJ221" i="45"/>
  <c r="BV85" i="45"/>
  <c r="AZ86" i="45"/>
  <c r="BM85" i="45"/>
  <c r="BS85" i="45"/>
  <c r="BU85" i="45"/>
  <c r="BW86" i="45"/>
  <c r="BT85" i="45"/>
  <c r="AH221" i="45"/>
  <c r="BF221" i="45" s="1"/>
  <c r="BX85" i="45"/>
  <c r="AO85" i="45"/>
  <c r="AR85" i="45" s="1"/>
  <c r="AL85" i="45"/>
  <c r="BB85" i="45" s="1"/>
  <c r="BC85" i="45"/>
  <c r="AX85" i="45"/>
  <c r="Z85" i="45"/>
  <c r="AH84" i="45"/>
  <c r="BF84" i="45" s="1"/>
  <c r="BJ84" i="45"/>
  <c r="AK84" i="45"/>
  <c r="AA84" i="45"/>
  <c r="AS85" i="45" l="1"/>
  <c r="BW85" i="45"/>
  <c r="AZ85" i="45"/>
  <c r="BA85" i="45"/>
  <c r="AY85" i="45"/>
  <c r="BG84" i="45"/>
  <c r="BU84" i="45"/>
  <c r="BS84" i="45"/>
  <c r="BV221" i="45"/>
  <c r="BT221" i="45"/>
  <c r="BX221" i="45"/>
  <c r="BU221" i="45"/>
  <c r="BS221" i="45"/>
  <c r="BM221" i="45"/>
  <c r="BG221" i="45"/>
  <c r="BN221" i="45"/>
  <c r="X222" i="45"/>
  <c r="V222" i="45"/>
  <c r="AK222" i="45"/>
  <c r="AO84" i="45"/>
  <c r="AR84" i="45" s="1"/>
  <c r="BV84" i="45"/>
  <c r="BM84" i="45"/>
  <c r="BT84" i="45"/>
  <c r="BN84" i="45"/>
  <c r="BX84" i="45"/>
  <c r="AL84" i="45"/>
  <c r="BB84" i="45" s="1"/>
  <c r="BC84" i="45"/>
  <c r="AX84" i="45"/>
  <c r="Z84" i="45"/>
  <c r="AH83" i="45"/>
  <c r="BF83" i="45" s="1"/>
  <c r="BJ83" i="45"/>
  <c r="AK83" i="45"/>
  <c r="AA222" i="45"/>
  <c r="AA83" i="45"/>
  <c r="AS84" i="45" l="1"/>
  <c r="AY84" i="45"/>
  <c r="BU83" i="45"/>
  <c r="BW83" i="45" s="1"/>
  <c r="BS83" i="45"/>
  <c r="BX83" i="45"/>
  <c r="BG83" i="45"/>
  <c r="BA84" i="45"/>
  <c r="BN83" i="45"/>
  <c r="BM83" i="45"/>
  <c r="AZ84" i="45"/>
  <c r="AO222" i="45"/>
  <c r="AY222" i="45" s="1"/>
  <c r="BV83" i="45"/>
  <c r="BT83" i="45"/>
  <c r="BC222" i="45"/>
  <c r="AX222" i="45"/>
  <c r="AL222" i="45"/>
  <c r="BB222" i="45" s="1"/>
  <c r="W222" i="45"/>
  <c r="Z222" i="45"/>
  <c r="BW221" i="45"/>
  <c r="BW84" i="45"/>
  <c r="AO83" i="45"/>
  <c r="AY83" i="45" s="1"/>
  <c r="AX83" i="45"/>
  <c r="BC83" i="45"/>
  <c r="AL83" i="45"/>
  <c r="BB83" i="45" s="1"/>
  <c r="Z83" i="45"/>
  <c r="AH82" i="45"/>
  <c r="BF82" i="45" s="1"/>
  <c r="BJ82" i="45"/>
  <c r="AK82" i="45"/>
  <c r="Y222" i="45"/>
  <c r="AA82" i="45"/>
  <c r="BA83" i="45" l="1"/>
  <c r="AR222" i="45"/>
  <c r="BA222" i="45"/>
  <c r="AS222" i="45"/>
  <c r="AS83" i="45"/>
  <c r="AZ83" i="45"/>
  <c r="AZ222" i="45"/>
  <c r="AI222" i="45"/>
  <c r="U223" i="45" s="1"/>
  <c r="BJ222" i="45"/>
  <c r="BG82" i="45"/>
  <c r="BU82" i="45"/>
  <c r="BS82" i="45"/>
  <c r="AH222" i="45"/>
  <c r="BF222" i="45" s="1"/>
  <c r="AR83" i="45"/>
  <c r="AO82" i="45"/>
  <c r="AS82" i="45" s="1"/>
  <c r="BM82" i="45"/>
  <c r="BX82" i="45"/>
  <c r="BV82" i="45"/>
  <c r="BT82" i="45"/>
  <c r="BN82" i="45"/>
  <c r="AL82" i="45"/>
  <c r="BB82" i="45" s="1"/>
  <c r="BC82" i="45"/>
  <c r="AX82" i="45"/>
  <c r="Z82" i="45"/>
  <c r="AH81" i="45"/>
  <c r="BF81" i="45" s="1"/>
  <c r="BJ81" i="45"/>
  <c r="AK81" i="45"/>
  <c r="AA81" i="45"/>
  <c r="AZ82" i="45" l="1"/>
  <c r="BA82" i="45"/>
  <c r="AR82" i="45"/>
  <c r="AY82" i="45"/>
  <c r="BG81" i="45"/>
  <c r="BU81" i="45"/>
  <c r="BS81" i="45"/>
  <c r="BW82" i="45"/>
  <c r="BG222" i="45"/>
  <c r="BU222" i="45"/>
  <c r="BS222" i="45"/>
  <c r="BN222" i="45"/>
  <c r="BT222" i="45"/>
  <c r="BM222" i="45"/>
  <c r="BX222" i="45"/>
  <c r="BV222" i="45"/>
  <c r="X223" i="45"/>
  <c r="V223" i="45"/>
  <c r="AK223" i="45"/>
  <c r="AO81" i="45"/>
  <c r="AZ81" i="45" s="1"/>
  <c r="BN81" i="45"/>
  <c r="BT81" i="45"/>
  <c r="BX81" i="45"/>
  <c r="BM81" i="45"/>
  <c r="BV81" i="45"/>
  <c r="AL81" i="45"/>
  <c r="BB81" i="45" s="1"/>
  <c r="BC81" i="45"/>
  <c r="AX81" i="45"/>
  <c r="Z81" i="45"/>
  <c r="AH80" i="45"/>
  <c r="BF80" i="45" s="1"/>
  <c r="BJ80" i="45"/>
  <c r="AK80" i="45"/>
  <c r="AA223" i="45"/>
  <c r="AA80" i="45"/>
  <c r="BW81" i="45" l="1"/>
  <c r="AR81" i="45"/>
  <c r="BA81" i="45"/>
  <c r="AS81" i="45"/>
  <c r="BT80" i="45"/>
  <c r="BN80" i="45"/>
  <c r="BS80" i="45"/>
  <c r="BX80" i="45"/>
  <c r="BG80" i="45"/>
  <c r="AY81" i="45"/>
  <c r="AO223" i="45"/>
  <c r="BA223" i="45" s="1"/>
  <c r="W223" i="45"/>
  <c r="Z223" i="45"/>
  <c r="BU80" i="45"/>
  <c r="BW80" i="45" s="1"/>
  <c r="BM80" i="45"/>
  <c r="BV80" i="45"/>
  <c r="AX223" i="45"/>
  <c r="BC223" i="45"/>
  <c r="AL223" i="45"/>
  <c r="BB223" i="45" s="1"/>
  <c r="BW222" i="45"/>
  <c r="AO80" i="45"/>
  <c r="AR80" i="45" s="1"/>
  <c r="AL80" i="45"/>
  <c r="BB80" i="45" s="1"/>
  <c r="BC80" i="45"/>
  <c r="AX80" i="45"/>
  <c r="Z80" i="45"/>
  <c r="AH79" i="45"/>
  <c r="BF79" i="45" s="1"/>
  <c r="BJ79" i="45"/>
  <c r="AK79" i="45"/>
  <c r="AA79" i="45"/>
  <c r="Y223" i="45"/>
  <c r="AR223" i="45" l="1"/>
  <c r="AS223" i="45"/>
  <c r="AZ223" i="45"/>
  <c r="AY80" i="45"/>
  <c r="BU79" i="45"/>
  <c r="BW79" i="45" s="1"/>
  <c r="BG79" i="45"/>
  <c r="AZ80" i="45"/>
  <c r="AY223" i="45"/>
  <c r="AS80" i="45"/>
  <c r="BA80" i="45"/>
  <c r="AI223" i="45"/>
  <c r="U224" i="45" s="1"/>
  <c r="BJ223" i="45"/>
  <c r="AH223" i="45"/>
  <c r="BF223" i="45" s="1"/>
  <c r="BS79" i="45"/>
  <c r="AO79" i="45"/>
  <c r="AY79" i="45" s="1"/>
  <c r="BX79" i="45"/>
  <c r="BM79" i="45"/>
  <c r="BN79" i="45"/>
  <c r="BT79" i="45"/>
  <c r="BV79" i="45"/>
  <c r="AX79" i="45"/>
  <c r="BC79" i="45"/>
  <c r="AL79" i="45"/>
  <c r="BB79" i="45" s="1"/>
  <c r="Z79" i="45"/>
  <c r="AH78" i="45"/>
  <c r="BF78" i="45" s="1"/>
  <c r="BJ78" i="45"/>
  <c r="AK78" i="45"/>
  <c r="AA78" i="45"/>
  <c r="BA79" i="45" l="1"/>
  <c r="AR79" i="45"/>
  <c r="AS79" i="45"/>
  <c r="BG78" i="45"/>
  <c r="BU78" i="45"/>
  <c r="BS78" i="45"/>
  <c r="AZ79" i="45"/>
  <c r="BG223" i="45"/>
  <c r="BU223" i="45"/>
  <c r="BS223" i="45"/>
  <c r="BX223" i="45"/>
  <c r="BT223" i="45"/>
  <c r="BM223" i="45"/>
  <c r="BV223" i="45"/>
  <c r="BN223" i="45"/>
  <c r="X224" i="45"/>
  <c r="V224" i="45"/>
  <c r="AK224" i="45"/>
  <c r="AO78" i="45"/>
  <c r="BA78" i="45" s="1"/>
  <c r="BM78" i="45"/>
  <c r="BN78" i="45"/>
  <c r="BX78" i="45"/>
  <c r="BT78" i="45"/>
  <c r="BV78" i="45"/>
  <c r="AZ78" i="45"/>
  <c r="BC78" i="45"/>
  <c r="AX78" i="45"/>
  <c r="AL78" i="45"/>
  <c r="BB78" i="45"/>
  <c r="Z78" i="45"/>
  <c r="AH77" i="45"/>
  <c r="BF77" i="45" s="1"/>
  <c r="BJ77" i="45"/>
  <c r="AK77" i="45"/>
  <c r="AA224" i="45"/>
  <c r="AA77" i="45"/>
  <c r="AR78" i="45" l="1"/>
  <c r="AS78" i="45"/>
  <c r="AY78" i="45"/>
  <c r="BU77" i="45"/>
  <c r="BW77" i="45" s="1"/>
  <c r="BS77" i="45"/>
  <c r="BG77" i="45"/>
  <c r="BW78" i="45"/>
  <c r="AO224" i="45"/>
  <c r="AY224" i="45" s="1"/>
  <c r="AL224" i="45"/>
  <c r="BB224" i="45" s="1"/>
  <c r="AX224" i="45"/>
  <c r="BC224" i="45"/>
  <c r="W224" i="45"/>
  <c r="Z224" i="45"/>
  <c r="BW223" i="45"/>
  <c r="AO77" i="45"/>
  <c r="AS77" i="45" s="1"/>
  <c r="BM77" i="45"/>
  <c r="BX77" i="45"/>
  <c r="BN77" i="45"/>
  <c r="BV77" i="45"/>
  <c r="BT77" i="45"/>
  <c r="AX77" i="45"/>
  <c r="BC77" i="45"/>
  <c r="AL77" i="45"/>
  <c r="BB77" i="45" s="1"/>
  <c r="Z77" i="45"/>
  <c r="AH76" i="45"/>
  <c r="BF76" i="45" s="1"/>
  <c r="BJ76" i="45"/>
  <c r="AK76" i="45"/>
  <c r="AA76" i="45"/>
  <c r="Y224" i="45"/>
  <c r="BA224" i="45" l="1"/>
  <c r="BA77" i="45"/>
  <c r="BT76" i="45"/>
  <c r="BU76" i="45"/>
  <c r="BS76" i="45"/>
  <c r="BV76" i="45"/>
  <c r="AY77" i="45"/>
  <c r="AZ77" i="45"/>
  <c r="AS224" i="45"/>
  <c r="BN76" i="45"/>
  <c r="BX76" i="45"/>
  <c r="AR77" i="45"/>
  <c r="AZ224" i="45"/>
  <c r="AR224" i="45"/>
  <c r="BG76" i="45"/>
  <c r="AI224" i="45"/>
  <c r="U225" i="45" s="1"/>
  <c r="BJ224" i="45"/>
  <c r="BM76" i="45"/>
  <c r="AH224" i="45"/>
  <c r="BF224" i="45" s="1"/>
  <c r="AO76" i="45"/>
  <c r="AZ76" i="45" s="1"/>
  <c r="AL76" i="45"/>
  <c r="BB76" i="45" s="1"/>
  <c r="BC76" i="45"/>
  <c r="AX76" i="45"/>
  <c r="Z76" i="45"/>
  <c r="AH75" i="45"/>
  <c r="BF75" i="45" s="1"/>
  <c r="BJ75" i="45"/>
  <c r="AK75" i="45"/>
  <c r="AA75" i="45"/>
  <c r="BU75" i="45" l="1"/>
  <c r="AR76" i="45"/>
  <c r="BW76" i="45"/>
  <c r="BS75" i="45"/>
  <c r="AY76" i="45"/>
  <c r="BA76" i="45"/>
  <c r="AS76" i="45"/>
  <c r="BG75" i="45"/>
  <c r="X225" i="45"/>
  <c r="V225" i="45"/>
  <c r="AK225" i="45"/>
  <c r="BG224" i="45"/>
  <c r="BU224" i="45"/>
  <c r="BS224" i="45"/>
  <c r="BX224" i="45"/>
  <c r="BN224" i="45"/>
  <c r="BT224" i="45"/>
  <c r="BV224" i="45"/>
  <c r="BM224" i="45"/>
  <c r="AO75" i="45"/>
  <c r="AS75" i="45" s="1"/>
  <c r="BX75" i="45"/>
  <c r="BV75" i="45"/>
  <c r="BT75" i="45"/>
  <c r="BN75" i="45"/>
  <c r="BM75" i="45"/>
  <c r="AL75" i="45"/>
  <c r="BB75" i="45" s="1"/>
  <c r="AX75" i="45"/>
  <c r="BC75" i="45"/>
  <c r="Z75" i="45"/>
  <c r="AH74" i="45"/>
  <c r="BF74" i="45" s="1"/>
  <c r="BJ74" i="45"/>
  <c r="AK74" i="45"/>
  <c r="AA225" i="45"/>
  <c r="AA74" i="45"/>
  <c r="AR75" i="45" l="1"/>
  <c r="AY75" i="45"/>
  <c r="BA75" i="45"/>
  <c r="AZ75" i="45"/>
  <c r="BG74" i="45"/>
  <c r="BS74" i="45"/>
  <c r="BU74" i="45"/>
  <c r="BW74" i="45" s="1"/>
  <c r="BW75" i="45"/>
  <c r="AO225" i="45"/>
  <c r="BA225" i="45" s="1"/>
  <c r="BW224" i="45"/>
  <c r="BC225" i="45"/>
  <c r="AX225" i="45"/>
  <c r="AL225" i="45"/>
  <c r="BB225" i="45" s="1"/>
  <c r="W225" i="45"/>
  <c r="Z225" i="45"/>
  <c r="AO74" i="45"/>
  <c r="AZ74" i="45" s="1"/>
  <c r="BX74" i="45"/>
  <c r="BT74" i="45"/>
  <c r="BN74" i="45"/>
  <c r="BM74" i="45"/>
  <c r="BV74" i="45"/>
  <c r="AL74" i="45"/>
  <c r="BB74" i="45" s="1"/>
  <c r="BC74" i="45"/>
  <c r="AX74" i="45"/>
  <c r="Z74" i="45"/>
  <c r="AH73" i="45"/>
  <c r="BF73" i="45" s="1"/>
  <c r="BJ73" i="45"/>
  <c r="AK73" i="45"/>
  <c r="AA73" i="45"/>
  <c r="Y225" i="45"/>
  <c r="AY225" i="45" l="1"/>
  <c r="AS225" i="45"/>
  <c r="AR74" i="45"/>
  <c r="BX73" i="45"/>
  <c r="BG73" i="45"/>
  <c r="BU73" i="45"/>
  <c r="BS73" i="45"/>
  <c r="BM73" i="45"/>
  <c r="BA74" i="45"/>
  <c r="AR225" i="45"/>
  <c r="AZ225" i="45"/>
  <c r="AS74" i="45"/>
  <c r="AY74" i="45"/>
  <c r="BN73" i="45"/>
  <c r="AI225" i="45"/>
  <c r="U226" i="45" s="1"/>
  <c r="BJ225" i="45"/>
  <c r="BT73" i="45"/>
  <c r="BV73" i="45"/>
  <c r="AH225" i="45"/>
  <c r="BF225" i="45" s="1"/>
  <c r="AO73" i="45"/>
  <c r="BA73" i="45" s="1"/>
  <c r="AL73" i="45"/>
  <c r="BB73" i="45" s="1"/>
  <c r="BC73" i="45"/>
  <c r="AX73" i="45"/>
  <c r="Z73" i="45"/>
  <c r="AH72" i="45"/>
  <c r="BF72" i="45" s="1"/>
  <c r="BJ72" i="45"/>
  <c r="AK72" i="45"/>
  <c r="AA72" i="45"/>
  <c r="AS73" i="45" l="1"/>
  <c r="BW73" i="45"/>
  <c r="BS72" i="45"/>
  <c r="BG72" i="45"/>
  <c r="AY73" i="45"/>
  <c r="BU72" i="45"/>
  <c r="BW72" i="45" s="1"/>
  <c r="AR73" i="45"/>
  <c r="AZ73" i="45"/>
  <c r="X226" i="45"/>
  <c r="V226" i="45"/>
  <c r="AK226" i="45"/>
  <c r="BT225" i="45"/>
  <c r="BM225" i="45"/>
  <c r="BX225" i="45"/>
  <c r="BV225" i="45"/>
  <c r="BN225" i="45"/>
  <c r="BS225" i="45"/>
  <c r="BG225" i="45"/>
  <c r="BU225" i="45"/>
  <c r="AO72" i="45"/>
  <c r="AR72" i="45" s="1"/>
  <c r="BV72" i="45"/>
  <c r="BN72" i="45"/>
  <c r="BM72" i="45"/>
  <c r="BX72" i="45"/>
  <c r="BT72" i="45"/>
  <c r="AL72" i="45"/>
  <c r="BB72" i="45" s="1"/>
  <c r="BC72" i="45"/>
  <c r="AX72" i="45"/>
  <c r="Z72" i="45"/>
  <c r="AH71" i="45"/>
  <c r="BF71" i="45" s="1"/>
  <c r="BJ71" i="45"/>
  <c r="AK71" i="45"/>
  <c r="AA226" i="45"/>
  <c r="AA71" i="45"/>
  <c r="BG71" i="45" l="1"/>
  <c r="BS71" i="45"/>
  <c r="BU71" i="45"/>
  <c r="AS72" i="45"/>
  <c r="BA72" i="45"/>
  <c r="AO226" i="45"/>
  <c r="BA226" i="45" s="1"/>
  <c r="AZ72" i="45"/>
  <c r="AL226" i="45"/>
  <c r="BB226" i="45" s="1"/>
  <c r="AX226" i="45"/>
  <c r="BC226" i="45"/>
  <c r="AY72" i="45"/>
  <c r="BW225" i="45"/>
  <c r="W226" i="45"/>
  <c r="Z226" i="45"/>
  <c r="AO71" i="45"/>
  <c r="AY71" i="45" s="1"/>
  <c r="BT71" i="45"/>
  <c r="BM71" i="45"/>
  <c r="BN71" i="45"/>
  <c r="BX71" i="45"/>
  <c r="BV71" i="45"/>
  <c r="AL71" i="45"/>
  <c r="BB71" i="45" s="1"/>
  <c r="AX71" i="45"/>
  <c r="BC71" i="45"/>
  <c r="Z71" i="45"/>
  <c r="AH70" i="45"/>
  <c r="BF70" i="45" s="1"/>
  <c r="BJ70" i="45"/>
  <c r="AK70" i="45"/>
  <c r="Y226" i="45"/>
  <c r="AA70" i="45"/>
  <c r="AS71" i="45" l="1"/>
  <c r="AZ226" i="45"/>
  <c r="AR71" i="45"/>
  <c r="AS226" i="45"/>
  <c r="AR226" i="45"/>
  <c r="AY226" i="45"/>
  <c r="BT70" i="45"/>
  <c r="BG70" i="45"/>
  <c r="BS70" i="45"/>
  <c r="BU70" i="45"/>
  <c r="BX70" i="45"/>
  <c r="BV70" i="45"/>
  <c r="BN70" i="45"/>
  <c r="BW71" i="45"/>
  <c r="AI226" i="45"/>
  <c r="U227" i="45" s="1"/>
  <c r="BJ226" i="45"/>
  <c r="BM70" i="45"/>
  <c r="AZ71" i="45"/>
  <c r="BA71" i="45"/>
  <c r="AH226" i="45"/>
  <c r="BF226" i="45" s="1"/>
  <c r="AO70" i="45"/>
  <c r="BA70" i="45" s="1"/>
  <c r="BC70" i="45"/>
  <c r="AL70" i="45"/>
  <c r="BB70" i="45" s="1"/>
  <c r="AX70" i="45"/>
  <c r="Z70" i="45"/>
  <c r="AH69" i="45"/>
  <c r="BF69" i="45" s="1"/>
  <c r="BG69" i="45" s="1"/>
  <c r="BJ69" i="45"/>
  <c r="AK69" i="45"/>
  <c r="AA69" i="45"/>
  <c r="BX69" i="45" l="1"/>
  <c r="AS70" i="45"/>
  <c r="BW70" i="45"/>
  <c r="BT69" i="45"/>
  <c r="AY70" i="45"/>
  <c r="BV69" i="45"/>
  <c r="AZ70" i="45"/>
  <c r="X227" i="45"/>
  <c r="V227" i="45"/>
  <c r="AK227" i="45"/>
  <c r="AR70" i="45"/>
  <c r="BS69" i="45"/>
  <c r="BU69" i="45"/>
  <c r="BU226" i="45"/>
  <c r="BS226" i="45"/>
  <c r="BM226" i="45"/>
  <c r="BG226" i="45"/>
  <c r="BN226" i="45"/>
  <c r="BX226" i="45"/>
  <c r="BT226" i="45"/>
  <c r="BV226" i="45"/>
  <c r="BN69" i="45"/>
  <c r="BM69" i="45"/>
  <c r="AO69" i="45"/>
  <c r="BA69" i="45" s="1"/>
  <c r="AL69" i="45"/>
  <c r="BB69" i="45" s="1"/>
  <c r="AX69" i="45"/>
  <c r="BC69" i="45"/>
  <c r="Z69" i="45"/>
  <c r="AH68" i="45"/>
  <c r="BF68" i="45" s="1"/>
  <c r="BJ68" i="45"/>
  <c r="AK68" i="45"/>
  <c r="AA227" i="45"/>
  <c r="AA68" i="45"/>
  <c r="BW69" i="45" l="1"/>
  <c r="BX68" i="45"/>
  <c r="BU68" i="45"/>
  <c r="BS68" i="45"/>
  <c r="BT68" i="45"/>
  <c r="BG68" i="45"/>
  <c r="BN68" i="45"/>
  <c r="AO227" i="45"/>
  <c r="BA227" i="45" s="1"/>
  <c r="AL227" i="45"/>
  <c r="BB227" i="45" s="1"/>
  <c r="AX227" i="45"/>
  <c r="BC227" i="45"/>
  <c r="BV68" i="45"/>
  <c r="AZ69" i="45"/>
  <c r="AY69" i="45"/>
  <c r="AS69" i="45"/>
  <c r="BW226" i="45"/>
  <c r="W227" i="45"/>
  <c r="Z227" i="45"/>
  <c r="BM68" i="45"/>
  <c r="AR69" i="45"/>
  <c r="AO68" i="45"/>
  <c r="AS68" i="45" s="1"/>
  <c r="BC68" i="45"/>
  <c r="AX68" i="45"/>
  <c r="AL68" i="45"/>
  <c r="BB68" i="45" s="1"/>
  <c r="Z68" i="45"/>
  <c r="AH67" i="45"/>
  <c r="BF67" i="45" s="1"/>
  <c r="BJ67" i="45"/>
  <c r="AK67" i="45"/>
  <c r="AA67" i="45"/>
  <c r="Y227" i="45"/>
  <c r="AR68" i="45" l="1"/>
  <c r="AZ68" i="45"/>
  <c r="AY227" i="45"/>
  <c r="AS227" i="45"/>
  <c r="AZ227" i="45"/>
  <c r="BA68" i="45"/>
  <c r="AR227" i="45"/>
  <c r="BW68" i="45"/>
  <c r="AI227" i="45"/>
  <c r="U228" i="45" s="1"/>
  <c r="BJ227" i="45"/>
  <c r="BS67" i="45"/>
  <c r="BU67" i="45"/>
  <c r="BG67" i="45"/>
  <c r="AY68" i="45"/>
  <c r="AH227" i="45"/>
  <c r="BF227" i="45" s="1"/>
  <c r="AO67" i="45"/>
  <c r="BA67" i="45" s="1"/>
  <c r="BM67" i="45"/>
  <c r="BT67" i="45"/>
  <c r="BX67" i="45"/>
  <c r="BN67" i="45"/>
  <c r="BV67" i="45"/>
  <c r="AL67" i="45"/>
  <c r="BB67" i="45" s="1"/>
  <c r="BC67" i="45"/>
  <c r="AX67" i="45"/>
  <c r="Z67" i="45"/>
  <c r="AH66" i="45"/>
  <c r="BF66" i="45" s="1"/>
  <c r="BJ66" i="45"/>
  <c r="AK66" i="45"/>
  <c r="AA66" i="45"/>
  <c r="AY67" i="45" l="1"/>
  <c r="AR67" i="45"/>
  <c r="AZ67" i="45"/>
  <c r="AS67" i="45"/>
  <c r="BG66" i="45"/>
  <c r="BU66" i="45"/>
  <c r="BS66" i="45"/>
  <c r="X228" i="45"/>
  <c r="V228" i="45"/>
  <c r="AK228" i="45"/>
  <c r="BX227" i="45"/>
  <c r="BT227" i="45"/>
  <c r="BG227" i="45"/>
  <c r="BN227" i="45"/>
  <c r="BM227" i="45"/>
  <c r="BU227" i="45"/>
  <c r="BV227" i="45"/>
  <c r="BS227" i="45"/>
  <c r="BW67" i="45"/>
  <c r="AO66" i="45"/>
  <c r="AR66" i="45" s="1"/>
  <c r="BV66" i="45"/>
  <c r="BX66" i="45"/>
  <c r="BM66" i="45"/>
  <c r="BT66" i="45"/>
  <c r="BN66" i="45"/>
  <c r="Z66" i="45"/>
  <c r="AX66" i="45"/>
  <c r="BC66" i="45"/>
  <c r="AL66" i="45"/>
  <c r="BB66" i="45" s="1"/>
  <c r="AH65" i="45"/>
  <c r="BF65" i="45" s="1"/>
  <c r="BJ65" i="45"/>
  <c r="AK65" i="45"/>
  <c r="AA228" i="45"/>
  <c r="AA65" i="45"/>
  <c r="BW66" i="45" l="1"/>
  <c r="BA66" i="45"/>
  <c r="AS66" i="45"/>
  <c r="AY66" i="45"/>
  <c r="AZ66" i="45"/>
  <c r="AO228" i="45"/>
  <c r="BA228" i="45" s="1"/>
  <c r="BW227" i="45"/>
  <c r="AX228" i="45"/>
  <c r="AL228" i="45"/>
  <c r="BB228" i="45" s="1"/>
  <c r="BC228" i="45"/>
  <c r="W228" i="45"/>
  <c r="Z228" i="45"/>
  <c r="AO65" i="45"/>
  <c r="AY65" i="45" s="1"/>
  <c r="BT65" i="45"/>
  <c r="BN65" i="45"/>
  <c r="BV65" i="45"/>
  <c r="BU65" i="45"/>
  <c r="BG65" i="45"/>
  <c r="BS65" i="45"/>
  <c r="BX65" i="45"/>
  <c r="BM65" i="45"/>
  <c r="AX65" i="45"/>
  <c r="BC65" i="45"/>
  <c r="AS65" i="45"/>
  <c r="AL65" i="45"/>
  <c r="BB65" i="45" s="1"/>
  <c r="Z65" i="45"/>
  <c r="AH64" i="45"/>
  <c r="BF64" i="45" s="1"/>
  <c r="BJ64" i="45"/>
  <c r="AK64" i="45"/>
  <c r="Y228" i="45"/>
  <c r="AA64" i="45"/>
  <c r="AZ65" i="45" l="1"/>
  <c r="BA65" i="45"/>
  <c r="AR65" i="45"/>
  <c r="AY228" i="45"/>
  <c r="BW65" i="45"/>
  <c r="AI228" i="45"/>
  <c r="U229" i="45" s="1"/>
  <c r="BJ228" i="45"/>
  <c r="BX64" i="45"/>
  <c r="BG64" i="45"/>
  <c r="BT64" i="45"/>
  <c r="BM64" i="45"/>
  <c r="BV64" i="45"/>
  <c r="BN64" i="45"/>
  <c r="BU64" i="45"/>
  <c r="BS64" i="45"/>
  <c r="AR228" i="45"/>
  <c r="AZ228" i="45"/>
  <c r="AS228" i="45"/>
  <c r="AH228" i="45"/>
  <c r="BF228" i="45" s="1"/>
  <c r="AO64" i="45"/>
  <c r="AY64" i="45" s="1"/>
  <c r="AL64" i="45"/>
  <c r="BB64" i="45" s="1"/>
  <c r="AX64" i="45"/>
  <c r="BC64" i="45"/>
  <c r="Z64" i="45"/>
  <c r="AH63" i="45"/>
  <c r="BF63" i="45" s="1"/>
  <c r="BJ63" i="45"/>
  <c r="AK63" i="45"/>
  <c r="AA63" i="45"/>
  <c r="AS64" i="45" l="1"/>
  <c r="AZ64" i="45"/>
  <c r="BA64" i="45"/>
  <c r="AR64" i="45"/>
  <c r="BX63" i="45"/>
  <c r="BN63" i="45"/>
  <c r="BU63" i="45"/>
  <c r="BS63" i="45"/>
  <c r="BT63" i="45"/>
  <c r="BG63" i="45"/>
  <c r="BV63" i="45"/>
  <c r="BM63" i="45"/>
  <c r="BG228" i="45"/>
  <c r="BU228" i="45"/>
  <c r="BS228" i="45"/>
  <c r="BX228" i="45"/>
  <c r="BT228" i="45"/>
  <c r="BM228" i="45"/>
  <c r="BN228" i="45"/>
  <c r="BV228" i="45"/>
  <c r="BW64" i="45"/>
  <c r="V229" i="45"/>
  <c r="X229" i="45"/>
  <c r="AK229" i="45"/>
  <c r="AO63" i="45"/>
  <c r="AY63" i="45" s="1"/>
  <c r="Z63" i="45"/>
  <c r="BC63" i="45"/>
  <c r="AX63" i="45"/>
  <c r="AL63" i="45"/>
  <c r="BB63" i="45" s="1"/>
  <c r="AH62" i="45"/>
  <c r="BF62" i="45" s="1"/>
  <c r="BJ62" i="45"/>
  <c r="AK62" i="45"/>
  <c r="AA229" i="45"/>
  <c r="AA62" i="45"/>
  <c r="BA63" i="45" l="1"/>
  <c r="AS63" i="45"/>
  <c r="AR63" i="45"/>
  <c r="AZ63" i="45"/>
  <c r="AO229" i="45"/>
  <c r="AR229" i="45" s="1"/>
  <c r="BW63" i="45"/>
  <c r="AX229" i="45"/>
  <c r="BC229" i="45"/>
  <c r="AL229" i="45"/>
  <c r="BB229" i="45" s="1"/>
  <c r="W229" i="45"/>
  <c r="Z229" i="45"/>
  <c r="BW228" i="45"/>
  <c r="AO62" i="45"/>
  <c r="AR62" i="45" s="1"/>
  <c r="BN62" i="45"/>
  <c r="AL62" i="45"/>
  <c r="BB62" i="45" s="1"/>
  <c r="AX62" i="45"/>
  <c r="BC62" i="45"/>
  <c r="BT62" i="45"/>
  <c r="BM62" i="45"/>
  <c r="BU62" i="45"/>
  <c r="BG62" i="45"/>
  <c r="BS62" i="45"/>
  <c r="BV62" i="45"/>
  <c r="BX62" i="45"/>
  <c r="Z62" i="45"/>
  <c r="AH61" i="45"/>
  <c r="BF61" i="45" s="1"/>
  <c r="BJ61" i="45"/>
  <c r="AK61" i="45"/>
  <c r="AA61" i="45"/>
  <c r="Y229" i="45"/>
  <c r="BW62" i="45" l="1"/>
  <c r="BA229" i="45"/>
  <c r="AY229" i="45"/>
  <c r="AS229" i="45"/>
  <c r="AZ229" i="45"/>
  <c r="AI229" i="45"/>
  <c r="U230" i="45" s="1"/>
  <c r="BJ229" i="45"/>
  <c r="AY62" i="45"/>
  <c r="AH229" i="45"/>
  <c r="BF229" i="45" s="1"/>
  <c r="AZ62" i="45"/>
  <c r="AS62" i="45"/>
  <c r="BA62" i="45"/>
  <c r="AO61" i="45"/>
  <c r="AZ61" i="45" s="1"/>
  <c r="BG61" i="45"/>
  <c r="BU61" i="45"/>
  <c r="BS61" i="45"/>
  <c r="BT61" i="45"/>
  <c r="BN61" i="45"/>
  <c r="BV61" i="45"/>
  <c r="BX61" i="45"/>
  <c r="BM61" i="45"/>
  <c r="BC61" i="45"/>
  <c r="AX61" i="45"/>
  <c r="AL61" i="45"/>
  <c r="BB61" i="45" s="1"/>
  <c r="Z61" i="45"/>
  <c r="AK60" i="45"/>
  <c r="AA60" i="45"/>
  <c r="AS61" i="45" l="1"/>
  <c r="BA61" i="45"/>
  <c r="AY61" i="45"/>
  <c r="AR61" i="45"/>
  <c r="BW61" i="45"/>
  <c r="X230" i="45"/>
  <c r="V230" i="45"/>
  <c r="AK230" i="45"/>
  <c r="BS229" i="45"/>
  <c r="BN229" i="45"/>
  <c r="BV229" i="45"/>
  <c r="BM229" i="45"/>
  <c r="BX229" i="45"/>
  <c r="BT229" i="45"/>
  <c r="BU229" i="45"/>
  <c r="BG229" i="45"/>
  <c r="AO60" i="45"/>
  <c r="BA60" i="45" s="1"/>
  <c r="AH60" i="45"/>
  <c r="BF60" i="45" s="1"/>
  <c r="BS60" i="45" s="1"/>
  <c r="BJ60" i="45"/>
  <c r="AL60" i="45"/>
  <c r="BB60" i="45" s="1"/>
  <c r="BC60" i="45"/>
  <c r="AX60" i="45"/>
  <c r="Z60" i="45"/>
  <c r="AH59" i="45"/>
  <c r="BF59" i="45" s="1"/>
  <c r="BJ59" i="45"/>
  <c r="AK59" i="45"/>
  <c r="AA230" i="45"/>
  <c r="AA59" i="45"/>
  <c r="BU60" i="45" l="1"/>
  <c r="AZ60" i="45"/>
  <c r="BX60" i="45"/>
  <c r="BG60" i="45"/>
  <c r="AY60" i="45"/>
  <c r="AR60" i="45"/>
  <c r="BV59" i="45"/>
  <c r="BN59" i="45"/>
  <c r="BX59" i="45"/>
  <c r="BU59" i="45"/>
  <c r="BG59" i="45"/>
  <c r="BM59" i="45"/>
  <c r="BM60" i="45"/>
  <c r="AO230" i="45"/>
  <c r="AZ230" i="45" s="1"/>
  <c r="BS59" i="45"/>
  <c r="BT60" i="45"/>
  <c r="AS60" i="45"/>
  <c r="BN60" i="45"/>
  <c r="BT59" i="45"/>
  <c r="BV60" i="45"/>
  <c r="BW229" i="45"/>
  <c r="BC230" i="45"/>
  <c r="AX230" i="45"/>
  <c r="AY230" i="45"/>
  <c r="AL230" i="45"/>
  <c r="BB230" i="45" s="1"/>
  <c r="W230" i="45"/>
  <c r="Z230" i="45"/>
  <c r="AO59" i="45"/>
  <c r="AS59" i="45" s="1"/>
  <c r="AX59" i="45"/>
  <c r="AL59" i="45"/>
  <c r="BB59" i="45" s="1"/>
  <c r="BC59" i="45"/>
  <c r="Z59" i="45"/>
  <c r="AH58" i="45"/>
  <c r="BF58" i="45" s="1"/>
  <c r="BG58" i="45" s="1"/>
  <c r="BJ58" i="45"/>
  <c r="AK58" i="45"/>
  <c r="AA58" i="45"/>
  <c r="Y230" i="45"/>
  <c r="BW60" i="45" l="1"/>
  <c r="BA59" i="45"/>
  <c r="AZ59" i="45"/>
  <c r="AY59" i="45"/>
  <c r="BW59" i="45"/>
  <c r="AR59" i="45"/>
  <c r="AI230" i="45"/>
  <c r="U231" i="45" s="1"/>
  <c r="BJ230" i="45"/>
  <c r="AR230" i="45"/>
  <c r="BA230" i="45"/>
  <c r="BS58" i="45"/>
  <c r="AS230" i="45"/>
  <c r="BU58" i="45"/>
  <c r="BW58" i="45" s="1"/>
  <c r="AH230" i="45"/>
  <c r="BF230" i="45" s="1"/>
  <c r="AO58" i="45"/>
  <c r="AZ58" i="45" s="1"/>
  <c r="BT58" i="45"/>
  <c r="BV58" i="45"/>
  <c r="BN58" i="45"/>
  <c r="BM58" i="45"/>
  <c r="BX58" i="45"/>
  <c r="AL58" i="45"/>
  <c r="BB58" i="45" s="1"/>
  <c r="BC58" i="45"/>
  <c r="AX58" i="45"/>
  <c r="Z58" i="45"/>
  <c r="AH57" i="45"/>
  <c r="BF57" i="45" s="1"/>
  <c r="BJ57" i="45"/>
  <c r="AK57" i="45"/>
  <c r="AA57" i="45"/>
  <c r="BA58" i="45" l="1"/>
  <c r="AS58" i="45"/>
  <c r="AY58" i="45"/>
  <c r="AR58" i="45"/>
  <c r="BG230" i="45"/>
  <c r="BM230" i="45"/>
  <c r="BN230" i="45"/>
  <c r="BU230" i="45"/>
  <c r="BS230" i="45"/>
  <c r="BV230" i="45"/>
  <c r="BT230" i="45"/>
  <c r="BX230" i="45"/>
  <c r="X231" i="45"/>
  <c r="V231" i="45"/>
  <c r="AK231" i="45"/>
  <c r="AO57" i="45"/>
  <c r="AZ57" i="45" s="1"/>
  <c r="BG57" i="45"/>
  <c r="BU57" i="45"/>
  <c r="BS57" i="45"/>
  <c r="BV57" i="45"/>
  <c r="BT57" i="45"/>
  <c r="BX57" i="45"/>
  <c r="BN57" i="45"/>
  <c r="BM57" i="45"/>
  <c r="BC57" i="45"/>
  <c r="AL57" i="45"/>
  <c r="BB57" i="45" s="1"/>
  <c r="AX57" i="45"/>
  <c r="Z57" i="45"/>
  <c r="AH56" i="45"/>
  <c r="BF56" i="45" s="1"/>
  <c r="BJ56" i="45"/>
  <c r="AK56" i="45"/>
  <c r="AA231" i="45"/>
  <c r="AA56" i="45"/>
  <c r="AR57" i="45" l="1"/>
  <c r="AY57" i="45"/>
  <c r="BA57" i="45"/>
  <c r="BW57" i="45"/>
  <c r="AO231" i="45"/>
  <c r="AR231" i="45" s="1"/>
  <c r="AX231" i="45"/>
  <c r="BC231" i="45"/>
  <c r="AL231" i="45"/>
  <c r="BB231" i="45" s="1"/>
  <c r="BW230" i="45"/>
  <c r="AS57" i="45"/>
  <c r="W231" i="45"/>
  <c r="Z231" i="45"/>
  <c r="AO56" i="45"/>
  <c r="BA56" i="45" s="1"/>
  <c r="BG56" i="45"/>
  <c r="BU56" i="45"/>
  <c r="BS56" i="45"/>
  <c r="BN56" i="45"/>
  <c r="BM56" i="45"/>
  <c r="BX56" i="45"/>
  <c r="BV56" i="45"/>
  <c r="BT56" i="45"/>
  <c r="AL56" i="45"/>
  <c r="BB56" i="45" s="1"/>
  <c r="Z56" i="45"/>
  <c r="BC56" i="45"/>
  <c r="AX56" i="45"/>
  <c r="AH55" i="45"/>
  <c r="BF55" i="45" s="1"/>
  <c r="BJ55" i="45"/>
  <c r="AK55" i="45"/>
  <c r="Y231" i="45"/>
  <c r="AA55" i="45"/>
  <c r="AR56" i="45" l="1"/>
  <c r="AS56" i="45"/>
  <c r="AS231" i="45"/>
  <c r="AZ56" i="45"/>
  <c r="BA231" i="45"/>
  <c r="AY56" i="45"/>
  <c r="BW56" i="45"/>
  <c r="AZ231" i="45"/>
  <c r="AY231" i="45"/>
  <c r="AI231" i="45"/>
  <c r="U232" i="45" s="1"/>
  <c r="BJ231" i="45"/>
  <c r="AH231" i="45"/>
  <c r="BF231" i="45" s="1"/>
  <c r="AO55" i="45"/>
  <c r="AR55" i="45" s="1"/>
  <c r="BG55" i="45"/>
  <c r="BU55" i="45"/>
  <c r="BS55" i="45"/>
  <c r="BX55" i="45"/>
  <c r="BN55" i="45"/>
  <c r="BM55" i="45"/>
  <c r="BV55" i="45"/>
  <c r="BT55" i="45"/>
  <c r="Z55" i="45"/>
  <c r="AL55" i="45"/>
  <c r="BB55" i="45" s="1"/>
  <c r="BC55" i="45"/>
  <c r="AX55" i="45"/>
  <c r="AH54" i="45"/>
  <c r="BF54" i="45" s="1"/>
  <c r="BG54" i="45" s="1"/>
  <c r="BJ54" i="45"/>
  <c r="AK54" i="45"/>
  <c r="AA54" i="45"/>
  <c r="AS55" i="45" l="1"/>
  <c r="BU54" i="45"/>
  <c r="BS54" i="45"/>
  <c r="AZ55" i="45"/>
  <c r="BA55" i="45"/>
  <c r="AY55" i="45"/>
  <c r="BW55" i="45"/>
  <c r="BG231" i="45"/>
  <c r="BU231" i="45"/>
  <c r="BS231" i="45"/>
  <c r="BN231" i="45"/>
  <c r="BV231" i="45"/>
  <c r="BT231" i="45"/>
  <c r="BM231" i="45"/>
  <c r="BX231" i="45"/>
  <c r="X232" i="45"/>
  <c r="V232" i="45"/>
  <c r="AK232" i="45"/>
  <c r="AO54" i="45"/>
  <c r="AS54" i="45" s="1"/>
  <c r="BV54" i="45"/>
  <c r="BN54" i="45"/>
  <c r="BT54" i="45"/>
  <c r="BM54" i="45"/>
  <c r="BX54" i="45"/>
  <c r="Z54" i="45"/>
  <c r="AL54" i="45"/>
  <c r="BB54" i="45" s="1"/>
  <c r="BC54" i="45"/>
  <c r="AX54" i="45"/>
  <c r="AH53" i="45"/>
  <c r="BF53" i="45" s="1"/>
  <c r="BJ53" i="45"/>
  <c r="AK53" i="45"/>
  <c r="AA53" i="45"/>
  <c r="AA232" i="45"/>
  <c r="BW54" i="45" l="1"/>
  <c r="AY54" i="45"/>
  <c r="AR54" i="45"/>
  <c r="BS53" i="45"/>
  <c r="BG53" i="45"/>
  <c r="BU53" i="45"/>
  <c r="BA54" i="45"/>
  <c r="AZ54" i="45"/>
  <c r="AO232" i="45"/>
  <c r="BA232" i="45" s="1"/>
  <c r="AX232" i="45"/>
  <c r="AL232" i="45"/>
  <c r="BB232" i="45" s="1"/>
  <c r="BC232" i="45"/>
  <c r="W232" i="45"/>
  <c r="Z232" i="45"/>
  <c r="BW231" i="45"/>
  <c r="AO53" i="45"/>
  <c r="BA53" i="45" s="1"/>
  <c r="BX53" i="45"/>
  <c r="BN53" i="45"/>
  <c r="BM53" i="45"/>
  <c r="BV53" i="45"/>
  <c r="BT53" i="45"/>
  <c r="BC53" i="45"/>
  <c r="AL53" i="45"/>
  <c r="BB53" i="45" s="1"/>
  <c r="AX53" i="45"/>
  <c r="Z53" i="45"/>
  <c r="AH52" i="45"/>
  <c r="BF52" i="45" s="1"/>
  <c r="BJ52" i="45"/>
  <c r="AK52" i="45"/>
  <c r="AA52" i="45"/>
  <c r="Y232" i="45"/>
  <c r="BW53" i="45" l="1"/>
  <c r="AZ53" i="45"/>
  <c r="AY53" i="45"/>
  <c r="BG52" i="45"/>
  <c r="BU52" i="45"/>
  <c r="BS52" i="45"/>
  <c r="AZ232" i="45"/>
  <c r="AS232" i="45"/>
  <c r="AI232" i="45"/>
  <c r="U233" i="45" s="1"/>
  <c r="BJ232" i="45"/>
  <c r="AR232" i="45"/>
  <c r="AR53" i="45"/>
  <c r="AS53" i="45"/>
  <c r="AY232" i="45"/>
  <c r="AH232" i="45"/>
  <c r="BF232" i="45" s="1"/>
  <c r="AO52" i="45"/>
  <c r="BA52" i="45" s="1"/>
  <c r="BT52" i="45"/>
  <c r="BX52" i="45"/>
  <c r="BN52" i="45"/>
  <c r="BM52" i="45"/>
  <c r="BV52" i="45"/>
  <c r="BC52" i="45"/>
  <c r="AL52" i="45"/>
  <c r="BB52" i="45" s="1"/>
  <c r="AX52" i="45"/>
  <c r="Z52" i="45"/>
  <c r="AH51" i="45"/>
  <c r="BF51" i="45" s="1"/>
  <c r="BJ51" i="45"/>
  <c r="AK51" i="45"/>
  <c r="AA51" i="45"/>
  <c r="BX51" i="45" l="1"/>
  <c r="BG51" i="45"/>
  <c r="BM51" i="45"/>
  <c r="AZ52" i="45"/>
  <c r="AY52" i="45"/>
  <c r="BU51" i="45"/>
  <c r="BT51" i="45"/>
  <c r="AS52" i="45"/>
  <c r="AR52" i="45"/>
  <c r="BS51" i="45"/>
  <c r="BN51" i="45"/>
  <c r="BW52" i="45"/>
  <c r="X233" i="45"/>
  <c r="V233" i="45"/>
  <c r="AK233" i="45"/>
  <c r="BG232" i="45"/>
  <c r="BU232" i="45"/>
  <c r="BS232" i="45"/>
  <c r="BV232" i="45"/>
  <c r="BM232" i="45"/>
  <c r="BX232" i="45"/>
  <c r="BT232" i="45"/>
  <c r="BN232" i="45"/>
  <c r="BV51" i="45"/>
  <c r="AO51" i="45"/>
  <c r="AS51" i="45" s="1"/>
  <c r="AX51" i="45"/>
  <c r="AL51" i="45"/>
  <c r="BB51" i="45" s="1"/>
  <c r="BC51" i="45"/>
  <c r="Z51" i="45"/>
  <c r="AH50" i="45"/>
  <c r="BF50" i="45" s="1"/>
  <c r="BJ50" i="45"/>
  <c r="AK50" i="45"/>
  <c r="AA233" i="45"/>
  <c r="AA50" i="45"/>
  <c r="BW51" i="45" l="1"/>
  <c r="BG50" i="45"/>
  <c r="BU50" i="45"/>
  <c r="BS50" i="45"/>
  <c r="AO233" i="45"/>
  <c r="BA233" i="45" s="1"/>
  <c r="AR51" i="45"/>
  <c r="AY51" i="45"/>
  <c r="BA51" i="45"/>
  <c r="AZ51" i="45"/>
  <c r="BW232" i="45"/>
  <c r="AL233" i="45"/>
  <c r="BB233" i="45" s="1"/>
  <c r="BC233" i="45"/>
  <c r="AX233" i="45"/>
  <c r="W233" i="45"/>
  <c r="Z233" i="45"/>
  <c r="AO50" i="45"/>
  <c r="BA50" i="45" s="1"/>
  <c r="BX50" i="45"/>
  <c r="BN50" i="45"/>
  <c r="BM50" i="45"/>
  <c r="BT50" i="45"/>
  <c r="BV50" i="45"/>
  <c r="AX50" i="45"/>
  <c r="BC50" i="45"/>
  <c r="AL50" i="45"/>
  <c r="BB50" i="45" s="1"/>
  <c r="Z50" i="45"/>
  <c r="AH49" i="45"/>
  <c r="BF49" i="45" s="1"/>
  <c r="BJ49" i="45"/>
  <c r="AK49" i="45"/>
  <c r="AA49" i="45"/>
  <c r="Y233" i="45"/>
  <c r="BW50" i="45" l="1"/>
  <c r="AZ233" i="45"/>
  <c r="AS233" i="45"/>
  <c r="AR233" i="45"/>
  <c r="AZ50" i="45"/>
  <c r="AS50" i="45"/>
  <c r="AR50" i="45"/>
  <c r="AY233" i="45"/>
  <c r="AI233" i="45"/>
  <c r="U234" i="45" s="1"/>
  <c r="BJ233" i="45"/>
  <c r="BM49" i="45"/>
  <c r="BX49" i="45"/>
  <c r="BS49" i="45"/>
  <c r="BN49" i="45"/>
  <c r="BT49" i="45"/>
  <c r="BG49" i="45"/>
  <c r="BV49" i="45"/>
  <c r="BU49" i="45"/>
  <c r="AH233" i="45"/>
  <c r="BF233" i="45" s="1"/>
  <c r="AY50" i="45"/>
  <c r="AO49" i="45"/>
  <c r="AR49" i="45" s="1"/>
  <c r="BC49" i="45"/>
  <c r="AL49" i="45"/>
  <c r="BB49" i="45" s="1"/>
  <c r="AX49" i="45"/>
  <c r="Z49" i="45"/>
  <c r="AH48" i="45"/>
  <c r="BF48" i="45" s="1"/>
  <c r="BJ48" i="45"/>
  <c r="AK48" i="45"/>
  <c r="AA48" i="45"/>
  <c r="BA49" i="45" l="1"/>
  <c r="AZ49" i="45"/>
  <c r="AY49" i="45"/>
  <c r="BU48" i="45"/>
  <c r="BG48" i="45"/>
  <c r="BX48" i="45"/>
  <c r="BV48" i="45"/>
  <c r="AS49" i="45"/>
  <c r="BN48" i="45"/>
  <c r="BW49" i="45"/>
  <c r="BM48" i="45"/>
  <c r="BT48" i="45"/>
  <c r="BS48" i="45"/>
  <c r="BG233" i="45"/>
  <c r="BU233" i="45"/>
  <c r="BS233" i="45"/>
  <c r="BT233" i="45"/>
  <c r="BV233" i="45"/>
  <c r="BN233" i="45"/>
  <c r="BM233" i="45"/>
  <c r="BX233" i="45"/>
  <c r="X234" i="45"/>
  <c r="V234" i="45"/>
  <c r="AK234" i="45"/>
  <c r="AO48" i="45"/>
  <c r="BA48" i="45" s="1"/>
  <c r="AL48" i="45"/>
  <c r="BB48" i="45" s="1"/>
  <c r="BC48" i="45"/>
  <c r="AX48" i="45"/>
  <c r="Z48" i="45"/>
  <c r="AH47" i="45"/>
  <c r="BF47" i="45" s="1"/>
  <c r="BJ47" i="45"/>
  <c r="AK47" i="45"/>
  <c r="AA47" i="45"/>
  <c r="AA234" i="45"/>
  <c r="AY48" i="45" l="1"/>
  <c r="AZ48" i="45"/>
  <c r="AS48" i="45"/>
  <c r="AR48" i="45"/>
  <c r="BW48" i="45"/>
  <c r="AO234" i="45"/>
  <c r="AZ234" i="45" s="1"/>
  <c r="BS47" i="45"/>
  <c r="BV47" i="45"/>
  <c r="BX47" i="45"/>
  <c r="BN47" i="45"/>
  <c r="BU47" i="45"/>
  <c r="BG47" i="45"/>
  <c r="BM47" i="45"/>
  <c r="BT47" i="45"/>
  <c r="W234" i="45"/>
  <c r="Z234" i="45"/>
  <c r="BW233" i="45"/>
  <c r="BC234" i="45"/>
  <c r="AX234" i="45"/>
  <c r="AL234" i="45"/>
  <c r="BB234" i="45" s="1"/>
  <c r="AO47" i="45"/>
  <c r="AY47" i="45" s="1"/>
  <c r="AL47" i="45"/>
  <c r="BB47" i="45" s="1"/>
  <c r="AX47" i="45"/>
  <c r="BC47" i="45"/>
  <c r="Z47" i="45"/>
  <c r="AH46" i="45"/>
  <c r="BF46" i="45" s="1"/>
  <c r="BJ46" i="45"/>
  <c r="AK46" i="45"/>
  <c r="AA46" i="45"/>
  <c r="Y234" i="45"/>
  <c r="BA47" i="45" l="1"/>
  <c r="AR234" i="45"/>
  <c r="BA234" i="45"/>
  <c r="AY234" i="45"/>
  <c r="BG46" i="45"/>
  <c r="BT46" i="45"/>
  <c r="AR47" i="45"/>
  <c r="AZ47" i="45"/>
  <c r="AS47" i="45"/>
  <c r="AS234" i="45"/>
  <c r="AI234" i="45"/>
  <c r="U235" i="45" s="1"/>
  <c r="BJ234" i="45"/>
  <c r="BX46" i="45"/>
  <c r="BW47" i="45"/>
  <c r="BS46" i="45"/>
  <c r="BU46" i="45"/>
  <c r="BW46" i="45" s="1"/>
  <c r="BM46" i="45"/>
  <c r="BV46" i="45"/>
  <c r="BN46" i="45"/>
  <c r="AH234" i="45"/>
  <c r="BF234" i="45" s="1"/>
  <c r="AO46" i="45"/>
  <c r="BA46" i="45" s="1"/>
  <c r="AL46" i="45"/>
  <c r="BB46" i="45" s="1"/>
  <c r="AX46" i="45"/>
  <c r="BC46" i="45"/>
  <c r="Z46" i="45"/>
  <c r="AH45" i="45"/>
  <c r="BF45" i="45" s="1"/>
  <c r="BG45" i="45" s="1"/>
  <c r="BJ45" i="45"/>
  <c r="AK45" i="45"/>
  <c r="AA45" i="45"/>
  <c r="AR46" i="45" l="1"/>
  <c r="AZ46" i="45"/>
  <c r="AS46" i="45"/>
  <c r="AY46" i="45"/>
  <c r="BU45" i="45"/>
  <c r="X235" i="45"/>
  <c r="V235" i="45"/>
  <c r="AK235" i="45"/>
  <c r="BS45" i="45"/>
  <c r="BG234" i="45"/>
  <c r="BU234" i="45"/>
  <c r="BS234" i="45"/>
  <c r="BM234" i="45"/>
  <c r="BN234" i="45"/>
  <c r="BX234" i="45"/>
  <c r="BT234" i="45"/>
  <c r="BV234" i="45"/>
  <c r="AO45" i="45"/>
  <c r="AR45" i="45" s="1"/>
  <c r="BX45" i="45"/>
  <c r="BN45" i="45"/>
  <c r="BT45" i="45"/>
  <c r="BM45" i="45"/>
  <c r="BV45" i="45"/>
  <c r="AX45" i="45"/>
  <c r="AL45" i="45"/>
  <c r="BB45" i="45" s="1"/>
  <c r="BC45" i="45"/>
  <c r="Z45" i="45"/>
  <c r="AH44" i="45"/>
  <c r="BF44" i="45" s="1"/>
  <c r="BJ44" i="45"/>
  <c r="AK44" i="45"/>
  <c r="AA235" i="45"/>
  <c r="AA44" i="45"/>
  <c r="AS45" i="45" l="1"/>
  <c r="BA45" i="45"/>
  <c r="AY45" i="45"/>
  <c r="BG44" i="45"/>
  <c r="BS44" i="45"/>
  <c r="AZ45" i="45"/>
  <c r="BU44" i="45"/>
  <c r="BW45" i="45"/>
  <c r="AO235" i="45"/>
  <c r="AS235" i="45" s="1"/>
  <c r="BW234" i="45"/>
  <c r="AX235" i="45"/>
  <c r="BC235" i="45"/>
  <c r="AL235" i="45"/>
  <c r="BB235" i="45" s="1"/>
  <c r="W235" i="45"/>
  <c r="Z235" i="45"/>
  <c r="AO44" i="45"/>
  <c r="BA44" i="45" s="1"/>
  <c r="BT44" i="45"/>
  <c r="BM44" i="45"/>
  <c r="BV44" i="45"/>
  <c r="BN44" i="45"/>
  <c r="BX44" i="45"/>
  <c r="AX44" i="45"/>
  <c r="AL44" i="45"/>
  <c r="BB44" i="45" s="1"/>
  <c r="BC44" i="45"/>
  <c r="Z44" i="45"/>
  <c r="AH43" i="45"/>
  <c r="BF43" i="45" s="1"/>
  <c r="BJ43" i="45"/>
  <c r="AK43" i="45"/>
  <c r="AA43" i="45"/>
  <c r="Y235" i="45"/>
  <c r="BW44" i="45" l="1"/>
  <c r="AY235" i="45"/>
  <c r="BS43" i="45"/>
  <c r="BU43" i="45"/>
  <c r="BG43" i="45"/>
  <c r="AZ44" i="45"/>
  <c r="AS44" i="45"/>
  <c r="AI235" i="45"/>
  <c r="U236" i="45" s="1"/>
  <c r="BJ235" i="45"/>
  <c r="AR235" i="45"/>
  <c r="AY44" i="45"/>
  <c r="AZ235" i="45"/>
  <c r="BA235" i="45"/>
  <c r="AR44" i="45"/>
  <c r="AH235" i="45"/>
  <c r="BF235" i="45" s="1"/>
  <c r="AO43" i="45"/>
  <c r="BA43" i="45" s="1"/>
  <c r="BM43" i="45"/>
  <c r="BT43" i="45"/>
  <c r="BN43" i="45"/>
  <c r="BX43" i="45"/>
  <c r="BV43" i="45"/>
  <c r="BC43" i="45"/>
  <c r="AL43" i="45"/>
  <c r="BB43" i="45" s="1"/>
  <c r="AX43" i="45"/>
  <c r="Z43" i="45"/>
  <c r="AH42" i="45"/>
  <c r="BF42" i="45" s="1"/>
  <c r="BJ42" i="45"/>
  <c r="AK42" i="45"/>
  <c r="AA42" i="45"/>
  <c r="AS43" i="45" l="1"/>
  <c r="AY43" i="45"/>
  <c r="AZ43" i="45"/>
  <c r="BW43" i="45"/>
  <c r="BU42" i="45"/>
  <c r="BS42" i="45"/>
  <c r="BG42" i="45"/>
  <c r="AR43" i="45"/>
  <c r="BM235" i="45"/>
  <c r="BS235" i="45"/>
  <c r="BU235" i="45"/>
  <c r="BN235" i="45"/>
  <c r="BX235" i="45"/>
  <c r="BT235" i="45"/>
  <c r="BV235" i="45"/>
  <c r="BG235" i="45"/>
  <c r="X236" i="45"/>
  <c r="V236" i="45"/>
  <c r="AK236" i="45"/>
  <c r="AO42" i="45"/>
  <c r="AS42" i="45" s="1"/>
  <c r="BX42" i="45"/>
  <c r="BM42" i="45"/>
  <c r="BT42" i="45"/>
  <c r="BV42" i="45"/>
  <c r="BN42" i="45"/>
  <c r="AL42" i="45"/>
  <c r="BB42" i="45" s="1"/>
  <c r="AX42" i="45"/>
  <c r="BC42" i="45"/>
  <c r="Z42" i="45"/>
  <c r="AH41" i="45"/>
  <c r="BF41" i="45" s="1"/>
  <c r="BJ41" i="45"/>
  <c r="AK41" i="45"/>
  <c r="AA236" i="45"/>
  <c r="AA41" i="45"/>
  <c r="BW42" i="45" l="1"/>
  <c r="AR42" i="45"/>
  <c r="AO236" i="45"/>
  <c r="BA236" i="45" s="1"/>
  <c r="BV41" i="45"/>
  <c r="BT41" i="45"/>
  <c r="BG41" i="45"/>
  <c r="BX41" i="45"/>
  <c r="BU41" i="45"/>
  <c r="BN41" i="45"/>
  <c r="BM41" i="45"/>
  <c r="BS41" i="45"/>
  <c r="AZ42" i="45"/>
  <c r="BA42" i="45"/>
  <c r="BC236" i="45"/>
  <c r="AL236" i="45"/>
  <c r="BB236" i="45" s="1"/>
  <c r="AX236" i="45"/>
  <c r="AY42" i="45"/>
  <c r="W236" i="45"/>
  <c r="Z236" i="45"/>
  <c r="BW235" i="45"/>
  <c r="AO41" i="45"/>
  <c r="AY41" i="45" s="1"/>
  <c r="AX41" i="45"/>
  <c r="BC41" i="45"/>
  <c r="AL41" i="45"/>
  <c r="BB41" i="45" s="1"/>
  <c r="Z41" i="45"/>
  <c r="AH40" i="45"/>
  <c r="BF40" i="45" s="1"/>
  <c r="BJ40" i="45"/>
  <c r="AK40" i="45"/>
  <c r="Y236" i="45"/>
  <c r="AA40" i="45"/>
  <c r="AR41" i="45" l="1"/>
  <c r="AS41" i="45"/>
  <c r="AR236" i="45"/>
  <c r="BA41" i="45"/>
  <c r="AZ41" i="45"/>
  <c r="AY236" i="45"/>
  <c r="AZ236" i="45"/>
  <c r="AS236" i="45"/>
  <c r="AI236" i="45"/>
  <c r="U237" i="45" s="1"/>
  <c r="BJ236" i="45"/>
  <c r="BG40" i="45"/>
  <c r="BU40" i="45"/>
  <c r="BS40" i="45"/>
  <c r="AH236" i="45"/>
  <c r="BF236" i="45" s="1"/>
  <c r="BW41" i="45"/>
  <c r="AO40" i="45"/>
  <c r="AR40" i="45" s="1"/>
  <c r="BN40" i="45"/>
  <c r="BX40" i="45"/>
  <c r="BV40" i="45"/>
  <c r="BM40" i="45"/>
  <c r="BT40" i="45"/>
  <c r="AL40" i="45"/>
  <c r="BB40" i="45" s="1"/>
  <c r="BC40" i="45"/>
  <c r="AX40" i="45"/>
  <c r="Z40" i="45"/>
  <c r="AH39" i="45"/>
  <c r="BF39" i="45" s="1"/>
  <c r="BJ39" i="45"/>
  <c r="AK39" i="45"/>
  <c r="AA39" i="45"/>
  <c r="AZ40" i="45" l="1"/>
  <c r="AS40" i="45"/>
  <c r="AY40" i="45"/>
  <c r="BA40" i="45"/>
  <c r="BG39" i="45"/>
  <c r="BX39" i="45"/>
  <c r="BS39" i="45"/>
  <c r="BV39" i="45"/>
  <c r="BU39" i="45"/>
  <c r="BT39" i="45"/>
  <c r="X237" i="45"/>
  <c r="V237" i="45"/>
  <c r="AK237" i="45"/>
  <c r="BM39" i="45"/>
  <c r="BX236" i="45"/>
  <c r="BN236" i="45"/>
  <c r="BU236" i="45"/>
  <c r="BM236" i="45"/>
  <c r="BT236" i="45"/>
  <c r="BG236" i="45"/>
  <c r="BV236" i="45"/>
  <c r="BS236" i="45"/>
  <c r="BW40" i="45"/>
  <c r="BN39" i="45"/>
  <c r="AO39" i="45"/>
  <c r="AS39" i="45" s="1"/>
  <c r="BC39" i="45"/>
  <c r="AX39" i="45"/>
  <c r="AL39" i="45"/>
  <c r="BB39" i="45" s="1"/>
  <c r="Z39" i="45"/>
  <c r="AH38" i="45"/>
  <c r="BF38" i="45" s="1"/>
  <c r="BJ38" i="45"/>
  <c r="AK38" i="45"/>
  <c r="AA237" i="45"/>
  <c r="AA38" i="45"/>
  <c r="BW39" i="45" l="1"/>
  <c r="BU38" i="45"/>
  <c r="BG38" i="45"/>
  <c r="BA39" i="45"/>
  <c r="AR39" i="45"/>
  <c r="BS38" i="45"/>
  <c r="AO237" i="45"/>
  <c r="AR237" i="45" s="1"/>
  <c r="AZ39" i="45"/>
  <c r="AX237" i="45"/>
  <c r="AL237" i="45"/>
  <c r="BB237" i="45" s="1"/>
  <c r="BC237" i="45"/>
  <c r="AY39" i="45"/>
  <c r="BW236" i="45"/>
  <c r="W237" i="45"/>
  <c r="Z237" i="45"/>
  <c r="AO38" i="45"/>
  <c r="AZ38" i="45" s="1"/>
  <c r="BT38" i="45"/>
  <c r="BN38" i="45"/>
  <c r="BM38" i="45"/>
  <c r="BV38" i="45"/>
  <c r="BX38" i="45"/>
  <c r="AL38" i="45"/>
  <c r="BB38" i="45" s="1"/>
  <c r="AX38" i="45"/>
  <c r="BC38" i="45"/>
  <c r="Z38" i="45"/>
  <c r="AH37" i="45"/>
  <c r="BF37" i="45" s="1"/>
  <c r="BJ37" i="45"/>
  <c r="AK37" i="45"/>
  <c r="AA37" i="45"/>
  <c r="Y237" i="45"/>
  <c r="AS237" i="45" l="1"/>
  <c r="AY38" i="45"/>
  <c r="AS38" i="45"/>
  <c r="AR38" i="45"/>
  <c r="BW38" i="45"/>
  <c r="AZ237" i="45"/>
  <c r="BG37" i="45"/>
  <c r="BS37" i="45"/>
  <c r="BU37" i="45"/>
  <c r="AI237" i="45"/>
  <c r="U238" i="45" s="1"/>
  <c r="BJ237" i="45"/>
  <c r="AY237" i="45"/>
  <c r="BA38" i="45"/>
  <c r="AH237" i="45"/>
  <c r="BF237" i="45" s="1"/>
  <c r="BA237" i="45"/>
  <c r="AO37" i="45"/>
  <c r="AR37" i="45" s="1"/>
  <c r="BT37" i="45"/>
  <c r="BV37" i="45"/>
  <c r="BM37" i="45"/>
  <c r="BN37" i="45"/>
  <c r="BX37" i="45"/>
  <c r="AL37" i="45"/>
  <c r="BB37" i="45" s="1"/>
  <c r="AX37" i="45"/>
  <c r="BC37" i="45"/>
  <c r="Z37" i="45"/>
  <c r="AH36" i="45"/>
  <c r="BF36" i="45" s="1"/>
  <c r="BJ36" i="45"/>
  <c r="AK36" i="45"/>
  <c r="AA36" i="45"/>
  <c r="BW37" i="45" l="1"/>
  <c r="AY37" i="45"/>
  <c r="BA37" i="45"/>
  <c r="BS36" i="45"/>
  <c r="BU36" i="45"/>
  <c r="BG36" i="45"/>
  <c r="AZ37" i="45"/>
  <c r="AS37" i="45"/>
  <c r="BG237" i="45"/>
  <c r="BU237" i="45"/>
  <c r="BS237" i="45"/>
  <c r="BM237" i="45"/>
  <c r="BX237" i="45"/>
  <c r="BT237" i="45"/>
  <c r="BV237" i="45"/>
  <c r="BN237" i="45"/>
  <c r="X238" i="45"/>
  <c r="V238" i="45"/>
  <c r="AK238" i="45"/>
  <c r="AO36" i="45"/>
  <c r="AY36" i="45" s="1"/>
  <c r="BN36" i="45"/>
  <c r="BT36" i="45"/>
  <c r="BX36" i="45"/>
  <c r="BV36" i="45"/>
  <c r="BM36" i="45"/>
  <c r="AL36" i="45"/>
  <c r="BB36" i="45" s="1"/>
  <c r="BC36" i="45"/>
  <c r="AX36" i="45"/>
  <c r="Z36" i="45"/>
  <c r="AH35" i="45"/>
  <c r="BF35" i="45" s="1"/>
  <c r="BJ35" i="45"/>
  <c r="AK35" i="45"/>
  <c r="AA238" i="45"/>
  <c r="AA35" i="45"/>
  <c r="AZ36" i="45" l="1"/>
  <c r="BW36" i="45"/>
  <c r="AO238" i="45"/>
  <c r="BA238" i="45" s="1"/>
  <c r="BS35" i="45"/>
  <c r="BG35" i="45"/>
  <c r="BU35" i="45"/>
  <c r="BA36" i="45"/>
  <c r="AR36" i="45"/>
  <c r="BC238" i="45"/>
  <c r="AX238" i="45"/>
  <c r="AL238" i="45"/>
  <c r="BB238" i="45" s="1"/>
  <c r="AS36" i="45"/>
  <c r="W238" i="45"/>
  <c r="Z238" i="45"/>
  <c r="BW237" i="45"/>
  <c r="AO35" i="45"/>
  <c r="BA35" i="45" s="1"/>
  <c r="BT35" i="45"/>
  <c r="BN35" i="45"/>
  <c r="BM35" i="45"/>
  <c r="BX35" i="45"/>
  <c r="BV35" i="45"/>
  <c r="AX35" i="45"/>
  <c r="AL35" i="45"/>
  <c r="BB35" i="45" s="1"/>
  <c r="BC35" i="45"/>
  <c r="Z35" i="45"/>
  <c r="AH34" i="45"/>
  <c r="BF34" i="45" s="1"/>
  <c r="BJ34" i="45"/>
  <c r="AK34" i="45"/>
  <c r="Y238" i="45"/>
  <c r="AA34" i="45"/>
  <c r="AY35" i="45" l="1"/>
  <c r="AS238" i="45"/>
  <c r="AZ35" i="45"/>
  <c r="AR35" i="45"/>
  <c r="AS35" i="45"/>
  <c r="BN34" i="45"/>
  <c r="BU34" i="45"/>
  <c r="BS34" i="45"/>
  <c r="BG34" i="45"/>
  <c r="BT34" i="45"/>
  <c r="AR238" i="45"/>
  <c r="AI238" i="45"/>
  <c r="U239" i="45" s="1"/>
  <c r="BJ238" i="45"/>
  <c r="AH238" i="45"/>
  <c r="BF238" i="45" s="1"/>
  <c r="AZ238" i="45"/>
  <c r="BV34" i="45"/>
  <c r="AY238" i="45"/>
  <c r="BX34" i="45"/>
  <c r="BW35" i="45"/>
  <c r="BM34" i="45"/>
  <c r="AO34" i="45"/>
  <c r="AY34" i="45" s="1"/>
  <c r="AX34" i="45"/>
  <c r="BC34" i="45"/>
  <c r="AL34" i="45"/>
  <c r="BB34" i="45" s="1"/>
  <c r="Z34" i="45"/>
  <c r="AH33" i="45"/>
  <c r="BF33" i="45" s="1"/>
  <c r="BJ33" i="45"/>
  <c r="AK33" i="45"/>
  <c r="AA33" i="45"/>
  <c r="AR34" i="45" l="1"/>
  <c r="AS34" i="45"/>
  <c r="BA34" i="45"/>
  <c r="BU33" i="45"/>
  <c r="BW34" i="45"/>
  <c r="BG33" i="45"/>
  <c r="X239" i="45"/>
  <c r="V239" i="45"/>
  <c r="AK239" i="45"/>
  <c r="AZ34" i="45"/>
  <c r="BG238" i="45"/>
  <c r="BU238" i="45"/>
  <c r="BS238" i="45"/>
  <c r="BV238" i="45"/>
  <c r="BX238" i="45"/>
  <c r="BN238" i="45"/>
  <c r="BT238" i="45"/>
  <c r="BM238" i="45"/>
  <c r="BS33" i="45"/>
  <c r="AO33" i="45"/>
  <c r="AR33" i="45" s="1"/>
  <c r="BX33" i="45"/>
  <c r="BN33" i="45"/>
  <c r="BT33" i="45"/>
  <c r="BM33" i="45"/>
  <c r="BV33" i="45"/>
  <c r="BC33" i="45"/>
  <c r="AX33" i="45"/>
  <c r="AL33" i="45"/>
  <c r="BB33" i="45" s="1"/>
  <c r="Z33" i="45"/>
  <c r="AH32" i="45"/>
  <c r="BF32" i="45" s="1"/>
  <c r="BJ32" i="45"/>
  <c r="AK32" i="45"/>
  <c r="AA239" i="45"/>
  <c r="AA32" i="45"/>
  <c r="AS33" i="45" l="1"/>
  <c r="AZ33" i="45"/>
  <c r="BA33" i="45"/>
  <c r="BW33" i="45"/>
  <c r="AO239" i="45"/>
  <c r="AS239" i="45" s="1"/>
  <c r="BM32" i="45"/>
  <c r="BT32" i="45"/>
  <c r="BG32" i="45"/>
  <c r="BN32" i="45"/>
  <c r="BX32" i="45"/>
  <c r="BV32" i="45"/>
  <c r="BU32" i="45"/>
  <c r="BS32" i="45"/>
  <c r="AY33" i="45"/>
  <c r="BW238" i="45"/>
  <c r="BC239" i="45"/>
  <c r="AX239" i="45"/>
  <c r="AL239" i="45"/>
  <c r="BB239" i="45" s="1"/>
  <c r="W239" i="45"/>
  <c r="Z239" i="45"/>
  <c r="AO32" i="45"/>
  <c r="AS32" i="45" s="1"/>
  <c r="BC32" i="45"/>
  <c r="AX32" i="45"/>
  <c r="AL32" i="45"/>
  <c r="BB32" i="45" s="1"/>
  <c r="Z32" i="45"/>
  <c r="AH31" i="45"/>
  <c r="BF31" i="45" s="1"/>
  <c r="BJ31" i="45"/>
  <c r="AK31" i="45"/>
  <c r="AA31" i="45"/>
  <c r="Y239" i="45"/>
  <c r="AZ32" i="45" l="1"/>
  <c r="AZ239" i="45"/>
  <c r="BA239" i="45"/>
  <c r="AR239" i="45"/>
  <c r="BU31" i="45"/>
  <c r="AR32" i="45"/>
  <c r="BG31" i="45"/>
  <c r="AY32" i="45"/>
  <c r="BA32" i="45"/>
  <c r="AI239" i="45"/>
  <c r="U240" i="45" s="1"/>
  <c r="BJ239" i="45"/>
  <c r="BS31" i="45"/>
  <c r="AY239" i="45"/>
  <c r="AH239" i="45"/>
  <c r="BF239" i="45" s="1"/>
  <c r="BW32" i="45"/>
  <c r="AO31" i="45"/>
  <c r="BA31" i="45" s="1"/>
  <c r="BX31" i="45"/>
  <c r="BN31" i="45"/>
  <c r="BV31" i="45"/>
  <c r="BM31" i="45"/>
  <c r="BT31" i="45"/>
  <c r="AL31" i="45"/>
  <c r="BB31" i="45" s="1"/>
  <c r="AX31" i="45"/>
  <c r="BC31" i="45"/>
  <c r="Z31" i="45"/>
  <c r="AH30" i="45"/>
  <c r="BF30" i="45" s="1"/>
  <c r="BJ30" i="45"/>
  <c r="AK30" i="45"/>
  <c r="AA30" i="45"/>
  <c r="BW31" i="45" l="1"/>
  <c r="BX30" i="45"/>
  <c r="BG30" i="45"/>
  <c r="BV30" i="45"/>
  <c r="BN30" i="45"/>
  <c r="BS30" i="45"/>
  <c r="BM30" i="45"/>
  <c r="BT30" i="45"/>
  <c r="BU30" i="45"/>
  <c r="AR31" i="45"/>
  <c r="AS31" i="45"/>
  <c r="AY31" i="45"/>
  <c r="AZ31" i="45"/>
  <c r="BU239" i="45"/>
  <c r="BG239" i="45"/>
  <c r="BS239" i="45"/>
  <c r="BX239" i="45"/>
  <c r="BT239" i="45"/>
  <c r="BV239" i="45"/>
  <c r="BN239" i="45"/>
  <c r="BM239" i="45"/>
  <c r="X240" i="45"/>
  <c r="V240" i="45"/>
  <c r="AK240" i="45"/>
  <c r="AO30" i="45"/>
  <c r="AZ30" i="45" s="1"/>
  <c r="AX30" i="45"/>
  <c r="AL30" i="45"/>
  <c r="BB30" i="45" s="1"/>
  <c r="BC30" i="45"/>
  <c r="Z30" i="45"/>
  <c r="AH29" i="45"/>
  <c r="BF29" i="45" s="1"/>
  <c r="BJ29" i="45"/>
  <c r="AK29" i="45"/>
  <c r="AA240" i="45"/>
  <c r="AA29" i="45"/>
  <c r="BS29" i="45" l="1"/>
  <c r="BG29" i="45"/>
  <c r="BU29" i="45"/>
  <c r="AO240" i="45"/>
  <c r="AR240" i="45" s="1"/>
  <c r="W240" i="45"/>
  <c r="Z240" i="45"/>
  <c r="BW239" i="45"/>
  <c r="AX240" i="45"/>
  <c r="BC240" i="45"/>
  <c r="AL240" i="45"/>
  <c r="BB240" i="45" s="1"/>
  <c r="AR30" i="45"/>
  <c r="AS30" i="45"/>
  <c r="AY30" i="45"/>
  <c r="BW30" i="45"/>
  <c r="BA30" i="45"/>
  <c r="AO29" i="45"/>
  <c r="BA29" i="45" s="1"/>
  <c r="BM29" i="45"/>
  <c r="BN29" i="45"/>
  <c r="BX29" i="45"/>
  <c r="BV29" i="45"/>
  <c r="BT29" i="45"/>
  <c r="AX29" i="45"/>
  <c r="AL29" i="45"/>
  <c r="BB29" i="45" s="1"/>
  <c r="BC29" i="45"/>
  <c r="Z29" i="45"/>
  <c r="AH28" i="45"/>
  <c r="BF28" i="45" s="1"/>
  <c r="BG28" i="45" s="1"/>
  <c r="BJ28" i="45"/>
  <c r="AK28" i="45"/>
  <c r="Y240" i="45"/>
  <c r="AA28" i="45"/>
  <c r="AY240" i="45" l="1"/>
  <c r="AS240" i="45"/>
  <c r="AZ29" i="45"/>
  <c r="BU28" i="45"/>
  <c r="BW28" i="45" s="1"/>
  <c r="AR29" i="45"/>
  <c r="BA240" i="45"/>
  <c r="AZ240" i="45"/>
  <c r="BS28" i="45"/>
  <c r="BW29" i="45"/>
  <c r="AI240" i="45"/>
  <c r="U241" i="45" s="1"/>
  <c r="BJ240" i="45"/>
  <c r="AH240" i="45"/>
  <c r="BF240" i="45" s="1"/>
  <c r="AY29" i="45"/>
  <c r="AS29" i="45"/>
  <c r="AO28" i="45"/>
  <c r="BA28" i="45" s="1"/>
  <c r="BT28" i="45"/>
  <c r="BX28" i="45"/>
  <c r="BM28" i="45"/>
  <c r="BN28" i="45"/>
  <c r="BV28" i="45"/>
  <c r="AX28" i="45"/>
  <c r="AL28" i="45"/>
  <c r="BB28" i="45" s="1"/>
  <c r="BC28" i="45"/>
  <c r="Z28" i="45"/>
  <c r="AH27" i="45"/>
  <c r="BF27" i="45" s="1"/>
  <c r="BG27" i="45" s="1"/>
  <c r="BJ27" i="45"/>
  <c r="AK27" i="45"/>
  <c r="AA27" i="45"/>
  <c r="AZ28" i="45" l="1"/>
  <c r="BU27" i="45"/>
  <c r="AR28" i="45"/>
  <c r="BS27" i="45"/>
  <c r="X241" i="45"/>
  <c r="V241" i="45"/>
  <c r="AK241" i="45"/>
  <c r="AS28" i="45"/>
  <c r="AY28" i="45"/>
  <c r="BU240" i="45"/>
  <c r="BX240" i="45"/>
  <c r="BS240" i="45"/>
  <c r="BT240" i="45"/>
  <c r="BM240" i="45"/>
  <c r="BG240" i="45"/>
  <c r="BN240" i="45"/>
  <c r="BV240" i="45"/>
  <c r="AO27" i="45"/>
  <c r="AY27" i="45" s="1"/>
  <c r="BX27" i="45"/>
  <c r="BT27" i="45"/>
  <c r="BV27" i="45"/>
  <c r="BN27" i="45"/>
  <c r="BM27" i="45"/>
  <c r="AX27" i="45"/>
  <c r="BC27" i="45"/>
  <c r="AL27" i="45"/>
  <c r="BB27" i="45" s="1"/>
  <c r="Z27" i="45"/>
  <c r="AH26" i="45"/>
  <c r="BF26" i="45" s="1"/>
  <c r="BJ26" i="45"/>
  <c r="AK26" i="45"/>
  <c r="AA241" i="45"/>
  <c r="AA26" i="45"/>
  <c r="BW27" i="45" l="1"/>
  <c r="AR27" i="45"/>
  <c r="AS27" i="45"/>
  <c r="AZ27" i="45"/>
  <c r="AO241" i="45"/>
  <c r="AY241" i="45" s="1"/>
  <c r="BS26" i="45"/>
  <c r="BT26" i="45"/>
  <c r="BV26" i="45"/>
  <c r="BG26" i="45"/>
  <c r="BN26" i="45"/>
  <c r="BX26" i="45"/>
  <c r="BU26" i="45"/>
  <c r="BM26" i="45"/>
  <c r="BA27" i="45"/>
  <c r="BW240" i="45"/>
  <c r="AX241" i="45"/>
  <c r="BC241" i="45"/>
  <c r="AL241" i="45"/>
  <c r="BB241" i="45" s="1"/>
  <c r="W241" i="45"/>
  <c r="Z241" i="45"/>
  <c r="AO26" i="45"/>
  <c r="AY26" i="45" s="1"/>
  <c r="BC26" i="45"/>
  <c r="AL26" i="45"/>
  <c r="BB26" i="45" s="1"/>
  <c r="AX26" i="45"/>
  <c r="Z26" i="45"/>
  <c r="AH25" i="45"/>
  <c r="BF25" i="45" s="1"/>
  <c r="BJ25" i="45"/>
  <c r="AK25" i="45"/>
  <c r="AA25" i="45"/>
  <c r="Y241" i="45"/>
  <c r="AS241" i="45" l="1"/>
  <c r="BA241" i="45"/>
  <c r="AR241" i="45"/>
  <c r="AZ241" i="45"/>
  <c r="BA26" i="45"/>
  <c r="AS26" i="45"/>
  <c r="AR26" i="45"/>
  <c r="AZ26" i="45"/>
  <c r="AI241" i="45"/>
  <c r="U242" i="45" s="1"/>
  <c r="BJ241" i="45"/>
  <c r="BG25" i="45"/>
  <c r="BU25" i="45"/>
  <c r="BS25" i="45"/>
  <c r="BW26" i="45"/>
  <c r="AH241" i="45"/>
  <c r="BF241" i="45" s="1"/>
  <c r="AO25" i="45"/>
  <c r="AY25" i="45" s="1"/>
  <c r="BT25" i="45"/>
  <c r="BM25" i="45"/>
  <c r="BV25" i="45"/>
  <c r="BN25" i="45"/>
  <c r="BX25" i="45"/>
  <c r="AL25" i="45"/>
  <c r="BB25" i="45" s="1"/>
  <c r="BC25" i="45"/>
  <c r="AX25" i="45"/>
  <c r="Z25" i="45"/>
  <c r="AH24" i="45"/>
  <c r="BF24" i="45" s="1"/>
  <c r="BJ24" i="45"/>
  <c r="AK24" i="45"/>
  <c r="AA24" i="45"/>
  <c r="AZ25" i="45" l="1"/>
  <c r="AR25" i="45"/>
  <c r="BA25" i="45"/>
  <c r="AS25" i="45"/>
  <c r="BG24" i="45"/>
  <c r="BU24" i="45"/>
  <c r="BS24" i="45"/>
  <c r="X242" i="45"/>
  <c r="V242" i="45"/>
  <c r="AK242" i="45"/>
  <c r="BV241" i="45"/>
  <c r="BM241" i="45"/>
  <c r="BG241" i="45"/>
  <c r="BU241" i="45"/>
  <c r="BS241" i="45"/>
  <c r="BN241" i="45"/>
  <c r="BX241" i="45"/>
  <c r="BT241" i="45"/>
  <c r="BW25" i="45"/>
  <c r="AO24" i="45"/>
  <c r="AS24" i="45" s="1"/>
  <c r="BM24" i="45"/>
  <c r="BX24" i="45"/>
  <c r="BT24" i="45"/>
  <c r="BN24" i="45"/>
  <c r="BV24" i="45"/>
  <c r="BC24" i="45"/>
  <c r="AL24" i="45"/>
  <c r="BB24" i="45" s="1"/>
  <c r="AX24" i="45"/>
  <c r="Z24" i="45"/>
  <c r="AH23" i="45"/>
  <c r="BF23" i="45" s="1"/>
  <c r="BJ23" i="45"/>
  <c r="AK23" i="45"/>
  <c r="AA242" i="45"/>
  <c r="AA23" i="45"/>
  <c r="BW24" i="45" l="1"/>
  <c r="AZ24" i="45"/>
  <c r="BA24" i="45"/>
  <c r="AY24" i="45"/>
  <c r="AR24" i="45"/>
  <c r="BV23" i="45"/>
  <c r="BT23" i="45"/>
  <c r="BG23" i="45"/>
  <c r="BU23" i="45"/>
  <c r="BW23" i="45" s="1"/>
  <c r="BS23" i="45"/>
  <c r="BN23" i="45"/>
  <c r="AO242" i="45"/>
  <c r="AR242" i="45" s="1"/>
  <c r="BM23" i="45"/>
  <c r="BW241" i="45"/>
  <c r="BX23" i="45"/>
  <c r="BC242" i="45"/>
  <c r="AL242" i="45"/>
  <c r="BB242" i="45" s="1"/>
  <c r="AX242" i="45"/>
  <c r="W242" i="45"/>
  <c r="Z242" i="45"/>
  <c r="AO23" i="45"/>
  <c r="AS23" i="45" s="1"/>
  <c r="BC23" i="45"/>
  <c r="AL23" i="45"/>
  <c r="BB23" i="45" s="1"/>
  <c r="AX23" i="45"/>
  <c r="Z23" i="45"/>
  <c r="AK22" i="45"/>
  <c r="AA22" i="45"/>
  <c r="Y242" i="45"/>
  <c r="BA242" i="45" l="1"/>
  <c r="AS242" i="45"/>
  <c r="AY242" i="45"/>
  <c r="AZ23" i="45"/>
  <c r="AZ242" i="45"/>
  <c r="AI242" i="45"/>
  <c r="U243" i="45" s="1"/>
  <c r="BJ242" i="45"/>
  <c r="AY23" i="45"/>
  <c r="BA23" i="45"/>
  <c r="AR23" i="45"/>
  <c r="AH242" i="45"/>
  <c r="BF242" i="45" s="1"/>
  <c r="AO22" i="45"/>
  <c r="AR22" i="45" s="1"/>
  <c r="AH22" i="45"/>
  <c r="BF22" i="45" s="1"/>
  <c r="BJ22" i="45"/>
  <c r="BC22" i="45"/>
  <c r="AX22" i="45"/>
  <c r="AL22" i="45"/>
  <c r="BB22" i="45" s="1"/>
  <c r="Z22" i="45"/>
  <c r="AH21" i="45"/>
  <c r="BF21" i="45" s="1"/>
  <c r="BJ21" i="45"/>
  <c r="AK21" i="45"/>
  <c r="AA21" i="45"/>
  <c r="BA22" i="45" l="1"/>
  <c r="AZ22" i="45"/>
  <c r="AY22" i="45"/>
  <c r="AS22" i="45"/>
  <c r="BV22" i="45"/>
  <c r="BS22" i="45"/>
  <c r="BG22" i="45"/>
  <c r="BN22" i="45"/>
  <c r="BS21" i="45"/>
  <c r="BV21" i="45"/>
  <c r="BT21" i="45"/>
  <c r="BG21" i="45"/>
  <c r="BM21" i="45"/>
  <c r="BN21" i="45"/>
  <c r="BU21" i="45"/>
  <c r="BX21" i="45"/>
  <c r="X243" i="45"/>
  <c r="V243" i="45"/>
  <c r="AK243" i="45"/>
  <c r="BX22" i="45"/>
  <c r="BT22" i="45"/>
  <c r="BM22" i="45"/>
  <c r="BG242" i="45"/>
  <c r="BS242" i="45"/>
  <c r="BU242" i="45"/>
  <c r="BT242" i="45"/>
  <c r="BX242" i="45"/>
  <c r="BV242" i="45"/>
  <c r="BN242" i="45"/>
  <c r="BM242" i="45"/>
  <c r="BU22" i="45"/>
  <c r="BW22" i="45" s="1"/>
  <c r="AO21" i="45"/>
  <c r="AS21" i="45" s="1"/>
  <c r="AL21" i="45"/>
  <c r="BB21" i="45" s="1"/>
  <c r="BC21" i="45"/>
  <c r="AX21" i="45"/>
  <c r="Z21" i="45"/>
  <c r="AH20" i="45"/>
  <c r="BF20" i="45" s="1"/>
  <c r="BJ20" i="45"/>
  <c r="AK20" i="45"/>
  <c r="AA243" i="45"/>
  <c r="AA20" i="45"/>
  <c r="BA21" i="45" l="1"/>
  <c r="AY21" i="45"/>
  <c r="AR21" i="45"/>
  <c r="BW242" i="45"/>
  <c r="AZ21" i="45"/>
  <c r="AO243" i="45"/>
  <c r="AY243" i="45" s="1"/>
  <c r="BS20" i="45"/>
  <c r="BG20" i="45"/>
  <c r="BU20" i="45"/>
  <c r="BW21" i="45"/>
  <c r="AX243" i="45"/>
  <c r="BC243" i="45"/>
  <c r="AL243" i="45"/>
  <c r="BB243" i="45" s="1"/>
  <c r="W243" i="45"/>
  <c r="Z243" i="45"/>
  <c r="AO20" i="45"/>
  <c r="AZ20" i="45" s="1"/>
  <c r="BM20" i="45"/>
  <c r="BT20" i="45"/>
  <c r="BV20" i="45"/>
  <c r="BX20" i="45"/>
  <c r="BN20" i="45"/>
  <c r="BC20" i="45"/>
  <c r="AX20" i="45"/>
  <c r="AL20" i="45"/>
  <c r="BB20" i="45" s="1"/>
  <c r="Z20" i="45"/>
  <c r="AH19" i="45"/>
  <c r="BF19" i="45" s="1"/>
  <c r="BJ19" i="45"/>
  <c r="AK19" i="45"/>
  <c r="Y243" i="45"/>
  <c r="AA19" i="45"/>
  <c r="AS243" i="45" l="1"/>
  <c r="AZ243" i="45"/>
  <c r="AR243" i="45"/>
  <c r="BG19" i="45"/>
  <c r="BU19" i="45"/>
  <c r="BW19" i="45" s="1"/>
  <c r="BS19" i="45"/>
  <c r="BA243" i="45"/>
  <c r="AS20" i="45"/>
  <c r="AY20" i="45"/>
  <c r="AR20" i="45"/>
  <c r="BA20" i="45"/>
  <c r="AI243" i="45"/>
  <c r="U244" i="45" s="1"/>
  <c r="BJ243" i="45"/>
  <c r="AH243" i="45"/>
  <c r="BF243" i="45" s="1"/>
  <c r="BW20" i="45"/>
  <c r="AO19" i="45"/>
  <c r="AS19" i="45" s="1"/>
  <c r="BN19" i="45"/>
  <c r="BX19" i="45"/>
  <c r="BV19" i="45"/>
  <c r="BT19" i="45"/>
  <c r="BM19" i="45"/>
  <c r="AL19" i="45"/>
  <c r="BB19" i="45" s="1"/>
  <c r="AX19" i="45"/>
  <c r="BC19" i="45"/>
  <c r="Z19" i="45"/>
  <c r="AH18" i="45"/>
  <c r="BF18" i="45" s="1"/>
  <c r="BJ18" i="45"/>
  <c r="AK18" i="45"/>
  <c r="AA18" i="45"/>
  <c r="AR19" i="45" l="1"/>
  <c r="BA19" i="45"/>
  <c r="AY19" i="45"/>
  <c r="AZ19" i="45"/>
  <c r="BN18" i="45"/>
  <c r="BG18" i="45"/>
  <c r="BU18" i="45"/>
  <c r="BS18" i="45"/>
  <c r="BX18" i="45"/>
  <c r="BT18" i="45"/>
  <c r="BV18" i="45"/>
  <c r="BM18" i="45"/>
  <c r="BG243" i="45"/>
  <c r="BU243" i="45"/>
  <c r="BS243" i="45"/>
  <c r="BX243" i="45"/>
  <c r="BN243" i="45"/>
  <c r="BM243" i="45"/>
  <c r="BV243" i="45"/>
  <c r="BT243" i="45"/>
  <c r="X244" i="45"/>
  <c r="V244" i="45"/>
  <c r="AK244" i="45"/>
  <c r="AO18" i="45"/>
  <c r="AY18" i="45" s="1"/>
  <c r="BC18" i="45"/>
  <c r="AL18" i="45"/>
  <c r="BB18" i="45" s="1"/>
  <c r="AX18" i="45"/>
  <c r="Z18" i="45"/>
  <c r="AH17" i="45"/>
  <c r="BF17" i="45" s="1"/>
  <c r="BG17" i="45" s="1"/>
  <c r="BJ17" i="45"/>
  <c r="AK17" i="45"/>
  <c r="AA244" i="45"/>
  <c r="AA17" i="45"/>
  <c r="AR18" i="45" l="1"/>
  <c r="AZ18" i="45"/>
  <c r="BA18" i="45"/>
  <c r="AS18" i="45"/>
  <c r="BW18" i="45"/>
  <c r="BX17" i="45"/>
  <c r="AO244" i="45"/>
  <c r="AY244" i="45" s="1"/>
  <c r="BT17" i="45"/>
  <c r="BM17" i="45"/>
  <c r="BS17" i="45"/>
  <c r="BU17" i="45"/>
  <c r="AL244" i="45"/>
  <c r="BB244" i="45" s="1"/>
  <c r="AX244" i="45"/>
  <c r="BC244" i="45"/>
  <c r="BN17" i="45"/>
  <c r="W244" i="45"/>
  <c r="Z244" i="45"/>
  <c r="BV17" i="45"/>
  <c r="BW243" i="45"/>
  <c r="AO17" i="45"/>
  <c r="AY17" i="45" s="1"/>
  <c r="AX17" i="45"/>
  <c r="BC17" i="45"/>
  <c r="AL17" i="45"/>
  <c r="BB17" i="45" s="1"/>
  <c r="Z17" i="45"/>
  <c r="AH16" i="45"/>
  <c r="BF16" i="45" s="1"/>
  <c r="BJ16" i="45"/>
  <c r="AK16" i="45"/>
  <c r="Y244" i="45"/>
  <c r="AA16" i="45"/>
  <c r="BW17" i="45" l="1"/>
  <c r="AZ244" i="45"/>
  <c r="AR244" i="45"/>
  <c r="AR17" i="45"/>
  <c r="AS17" i="45"/>
  <c r="AS244" i="45"/>
  <c r="BA244" i="45"/>
  <c r="AZ17" i="45"/>
  <c r="BA17" i="45"/>
  <c r="AI244" i="45"/>
  <c r="U245" i="45" s="1"/>
  <c r="BJ244" i="45"/>
  <c r="BX16" i="45"/>
  <c r="BN16" i="45"/>
  <c r="BG16" i="45"/>
  <c r="BV16" i="45"/>
  <c r="BT16" i="45"/>
  <c r="BU16" i="45"/>
  <c r="BS16" i="45"/>
  <c r="BM16" i="45"/>
  <c r="AH244" i="45"/>
  <c r="BF244" i="45" s="1"/>
  <c r="AO16" i="45"/>
  <c r="AZ16" i="45" s="1"/>
  <c r="AL16" i="45"/>
  <c r="BB16" i="45" s="1"/>
  <c r="AX16" i="45"/>
  <c r="BC16" i="45"/>
  <c r="Z16" i="45"/>
  <c r="AK15" i="45"/>
  <c r="AA15" i="45"/>
  <c r="AY16" i="45" l="1"/>
  <c r="AR16" i="45"/>
  <c r="AS16" i="45"/>
  <c r="BA16" i="45"/>
  <c r="BW16" i="45"/>
  <c r="BG244" i="45"/>
  <c r="BU244" i="45"/>
  <c r="BS244" i="45"/>
  <c r="BM244" i="45"/>
  <c r="BN244" i="45"/>
  <c r="BT244" i="45"/>
  <c r="BV244" i="45"/>
  <c r="BX244" i="45"/>
  <c r="X245" i="45"/>
  <c r="V245" i="45"/>
  <c r="AK245" i="45"/>
  <c r="AO15" i="45"/>
  <c r="AZ15" i="45" s="1"/>
  <c r="AH15" i="45"/>
  <c r="BF15" i="45" s="1"/>
  <c r="BJ15" i="45"/>
  <c r="AX15" i="45"/>
  <c r="BC15" i="45"/>
  <c r="AL15" i="45"/>
  <c r="BB15" i="45" s="1"/>
  <c r="Z15" i="45"/>
  <c r="AH14" i="45"/>
  <c r="BF14" i="45" s="1"/>
  <c r="BJ14" i="45"/>
  <c r="AK14" i="45"/>
  <c r="AA14" i="45"/>
  <c r="AA245" i="45"/>
  <c r="BV15" i="45" l="1"/>
  <c r="BG15" i="45"/>
  <c r="BT15" i="45"/>
  <c r="BS14" i="45"/>
  <c r="BU14" i="45"/>
  <c r="BG14" i="45"/>
  <c r="BA15" i="45"/>
  <c r="AO245" i="45"/>
  <c r="AR245" i="45" s="1"/>
  <c r="BX15" i="45"/>
  <c r="BM15" i="45"/>
  <c r="AR15" i="45"/>
  <c r="BC245" i="45"/>
  <c r="AL245" i="45"/>
  <c r="BB245" i="45" s="1"/>
  <c r="AX245" i="45"/>
  <c r="AY15" i="45"/>
  <c r="BS15" i="45"/>
  <c r="W245" i="45"/>
  <c r="Z245" i="45"/>
  <c r="AS15" i="45"/>
  <c r="BU15" i="45"/>
  <c r="BW244" i="45"/>
  <c r="BN15" i="45"/>
  <c r="AO14" i="45"/>
  <c r="AR14" i="45" s="1"/>
  <c r="BV14" i="45"/>
  <c r="BN14" i="45"/>
  <c r="BT14" i="45"/>
  <c r="BM14" i="45"/>
  <c r="BX14" i="45"/>
  <c r="AL14" i="45"/>
  <c r="BB14" i="45" s="1"/>
  <c r="BC14" i="45"/>
  <c r="AX14" i="45"/>
  <c r="Z14" i="45"/>
  <c r="AH13" i="45"/>
  <c r="BF13" i="45" s="1"/>
  <c r="BJ13" i="45"/>
  <c r="AK13" i="45"/>
  <c r="Y245" i="45"/>
  <c r="AA13" i="45"/>
  <c r="AS245" i="45" l="1"/>
  <c r="BW14" i="45"/>
  <c r="AZ245" i="45"/>
  <c r="BW15" i="45"/>
  <c r="BA245" i="45"/>
  <c r="BM13" i="45"/>
  <c r="BN13" i="45"/>
  <c r="BG13" i="45"/>
  <c r="BU13" i="45"/>
  <c r="BW13" i="45" s="1"/>
  <c r="BT13" i="45"/>
  <c r="BX13" i="45"/>
  <c r="BS13" i="45"/>
  <c r="AY14" i="45"/>
  <c r="BA14" i="45"/>
  <c r="AS14" i="45"/>
  <c r="BV13" i="45"/>
  <c r="AZ14" i="45"/>
  <c r="AI245" i="45"/>
  <c r="U246" i="45" s="1"/>
  <c r="BJ245" i="45"/>
  <c r="AY245" i="45"/>
  <c r="AH245" i="45"/>
  <c r="BF245" i="45" s="1"/>
  <c r="AO13" i="45"/>
  <c r="BA13" i="45" s="1"/>
  <c r="BC13" i="45"/>
  <c r="AL13" i="45"/>
  <c r="BB13" i="45" s="1"/>
  <c r="AX13" i="45"/>
  <c r="Z13" i="45"/>
  <c r="AH12" i="45"/>
  <c r="BF12" i="45" s="1"/>
  <c r="BJ12" i="45"/>
  <c r="AK12" i="45"/>
  <c r="AA12" i="45"/>
  <c r="BX12" i="45" l="1"/>
  <c r="BG12" i="45"/>
  <c r="AR13" i="45"/>
  <c r="AY13" i="45"/>
  <c r="BM12" i="45"/>
  <c r="AZ13" i="45"/>
  <c r="AS13" i="45"/>
  <c r="BU12" i="45"/>
  <c r="BT12" i="45"/>
  <c r="BS12" i="45"/>
  <c r="BV12" i="45"/>
  <c r="X246" i="45"/>
  <c r="V246" i="45"/>
  <c r="AK246" i="45"/>
  <c r="BN12" i="45"/>
  <c r="BX245" i="45"/>
  <c r="BM245" i="45"/>
  <c r="BG245" i="45"/>
  <c r="BS245" i="45"/>
  <c r="BT245" i="45"/>
  <c r="BU245" i="45"/>
  <c r="BN245" i="45"/>
  <c r="BV245" i="45"/>
  <c r="AO12" i="45"/>
  <c r="AZ12" i="45" s="1"/>
  <c r="AX12" i="45"/>
  <c r="AL12" i="45"/>
  <c r="BB12" i="45" s="1"/>
  <c r="BC12" i="45"/>
  <c r="Z12" i="45"/>
  <c r="AH11" i="45"/>
  <c r="BF11" i="45" s="1"/>
  <c r="BJ11" i="45"/>
  <c r="AK11" i="45"/>
  <c r="AA246" i="45"/>
  <c r="AA11" i="45"/>
  <c r="BA12" i="45" l="1"/>
  <c r="BW12" i="45"/>
  <c r="BS11" i="45"/>
  <c r="BG11" i="45"/>
  <c r="BU11" i="45"/>
  <c r="BW11" i="45" s="1"/>
  <c r="AY12" i="45"/>
  <c r="AS12" i="45"/>
  <c r="AR12" i="45"/>
  <c r="AO246" i="45"/>
  <c r="BA246" i="45" s="1"/>
  <c r="BW245" i="45"/>
  <c r="BC246" i="45"/>
  <c r="AX246" i="45"/>
  <c r="AL246" i="45"/>
  <c r="BB246" i="45" s="1"/>
  <c r="W246" i="45"/>
  <c r="Z246" i="45"/>
  <c r="AO11" i="45"/>
  <c r="BA11" i="45" s="1"/>
  <c r="BX11" i="45"/>
  <c r="BV11" i="45"/>
  <c r="BN11" i="45"/>
  <c r="BM11" i="45"/>
  <c r="BT11" i="45"/>
  <c r="BC11" i="45"/>
  <c r="AL11" i="45"/>
  <c r="BB11" i="45" s="1"/>
  <c r="AX11" i="45"/>
  <c r="Z11" i="45"/>
  <c r="AH10" i="45"/>
  <c r="BF10" i="45" s="1"/>
  <c r="BJ10" i="45"/>
  <c r="AK10" i="45"/>
  <c r="Y246" i="45"/>
  <c r="AA10" i="45"/>
  <c r="AS246" i="45" l="1"/>
  <c r="AY246" i="45"/>
  <c r="AY11" i="45"/>
  <c r="AR246" i="45"/>
  <c r="AR11" i="45"/>
  <c r="AI246" i="45"/>
  <c r="U247" i="45" s="1"/>
  <c r="BJ246" i="45"/>
  <c r="AS11" i="45"/>
  <c r="AZ246" i="45"/>
  <c r="AZ11" i="45"/>
  <c r="AH246" i="45"/>
  <c r="BF246" i="45" s="1"/>
  <c r="AO10" i="45"/>
  <c r="AZ10" i="45" s="1"/>
  <c r="BV10" i="45"/>
  <c r="BT10" i="45"/>
  <c r="BM10" i="45"/>
  <c r="BN10" i="45"/>
  <c r="BU10" i="45"/>
  <c r="BG10" i="45"/>
  <c r="BS10" i="45"/>
  <c r="BX10" i="45"/>
  <c r="Z10" i="45"/>
  <c r="AL10" i="45"/>
  <c r="BB10" i="45" s="1"/>
  <c r="AX10" i="45"/>
  <c r="BC10" i="45"/>
  <c r="AH9" i="45"/>
  <c r="BF9" i="45" s="1"/>
  <c r="BG9" i="45" s="1"/>
  <c r="BJ9" i="45"/>
  <c r="AK9" i="45"/>
  <c r="AA9" i="45"/>
  <c r="AY10" i="45" l="1"/>
  <c r="BA10" i="45"/>
  <c r="AS10" i="45"/>
  <c r="AR10" i="45"/>
  <c r="BW10" i="45"/>
  <c r="X247" i="45"/>
  <c r="V247" i="45"/>
  <c r="AK247" i="45"/>
  <c r="BS9" i="45"/>
  <c r="BU9" i="45"/>
  <c r="BU246" i="45"/>
  <c r="BS246" i="45"/>
  <c r="BG246" i="45"/>
  <c r="BN246" i="45"/>
  <c r="BT246" i="45"/>
  <c r="BV246" i="45"/>
  <c r="BX246" i="45"/>
  <c r="BM246" i="45"/>
  <c r="AO9" i="45"/>
  <c r="AY9" i="45" s="1"/>
  <c r="BT9" i="45"/>
  <c r="BX9" i="45"/>
  <c r="BV9" i="45"/>
  <c r="BN9" i="45"/>
  <c r="BM9" i="45"/>
  <c r="BC9" i="45"/>
  <c r="AX9" i="45"/>
  <c r="AL9" i="45"/>
  <c r="BB9" i="45" s="1"/>
  <c r="Z9" i="45"/>
  <c r="AH8" i="45"/>
  <c r="BF8" i="45" s="1"/>
  <c r="BJ8" i="45"/>
  <c r="AK8" i="45"/>
  <c r="AA247" i="45"/>
  <c r="AA8" i="45"/>
  <c r="BW9" i="45" l="1"/>
  <c r="AR9" i="45"/>
  <c r="AZ9" i="45"/>
  <c r="BA9" i="45"/>
  <c r="AO247" i="45"/>
  <c r="AS247" i="45" s="1"/>
  <c r="AS9" i="45"/>
  <c r="AX247" i="45"/>
  <c r="AL247" i="45"/>
  <c r="BB247" i="45" s="1"/>
  <c r="BC247" i="45"/>
  <c r="W247" i="45"/>
  <c r="Z247" i="45"/>
  <c r="BW246" i="45"/>
  <c r="AO8" i="45"/>
  <c r="AY8" i="45" s="1"/>
  <c r="BG8" i="45"/>
  <c r="BU8" i="45"/>
  <c r="BS8" i="45"/>
  <c r="BN8" i="45"/>
  <c r="BV8" i="45"/>
  <c r="BM8" i="45"/>
  <c r="BX8" i="45"/>
  <c r="BT8" i="45"/>
  <c r="Z8" i="45"/>
  <c r="AL8" i="45"/>
  <c r="BB8" i="45" s="1"/>
  <c r="AX8" i="45"/>
  <c r="BC8" i="45"/>
  <c r="AH7" i="45"/>
  <c r="BF7" i="45" s="1"/>
  <c r="BJ7" i="45"/>
  <c r="AK7" i="45"/>
  <c r="Y247" i="45"/>
  <c r="AA7" i="45"/>
  <c r="AR247" i="45" l="1"/>
  <c r="BA247" i="45"/>
  <c r="AZ247" i="45"/>
  <c r="BA8" i="45"/>
  <c r="AZ8" i="45"/>
  <c r="BW8" i="45"/>
  <c r="AS8" i="45"/>
  <c r="AR8" i="45"/>
  <c r="AI247" i="45"/>
  <c r="U248" i="45" s="1"/>
  <c r="BJ247" i="45"/>
  <c r="AY247" i="45"/>
  <c r="AH247" i="45"/>
  <c r="BF247" i="45" s="1"/>
  <c r="AO7" i="45"/>
  <c r="BA7" i="45" s="1"/>
  <c r="BG7" i="45"/>
  <c r="BU7" i="45"/>
  <c r="BS7" i="45"/>
  <c r="BJ6" i="45"/>
  <c r="BM6" i="45" s="1"/>
  <c r="BV7" i="45"/>
  <c r="BN7" i="45"/>
  <c r="BM7" i="45"/>
  <c r="BT7" i="45"/>
  <c r="BX7" i="45"/>
  <c r="AL7" i="45"/>
  <c r="BB7" i="45" s="1"/>
  <c r="BC7" i="45"/>
  <c r="AX7" i="45"/>
  <c r="Z7" i="45"/>
  <c r="BN6" i="45" l="1"/>
  <c r="BV6" i="45"/>
  <c r="BU6" i="45"/>
  <c r="BW6" i="45" s="1"/>
  <c r="AS7" i="45"/>
  <c r="BT6" i="45"/>
  <c r="AR7" i="45"/>
  <c r="AY7" i="45"/>
  <c r="BW7" i="45"/>
  <c r="AZ7" i="45"/>
  <c r="X248" i="45"/>
  <c r="V248" i="45"/>
  <c r="AK248" i="45"/>
  <c r="BM247" i="45"/>
  <c r="BG247" i="45"/>
  <c r="BN247" i="45"/>
  <c r="BX247" i="45"/>
  <c r="BV247" i="45"/>
  <c r="BT247" i="45"/>
  <c r="BU247" i="45"/>
  <c r="BS247" i="45"/>
  <c r="AA248" i="45"/>
  <c r="AO248" i="45" l="1"/>
  <c r="AY248" i="45" s="1"/>
  <c r="BW247" i="45"/>
  <c r="AX248" i="45"/>
  <c r="AL248" i="45"/>
  <c r="BB248" i="45" s="1"/>
  <c r="BC248" i="45"/>
  <c r="W248" i="45"/>
  <c r="Z248" i="45"/>
  <c r="Y248" i="45"/>
  <c r="AZ248" i="45" l="1"/>
  <c r="AI248" i="45"/>
  <c r="U249" i="45" s="1"/>
  <c r="BJ248" i="45"/>
  <c r="BA248" i="45"/>
  <c r="AR248" i="45"/>
  <c r="AS248" i="45"/>
  <c r="AH248" i="45"/>
  <c r="BF248" i="45" s="1"/>
  <c r="X249" i="45" l="1"/>
  <c r="V249" i="45"/>
  <c r="AK249" i="45"/>
  <c r="BU248" i="45"/>
  <c r="BS248" i="45"/>
  <c r="BG248" i="45"/>
  <c r="BX248" i="45"/>
  <c r="BN248" i="45"/>
  <c r="BM248" i="45"/>
  <c r="BV248" i="45"/>
  <c r="BT248" i="45"/>
  <c r="AA249" i="45"/>
  <c r="AO249" i="45" l="1"/>
  <c r="AZ249" i="45" s="1"/>
  <c r="BW248" i="45"/>
  <c r="AL249" i="45"/>
  <c r="BB249" i="45" s="1"/>
  <c r="BC249" i="45"/>
  <c r="AX249" i="45"/>
  <c r="W249" i="45"/>
  <c r="Z249" i="45"/>
  <c r="Y249" i="45"/>
  <c r="AR249" i="45" l="1"/>
  <c r="AS249" i="45"/>
  <c r="BA249" i="45"/>
  <c r="AI249" i="45"/>
  <c r="U250" i="45" s="1"/>
  <c r="BJ249" i="45"/>
  <c r="AY249" i="45"/>
  <c r="AH249" i="45"/>
  <c r="BF249" i="45" s="1"/>
  <c r="X250" i="45" l="1"/>
  <c r="V250" i="45"/>
  <c r="AK250" i="45"/>
  <c r="BG249" i="45"/>
  <c r="BU249" i="45"/>
  <c r="BS249" i="45"/>
  <c r="BN249" i="45"/>
  <c r="BV249" i="45"/>
  <c r="BM249" i="45"/>
  <c r="BT249" i="45"/>
  <c r="BX249" i="45"/>
  <c r="AA250" i="45"/>
  <c r="AO250" i="45" l="1"/>
  <c r="AZ250" i="45" s="1"/>
  <c r="W250" i="45"/>
  <c r="Z250" i="45"/>
  <c r="BW249" i="45"/>
  <c r="AL250" i="45"/>
  <c r="BB250" i="45" s="1"/>
  <c r="AX250" i="45"/>
  <c r="BC250" i="45"/>
  <c r="Y250" i="45"/>
  <c r="AY250" i="45" l="1"/>
  <c r="AR250" i="45"/>
  <c r="AS250" i="45"/>
  <c r="AI250" i="45"/>
  <c r="U251" i="45" s="1"/>
  <c r="BJ250" i="45"/>
  <c r="BA250" i="45"/>
  <c r="AH250" i="45"/>
  <c r="BF250" i="45" s="1"/>
  <c r="X251" i="45" l="1"/>
  <c r="V251" i="45"/>
  <c r="AK251" i="45"/>
  <c r="BU250" i="45"/>
  <c r="BS250" i="45"/>
  <c r="BG250" i="45"/>
  <c r="BM250" i="45"/>
  <c r="BN250" i="45"/>
  <c r="BV250" i="45"/>
  <c r="BX250" i="45"/>
  <c r="BT250" i="45"/>
  <c r="AA251" i="45"/>
  <c r="AO251" i="45" l="1"/>
  <c r="AR251" i="45" s="1"/>
  <c r="BW250" i="45"/>
  <c r="BC251" i="45"/>
  <c r="AX251" i="45"/>
  <c r="AL251" i="45"/>
  <c r="BB251" i="45" s="1"/>
  <c r="W251" i="45"/>
  <c r="Z251" i="45"/>
  <c r="Y251" i="45"/>
  <c r="BA251" i="45" l="1"/>
  <c r="AS251" i="45"/>
  <c r="AY251" i="45"/>
  <c r="AZ251" i="45"/>
  <c r="AI251" i="45"/>
  <c r="U252" i="45" s="1"/>
  <c r="BJ251" i="45"/>
  <c r="AH251" i="45"/>
  <c r="BF251" i="45" s="1"/>
  <c r="X252" i="45" l="1"/>
  <c r="V252" i="45"/>
  <c r="AK252" i="45"/>
  <c r="BM251" i="45"/>
  <c r="BT251" i="45"/>
  <c r="BN251" i="45"/>
  <c r="BV251" i="45"/>
  <c r="BU251" i="45"/>
  <c r="BS251" i="45"/>
  <c r="BG251" i="45"/>
  <c r="BX251" i="45"/>
  <c r="AA252" i="45"/>
  <c r="AO252" i="45" l="1"/>
  <c r="AY252" i="45" s="1"/>
  <c r="AX252" i="45"/>
  <c r="AL252" i="45"/>
  <c r="BB252" i="45" s="1"/>
  <c r="BC252" i="45"/>
  <c r="BW251" i="45"/>
  <c r="W252" i="45"/>
  <c r="Z252" i="45"/>
  <c r="Y252" i="45"/>
  <c r="BA252" i="45" l="1"/>
  <c r="AS252" i="45"/>
  <c r="AZ252" i="45"/>
  <c r="AR252" i="45"/>
  <c r="AI252" i="45"/>
  <c r="U253" i="45" s="1"/>
  <c r="BJ252" i="45"/>
  <c r="AH252" i="45"/>
  <c r="BF252" i="45" s="1"/>
  <c r="BG252" i="45" l="1"/>
  <c r="BU252" i="45"/>
  <c r="BS252" i="45"/>
  <c r="BV252" i="45"/>
  <c r="BN252" i="45"/>
  <c r="BT252" i="45"/>
  <c r="BM252" i="45"/>
  <c r="BX252" i="45"/>
  <c r="X253" i="45"/>
  <c r="V253" i="45"/>
  <c r="AK253" i="45"/>
  <c r="AA253" i="45"/>
  <c r="AO253" i="45" l="1"/>
  <c r="BA253" i="45" s="1"/>
  <c r="AX253" i="45"/>
  <c r="BC253" i="45"/>
  <c r="AL253" i="45"/>
  <c r="BB253" i="45" s="1"/>
  <c r="W253" i="45"/>
  <c r="Z253" i="45"/>
  <c r="BW252" i="45"/>
  <c r="Y253" i="45"/>
  <c r="AY253" i="45" l="1"/>
  <c r="AS253" i="45"/>
  <c r="AZ253" i="45"/>
  <c r="AR253" i="45"/>
  <c r="AI253" i="45"/>
  <c r="U254" i="45" s="1"/>
  <c r="BJ253" i="45"/>
  <c r="AH253" i="45"/>
  <c r="BF253" i="45" s="1"/>
  <c r="BU253" i="45" l="1"/>
  <c r="BG253" i="45"/>
  <c r="BS253" i="45"/>
  <c r="BT253" i="45"/>
  <c r="BX253" i="45"/>
  <c r="BN253" i="45"/>
  <c r="BM253" i="45"/>
  <c r="BV253" i="45"/>
  <c r="X254" i="45"/>
  <c r="V254" i="45"/>
  <c r="AK254" i="45"/>
  <c r="AA254" i="45"/>
  <c r="AO254" i="45" l="1"/>
  <c r="AZ254" i="45" s="1"/>
  <c r="AL254" i="45"/>
  <c r="BB254" i="45" s="1"/>
  <c r="AX254" i="45"/>
  <c r="BC254" i="45"/>
  <c r="W254" i="45"/>
  <c r="Z254" i="45"/>
  <c r="BW253" i="45"/>
  <c r="Y254" i="45"/>
  <c r="AI254" i="45" l="1"/>
  <c r="U255" i="45" s="1"/>
  <c r="BJ254" i="45"/>
  <c r="AR254" i="45"/>
  <c r="AH254" i="45"/>
  <c r="BF254" i="45" s="1"/>
  <c r="AS254" i="45"/>
  <c r="BA254" i="45"/>
  <c r="AY254" i="45"/>
  <c r="BM254" i="45" l="1"/>
  <c r="BG254" i="45"/>
  <c r="BX254" i="45"/>
  <c r="BN254" i="45"/>
  <c r="BU254" i="45"/>
  <c r="BS254" i="45"/>
  <c r="BV254" i="45"/>
  <c r="BT254" i="45"/>
  <c r="X255" i="45"/>
  <c r="V255" i="45"/>
  <c r="AK255" i="45"/>
  <c r="AA255" i="45"/>
  <c r="AO255" i="45" l="1"/>
  <c r="AY255" i="45" s="1"/>
  <c r="AL255" i="45"/>
  <c r="BB255" i="45" s="1"/>
  <c r="BC255" i="45"/>
  <c r="AX255" i="45"/>
  <c r="W255" i="45"/>
  <c r="Z255" i="45"/>
  <c r="BW254" i="45"/>
  <c r="Y255" i="45"/>
  <c r="AR255" i="45" l="1"/>
  <c r="AI255" i="45"/>
  <c r="U256" i="45" s="1"/>
  <c r="BJ255" i="45"/>
  <c r="AS255" i="45"/>
  <c r="AZ255" i="45"/>
  <c r="BA255" i="45"/>
  <c r="AH255" i="45"/>
  <c r="BF255" i="45" s="1"/>
  <c r="BG255" i="45" l="1"/>
  <c r="BS255" i="45"/>
  <c r="BU255" i="45"/>
  <c r="BM255" i="45"/>
  <c r="BN255" i="45"/>
  <c r="BT255" i="45"/>
  <c r="BV255" i="45"/>
  <c r="BX255" i="45"/>
  <c r="X256" i="45"/>
  <c r="V256" i="45"/>
  <c r="AK256" i="45"/>
  <c r="AA256" i="45"/>
  <c r="AO256" i="45" l="1"/>
  <c r="BA256" i="45" s="1"/>
  <c r="BW255" i="45"/>
  <c r="AX256" i="45"/>
  <c r="AL256" i="45"/>
  <c r="BB256" i="45" s="1"/>
  <c r="BC256" i="45"/>
  <c r="W256" i="45"/>
  <c r="Z256" i="45"/>
  <c r="Y256" i="45"/>
  <c r="AZ256" i="45" l="1"/>
  <c r="AR256" i="45"/>
  <c r="AS256" i="45"/>
  <c r="AY256" i="45"/>
  <c r="AI256" i="45"/>
  <c r="U257" i="45" s="1"/>
  <c r="BJ256" i="45"/>
  <c r="AH256" i="45"/>
  <c r="BF256" i="45" s="1"/>
  <c r="X257" i="45" l="1"/>
  <c r="V257" i="45"/>
  <c r="AK257" i="45"/>
  <c r="BG256" i="45"/>
  <c r="BS256" i="45"/>
  <c r="BU256" i="45"/>
  <c r="BM256" i="45"/>
  <c r="BV256" i="45"/>
  <c r="BT256" i="45"/>
  <c r="BN256" i="45"/>
  <c r="BX256" i="45"/>
  <c r="AA257" i="45"/>
  <c r="AO257" i="45" l="1"/>
  <c r="BA257" i="45" s="1"/>
  <c r="BW256" i="45"/>
  <c r="AX257" i="45"/>
  <c r="AL257" i="45"/>
  <c r="BB257" i="45" s="1"/>
  <c r="BC257" i="45"/>
  <c r="W257" i="45"/>
  <c r="Z257" i="45"/>
  <c r="Y257" i="45"/>
  <c r="AR257" i="45" l="1"/>
  <c r="AI257" i="45"/>
  <c r="U258" i="45" s="1"/>
  <c r="BJ257" i="45"/>
  <c r="AZ257" i="45"/>
  <c r="AS257" i="45"/>
  <c r="AH257" i="45"/>
  <c r="BF257" i="45" s="1"/>
  <c r="AY257" i="45"/>
  <c r="BS257" i="45" l="1"/>
  <c r="BG257" i="45"/>
  <c r="BU257" i="45"/>
  <c r="BV257" i="45"/>
  <c r="BX257" i="45"/>
  <c r="BN257" i="45"/>
  <c r="BT257" i="45"/>
  <c r="BM257" i="45"/>
  <c r="X258" i="45"/>
  <c r="V258" i="45"/>
  <c r="AK258" i="45"/>
  <c r="AA258" i="45"/>
  <c r="AO258" i="45" l="1"/>
  <c r="BA258" i="45" s="1"/>
  <c r="AL258" i="45"/>
  <c r="BB258" i="45" s="1"/>
  <c r="AX258" i="45"/>
  <c r="BC258" i="45"/>
  <c r="W258" i="45"/>
  <c r="Z258" i="45"/>
  <c r="BW257" i="45"/>
  <c r="Y258" i="45"/>
  <c r="AY258" i="45" l="1"/>
  <c r="AZ258" i="45"/>
  <c r="AI258" i="45"/>
  <c r="U259" i="45" s="1"/>
  <c r="BJ258" i="45"/>
  <c r="AR258" i="45"/>
  <c r="AH258" i="45"/>
  <c r="BF258" i="45" s="1"/>
  <c r="AS258" i="45"/>
  <c r="X259" i="45" l="1"/>
  <c r="V259" i="45"/>
  <c r="AK259" i="45"/>
  <c r="BS258" i="45"/>
  <c r="BG258" i="45"/>
  <c r="BT258" i="45"/>
  <c r="BV258" i="45"/>
  <c r="BN258" i="45"/>
  <c r="BM258" i="45"/>
  <c r="BX258" i="45"/>
  <c r="BU258" i="45"/>
  <c r="AA259" i="45"/>
  <c r="AO259" i="45" l="1"/>
  <c r="AZ259" i="45" s="1"/>
  <c r="BW258" i="45"/>
  <c r="BC259" i="45"/>
  <c r="AX259" i="45"/>
  <c r="AL259" i="45"/>
  <c r="BB259" i="45" s="1"/>
  <c r="W259" i="45"/>
  <c r="Z259" i="45"/>
  <c r="Y259" i="45"/>
  <c r="AY259" i="45" l="1"/>
  <c r="AI259" i="45"/>
  <c r="U260" i="45" s="1"/>
  <c r="BJ259" i="45"/>
  <c r="AR259" i="45"/>
  <c r="AS259" i="45"/>
  <c r="AH259" i="45"/>
  <c r="BF259" i="45" s="1"/>
  <c r="BA259" i="45"/>
  <c r="X260" i="45" l="1"/>
  <c r="V260" i="45"/>
  <c r="AK260" i="45"/>
  <c r="BX259" i="45"/>
  <c r="BG259" i="45"/>
  <c r="BT259" i="45"/>
  <c r="BN259" i="45"/>
  <c r="BU259" i="45"/>
  <c r="BS259" i="45"/>
  <c r="BV259" i="45"/>
  <c r="BM259" i="45"/>
  <c r="AA260" i="45"/>
  <c r="AO260" i="45" l="1"/>
  <c r="AR260" i="45" s="1"/>
  <c r="BW259" i="45"/>
  <c r="AL260" i="45"/>
  <c r="BB260" i="45" s="1"/>
  <c r="BC260" i="45"/>
  <c r="AX260" i="45"/>
  <c r="W260" i="45"/>
  <c r="Z260" i="45"/>
  <c r="Y260" i="45"/>
  <c r="AZ260" i="45" l="1"/>
  <c r="BA260" i="45"/>
  <c r="AY260" i="45"/>
  <c r="AS260" i="45"/>
  <c r="AI260" i="45"/>
  <c r="U261" i="45" s="1"/>
  <c r="BJ260" i="45"/>
  <c r="AH260" i="45"/>
  <c r="BF260" i="45" s="1"/>
  <c r="BV260" i="45" l="1"/>
  <c r="BX260" i="45"/>
  <c r="BG260" i="45"/>
  <c r="BM260" i="45"/>
  <c r="BU260" i="45"/>
  <c r="BN260" i="45"/>
  <c r="BS260" i="45"/>
  <c r="BT260" i="45"/>
  <c r="X261" i="45"/>
  <c r="V261" i="45"/>
  <c r="AK261" i="45"/>
  <c r="AA261" i="45"/>
  <c r="AO261" i="45" l="1"/>
  <c r="AS261" i="45" s="1"/>
  <c r="AL261" i="45"/>
  <c r="BB261" i="45" s="1"/>
  <c r="AX261" i="45"/>
  <c r="BC261" i="45"/>
  <c r="W261" i="45"/>
  <c r="Z261" i="45"/>
  <c r="BW260" i="45"/>
  <c r="Y261" i="45"/>
  <c r="AY261" i="45" l="1"/>
  <c r="AZ261" i="45"/>
  <c r="BA261" i="45"/>
  <c r="AR261" i="45"/>
  <c r="AI261" i="45"/>
  <c r="U262" i="45" s="1"/>
  <c r="BJ261" i="45"/>
  <c r="AH261" i="45"/>
  <c r="BF261" i="45" s="1"/>
  <c r="BS261" i="45" l="1"/>
  <c r="BX261" i="45"/>
  <c r="BN261" i="45"/>
  <c r="BV261" i="45"/>
  <c r="BU261" i="45"/>
  <c r="BM261" i="45"/>
  <c r="BT261" i="45"/>
  <c r="BG261" i="45"/>
  <c r="X262" i="45"/>
  <c r="V262" i="45"/>
  <c r="AK262" i="45"/>
  <c r="AA262" i="45"/>
  <c r="AO262" i="45" l="1"/>
  <c r="AR262" i="45" s="1"/>
  <c r="BW261" i="45"/>
  <c r="BC262" i="45"/>
  <c r="AX262" i="45"/>
  <c r="AL262" i="45"/>
  <c r="BB262" i="45" s="1"/>
  <c r="W262" i="45"/>
  <c r="Z262" i="45"/>
  <c r="Y262" i="45"/>
  <c r="AZ262" i="45" l="1"/>
  <c r="AY262" i="45"/>
  <c r="BA262" i="45"/>
  <c r="AI262" i="45"/>
  <c r="U263" i="45" s="1"/>
  <c r="BJ262" i="45"/>
  <c r="AH262" i="45"/>
  <c r="BF262" i="45" s="1"/>
  <c r="AS262" i="45"/>
  <c r="X263" i="45" l="1"/>
  <c r="V263" i="45"/>
  <c r="AK263" i="45"/>
  <c r="BG262" i="45"/>
  <c r="BU262" i="45"/>
  <c r="BM262" i="45"/>
  <c r="BS262" i="45"/>
  <c r="BT262" i="45"/>
  <c r="BV262" i="45"/>
  <c r="BN262" i="45"/>
  <c r="BX262" i="45"/>
  <c r="AA263" i="45"/>
  <c r="AO263" i="45" l="1"/>
  <c r="BA263" i="45" s="1"/>
  <c r="BW262" i="45"/>
  <c r="AL263" i="45"/>
  <c r="BB263" i="45" s="1"/>
  <c r="AX263" i="45"/>
  <c r="BC263" i="45"/>
  <c r="W263" i="45"/>
  <c r="Z263" i="45"/>
  <c r="Y263" i="45"/>
  <c r="AY263" i="45" l="1"/>
  <c r="AI263" i="45"/>
  <c r="U264" i="45" s="1"/>
  <c r="BJ263" i="45"/>
  <c r="AS263" i="45"/>
  <c r="AH263" i="45"/>
  <c r="BF263" i="45" s="1"/>
  <c r="AZ263" i="45"/>
  <c r="AR263" i="45"/>
  <c r="BM263" i="45" l="1"/>
  <c r="BT263" i="45"/>
  <c r="BU263" i="45"/>
  <c r="BS263" i="45"/>
  <c r="BN263" i="45"/>
  <c r="BG263" i="45"/>
  <c r="BV263" i="45"/>
  <c r="BX263" i="45"/>
  <c r="X264" i="45"/>
  <c r="V264" i="45"/>
  <c r="AK264" i="45"/>
  <c r="AA264" i="45"/>
  <c r="AO264" i="45" l="1"/>
  <c r="AY264" i="45" s="1"/>
  <c r="AX264" i="45"/>
  <c r="AL264" i="45"/>
  <c r="BB264" i="45" s="1"/>
  <c r="BC264" i="45"/>
  <c r="BW263" i="45"/>
  <c r="W264" i="45"/>
  <c r="Z264" i="45"/>
  <c r="Y264" i="45"/>
  <c r="AR264" i="45" l="1"/>
  <c r="AZ264" i="45"/>
  <c r="AS264" i="45"/>
  <c r="AI264" i="45"/>
  <c r="U265" i="45" s="1"/>
  <c r="BJ264" i="45"/>
  <c r="AH264" i="45"/>
  <c r="BF264" i="45" s="1"/>
  <c r="BA264" i="45"/>
  <c r="BV264" i="45" l="1"/>
  <c r="BU264" i="45"/>
  <c r="BN264" i="45"/>
  <c r="BM264" i="45"/>
  <c r="BT264" i="45"/>
  <c r="BS264" i="45"/>
  <c r="BX264" i="45"/>
  <c r="BG264" i="45"/>
  <c r="X265" i="45"/>
  <c r="V265" i="45"/>
  <c r="AK265" i="45"/>
  <c r="AA265" i="45"/>
  <c r="AO265" i="45" l="1"/>
  <c r="BA265" i="45" s="1"/>
  <c r="BW264" i="45"/>
  <c r="AL265" i="45"/>
  <c r="BB265" i="45" s="1"/>
  <c r="AX265" i="45"/>
  <c r="BC265" i="45"/>
  <c r="W265" i="45"/>
  <c r="Z265" i="45"/>
  <c r="Y265" i="45"/>
  <c r="AR265" i="45" l="1"/>
  <c r="AI265" i="45"/>
  <c r="U266" i="45" s="1"/>
  <c r="BJ265" i="45"/>
  <c r="AS265" i="45"/>
  <c r="AH265" i="45"/>
  <c r="BF265" i="45" s="1"/>
  <c r="AZ265" i="45"/>
  <c r="AY265" i="45"/>
  <c r="BU265" i="45" l="1"/>
  <c r="BS265" i="45"/>
  <c r="BN265" i="45"/>
  <c r="BM265" i="45"/>
  <c r="BV265" i="45"/>
  <c r="BG265" i="45"/>
  <c r="BT265" i="45"/>
  <c r="BX265" i="45"/>
  <c r="X266" i="45"/>
  <c r="V266" i="45"/>
  <c r="AK266" i="45"/>
  <c r="AA266" i="45"/>
  <c r="AO266" i="45" l="1"/>
  <c r="BA266" i="45" s="1"/>
  <c r="AX266" i="45"/>
  <c r="BC266" i="45"/>
  <c r="AL266" i="45"/>
  <c r="BB266" i="45" s="1"/>
  <c r="BW265" i="45"/>
  <c r="W266" i="45"/>
  <c r="Z266" i="45"/>
  <c r="Y266" i="45"/>
  <c r="AI266" i="45" l="1"/>
  <c r="U267" i="45" s="1"/>
  <c r="BJ266" i="45"/>
  <c r="AY266" i="45"/>
  <c r="AH266" i="45"/>
  <c r="BF266" i="45" s="1"/>
  <c r="AR266" i="45"/>
  <c r="AS266" i="45"/>
  <c r="AZ266" i="45"/>
  <c r="X267" i="45" l="1"/>
  <c r="V267" i="45"/>
  <c r="AK267" i="45"/>
  <c r="BV266" i="45"/>
  <c r="BT266" i="45"/>
  <c r="BU266" i="45"/>
  <c r="BG266" i="45"/>
  <c r="BS266" i="45"/>
  <c r="BM266" i="45"/>
  <c r="BX266" i="45"/>
  <c r="BN266" i="45"/>
  <c r="AA267" i="45"/>
  <c r="AO267" i="45" l="1"/>
  <c r="BA267" i="45" s="1"/>
  <c r="BW266" i="45"/>
  <c r="AX267" i="45"/>
  <c r="AL267" i="45"/>
  <c r="BB267" i="45" s="1"/>
  <c r="BC267" i="45"/>
  <c r="W267" i="45"/>
  <c r="Z267" i="45"/>
  <c r="Y267" i="45"/>
  <c r="AS267" i="45" l="1"/>
  <c r="AR267" i="45"/>
  <c r="AY267" i="45"/>
  <c r="AZ267" i="45"/>
  <c r="AI267" i="45"/>
  <c r="U268" i="45" s="1"/>
  <c r="BJ267" i="45"/>
  <c r="AH267" i="45"/>
  <c r="BF267" i="45" s="1"/>
  <c r="X268" i="45" l="1"/>
  <c r="V268" i="45"/>
  <c r="AK268" i="45"/>
  <c r="BU267" i="45"/>
  <c r="BS267" i="45"/>
  <c r="BG267" i="45"/>
  <c r="BT267" i="45"/>
  <c r="BV267" i="45"/>
  <c r="BX267" i="45"/>
  <c r="BM267" i="45"/>
  <c r="BN267" i="45"/>
  <c r="AA268" i="45"/>
  <c r="AO268" i="45" l="1"/>
  <c r="AY268" i="45" s="1"/>
  <c r="BW267" i="45"/>
  <c r="AL268" i="45"/>
  <c r="BB268" i="45" s="1"/>
  <c r="BC268" i="45"/>
  <c r="AX268" i="45"/>
  <c r="W268" i="45"/>
  <c r="Z268" i="45"/>
  <c r="Y268" i="45"/>
  <c r="AR268" i="45" l="1"/>
  <c r="AI268" i="45"/>
  <c r="U269" i="45" s="1"/>
  <c r="BJ268" i="45"/>
  <c r="AZ268" i="45"/>
  <c r="AH268" i="45"/>
  <c r="BF268" i="45" s="1"/>
  <c r="AS268" i="45"/>
  <c r="BA268" i="45"/>
  <c r="X269" i="45" l="1"/>
  <c r="V269" i="45"/>
  <c r="AK269" i="45"/>
  <c r="BN268" i="45"/>
  <c r="BV268" i="45"/>
  <c r="BG268" i="45"/>
  <c r="BU268" i="45"/>
  <c r="BX268" i="45"/>
  <c r="BT268" i="45"/>
  <c r="BS268" i="45"/>
  <c r="BM268" i="45"/>
  <c r="AA269" i="45"/>
  <c r="AO269" i="45" l="1"/>
  <c r="BA269" i="45" s="1"/>
  <c r="BW268" i="45"/>
  <c r="AL269" i="45"/>
  <c r="BB269" i="45" s="1"/>
  <c r="BC269" i="45"/>
  <c r="AX269" i="45"/>
  <c r="W269" i="45"/>
  <c r="Z269" i="45"/>
  <c r="Y269" i="45"/>
  <c r="AR269" i="45" l="1"/>
  <c r="AY269" i="45"/>
  <c r="AZ269" i="45"/>
  <c r="AS269" i="45"/>
  <c r="AI269" i="45"/>
  <c r="U270" i="45" s="1"/>
  <c r="BJ269" i="45"/>
  <c r="AH269" i="45"/>
  <c r="BF269" i="45" s="1"/>
  <c r="X270" i="45" l="1"/>
  <c r="V270" i="45"/>
  <c r="AK270" i="45"/>
  <c r="BG269" i="45"/>
  <c r="BU269" i="45"/>
  <c r="BV269" i="45"/>
  <c r="BS269" i="45"/>
  <c r="BT269" i="45"/>
  <c r="BN269" i="45"/>
  <c r="BX269" i="45"/>
  <c r="BM269" i="45"/>
  <c r="AA270" i="45"/>
  <c r="AO270" i="45" l="1"/>
  <c r="AR270" i="45" s="1"/>
  <c r="BW269" i="45"/>
  <c r="BC270" i="45"/>
  <c r="AL270" i="45"/>
  <c r="BB270" i="45" s="1"/>
  <c r="AX270" i="45"/>
  <c r="W270" i="45"/>
  <c r="Z270" i="45"/>
  <c r="Y270" i="45"/>
  <c r="AY270" i="45" l="1"/>
  <c r="BA270" i="45"/>
  <c r="AZ270" i="45"/>
  <c r="AS270" i="45"/>
  <c r="AI270" i="45"/>
  <c r="U271" i="45" s="1"/>
  <c r="BJ270" i="45"/>
  <c r="AH270" i="45"/>
  <c r="BF270" i="45" s="1"/>
  <c r="X271" i="45" l="1"/>
  <c r="V271" i="45"/>
  <c r="AK271" i="45"/>
  <c r="BM270" i="45"/>
  <c r="BU270" i="45"/>
  <c r="BX270" i="45"/>
  <c r="BN270" i="45"/>
  <c r="BT270" i="45"/>
  <c r="BS270" i="45"/>
  <c r="BG270" i="45"/>
  <c r="BV270" i="45"/>
  <c r="AA271" i="45"/>
  <c r="AO271" i="45" l="1"/>
  <c r="BA271" i="45" s="1"/>
  <c r="AX271" i="45"/>
  <c r="BC271" i="45"/>
  <c r="AL271" i="45"/>
  <c r="BB271" i="45" s="1"/>
  <c r="BW270" i="45"/>
  <c r="W271" i="45"/>
  <c r="Z271" i="45"/>
  <c r="Y271" i="45"/>
  <c r="AY271" i="45" l="1"/>
  <c r="AS271" i="45"/>
  <c r="AI271" i="45"/>
  <c r="U272" i="45" s="1"/>
  <c r="BJ271" i="45"/>
  <c r="AR271" i="45"/>
  <c r="AH271" i="45"/>
  <c r="BF271" i="45" s="1"/>
  <c r="AZ271" i="45"/>
  <c r="X272" i="45" l="1"/>
  <c r="V272" i="45"/>
  <c r="AK272" i="45"/>
  <c r="BT271" i="45"/>
  <c r="BG271" i="45"/>
  <c r="BN271" i="45"/>
  <c r="BU271" i="45"/>
  <c r="BX271" i="45"/>
  <c r="BS271" i="45"/>
  <c r="BV271" i="45"/>
  <c r="BM271" i="45"/>
  <c r="AA272" i="45"/>
  <c r="AO272" i="45" l="1"/>
  <c r="BA272" i="45" s="1"/>
  <c r="BW271" i="45"/>
  <c r="BC272" i="45"/>
  <c r="AL272" i="45"/>
  <c r="BB272" i="45" s="1"/>
  <c r="AX272" i="45"/>
  <c r="W272" i="45"/>
  <c r="Z272" i="45"/>
  <c r="Y272" i="45"/>
  <c r="AS272" i="45" l="1"/>
  <c r="AY272" i="45"/>
  <c r="AI272" i="45"/>
  <c r="U273" i="45" s="1"/>
  <c r="BJ272" i="45"/>
  <c r="AR272" i="45"/>
  <c r="AH272" i="45"/>
  <c r="BF272" i="45" s="1"/>
  <c r="AZ272" i="45"/>
  <c r="X273" i="45" l="1"/>
  <c r="V273" i="45"/>
  <c r="AK273" i="45"/>
  <c r="BV272" i="45"/>
  <c r="BT272" i="45"/>
  <c r="BX272" i="45"/>
  <c r="BN272" i="45"/>
  <c r="BG272" i="45"/>
  <c r="BS272" i="45"/>
  <c r="BM272" i="45"/>
  <c r="BU272" i="45"/>
  <c r="AA273" i="45"/>
  <c r="AO273" i="45" l="1"/>
  <c r="AR273" i="45" s="1"/>
  <c r="BW272" i="45"/>
  <c r="BC273" i="45"/>
  <c r="AX273" i="45"/>
  <c r="AL273" i="45"/>
  <c r="BB273" i="45" s="1"/>
  <c r="W273" i="45"/>
  <c r="Z273" i="45"/>
  <c r="Y273" i="45"/>
  <c r="AZ273" i="45" l="1"/>
  <c r="AS273" i="45"/>
  <c r="AY273" i="45"/>
  <c r="AI273" i="45"/>
  <c r="U274" i="45" s="1"/>
  <c r="BJ273" i="45"/>
  <c r="BA273" i="45"/>
  <c r="AH273" i="45"/>
  <c r="BF273" i="45" s="1"/>
  <c r="V274" i="45" l="1"/>
  <c r="X274" i="45"/>
  <c r="AK274" i="45"/>
  <c r="BU273" i="45"/>
  <c r="BS273" i="45"/>
  <c r="BM273" i="45"/>
  <c r="BT273" i="45"/>
  <c r="BN273" i="45"/>
  <c r="BV273" i="45"/>
  <c r="BG273" i="45"/>
  <c r="BX273" i="45"/>
  <c r="AA274" i="45"/>
  <c r="AO274" i="45" l="1"/>
  <c r="AZ274" i="45" s="1"/>
  <c r="AX274" i="45"/>
  <c r="BC274" i="45"/>
  <c r="AL274" i="45"/>
  <c r="BB274" i="45" s="1"/>
  <c r="BW273" i="45"/>
  <c r="W274" i="45"/>
  <c r="Z274" i="45"/>
  <c r="Y274" i="45"/>
  <c r="AS274" i="45" l="1"/>
  <c r="AI274" i="45"/>
  <c r="U275" i="45" s="1"/>
  <c r="BJ274" i="45"/>
  <c r="AY274" i="45"/>
  <c r="AH274" i="45"/>
  <c r="BF274" i="45" s="1"/>
  <c r="AR274" i="45"/>
  <c r="BA274" i="45"/>
  <c r="X275" i="45" l="1"/>
  <c r="V275" i="45"/>
  <c r="AK275" i="45"/>
  <c r="BS274" i="45"/>
  <c r="BX274" i="45"/>
  <c r="BN274" i="45"/>
  <c r="BT274" i="45"/>
  <c r="BU274" i="45"/>
  <c r="BG274" i="45"/>
  <c r="BV274" i="45"/>
  <c r="BM274" i="45"/>
  <c r="AA275" i="45"/>
  <c r="AO275" i="45" l="1"/>
  <c r="AS275" i="45" s="1"/>
  <c r="AL275" i="45"/>
  <c r="BB275" i="45" s="1"/>
  <c r="AX275" i="45"/>
  <c r="BC275" i="45"/>
  <c r="W275" i="45"/>
  <c r="Z275" i="45"/>
  <c r="BW274" i="45"/>
  <c r="Y275" i="45"/>
  <c r="BA275" i="45" l="1"/>
  <c r="AR275" i="45"/>
  <c r="AZ275" i="45"/>
  <c r="AI275" i="45"/>
  <c r="U276" i="45" s="1"/>
  <c r="BJ275" i="45"/>
  <c r="AY275" i="45"/>
  <c r="AH275" i="45"/>
  <c r="BF275" i="45" s="1"/>
  <c r="V276" i="45" l="1"/>
  <c r="X276" i="45"/>
  <c r="AK276" i="45"/>
  <c r="BM275" i="45"/>
  <c r="BG275" i="45"/>
  <c r="BU275" i="45"/>
  <c r="BX275" i="45"/>
  <c r="BN275" i="45"/>
  <c r="BS275" i="45"/>
  <c r="BT275" i="45"/>
  <c r="BV275" i="45"/>
  <c r="AA276" i="45"/>
  <c r="AO276" i="45" l="1"/>
  <c r="BA276" i="45" s="1"/>
  <c r="BW275" i="45"/>
  <c r="BC276" i="45"/>
  <c r="AL276" i="45"/>
  <c r="BB276" i="45" s="1"/>
  <c r="AX276" i="45"/>
  <c r="W276" i="45"/>
  <c r="Z276" i="45"/>
  <c r="Y276" i="45"/>
  <c r="AR276" i="45" l="1"/>
  <c r="AS276" i="45"/>
  <c r="AY276" i="45"/>
  <c r="AZ276" i="45"/>
  <c r="AI276" i="45"/>
  <c r="U277" i="45" s="1"/>
  <c r="BJ276" i="45"/>
  <c r="AH276" i="45"/>
  <c r="BF276" i="45" s="1"/>
  <c r="V277" i="45" l="1"/>
  <c r="X277" i="45"/>
  <c r="AK277" i="45"/>
  <c r="BX276" i="45"/>
  <c r="BG276" i="45"/>
  <c r="BU276" i="45"/>
  <c r="BS276" i="45"/>
  <c r="BT276" i="45"/>
  <c r="BM276" i="45"/>
  <c r="BV276" i="45"/>
  <c r="BN276" i="45"/>
  <c r="AA277" i="45"/>
  <c r="AO277" i="45" l="1"/>
  <c r="AS277" i="45" s="1"/>
  <c r="BW276" i="45"/>
  <c r="AL277" i="45"/>
  <c r="BB277" i="45" s="1"/>
  <c r="AX277" i="45"/>
  <c r="BC277" i="45"/>
  <c r="W277" i="45"/>
  <c r="Z277" i="45"/>
  <c r="Y277" i="45"/>
  <c r="AR277" i="45" l="1"/>
  <c r="AZ277" i="45"/>
  <c r="BA277" i="45"/>
  <c r="BJ277" i="45"/>
  <c r="AI277" i="45"/>
  <c r="AY277" i="45"/>
  <c r="AH277" i="45"/>
  <c r="BF277" i="45" s="1"/>
  <c r="BN277" i="45" l="1"/>
  <c r="BT277" i="45"/>
  <c r="BM277" i="45"/>
  <c r="BG277" i="45"/>
  <c r="BV277" i="45"/>
  <c r="BX277" i="45"/>
  <c r="BS277" i="45"/>
  <c r="BU277" i="45"/>
  <c r="BW277" i="45" l="1"/>
  <c r="H38" i="41"/>
  <c r="J38" i="41" s="1"/>
  <c r="L38" i="41" s="1"/>
  <c r="H40" i="41"/>
  <c r="J40" i="41" s="1"/>
  <c r="L40" i="41" s="1"/>
  <c r="H37" i="41"/>
  <c r="J37" i="41" s="1"/>
  <c r="L37" i="41" s="1"/>
  <c r="H35" i="41"/>
  <c r="I35" i="41" s="1"/>
  <c r="K35" i="41" s="1"/>
  <c r="J35" i="41" l="1"/>
  <c r="L35" i="41" s="1"/>
  <c r="F13" i="27"/>
  <c r="G13" i="27" s="1"/>
  <c r="H13" i="27" s="1"/>
  <c r="H14" i="27" s="1"/>
  <c r="H15" i="27" s="1"/>
  <c r="H16" i="27" s="1"/>
  <c r="H17" i="27" s="1"/>
  <c r="H18" i="27" s="1"/>
  <c r="H19" i="27" s="1"/>
  <c r="H20" i="27" s="1"/>
  <c r="H21" i="27" s="1"/>
  <c r="H22" i="27" s="1"/>
  <c r="H23" i="27" s="1"/>
  <c r="H24" i="27" s="1"/>
  <c r="H25" i="27" s="1"/>
  <c r="H26" i="27" s="1"/>
  <c r="H27" i="27" s="1"/>
  <c r="H28" i="27" s="1"/>
  <c r="H29" i="27" s="1"/>
  <c r="H30" i="27" s="1"/>
  <c r="H31" i="27" s="1"/>
  <c r="H32" i="27" s="1"/>
  <c r="H33" i="27" s="1"/>
  <c r="H34" i="27" s="1"/>
  <c r="H35" i="27" s="1"/>
  <c r="H36" i="27" s="1"/>
  <c r="H39" i="41"/>
  <c r="J39" i="41" s="1"/>
  <c r="L39" i="41" s="1"/>
  <c r="H36" i="41"/>
  <c r="L13" i="27"/>
  <c r="I13" i="27"/>
  <c r="J13" i="27"/>
  <c r="J14" i="27" s="1"/>
  <c r="J15" i="27" s="1"/>
  <c r="J16" i="27" s="1"/>
  <c r="J17" i="27" s="1"/>
  <c r="J18" i="27" s="1"/>
  <c r="J19" i="27" s="1"/>
  <c r="J20" i="27" s="1"/>
  <c r="J21" i="27" s="1"/>
  <c r="J22" i="27" s="1"/>
  <c r="J23" i="27" s="1"/>
  <c r="J24" i="27" s="1"/>
  <c r="J25" i="27" s="1"/>
  <c r="J26" i="27" s="1"/>
  <c r="J27" i="27" s="1"/>
  <c r="J28" i="27" s="1"/>
  <c r="J29" i="27" s="1"/>
  <c r="J30" i="27" s="1"/>
  <c r="J31" i="27" s="1"/>
  <c r="J32" i="27" s="1"/>
  <c r="J33" i="27" s="1"/>
  <c r="J34" i="27" s="1"/>
  <c r="J35" i="27" s="1"/>
  <c r="J36" i="27" s="1"/>
  <c r="I75" i="41" l="1"/>
  <c r="K75" i="41" s="1"/>
  <c r="I40" i="41"/>
  <c r="K40" i="41" s="1"/>
  <c r="I57" i="41"/>
  <c r="K57" i="41" s="1"/>
  <c r="I48" i="41"/>
  <c r="K48" i="41" s="1"/>
  <c r="I67" i="41"/>
  <c r="K67" i="41" s="1"/>
  <c r="I64" i="41"/>
  <c r="K64" i="41" s="1"/>
  <c r="I71" i="41"/>
  <c r="K71" i="41" s="1"/>
  <c r="J36" i="41"/>
  <c r="L36" i="41" s="1"/>
  <c r="I38" i="41"/>
  <c r="K38" i="41" s="1"/>
  <c r="I80" i="41"/>
  <c r="K80" i="41" s="1"/>
  <c r="I54" i="41"/>
  <c r="K54" i="41" s="1"/>
  <c r="I77" i="41"/>
  <c r="K77" i="41" s="1"/>
  <c r="I62" i="41"/>
  <c r="K62" i="41" s="1"/>
  <c r="I45" i="41"/>
  <c r="K45" i="41" s="1"/>
  <c r="I60" i="41"/>
  <c r="K60" i="41" s="1"/>
  <c r="I56" i="41"/>
  <c r="K56" i="41" s="1"/>
  <c r="I78" i="41"/>
  <c r="K78" i="41" s="1"/>
  <c r="I47" i="41"/>
  <c r="K47" i="41" s="1"/>
  <c r="I73" i="41"/>
  <c r="K73" i="41" s="1"/>
  <c r="I58" i="41"/>
  <c r="K58" i="41" s="1"/>
  <c r="I41" i="41"/>
  <c r="K41" i="41" s="1"/>
  <c r="I66" i="41"/>
  <c r="K66" i="41" s="1"/>
  <c r="I68" i="41"/>
  <c r="K68" i="41" s="1"/>
  <c r="I52" i="41"/>
  <c r="K52" i="41" s="1"/>
  <c r="I79" i="41"/>
  <c r="K79" i="41" s="1"/>
  <c r="I63" i="41"/>
  <c r="K63" i="41" s="1"/>
  <c r="I46" i="41"/>
  <c r="K46" i="41" s="1"/>
  <c r="I61" i="41"/>
  <c r="K61" i="41" s="1"/>
  <c r="I36" i="41"/>
  <c r="K36" i="41" s="1"/>
  <c r="I65" i="41"/>
  <c r="K65" i="41" s="1"/>
  <c r="I81" i="41"/>
  <c r="K81" i="41" s="1"/>
  <c r="I49" i="41"/>
  <c r="K49" i="41" s="1"/>
  <c r="I50" i="41"/>
  <c r="K50" i="41" s="1"/>
  <c r="I76" i="41"/>
  <c r="K76" i="41" s="1"/>
  <c r="I44" i="41"/>
  <c r="K44" i="41" s="1"/>
  <c r="I70" i="41"/>
  <c r="K70" i="41" s="1"/>
  <c r="I39" i="41"/>
  <c r="K39" i="41" s="1"/>
  <c r="I42" i="41"/>
  <c r="K42" i="41" s="1"/>
  <c r="I69" i="41"/>
  <c r="K69" i="41" s="1"/>
  <c r="I59" i="41"/>
  <c r="K59" i="41" s="1"/>
  <c r="I51" i="41"/>
  <c r="K51" i="41" s="1"/>
  <c r="F40" i="27"/>
  <c r="F23" i="45"/>
  <c r="Q4" i="45" s="1"/>
  <c r="P5" i="45" s="1"/>
  <c r="I72" i="41"/>
  <c r="K72" i="41" s="1"/>
  <c r="I53" i="41"/>
  <c r="K53" i="41" s="1"/>
  <c r="I43" i="41"/>
  <c r="K43" i="41" s="1"/>
  <c r="I55" i="41"/>
  <c r="K55" i="41" s="1"/>
  <c r="I37" i="41"/>
  <c r="K37" i="41" s="1"/>
  <c r="I74" i="41"/>
  <c r="K74" i="41" s="1"/>
  <c r="G112" i="27" l="1"/>
  <c r="G113" i="27"/>
  <c r="G114" i="27"/>
  <c r="R5" i="45"/>
  <c r="S5" i="45" l="1"/>
  <c r="T5" i="45"/>
  <c r="AB5" i="45"/>
  <c r="AD5" i="45" s="1"/>
  <c r="AC6" i="45"/>
  <c r="AN5" i="45" l="1"/>
  <c r="BI5" i="45" s="1"/>
  <c r="AE5" i="45"/>
  <c r="AF5" i="45"/>
  <c r="AM5" i="45" l="1"/>
  <c r="BH5" i="45" l="1"/>
  <c r="AW5" i="45"/>
  <c r="AT5" i="45" s="1"/>
  <c r="AV5" i="45"/>
  <c r="AQ5" i="45" s="1"/>
  <c r="AU5" i="45"/>
  <c r="AP5" i="45" s="1"/>
  <c r="BD5" i="45" l="1"/>
  <c r="Q5" i="45" s="1"/>
  <c r="P6" i="45" s="1"/>
  <c r="R6" i="45" s="1"/>
  <c r="BQ5" i="45"/>
  <c r="BL5" i="45" s="1"/>
  <c r="BR5" i="45"/>
  <c r="BO5" i="45" s="1"/>
  <c r="BP5" i="45"/>
  <c r="BK5" i="45" s="1"/>
  <c r="BY5" i="45" l="1"/>
  <c r="S6" i="45"/>
  <c r="T6" i="45"/>
  <c r="AB6" i="45"/>
  <c r="AD6" i="45" s="1"/>
  <c r="AC7" i="45"/>
  <c r="AN6" i="45" l="1"/>
  <c r="BI6" i="45" s="1"/>
  <c r="AE6" i="45"/>
  <c r="AF6" i="45"/>
  <c r="AM6" i="45" l="1"/>
  <c r="AU6" i="45" l="1"/>
  <c r="AP6" i="45" s="1"/>
  <c r="AW6" i="45"/>
  <c r="AT6" i="45" s="1"/>
  <c r="BH6" i="45"/>
  <c r="AV6" i="45"/>
  <c r="AQ6" i="45" s="1"/>
  <c r="BD6" i="45" l="1"/>
  <c r="Q6" i="45" s="1"/>
  <c r="P7" i="45" s="1"/>
  <c r="BP6" i="45"/>
  <c r="BK6" i="45" s="1"/>
  <c r="BQ6" i="45"/>
  <c r="BL6" i="45" s="1"/>
  <c r="BR6" i="45"/>
  <c r="BO6" i="45" s="1"/>
  <c r="BY6" i="45" l="1"/>
  <c r="R7" i="45"/>
  <c r="T7" i="45" l="1"/>
  <c r="S7" i="45"/>
  <c r="AB7" i="45"/>
  <c r="AD7" i="45" s="1"/>
  <c r="AC8" i="45"/>
  <c r="AN7" i="45" l="1"/>
  <c r="BI7" i="45" s="1"/>
  <c r="AE7" i="45"/>
  <c r="AF7" i="45"/>
  <c r="AM7" i="45" l="1"/>
  <c r="BH7" i="45" l="1"/>
  <c r="AU7" i="45"/>
  <c r="AP7" i="45" s="1"/>
  <c r="AV7" i="45"/>
  <c r="AQ7" i="45" s="1"/>
  <c r="AW7" i="45"/>
  <c r="AT7" i="45" s="1"/>
  <c r="BQ7" i="45" l="1"/>
  <c r="BL7" i="45" s="1"/>
  <c r="BR7" i="45"/>
  <c r="BO7" i="45" s="1"/>
  <c r="BP7" i="45"/>
  <c r="BK7" i="45" s="1"/>
  <c r="BD7" i="45"/>
  <c r="Q7" i="45" s="1"/>
  <c r="P8" i="45" s="1"/>
  <c r="BY7" i="45" l="1"/>
  <c r="R8" i="45"/>
  <c r="S8" i="45" l="1"/>
  <c r="AB8" i="45"/>
  <c r="AD8" i="45" s="1"/>
  <c r="T8" i="45"/>
  <c r="AC9" i="45"/>
  <c r="AN8" i="45" l="1"/>
  <c r="BI8" i="45" s="1"/>
  <c r="AE8" i="45"/>
  <c r="AF8" i="45"/>
  <c r="AM8" i="45" l="1"/>
  <c r="BH8" i="45" l="1"/>
  <c r="AU8" i="45"/>
  <c r="AP8" i="45" s="1"/>
  <c r="AV8" i="45"/>
  <c r="AQ8" i="45" s="1"/>
  <c r="AW8" i="45"/>
  <c r="AT8" i="45" s="1"/>
  <c r="BD8" i="45" l="1"/>
  <c r="Q8" i="45" s="1"/>
  <c r="P9" i="45" s="1"/>
  <c r="BR8" i="45"/>
  <c r="BO8" i="45" s="1"/>
  <c r="BQ8" i="45"/>
  <c r="BL8" i="45" s="1"/>
  <c r="BP8" i="45"/>
  <c r="BK8" i="45" s="1"/>
  <c r="BY8" i="45" l="1"/>
  <c r="R9" i="45"/>
  <c r="T9" i="45" l="1"/>
  <c r="S9" i="45"/>
  <c r="AB9" i="45"/>
  <c r="AD9" i="45" s="1"/>
  <c r="AC10" i="45"/>
  <c r="AN9" i="45" l="1"/>
  <c r="BI9" i="45" s="1"/>
  <c r="AE9" i="45"/>
  <c r="AF9" i="45"/>
  <c r="AM9" i="45" l="1"/>
  <c r="AW9" i="45" l="1"/>
  <c r="AT9" i="45" s="1"/>
  <c r="BH9" i="45"/>
  <c r="AU9" i="45"/>
  <c r="AP9" i="45" s="1"/>
  <c r="AV9" i="45"/>
  <c r="AQ9" i="45" s="1"/>
  <c r="BD9" i="45" l="1"/>
  <c r="Q9" i="45" s="1"/>
  <c r="P10" i="45" s="1"/>
  <c r="R10" i="45" s="1"/>
  <c r="BP9" i="45"/>
  <c r="BK9" i="45" s="1"/>
  <c r="BR9" i="45"/>
  <c r="BO9" i="45" s="1"/>
  <c r="BQ9" i="45"/>
  <c r="BL9" i="45" s="1"/>
  <c r="BY9" i="45" l="1"/>
  <c r="S10" i="45"/>
  <c r="T10" i="45"/>
  <c r="AB10" i="45"/>
  <c r="AD10" i="45" s="1"/>
  <c r="AC11" i="45"/>
  <c r="AN10" i="45" l="1"/>
  <c r="BI10" i="45" s="1"/>
  <c r="AE10" i="45"/>
  <c r="AF10" i="45"/>
  <c r="AM10" i="45" l="1"/>
  <c r="AU10" i="45" l="1"/>
  <c r="AP10" i="45" s="1"/>
  <c r="AW10" i="45"/>
  <c r="AT10" i="45" s="1"/>
  <c r="BH10" i="45"/>
  <c r="AV10" i="45"/>
  <c r="AQ10" i="45" s="1"/>
  <c r="BQ10" i="45" l="1"/>
  <c r="BL10" i="45" s="1"/>
  <c r="BP10" i="45"/>
  <c r="BK10" i="45" s="1"/>
  <c r="BR10" i="45"/>
  <c r="BO10" i="45" s="1"/>
  <c r="BD10" i="45"/>
  <c r="Q10" i="45" s="1"/>
  <c r="P11" i="45" s="1"/>
  <c r="R11" i="45" l="1"/>
  <c r="BY10" i="45"/>
  <c r="T11" i="45" l="1"/>
  <c r="AB11" i="45"/>
  <c r="AD11" i="45" s="1"/>
  <c r="S11" i="45"/>
  <c r="AC12" i="45"/>
  <c r="AN11" i="45" l="1"/>
  <c r="BI11" i="45" s="1"/>
  <c r="AE11" i="45"/>
  <c r="AF11" i="45"/>
  <c r="AM11" i="45" l="1"/>
  <c r="BH11" i="45" l="1"/>
  <c r="AU11" i="45"/>
  <c r="AP11" i="45" s="1"/>
  <c r="AW11" i="45"/>
  <c r="AT11" i="45" s="1"/>
  <c r="AV11" i="45"/>
  <c r="AQ11" i="45" s="1"/>
  <c r="BD11" i="45" l="1"/>
  <c r="Q11" i="45" s="1"/>
  <c r="P12" i="45" s="1"/>
  <c r="BQ11" i="45"/>
  <c r="BL11" i="45" s="1"/>
  <c r="BR11" i="45"/>
  <c r="BO11" i="45" s="1"/>
  <c r="BP11" i="45"/>
  <c r="BK11" i="45" s="1"/>
  <c r="BY11" i="45" l="1"/>
  <c r="R12" i="45"/>
  <c r="S12" i="45" l="1"/>
  <c r="AB12" i="45"/>
  <c r="AD12" i="45" s="1"/>
  <c r="T12" i="45"/>
  <c r="AC13" i="45"/>
  <c r="AN12" i="45" l="1"/>
  <c r="BI12" i="45" s="1"/>
  <c r="AE12" i="45"/>
  <c r="AF12" i="45"/>
  <c r="AM12" i="45" l="1"/>
  <c r="AU12" i="45" l="1"/>
  <c r="AP12" i="45" s="1"/>
  <c r="AW12" i="45"/>
  <c r="AT12" i="45" s="1"/>
  <c r="AV12" i="45"/>
  <c r="AQ12" i="45" s="1"/>
  <c r="BH12" i="45"/>
  <c r="BD12" i="45" l="1"/>
  <c r="Q12" i="45" s="1"/>
  <c r="P13" i="45" s="1"/>
  <c r="BR12" i="45"/>
  <c r="BO12" i="45" s="1"/>
  <c r="BQ12" i="45"/>
  <c r="BL12" i="45" s="1"/>
  <c r="BP12" i="45"/>
  <c r="BK12" i="45" s="1"/>
  <c r="BY12" i="45" l="1"/>
  <c r="R13" i="45"/>
  <c r="S13" i="45" l="1"/>
  <c r="T13" i="45"/>
  <c r="AB13" i="45"/>
  <c r="AD13" i="45" s="1"/>
  <c r="AC14" i="45"/>
  <c r="AN13" i="45" l="1"/>
  <c r="BI13" i="45" s="1"/>
  <c r="AE13" i="45"/>
  <c r="AF13" i="45"/>
  <c r="AM13" i="45" l="1"/>
  <c r="AW13" i="45" l="1"/>
  <c r="AT13" i="45" s="1"/>
  <c r="BH13" i="45"/>
  <c r="AU13" i="45"/>
  <c r="AP13" i="45" s="1"/>
  <c r="AV13" i="45"/>
  <c r="AQ13" i="45" s="1"/>
  <c r="BR13" i="45" l="1"/>
  <c r="BO13" i="45" s="1"/>
  <c r="BP13" i="45"/>
  <c r="BK13" i="45" s="1"/>
  <c r="BQ13" i="45"/>
  <c r="BL13" i="45" s="1"/>
  <c r="BD13" i="45"/>
  <c r="Q13" i="45" s="1"/>
  <c r="P14" i="45" s="1"/>
  <c r="BY13" i="45" l="1"/>
  <c r="R14" i="45"/>
  <c r="AB14" i="45" l="1"/>
  <c r="AD14" i="45" s="1"/>
  <c r="S14" i="45"/>
  <c r="T14" i="45"/>
  <c r="AC15" i="45"/>
  <c r="AN14" i="45" l="1"/>
  <c r="BI14" i="45" s="1"/>
  <c r="AE14" i="45"/>
  <c r="AF14" i="45"/>
  <c r="AM14" i="45" l="1"/>
  <c r="AW14" i="45" l="1"/>
  <c r="AT14" i="45" s="1"/>
  <c r="AU14" i="45"/>
  <c r="AP14" i="45" s="1"/>
  <c r="AV14" i="45"/>
  <c r="AQ14" i="45" s="1"/>
  <c r="BH14" i="45"/>
  <c r="BP14" i="45" l="1"/>
  <c r="BK14" i="45" s="1"/>
  <c r="BR14" i="45"/>
  <c r="BO14" i="45" s="1"/>
  <c r="BQ14" i="45"/>
  <c r="BL14" i="45" s="1"/>
  <c r="BD14" i="45"/>
  <c r="Q14" i="45" s="1"/>
  <c r="P15" i="45" s="1"/>
  <c r="BY14" i="45" l="1"/>
  <c r="R15" i="45"/>
  <c r="T15" i="45" l="1"/>
  <c r="S15" i="45"/>
  <c r="AB15" i="45"/>
  <c r="AD15" i="45" s="1"/>
  <c r="AC16" i="45"/>
  <c r="AN15" i="45" l="1"/>
  <c r="BI15" i="45" s="1"/>
  <c r="AE15" i="45"/>
  <c r="AF15" i="45"/>
  <c r="AM15" i="45" l="1"/>
  <c r="AV15" i="45" l="1"/>
  <c r="AQ15" i="45" s="1"/>
  <c r="AU15" i="45"/>
  <c r="AP15" i="45" s="1"/>
  <c r="BH15" i="45"/>
  <c r="AW15" i="45"/>
  <c r="AT15" i="45" s="1"/>
  <c r="BQ15" i="45" l="1"/>
  <c r="BL15" i="45" s="1"/>
  <c r="BR15" i="45"/>
  <c r="BO15" i="45" s="1"/>
  <c r="BP15" i="45"/>
  <c r="BK15" i="45" s="1"/>
  <c r="BD15" i="45"/>
  <c r="Q15" i="45" s="1"/>
  <c r="P16" i="45" s="1"/>
  <c r="BY15" i="45" l="1"/>
  <c r="R16" i="45"/>
  <c r="T16" i="45" l="1"/>
  <c r="S16" i="45"/>
  <c r="AB16" i="45"/>
  <c r="AD16" i="45" s="1"/>
  <c r="AC17" i="45"/>
  <c r="AN16" i="45" l="1"/>
  <c r="BI16" i="45" s="1"/>
  <c r="AE16" i="45"/>
  <c r="AF16" i="45"/>
  <c r="AM16" i="45" l="1"/>
  <c r="BH16" i="45" l="1"/>
  <c r="AV16" i="45"/>
  <c r="AQ16" i="45" s="1"/>
  <c r="AU16" i="45"/>
  <c r="AP16" i="45" s="1"/>
  <c r="AW16" i="45"/>
  <c r="AT16" i="45" s="1"/>
  <c r="BD16" i="45" l="1"/>
  <c r="Q16" i="45" s="1"/>
  <c r="P17" i="45" s="1"/>
  <c r="BR16" i="45"/>
  <c r="BO16" i="45" s="1"/>
  <c r="BQ16" i="45"/>
  <c r="BL16" i="45" s="1"/>
  <c r="BP16" i="45"/>
  <c r="BK16" i="45" s="1"/>
  <c r="BY16" i="45" l="1"/>
  <c r="R17" i="45"/>
  <c r="AB17" i="45" l="1"/>
  <c r="AD17" i="45" s="1"/>
  <c r="S17" i="45"/>
  <c r="T17" i="45"/>
  <c r="AC18" i="45"/>
  <c r="AN17" i="45" l="1"/>
  <c r="BI17" i="45" s="1"/>
  <c r="AE17" i="45"/>
  <c r="AF17" i="45"/>
  <c r="AM17" i="45" l="1"/>
  <c r="AW17" i="45" l="1"/>
  <c r="AT17" i="45" s="1"/>
  <c r="AU17" i="45"/>
  <c r="AP17" i="45" s="1"/>
  <c r="AV17" i="45"/>
  <c r="AQ17" i="45" s="1"/>
  <c r="BH17" i="45"/>
  <c r="BD17" i="45" l="1"/>
  <c r="Q17" i="45" s="1"/>
  <c r="P18" i="45" s="1"/>
  <c r="R18" i="45" s="1"/>
  <c r="BQ17" i="45"/>
  <c r="BL17" i="45" s="1"/>
  <c r="BR17" i="45"/>
  <c r="BO17" i="45" s="1"/>
  <c r="BP17" i="45"/>
  <c r="BK17" i="45" s="1"/>
  <c r="T18" i="45" l="1"/>
  <c r="S18" i="45"/>
  <c r="AB18" i="45"/>
  <c r="AD18" i="45" s="1"/>
  <c r="BY17" i="45"/>
  <c r="AC19" i="45"/>
  <c r="AN18" i="45" l="1"/>
  <c r="BI18" i="45" s="1"/>
  <c r="AE18" i="45"/>
  <c r="AF18" i="45"/>
  <c r="AM18" i="45" l="1"/>
  <c r="AV18" i="45" l="1"/>
  <c r="AQ18" i="45" s="1"/>
  <c r="BH18" i="45"/>
  <c r="AU18" i="45"/>
  <c r="AP18" i="45" s="1"/>
  <c r="AW18" i="45"/>
  <c r="AT18" i="45" s="1"/>
  <c r="BD18" i="45" l="1"/>
  <c r="Q18" i="45" s="1"/>
  <c r="P19" i="45" s="1"/>
  <c r="BP18" i="45"/>
  <c r="BK18" i="45" s="1"/>
  <c r="BQ18" i="45"/>
  <c r="BL18" i="45" s="1"/>
  <c r="BR18" i="45"/>
  <c r="BO18" i="45" s="1"/>
  <c r="BY18" i="45" l="1"/>
  <c r="R19" i="45"/>
  <c r="AB19" i="45" l="1"/>
  <c r="AD19" i="45" s="1"/>
  <c r="S19" i="45"/>
  <c r="T19" i="45"/>
  <c r="AC20" i="45"/>
  <c r="AN19" i="45" l="1"/>
  <c r="BI19" i="45" s="1"/>
  <c r="AE19" i="45"/>
  <c r="AF19" i="45"/>
  <c r="AM19" i="45" l="1"/>
  <c r="BH19" i="45" l="1"/>
  <c r="AU19" i="45"/>
  <c r="AP19" i="45" s="1"/>
  <c r="AW19" i="45"/>
  <c r="AT19" i="45" s="1"/>
  <c r="AV19" i="45"/>
  <c r="AQ19" i="45" s="1"/>
  <c r="BD19" i="45" l="1"/>
  <c r="Q19" i="45" s="1"/>
  <c r="P20" i="45" s="1"/>
  <c r="R20" i="45" s="1"/>
  <c r="BR19" i="45"/>
  <c r="BO19" i="45" s="1"/>
  <c r="BP19" i="45"/>
  <c r="BK19" i="45" s="1"/>
  <c r="BQ19" i="45"/>
  <c r="BL19" i="45" s="1"/>
  <c r="BY19" i="45" l="1"/>
  <c r="T20" i="45"/>
  <c r="S20" i="45"/>
  <c r="AB20" i="45"/>
  <c r="AD20" i="45" s="1"/>
  <c r="AC21" i="45"/>
  <c r="AN20" i="45" l="1"/>
  <c r="BI20" i="45" s="1"/>
  <c r="AE20" i="45"/>
  <c r="AF20" i="45"/>
  <c r="AM20" i="45" l="1"/>
  <c r="AV20" i="45" l="1"/>
  <c r="AQ20" i="45" s="1"/>
  <c r="AU20" i="45"/>
  <c r="AP20" i="45" s="1"/>
  <c r="AW20" i="45"/>
  <c r="AT20" i="45" s="1"/>
  <c r="BH20" i="45"/>
  <c r="BD20" i="45" l="1"/>
  <c r="Q20" i="45" s="1"/>
  <c r="P21" i="45" s="1"/>
  <c r="BP20" i="45"/>
  <c r="BK20" i="45" s="1"/>
  <c r="BQ20" i="45"/>
  <c r="BL20" i="45" s="1"/>
  <c r="BR20" i="45"/>
  <c r="BO20" i="45" s="1"/>
  <c r="BY20" i="45" l="1"/>
  <c r="R21" i="45"/>
  <c r="S21" i="45" l="1"/>
  <c r="T21" i="45"/>
  <c r="AB21" i="45"/>
  <c r="AD21" i="45" s="1"/>
  <c r="AC22" i="45"/>
  <c r="AN21" i="45" l="1"/>
  <c r="BI21" i="45" s="1"/>
  <c r="AE21" i="45"/>
  <c r="AF21" i="45"/>
  <c r="AM21" i="45" l="1"/>
  <c r="AV21" i="45" l="1"/>
  <c r="AQ21" i="45" s="1"/>
  <c r="AU21" i="45"/>
  <c r="AP21" i="45" s="1"/>
  <c r="BH21" i="45"/>
  <c r="AW21" i="45"/>
  <c r="AT21" i="45" s="1"/>
  <c r="BD21" i="45" l="1"/>
  <c r="Q21" i="45" s="1"/>
  <c r="P22" i="45" s="1"/>
  <c r="R22" i="45" s="1"/>
  <c r="BR21" i="45"/>
  <c r="BO21" i="45" s="1"/>
  <c r="BQ21" i="45"/>
  <c r="BL21" i="45" s="1"/>
  <c r="BP21" i="45"/>
  <c r="BK21" i="45" s="1"/>
  <c r="AB22" i="45" l="1"/>
  <c r="AD22" i="45" s="1"/>
  <c r="T22" i="45"/>
  <c r="S22" i="45"/>
  <c r="BY21" i="45"/>
  <c r="AC23" i="45"/>
  <c r="AN22" i="45" l="1"/>
  <c r="BI22" i="45" s="1"/>
  <c r="AE22" i="45"/>
  <c r="AF22" i="45"/>
  <c r="AM22" i="45" l="1"/>
  <c r="BH22" i="45" l="1"/>
  <c r="AW22" i="45"/>
  <c r="AT22" i="45" s="1"/>
  <c r="AU22" i="45"/>
  <c r="AP22" i="45" s="1"/>
  <c r="AV22" i="45"/>
  <c r="AQ22" i="45" s="1"/>
  <c r="BD22" i="45" l="1"/>
  <c r="Q22" i="45" s="1"/>
  <c r="P23" i="45" s="1"/>
  <c r="BQ22" i="45"/>
  <c r="BL22" i="45" s="1"/>
  <c r="BP22" i="45"/>
  <c r="BK22" i="45" s="1"/>
  <c r="BR22" i="45"/>
  <c r="BO22" i="45" s="1"/>
  <c r="BY22" i="45" l="1"/>
  <c r="R23" i="45"/>
  <c r="T23" i="45" l="1"/>
  <c r="S23" i="45"/>
  <c r="AB23" i="45"/>
  <c r="AD23" i="45" s="1"/>
  <c r="AC24" i="45"/>
  <c r="AN23" i="45" l="1"/>
  <c r="BI23" i="45" s="1"/>
  <c r="AE23" i="45"/>
  <c r="AF23" i="45"/>
  <c r="AM23" i="45" l="1"/>
  <c r="BH23" i="45" l="1"/>
  <c r="AU23" i="45"/>
  <c r="AP23" i="45" s="1"/>
  <c r="AV23" i="45"/>
  <c r="AQ23" i="45" s="1"/>
  <c r="AW23" i="45"/>
  <c r="AT23" i="45" s="1"/>
  <c r="BD23" i="45" l="1"/>
  <c r="Q23" i="45" s="1"/>
  <c r="P24" i="45" s="1"/>
  <c r="BQ23" i="45"/>
  <c r="BL23" i="45" s="1"/>
  <c r="BR23" i="45"/>
  <c r="BO23" i="45" s="1"/>
  <c r="BP23" i="45"/>
  <c r="BK23" i="45" s="1"/>
  <c r="BY23" i="45" l="1"/>
  <c r="R24" i="45"/>
  <c r="S24" i="45" l="1"/>
  <c r="T24" i="45"/>
  <c r="AB24" i="45"/>
  <c r="AD24" i="45" s="1"/>
  <c r="AC25" i="45"/>
  <c r="AN24" i="45" l="1"/>
  <c r="BI24" i="45" s="1"/>
  <c r="AE24" i="45"/>
  <c r="AF24" i="45"/>
  <c r="AM24" i="45" l="1"/>
  <c r="AW24" i="45" l="1"/>
  <c r="AT24" i="45" s="1"/>
  <c r="BH24" i="45"/>
  <c r="AV24" i="45"/>
  <c r="AQ24" i="45" s="1"/>
  <c r="AU24" i="45"/>
  <c r="AP24" i="45" s="1"/>
  <c r="BP24" i="45" l="1"/>
  <c r="BK24" i="45" s="1"/>
  <c r="BQ24" i="45"/>
  <c r="BL24" i="45" s="1"/>
  <c r="BR24" i="45"/>
  <c r="BO24" i="45" s="1"/>
  <c r="BD24" i="45"/>
  <c r="Q24" i="45" s="1"/>
  <c r="P25" i="45" s="1"/>
  <c r="R25" i="45" l="1"/>
  <c r="BY24" i="45"/>
  <c r="T25" i="45" l="1"/>
  <c r="S25" i="45"/>
  <c r="AB25" i="45"/>
  <c r="AD25" i="45" s="1"/>
  <c r="AC26" i="45"/>
  <c r="AN25" i="45" l="1"/>
  <c r="BI25" i="45" s="1"/>
  <c r="AE25" i="45"/>
  <c r="AF25" i="45"/>
  <c r="AM25" i="45" l="1"/>
  <c r="AW25" i="45" l="1"/>
  <c r="AT25" i="45" s="1"/>
  <c r="AV25" i="45"/>
  <c r="AQ25" i="45" s="1"/>
  <c r="AU25" i="45"/>
  <c r="AP25" i="45" s="1"/>
  <c r="BH25" i="45"/>
  <c r="BQ25" i="45" l="1"/>
  <c r="BL25" i="45" s="1"/>
  <c r="BP25" i="45"/>
  <c r="BK25" i="45" s="1"/>
  <c r="BR25" i="45"/>
  <c r="BO25" i="45" s="1"/>
  <c r="BD25" i="45"/>
  <c r="Q25" i="45" s="1"/>
  <c r="P26" i="45" s="1"/>
  <c r="BY25" i="45" l="1"/>
  <c r="R26" i="45"/>
  <c r="T26" i="45" l="1"/>
  <c r="S26" i="45"/>
  <c r="AB26" i="45"/>
  <c r="AD26" i="45" s="1"/>
  <c r="AC27" i="45"/>
  <c r="AN26" i="45" l="1"/>
  <c r="BI26" i="45" s="1"/>
  <c r="AE26" i="45"/>
  <c r="AF26" i="45"/>
  <c r="AM26" i="45" l="1"/>
  <c r="BH26" i="45" l="1"/>
  <c r="AV26" i="45"/>
  <c r="AQ26" i="45" s="1"/>
  <c r="AW26" i="45"/>
  <c r="AT26" i="45" s="1"/>
  <c r="AU26" i="45"/>
  <c r="AP26" i="45" s="1"/>
  <c r="BQ26" i="45" l="1"/>
  <c r="BL26" i="45" s="1"/>
  <c r="BP26" i="45"/>
  <c r="BK26" i="45" s="1"/>
  <c r="BR26" i="45"/>
  <c r="BO26" i="45" s="1"/>
  <c r="BD26" i="45"/>
  <c r="Q26" i="45" s="1"/>
  <c r="P27" i="45" s="1"/>
  <c r="R27" i="45" l="1"/>
  <c r="BY26" i="45"/>
  <c r="T27" i="45" l="1"/>
  <c r="S27" i="45"/>
  <c r="AB27" i="45"/>
  <c r="AD27" i="45" s="1"/>
  <c r="AC28" i="45"/>
  <c r="AN27" i="45" l="1"/>
  <c r="BI27" i="45" s="1"/>
  <c r="AE27" i="45"/>
  <c r="AF27" i="45"/>
  <c r="AM27" i="45" l="1"/>
  <c r="BH27" i="45" l="1"/>
  <c r="AU27" i="45"/>
  <c r="AP27" i="45" s="1"/>
  <c r="AW27" i="45"/>
  <c r="AT27" i="45" s="1"/>
  <c r="AV27" i="45"/>
  <c r="AQ27" i="45" s="1"/>
  <c r="BD27" i="45" l="1"/>
  <c r="Q27" i="45" s="1"/>
  <c r="P28" i="45" s="1"/>
  <c r="R28" i="45" s="1"/>
  <c r="BR27" i="45"/>
  <c r="BO27" i="45" s="1"/>
  <c r="BQ27" i="45"/>
  <c r="BL27" i="45" s="1"/>
  <c r="BP27" i="45"/>
  <c r="BK27" i="45" s="1"/>
  <c r="BY27" i="45" l="1"/>
  <c r="T28" i="45"/>
  <c r="S28" i="45"/>
  <c r="AB28" i="45"/>
  <c r="AD28" i="45" s="1"/>
  <c r="AC29" i="45"/>
  <c r="AN28" i="45" l="1"/>
  <c r="BI28" i="45" s="1"/>
  <c r="AE28" i="45"/>
  <c r="AF28" i="45"/>
  <c r="AM28" i="45" l="1"/>
  <c r="AW28" i="45" l="1"/>
  <c r="AT28" i="45" s="1"/>
  <c r="AU28" i="45"/>
  <c r="AP28" i="45" s="1"/>
  <c r="BH28" i="45"/>
  <c r="AV28" i="45"/>
  <c r="AQ28" i="45" s="1"/>
  <c r="BD28" i="45" l="1"/>
  <c r="Q28" i="45" s="1"/>
  <c r="P29" i="45" s="1"/>
  <c r="R29" i="45" s="1"/>
  <c r="BR28" i="45"/>
  <c r="BO28" i="45" s="1"/>
  <c r="BQ28" i="45"/>
  <c r="BL28" i="45" s="1"/>
  <c r="BP28" i="45"/>
  <c r="BK28" i="45" s="1"/>
  <c r="BY28" i="45" l="1"/>
  <c r="S29" i="45"/>
  <c r="T29" i="45"/>
  <c r="AB29" i="45"/>
  <c r="AD29" i="45" s="1"/>
  <c r="AC30" i="45"/>
  <c r="AN29" i="45" l="1"/>
  <c r="BI29" i="45" s="1"/>
  <c r="AE29" i="45"/>
  <c r="AF29" i="45"/>
  <c r="AM29" i="45" l="1"/>
  <c r="AV29" i="45" l="1"/>
  <c r="AQ29" i="45" s="1"/>
  <c r="AU29" i="45"/>
  <c r="AP29" i="45" s="1"/>
  <c r="AW29" i="45"/>
  <c r="AT29" i="45" s="1"/>
  <c r="BH29" i="45"/>
  <c r="BD29" i="45" l="1"/>
  <c r="Q29" i="45" s="1"/>
  <c r="P30" i="45" s="1"/>
  <c r="R30" i="45" s="1"/>
  <c r="BR29" i="45"/>
  <c r="BO29" i="45" s="1"/>
  <c r="BQ29" i="45"/>
  <c r="BL29" i="45" s="1"/>
  <c r="BP29" i="45"/>
  <c r="BK29" i="45" s="1"/>
  <c r="BY29" i="45" l="1"/>
  <c r="AB30" i="45"/>
  <c r="AD30" i="45" s="1"/>
  <c r="T30" i="45"/>
  <c r="S30" i="45"/>
  <c r="AC31" i="45"/>
  <c r="AN30" i="45" l="1"/>
  <c r="BI30" i="45" s="1"/>
  <c r="AE30" i="45"/>
  <c r="AF30" i="45"/>
  <c r="AM30" i="45" l="1"/>
  <c r="AU30" i="45" l="1"/>
  <c r="AP30" i="45" s="1"/>
  <c r="AV30" i="45"/>
  <c r="AQ30" i="45" s="1"/>
  <c r="AW30" i="45"/>
  <c r="AT30" i="45" s="1"/>
  <c r="BH30" i="45"/>
  <c r="BQ30" i="45" l="1"/>
  <c r="BL30" i="45" s="1"/>
  <c r="BP30" i="45"/>
  <c r="BK30" i="45" s="1"/>
  <c r="BR30" i="45"/>
  <c r="BO30" i="45" s="1"/>
  <c r="BD30" i="45"/>
  <c r="Q30" i="45" s="1"/>
  <c r="P31" i="45" s="1"/>
  <c r="R31" i="45" l="1"/>
  <c r="BY30" i="45"/>
  <c r="T31" i="45" l="1"/>
  <c r="S31" i="45"/>
  <c r="AB31" i="45"/>
  <c r="AD31" i="45" s="1"/>
  <c r="AC32" i="45"/>
  <c r="AN31" i="45" l="1"/>
  <c r="BI31" i="45" s="1"/>
  <c r="AE31" i="45"/>
  <c r="AF31" i="45"/>
  <c r="AM31" i="45" l="1"/>
  <c r="AW31" i="45" l="1"/>
  <c r="AT31" i="45" s="1"/>
  <c r="BH31" i="45"/>
  <c r="AU31" i="45"/>
  <c r="AP31" i="45" s="1"/>
  <c r="AV31" i="45"/>
  <c r="AQ31" i="45" s="1"/>
  <c r="BD31" i="45" l="1"/>
  <c r="Q31" i="45" s="1"/>
  <c r="P32" i="45" s="1"/>
  <c r="BQ31" i="45"/>
  <c r="BL31" i="45" s="1"/>
  <c r="BP31" i="45"/>
  <c r="BK31" i="45" s="1"/>
  <c r="BR31" i="45"/>
  <c r="BO31" i="45" s="1"/>
  <c r="BY31" i="45" l="1"/>
  <c r="R32" i="45"/>
  <c r="S32" i="45" l="1"/>
  <c r="AB32" i="45"/>
  <c r="AD32" i="45" s="1"/>
  <c r="T32" i="45"/>
  <c r="AC33" i="45"/>
  <c r="AN32" i="45" l="1"/>
  <c r="BI32" i="45" s="1"/>
  <c r="AE32" i="45"/>
  <c r="AF32" i="45"/>
  <c r="AM32" i="45" l="1"/>
  <c r="AU32" i="45" l="1"/>
  <c r="AP32" i="45" s="1"/>
  <c r="AW32" i="45"/>
  <c r="AT32" i="45" s="1"/>
  <c r="BH32" i="45"/>
  <c r="AV32" i="45"/>
  <c r="AQ32" i="45" s="1"/>
  <c r="BD32" i="45" l="1"/>
  <c r="Q32" i="45" s="1"/>
  <c r="P33" i="45" s="1"/>
  <c r="R33" i="45" s="1"/>
  <c r="BP32" i="45"/>
  <c r="BK32" i="45" s="1"/>
  <c r="BR32" i="45"/>
  <c r="BO32" i="45" s="1"/>
  <c r="BQ32" i="45"/>
  <c r="BL32" i="45" s="1"/>
  <c r="BY32" i="45" l="1"/>
  <c r="S33" i="45"/>
  <c r="T33" i="45"/>
  <c r="AB33" i="45"/>
  <c r="AD33" i="45" s="1"/>
  <c r="AC34" i="45"/>
  <c r="AN33" i="45" l="1"/>
  <c r="BI33" i="45" s="1"/>
  <c r="AE33" i="45"/>
  <c r="AF33" i="45"/>
  <c r="AM33" i="45" l="1"/>
  <c r="AW33" i="45" l="1"/>
  <c r="AT33" i="45" s="1"/>
  <c r="AV33" i="45"/>
  <c r="AQ33" i="45" s="1"/>
  <c r="AU33" i="45"/>
  <c r="AP33" i="45" s="1"/>
  <c r="BH33" i="45"/>
  <c r="BD33" i="45" l="1"/>
  <c r="Q33" i="45" s="1"/>
  <c r="P34" i="45" s="1"/>
  <c r="R34" i="45" s="1"/>
  <c r="BR33" i="45"/>
  <c r="BO33" i="45" s="1"/>
  <c r="BP33" i="45"/>
  <c r="BK33" i="45" s="1"/>
  <c r="BQ33" i="45"/>
  <c r="BL33" i="45" s="1"/>
  <c r="BY33" i="45" l="1"/>
  <c r="AB34" i="45"/>
  <c r="AD34" i="45" s="1"/>
  <c r="T34" i="45"/>
  <c r="S34" i="45"/>
  <c r="AC35" i="45"/>
  <c r="AN34" i="45" l="1"/>
  <c r="BI34" i="45" s="1"/>
  <c r="AE34" i="45"/>
  <c r="AF34" i="45"/>
  <c r="AM34" i="45" l="1"/>
  <c r="AU34" i="45" l="1"/>
  <c r="AP34" i="45" s="1"/>
  <c r="AV34" i="45"/>
  <c r="AQ34" i="45" s="1"/>
  <c r="AW34" i="45"/>
  <c r="AT34" i="45" s="1"/>
  <c r="BH34" i="45"/>
  <c r="BQ34" i="45" l="1"/>
  <c r="BL34" i="45" s="1"/>
  <c r="BP34" i="45"/>
  <c r="BK34" i="45" s="1"/>
  <c r="BR34" i="45"/>
  <c r="BO34" i="45" s="1"/>
  <c r="BD34" i="45"/>
  <c r="Q34" i="45" s="1"/>
  <c r="P35" i="45" s="1"/>
  <c r="R35" i="45" l="1"/>
  <c r="BY34" i="45"/>
  <c r="T35" i="45" l="1"/>
  <c r="S35" i="45"/>
  <c r="AB35" i="45"/>
  <c r="AD35" i="45" s="1"/>
  <c r="AC36" i="45"/>
  <c r="AN35" i="45" l="1"/>
  <c r="BI35" i="45" s="1"/>
  <c r="AE35" i="45"/>
  <c r="AF35" i="45"/>
  <c r="AM35" i="45" l="1"/>
  <c r="AU35" i="45" l="1"/>
  <c r="AP35" i="45" s="1"/>
  <c r="AW35" i="45"/>
  <c r="AT35" i="45" s="1"/>
  <c r="AV35" i="45"/>
  <c r="AQ35" i="45" s="1"/>
  <c r="BH35" i="45"/>
  <c r="BP35" i="45" l="1"/>
  <c r="BK35" i="45" s="1"/>
  <c r="BR35" i="45"/>
  <c r="BO35" i="45" s="1"/>
  <c r="BQ35" i="45"/>
  <c r="BL35" i="45" s="1"/>
  <c r="BD35" i="45"/>
  <c r="Q35" i="45" s="1"/>
  <c r="P36" i="45" s="1"/>
  <c r="BY35" i="45" l="1"/>
  <c r="R36" i="45"/>
  <c r="T36" i="45" l="1"/>
  <c r="S36" i="45"/>
  <c r="AB36" i="45"/>
  <c r="AD36" i="45" s="1"/>
  <c r="AC37" i="45"/>
  <c r="AN36" i="45" l="1"/>
  <c r="BI36" i="45" s="1"/>
  <c r="AE36" i="45"/>
  <c r="AF36" i="45"/>
  <c r="AM36" i="45" l="1"/>
  <c r="AV36" i="45" l="1"/>
  <c r="AQ36" i="45" s="1"/>
  <c r="AW36" i="45"/>
  <c r="AT36" i="45" s="1"/>
  <c r="AU36" i="45"/>
  <c r="AP36" i="45" s="1"/>
  <c r="BH36" i="45"/>
  <c r="BR36" i="45" l="1"/>
  <c r="BO36" i="45" s="1"/>
  <c r="BP36" i="45"/>
  <c r="BK36" i="45" s="1"/>
  <c r="BQ36" i="45"/>
  <c r="BL36" i="45" s="1"/>
  <c r="BD36" i="45"/>
  <c r="Q36" i="45" s="1"/>
  <c r="P37" i="45" s="1"/>
  <c r="BY36" i="45" l="1"/>
  <c r="R37" i="45"/>
  <c r="AB37" i="45" l="1"/>
  <c r="AD37" i="45" s="1"/>
  <c r="T37" i="45"/>
  <c r="S37" i="45"/>
  <c r="AC38" i="45"/>
  <c r="AN37" i="45" l="1"/>
  <c r="BI37" i="45" s="1"/>
  <c r="AE37" i="45"/>
  <c r="AF37" i="45"/>
  <c r="AM37" i="45" l="1"/>
  <c r="BH37" i="45" l="1"/>
  <c r="AW37" i="45"/>
  <c r="AT37" i="45" s="1"/>
  <c r="AU37" i="45"/>
  <c r="AP37" i="45" s="1"/>
  <c r="AV37" i="45"/>
  <c r="AQ37" i="45" s="1"/>
  <c r="BD37" i="45" l="1"/>
  <c r="Q37" i="45" s="1"/>
  <c r="P38" i="45" s="1"/>
  <c r="BP37" i="45"/>
  <c r="BK37" i="45" s="1"/>
  <c r="BR37" i="45"/>
  <c r="BO37" i="45" s="1"/>
  <c r="BQ37" i="45"/>
  <c r="BL37" i="45" s="1"/>
  <c r="BY37" i="45" l="1"/>
  <c r="R38" i="45"/>
  <c r="S38" i="45" l="1"/>
  <c r="T38" i="45"/>
  <c r="AB38" i="45"/>
  <c r="AD38" i="45" s="1"/>
  <c r="AC39" i="45"/>
  <c r="AN38" i="45" l="1"/>
  <c r="BI38" i="45" s="1"/>
  <c r="AE38" i="45"/>
  <c r="AF38" i="45"/>
  <c r="AM38" i="45" l="1"/>
  <c r="BH38" i="45" l="1"/>
  <c r="AV38" i="45"/>
  <c r="AQ38" i="45" s="1"/>
  <c r="AU38" i="45"/>
  <c r="AP38" i="45" s="1"/>
  <c r="AW38" i="45"/>
  <c r="AT38" i="45" s="1"/>
  <c r="BD38" i="45" l="1"/>
  <c r="Q38" i="45" s="1"/>
  <c r="P39" i="45" s="1"/>
  <c r="BR38" i="45"/>
  <c r="BO38" i="45" s="1"/>
  <c r="BQ38" i="45"/>
  <c r="BL38" i="45" s="1"/>
  <c r="BP38" i="45"/>
  <c r="BK38" i="45" s="1"/>
  <c r="BY38" i="45" l="1"/>
  <c r="R39" i="45"/>
  <c r="S39" i="45" l="1"/>
  <c r="T39" i="45"/>
  <c r="AB39" i="45"/>
  <c r="AD39" i="45" s="1"/>
  <c r="AC40" i="45"/>
  <c r="AN39" i="45" l="1"/>
  <c r="BI39" i="45" s="1"/>
  <c r="AE39" i="45"/>
  <c r="AF39" i="45"/>
  <c r="AM39" i="45" l="1"/>
  <c r="AU39" i="45" l="1"/>
  <c r="AP39" i="45" s="1"/>
  <c r="AV39" i="45"/>
  <c r="AQ39" i="45" s="1"/>
  <c r="BH39" i="45"/>
  <c r="AW39" i="45"/>
  <c r="AT39" i="45" s="1"/>
  <c r="BD39" i="45" l="1"/>
  <c r="Q39" i="45" s="1"/>
  <c r="P40" i="45" s="1"/>
  <c r="R40" i="45" s="1"/>
  <c r="BP39" i="45"/>
  <c r="BK39" i="45" s="1"/>
  <c r="BQ39" i="45"/>
  <c r="BL39" i="45" s="1"/>
  <c r="BR39" i="45"/>
  <c r="BO39" i="45" s="1"/>
  <c r="S40" i="45" l="1"/>
  <c r="T40" i="45"/>
  <c r="AB40" i="45"/>
  <c r="AD40" i="45" s="1"/>
  <c r="BY39" i="45"/>
  <c r="AC41" i="45"/>
  <c r="AN40" i="45" l="1"/>
  <c r="BI40" i="45" s="1"/>
  <c r="AE40" i="45"/>
  <c r="AF40" i="45"/>
  <c r="AM40" i="45" l="1"/>
  <c r="AV40" i="45" l="1"/>
  <c r="AQ40" i="45" s="1"/>
  <c r="AU40" i="45"/>
  <c r="AP40" i="45" s="1"/>
  <c r="BH40" i="45"/>
  <c r="AW40" i="45"/>
  <c r="AT40" i="45" s="1"/>
  <c r="BD40" i="45" l="1"/>
  <c r="Q40" i="45" s="1"/>
  <c r="P41" i="45" s="1"/>
  <c r="R41" i="45" s="1"/>
  <c r="BR40" i="45"/>
  <c r="BO40" i="45" s="1"/>
  <c r="BP40" i="45"/>
  <c r="BK40" i="45" s="1"/>
  <c r="BQ40" i="45"/>
  <c r="BL40" i="45" s="1"/>
  <c r="BY40" i="45" l="1"/>
  <c r="T41" i="45"/>
  <c r="S41" i="45"/>
  <c r="AB41" i="45"/>
  <c r="AD41" i="45" s="1"/>
  <c r="AC42" i="45"/>
  <c r="AN41" i="45" l="1"/>
  <c r="BI41" i="45" s="1"/>
  <c r="AE41" i="45"/>
  <c r="AF41" i="45"/>
  <c r="AM41" i="45" l="1"/>
  <c r="AU41" i="45" l="1"/>
  <c r="AP41" i="45" s="1"/>
  <c r="BH41" i="45"/>
  <c r="AV41" i="45"/>
  <c r="AQ41" i="45" s="1"/>
  <c r="AW41" i="45"/>
  <c r="AT41" i="45" s="1"/>
  <c r="BD41" i="45" l="1"/>
  <c r="Q41" i="45" s="1"/>
  <c r="P42" i="45" s="1"/>
  <c r="R42" i="45" s="1"/>
  <c r="BP41" i="45"/>
  <c r="BK41" i="45" s="1"/>
  <c r="BR41" i="45"/>
  <c r="BO41" i="45" s="1"/>
  <c r="BQ41" i="45"/>
  <c r="BL41" i="45" s="1"/>
  <c r="BY41" i="45" l="1"/>
  <c r="T42" i="45"/>
  <c r="S42" i="45"/>
  <c r="AB42" i="45"/>
  <c r="AD42" i="45" s="1"/>
  <c r="AC43" i="45"/>
  <c r="AN42" i="45" l="1"/>
  <c r="BI42" i="45" s="1"/>
  <c r="AE42" i="45"/>
  <c r="AF42" i="45"/>
  <c r="AM42" i="45" l="1"/>
  <c r="BH42" i="45" l="1"/>
  <c r="AV42" i="45"/>
  <c r="AQ42" i="45" s="1"/>
  <c r="AU42" i="45"/>
  <c r="AP42" i="45" s="1"/>
  <c r="AW42" i="45"/>
  <c r="AT42" i="45" s="1"/>
  <c r="BD42" i="45" l="1"/>
  <c r="Q42" i="45" s="1"/>
  <c r="P43" i="45" s="1"/>
  <c r="BR42" i="45"/>
  <c r="BO42" i="45" s="1"/>
  <c r="BQ42" i="45"/>
  <c r="BL42" i="45" s="1"/>
  <c r="BP42" i="45"/>
  <c r="BK42" i="45" s="1"/>
  <c r="BY42" i="45" l="1"/>
  <c r="R43" i="45"/>
  <c r="T43" i="45" l="1"/>
  <c r="S43" i="45"/>
  <c r="AB43" i="45"/>
  <c r="AD43" i="45" s="1"/>
  <c r="AC44" i="45"/>
  <c r="AN43" i="45" l="1"/>
  <c r="BI43" i="45" s="1"/>
  <c r="AE43" i="45"/>
  <c r="AF43" i="45"/>
  <c r="AM43" i="45" l="1"/>
  <c r="AW43" i="45" l="1"/>
  <c r="AT43" i="45" s="1"/>
  <c r="AV43" i="45"/>
  <c r="AQ43" i="45" s="1"/>
  <c r="BH43" i="45"/>
  <c r="AU43" i="45"/>
  <c r="AP43" i="45" s="1"/>
  <c r="BR43" i="45" l="1"/>
  <c r="BO43" i="45" s="1"/>
  <c r="BQ43" i="45"/>
  <c r="BL43" i="45" s="1"/>
  <c r="BP43" i="45"/>
  <c r="BK43" i="45" s="1"/>
  <c r="BD43" i="45"/>
  <c r="Q43" i="45" s="1"/>
  <c r="P44" i="45" s="1"/>
  <c r="BY43" i="45" l="1"/>
  <c r="R44" i="45"/>
  <c r="S44" i="45" l="1"/>
  <c r="AB44" i="45"/>
  <c r="AD44" i="45" s="1"/>
  <c r="T44" i="45"/>
  <c r="AC45" i="45"/>
  <c r="AN44" i="45" l="1"/>
  <c r="BI44" i="45" s="1"/>
  <c r="AE44" i="45"/>
  <c r="AF44" i="45"/>
  <c r="AM44" i="45" l="1"/>
  <c r="BH44" i="45" l="1"/>
  <c r="AV44" i="45"/>
  <c r="AQ44" i="45" s="1"/>
  <c r="AU44" i="45"/>
  <c r="AP44" i="45" s="1"/>
  <c r="AW44" i="45"/>
  <c r="AT44" i="45" s="1"/>
  <c r="BD44" i="45" l="1"/>
  <c r="Q44" i="45" s="1"/>
  <c r="P45" i="45" s="1"/>
  <c r="BQ44" i="45"/>
  <c r="BL44" i="45" s="1"/>
  <c r="BR44" i="45"/>
  <c r="BO44" i="45" s="1"/>
  <c r="BP44" i="45"/>
  <c r="BK44" i="45" s="1"/>
  <c r="R45" i="45" l="1"/>
  <c r="BY44" i="45"/>
  <c r="S45" i="45" l="1"/>
  <c r="T45" i="45"/>
  <c r="AB45" i="45"/>
  <c r="AD45" i="45" s="1"/>
  <c r="AC46" i="45"/>
  <c r="AN45" i="45" l="1"/>
  <c r="BI45" i="45" s="1"/>
  <c r="AE45" i="45"/>
  <c r="AF45" i="45"/>
  <c r="AM45" i="45" l="1"/>
  <c r="AU45" i="45" l="1"/>
  <c r="AP45" i="45" s="1"/>
  <c r="AW45" i="45"/>
  <c r="AT45" i="45" s="1"/>
  <c r="BH45" i="45"/>
  <c r="AV45" i="45"/>
  <c r="AQ45" i="45" s="1"/>
  <c r="BD45" i="45" l="1"/>
  <c r="Q45" i="45" s="1"/>
  <c r="P46" i="45" s="1"/>
  <c r="BR45" i="45"/>
  <c r="BO45" i="45" s="1"/>
  <c r="BQ45" i="45"/>
  <c r="BL45" i="45" s="1"/>
  <c r="BP45" i="45"/>
  <c r="BK45" i="45" s="1"/>
  <c r="BY45" i="45" l="1"/>
  <c r="R46" i="45"/>
  <c r="T46" i="45" l="1"/>
  <c r="AB46" i="45"/>
  <c r="AD46" i="45" s="1"/>
  <c r="S46" i="45"/>
  <c r="AC47" i="45"/>
  <c r="AN46" i="45" l="1"/>
  <c r="BI46" i="45" s="1"/>
  <c r="AE46" i="45"/>
  <c r="AF46" i="45"/>
  <c r="AM46" i="45" l="1"/>
  <c r="AW46" i="45" l="1"/>
  <c r="AT46" i="45" s="1"/>
  <c r="AU46" i="45"/>
  <c r="AP46" i="45" s="1"/>
  <c r="BH46" i="45"/>
  <c r="AV46" i="45"/>
  <c r="AQ46" i="45" s="1"/>
  <c r="BR46" i="45" l="1"/>
  <c r="BO46" i="45" s="1"/>
  <c r="BQ46" i="45"/>
  <c r="BL46" i="45" s="1"/>
  <c r="BP46" i="45"/>
  <c r="BK46" i="45" s="1"/>
  <c r="BD46" i="45"/>
  <c r="Q46" i="45" s="1"/>
  <c r="P47" i="45" s="1"/>
  <c r="R47" i="45" l="1"/>
  <c r="BY46" i="45"/>
  <c r="S47" i="45" l="1"/>
  <c r="AB47" i="45"/>
  <c r="AD47" i="45" s="1"/>
  <c r="T47" i="45"/>
  <c r="AC48" i="45"/>
  <c r="AN47" i="45" l="1"/>
  <c r="BI47" i="45" s="1"/>
  <c r="AE47" i="45"/>
  <c r="AF47" i="45"/>
  <c r="AM47" i="45" l="1"/>
  <c r="AU47" i="45" l="1"/>
  <c r="AP47" i="45" s="1"/>
  <c r="AV47" i="45"/>
  <c r="AQ47" i="45" s="1"/>
  <c r="BH47" i="45"/>
  <c r="AW47" i="45"/>
  <c r="AT47" i="45" s="1"/>
  <c r="BD47" i="45" l="1"/>
  <c r="Q47" i="45" s="1"/>
  <c r="P48" i="45" s="1"/>
  <c r="R48" i="45" s="1"/>
  <c r="BR47" i="45"/>
  <c r="BO47" i="45" s="1"/>
  <c r="BP47" i="45"/>
  <c r="BK47" i="45" s="1"/>
  <c r="BQ47" i="45"/>
  <c r="BL47" i="45" s="1"/>
  <c r="BY47" i="45" l="1"/>
  <c r="T48" i="45"/>
  <c r="S48" i="45"/>
  <c r="AB48" i="45"/>
  <c r="AD48" i="45" s="1"/>
  <c r="AC49" i="45"/>
  <c r="AN48" i="45" l="1"/>
  <c r="BI48" i="45" s="1"/>
  <c r="AE48" i="45"/>
  <c r="AF48" i="45"/>
  <c r="AM48" i="45" l="1"/>
  <c r="AU48" i="45" l="1"/>
  <c r="AP48" i="45" s="1"/>
  <c r="AW48" i="45"/>
  <c r="AT48" i="45" s="1"/>
  <c r="BH48" i="45"/>
  <c r="AV48" i="45"/>
  <c r="AQ48" i="45" s="1"/>
  <c r="BQ48" i="45" l="1"/>
  <c r="BL48" i="45" s="1"/>
  <c r="BP48" i="45"/>
  <c r="BK48" i="45" s="1"/>
  <c r="BR48" i="45"/>
  <c r="BO48" i="45" s="1"/>
  <c r="BD48" i="45"/>
  <c r="Q48" i="45" s="1"/>
  <c r="P49" i="45" s="1"/>
  <c r="BY48" i="45" l="1"/>
  <c r="R49" i="45"/>
  <c r="T49" i="45" l="1"/>
  <c r="AB49" i="45"/>
  <c r="AD49" i="45" s="1"/>
  <c r="S49" i="45"/>
  <c r="AC50" i="45"/>
  <c r="AN49" i="45" l="1"/>
  <c r="BI49" i="45" s="1"/>
  <c r="AE49" i="45"/>
  <c r="AF49" i="45"/>
  <c r="AM49" i="45" l="1"/>
  <c r="AV49" i="45" l="1"/>
  <c r="AQ49" i="45" s="1"/>
  <c r="AW49" i="45"/>
  <c r="AT49" i="45" s="1"/>
  <c r="AU49" i="45"/>
  <c r="AP49" i="45" s="1"/>
  <c r="BH49" i="45"/>
  <c r="BD49" i="45" l="1"/>
  <c r="Q49" i="45" s="1"/>
  <c r="P50" i="45" s="1"/>
  <c r="R50" i="45" s="1"/>
  <c r="BP49" i="45"/>
  <c r="BK49" i="45" s="1"/>
  <c r="BR49" i="45"/>
  <c r="BO49" i="45" s="1"/>
  <c r="BQ49" i="45"/>
  <c r="BL49" i="45" s="1"/>
  <c r="BY49" i="45" l="1"/>
  <c r="S50" i="45"/>
  <c r="T50" i="45"/>
  <c r="AB50" i="45"/>
  <c r="AD50" i="45" s="1"/>
  <c r="AC51" i="45"/>
  <c r="AN50" i="45" l="1"/>
  <c r="BI50" i="45" s="1"/>
  <c r="AE50" i="45"/>
  <c r="AF50" i="45"/>
  <c r="AM50" i="45" l="1"/>
  <c r="AV50" i="45" l="1"/>
  <c r="AQ50" i="45" s="1"/>
  <c r="BH50" i="45"/>
  <c r="AW50" i="45"/>
  <c r="AT50" i="45" s="1"/>
  <c r="AU50" i="45"/>
  <c r="AP50" i="45" s="1"/>
  <c r="BD50" i="45" l="1"/>
  <c r="Q50" i="45" s="1"/>
  <c r="P51" i="45" s="1"/>
  <c r="BP50" i="45"/>
  <c r="BK50" i="45" s="1"/>
  <c r="BQ50" i="45"/>
  <c r="BL50" i="45" s="1"/>
  <c r="BR50" i="45"/>
  <c r="BO50" i="45" s="1"/>
  <c r="BY50" i="45" l="1"/>
  <c r="R51" i="45"/>
  <c r="S51" i="45" l="1"/>
  <c r="T51" i="45"/>
  <c r="AB51" i="45"/>
  <c r="AD51" i="45" s="1"/>
  <c r="AC52" i="45"/>
  <c r="AN51" i="45" l="1"/>
  <c r="BI51" i="45" s="1"/>
  <c r="AE51" i="45"/>
  <c r="AF51" i="45"/>
  <c r="AM51" i="45" l="1"/>
  <c r="AW51" i="45" l="1"/>
  <c r="AT51" i="45" s="1"/>
  <c r="AU51" i="45"/>
  <c r="AP51" i="45" s="1"/>
  <c r="BH51" i="45"/>
  <c r="AV51" i="45"/>
  <c r="AQ51" i="45" s="1"/>
  <c r="BQ51" i="45" l="1"/>
  <c r="BL51" i="45" s="1"/>
  <c r="BP51" i="45"/>
  <c r="BK51" i="45" s="1"/>
  <c r="BR51" i="45"/>
  <c r="BO51" i="45" s="1"/>
  <c r="BD51" i="45"/>
  <c r="Q51" i="45" s="1"/>
  <c r="P52" i="45" s="1"/>
  <c r="R52" i="45" l="1"/>
  <c r="BY51" i="45"/>
  <c r="S52" i="45" l="1"/>
  <c r="T52" i="45"/>
  <c r="AB52" i="45"/>
  <c r="AD52" i="45" s="1"/>
  <c r="AC53" i="45"/>
  <c r="AN52" i="45" l="1"/>
  <c r="BI52" i="45" s="1"/>
  <c r="AE52" i="45"/>
  <c r="AF52" i="45"/>
  <c r="AM52" i="45" l="1"/>
  <c r="AW52" i="45" l="1"/>
  <c r="AT52" i="45" s="1"/>
  <c r="BH52" i="45"/>
  <c r="AU52" i="45"/>
  <c r="AP52" i="45" s="1"/>
  <c r="AV52" i="45"/>
  <c r="AQ52" i="45" s="1"/>
  <c r="BD52" i="45" l="1"/>
  <c r="Q52" i="45" s="1"/>
  <c r="P53" i="45" s="1"/>
  <c r="BR52" i="45"/>
  <c r="BO52" i="45" s="1"/>
  <c r="BP52" i="45"/>
  <c r="BK52" i="45" s="1"/>
  <c r="BQ52" i="45"/>
  <c r="BL52" i="45" s="1"/>
  <c r="BY52" i="45" l="1"/>
  <c r="R53" i="45"/>
  <c r="T53" i="45" l="1"/>
  <c r="S53" i="45"/>
  <c r="AB53" i="45"/>
  <c r="AD53" i="45" s="1"/>
  <c r="AC54" i="45"/>
  <c r="AN53" i="45" l="1"/>
  <c r="BI53" i="45" s="1"/>
  <c r="AE53" i="45"/>
  <c r="AF53" i="45"/>
  <c r="AM53" i="45" l="1"/>
  <c r="AU53" i="45" l="1"/>
  <c r="AP53" i="45" s="1"/>
  <c r="AW53" i="45"/>
  <c r="AT53" i="45" s="1"/>
  <c r="BH53" i="45"/>
  <c r="AV53" i="45"/>
  <c r="AQ53" i="45" s="1"/>
  <c r="BD53" i="45" l="1"/>
  <c r="Q53" i="45" s="1"/>
  <c r="P54" i="45" s="1"/>
  <c r="R54" i="45" s="1"/>
  <c r="BR53" i="45"/>
  <c r="BO53" i="45" s="1"/>
  <c r="BQ53" i="45"/>
  <c r="BL53" i="45" s="1"/>
  <c r="BP53" i="45"/>
  <c r="BK53" i="45" s="1"/>
  <c r="S54" i="45" l="1"/>
  <c r="T54" i="45"/>
  <c r="AB54" i="45"/>
  <c r="AD54" i="45" s="1"/>
  <c r="BY53" i="45"/>
  <c r="AC55" i="45"/>
  <c r="AN54" i="45" l="1"/>
  <c r="BI54" i="45" s="1"/>
  <c r="AE54" i="45"/>
  <c r="AF54" i="45"/>
  <c r="AM54" i="45" l="1"/>
  <c r="AU54" i="45" l="1"/>
  <c r="AP54" i="45" s="1"/>
  <c r="AV54" i="45"/>
  <c r="AQ54" i="45" s="1"/>
  <c r="AW54" i="45"/>
  <c r="AT54" i="45" s="1"/>
  <c r="BH54" i="45"/>
  <c r="BQ54" i="45" l="1"/>
  <c r="BL54" i="45" s="1"/>
  <c r="BR54" i="45"/>
  <c r="BO54" i="45" s="1"/>
  <c r="BP54" i="45"/>
  <c r="BK54" i="45" s="1"/>
  <c r="BD54" i="45"/>
  <c r="Q54" i="45" s="1"/>
  <c r="P55" i="45" s="1"/>
  <c r="R55" i="45" l="1"/>
  <c r="BY54" i="45"/>
  <c r="T55" i="45" l="1"/>
  <c r="AB55" i="45"/>
  <c r="AD55" i="45" s="1"/>
  <c r="S55" i="45"/>
  <c r="AC56" i="45"/>
  <c r="AN55" i="45" l="1"/>
  <c r="BI55" i="45" s="1"/>
  <c r="AE55" i="45"/>
  <c r="AF55" i="45"/>
  <c r="AM55" i="45" l="1"/>
  <c r="AU55" i="45" l="1"/>
  <c r="AP55" i="45" s="1"/>
  <c r="AV55" i="45"/>
  <c r="AQ55" i="45" s="1"/>
  <c r="BH55" i="45"/>
  <c r="AW55" i="45"/>
  <c r="AT55" i="45" s="1"/>
  <c r="BQ55" i="45" l="1"/>
  <c r="BL55" i="45" s="1"/>
  <c r="BR55" i="45"/>
  <c r="BO55" i="45" s="1"/>
  <c r="BP55" i="45"/>
  <c r="BK55" i="45" s="1"/>
  <c r="BD55" i="45"/>
  <c r="Q55" i="45" s="1"/>
  <c r="P56" i="45" s="1"/>
  <c r="R56" i="45" l="1"/>
  <c r="BY55" i="45"/>
  <c r="S56" i="45" l="1"/>
  <c r="T56" i="45"/>
  <c r="AB56" i="45"/>
  <c r="AD56" i="45" s="1"/>
  <c r="AC57" i="45"/>
  <c r="AN56" i="45" l="1"/>
  <c r="BI56" i="45" s="1"/>
  <c r="AE56" i="45"/>
  <c r="AF56" i="45"/>
  <c r="AM56" i="45" l="1"/>
  <c r="AW56" i="45" l="1"/>
  <c r="AT56" i="45" s="1"/>
  <c r="BH56" i="45"/>
  <c r="AU56" i="45"/>
  <c r="AP56" i="45" s="1"/>
  <c r="AV56" i="45"/>
  <c r="AQ56" i="45" s="1"/>
  <c r="BD56" i="45" l="1"/>
  <c r="Q56" i="45" s="1"/>
  <c r="P57" i="45" s="1"/>
  <c r="BP56" i="45"/>
  <c r="BK56" i="45" s="1"/>
  <c r="BR56" i="45"/>
  <c r="BO56" i="45" s="1"/>
  <c r="BQ56" i="45"/>
  <c r="BL56" i="45" s="1"/>
  <c r="BY56" i="45" l="1"/>
  <c r="R57" i="45"/>
  <c r="T57" i="45" l="1"/>
  <c r="AB57" i="45"/>
  <c r="AD57" i="45" s="1"/>
  <c r="S57" i="45"/>
  <c r="AC58" i="45"/>
  <c r="AN57" i="45" l="1"/>
  <c r="BI57" i="45" s="1"/>
  <c r="AE57" i="45"/>
  <c r="AF57" i="45"/>
  <c r="AM57" i="45" l="1"/>
  <c r="AV57" i="45" l="1"/>
  <c r="AQ57" i="45" s="1"/>
  <c r="BH57" i="45"/>
  <c r="AU57" i="45"/>
  <c r="AP57" i="45" s="1"/>
  <c r="AW57" i="45"/>
  <c r="AT57" i="45" s="1"/>
  <c r="BD57" i="45" l="1"/>
  <c r="Q57" i="45" s="1"/>
  <c r="P58" i="45" s="1"/>
  <c r="R58" i="45" s="1"/>
  <c r="BQ57" i="45"/>
  <c r="BL57" i="45" s="1"/>
  <c r="BR57" i="45"/>
  <c r="BO57" i="45" s="1"/>
  <c r="BP57" i="45"/>
  <c r="BK57" i="45" s="1"/>
  <c r="BY57" i="45" l="1"/>
  <c r="T58" i="45"/>
  <c r="S58" i="45"/>
  <c r="AB58" i="45"/>
  <c r="AD58" i="45" s="1"/>
  <c r="AC59" i="45"/>
  <c r="AN58" i="45" l="1"/>
  <c r="BI58" i="45" s="1"/>
  <c r="AE58" i="45"/>
  <c r="AF58" i="45"/>
  <c r="AM58" i="45" l="1"/>
  <c r="BH58" i="45" l="1"/>
  <c r="AU58" i="45"/>
  <c r="AP58" i="45" s="1"/>
  <c r="AV58" i="45"/>
  <c r="AQ58" i="45" s="1"/>
  <c r="AW58" i="45"/>
  <c r="AT58" i="45" s="1"/>
  <c r="BD58" i="45" l="1"/>
  <c r="Q58" i="45" s="1"/>
  <c r="P59" i="45" s="1"/>
  <c r="R59" i="45" s="1"/>
  <c r="BR58" i="45"/>
  <c r="BO58" i="45" s="1"/>
  <c r="BP58" i="45"/>
  <c r="BK58" i="45" s="1"/>
  <c r="BQ58" i="45"/>
  <c r="BL58" i="45" s="1"/>
  <c r="BY58" i="45" l="1"/>
  <c r="AB59" i="45"/>
  <c r="AD59" i="45" s="1"/>
  <c r="S59" i="45"/>
  <c r="T59" i="45"/>
  <c r="AC60" i="45"/>
  <c r="AN59" i="45" l="1"/>
  <c r="BI59" i="45" s="1"/>
  <c r="AE59" i="45"/>
  <c r="AF59" i="45"/>
  <c r="AM59" i="45" l="1"/>
  <c r="AW59" i="45" l="1"/>
  <c r="AT59" i="45" s="1"/>
  <c r="AU59" i="45"/>
  <c r="AP59" i="45" s="1"/>
  <c r="BH59" i="45"/>
  <c r="AV59" i="45"/>
  <c r="AQ59" i="45" s="1"/>
  <c r="BQ59" i="45" l="1"/>
  <c r="BL59" i="45" s="1"/>
  <c r="BR59" i="45"/>
  <c r="BO59" i="45" s="1"/>
  <c r="BP59" i="45"/>
  <c r="BK59" i="45" s="1"/>
  <c r="BD59" i="45"/>
  <c r="Q59" i="45" s="1"/>
  <c r="P60" i="45" s="1"/>
  <c r="R60" i="45" l="1"/>
  <c r="BY59" i="45"/>
  <c r="S60" i="45" l="1"/>
  <c r="T60" i="45"/>
  <c r="AB60" i="45"/>
  <c r="AD60" i="45" s="1"/>
  <c r="AC61" i="45"/>
  <c r="AN60" i="45" l="1"/>
  <c r="BI60" i="45" s="1"/>
  <c r="AE60" i="45"/>
  <c r="AF60" i="45"/>
  <c r="AM60" i="45" l="1"/>
  <c r="AW60" i="45" l="1"/>
  <c r="AT60" i="45" s="1"/>
  <c r="AV60" i="45"/>
  <c r="AQ60" i="45" s="1"/>
  <c r="AU60" i="45"/>
  <c r="AP60" i="45" s="1"/>
  <c r="BH60" i="45"/>
  <c r="BD60" i="45" l="1"/>
  <c r="Q60" i="45" s="1"/>
  <c r="P61" i="45" s="1"/>
  <c r="R61" i="45" s="1"/>
  <c r="BR60" i="45"/>
  <c r="BO60" i="45" s="1"/>
  <c r="BP60" i="45"/>
  <c r="BK60" i="45" s="1"/>
  <c r="BQ60" i="45"/>
  <c r="BL60" i="45" s="1"/>
  <c r="S61" i="45" l="1"/>
  <c r="T61" i="45"/>
  <c r="AB61" i="45"/>
  <c r="AD61" i="45" s="1"/>
  <c r="BY60" i="45"/>
  <c r="AC62" i="45"/>
  <c r="AN61" i="45" l="1"/>
  <c r="BI61" i="45" s="1"/>
  <c r="AE61" i="45"/>
  <c r="AF61" i="45"/>
  <c r="AM61" i="45" l="1"/>
  <c r="BH61" i="45" l="1"/>
  <c r="AV61" i="45"/>
  <c r="AQ61" i="45" s="1"/>
  <c r="AU61" i="45"/>
  <c r="AP61" i="45" s="1"/>
  <c r="AW61" i="45"/>
  <c r="AT61" i="45" s="1"/>
  <c r="BD61" i="45" l="1"/>
  <c r="Q61" i="45" s="1"/>
  <c r="P62" i="45" s="1"/>
  <c r="BP61" i="45"/>
  <c r="BK61" i="45" s="1"/>
  <c r="BR61" i="45"/>
  <c r="BO61" i="45" s="1"/>
  <c r="BQ61" i="45"/>
  <c r="BL61" i="45" s="1"/>
  <c r="BY61" i="45" l="1"/>
  <c r="R62" i="45"/>
  <c r="T62" i="45" l="1"/>
  <c r="S62" i="45"/>
  <c r="AB62" i="45"/>
  <c r="AD62" i="45" s="1"/>
  <c r="AC63" i="45"/>
  <c r="AN62" i="45" l="1"/>
  <c r="BI62" i="45" s="1"/>
  <c r="AE62" i="45"/>
  <c r="AF62" i="45"/>
  <c r="AM62" i="45" l="1"/>
  <c r="BH62" i="45" l="1"/>
  <c r="AU62" i="45"/>
  <c r="AP62" i="45" s="1"/>
  <c r="AV62" i="45"/>
  <c r="AQ62" i="45" s="1"/>
  <c r="AW62" i="45"/>
  <c r="AT62" i="45" s="1"/>
  <c r="BD62" i="45" l="1"/>
  <c r="Q62" i="45" s="1"/>
  <c r="P63" i="45" s="1"/>
  <c r="BR62" i="45"/>
  <c r="BO62" i="45" s="1"/>
  <c r="BQ62" i="45"/>
  <c r="BL62" i="45" s="1"/>
  <c r="BP62" i="45"/>
  <c r="BK62" i="45" s="1"/>
  <c r="BY62" i="45" l="1"/>
  <c r="R63" i="45"/>
  <c r="T63" i="45" l="1"/>
  <c r="AB63" i="45"/>
  <c r="AD63" i="45" s="1"/>
  <c r="S63" i="45"/>
  <c r="AC64" i="45"/>
  <c r="AN63" i="45" l="1"/>
  <c r="BI63" i="45" s="1"/>
  <c r="AE63" i="45"/>
  <c r="AF63" i="45"/>
  <c r="AM63" i="45" l="1"/>
  <c r="AV63" i="45" l="1"/>
  <c r="AQ63" i="45" s="1"/>
  <c r="AU63" i="45"/>
  <c r="AP63" i="45" s="1"/>
  <c r="AW63" i="45"/>
  <c r="AT63" i="45" s="1"/>
  <c r="BH63" i="45"/>
  <c r="BD63" i="45" l="1"/>
  <c r="Q63" i="45" s="1"/>
  <c r="P64" i="45" s="1"/>
  <c r="R64" i="45" s="1"/>
  <c r="BR63" i="45"/>
  <c r="BO63" i="45" s="1"/>
  <c r="BQ63" i="45"/>
  <c r="BL63" i="45" s="1"/>
  <c r="BP63" i="45"/>
  <c r="BK63" i="45" s="1"/>
  <c r="BY63" i="45" l="1"/>
  <c r="AB64" i="45"/>
  <c r="AD64" i="45" s="1"/>
  <c r="S64" i="45"/>
  <c r="T64" i="45"/>
  <c r="AC65" i="45"/>
  <c r="AN64" i="45" l="1"/>
  <c r="BI64" i="45" s="1"/>
  <c r="AE64" i="45"/>
  <c r="AF64" i="45"/>
  <c r="AM64" i="45" l="1"/>
  <c r="AV64" i="45" l="1"/>
  <c r="AQ64" i="45" s="1"/>
  <c r="AU64" i="45"/>
  <c r="AP64" i="45" s="1"/>
  <c r="AW64" i="45"/>
  <c r="AT64" i="45" s="1"/>
  <c r="BH64" i="45"/>
  <c r="BD64" i="45" l="1"/>
  <c r="Q64" i="45" s="1"/>
  <c r="P65" i="45" s="1"/>
  <c r="BQ64" i="45"/>
  <c r="BL64" i="45" s="1"/>
  <c r="BR64" i="45"/>
  <c r="BO64" i="45" s="1"/>
  <c r="BP64" i="45"/>
  <c r="BK64" i="45" s="1"/>
  <c r="R65" i="45" l="1"/>
  <c r="BY64" i="45"/>
  <c r="AB65" i="45" l="1"/>
  <c r="AD65" i="45" s="1"/>
  <c r="T65" i="45"/>
  <c r="S65" i="45"/>
  <c r="AC66" i="45"/>
  <c r="AN65" i="45" l="1"/>
  <c r="BI65" i="45" s="1"/>
  <c r="AE65" i="45"/>
  <c r="AF65" i="45"/>
  <c r="AM65" i="45" l="1"/>
  <c r="AW65" i="45" l="1"/>
  <c r="AT65" i="45" s="1"/>
  <c r="AU65" i="45"/>
  <c r="AP65" i="45" s="1"/>
  <c r="AV65" i="45"/>
  <c r="AQ65" i="45" s="1"/>
  <c r="BH65" i="45"/>
  <c r="BD65" i="45" l="1"/>
  <c r="Q65" i="45" s="1"/>
  <c r="P66" i="45" s="1"/>
  <c r="R66" i="45" s="1"/>
  <c r="BR65" i="45"/>
  <c r="BO65" i="45" s="1"/>
  <c r="BP65" i="45"/>
  <c r="BK65" i="45" s="1"/>
  <c r="BQ65" i="45"/>
  <c r="BL65" i="45" s="1"/>
  <c r="BY65" i="45" l="1"/>
  <c r="S66" i="45"/>
  <c r="T66" i="45"/>
  <c r="AB66" i="45"/>
  <c r="AD66" i="45" s="1"/>
  <c r="AC67" i="45"/>
  <c r="AN66" i="45" l="1"/>
  <c r="BI66" i="45" s="1"/>
  <c r="AE66" i="45"/>
  <c r="AF66" i="45"/>
  <c r="AM66" i="45" l="1"/>
  <c r="AU66" i="45" l="1"/>
  <c r="AP66" i="45" s="1"/>
  <c r="AV66" i="45"/>
  <c r="AQ66" i="45" s="1"/>
  <c r="BH66" i="45"/>
  <c r="AW66" i="45"/>
  <c r="AT66" i="45" s="1"/>
  <c r="BR66" i="45" l="1"/>
  <c r="BO66" i="45" s="1"/>
  <c r="BP66" i="45"/>
  <c r="BK66" i="45" s="1"/>
  <c r="BQ66" i="45"/>
  <c r="BL66" i="45" s="1"/>
  <c r="BD66" i="45"/>
  <c r="Q66" i="45" s="1"/>
  <c r="P67" i="45" s="1"/>
  <c r="BY66" i="45" l="1"/>
  <c r="R67" i="45"/>
  <c r="S67" i="45" l="1"/>
  <c r="T67" i="45"/>
  <c r="AB67" i="45"/>
  <c r="AD67" i="45" s="1"/>
  <c r="AC68" i="45"/>
  <c r="AN67" i="45" l="1"/>
  <c r="BI67" i="45" s="1"/>
  <c r="AE67" i="45"/>
  <c r="AF67" i="45"/>
  <c r="AM67" i="45" l="1"/>
  <c r="BH67" i="45" l="1"/>
  <c r="AU67" i="45"/>
  <c r="AP67" i="45" s="1"/>
  <c r="AV67" i="45"/>
  <c r="AQ67" i="45" s="1"/>
  <c r="AW67" i="45"/>
  <c r="AT67" i="45" s="1"/>
  <c r="BD67" i="45" l="1"/>
  <c r="Q67" i="45" s="1"/>
  <c r="P68" i="45" s="1"/>
  <c r="BR67" i="45"/>
  <c r="BO67" i="45" s="1"/>
  <c r="BP67" i="45"/>
  <c r="BK67" i="45" s="1"/>
  <c r="BQ67" i="45"/>
  <c r="BL67" i="45" s="1"/>
  <c r="BY67" i="45" l="1"/>
  <c r="R68" i="45"/>
  <c r="T68" i="45" l="1"/>
  <c r="S68" i="45"/>
  <c r="AB68" i="45"/>
  <c r="AD68" i="45" s="1"/>
  <c r="AC69" i="45"/>
  <c r="AN68" i="45" l="1"/>
  <c r="BI68" i="45" s="1"/>
  <c r="AE68" i="45"/>
  <c r="AF68" i="45"/>
  <c r="AM68" i="45" l="1"/>
  <c r="AU68" i="45" l="1"/>
  <c r="AP68" i="45" s="1"/>
  <c r="AV68" i="45"/>
  <c r="AQ68" i="45" s="1"/>
  <c r="AW68" i="45"/>
  <c r="AT68" i="45" s="1"/>
  <c r="BH68" i="45"/>
  <c r="BD68" i="45" l="1"/>
  <c r="Q68" i="45" s="1"/>
  <c r="P69" i="45" s="1"/>
  <c r="BP68" i="45"/>
  <c r="BK68" i="45" s="1"/>
  <c r="BQ68" i="45"/>
  <c r="BL68" i="45" s="1"/>
  <c r="BR68" i="45"/>
  <c r="BO68" i="45" s="1"/>
  <c r="BY68" i="45" l="1"/>
  <c r="R69" i="45"/>
  <c r="S69" i="45" l="1"/>
  <c r="T69" i="45"/>
  <c r="AB69" i="45"/>
  <c r="AD69" i="45" s="1"/>
  <c r="AC70" i="45"/>
  <c r="AN69" i="45" l="1"/>
  <c r="BI69" i="45" s="1"/>
  <c r="AE69" i="45"/>
  <c r="AF69" i="45"/>
  <c r="AM69" i="45" l="1"/>
  <c r="AW69" i="45" l="1"/>
  <c r="AT69" i="45" s="1"/>
  <c r="AU69" i="45"/>
  <c r="AP69" i="45" s="1"/>
  <c r="BH69" i="45"/>
  <c r="AV69" i="45"/>
  <c r="AQ69" i="45" s="1"/>
  <c r="BQ69" i="45" l="1"/>
  <c r="BL69" i="45" s="1"/>
  <c r="BP69" i="45"/>
  <c r="BK69" i="45" s="1"/>
  <c r="BR69" i="45"/>
  <c r="BO69" i="45" s="1"/>
  <c r="BD69" i="45"/>
  <c r="Q69" i="45" s="1"/>
  <c r="P70" i="45" s="1"/>
  <c r="BY69" i="45" l="1"/>
  <c r="R70" i="45"/>
  <c r="T70" i="45" l="1"/>
  <c r="S70" i="45"/>
  <c r="AB70" i="45"/>
  <c r="AD70" i="45" s="1"/>
  <c r="AC71" i="45"/>
  <c r="AN70" i="45" l="1"/>
  <c r="BI70" i="45" s="1"/>
  <c r="AE70" i="45"/>
  <c r="AF70" i="45"/>
  <c r="AM70" i="45" l="1"/>
  <c r="AU70" i="45" l="1"/>
  <c r="AP70" i="45" s="1"/>
  <c r="AW70" i="45"/>
  <c r="AT70" i="45" s="1"/>
  <c r="BH70" i="45"/>
  <c r="AV70" i="45"/>
  <c r="AQ70" i="45" s="1"/>
  <c r="BP70" i="45" l="1"/>
  <c r="BK70" i="45" s="1"/>
  <c r="BR70" i="45"/>
  <c r="BO70" i="45" s="1"/>
  <c r="BQ70" i="45"/>
  <c r="BL70" i="45" s="1"/>
  <c r="BD70" i="45"/>
  <c r="Q70" i="45" s="1"/>
  <c r="P71" i="45" s="1"/>
  <c r="R71" i="45" l="1"/>
  <c r="BY70" i="45"/>
  <c r="S71" i="45" l="1"/>
  <c r="AB71" i="45"/>
  <c r="AD71" i="45" s="1"/>
  <c r="T71" i="45"/>
  <c r="AC72" i="45"/>
  <c r="AN71" i="45" l="1"/>
  <c r="BI71" i="45" s="1"/>
  <c r="AE71" i="45"/>
  <c r="AF71" i="45"/>
  <c r="AM71" i="45" l="1"/>
  <c r="AV71" i="45" l="1"/>
  <c r="AQ71" i="45" s="1"/>
  <c r="BH71" i="45"/>
  <c r="AU71" i="45"/>
  <c r="AP71" i="45" s="1"/>
  <c r="AW71" i="45"/>
  <c r="AT71" i="45" s="1"/>
  <c r="BD71" i="45" l="1"/>
  <c r="Q71" i="45" s="1"/>
  <c r="P72" i="45" s="1"/>
  <c r="BQ71" i="45"/>
  <c r="BL71" i="45" s="1"/>
  <c r="BR71" i="45"/>
  <c r="BO71" i="45" s="1"/>
  <c r="BP71" i="45"/>
  <c r="BK71" i="45" s="1"/>
  <c r="BY71" i="45" l="1"/>
  <c r="R72" i="45"/>
  <c r="T72" i="45" l="1"/>
  <c r="S72" i="45"/>
  <c r="AB72" i="45"/>
  <c r="AD72" i="45" s="1"/>
  <c r="AC73" i="45"/>
  <c r="AN72" i="45" l="1"/>
  <c r="BI72" i="45" s="1"/>
  <c r="AE72" i="45"/>
  <c r="AF72" i="45"/>
  <c r="AM72" i="45" l="1"/>
  <c r="AW72" i="45" l="1"/>
  <c r="AT72" i="45" s="1"/>
  <c r="BH72" i="45"/>
  <c r="AU72" i="45"/>
  <c r="AP72" i="45" s="1"/>
  <c r="AV72" i="45"/>
  <c r="AQ72" i="45" s="1"/>
  <c r="BD72" i="45" l="1"/>
  <c r="Q72" i="45" s="1"/>
  <c r="P73" i="45" s="1"/>
  <c r="R73" i="45" s="1"/>
  <c r="BR72" i="45"/>
  <c r="BO72" i="45" s="1"/>
  <c r="BP72" i="45"/>
  <c r="BK72" i="45" s="1"/>
  <c r="BQ72" i="45"/>
  <c r="BL72" i="45" s="1"/>
  <c r="BY72" i="45" l="1"/>
  <c r="T73" i="45"/>
  <c r="S73" i="45"/>
  <c r="AB73" i="45"/>
  <c r="AD73" i="45" s="1"/>
  <c r="AC74" i="45"/>
  <c r="AN73" i="45" l="1"/>
  <c r="BI73" i="45" s="1"/>
  <c r="AE73" i="45"/>
  <c r="AF73" i="45"/>
  <c r="AM73" i="45" l="1"/>
  <c r="AW73" i="45" l="1"/>
  <c r="AT73" i="45" s="1"/>
  <c r="AU73" i="45"/>
  <c r="AP73" i="45" s="1"/>
  <c r="AV73" i="45"/>
  <c r="AQ73" i="45" s="1"/>
  <c r="BH73" i="45"/>
  <c r="BD73" i="45" l="1"/>
  <c r="Q73" i="45" s="1"/>
  <c r="P74" i="45" s="1"/>
  <c r="R74" i="45" s="1"/>
  <c r="BQ73" i="45"/>
  <c r="BL73" i="45" s="1"/>
  <c r="BP73" i="45"/>
  <c r="BK73" i="45" s="1"/>
  <c r="BR73" i="45"/>
  <c r="BO73" i="45" s="1"/>
  <c r="S74" i="45" l="1"/>
  <c r="T74" i="45"/>
  <c r="AB74" i="45"/>
  <c r="AD74" i="45" s="1"/>
  <c r="BY73" i="45"/>
  <c r="AC75" i="45"/>
  <c r="AN74" i="45" l="1"/>
  <c r="BI74" i="45" s="1"/>
  <c r="AE74" i="45"/>
  <c r="AF74" i="45"/>
  <c r="AM74" i="45" l="1"/>
  <c r="BH74" i="45" l="1"/>
  <c r="AW74" i="45"/>
  <c r="AT74" i="45" s="1"/>
  <c r="AV74" i="45"/>
  <c r="AQ74" i="45" s="1"/>
  <c r="AU74" i="45"/>
  <c r="AP74" i="45" s="1"/>
  <c r="BD74" i="45" l="1"/>
  <c r="Q74" i="45" s="1"/>
  <c r="P75" i="45" s="1"/>
  <c r="R75" i="45" s="1"/>
  <c r="BR74" i="45"/>
  <c r="BO74" i="45" s="1"/>
  <c r="BQ74" i="45"/>
  <c r="BL74" i="45" s="1"/>
  <c r="BP74" i="45"/>
  <c r="BK74" i="45" s="1"/>
  <c r="BY74" i="45" l="1"/>
  <c r="S75" i="45"/>
  <c r="T75" i="45"/>
  <c r="AB75" i="45"/>
  <c r="AD75" i="45" s="1"/>
  <c r="AC76" i="45"/>
  <c r="AN75" i="45" l="1"/>
  <c r="BI75" i="45" s="1"/>
  <c r="AE75" i="45"/>
  <c r="AF75" i="45"/>
  <c r="AM75" i="45" l="1"/>
  <c r="BH75" i="45" l="1"/>
  <c r="AU75" i="45"/>
  <c r="AP75" i="45" s="1"/>
  <c r="AW75" i="45"/>
  <c r="AT75" i="45" s="1"/>
  <c r="AV75" i="45"/>
  <c r="AQ75" i="45" s="1"/>
  <c r="BD75" i="45" l="1"/>
  <c r="Q75" i="45" s="1"/>
  <c r="P76" i="45" s="1"/>
  <c r="R76" i="45" s="1"/>
  <c r="BR75" i="45"/>
  <c r="BO75" i="45" s="1"/>
  <c r="BQ75" i="45"/>
  <c r="BL75" i="45" s="1"/>
  <c r="BP75" i="45"/>
  <c r="BK75" i="45" s="1"/>
  <c r="S76" i="45" l="1"/>
  <c r="T76" i="45"/>
  <c r="AB76" i="45"/>
  <c r="AD76" i="45" s="1"/>
  <c r="BY75" i="45"/>
  <c r="AC77" i="45"/>
  <c r="AN76" i="45" l="1"/>
  <c r="BI76" i="45" s="1"/>
  <c r="AE76" i="45"/>
  <c r="AF76" i="45"/>
  <c r="AM76" i="45" l="1"/>
  <c r="BH76" i="45" l="1"/>
  <c r="AV76" i="45"/>
  <c r="AQ76" i="45" s="1"/>
  <c r="AU76" i="45"/>
  <c r="AP76" i="45" s="1"/>
  <c r="AW76" i="45"/>
  <c r="AT76" i="45" s="1"/>
  <c r="BD76" i="45" l="1"/>
  <c r="Q76" i="45" s="1"/>
  <c r="P77" i="45" s="1"/>
  <c r="R77" i="45" s="1"/>
  <c r="BR76" i="45"/>
  <c r="BO76" i="45" s="1"/>
  <c r="BQ76" i="45"/>
  <c r="BL76" i="45" s="1"/>
  <c r="BP76" i="45"/>
  <c r="BK76" i="45" s="1"/>
  <c r="BY76" i="45" l="1"/>
  <c r="T77" i="45"/>
  <c r="S77" i="45"/>
  <c r="AB77" i="45"/>
  <c r="AD77" i="45" s="1"/>
  <c r="AC78" i="45"/>
  <c r="AN77" i="45" l="1"/>
  <c r="BI77" i="45" s="1"/>
  <c r="AE77" i="45"/>
  <c r="AF77" i="45"/>
  <c r="AM77" i="45" l="1"/>
  <c r="AU77" i="45" l="1"/>
  <c r="AP77" i="45" s="1"/>
  <c r="AV77" i="45"/>
  <c r="AQ77" i="45" s="1"/>
  <c r="AW77" i="45"/>
  <c r="AT77" i="45" s="1"/>
  <c r="BH77" i="45"/>
  <c r="BD77" i="45" l="1"/>
  <c r="Q77" i="45" s="1"/>
  <c r="P78" i="45" s="1"/>
  <c r="BQ77" i="45"/>
  <c r="BL77" i="45" s="1"/>
  <c r="BP77" i="45"/>
  <c r="BK77" i="45" s="1"/>
  <c r="BR77" i="45"/>
  <c r="BO77" i="45" s="1"/>
  <c r="BY77" i="45" l="1"/>
  <c r="R78" i="45"/>
  <c r="T78" i="45" l="1"/>
  <c r="S78" i="45"/>
  <c r="AB78" i="45"/>
  <c r="AD78" i="45" s="1"/>
  <c r="AC79" i="45"/>
  <c r="AN78" i="45" l="1"/>
  <c r="BI78" i="45" s="1"/>
  <c r="AE78" i="45"/>
  <c r="AF78" i="45"/>
  <c r="AM78" i="45" l="1"/>
  <c r="AW78" i="45" l="1"/>
  <c r="AT78" i="45" s="1"/>
  <c r="AU78" i="45"/>
  <c r="AP78" i="45" s="1"/>
  <c r="BH78" i="45"/>
  <c r="AV78" i="45"/>
  <c r="AQ78" i="45" s="1"/>
  <c r="BD78" i="45" l="1"/>
  <c r="Q78" i="45" s="1"/>
  <c r="P79" i="45" s="1"/>
  <c r="R79" i="45" s="1"/>
  <c r="BQ78" i="45"/>
  <c r="BL78" i="45" s="1"/>
  <c r="BP78" i="45"/>
  <c r="BK78" i="45" s="1"/>
  <c r="BR78" i="45"/>
  <c r="BO78" i="45" s="1"/>
  <c r="BY78" i="45" l="1"/>
  <c r="T79" i="45"/>
  <c r="AB79" i="45"/>
  <c r="AD79" i="45" s="1"/>
  <c r="S79" i="45"/>
  <c r="AC80" i="45"/>
  <c r="AN79" i="45" l="1"/>
  <c r="BI79" i="45" s="1"/>
  <c r="AE79" i="45"/>
  <c r="AF79" i="45"/>
  <c r="AM79" i="45" l="1"/>
  <c r="BH79" i="45" l="1"/>
  <c r="AV79" i="45"/>
  <c r="AQ79" i="45" s="1"/>
  <c r="AU79" i="45"/>
  <c r="AP79" i="45" s="1"/>
  <c r="AW79" i="45"/>
  <c r="AT79" i="45" s="1"/>
  <c r="BD79" i="45" l="1"/>
  <c r="Q79" i="45" s="1"/>
  <c r="P80" i="45" s="1"/>
  <c r="BR79" i="45"/>
  <c r="BO79" i="45" s="1"/>
  <c r="BQ79" i="45"/>
  <c r="BL79" i="45" s="1"/>
  <c r="BP79" i="45"/>
  <c r="BK79" i="45" s="1"/>
  <c r="BY79" i="45" l="1"/>
  <c r="R80" i="45"/>
  <c r="T80" i="45" l="1"/>
  <c r="S80" i="45"/>
  <c r="AB80" i="45"/>
  <c r="AD80" i="45" s="1"/>
  <c r="AC81" i="45"/>
  <c r="AN80" i="45" l="1"/>
  <c r="BI80" i="45" s="1"/>
  <c r="AE80" i="45"/>
  <c r="AF80" i="45"/>
  <c r="AM80" i="45" l="1"/>
  <c r="AU80" i="45" l="1"/>
  <c r="AP80" i="45" s="1"/>
  <c r="AV80" i="45"/>
  <c r="AQ80" i="45" s="1"/>
  <c r="AW80" i="45"/>
  <c r="AT80" i="45" s="1"/>
  <c r="BH80" i="45"/>
  <c r="BD80" i="45" l="1"/>
  <c r="Q80" i="45" s="1"/>
  <c r="P81" i="45" s="1"/>
  <c r="BP80" i="45"/>
  <c r="BK80" i="45" s="1"/>
  <c r="BQ80" i="45"/>
  <c r="BL80" i="45" s="1"/>
  <c r="BR80" i="45"/>
  <c r="BO80" i="45" s="1"/>
  <c r="R81" i="45" l="1"/>
  <c r="BY80" i="45"/>
  <c r="S81" i="45" l="1"/>
  <c r="T81" i="45"/>
  <c r="AB81" i="45"/>
  <c r="AD81" i="45" s="1"/>
  <c r="AC82" i="45"/>
  <c r="AN81" i="45" l="1"/>
  <c r="BI81" i="45" s="1"/>
  <c r="AE81" i="45"/>
  <c r="AF81" i="45"/>
  <c r="AM81" i="45" l="1"/>
  <c r="AV81" i="45" l="1"/>
  <c r="AQ81" i="45" s="1"/>
  <c r="BH81" i="45"/>
  <c r="AW81" i="45"/>
  <c r="AT81" i="45" s="1"/>
  <c r="AU81" i="45"/>
  <c r="AP81" i="45" s="1"/>
  <c r="BD81" i="45" l="1"/>
  <c r="Q81" i="45" s="1"/>
  <c r="P82" i="45" s="1"/>
  <c r="R82" i="45" s="1"/>
  <c r="BP81" i="45"/>
  <c r="BK81" i="45" s="1"/>
  <c r="BR81" i="45"/>
  <c r="BO81" i="45" s="1"/>
  <c r="BQ81" i="45"/>
  <c r="BL81" i="45" s="1"/>
  <c r="BY81" i="45" l="1"/>
  <c r="S82" i="45"/>
  <c r="T82" i="45"/>
  <c r="AB82" i="45"/>
  <c r="AD82" i="45" s="1"/>
  <c r="AC83" i="45"/>
  <c r="AN82" i="45" l="1"/>
  <c r="BI82" i="45" s="1"/>
  <c r="AE82" i="45"/>
  <c r="AF82" i="45"/>
  <c r="AM82" i="45" l="1"/>
  <c r="AU82" i="45" l="1"/>
  <c r="AP82" i="45" s="1"/>
  <c r="AV82" i="45"/>
  <c r="AQ82" i="45" s="1"/>
  <c r="BH82" i="45"/>
  <c r="AW82" i="45"/>
  <c r="AT82" i="45" s="1"/>
  <c r="BQ82" i="45" l="1"/>
  <c r="BL82" i="45" s="1"/>
  <c r="BR82" i="45"/>
  <c r="BO82" i="45" s="1"/>
  <c r="BP82" i="45"/>
  <c r="BK82" i="45" s="1"/>
  <c r="BD82" i="45"/>
  <c r="Q82" i="45" s="1"/>
  <c r="P83" i="45" s="1"/>
  <c r="R83" i="45" l="1"/>
  <c r="BY82" i="45"/>
  <c r="AB83" i="45" l="1"/>
  <c r="AD83" i="45" s="1"/>
  <c r="T83" i="45"/>
  <c r="S83" i="45"/>
  <c r="AC84" i="45"/>
  <c r="AN83" i="45" l="1"/>
  <c r="BI83" i="45" s="1"/>
  <c r="AE83" i="45"/>
  <c r="AF83" i="45"/>
  <c r="AM83" i="45" l="1"/>
  <c r="AV83" i="45" l="1"/>
  <c r="AQ83" i="45" s="1"/>
  <c r="AW83" i="45"/>
  <c r="AT83" i="45" s="1"/>
  <c r="AU83" i="45"/>
  <c r="AP83" i="45" s="1"/>
  <c r="BH83" i="45"/>
  <c r="BP83" i="45" l="1"/>
  <c r="BK83" i="45" s="1"/>
  <c r="BR83" i="45"/>
  <c r="BO83" i="45" s="1"/>
  <c r="BQ83" i="45"/>
  <c r="BL83" i="45" s="1"/>
  <c r="BD83" i="45"/>
  <c r="Q83" i="45" s="1"/>
  <c r="P84" i="45" s="1"/>
  <c r="BY83" i="45" l="1"/>
  <c r="R84" i="45"/>
  <c r="AB84" i="45" l="1"/>
  <c r="AD84" i="45" s="1"/>
  <c r="S84" i="45"/>
  <c r="T84" i="45"/>
  <c r="AC85" i="45"/>
  <c r="AN84" i="45" l="1"/>
  <c r="BI84" i="45" s="1"/>
  <c r="AE84" i="45"/>
  <c r="AF84" i="45"/>
  <c r="AM84" i="45" l="1"/>
  <c r="AV84" i="45" l="1"/>
  <c r="AQ84" i="45" s="1"/>
  <c r="AW84" i="45"/>
  <c r="AT84" i="45" s="1"/>
  <c r="BH84" i="45"/>
  <c r="AU84" i="45"/>
  <c r="AP84" i="45" s="1"/>
  <c r="BD84" i="45" l="1"/>
  <c r="Q84" i="45" s="1"/>
  <c r="P85" i="45" s="1"/>
  <c r="BR84" i="45"/>
  <c r="BO84" i="45" s="1"/>
  <c r="BP84" i="45"/>
  <c r="BK84" i="45" s="1"/>
  <c r="BQ84" i="45"/>
  <c r="BL84" i="45" s="1"/>
  <c r="BY84" i="45" l="1"/>
  <c r="R85" i="45"/>
  <c r="T85" i="45" l="1"/>
  <c r="AB85" i="45"/>
  <c r="AD85" i="45" s="1"/>
  <c r="S85" i="45"/>
  <c r="AC86" i="45"/>
  <c r="AN85" i="45" l="1"/>
  <c r="BI85" i="45" s="1"/>
  <c r="AE85" i="45"/>
  <c r="AF85" i="45"/>
  <c r="AM85" i="45" l="1"/>
  <c r="BH85" i="45" l="1"/>
  <c r="AU85" i="45"/>
  <c r="AP85" i="45" s="1"/>
  <c r="AV85" i="45"/>
  <c r="AQ85" i="45" s="1"/>
  <c r="AW85" i="45"/>
  <c r="AT85" i="45" s="1"/>
  <c r="BD85" i="45" l="1"/>
  <c r="Q85" i="45" s="1"/>
  <c r="P86" i="45" s="1"/>
  <c r="BP85" i="45"/>
  <c r="BK85" i="45" s="1"/>
  <c r="BQ85" i="45"/>
  <c r="BL85" i="45" s="1"/>
  <c r="BR85" i="45"/>
  <c r="BO85" i="45" s="1"/>
  <c r="BY85" i="45" l="1"/>
  <c r="R86" i="45"/>
  <c r="S86" i="45" l="1"/>
  <c r="AB86" i="45"/>
  <c r="AD86" i="45" s="1"/>
  <c r="T86" i="45"/>
  <c r="AC87" i="45"/>
  <c r="AN86" i="45" l="1"/>
  <c r="BI86" i="45" s="1"/>
  <c r="AE86" i="45"/>
  <c r="AF86" i="45"/>
  <c r="AM86" i="45" l="1"/>
  <c r="BH86" i="45" l="1"/>
  <c r="AU86" i="45"/>
  <c r="AP86" i="45" s="1"/>
  <c r="AW86" i="45"/>
  <c r="AT86" i="45" s="1"/>
  <c r="AV86" i="45"/>
  <c r="AQ86" i="45" s="1"/>
  <c r="BD86" i="45" l="1"/>
  <c r="Q86" i="45" s="1"/>
  <c r="P87" i="45" s="1"/>
  <c r="R87" i="45" s="1"/>
  <c r="BQ86" i="45"/>
  <c r="BL86" i="45" s="1"/>
  <c r="BR86" i="45"/>
  <c r="BO86" i="45" s="1"/>
  <c r="BP86" i="45"/>
  <c r="BK86" i="45" s="1"/>
  <c r="BY86" i="45" l="1"/>
  <c r="T87" i="45"/>
  <c r="S87" i="45"/>
  <c r="AB87" i="45"/>
  <c r="AD87" i="45" s="1"/>
  <c r="AC88" i="45"/>
  <c r="AN87" i="45" l="1"/>
  <c r="BI87" i="45" s="1"/>
  <c r="AE87" i="45"/>
  <c r="AF87" i="45"/>
  <c r="AM87" i="45" l="1"/>
  <c r="AW87" i="45" l="1"/>
  <c r="AT87" i="45" s="1"/>
  <c r="AU87" i="45"/>
  <c r="AP87" i="45" s="1"/>
  <c r="BH87" i="45"/>
  <c r="AV87" i="45"/>
  <c r="AQ87" i="45" s="1"/>
  <c r="BD87" i="45" l="1"/>
  <c r="Q87" i="45" s="1"/>
  <c r="P88" i="45" s="1"/>
  <c r="R88" i="45" s="1"/>
  <c r="BQ87" i="45"/>
  <c r="BL87" i="45" s="1"/>
  <c r="BR87" i="45"/>
  <c r="BO87" i="45" s="1"/>
  <c r="BP87" i="45"/>
  <c r="BK87" i="45" s="1"/>
  <c r="S88" i="45" l="1"/>
  <c r="T88" i="45"/>
  <c r="AB88" i="45"/>
  <c r="AD88" i="45" s="1"/>
  <c r="BY87" i="45"/>
  <c r="AC89" i="45"/>
  <c r="AN88" i="45" l="1"/>
  <c r="BI88" i="45" s="1"/>
  <c r="AE88" i="45"/>
  <c r="AF88" i="45"/>
  <c r="AM88" i="45" l="1"/>
  <c r="AU88" i="45" l="1"/>
  <c r="AP88" i="45" s="1"/>
  <c r="AW88" i="45"/>
  <c r="AT88" i="45" s="1"/>
  <c r="AV88" i="45"/>
  <c r="AQ88" i="45" s="1"/>
  <c r="BH88" i="45"/>
  <c r="BD88" i="45" l="1"/>
  <c r="Q88" i="45" s="1"/>
  <c r="P89" i="45" s="1"/>
  <c r="BQ88" i="45"/>
  <c r="BL88" i="45" s="1"/>
  <c r="BP88" i="45"/>
  <c r="BK88" i="45" s="1"/>
  <c r="BR88" i="45"/>
  <c r="BO88" i="45" s="1"/>
  <c r="BY88" i="45" l="1"/>
  <c r="R89" i="45"/>
  <c r="S89" i="45" l="1"/>
  <c r="T89" i="45"/>
  <c r="AB89" i="45"/>
  <c r="AD89" i="45" s="1"/>
  <c r="AC90" i="45"/>
  <c r="AN89" i="45" l="1"/>
  <c r="BI89" i="45" s="1"/>
  <c r="AE89" i="45"/>
  <c r="AF89" i="45"/>
  <c r="AM89" i="45" l="1"/>
  <c r="BH89" i="45" l="1"/>
  <c r="AW89" i="45"/>
  <c r="AT89" i="45" s="1"/>
  <c r="AV89" i="45"/>
  <c r="AQ89" i="45" s="1"/>
  <c r="AU89" i="45"/>
  <c r="AP89" i="45" s="1"/>
  <c r="BD89" i="45" l="1"/>
  <c r="Q89" i="45" s="1"/>
  <c r="P90" i="45" s="1"/>
  <c r="BP89" i="45"/>
  <c r="BK89" i="45" s="1"/>
  <c r="BQ89" i="45"/>
  <c r="BL89" i="45" s="1"/>
  <c r="BR89" i="45"/>
  <c r="BO89" i="45" s="1"/>
  <c r="BY89" i="45" l="1"/>
  <c r="R90" i="45"/>
  <c r="T90" i="45" l="1"/>
  <c r="AB90" i="45"/>
  <c r="AD90" i="45" s="1"/>
  <c r="S90" i="45"/>
  <c r="AC91" i="45"/>
  <c r="AN90" i="45" l="1"/>
  <c r="BI90" i="45" s="1"/>
  <c r="AE90" i="45"/>
  <c r="AF90" i="45"/>
  <c r="AM90" i="45" l="1"/>
  <c r="AW90" i="45" l="1"/>
  <c r="AT90" i="45" s="1"/>
  <c r="BH90" i="45"/>
  <c r="AU90" i="45"/>
  <c r="AP90" i="45" s="1"/>
  <c r="AV90" i="45"/>
  <c r="AQ90" i="45" s="1"/>
  <c r="BD90" i="45" l="1"/>
  <c r="Q90" i="45" s="1"/>
  <c r="P91" i="45" s="1"/>
  <c r="BP90" i="45"/>
  <c r="BK90" i="45" s="1"/>
  <c r="BR90" i="45"/>
  <c r="BO90" i="45" s="1"/>
  <c r="BQ90" i="45"/>
  <c r="BL90" i="45" s="1"/>
  <c r="BY90" i="45" l="1"/>
  <c r="R91" i="45"/>
  <c r="S91" i="45" l="1"/>
  <c r="T91" i="45"/>
  <c r="AB91" i="45"/>
  <c r="AD91" i="45" s="1"/>
  <c r="AC92" i="45"/>
  <c r="AN91" i="45" l="1"/>
  <c r="BI91" i="45" s="1"/>
  <c r="AE91" i="45"/>
  <c r="AF91" i="45"/>
  <c r="AM91" i="45" l="1"/>
  <c r="AW91" i="45" l="1"/>
  <c r="AT91" i="45" s="1"/>
  <c r="AV91" i="45"/>
  <c r="AQ91" i="45" s="1"/>
  <c r="AU91" i="45"/>
  <c r="AP91" i="45" s="1"/>
  <c r="BH91" i="45"/>
  <c r="BD91" i="45" l="1"/>
  <c r="Q91" i="45" s="1"/>
  <c r="P92" i="45" s="1"/>
  <c r="BR91" i="45"/>
  <c r="BO91" i="45" s="1"/>
  <c r="BQ91" i="45"/>
  <c r="BL91" i="45" s="1"/>
  <c r="BP91" i="45"/>
  <c r="BK91" i="45" s="1"/>
  <c r="BY91" i="45" l="1"/>
  <c r="R92" i="45"/>
  <c r="S92" i="45" l="1"/>
  <c r="T92" i="45"/>
  <c r="AB92" i="45"/>
  <c r="AD92" i="45" s="1"/>
  <c r="AC93" i="45"/>
  <c r="AN92" i="45" l="1"/>
  <c r="BI92" i="45" s="1"/>
  <c r="AE92" i="45"/>
  <c r="AF92" i="45"/>
  <c r="AM92" i="45" l="1"/>
  <c r="AW92" i="45" l="1"/>
  <c r="AT92" i="45" s="1"/>
  <c r="AU92" i="45"/>
  <c r="AP92" i="45" s="1"/>
  <c r="AV92" i="45"/>
  <c r="AQ92" i="45" s="1"/>
  <c r="BH92" i="45"/>
  <c r="BD92" i="45" l="1"/>
  <c r="Q92" i="45" s="1"/>
  <c r="P93" i="45" s="1"/>
  <c r="BQ92" i="45"/>
  <c r="BL92" i="45" s="1"/>
  <c r="BP92" i="45"/>
  <c r="BK92" i="45" s="1"/>
  <c r="BR92" i="45"/>
  <c r="BO92" i="45" s="1"/>
  <c r="R93" i="45" l="1"/>
  <c r="BY92" i="45"/>
  <c r="T93" i="45" l="1"/>
  <c r="S93" i="45"/>
  <c r="AB93" i="45"/>
  <c r="AD93" i="45" s="1"/>
  <c r="AC94" i="45"/>
  <c r="AN93" i="45" l="1"/>
  <c r="BI93" i="45" s="1"/>
  <c r="AE93" i="45"/>
  <c r="AF93" i="45"/>
  <c r="AM93" i="45" l="1"/>
  <c r="AU93" i="45" l="1"/>
  <c r="AP93" i="45" s="1"/>
  <c r="AV93" i="45"/>
  <c r="AQ93" i="45" s="1"/>
  <c r="BH93" i="45"/>
  <c r="AW93" i="45"/>
  <c r="AT93" i="45" s="1"/>
  <c r="BQ93" i="45" l="1"/>
  <c r="BL93" i="45" s="1"/>
  <c r="BP93" i="45"/>
  <c r="BK93" i="45" s="1"/>
  <c r="BR93" i="45"/>
  <c r="BO93" i="45" s="1"/>
  <c r="BD93" i="45"/>
  <c r="Q93" i="45" s="1"/>
  <c r="P94" i="45" s="1"/>
  <c r="BY93" i="45" l="1"/>
  <c r="R94" i="45"/>
  <c r="S94" i="45" l="1"/>
  <c r="AB94" i="45"/>
  <c r="AD94" i="45" s="1"/>
  <c r="T94" i="45"/>
  <c r="AC95" i="45"/>
  <c r="AN94" i="45" l="1"/>
  <c r="BI94" i="45" s="1"/>
  <c r="AE94" i="45"/>
  <c r="AF94" i="45"/>
  <c r="AM94" i="45" l="1"/>
  <c r="AV94" i="45" l="1"/>
  <c r="AQ94" i="45" s="1"/>
  <c r="AW94" i="45"/>
  <c r="AT94" i="45" s="1"/>
  <c r="AU94" i="45"/>
  <c r="AP94" i="45" s="1"/>
  <c r="BH94" i="45"/>
  <c r="BD94" i="45" l="1"/>
  <c r="Q94" i="45" s="1"/>
  <c r="P95" i="45" s="1"/>
  <c r="R95" i="45" s="1"/>
  <c r="BQ94" i="45"/>
  <c r="BL94" i="45" s="1"/>
  <c r="BP94" i="45"/>
  <c r="BK94" i="45" s="1"/>
  <c r="BR94" i="45"/>
  <c r="BO94" i="45" s="1"/>
  <c r="BY94" i="45" l="1"/>
  <c r="T95" i="45"/>
  <c r="S95" i="45"/>
  <c r="AB95" i="45"/>
  <c r="AD95" i="45" s="1"/>
  <c r="AC96" i="45"/>
  <c r="AN95" i="45" l="1"/>
  <c r="BI95" i="45" s="1"/>
  <c r="AE95" i="45"/>
  <c r="AF95" i="45"/>
  <c r="AM95" i="45" l="1"/>
  <c r="AU95" i="45" l="1"/>
  <c r="AP95" i="45" s="1"/>
  <c r="AW95" i="45"/>
  <c r="AT95" i="45" s="1"/>
  <c r="AV95" i="45"/>
  <c r="AQ95" i="45" s="1"/>
  <c r="BH95" i="45"/>
  <c r="BD95" i="45" l="1"/>
  <c r="Q95" i="45" s="1"/>
  <c r="P96" i="45" s="1"/>
  <c r="R96" i="45" s="1"/>
  <c r="BR95" i="45"/>
  <c r="BO95" i="45" s="1"/>
  <c r="BP95" i="45"/>
  <c r="BK95" i="45" s="1"/>
  <c r="BQ95" i="45"/>
  <c r="BL95" i="45" s="1"/>
  <c r="BY95" i="45" l="1"/>
  <c r="T96" i="45"/>
  <c r="AB96" i="45"/>
  <c r="AD96" i="45" s="1"/>
  <c r="S96" i="45"/>
  <c r="AC97" i="45"/>
  <c r="AN96" i="45" l="1"/>
  <c r="BI96" i="45" s="1"/>
  <c r="AE96" i="45"/>
  <c r="AF96" i="45"/>
  <c r="AM96" i="45" l="1"/>
  <c r="AW96" i="45" l="1"/>
  <c r="AT96" i="45" s="1"/>
  <c r="AV96" i="45"/>
  <c r="AQ96" i="45" s="1"/>
  <c r="BH96" i="45"/>
  <c r="AU96" i="45"/>
  <c r="AP96" i="45" s="1"/>
  <c r="BP96" i="45" l="1"/>
  <c r="BK96" i="45" s="1"/>
  <c r="BQ96" i="45"/>
  <c r="BL96" i="45" s="1"/>
  <c r="BR96" i="45"/>
  <c r="BO96" i="45" s="1"/>
  <c r="BD96" i="45"/>
  <c r="Q96" i="45" s="1"/>
  <c r="P97" i="45" s="1"/>
  <c r="R97" i="45" l="1"/>
  <c r="BY96" i="45"/>
  <c r="AB97" i="45" l="1"/>
  <c r="AD97" i="45" s="1"/>
  <c r="S97" i="45"/>
  <c r="T97" i="45"/>
  <c r="AC98" i="45"/>
  <c r="AN97" i="45" l="1"/>
  <c r="BI97" i="45" s="1"/>
  <c r="AE97" i="45"/>
  <c r="AF97" i="45"/>
  <c r="AM97" i="45" l="1"/>
  <c r="BH97" i="45" l="1"/>
  <c r="AV97" i="45"/>
  <c r="AQ97" i="45" s="1"/>
  <c r="AU97" i="45"/>
  <c r="AP97" i="45" s="1"/>
  <c r="AW97" i="45"/>
  <c r="AT97" i="45" s="1"/>
  <c r="BD97" i="45" l="1"/>
  <c r="Q97" i="45" s="1"/>
  <c r="P98" i="45" s="1"/>
  <c r="R98" i="45" s="1"/>
  <c r="BQ97" i="45"/>
  <c r="BL97" i="45" s="1"/>
  <c r="BP97" i="45"/>
  <c r="BK97" i="45" s="1"/>
  <c r="BR97" i="45"/>
  <c r="BO97" i="45" s="1"/>
  <c r="BY97" i="45" l="1"/>
  <c r="S98" i="45"/>
  <c r="T98" i="45"/>
  <c r="AB98" i="45"/>
  <c r="AD98" i="45" s="1"/>
  <c r="AC99" i="45"/>
  <c r="AN98" i="45" l="1"/>
  <c r="BI98" i="45" s="1"/>
  <c r="AE98" i="45"/>
  <c r="AF98" i="45"/>
  <c r="AM98" i="45" l="1"/>
  <c r="BH98" i="45" l="1"/>
  <c r="AW98" i="45"/>
  <c r="AT98" i="45" s="1"/>
  <c r="AU98" i="45"/>
  <c r="AP98" i="45" s="1"/>
  <c r="AV98" i="45"/>
  <c r="AQ98" i="45" s="1"/>
  <c r="BD98" i="45" l="1"/>
  <c r="Q98" i="45" s="1"/>
  <c r="P99" i="45" s="1"/>
  <c r="BR98" i="45"/>
  <c r="BO98" i="45" s="1"/>
  <c r="BQ98" i="45"/>
  <c r="BL98" i="45" s="1"/>
  <c r="BP98" i="45"/>
  <c r="BK98" i="45" s="1"/>
  <c r="BY98" i="45" l="1"/>
  <c r="R99" i="45"/>
  <c r="T99" i="45" l="1"/>
  <c r="S99" i="45"/>
  <c r="AB99" i="45"/>
  <c r="AD99" i="45" s="1"/>
  <c r="AC100" i="45"/>
  <c r="AN99" i="45" l="1"/>
  <c r="BI99" i="45" s="1"/>
  <c r="AE99" i="45"/>
  <c r="AF99" i="45"/>
  <c r="AM99" i="45" l="1"/>
  <c r="BH99" i="45" l="1"/>
  <c r="AU99" i="45"/>
  <c r="AP99" i="45" s="1"/>
  <c r="AW99" i="45"/>
  <c r="AT99" i="45" s="1"/>
  <c r="AV99" i="45"/>
  <c r="AQ99" i="45" s="1"/>
  <c r="BD99" i="45" l="1"/>
  <c r="Q99" i="45" s="1"/>
  <c r="P100" i="45" s="1"/>
  <c r="BR99" i="45"/>
  <c r="BO99" i="45" s="1"/>
  <c r="BP99" i="45"/>
  <c r="BK99" i="45" s="1"/>
  <c r="BQ99" i="45"/>
  <c r="BL99" i="45" s="1"/>
  <c r="BY99" i="45" l="1"/>
  <c r="R100" i="45"/>
  <c r="AB100" i="45" l="1"/>
  <c r="AD100" i="45" s="1"/>
  <c r="T100" i="45"/>
  <c r="S100" i="45"/>
  <c r="AC101" i="45"/>
  <c r="AN100" i="45" l="1"/>
  <c r="BI100" i="45" s="1"/>
  <c r="AE100" i="45"/>
  <c r="AF100" i="45"/>
  <c r="AM100" i="45" l="1"/>
  <c r="BH100" i="45" l="1"/>
  <c r="AV100" i="45"/>
  <c r="AQ100" i="45" s="1"/>
  <c r="AU100" i="45"/>
  <c r="AP100" i="45" s="1"/>
  <c r="AW100" i="45"/>
  <c r="AT100" i="45" s="1"/>
  <c r="BD100" i="45" l="1"/>
  <c r="Q100" i="45" s="1"/>
  <c r="P101" i="45" s="1"/>
  <c r="R101" i="45" s="1"/>
  <c r="BP100" i="45"/>
  <c r="BK100" i="45" s="1"/>
  <c r="BQ100" i="45"/>
  <c r="BL100" i="45" s="1"/>
  <c r="BR100" i="45"/>
  <c r="BO100" i="45" s="1"/>
  <c r="BY100" i="45" l="1"/>
  <c r="S101" i="45"/>
  <c r="T101" i="45"/>
  <c r="AB101" i="45"/>
  <c r="AD101" i="45" s="1"/>
  <c r="AC102" i="45"/>
  <c r="AN101" i="45" l="1"/>
  <c r="BI101" i="45" s="1"/>
  <c r="AE101" i="45"/>
  <c r="AF101" i="45"/>
  <c r="AM101" i="45" l="1"/>
  <c r="AW101" i="45" l="1"/>
  <c r="AT101" i="45" s="1"/>
  <c r="AU101" i="45"/>
  <c r="AP101" i="45" s="1"/>
  <c r="BH101" i="45"/>
  <c r="AV101" i="45"/>
  <c r="AQ101" i="45" s="1"/>
  <c r="BP101" i="45" l="1"/>
  <c r="BK101" i="45" s="1"/>
  <c r="BR101" i="45"/>
  <c r="BO101" i="45" s="1"/>
  <c r="BQ101" i="45"/>
  <c r="BL101" i="45" s="1"/>
  <c r="BD101" i="45"/>
  <c r="Q101" i="45" s="1"/>
  <c r="P102" i="45" s="1"/>
  <c r="R102" i="45" l="1"/>
  <c r="BY101" i="45"/>
  <c r="T102" i="45" l="1"/>
  <c r="AB102" i="45"/>
  <c r="AD102" i="45" s="1"/>
  <c r="S102" i="45"/>
  <c r="AC103" i="45"/>
  <c r="AN102" i="45" l="1"/>
  <c r="BI102" i="45" s="1"/>
  <c r="AE102" i="45"/>
  <c r="AF102" i="45"/>
  <c r="AM102" i="45" l="1"/>
  <c r="AW102" i="45" l="1"/>
  <c r="AT102" i="45" s="1"/>
  <c r="AU102" i="45"/>
  <c r="AP102" i="45" s="1"/>
  <c r="BH102" i="45"/>
  <c r="AV102" i="45"/>
  <c r="AQ102" i="45" s="1"/>
  <c r="BD102" i="45" l="1"/>
  <c r="Q102" i="45" s="1"/>
  <c r="P103" i="45" s="1"/>
  <c r="R103" i="45" s="1"/>
  <c r="BR102" i="45"/>
  <c r="BO102" i="45" s="1"/>
  <c r="BQ102" i="45"/>
  <c r="BL102" i="45" s="1"/>
  <c r="BP102" i="45"/>
  <c r="BK102" i="45" s="1"/>
  <c r="BY102" i="45" l="1"/>
  <c r="S103" i="45"/>
  <c r="T103" i="45"/>
  <c r="AB103" i="45"/>
  <c r="AD103" i="45" s="1"/>
  <c r="AC104" i="45"/>
  <c r="AN103" i="45" l="1"/>
  <c r="BI103" i="45" s="1"/>
  <c r="AE103" i="45"/>
  <c r="AF103" i="45"/>
  <c r="AM103" i="45" l="1"/>
  <c r="BH103" i="45" l="1"/>
  <c r="AU103" i="45"/>
  <c r="AP103" i="45" s="1"/>
  <c r="AW103" i="45"/>
  <c r="AT103" i="45" s="1"/>
  <c r="AV103" i="45"/>
  <c r="AQ103" i="45" s="1"/>
  <c r="BQ103" i="45" l="1"/>
  <c r="BL103" i="45" s="1"/>
  <c r="BP103" i="45"/>
  <c r="BK103" i="45" s="1"/>
  <c r="BR103" i="45"/>
  <c r="BO103" i="45" s="1"/>
  <c r="BD103" i="45"/>
  <c r="Q103" i="45" s="1"/>
  <c r="P104" i="45" s="1"/>
  <c r="BY103" i="45" l="1"/>
  <c r="R104" i="45"/>
  <c r="T104" i="45" l="1"/>
  <c r="AB104" i="45"/>
  <c r="AD104" i="45" s="1"/>
  <c r="S104" i="45"/>
  <c r="AC105" i="45"/>
  <c r="AN104" i="45" l="1"/>
  <c r="BI104" i="45" s="1"/>
  <c r="AE104" i="45"/>
  <c r="AF104" i="45"/>
  <c r="AM104" i="45" l="1"/>
  <c r="AV104" i="45" l="1"/>
  <c r="AQ104" i="45" s="1"/>
  <c r="AU104" i="45"/>
  <c r="AP104" i="45" s="1"/>
  <c r="BH104" i="45"/>
  <c r="AW104" i="45"/>
  <c r="AT104" i="45" s="1"/>
  <c r="BD104" i="45" l="1"/>
  <c r="Q104" i="45" s="1"/>
  <c r="P105" i="45" s="1"/>
  <c r="R105" i="45" s="1"/>
  <c r="BQ104" i="45"/>
  <c r="BL104" i="45" s="1"/>
  <c r="BR104" i="45"/>
  <c r="BO104" i="45" s="1"/>
  <c r="BP104" i="45"/>
  <c r="BK104" i="45" s="1"/>
  <c r="S105" i="45" l="1"/>
  <c r="T105" i="45"/>
  <c r="AB105" i="45"/>
  <c r="AD105" i="45" s="1"/>
  <c r="BY104" i="45"/>
  <c r="AC106" i="45"/>
  <c r="AN105" i="45" l="1"/>
  <c r="BI105" i="45" s="1"/>
  <c r="AE105" i="45"/>
  <c r="AF105" i="45"/>
  <c r="AM105" i="45" l="1"/>
  <c r="AW105" i="45" l="1"/>
  <c r="AT105" i="45" s="1"/>
  <c r="AU105" i="45"/>
  <c r="AP105" i="45" s="1"/>
  <c r="BH105" i="45"/>
  <c r="AV105" i="45"/>
  <c r="AQ105" i="45" s="1"/>
  <c r="BR105" i="45" l="1"/>
  <c r="BO105" i="45" s="1"/>
  <c r="BP105" i="45"/>
  <c r="BK105" i="45" s="1"/>
  <c r="BQ105" i="45"/>
  <c r="BL105" i="45" s="1"/>
  <c r="BD105" i="45"/>
  <c r="Q105" i="45" s="1"/>
  <c r="P106" i="45" s="1"/>
  <c r="BY105" i="45" l="1"/>
  <c r="R106" i="45"/>
  <c r="AB106" i="45" l="1"/>
  <c r="AD106" i="45" s="1"/>
  <c r="S106" i="45"/>
  <c r="T106" i="45"/>
  <c r="AC107" i="45"/>
  <c r="AN106" i="45" l="1"/>
  <c r="BI106" i="45" s="1"/>
  <c r="AE106" i="45"/>
  <c r="AF106" i="45"/>
  <c r="AM106" i="45" l="1"/>
  <c r="AW106" i="45" l="1"/>
  <c r="AT106" i="45" s="1"/>
  <c r="BH106" i="45"/>
  <c r="AU106" i="45"/>
  <c r="AP106" i="45" s="1"/>
  <c r="AV106" i="45"/>
  <c r="AQ106" i="45" s="1"/>
  <c r="BD106" i="45" l="1"/>
  <c r="Q106" i="45" s="1"/>
  <c r="P107" i="45" s="1"/>
  <c r="R107" i="45" s="1"/>
  <c r="BR106" i="45"/>
  <c r="BO106" i="45" s="1"/>
  <c r="BP106" i="45"/>
  <c r="BK106" i="45" s="1"/>
  <c r="BQ106" i="45"/>
  <c r="BL106" i="45" s="1"/>
  <c r="BY106" i="45" l="1"/>
  <c r="T107" i="45"/>
  <c r="S107" i="45"/>
  <c r="AB107" i="45"/>
  <c r="AD107" i="45" s="1"/>
  <c r="AC108" i="45"/>
  <c r="AN107" i="45" l="1"/>
  <c r="BI107" i="45" s="1"/>
  <c r="AE107" i="45"/>
  <c r="AF107" i="45"/>
  <c r="AM107" i="45" l="1"/>
  <c r="AU107" i="45" l="1"/>
  <c r="AP107" i="45" s="1"/>
  <c r="BH107" i="45"/>
  <c r="AV107" i="45"/>
  <c r="AQ107" i="45" s="1"/>
  <c r="AW107" i="45"/>
  <c r="AT107" i="45" s="1"/>
  <c r="BD107" i="45" l="1"/>
  <c r="Q107" i="45" s="1"/>
  <c r="P108" i="45" s="1"/>
  <c r="BR107" i="45"/>
  <c r="BO107" i="45" s="1"/>
  <c r="BQ107" i="45"/>
  <c r="BL107" i="45" s="1"/>
  <c r="BP107" i="45"/>
  <c r="BK107" i="45" s="1"/>
  <c r="BY107" i="45" l="1"/>
  <c r="R108" i="45"/>
  <c r="S108" i="45" l="1"/>
  <c r="AB108" i="45"/>
  <c r="AD108" i="45" s="1"/>
  <c r="T108" i="45"/>
  <c r="AC109" i="45"/>
  <c r="AN108" i="45" l="1"/>
  <c r="BI108" i="45" s="1"/>
  <c r="AE108" i="45"/>
  <c r="AF108" i="45"/>
  <c r="AM108" i="45" l="1"/>
  <c r="AV108" i="45" l="1"/>
  <c r="AQ108" i="45" s="1"/>
  <c r="AW108" i="45"/>
  <c r="AT108" i="45" s="1"/>
  <c r="AU108" i="45"/>
  <c r="AP108" i="45" s="1"/>
  <c r="BH108" i="45"/>
  <c r="BD108" i="45" l="1"/>
  <c r="Q108" i="45" s="1"/>
  <c r="P109" i="45" s="1"/>
  <c r="R109" i="45" s="1"/>
  <c r="BR108" i="45"/>
  <c r="BO108" i="45" s="1"/>
  <c r="BQ108" i="45"/>
  <c r="BL108" i="45" s="1"/>
  <c r="BP108" i="45"/>
  <c r="BK108" i="45" s="1"/>
  <c r="BY108" i="45" l="1"/>
  <c r="S109" i="45"/>
  <c r="T109" i="45"/>
  <c r="AB109" i="45"/>
  <c r="AD109" i="45" s="1"/>
  <c r="AC110" i="45"/>
  <c r="AN109" i="45" l="1"/>
  <c r="BI109" i="45" s="1"/>
  <c r="AE109" i="45"/>
  <c r="AF109" i="45"/>
  <c r="AM109" i="45" l="1"/>
  <c r="AV109" i="45" l="1"/>
  <c r="AQ109" i="45" s="1"/>
  <c r="AU109" i="45"/>
  <c r="AP109" i="45" s="1"/>
  <c r="BH109" i="45"/>
  <c r="AW109" i="45"/>
  <c r="AT109" i="45" s="1"/>
  <c r="BD109" i="45" l="1"/>
  <c r="Q109" i="45" s="1"/>
  <c r="P110" i="45" s="1"/>
  <c r="R110" i="45" s="1"/>
  <c r="BR109" i="45"/>
  <c r="BO109" i="45" s="1"/>
  <c r="BP109" i="45"/>
  <c r="BK109" i="45" s="1"/>
  <c r="BQ109" i="45"/>
  <c r="BL109" i="45" s="1"/>
  <c r="BY109" i="45" l="1"/>
  <c r="T110" i="45"/>
  <c r="AB110" i="45"/>
  <c r="AD110" i="45" s="1"/>
  <c r="S110" i="45"/>
  <c r="AC111" i="45"/>
  <c r="AN110" i="45" l="1"/>
  <c r="BI110" i="45" s="1"/>
  <c r="AE110" i="45"/>
  <c r="AF110" i="45"/>
  <c r="AM110" i="45" l="1"/>
  <c r="AW110" i="45" l="1"/>
  <c r="AT110" i="45" s="1"/>
  <c r="AV110" i="45"/>
  <c r="AQ110" i="45" s="1"/>
  <c r="BH110" i="45"/>
  <c r="AU110" i="45"/>
  <c r="AP110" i="45" s="1"/>
  <c r="BD110" i="45" l="1"/>
  <c r="Q110" i="45" s="1"/>
  <c r="P111" i="45" s="1"/>
  <c r="R111" i="45" s="1"/>
  <c r="BQ110" i="45"/>
  <c r="BL110" i="45" s="1"/>
  <c r="BR110" i="45"/>
  <c r="BO110" i="45" s="1"/>
  <c r="BP110" i="45"/>
  <c r="BK110" i="45" s="1"/>
  <c r="BY110" i="45" l="1"/>
  <c r="AB111" i="45"/>
  <c r="AD111" i="45" s="1"/>
  <c r="T111" i="45"/>
  <c r="S111" i="45"/>
  <c r="AC112" i="45"/>
  <c r="AN111" i="45" l="1"/>
  <c r="BI111" i="45" s="1"/>
  <c r="AE111" i="45"/>
  <c r="AF111" i="45"/>
  <c r="AM111" i="45" l="1"/>
  <c r="AU111" i="45" l="1"/>
  <c r="AP111" i="45" s="1"/>
  <c r="AV111" i="45"/>
  <c r="AQ111" i="45" s="1"/>
  <c r="BH111" i="45"/>
  <c r="AW111" i="45"/>
  <c r="AT111" i="45" s="1"/>
  <c r="BD111" i="45" l="1"/>
  <c r="Q111" i="45" s="1"/>
  <c r="P112" i="45" s="1"/>
  <c r="R112" i="45" s="1"/>
  <c r="BQ111" i="45"/>
  <c r="BL111" i="45" s="1"/>
  <c r="BR111" i="45"/>
  <c r="BO111" i="45" s="1"/>
  <c r="BP111" i="45"/>
  <c r="BK111" i="45" s="1"/>
  <c r="T112" i="45" l="1"/>
  <c r="S112" i="45"/>
  <c r="AB112" i="45"/>
  <c r="AD112" i="45" s="1"/>
  <c r="BY111" i="45"/>
  <c r="AC113" i="45"/>
  <c r="AN112" i="45" l="1"/>
  <c r="BI112" i="45" s="1"/>
  <c r="AE112" i="45"/>
  <c r="AF112" i="45"/>
  <c r="AM112" i="45" l="1"/>
  <c r="AV112" i="45" l="1"/>
  <c r="AQ112" i="45" s="1"/>
  <c r="AU112" i="45"/>
  <c r="AP112" i="45" s="1"/>
  <c r="BH112" i="45"/>
  <c r="AW112" i="45"/>
  <c r="AT112" i="45" s="1"/>
  <c r="BD112" i="45" l="1"/>
  <c r="Q112" i="45" s="1"/>
  <c r="P113" i="45" s="1"/>
  <c r="BQ112" i="45"/>
  <c r="BL112" i="45" s="1"/>
  <c r="BR112" i="45"/>
  <c r="BO112" i="45" s="1"/>
  <c r="BP112" i="45"/>
  <c r="BK112" i="45" s="1"/>
  <c r="BY112" i="45" l="1"/>
  <c r="R113" i="45"/>
  <c r="T113" i="45" l="1"/>
  <c r="S113" i="45"/>
  <c r="AB113" i="45"/>
  <c r="AD113" i="45" s="1"/>
  <c r="AC114" i="45"/>
  <c r="AN113" i="45" l="1"/>
  <c r="BI113" i="45" s="1"/>
  <c r="AE113" i="45"/>
  <c r="AF113" i="45"/>
  <c r="AM113" i="45" l="1"/>
  <c r="AV113" i="45" l="1"/>
  <c r="AQ113" i="45" s="1"/>
  <c r="BH113" i="45"/>
  <c r="AU113" i="45"/>
  <c r="AP113" i="45" s="1"/>
  <c r="AW113" i="45"/>
  <c r="AT113" i="45" s="1"/>
  <c r="BD113" i="45" l="1"/>
  <c r="Q113" i="45" s="1"/>
  <c r="P114" i="45" s="1"/>
  <c r="R114" i="45" s="1"/>
  <c r="BQ113" i="45"/>
  <c r="BL113" i="45" s="1"/>
  <c r="BR113" i="45"/>
  <c r="BO113" i="45" s="1"/>
  <c r="BP113" i="45"/>
  <c r="BK113" i="45" s="1"/>
  <c r="BY113" i="45" l="1"/>
  <c r="S114" i="45"/>
  <c r="T114" i="45"/>
  <c r="AB114" i="45"/>
  <c r="AD114" i="45" s="1"/>
  <c r="AC115" i="45"/>
  <c r="AN114" i="45" l="1"/>
  <c r="BI114" i="45" s="1"/>
  <c r="AE114" i="45"/>
  <c r="AF114" i="45"/>
  <c r="AM114" i="45" l="1"/>
  <c r="BH114" i="45" l="1"/>
  <c r="AV114" i="45"/>
  <c r="AQ114" i="45" s="1"/>
  <c r="AU114" i="45"/>
  <c r="AP114" i="45" s="1"/>
  <c r="AW114" i="45"/>
  <c r="AT114" i="45" s="1"/>
  <c r="BD114" i="45" l="1"/>
  <c r="Q114" i="45" s="1"/>
  <c r="P115" i="45" s="1"/>
  <c r="BR114" i="45"/>
  <c r="BO114" i="45" s="1"/>
  <c r="BQ114" i="45"/>
  <c r="BL114" i="45" s="1"/>
  <c r="BP114" i="45"/>
  <c r="BK114" i="45" s="1"/>
  <c r="BY114" i="45" l="1"/>
  <c r="R115" i="45"/>
  <c r="S115" i="45" l="1"/>
  <c r="T115" i="45"/>
  <c r="AB115" i="45"/>
  <c r="AD115" i="45" s="1"/>
  <c r="AC116" i="45"/>
  <c r="AN115" i="45" l="1"/>
  <c r="BI115" i="45" s="1"/>
  <c r="AE115" i="45"/>
  <c r="AF115" i="45"/>
  <c r="AM115" i="45" l="1"/>
  <c r="AU115" i="45" l="1"/>
  <c r="AP115" i="45" s="1"/>
  <c r="AV115" i="45"/>
  <c r="AQ115" i="45" s="1"/>
  <c r="AW115" i="45"/>
  <c r="AT115" i="45" s="1"/>
  <c r="BH115" i="45"/>
  <c r="BD115" i="45" l="1"/>
  <c r="Q115" i="45" s="1"/>
  <c r="P116" i="45" s="1"/>
  <c r="BQ115" i="45"/>
  <c r="BL115" i="45" s="1"/>
  <c r="BP115" i="45"/>
  <c r="BK115" i="45" s="1"/>
  <c r="BR115" i="45"/>
  <c r="BO115" i="45" s="1"/>
  <c r="R116" i="45" l="1"/>
  <c r="BY115" i="45"/>
  <c r="S116" i="45" l="1"/>
  <c r="AB116" i="45"/>
  <c r="AD116" i="45" s="1"/>
  <c r="T116" i="45"/>
  <c r="AC117" i="45"/>
  <c r="AN116" i="45" l="1"/>
  <c r="BI116" i="45" s="1"/>
  <c r="AE116" i="45"/>
  <c r="AF116" i="45"/>
  <c r="AM116" i="45" l="1"/>
  <c r="AU116" i="45" l="1"/>
  <c r="AP116" i="45" s="1"/>
  <c r="BH116" i="45"/>
  <c r="AW116" i="45"/>
  <c r="AT116" i="45" s="1"/>
  <c r="AV116" i="45"/>
  <c r="AQ116" i="45" s="1"/>
  <c r="BP116" i="45" l="1"/>
  <c r="BK116" i="45" s="1"/>
  <c r="BQ116" i="45"/>
  <c r="BL116" i="45" s="1"/>
  <c r="BR116" i="45"/>
  <c r="BO116" i="45" s="1"/>
  <c r="BD116" i="45"/>
  <c r="Q116" i="45" s="1"/>
  <c r="P117" i="45" s="1"/>
  <c r="BY116" i="45" l="1"/>
  <c r="R117" i="45"/>
  <c r="T117" i="45" l="1"/>
  <c r="S117" i="45"/>
  <c r="AB117" i="45"/>
  <c r="AD117" i="45" s="1"/>
  <c r="AC118" i="45"/>
  <c r="AN117" i="45" l="1"/>
  <c r="BI117" i="45" s="1"/>
  <c r="AE117" i="45"/>
  <c r="AF117" i="45"/>
  <c r="AM117" i="45" l="1"/>
  <c r="AW117" i="45" l="1"/>
  <c r="AT117" i="45" s="1"/>
  <c r="BH117" i="45"/>
  <c r="AU117" i="45"/>
  <c r="AP117" i="45" s="1"/>
  <c r="AV117" i="45"/>
  <c r="AQ117" i="45" s="1"/>
  <c r="BD117" i="45" l="1"/>
  <c r="Q117" i="45" s="1"/>
  <c r="P118" i="45" s="1"/>
  <c r="R118" i="45" s="1"/>
  <c r="BR117" i="45"/>
  <c r="BO117" i="45" s="1"/>
  <c r="BQ117" i="45"/>
  <c r="BL117" i="45" s="1"/>
  <c r="BP117" i="45"/>
  <c r="BK117" i="45" s="1"/>
  <c r="BY117" i="45" l="1"/>
  <c r="S118" i="45"/>
  <c r="T118" i="45"/>
  <c r="AB118" i="45"/>
  <c r="AD118" i="45" s="1"/>
  <c r="AC119" i="45"/>
  <c r="AN118" i="45" l="1"/>
  <c r="BI118" i="45" s="1"/>
  <c r="AE118" i="45"/>
  <c r="AF118" i="45"/>
  <c r="AM118" i="45" l="1"/>
  <c r="AV118" i="45" l="1"/>
  <c r="AQ118" i="45" s="1"/>
  <c r="AU118" i="45"/>
  <c r="AP118" i="45" s="1"/>
  <c r="BH118" i="45"/>
  <c r="AW118" i="45"/>
  <c r="AT118" i="45" s="1"/>
  <c r="BD118" i="45" l="1"/>
  <c r="Q118" i="45" s="1"/>
  <c r="P119" i="45" s="1"/>
  <c r="R119" i="45" s="1"/>
  <c r="BQ118" i="45"/>
  <c r="BL118" i="45" s="1"/>
  <c r="BR118" i="45"/>
  <c r="BO118" i="45" s="1"/>
  <c r="BP118" i="45"/>
  <c r="BK118" i="45" s="1"/>
  <c r="S119" i="45" l="1"/>
  <c r="T119" i="45"/>
  <c r="AB119" i="45"/>
  <c r="AD119" i="45" s="1"/>
  <c r="BY118" i="45"/>
  <c r="AC120" i="45"/>
  <c r="AN119" i="45" l="1"/>
  <c r="BI119" i="45" s="1"/>
  <c r="AE119" i="45"/>
  <c r="AF119" i="45"/>
  <c r="AM119" i="45" l="1"/>
  <c r="BH119" i="45" l="1"/>
  <c r="AU119" i="45"/>
  <c r="AP119" i="45" s="1"/>
  <c r="AW119" i="45"/>
  <c r="AT119" i="45" s="1"/>
  <c r="AV119" i="45"/>
  <c r="AQ119" i="45" s="1"/>
  <c r="BD119" i="45" l="1"/>
  <c r="Q119" i="45" s="1"/>
  <c r="P120" i="45" s="1"/>
  <c r="R120" i="45" s="1"/>
  <c r="BP119" i="45"/>
  <c r="BK119" i="45" s="1"/>
  <c r="BR119" i="45"/>
  <c r="BO119" i="45" s="1"/>
  <c r="BQ119" i="45"/>
  <c r="BL119" i="45" s="1"/>
  <c r="BY119" i="45" l="1"/>
  <c r="T120" i="45"/>
  <c r="S120" i="45"/>
  <c r="AB120" i="45"/>
  <c r="AD120" i="45" s="1"/>
  <c r="AC121" i="45"/>
  <c r="AN120" i="45" l="1"/>
  <c r="BI120" i="45" s="1"/>
  <c r="AE120" i="45"/>
  <c r="AF120" i="45"/>
  <c r="AM120" i="45" l="1"/>
  <c r="AV120" i="45" l="1"/>
  <c r="AQ120" i="45" s="1"/>
  <c r="AU120" i="45"/>
  <c r="AP120" i="45" s="1"/>
  <c r="BH120" i="45"/>
  <c r="AW120" i="45"/>
  <c r="AT120" i="45" s="1"/>
  <c r="BR120" i="45" l="1"/>
  <c r="BO120" i="45" s="1"/>
  <c r="BQ120" i="45"/>
  <c r="BL120" i="45" s="1"/>
  <c r="BP120" i="45"/>
  <c r="BK120" i="45" s="1"/>
  <c r="BD120" i="45"/>
  <c r="Q120" i="45" s="1"/>
  <c r="P121" i="45" s="1"/>
  <c r="R121" i="45" l="1"/>
  <c r="BY120" i="45"/>
  <c r="S121" i="45" l="1"/>
  <c r="T121" i="45"/>
  <c r="AB121" i="45"/>
  <c r="AD121" i="45" s="1"/>
  <c r="AC122" i="45"/>
  <c r="AN121" i="45" l="1"/>
  <c r="BI121" i="45" s="1"/>
  <c r="AE121" i="45"/>
  <c r="AF121" i="45"/>
  <c r="AM121" i="45" l="1"/>
  <c r="AW121" i="45" l="1"/>
  <c r="AT121" i="45" s="1"/>
  <c r="AV121" i="45"/>
  <c r="AQ121" i="45" s="1"/>
  <c r="AU121" i="45"/>
  <c r="AP121" i="45" s="1"/>
  <c r="BH121" i="45"/>
  <c r="BD121" i="45" l="1"/>
  <c r="Q121" i="45" s="1"/>
  <c r="P122" i="45" s="1"/>
  <c r="R122" i="45" s="1"/>
  <c r="BP121" i="45"/>
  <c r="BK121" i="45" s="1"/>
  <c r="BQ121" i="45"/>
  <c r="BL121" i="45" s="1"/>
  <c r="BR121" i="45"/>
  <c r="BO121" i="45" s="1"/>
  <c r="BY121" i="45" l="1"/>
  <c r="S122" i="45"/>
  <c r="T122" i="45"/>
  <c r="AB122" i="45"/>
  <c r="AD122" i="45" s="1"/>
  <c r="AC123" i="45"/>
  <c r="AN122" i="45" l="1"/>
  <c r="BI122" i="45" s="1"/>
  <c r="AE122" i="45"/>
  <c r="AF122" i="45"/>
  <c r="AM122" i="45" l="1"/>
  <c r="AW122" i="45" l="1"/>
  <c r="AT122" i="45" s="1"/>
  <c r="AU122" i="45"/>
  <c r="AP122" i="45" s="1"/>
  <c r="BH122" i="45"/>
  <c r="AV122" i="45"/>
  <c r="AQ122" i="45" s="1"/>
  <c r="BQ122" i="45" l="1"/>
  <c r="BL122" i="45" s="1"/>
  <c r="BR122" i="45"/>
  <c r="BO122" i="45" s="1"/>
  <c r="BP122" i="45"/>
  <c r="BK122" i="45" s="1"/>
  <c r="BD122" i="45"/>
  <c r="Q122" i="45" s="1"/>
  <c r="P123" i="45" s="1"/>
  <c r="BY122" i="45" l="1"/>
  <c r="R123" i="45"/>
  <c r="AB123" i="45" l="1"/>
  <c r="AD123" i="45" s="1"/>
  <c r="S123" i="45"/>
  <c r="T123" i="45"/>
  <c r="AC124" i="45"/>
  <c r="AN123" i="45" l="1"/>
  <c r="BI123" i="45" s="1"/>
  <c r="AE123" i="45"/>
  <c r="AF123" i="45"/>
  <c r="AM123" i="45" l="1"/>
  <c r="AW123" i="45" l="1"/>
  <c r="AT123" i="45" s="1"/>
  <c r="AU123" i="45"/>
  <c r="AP123" i="45" s="1"/>
  <c r="BH123" i="45"/>
  <c r="AV123" i="45"/>
  <c r="AQ123" i="45" s="1"/>
  <c r="BD123" i="45" l="1"/>
  <c r="Q123" i="45" s="1"/>
  <c r="P124" i="45" s="1"/>
  <c r="R124" i="45" s="1"/>
  <c r="BP123" i="45"/>
  <c r="BK123" i="45" s="1"/>
  <c r="BR123" i="45"/>
  <c r="BO123" i="45" s="1"/>
  <c r="BQ123" i="45"/>
  <c r="BL123" i="45" s="1"/>
  <c r="BY123" i="45" l="1"/>
  <c r="AB124" i="45"/>
  <c r="AD124" i="45" s="1"/>
  <c r="S124" i="45"/>
  <c r="T124" i="45"/>
  <c r="AC125" i="45"/>
  <c r="AN124" i="45" l="1"/>
  <c r="BI124" i="45" s="1"/>
  <c r="AE124" i="45"/>
  <c r="AF124" i="45"/>
  <c r="AM124" i="45" l="1"/>
  <c r="AU124" i="45" l="1"/>
  <c r="AP124" i="45" s="1"/>
  <c r="BH124" i="45"/>
  <c r="AW124" i="45"/>
  <c r="AT124" i="45" s="1"/>
  <c r="AV124" i="45"/>
  <c r="AQ124" i="45" s="1"/>
  <c r="BQ124" i="45" l="1"/>
  <c r="BL124" i="45" s="1"/>
  <c r="BP124" i="45"/>
  <c r="BK124" i="45" s="1"/>
  <c r="BR124" i="45"/>
  <c r="BO124" i="45" s="1"/>
  <c r="BD124" i="45"/>
  <c r="Q124" i="45" s="1"/>
  <c r="P125" i="45" s="1"/>
  <c r="BY124" i="45" l="1"/>
  <c r="R125" i="45"/>
  <c r="S125" i="45" l="1"/>
  <c r="T125" i="45"/>
  <c r="AB125" i="45"/>
  <c r="AD125" i="45" s="1"/>
  <c r="AC126" i="45"/>
  <c r="AN125" i="45" l="1"/>
  <c r="BI125" i="45" s="1"/>
  <c r="AE125" i="45"/>
  <c r="AF125" i="45"/>
  <c r="AM125" i="45" l="1"/>
  <c r="BH125" i="45" l="1"/>
  <c r="AV125" i="45"/>
  <c r="AQ125" i="45" s="1"/>
  <c r="AU125" i="45"/>
  <c r="AP125" i="45" s="1"/>
  <c r="AW125" i="45"/>
  <c r="AT125" i="45" s="1"/>
  <c r="BD125" i="45" l="1"/>
  <c r="Q125" i="45" s="1"/>
  <c r="P126" i="45" s="1"/>
  <c r="R126" i="45" s="1"/>
  <c r="BP125" i="45"/>
  <c r="BK125" i="45" s="1"/>
  <c r="BQ125" i="45"/>
  <c r="BL125" i="45" s="1"/>
  <c r="BR125" i="45"/>
  <c r="BO125" i="45" s="1"/>
  <c r="BY125" i="45" l="1"/>
  <c r="S126" i="45"/>
  <c r="AB126" i="45"/>
  <c r="AD126" i="45" s="1"/>
  <c r="T126" i="45"/>
  <c r="AC127" i="45"/>
  <c r="AN126" i="45" l="1"/>
  <c r="BI126" i="45" s="1"/>
  <c r="AE126" i="45"/>
  <c r="AF126" i="45"/>
  <c r="AM126" i="45" l="1"/>
  <c r="AU126" i="45" l="1"/>
  <c r="AP126" i="45" s="1"/>
  <c r="AV126" i="45"/>
  <c r="AQ126" i="45" s="1"/>
  <c r="AW126" i="45"/>
  <c r="AT126" i="45" s="1"/>
  <c r="BH126" i="45"/>
  <c r="BD126" i="45" l="1"/>
  <c r="Q126" i="45" s="1"/>
  <c r="P127" i="45" s="1"/>
  <c r="BQ126" i="45"/>
  <c r="BL126" i="45" s="1"/>
  <c r="BP126" i="45"/>
  <c r="BK126" i="45" s="1"/>
  <c r="BR126" i="45"/>
  <c r="BO126" i="45" s="1"/>
  <c r="R127" i="45" l="1"/>
  <c r="BY126" i="45"/>
  <c r="S127" i="45" l="1"/>
  <c r="T127" i="45"/>
  <c r="AB127" i="45"/>
  <c r="AD127" i="45" s="1"/>
  <c r="AC128" i="45"/>
  <c r="AN127" i="45" l="1"/>
  <c r="BI127" i="45" s="1"/>
  <c r="AE127" i="45"/>
  <c r="AF127" i="45"/>
  <c r="AM127" i="45" l="1"/>
  <c r="AV127" i="45" l="1"/>
  <c r="AQ127" i="45" s="1"/>
  <c r="AU127" i="45"/>
  <c r="AP127" i="45" s="1"/>
  <c r="BH127" i="45"/>
  <c r="AW127" i="45"/>
  <c r="AT127" i="45" s="1"/>
  <c r="BD127" i="45" l="1"/>
  <c r="Q127" i="45" s="1"/>
  <c r="P128" i="45" s="1"/>
  <c r="R128" i="45" s="1"/>
  <c r="BP127" i="45"/>
  <c r="BK127" i="45" s="1"/>
  <c r="BQ127" i="45"/>
  <c r="BL127" i="45" s="1"/>
  <c r="BR127" i="45"/>
  <c r="BO127" i="45" s="1"/>
  <c r="BY127" i="45" l="1"/>
  <c r="S128" i="45"/>
  <c r="T128" i="45"/>
  <c r="AB128" i="45"/>
  <c r="AD128" i="45" s="1"/>
  <c r="AC129" i="45"/>
  <c r="AN128" i="45" l="1"/>
  <c r="BI128" i="45" s="1"/>
  <c r="AE128" i="45"/>
  <c r="AF128" i="45"/>
  <c r="AM128" i="45" l="1"/>
  <c r="BH128" i="45" l="1"/>
  <c r="AU128" i="45"/>
  <c r="AP128" i="45" s="1"/>
  <c r="AV128" i="45"/>
  <c r="AQ128" i="45" s="1"/>
  <c r="AW128" i="45"/>
  <c r="AT128" i="45" s="1"/>
  <c r="BQ128" i="45" l="1"/>
  <c r="BL128" i="45" s="1"/>
  <c r="BP128" i="45"/>
  <c r="BK128" i="45" s="1"/>
  <c r="BR128" i="45"/>
  <c r="BO128" i="45" s="1"/>
  <c r="BD128" i="45"/>
  <c r="Q128" i="45" s="1"/>
  <c r="P129" i="45" s="1"/>
  <c r="BY128" i="45" l="1"/>
  <c r="R129" i="45"/>
  <c r="T129" i="45" l="1"/>
  <c r="S129" i="45"/>
  <c r="AB129" i="45"/>
  <c r="AD129" i="45" s="1"/>
  <c r="AC130" i="45"/>
  <c r="AN129" i="45" l="1"/>
  <c r="BI129" i="45" s="1"/>
  <c r="AE129" i="45"/>
  <c r="AF129" i="45"/>
  <c r="AM129" i="45" l="1"/>
  <c r="BH129" i="45" l="1"/>
  <c r="AV129" i="45"/>
  <c r="AQ129" i="45" s="1"/>
  <c r="AW129" i="45"/>
  <c r="AT129" i="45" s="1"/>
  <c r="AU129" i="45"/>
  <c r="AP129" i="45" s="1"/>
  <c r="BR129" i="45" l="1"/>
  <c r="BO129" i="45" s="1"/>
  <c r="BP129" i="45"/>
  <c r="BK129" i="45" s="1"/>
  <c r="BQ129" i="45"/>
  <c r="BL129" i="45" s="1"/>
  <c r="BD129" i="45"/>
  <c r="Q129" i="45" s="1"/>
  <c r="P130" i="45" s="1"/>
  <c r="BY129" i="45" l="1"/>
  <c r="R130" i="45"/>
  <c r="S130" i="45" l="1"/>
  <c r="T130" i="45"/>
  <c r="AB130" i="45"/>
  <c r="AD130" i="45" s="1"/>
  <c r="AC131" i="45"/>
  <c r="AN130" i="45" l="1"/>
  <c r="BI130" i="45" s="1"/>
  <c r="AE130" i="45"/>
  <c r="AF130" i="45"/>
  <c r="AM130" i="45" l="1"/>
  <c r="BH130" i="45" l="1"/>
  <c r="AU130" i="45"/>
  <c r="AP130" i="45" s="1"/>
  <c r="AW130" i="45"/>
  <c r="AT130" i="45" s="1"/>
  <c r="AV130" i="45"/>
  <c r="AQ130" i="45" s="1"/>
  <c r="BD130" i="45" l="1"/>
  <c r="Q130" i="45" s="1"/>
  <c r="P131" i="45" s="1"/>
  <c r="R131" i="45" s="1"/>
  <c r="BR130" i="45"/>
  <c r="BO130" i="45" s="1"/>
  <c r="BQ130" i="45"/>
  <c r="BL130" i="45" s="1"/>
  <c r="BP130" i="45"/>
  <c r="BK130" i="45" s="1"/>
  <c r="BY130" i="45" l="1"/>
  <c r="S131" i="45"/>
  <c r="T131" i="45"/>
  <c r="AB131" i="45"/>
  <c r="AD131" i="45" s="1"/>
  <c r="AC132" i="45"/>
  <c r="AN131" i="45" l="1"/>
  <c r="BI131" i="45" s="1"/>
  <c r="AE131" i="45"/>
  <c r="AF131" i="45"/>
  <c r="AM131" i="45" l="1"/>
  <c r="AW131" i="45" l="1"/>
  <c r="AT131" i="45" s="1"/>
  <c r="BH131" i="45"/>
  <c r="AU131" i="45"/>
  <c r="AP131" i="45" s="1"/>
  <c r="AV131" i="45"/>
  <c r="AQ131" i="45" s="1"/>
  <c r="BD131" i="45" l="1"/>
  <c r="Q131" i="45" s="1"/>
  <c r="P132" i="45" s="1"/>
  <c r="R132" i="45" s="1"/>
  <c r="BQ131" i="45"/>
  <c r="BL131" i="45" s="1"/>
  <c r="BP131" i="45"/>
  <c r="BK131" i="45" s="1"/>
  <c r="BR131" i="45"/>
  <c r="BO131" i="45" s="1"/>
  <c r="BY131" i="45" l="1"/>
  <c r="T132" i="45"/>
  <c r="S132" i="45"/>
  <c r="AB132" i="45"/>
  <c r="AD132" i="45" s="1"/>
  <c r="AC133" i="45"/>
  <c r="AN132" i="45" l="1"/>
  <c r="BI132" i="45" s="1"/>
  <c r="AE132" i="45"/>
  <c r="AF132" i="45"/>
  <c r="AM132" i="45" l="1"/>
  <c r="AV132" i="45" l="1"/>
  <c r="AQ132" i="45" s="1"/>
  <c r="AU132" i="45"/>
  <c r="AP132" i="45" s="1"/>
  <c r="AW132" i="45"/>
  <c r="AT132" i="45" s="1"/>
  <c r="BH132" i="45"/>
  <c r="BD132" i="45" l="1"/>
  <c r="Q132" i="45" s="1"/>
  <c r="P133" i="45" s="1"/>
  <c r="BR132" i="45"/>
  <c r="BO132" i="45" s="1"/>
  <c r="BP132" i="45"/>
  <c r="BK132" i="45" s="1"/>
  <c r="BQ132" i="45"/>
  <c r="BL132" i="45" s="1"/>
  <c r="BY132" i="45" l="1"/>
  <c r="R133" i="45"/>
  <c r="T133" i="45" l="1"/>
  <c r="S133" i="45"/>
  <c r="AB133" i="45"/>
  <c r="AD133" i="45" s="1"/>
  <c r="AC134" i="45"/>
  <c r="AN133" i="45" l="1"/>
  <c r="BI133" i="45" s="1"/>
  <c r="AE133" i="45"/>
  <c r="AF133" i="45"/>
  <c r="AM133" i="45" l="1"/>
  <c r="BH133" i="45" l="1"/>
  <c r="AU133" i="45"/>
  <c r="AP133" i="45" s="1"/>
  <c r="AW133" i="45"/>
  <c r="AT133" i="45" s="1"/>
  <c r="AV133" i="45"/>
  <c r="AQ133" i="45" s="1"/>
  <c r="BD133" i="45" l="1"/>
  <c r="Q133" i="45" s="1"/>
  <c r="P134" i="45" s="1"/>
  <c r="BR133" i="45"/>
  <c r="BO133" i="45" s="1"/>
  <c r="BQ133" i="45"/>
  <c r="BL133" i="45" s="1"/>
  <c r="BP133" i="45"/>
  <c r="BK133" i="45" s="1"/>
  <c r="BY133" i="45" l="1"/>
  <c r="R134" i="45"/>
  <c r="S134" i="45" l="1"/>
  <c r="T134" i="45"/>
  <c r="AB134" i="45"/>
  <c r="AD134" i="45" s="1"/>
  <c r="AC135" i="45"/>
  <c r="AN134" i="45" l="1"/>
  <c r="BI134" i="45" s="1"/>
  <c r="AE134" i="45"/>
  <c r="AF134" i="45"/>
  <c r="AM134" i="45" l="1"/>
  <c r="AV134" i="45" l="1"/>
  <c r="AQ134" i="45" s="1"/>
  <c r="BH134" i="45"/>
  <c r="AU134" i="45"/>
  <c r="AP134" i="45" s="1"/>
  <c r="AW134" i="45"/>
  <c r="AT134" i="45" s="1"/>
  <c r="BP134" i="45" l="1"/>
  <c r="BK134" i="45" s="1"/>
  <c r="BR134" i="45"/>
  <c r="BO134" i="45" s="1"/>
  <c r="BQ134" i="45"/>
  <c r="BL134" i="45" s="1"/>
  <c r="BD134" i="45"/>
  <c r="Q134" i="45" s="1"/>
  <c r="P135" i="45" s="1"/>
  <c r="BY134" i="45" l="1"/>
  <c r="R135" i="45"/>
  <c r="S135" i="45" l="1"/>
  <c r="T135" i="45"/>
  <c r="AB135" i="45"/>
  <c r="AD135" i="45" s="1"/>
  <c r="AC136" i="45"/>
  <c r="AN135" i="45" l="1"/>
  <c r="BI135" i="45" s="1"/>
  <c r="AE135" i="45"/>
  <c r="AF135" i="45"/>
  <c r="AM135" i="45" l="1"/>
  <c r="AU135" i="45" l="1"/>
  <c r="AP135" i="45" s="1"/>
  <c r="AW135" i="45"/>
  <c r="AT135" i="45" s="1"/>
  <c r="AV135" i="45"/>
  <c r="AQ135" i="45" s="1"/>
  <c r="BH135" i="45"/>
  <c r="BD135" i="45" l="1"/>
  <c r="Q135" i="45" s="1"/>
  <c r="P136" i="45" s="1"/>
  <c r="BQ135" i="45"/>
  <c r="BL135" i="45" s="1"/>
  <c r="BR135" i="45"/>
  <c r="BO135" i="45" s="1"/>
  <c r="BP135" i="45"/>
  <c r="BK135" i="45" s="1"/>
  <c r="BY135" i="45" l="1"/>
  <c r="R136" i="45"/>
  <c r="S136" i="45" l="1"/>
  <c r="T136" i="45"/>
  <c r="AB136" i="45"/>
  <c r="AD136" i="45" s="1"/>
  <c r="AC137" i="45"/>
  <c r="AN136" i="45" l="1"/>
  <c r="BI136" i="45" s="1"/>
  <c r="AE136" i="45"/>
  <c r="AF136" i="45"/>
  <c r="AM136" i="45" l="1"/>
  <c r="BH136" i="45" l="1"/>
  <c r="AW136" i="45"/>
  <c r="AT136" i="45" s="1"/>
  <c r="AU136" i="45"/>
  <c r="AP136" i="45" s="1"/>
  <c r="AV136" i="45"/>
  <c r="AQ136" i="45" s="1"/>
  <c r="BD136" i="45" l="1"/>
  <c r="Q136" i="45" s="1"/>
  <c r="P137" i="45" s="1"/>
  <c r="R137" i="45" s="1"/>
  <c r="BR136" i="45"/>
  <c r="BO136" i="45" s="1"/>
  <c r="BQ136" i="45"/>
  <c r="BL136" i="45" s="1"/>
  <c r="BP136" i="45"/>
  <c r="BK136" i="45" s="1"/>
  <c r="T137" i="45" l="1"/>
  <c r="S137" i="45"/>
  <c r="AB137" i="45"/>
  <c r="AD137" i="45" s="1"/>
  <c r="BY136" i="45"/>
  <c r="AC138" i="45"/>
  <c r="AN137" i="45" l="1"/>
  <c r="BI137" i="45" s="1"/>
  <c r="AE137" i="45"/>
  <c r="AF137" i="45"/>
  <c r="AM137" i="45" l="1"/>
  <c r="AU137" i="45" l="1"/>
  <c r="AP137" i="45" s="1"/>
  <c r="AW137" i="45"/>
  <c r="AT137" i="45" s="1"/>
  <c r="BH137" i="45"/>
  <c r="AV137" i="45"/>
  <c r="AQ137" i="45" s="1"/>
  <c r="BR137" i="45" l="1"/>
  <c r="BO137" i="45" s="1"/>
  <c r="BP137" i="45"/>
  <c r="BK137" i="45" s="1"/>
  <c r="BQ137" i="45"/>
  <c r="BL137" i="45" s="1"/>
  <c r="BD137" i="45"/>
  <c r="Q137" i="45" s="1"/>
  <c r="P138" i="45" s="1"/>
  <c r="BY137" i="45" l="1"/>
  <c r="R138" i="45"/>
  <c r="S138" i="45" l="1"/>
  <c r="T138" i="45"/>
  <c r="AB138" i="45"/>
  <c r="AD138" i="45" s="1"/>
  <c r="AC139" i="45"/>
  <c r="AN138" i="45" l="1"/>
  <c r="BI138" i="45" s="1"/>
  <c r="AE138" i="45"/>
  <c r="AF138" i="45"/>
  <c r="AM138" i="45" l="1"/>
  <c r="AV138" i="45" l="1"/>
  <c r="AQ138" i="45" s="1"/>
  <c r="BH138" i="45"/>
  <c r="AU138" i="45"/>
  <c r="AP138" i="45" s="1"/>
  <c r="AW138" i="45"/>
  <c r="AT138" i="45" s="1"/>
  <c r="BD138" i="45" l="1"/>
  <c r="Q138" i="45" s="1"/>
  <c r="P139" i="45" s="1"/>
  <c r="R139" i="45" s="1"/>
  <c r="BR138" i="45"/>
  <c r="BO138" i="45" s="1"/>
  <c r="BP138" i="45"/>
  <c r="BK138" i="45" s="1"/>
  <c r="BQ138" i="45"/>
  <c r="BL138" i="45" s="1"/>
  <c r="BY138" i="45" l="1"/>
  <c r="S139" i="45"/>
  <c r="T139" i="45"/>
  <c r="AB139" i="45"/>
  <c r="AD139" i="45" s="1"/>
  <c r="AC140" i="45"/>
  <c r="AN139" i="45" l="1"/>
  <c r="BI139" i="45" s="1"/>
  <c r="AE139" i="45"/>
  <c r="AF139" i="45"/>
  <c r="AM139" i="45" l="1"/>
  <c r="BH139" i="45" l="1"/>
  <c r="AU139" i="45"/>
  <c r="AP139" i="45" s="1"/>
  <c r="AV139" i="45"/>
  <c r="AQ139" i="45" s="1"/>
  <c r="AW139" i="45"/>
  <c r="AT139" i="45" s="1"/>
  <c r="BD139" i="45" l="1"/>
  <c r="Q139" i="45" s="1"/>
  <c r="P140" i="45" s="1"/>
  <c r="BR139" i="45"/>
  <c r="BO139" i="45" s="1"/>
  <c r="BP139" i="45"/>
  <c r="BK139" i="45" s="1"/>
  <c r="BQ139" i="45"/>
  <c r="BL139" i="45" s="1"/>
  <c r="BY139" i="45" l="1"/>
  <c r="R140" i="45"/>
  <c r="S140" i="45" l="1"/>
  <c r="T140" i="45"/>
  <c r="AB140" i="45"/>
  <c r="AD140" i="45" s="1"/>
  <c r="AC141" i="45"/>
  <c r="AN140" i="45" l="1"/>
  <c r="BI140" i="45" s="1"/>
  <c r="AE140" i="45"/>
  <c r="AF140" i="45"/>
  <c r="AM140" i="45" l="1"/>
  <c r="AV140" i="45" l="1"/>
  <c r="AQ140" i="45" s="1"/>
  <c r="AU140" i="45"/>
  <c r="AP140" i="45" s="1"/>
  <c r="BH140" i="45"/>
  <c r="AW140" i="45"/>
  <c r="AT140" i="45" s="1"/>
  <c r="BD140" i="45" l="1"/>
  <c r="Q140" i="45" s="1"/>
  <c r="P141" i="45" s="1"/>
  <c r="R141" i="45" s="1"/>
  <c r="BR140" i="45"/>
  <c r="BO140" i="45" s="1"/>
  <c r="BQ140" i="45"/>
  <c r="BL140" i="45" s="1"/>
  <c r="BP140" i="45"/>
  <c r="BK140" i="45" s="1"/>
  <c r="BY140" i="45" l="1"/>
  <c r="T141" i="45"/>
  <c r="S141" i="45"/>
  <c r="AB141" i="45"/>
  <c r="AD141" i="45" s="1"/>
  <c r="AC142" i="45"/>
  <c r="AN141" i="45" l="1"/>
  <c r="BI141" i="45" s="1"/>
  <c r="AE141" i="45"/>
  <c r="AF141" i="45"/>
  <c r="AM141" i="45" l="1"/>
  <c r="AV141" i="45" l="1"/>
  <c r="AQ141" i="45" s="1"/>
  <c r="AU141" i="45"/>
  <c r="AP141" i="45" s="1"/>
  <c r="AW141" i="45"/>
  <c r="AT141" i="45" s="1"/>
  <c r="BH141" i="45"/>
  <c r="BD141" i="45" l="1"/>
  <c r="Q141" i="45" s="1"/>
  <c r="P142" i="45" s="1"/>
  <c r="BR141" i="45"/>
  <c r="BO141" i="45" s="1"/>
  <c r="BQ141" i="45"/>
  <c r="BL141" i="45" s="1"/>
  <c r="BP141" i="45"/>
  <c r="BK141" i="45" s="1"/>
  <c r="BY141" i="45" l="1"/>
  <c r="R142" i="45"/>
  <c r="AB142" i="45" l="1"/>
  <c r="AD142" i="45" s="1"/>
  <c r="S142" i="45"/>
  <c r="T142" i="45"/>
  <c r="AC143" i="45"/>
  <c r="AN142" i="45" l="1"/>
  <c r="BI142" i="45" s="1"/>
  <c r="AE142" i="45"/>
  <c r="AF142" i="45"/>
  <c r="AM142" i="45" l="1"/>
  <c r="AU142" i="45" l="1"/>
  <c r="AP142" i="45" s="1"/>
  <c r="AW142" i="45"/>
  <c r="AT142" i="45" s="1"/>
  <c r="BH142" i="45"/>
  <c r="AV142" i="45"/>
  <c r="AQ142" i="45" s="1"/>
  <c r="BD142" i="45" l="1"/>
  <c r="Q142" i="45" s="1"/>
  <c r="P143" i="45" s="1"/>
  <c r="BR142" i="45"/>
  <c r="BO142" i="45" s="1"/>
  <c r="BP142" i="45"/>
  <c r="BK142" i="45" s="1"/>
  <c r="BQ142" i="45"/>
  <c r="BL142" i="45" s="1"/>
  <c r="R143" i="45" l="1"/>
  <c r="BY142" i="45"/>
  <c r="T143" i="45" l="1"/>
  <c r="S143" i="45"/>
  <c r="AB143" i="45"/>
  <c r="AD143" i="45" s="1"/>
  <c r="AC144" i="45"/>
  <c r="AN143" i="45" l="1"/>
  <c r="BI143" i="45" s="1"/>
  <c r="AE143" i="45"/>
  <c r="AF143" i="45"/>
  <c r="AM143" i="45" l="1"/>
  <c r="BH143" i="45" l="1"/>
  <c r="AU143" i="45"/>
  <c r="AP143" i="45" s="1"/>
  <c r="AV143" i="45"/>
  <c r="AQ143" i="45" s="1"/>
  <c r="AW143" i="45"/>
  <c r="AT143" i="45" s="1"/>
  <c r="BD143" i="45" l="1"/>
  <c r="Q143" i="45" s="1"/>
  <c r="P144" i="45" s="1"/>
  <c r="R144" i="45" s="1"/>
  <c r="BR143" i="45"/>
  <c r="BO143" i="45" s="1"/>
  <c r="BQ143" i="45"/>
  <c r="BL143" i="45" s="1"/>
  <c r="BP143" i="45"/>
  <c r="BK143" i="45" s="1"/>
  <c r="T144" i="45" l="1"/>
  <c r="S144" i="45"/>
  <c r="AB144" i="45"/>
  <c r="AD144" i="45" s="1"/>
  <c r="BY143" i="45"/>
  <c r="AC145" i="45"/>
  <c r="AN144" i="45" l="1"/>
  <c r="BI144" i="45" s="1"/>
  <c r="AE144" i="45"/>
  <c r="AF144" i="45"/>
  <c r="AM144" i="45" l="1"/>
  <c r="AW144" i="45" l="1"/>
  <c r="AT144" i="45" s="1"/>
  <c r="AV144" i="45"/>
  <c r="AQ144" i="45" s="1"/>
  <c r="AU144" i="45"/>
  <c r="AP144" i="45" s="1"/>
  <c r="BH144" i="45"/>
  <c r="BQ144" i="45" l="1"/>
  <c r="BL144" i="45" s="1"/>
  <c r="BR144" i="45"/>
  <c r="BO144" i="45" s="1"/>
  <c r="BP144" i="45"/>
  <c r="BK144" i="45" s="1"/>
  <c r="BD144" i="45"/>
  <c r="Q144" i="45" s="1"/>
  <c r="P145" i="45" s="1"/>
  <c r="BY144" i="45" l="1"/>
  <c r="R145" i="45"/>
  <c r="T145" i="45" l="1"/>
  <c r="AB145" i="45"/>
  <c r="AD145" i="45" s="1"/>
  <c r="S145" i="45"/>
  <c r="AC146" i="45"/>
  <c r="AN145" i="45" l="1"/>
  <c r="BI145" i="45" s="1"/>
  <c r="AE145" i="45"/>
  <c r="AF145" i="45"/>
  <c r="AM145" i="45" l="1"/>
  <c r="AW145" i="45" l="1"/>
  <c r="AT145" i="45" s="1"/>
  <c r="AU145" i="45"/>
  <c r="AP145" i="45" s="1"/>
  <c r="BH145" i="45"/>
  <c r="AV145" i="45"/>
  <c r="AQ145" i="45" s="1"/>
  <c r="BP145" i="45" l="1"/>
  <c r="BK145" i="45" s="1"/>
  <c r="BQ145" i="45"/>
  <c r="BL145" i="45" s="1"/>
  <c r="BR145" i="45"/>
  <c r="BO145" i="45" s="1"/>
  <c r="BD145" i="45"/>
  <c r="Q145" i="45" s="1"/>
  <c r="P146" i="45" s="1"/>
  <c r="BY145" i="45" l="1"/>
  <c r="R146" i="45"/>
  <c r="AB146" i="45" l="1"/>
  <c r="AD146" i="45" s="1"/>
  <c r="T146" i="45"/>
  <c r="S146" i="45"/>
  <c r="AC147" i="45"/>
  <c r="AN146" i="45" l="1"/>
  <c r="BI146" i="45" s="1"/>
  <c r="AE146" i="45"/>
  <c r="AF146" i="45"/>
  <c r="AM146" i="45" l="1"/>
  <c r="AW146" i="45" l="1"/>
  <c r="AT146" i="45" s="1"/>
  <c r="AV146" i="45"/>
  <c r="AQ146" i="45" s="1"/>
  <c r="AU146" i="45"/>
  <c r="AP146" i="45" s="1"/>
  <c r="BH146" i="45"/>
  <c r="BQ146" i="45" l="1"/>
  <c r="BL146" i="45" s="1"/>
  <c r="BP146" i="45"/>
  <c r="BK146" i="45" s="1"/>
  <c r="BR146" i="45"/>
  <c r="BO146" i="45" s="1"/>
  <c r="BD146" i="45"/>
  <c r="Q146" i="45" s="1"/>
  <c r="P147" i="45" s="1"/>
  <c r="BY146" i="45" l="1"/>
  <c r="R147" i="45"/>
  <c r="S147" i="45" l="1"/>
  <c r="T147" i="45"/>
  <c r="AB147" i="45"/>
  <c r="AD147" i="45" s="1"/>
  <c r="AC148" i="45"/>
  <c r="AN147" i="45" l="1"/>
  <c r="BI147" i="45" s="1"/>
  <c r="AE147" i="45"/>
  <c r="AF147" i="45"/>
  <c r="AM147" i="45" l="1"/>
  <c r="AU147" i="45" l="1"/>
  <c r="AP147" i="45" s="1"/>
  <c r="AV147" i="45"/>
  <c r="AQ147" i="45" s="1"/>
  <c r="AW147" i="45"/>
  <c r="AT147" i="45" s="1"/>
  <c r="BH147" i="45"/>
  <c r="BR147" i="45" l="1"/>
  <c r="BO147" i="45" s="1"/>
  <c r="BQ147" i="45"/>
  <c r="BL147" i="45" s="1"/>
  <c r="BP147" i="45"/>
  <c r="BK147" i="45" s="1"/>
  <c r="BD147" i="45"/>
  <c r="Q147" i="45" s="1"/>
  <c r="P148" i="45" s="1"/>
  <c r="BY147" i="45" l="1"/>
  <c r="R148" i="45"/>
  <c r="T148" i="45" l="1"/>
  <c r="S148" i="45"/>
  <c r="AB148" i="45"/>
  <c r="AD148" i="45" s="1"/>
  <c r="AC149" i="45"/>
  <c r="AN148" i="45" l="1"/>
  <c r="BI148" i="45" s="1"/>
  <c r="AE148" i="45"/>
  <c r="AF148" i="45"/>
  <c r="AM148" i="45" l="1"/>
  <c r="AW148" i="45" l="1"/>
  <c r="AT148" i="45" s="1"/>
  <c r="AV148" i="45"/>
  <c r="AQ148" i="45" s="1"/>
  <c r="BH148" i="45"/>
  <c r="AU148" i="45"/>
  <c r="AP148" i="45" s="1"/>
  <c r="BD148" i="45" l="1"/>
  <c r="Q148" i="45" s="1"/>
  <c r="P149" i="45" s="1"/>
  <c r="R149" i="45" s="1"/>
  <c r="BP148" i="45"/>
  <c r="BK148" i="45" s="1"/>
  <c r="BQ148" i="45"/>
  <c r="BL148" i="45" s="1"/>
  <c r="BR148" i="45"/>
  <c r="BO148" i="45" s="1"/>
  <c r="BY148" i="45" l="1"/>
  <c r="S149" i="45"/>
  <c r="T149" i="45"/>
  <c r="AB149" i="45"/>
  <c r="AD149" i="45" s="1"/>
  <c r="AC150" i="45"/>
  <c r="AN149" i="45" l="1"/>
  <c r="BI149" i="45" s="1"/>
  <c r="AE149" i="45"/>
  <c r="AF149" i="45"/>
  <c r="AM149" i="45" l="1"/>
  <c r="AV149" i="45" l="1"/>
  <c r="AQ149" i="45" s="1"/>
  <c r="AU149" i="45"/>
  <c r="AP149" i="45" s="1"/>
  <c r="BH149" i="45"/>
  <c r="AW149" i="45"/>
  <c r="AT149" i="45" s="1"/>
  <c r="BD149" i="45" l="1"/>
  <c r="Q149" i="45" s="1"/>
  <c r="P150" i="45" s="1"/>
  <c r="R150" i="45" s="1"/>
  <c r="BQ149" i="45"/>
  <c r="BL149" i="45" s="1"/>
  <c r="BR149" i="45"/>
  <c r="BO149" i="45" s="1"/>
  <c r="BP149" i="45"/>
  <c r="BK149" i="45" s="1"/>
  <c r="AB150" i="45" l="1"/>
  <c r="AD150" i="45" s="1"/>
  <c r="S150" i="45"/>
  <c r="T150" i="45"/>
  <c r="BY149" i="45"/>
  <c r="AC151" i="45"/>
  <c r="AN150" i="45" l="1"/>
  <c r="BI150" i="45" s="1"/>
  <c r="AE150" i="45"/>
  <c r="AF150" i="45"/>
  <c r="AM150" i="45" l="1"/>
  <c r="AW150" i="45" l="1"/>
  <c r="AT150" i="45" s="1"/>
  <c r="AU150" i="45"/>
  <c r="AP150" i="45" s="1"/>
  <c r="AV150" i="45"/>
  <c r="AQ150" i="45" s="1"/>
  <c r="BH150" i="45"/>
  <c r="BD150" i="45" l="1"/>
  <c r="Q150" i="45" s="1"/>
  <c r="P151" i="45" s="1"/>
  <c r="BP150" i="45"/>
  <c r="BK150" i="45" s="1"/>
  <c r="BR150" i="45"/>
  <c r="BO150" i="45" s="1"/>
  <c r="BQ150" i="45"/>
  <c r="BL150" i="45" s="1"/>
  <c r="BY150" i="45" l="1"/>
  <c r="R151" i="45"/>
  <c r="T151" i="45" l="1"/>
  <c r="AB151" i="45"/>
  <c r="AD151" i="45" s="1"/>
  <c r="S151" i="45"/>
  <c r="AC152" i="45"/>
  <c r="AN151" i="45" l="1"/>
  <c r="BI151" i="45" s="1"/>
  <c r="AE151" i="45"/>
  <c r="AF151" i="45"/>
  <c r="AM151" i="45" l="1"/>
  <c r="AV151" i="45" l="1"/>
  <c r="AQ151" i="45" s="1"/>
  <c r="AW151" i="45"/>
  <c r="AT151" i="45" s="1"/>
  <c r="AU151" i="45"/>
  <c r="AP151" i="45" s="1"/>
  <c r="BH151" i="45"/>
  <c r="BD151" i="45" l="1"/>
  <c r="Q151" i="45" s="1"/>
  <c r="P152" i="45" s="1"/>
  <c r="R152" i="45" s="1"/>
  <c r="BQ151" i="45"/>
  <c r="BL151" i="45" s="1"/>
  <c r="BP151" i="45"/>
  <c r="BK151" i="45" s="1"/>
  <c r="BR151" i="45"/>
  <c r="BO151" i="45" s="1"/>
  <c r="BY151" i="45" l="1"/>
  <c r="AB152" i="45"/>
  <c r="AD152" i="45" s="1"/>
  <c r="T152" i="45"/>
  <c r="S152" i="45"/>
  <c r="AC153" i="45"/>
  <c r="AN152" i="45" l="1"/>
  <c r="BI152" i="45" s="1"/>
  <c r="AE152" i="45"/>
  <c r="AF152" i="45"/>
  <c r="AM152" i="45" l="1"/>
  <c r="AV152" i="45" l="1"/>
  <c r="AQ152" i="45" s="1"/>
  <c r="BH152" i="45"/>
  <c r="AW152" i="45"/>
  <c r="AT152" i="45" s="1"/>
  <c r="AU152" i="45"/>
  <c r="AP152" i="45" s="1"/>
  <c r="BQ152" i="45" l="1"/>
  <c r="BL152" i="45" s="1"/>
  <c r="BP152" i="45"/>
  <c r="BK152" i="45" s="1"/>
  <c r="BR152" i="45"/>
  <c r="BO152" i="45" s="1"/>
  <c r="BD152" i="45"/>
  <c r="Q152" i="45" s="1"/>
  <c r="P153" i="45" s="1"/>
  <c r="R153" i="45" l="1"/>
  <c r="BY152" i="45"/>
  <c r="T153" i="45" l="1"/>
  <c r="S153" i="45"/>
  <c r="AB153" i="45"/>
  <c r="AD153" i="45" s="1"/>
  <c r="AC154" i="45"/>
  <c r="AN153" i="45" l="1"/>
  <c r="BI153" i="45" s="1"/>
  <c r="AE153" i="45"/>
  <c r="AF153" i="45"/>
  <c r="AM153" i="45" l="1"/>
  <c r="AV153" i="45" l="1"/>
  <c r="AQ153" i="45" s="1"/>
  <c r="AU153" i="45"/>
  <c r="AP153" i="45" s="1"/>
  <c r="BH153" i="45"/>
  <c r="AW153" i="45"/>
  <c r="AT153" i="45" s="1"/>
  <c r="BD153" i="45" l="1"/>
  <c r="Q153" i="45" s="1"/>
  <c r="P154" i="45" s="1"/>
  <c r="R154" i="45" s="1"/>
  <c r="BQ153" i="45"/>
  <c r="BL153" i="45" s="1"/>
  <c r="BR153" i="45"/>
  <c r="BO153" i="45" s="1"/>
  <c r="BP153" i="45"/>
  <c r="BK153" i="45" s="1"/>
  <c r="BY153" i="45" l="1"/>
  <c r="AB154" i="45"/>
  <c r="AD154" i="45" s="1"/>
  <c r="T154" i="45"/>
  <c r="S154" i="45"/>
  <c r="AC155" i="45"/>
  <c r="AN154" i="45" l="1"/>
  <c r="BI154" i="45" s="1"/>
  <c r="AE154" i="45"/>
  <c r="AF154" i="45"/>
  <c r="AM154" i="45" l="1"/>
  <c r="AW154" i="45" l="1"/>
  <c r="AT154" i="45" s="1"/>
  <c r="AU154" i="45"/>
  <c r="AP154" i="45" s="1"/>
  <c r="BH154" i="45"/>
  <c r="AV154" i="45"/>
  <c r="AQ154" i="45" s="1"/>
  <c r="BD154" i="45" l="1"/>
  <c r="Q154" i="45" s="1"/>
  <c r="P155" i="45" s="1"/>
  <c r="R155" i="45" s="1"/>
  <c r="BQ154" i="45"/>
  <c r="BL154" i="45" s="1"/>
  <c r="BR154" i="45"/>
  <c r="BO154" i="45" s="1"/>
  <c r="BP154" i="45"/>
  <c r="BK154" i="45" s="1"/>
  <c r="AB155" i="45" l="1"/>
  <c r="AD155" i="45" s="1"/>
  <c r="S155" i="45"/>
  <c r="T155" i="45"/>
  <c r="BY154" i="45"/>
  <c r="AC156" i="45"/>
  <c r="AN155" i="45" l="1"/>
  <c r="BI155" i="45" s="1"/>
  <c r="AE155" i="45"/>
  <c r="AF155" i="45"/>
  <c r="AM155" i="45" l="1"/>
  <c r="BH155" i="45" l="1"/>
  <c r="AU155" i="45"/>
  <c r="AP155" i="45" s="1"/>
  <c r="AW155" i="45"/>
  <c r="AT155" i="45" s="1"/>
  <c r="AV155" i="45"/>
  <c r="AQ155" i="45" s="1"/>
  <c r="BD155" i="45" l="1"/>
  <c r="Q155" i="45" s="1"/>
  <c r="P156" i="45" s="1"/>
  <c r="BP155" i="45"/>
  <c r="BK155" i="45" s="1"/>
  <c r="BQ155" i="45"/>
  <c r="BL155" i="45" s="1"/>
  <c r="BR155" i="45"/>
  <c r="BO155" i="45" s="1"/>
  <c r="BY155" i="45" l="1"/>
  <c r="R156" i="45"/>
  <c r="T156" i="45" l="1"/>
  <c r="S156" i="45"/>
  <c r="AB156" i="45"/>
  <c r="AD156" i="45" s="1"/>
  <c r="AC157" i="45"/>
  <c r="AN156" i="45" l="1"/>
  <c r="BI156" i="45" s="1"/>
  <c r="AE156" i="45"/>
  <c r="AF156" i="45"/>
  <c r="AM156" i="45" l="1"/>
  <c r="AU156" i="45" l="1"/>
  <c r="AP156" i="45" s="1"/>
  <c r="AW156" i="45"/>
  <c r="AT156" i="45" s="1"/>
  <c r="BH156" i="45"/>
  <c r="AV156" i="45"/>
  <c r="AQ156" i="45" s="1"/>
  <c r="BR156" i="45" l="1"/>
  <c r="BO156" i="45" s="1"/>
  <c r="BP156" i="45"/>
  <c r="BK156" i="45" s="1"/>
  <c r="BQ156" i="45"/>
  <c r="BL156" i="45" s="1"/>
  <c r="BD156" i="45"/>
  <c r="Q156" i="45" s="1"/>
  <c r="P157" i="45" s="1"/>
  <c r="R157" i="45" l="1"/>
  <c r="BY156" i="45"/>
  <c r="S157" i="45" l="1"/>
  <c r="T157" i="45"/>
  <c r="AB157" i="45"/>
  <c r="AD157" i="45" s="1"/>
  <c r="AC158" i="45"/>
  <c r="AN157" i="45" l="1"/>
  <c r="BI157" i="45" s="1"/>
  <c r="AE157" i="45"/>
  <c r="AF157" i="45"/>
  <c r="AM157" i="45" l="1"/>
  <c r="AU157" i="45" l="1"/>
  <c r="AP157" i="45" s="1"/>
  <c r="AW157" i="45"/>
  <c r="AT157" i="45" s="1"/>
  <c r="AV157" i="45"/>
  <c r="AQ157" i="45" s="1"/>
  <c r="BH157" i="45"/>
  <c r="BD157" i="45" l="1"/>
  <c r="Q157" i="45" s="1"/>
  <c r="P158" i="45" s="1"/>
  <c r="BP157" i="45"/>
  <c r="BK157" i="45" s="1"/>
  <c r="BQ157" i="45"/>
  <c r="BL157" i="45" s="1"/>
  <c r="BR157" i="45"/>
  <c r="BO157" i="45" s="1"/>
  <c r="BY157" i="45" l="1"/>
  <c r="R158" i="45"/>
  <c r="AB158" i="45" l="1"/>
  <c r="AD158" i="45" s="1"/>
  <c r="S158" i="45"/>
  <c r="T158" i="45"/>
  <c r="AC159" i="45"/>
  <c r="AN158" i="45" l="1"/>
  <c r="BI158" i="45" s="1"/>
  <c r="AE158" i="45"/>
  <c r="AF158" i="45"/>
  <c r="AM158" i="45" l="1"/>
  <c r="AW158" i="45" l="1"/>
  <c r="AT158" i="45" s="1"/>
  <c r="AU158" i="45"/>
  <c r="AP158" i="45" s="1"/>
  <c r="AV158" i="45"/>
  <c r="AQ158" i="45" s="1"/>
  <c r="BH158" i="45"/>
  <c r="BP158" i="45" l="1"/>
  <c r="BK158" i="45" s="1"/>
  <c r="BR158" i="45"/>
  <c r="BO158" i="45" s="1"/>
  <c r="BQ158" i="45"/>
  <c r="BL158" i="45" s="1"/>
  <c r="BD158" i="45"/>
  <c r="Q158" i="45" s="1"/>
  <c r="P159" i="45" s="1"/>
  <c r="BY158" i="45" l="1"/>
  <c r="R159" i="45"/>
  <c r="AB159" i="45" l="1"/>
  <c r="AD159" i="45" s="1"/>
  <c r="S159" i="45"/>
  <c r="T159" i="45"/>
  <c r="AC160" i="45"/>
  <c r="AN159" i="45" l="1"/>
  <c r="BI159" i="45" s="1"/>
  <c r="AE159" i="45"/>
  <c r="AF159" i="45"/>
  <c r="AM159" i="45" l="1"/>
  <c r="AV159" i="45" l="1"/>
  <c r="AQ159" i="45" s="1"/>
  <c r="AU159" i="45"/>
  <c r="AP159" i="45" s="1"/>
  <c r="BH159" i="45"/>
  <c r="AW159" i="45"/>
  <c r="AT159" i="45" s="1"/>
  <c r="BD159" i="45" l="1"/>
  <c r="Q159" i="45" s="1"/>
  <c r="P160" i="45" s="1"/>
  <c r="R160" i="45" s="1"/>
  <c r="BP159" i="45"/>
  <c r="BK159" i="45" s="1"/>
  <c r="BQ159" i="45"/>
  <c r="BL159" i="45" s="1"/>
  <c r="BR159" i="45"/>
  <c r="BO159" i="45" s="1"/>
  <c r="BY159" i="45" l="1"/>
  <c r="T160" i="45"/>
  <c r="S160" i="45"/>
  <c r="AB160" i="45"/>
  <c r="AD160" i="45" s="1"/>
  <c r="AC161" i="45"/>
  <c r="AN160" i="45" l="1"/>
  <c r="BI160" i="45" s="1"/>
  <c r="AE160" i="45"/>
  <c r="AF160" i="45"/>
  <c r="AM160" i="45" l="1"/>
  <c r="AW160" i="45" l="1"/>
  <c r="AT160" i="45" s="1"/>
  <c r="BH160" i="45"/>
  <c r="AV160" i="45"/>
  <c r="AQ160" i="45" s="1"/>
  <c r="AU160" i="45"/>
  <c r="AP160" i="45" s="1"/>
  <c r="BP160" i="45" l="1"/>
  <c r="BK160" i="45" s="1"/>
  <c r="BR160" i="45"/>
  <c r="BO160" i="45" s="1"/>
  <c r="BQ160" i="45"/>
  <c r="BL160" i="45" s="1"/>
  <c r="BD160" i="45"/>
  <c r="Q160" i="45" s="1"/>
  <c r="P161" i="45" s="1"/>
  <c r="BY160" i="45" l="1"/>
  <c r="R161" i="45"/>
  <c r="S161" i="45" l="1"/>
  <c r="T161" i="45"/>
  <c r="AB161" i="45"/>
  <c r="AD161" i="45" s="1"/>
  <c r="AC162" i="45"/>
  <c r="AN161" i="45" l="1"/>
  <c r="BI161" i="45" s="1"/>
  <c r="AE161" i="45"/>
  <c r="AF161" i="45"/>
  <c r="AM161" i="45" l="1"/>
  <c r="BH161" i="45" l="1"/>
  <c r="AU161" i="45"/>
  <c r="AP161" i="45" s="1"/>
  <c r="AV161" i="45"/>
  <c r="AQ161" i="45" s="1"/>
  <c r="AW161" i="45"/>
  <c r="AT161" i="45" s="1"/>
  <c r="BD161" i="45" l="1"/>
  <c r="Q161" i="45" s="1"/>
  <c r="P162" i="45" s="1"/>
  <c r="BQ161" i="45"/>
  <c r="BL161" i="45" s="1"/>
  <c r="BP161" i="45"/>
  <c r="BK161" i="45" s="1"/>
  <c r="BR161" i="45"/>
  <c r="BO161" i="45" s="1"/>
  <c r="R162" i="45" l="1"/>
  <c r="BY161" i="45"/>
  <c r="S162" i="45" l="1"/>
  <c r="T162" i="45"/>
  <c r="AB162" i="45"/>
  <c r="AD162" i="45" s="1"/>
  <c r="AC163" i="45"/>
  <c r="AN162" i="45" l="1"/>
  <c r="BI162" i="45" s="1"/>
  <c r="AE162" i="45"/>
  <c r="AF162" i="45"/>
  <c r="AM162" i="45" l="1"/>
  <c r="AW162" i="45" l="1"/>
  <c r="AT162" i="45" s="1"/>
  <c r="AV162" i="45"/>
  <c r="AQ162" i="45" s="1"/>
  <c r="AU162" i="45"/>
  <c r="AP162" i="45" s="1"/>
  <c r="BH162" i="45"/>
  <c r="BD162" i="45" l="1"/>
  <c r="Q162" i="45" s="1"/>
  <c r="P163" i="45" s="1"/>
  <c r="R163" i="45" s="1"/>
  <c r="BP162" i="45"/>
  <c r="BK162" i="45" s="1"/>
  <c r="BQ162" i="45"/>
  <c r="BL162" i="45" s="1"/>
  <c r="BR162" i="45"/>
  <c r="BO162" i="45" s="1"/>
  <c r="BY162" i="45" l="1"/>
  <c r="S163" i="45"/>
  <c r="T163" i="45"/>
  <c r="AB163" i="45"/>
  <c r="AD163" i="45" s="1"/>
  <c r="AC164" i="45"/>
  <c r="AN163" i="45" l="1"/>
  <c r="BI163" i="45" s="1"/>
  <c r="AE163" i="45"/>
  <c r="AF163" i="45"/>
  <c r="AM163" i="45" l="1"/>
  <c r="AW163" i="45" l="1"/>
  <c r="AT163" i="45" s="1"/>
  <c r="AV163" i="45"/>
  <c r="AQ163" i="45" s="1"/>
  <c r="AU163" i="45"/>
  <c r="AP163" i="45" s="1"/>
  <c r="BH163" i="45"/>
  <c r="BD163" i="45" l="1"/>
  <c r="Q163" i="45" s="1"/>
  <c r="P164" i="45" s="1"/>
  <c r="R164" i="45" s="1"/>
  <c r="BR163" i="45"/>
  <c r="BO163" i="45" s="1"/>
  <c r="BP163" i="45"/>
  <c r="BK163" i="45" s="1"/>
  <c r="BQ163" i="45"/>
  <c r="BL163" i="45" s="1"/>
  <c r="BY163" i="45" l="1"/>
  <c r="S164" i="45"/>
  <c r="T164" i="45"/>
  <c r="AB164" i="45"/>
  <c r="AD164" i="45" s="1"/>
  <c r="AC165" i="45"/>
  <c r="AN164" i="45" l="1"/>
  <c r="BI164" i="45" s="1"/>
  <c r="AE164" i="45"/>
  <c r="AF164" i="45"/>
  <c r="AM164" i="45" l="1"/>
  <c r="AV164" i="45" l="1"/>
  <c r="AQ164" i="45" s="1"/>
  <c r="BH164" i="45"/>
  <c r="AU164" i="45"/>
  <c r="AP164" i="45" s="1"/>
  <c r="AW164" i="45"/>
  <c r="AT164" i="45" s="1"/>
  <c r="BD164" i="45" l="1"/>
  <c r="Q164" i="45" s="1"/>
  <c r="P165" i="45" s="1"/>
  <c r="BR164" i="45"/>
  <c r="BO164" i="45" s="1"/>
  <c r="BQ164" i="45"/>
  <c r="BL164" i="45" s="1"/>
  <c r="BP164" i="45"/>
  <c r="BK164" i="45" s="1"/>
  <c r="R165" i="45" l="1"/>
  <c r="BY164" i="45"/>
  <c r="T165" i="45" l="1"/>
  <c r="S165" i="45"/>
  <c r="AB165" i="45"/>
  <c r="AD165" i="45" s="1"/>
  <c r="AC166" i="45"/>
  <c r="AN165" i="45" l="1"/>
  <c r="BI165" i="45" s="1"/>
  <c r="AE165" i="45"/>
  <c r="AF165" i="45"/>
  <c r="AM165" i="45" l="1"/>
  <c r="AU165" i="45" l="1"/>
  <c r="AP165" i="45" s="1"/>
  <c r="AW165" i="45"/>
  <c r="AT165" i="45" s="1"/>
  <c r="BH165" i="45"/>
  <c r="AV165" i="45"/>
  <c r="AQ165" i="45" s="1"/>
  <c r="BD165" i="45" l="1"/>
  <c r="Q165" i="45" s="1"/>
  <c r="P166" i="45" s="1"/>
  <c r="BR165" i="45"/>
  <c r="BO165" i="45" s="1"/>
  <c r="BQ165" i="45"/>
  <c r="BL165" i="45" s="1"/>
  <c r="BP165" i="45"/>
  <c r="BK165" i="45" s="1"/>
  <c r="R166" i="45" l="1"/>
  <c r="BY165" i="45"/>
  <c r="T166" i="45" l="1"/>
  <c r="S166" i="45"/>
  <c r="AB166" i="45"/>
  <c r="AD166" i="45" s="1"/>
  <c r="AC167" i="45"/>
  <c r="AN166" i="45" l="1"/>
  <c r="BI166" i="45" s="1"/>
  <c r="AE166" i="45"/>
  <c r="AF166" i="45"/>
  <c r="AM166" i="45" l="1"/>
  <c r="AU166" i="45" l="1"/>
  <c r="AP166" i="45" s="1"/>
  <c r="AW166" i="45"/>
  <c r="AT166" i="45" s="1"/>
  <c r="AV166" i="45"/>
  <c r="AQ166" i="45" s="1"/>
  <c r="BH166" i="45"/>
  <c r="BQ166" i="45" l="1"/>
  <c r="BL166" i="45" s="1"/>
  <c r="BR166" i="45"/>
  <c r="BO166" i="45" s="1"/>
  <c r="BP166" i="45"/>
  <c r="BK166" i="45" s="1"/>
  <c r="BD166" i="45"/>
  <c r="Q166" i="45" s="1"/>
  <c r="P167" i="45" s="1"/>
  <c r="BY166" i="45" l="1"/>
  <c r="R167" i="45"/>
  <c r="S167" i="45" l="1"/>
  <c r="T167" i="45"/>
  <c r="AB167" i="45"/>
  <c r="AD167" i="45" s="1"/>
  <c r="AC168" i="45"/>
  <c r="AN167" i="45" l="1"/>
  <c r="BI167" i="45" s="1"/>
  <c r="AE167" i="45"/>
  <c r="AF167" i="45"/>
  <c r="AM167" i="45" l="1"/>
  <c r="AV167" i="45" l="1"/>
  <c r="AQ167" i="45" s="1"/>
  <c r="AU167" i="45"/>
  <c r="AP167" i="45" s="1"/>
  <c r="BH167" i="45"/>
  <c r="AW167" i="45"/>
  <c r="AT167" i="45" s="1"/>
  <c r="BD167" i="45" l="1"/>
  <c r="Q167" i="45" s="1"/>
  <c r="P168" i="45" s="1"/>
  <c r="R168" i="45" s="1"/>
  <c r="BQ167" i="45"/>
  <c r="BL167" i="45" s="1"/>
  <c r="BR167" i="45"/>
  <c r="BO167" i="45" s="1"/>
  <c r="BP167" i="45"/>
  <c r="BK167" i="45" s="1"/>
  <c r="BY167" i="45" l="1"/>
  <c r="T168" i="45"/>
  <c r="S168" i="45"/>
  <c r="AB168" i="45"/>
  <c r="AD168" i="45" s="1"/>
  <c r="AC169" i="45"/>
  <c r="AN168" i="45" l="1"/>
  <c r="BI168" i="45" s="1"/>
  <c r="AE168" i="45"/>
  <c r="AF168" i="45"/>
  <c r="AM168" i="45" l="1"/>
  <c r="AU168" i="45" l="1"/>
  <c r="AP168" i="45" s="1"/>
  <c r="BH168" i="45"/>
  <c r="AV168" i="45"/>
  <c r="AQ168" i="45" s="1"/>
  <c r="AW168" i="45"/>
  <c r="AT168" i="45" s="1"/>
  <c r="BD168" i="45" l="1"/>
  <c r="Q168" i="45" s="1"/>
  <c r="P169" i="45" s="1"/>
  <c r="BQ168" i="45"/>
  <c r="BL168" i="45" s="1"/>
  <c r="BR168" i="45"/>
  <c r="BO168" i="45" s="1"/>
  <c r="BP168" i="45"/>
  <c r="BK168" i="45" s="1"/>
  <c r="R169" i="45" l="1"/>
  <c r="BY168" i="45"/>
  <c r="S169" i="45" l="1"/>
  <c r="T169" i="45"/>
  <c r="AB169" i="45"/>
  <c r="AD169" i="45" s="1"/>
  <c r="AC170" i="45"/>
  <c r="AN169" i="45" l="1"/>
  <c r="BI169" i="45" s="1"/>
  <c r="AE169" i="45"/>
  <c r="AF169" i="45"/>
  <c r="AM169" i="45" l="1"/>
  <c r="BH169" i="45" l="1"/>
  <c r="AW169" i="45"/>
  <c r="AT169" i="45" s="1"/>
  <c r="AU169" i="45"/>
  <c r="AP169" i="45" s="1"/>
  <c r="AV169" i="45"/>
  <c r="AQ169" i="45" s="1"/>
  <c r="BD169" i="45" l="1"/>
  <c r="Q169" i="45" s="1"/>
  <c r="P170" i="45" s="1"/>
  <c r="R170" i="45" s="1"/>
  <c r="BR169" i="45"/>
  <c r="BO169" i="45" s="1"/>
  <c r="BP169" i="45"/>
  <c r="BK169" i="45" s="1"/>
  <c r="BQ169" i="45"/>
  <c r="BL169" i="45" s="1"/>
  <c r="BY169" i="45" l="1"/>
  <c r="S170" i="45"/>
  <c r="T170" i="45"/>
  <c r="AB170" i="45"/>
  <c r="AD170" i="45" s="1"/>
  <c r="AC171" i="45"/>
  <c r="AN170" i="45" l="1"/>
  <c r="BI170" i="45" s="1"/>
  <c r="AE170" i="45"/>
  <c r="AF170" i="45"/>
  <c r="AM170" i="45" l="1"/>
  <c r="BH170" i="45" l="1"/>
  <c r="AW170" i="45"/>
  <c r="AT170" i="45" s="1"/>
  <c r="AV170" i="45"/>
  <c r="AQ170" i="45" s="1"/>
  <c r="AU170" i="45"/>
  <c r="AP170" i="45" s="1"/>
  <c r="BD170" i="45" l="1"/>
  <c r="Q170" i="45" s="1"/>
  <c r="P171" i="45" s="1"/>
  <c r="BQ170" i="45"/>
  <c r="BL170" i="45" s="1"/>
  <c r="BP170" i="45"/>
  <c r="BK170" i="45" s="1"/>
  <c r="BR170" i="45"/>
  <c r="BO170" i="45" s="1"/>
  <c r="BY170" i="45" l="1"/>
  <c r="R171" i="45"/>
  <c r="T171" i="45" l="1"/>
  <c r="S171" i="45"/>
  <c r="AB171" i="45"/>
  <c r="AD171" i="45" s="1"/>
  <c r="AC172" i="45"/>
  <c r="AN171" i="45" l="1"/>
  <c r="BI171" i="45" s="1"/>
  <c r="AE171" i="45"/>
  <c r="AF171" i="45"/>
  <c r="AM171" i="45" l="1"/>
  <c r="AW171" i="45" l="1"/>
  <c r="AT171" i="45" s="1"/>
  <c r="AV171" i="45"/>
  <c r="AQ171" i="45" s="1"/>
  <c r="BH171" i="45"/>
  <c r="AU171" i="45"/>
  <c r="AP171" i="45" s="1"/>
  <c r="BD171" i="45" l="1"/>
  <c r="Q171" i="45" s="1"/>
  <c r="P172" i="45" s="1"/>
  <c r="BQ171" i="45"/>
  <c r="BL171" i="45" s="1"/>
  <c r="BR171" i="45"/>
  <c r="BO171" i="45" s="1"/>
  <c r="BP171" i="45"/>
  <c r="BK171" i="45" s="1"/>
  <c r="BY171" i="45" l="1"/>
  <c r="R172" i="45"/>
  <c r="T172" i="45" l="1"/>
  <c r="S172" i="45"/>
  <c r="AB172" i="45"/>
  <c r="AD172" i="45" s="1"/>
  <c r="AC173" i="45"/>
  <c r="AN172" i="45" l="1"/>
  <c r="BI172" i="45" s="1"/>
  <c r="AE172" i="45"/>
  <c r="AF172" i="45"/>
  <c r="AM172" i="45" l="1"/>
  <c r="BH172" i="45" l="1"/>
  <c r="AV172" i="45"/>
  <c r="AQ172" i="45" s="1"/>
  <c r="AW172" i="45"/>
  <c r="AT172" i="45" s="1"/>
  <c r="AU172" i="45"/>
  <c r="AP172" i="45" s="1"/>
  <c r="BD172" i="45" l="1"/>
  <c r="Q172" i="45" s="1"/>
  <c r="P173" i="45" s="1"/>
  <c r="R173" i="45" s="1"/>
  <c r="BP172" i="45"/>
  <c r="BK172" i="45" s="1"/>
  <c r="BQ172" i="45"/>
  <c r="BL172" i="45" s="1"/>
  <c r="BR172" i="45"/>
  <c r="BO172" i="45" s="1"/>
  <c r="BY172" i="45" l="1"/>
  <c r="T173" i="45"/>
  <c r="S173" i="45"/>
  <c r="AB173" i="45"/>
  <c r="AD173" i="45" s="1"/>
  <c r="AC174" i="45"/>
  <c r="AN173" i="45" l="1"/>
  <c r="BI173" i="45" s="1"/>
  <c r="AE173" i="45"/>
  <c r="AF173" i="45"/>
  <c r="AM173" i="45" l="1"/>
  <c r="AW173" i="45" l="1"/>
  <c r="AT173" i="45" s="1"/>
  <c r="AU173" i="45"/>
  <c r="AP173" i="45" s="1"/>
  <c r="AV173" i="45"/>
  <c r="AQ173" i="45" s="1"/>
  <c r="BH173" i="45"/>
  <c r="BQ173" i="45" l="1"/>
  <c r="BL173" i="45" s="1"/>
  <c r="BP173" i="45"/>
  <c r="BK173" i="45" s="1"/>
  <c r="BR173" i="45"/>
  <c r="BO173" i="45" s="1"/>
  <c r="BD173" i="45"/>
  <c r="Q173" i="45" s="1"/>
  <c r="P174" i="45" s="1"/>
  <c r="BY173" i="45" l="1"/>
  <c r="R174" i="45"/>
  <c r="AB174" i="45" l="1"/>
  <c r="AD174" i="45" s="1"/>
  <c r="S174" i="45"/>
  <c r="T174" i="45"/>
  <c r="AC175" i="45"/>
  <c r="AN174" i="45" l="1"/>
  <c r="BI174" i="45" s="1"/>
  <c r="AE174" i="45"/>
  <c r="AF174" i="45"/>
  <c r="AM174" i="45" l="1"/>
  <c r="AW174" i="45" l="1"/>
  <c r="AT174" i="45" s="1"/>
  <c r="AV174" i="45"/>
  <c r="AQ174" i="45" s="1"/>
  <c r="AU174" i="45"/>
  <c r="AP174" i="45" s="1"/>
  <c r="BH174" i="45"/>
  <c r="BD174" i="45" l="1"/>
  <c r="Q174" i="45" s="1"/>
  <c r="P175" i="45" s="1"/>
  <c r="R175" i="45" s="1"/>
  <c r="BR174" i="45"/>
  <c r="BO174" i="45" s="1"/>
  <c r="BQ174" i="45"/>
  <c r="BL174" i="45" s="1"/>
  <c r="BP174" i="45"/>
  <c r="BK174" i="45" s="1"/>
  <c r="BY174" i="45" l="1"/>
  <c r="S175" i="45"/>
  <c r="T175" i="45"/>
  <c r="AB175" i="45"/>
  <c r="AD175" i="45" s="1"/>
  <c r="AC176" i="45"/>
  <c r="AN175" i="45" l="1"/>
  <c r="BI175" i="45" s="1"/>
  <c r="AE175" i="45"/>
  <c r="AF175" i="45"/>
  <c r="AM175" i="45" l="1"/>
  <c r="AV175" i="45" l="1"/>
  <c r="AQ175" i="45" s="1"/>
  <c r="AU175" i="45"/>
  <c r="AP175" i="45" s="1"/>
  <c r="BH175" i="45"/>
  <c r="AW175" i="45"/>
  <c r="AT175" i="45" s="1"/>
  <c r="BD175" i="45" l="1"/>
  <c r="Q175" i="45" s="1"/>
  <c r="P176" i="45" s="1"/>
  <c r="R176" i="45" s="1"/>
  <c r="BQ175" i="45"/>
  <c r="BL175" i="45" s="1"/>
  <c r="BP175" i="45"/>
  <c r="BK175" i="45" s="1"/>
  <c r="BR175" i="45"/>
  <c r="BO175" i="45" s="1"/>
  <c r="BY175" i="45" l="1"/>
  <c r="T176" i="45"/>
  <c r="AB176" i="45"/>
  <c r="AD176" i="45" s="1"/>
  <c r="S176" i="45"/>
  <c r="AC177" i="45"/>
  <c r="AN176" i="45" l="1"/>
  <c r="BI176" i="45" s="1"/>
  <c r="AE176" i="45"/>
  <c r="AF176" i="45"/>
  <c r="AM176" i="45" l="1"/>
  <c r="BH176" i="45" l="1"/>
  <c r="AV176" i="45"/>
  <c r="AQ176" i="45" s="1"/>
  <c r="AU176" i="45"/>
  <c r="AP176" i="45" s="1"/>
  <c r="AW176" i="45"/>
  <c r="AT176" i="45" s="1"/>
  <c r="BD176" i="45" l="1"/>
  <c r="Q176" i="45" s="1"/>
  <c r="P177" i="45" s="1"/>
  <c r="R177" i="45" s="1"/>
  <c r="BQ176" i="45"/>
  <c r="BL176" i="45" s="1"/>
  <c r="BR176" i="45"/>
  <c r="BO176" i="45" s="1"/>
  <c r="BP176" i="45"/>
  <c r="BK176" i="45" s="1"/>
  <c r="AB177" i="45" l="1"/>
  <c r="AD177" i="45" s="1"/>
  <c r="S177" i="45"/>
  <c r="T177" i="45"/>
  <c r="BY176" i="45"/>
  <c r="AC178" i="45"/>
  <c r="AN177" i="45" l="1"/>
  <c r="BI177" i="45" s="1"/>
  <c r="AE177" i="45"/>
  <c r="AF177" i="45"/>
  <c r="AM177" i="45" l="1"/>
  <c r="AU177" i="45" l="1"/>
  <c r="AP177" i="45" s="1"/>
  <c r="AV177" i="45"/>
  <c r="AQ177" i="45" s="1"/>
  <c r="AW177" i="45"/>
  <c r="AT177" i="45" s="1"/>
  <c r="BH177" i="45"/>
  <c r="BD177" i="45" l="1"/>
  <c r="Q177" i="45" s="1"/>
  <c r="P178" i="45" s="1"/>
  <c r="BQ177" i="45"/>
  <c r="BL177" i="45" s="1"/>
  <c r="BR177" i="45"/>
  <c r="BO177" i="45" s="1"/>
  <c r="BP177" i="45"/>
  <c r="BK177" i="45" s="1"/>
  <c r="R178" i="45" l="1"/>
  <c r="BY177" i="45"/>
  <c r="T178" i="45" l="1"/>
  <c r="S178" i="45"/>
  <c r="AB178" i="45"/>
  <c r="AD178" i="45" s="1"/>
  <c r="AC179" i="45"/>
  <c r="AN178" i="45" l="1"/>
  <c r="BI178" i="45" s="1"/>
  <c r="AE178" i="45"/>
  <c r="AF178" i="45"/>
  <c r="AM178" i="45" l="1"/>
  <c r="BH178" i="45" l="1"/>
  <c r="AV178" i="45"/>
  <c r="AQ178" i="45" s="1"/>
  <c r="AU178" i="45"/>
  <c r="AP178" i="45" s="1"/>
  <c r="AW178" i="45"/>
  <c r="AT178" i="45" s="1"/>
  <c r="BD178" i="45" l="1"/>
  <c r="Q178" i="45" s="1"/>
  <c r="P179" i="45" s="1"/>
  <c r="R179" i="45" s="1"/>
  <c r="BR178" i="45"/>
  <c r="BO178" i="45" s="1"/>
  <c r="BQ178" i="45"/>
  <c r="BL178" i="45" s="1"/>
  <c r="BP178" i="45"/>
  <c r="BK178" i="45" s="1"/>
  <c r="S179" i="45" l="1"/>
  <c r="AB179" i="45"/>
  <c r="AD179" i="45" s="1"/>
  <c r="T179" i="45"/>
  <c r="BY178" i="45"/>
  <c r="AC180" i="45"/>
  <c r="AN179" i="45" l="1"/>
  <c r="BI179" i="45" s="1"/>
  <c r="AE179" i="45"/>
  <c r="AF179" i="45"/>
  <c r="AM179" i="45" l="1"/>
  <c r="AU179" i="45" l="1"/>
  <c r="AP179" i="45" s="1"/>
  <c r="AW179" i="45"/>
  <c r="AT179" i="45" s="1"/>
  <c r="BH179" i="45"/>
  <c r="AV179" i="45"/>
  <c r="AQ179" i="45" s="1"/>
  <c r="BD179" i="45" l="1"/>
  <c r="Q179" i="45" s="1"/>
  <c r="P180" i="45" s="1"/>
  <c r="BP179" i="45"/>
  <c r="BK179" i="45" s="1"/>
  <c r="BR179" i="45"/>
  <c r="BO179" i="45" s="1"/>
  <c r="BQ179" i="45"/>
  <c r="BL179" i="45" s="1"/>
  <c r="R180" i="45" l="1"/>
  <c r="BY179" i="45"/>
  <c r="AB180" i="45" l="1"/>
  <c r="AD180" i="45" s="1"/>
  <c r="T180" i="45"/>
  <c r="S180" i="45"/>
  <c r="AC181" i="45"/>
  <c r="AN180" i="45" l="1"/>
  <c r="BI180" i="45" s="1"/>
  <c r="AE180" i="45"/>
  <c r="AF180" i="45"/>
  <c r="AM180" i="45" l="1"/>
  <c r="BH180" i="45" l="1"/>
  <c r="AU180" i="45"/>
  <c r="AP180" i="45" s="1"/>
  <c r="AV180" i="45"/>
  <c r="AQ180" i="45" s="1"/>
  <c r="AW180" i="45"/>
  <c r="AT180" i="45" s="1"/>
  <c r="BD180" i="45" l="1"/>
  <c r="Q180" i="45" s="1"/>
  <c r="P181" i="45" s="1"/>
  <c r="R181" i="45" s="1"/>
  <c r="BQ180" i="45"/>
  <c r="BL180" i="45" s="1"/>
  <c r="BP180" i="45"/>
  <c r="BK180" i="45" s="1"/>
  <c r="BR180" i="45"/>
  <c r="BO180" i="45" s="1"/>
  <c r="BY180" i="45" l="1"/>
  <c r="T181" i="45"/>
  <c r="S181" i="45"/>
  <c r="AB181" i="45"/>
  <c r="AD181" i="45" s="1"/>
  <c r="AC182" i="45"/>
  <c r="AN181" i="45" l="1"/>
  <c r="BI181" i="45" s="1"/>
  <c r="AE181" i="45"/>
  <c r="AF181" i="45"/>
  <c r="AM181" i="45" l="1"/>
  <c r="AW181" i="45" l="1"/>
  <c r="AT181" i="45" s="1"/>
  <c r="AU181" i="45"/>
  <c r="AP181" i="45" s="1"/>
  <c r="BH181" i="45"/>
  <c r="AV181" i="45"/>
  <c r="AQ181" i="45" s="1"/>
  <c r="BD181" i="45" l="1"/>
  <c r="Q181" i="45" s="1"/>
  <c r="P182" i="45" s="1"/>
  <c r="R182" i="45" s="1"/>
  <c r="BQ181" i="45"/>
  <c r="BL181" i="45" s="1"/>
  <c r="BP181" i="45"/>
  <c r="BK181" i="45" s="1"/>
  <c r="BR181" i="45"/>
  <c r="BO181" i="45" s="1"/>
  <c r="BY181" i="45" l="1"/>
  <c r="T182" i="45"/>
  <c r="S182" i="45"/>
  <c r="AB182" i="45"/>
  <c r="AD182" i="45" s="1"/>
  <c r="AC183" i="45"/>
  <c r="AN182" i="45" l="1"/>
  <c r="BI182" i="45" s="1"/>
  <c r="AE182" i="45"/>
  <c r="AF182" i="45"/>
  <c r="AM182" i="45" l="1"/>
  <c r="AU182" i="45" l="1"/>
  <c r="AP182" i="45" s="1"/>
  <c r="AW182" i="45"/>
  <c r="AT182" i="45" s="1"/>
  <c r="BH182" i="45"/>
  <c r="AV182" i="45"/>
  <c r="AQ182" i="45" s="1"/>
  <c r="BD182" i="45" l="1"/>
  <c r="Q182" i="45" s="1"/>
  <c r="P183" i="45" s="1"/>
  <c r="BQ182" i="45"/>
  <c r="BL182" i="45" s="1"/>
  <c r="BP182" i="45"/>
  <c r="BK182" i="45" s="1"/>
  <c r="BR182" i="45"/>
  <c r="BO182" i="45" s="1"/>
  <c r="BY182" i="45" l="1"/>
  <c r="R183" i="45"/>
  <c r="T183" i="45" l="1"/>
  <c r="S183" i="45"/>
  <c r="AB183" i="45"/>
  <c r="AD183" i="45" s="1"/>
  <c r="AC184" i="45"/>
  <c r="AN183" i="45" l="1"/>
  <c r="BI183" i="45" s="1"/>
  <c r="AE183" i="45"/>
  <c r="AF183" i="45"/>
  <c r="AM183" i="45" l="1"/>
  <c r="AW183" i="45" l="1"/>
  <c r="AT183" i="45" s="1"/>
  <c r="BH183" i="45"/>
  <c r="AU183" i="45"/>
  <c r="AP183" i="45" s="1"/>
  <c r="AV183" i="45"/>
  <c r="AQ183" i="45" s="1"/>
  <c r="BD183" i="45" l="1"/>
  <c r="Q183" i="45" s="1"/>
  <c r="P184" i="45" s="1"/>
  <c r="R184" i="45" s="1"/>
  <c r="BR183" i="45"/>
  <c r="BO183" i="45" s="1"/>
  <c r="BQ183" i="45"/>
  <c r="BL183" i="45" s="1"/>
  <c r="BP183" i="45"/>
  <c r="BK183" i="45" s="1"/>
  <c r="BY183" i="45" l="1"/>
  <c r="S184" i="45"/>
  <c r="T184" i="45"/>
  <c r="AB184" i="45"/>
  <c r="AD184" i="45" s="1"/>
  <c r="AC185" i="45"/>
  <c r="AN184" i="45" l="1"/>
  <c r="BI184" i="45" s="1"/>
  <c r="AE184" i="45"/>
  <c r="AF184" i="45"/>
  <c r="AM184" i="45" l="1"/>
  <c r="BH184" i="45" l="1"/>
  <c r="AU184" i="45"/>
  <c r="AP184" i="45" s="1"/>
  <c r="AV184" i="45"/>
  <c r="AQ184" i="45" s="1"/>
  <c r="AW184" i="45"/>
  <c r="AT184" i="45" s="1"/>
  <c r="BD184" i="45" l="1"/>
  <c r="Q184" i="45" s="1"/>
  <c r="P185" i="45" s="1"/>
  <c r="BR184" i="45"/>
  <c r="BO184" i="45" s="1"/>
  <c r="BP184" i="45"/>
  <c r="BK184" i="45" s="1"/>
  <c r="BQ184" i="45"/>
  <c r="BL184" i="45" s="1"/>
  <c r="R185" i="45" l="1"/>
  <c r="BY184" i="45"/>
  <c r="AB185" i="45" l="1"/>
  <c r="AD185" i="45" s="1"/>
  <c r="S185" i="45"/>
  <c r="T185" i="45"/>
  <c r="AC186" i="45"/>
  <c r="AN185" i="45" l="1"/>
  <c r="BI185" i="45" s="1"/>
  <c r="AE185" i="45"/>
  <c r="AF185" i="45"/>
  <c r="AM185" i="45" l="1"/>
  <c r="BH185" i="45" l="1"/>
  <c r="AU185" i="45"/>
  <c r="AP185" i="45" s="1"/>
  <c r="AW185" i="45"/>
  <c r="AT185" i="45" s="1"/>
  <c r="AV185" i="45"/>
  <c r="AQ185" i="45" s="1"/>
  <c r="BD185" i="45" l="1"/>
  <c r="Q185" i="45" s="1"/>
  <c r="P186" i="45" s="1"/>
  <c r="BP185" i="45"/>
  <c r="BK185" i="45" s="1"/>
  <c r="BQ185" i="45"/>
  <c r="BL185" i="45" s="1"/>
  <c r="BR185" i="45"/>
  <c r="BO185" i="45" s="1"/>
  <c r="BY185" i="45" l="1"/>
  <c r="R186" i="45"/>
  <c r="S186" i="45" l="1"/>
  <c r="T186" i="45"/>
  <c r="AB186" i="45"/>
  <c r="AD186" i="45" s="1"/>
  <c r="AC187" i="45"/>
  <c r="AN186" i="45" l="1"/>
  <c r="BI186" i="45" s="1"/>
  <c r="AE186" i="45"/>
  <c r="AF186" i="45"/>
  <c r="AM186" i="45" l="1"/>
  <c r="AV186" i="45" l="1"/>
  <c r="AQ186" i="45" s="1"/>
  <c r="AW186" i="45"/>
  <c r="AT186" i="45" s="1"/>
  <c r="BH186" i="45"/>
  <c r="AU186" i="45"/>
  <c r="AP186" i="45" s="1"/>
  <c r="BD186" i="45" l="1"/>
  <c r="Q186" i="45" s="1"/>
  <c r="P187" i="45" s="1"/>
  <c r="R187" i="45" s="1"/>
  <c r="BR186" i="45"/>
  <c r="BO186" i="45" s="1"/>
  <c r="BQ186" i="45"/>
  <c r="BL186" i="45" s="1"/>
  <c r="BP186" i="45"/>
  <c r="BK186" i="45" s="1"/>
  <c r="T187" i="45" l="1"/>
  <c r="S187" i="45"/>
  <c r="AB187" i="45"/>
  <c r="AD187" i="45" s="1"/>
  <c r="BY186" i="45"/>
  <c r="AC188" i="45"/>
  <c r="AN187" i="45" l="1"/>
  <c r="BI187" i="45" s="1"/>
  <c r="AE187" i="45"/>
  <c r="AF187" i="45"/>
  <c r="AM187" i="45" l="1"/>
  <c r="AV187" i="45" l="1"/>
  <c r="AQ187" i="45" s="1"/>
  <c r="BH187" i="45"/>
  <c r="AU187" i="45"/>
  <c r="AP187" i="45" s="1"/>
  <c r="AW187" i="45"/>
  <c r="AT187" i="45" s="1"/>
  <c r="BD187" i="45" l="1"/>
  <c r="Q187" i="45" s="1"/>
  <c r="P188" i="45" s="1"/>
  <c r="R188" i="45" s="1"/>
  <c r="BQ187" i="45"/>
  <c r="BL187" i="45" s="1"/>
  <c r="BP187" i="45"/>
  <c r="BK187" i="45" s="1"/>
  <c r="BR187" i="45"/>
  <c r="BO187" i="45" s="1"/>
  <c r="BY187" i="45" l="1"/>
  <c r="S188" i="45"/>
  <c r="T188" i="45"/>
  <c r="AB188" i="45"/>
  <c r="AD188" i="45" s="1"/>
  <c r="AC189" i="45"/>
  <c r="AN188" i="45" l="1"/>
  <c r="BI188" i="45" s="1"/>
  <c r="AE188" i="45"/>
  <c r="AF188" i="45"/>
  <c r="AM188" i="45" l="1"/>
  <c r="AW188" i="45" l="1"/>
  <c r="AT188" i="45" s="1"/>
  <c r="BH188" i="45"/>
  <c r="AU188" i="45"/>
  <c r="AP188" i="45" s="1"/>
  <c r="AV188" i="45"/>
  <c r="AQ188" i="45" s="1"/>
  <c r="BD188" i="45" l="1"/>
  <c r="Q188" i="45" s="1"/>
  <c r="P189" i="45" s="1"/>
  <c r="BP188" i="45"/>
  <c r="BK188" i="45" s="1"/>
  <c r="BR188" i="45"/>
  <c r="BO188" i="45" s="1"/>
  <c r="BQ188" i="45"/>
  <c r="BL188" i="45" s="1"/>
  <c r="BY188" i="45" l="1"/>
  <c r="R189" i="45"/>
  <c r="AB189" i="45" l="1"/>
  <c r="AD189" i="45" s="1"/>
  <c r="S189" i="45"/>
  <c r="T189" i="45"/>
  <c r="AC190" i="45"/>
  <c r="AN189" i="45" l="1"/>
  <c r="BI189" i="45" s="1"/>
  <c r="AE189" i="45"/>
  <c r="AF189" i="45"/>
  <c r="AM189" i="45" l="1"/>
  <c r="BH189" i="45" l="1"/>
  <c r="AV189" i="45"/>
  <c r="AQ189" i="45" s="1"/>
  <c r="AU189" i="45"/>
  <c r="AP189" i="45" s="1"/>
  <c r="AW189" i="45"/>
  <c r="AT189" i="45" s="1"/>
  <c r="BD189" i="45" l="1"/>
  <c r="Q189" i="45" s="1"/>
  <c r="P190" i="45" s="1"/>
  <c r="R190" i="45" s="1"/>
  <c r="BR189" i="45"/>
  <c r="BO189" i="45" s="1"/>
  <c r="BQ189" i="45"/>
  <c r="BL189" i="45" s="1"/>
  <c r="BP189" i="45"/>
  <c r="BK189" i="45" s="1"/>
  <c r="BY189" i="45" l="1"/>
  <c r="T190" i="45"/>
  <c r="S190" i="45"/>
  <c r="AB190" i="45"/>
  <c r="AD190" i="45" s="1"/>
  <c r="AC191" i="45"/>
  <c r="AN190" i="45" l="1"/>
  <c r="BI190" i="45" s="1"/>
  <c r="AE190" i="45"/>
  <c r="AF190" i="45"/>
  <c r="AM190" i="45" l="1"/>
  <c r="AU190" i="45" l="1"/>
  <c r="AP190" i="45" s="1"/>
  <c r="AW190" i="45"/>
  <c r="AT190" i="45" s="1"/>
  <c r="BH190" i="45"/>
  <c r="AV190" i="45"/>
  <c r="AQ190" i="45" s="1"/>
  <c r="BD190" i="45" l="1"/>
  <c r="Q190" i="45" s="1"/>
  <c r="P191" i="45" s="1"/>
  <c r="R191" i="45" s="1"/>
  <c r="BQ190" i="45"/>
  <c r="BL190" i="45" s="1"/>
  <c r="BR190" i="45"/>
  <c r="BO190" i="45" s="1"/>
  <c r="BP190" i="45"/>
  <c r="BK190" i="45" s="1"/>
  <c r="BY190" i="45" l="1"/>
  <c r="S191" i="45"/>
  <c r="T191" i="45"/>
  <c r="AB191" i="45"/>
  <c r="AD191" i="45" s="1"/>
  <c r="AC192" i="45"/>
  <c r="AN191" i="45" l="1"/>
  <c r="BI191" i="45" s="1"/>
  <c r="AE191" i="45"/>
  <c r="AF191" i="45"/>
  <c r="AM191" i="45" l="1"/>
  <c r="AV191" i="45" l="1"/>
  <c r="AQ191" i="45" s="1"/>
  <c r="AU191" i="45"/>
  <c r="AP191" i="45" s="1"/>
  <c r="AW191" i="45"/>
  <c r="AT191" i="45" s="1"/>
  <c r="BH191" i="45"/>
  <c r="BR191" i="45" l="1"/>
  <c r="BO191" i="45" s="1"/>
  <c r="BP191" i="45"/>
  <c r="BK191" i="45" s="1"/>
  <c r="BQ191" i="45"/>
  <c r="BL191" i="45" s="1"/>
  <c r="BD191" i="45"/>
  <c r="Q191" i="45" s="1"/>
  <c r="P192" i="45" s="1"/>
  <c r="BY191" i="45" l="1"/>
  <c r="R192" i="45"/>
  <c r="S192" i="45" l="1"/>
  <c r="AB192" i="45"/>
  <c r="AD192" i="45" s="1"/>
  <c r="T192" i="45"/>
  <c r="AC193" i="45"/>
  <c r="AN192" i="45" l="1"/>
  <c r="BI192" i="45" s="1"/>
  <c r="AE192" i="45"/>
  <c r="AF192" i="45"/>
  <c r="AM192" i="45" l="1"/>
  <c r="AW192" i="45" l="1"/>
  <c r="AT192" i="45" s="1"/>
  <c r="BH192" i="45"/>
  <c r="AU192" i="45"/>
  <c r="AP192" i="45" s="1"/>
  <c r="AV192" i="45"/>
  <c r="AQ192" i="45" s="1"/>
  <c r="BD192" i="45" l="1"/>
  <c r="Q192" i="45" s="1"/>
  <c r="P193" i="45" s="1"/>
  <c r="BR192" i="45"/>
  <c r="BO192" i="45" s="1"/>
  <c r="BP192" i="45"/>
  <c r="BK192" i="45" s="1"/>
  <c r="BQ192" i="45"/>
  <c r="BL192" i="45" s="1"/>
  <c r="BY192" i="45" l="1"/>
  <c r="R193" i="45"/>
  <c r="T193" i="45" l="1"/>
  <c r="S193" i="45"/>
  <c r="AB193" i="45"/>
  <c r="AD193" i="45" s="1"/>
  <c r="AC194" i="45"/>
  <c r="AN193" i="45" l="1"/>
  <c r="BI193" i="45" s="1"/>
  <c r="AE193" i="45"/>
  <c r="AF193" i="45"/>
  <c r="AM193" i="45" l="1"/>
  <c r="BH193" i="45" l="1"/>
  <c r="AU193" i="45"/>
  <c r="AP193" i="45" s="1"/>
  <c r="AW193" i="45"/>
  <c r="AT193" i="45" s="1"/>
  <c r="AV193" i="45"/>
  <c r="AQ193" i="45" s="1"/>
  <c r="BD193" i="45" l="1"/>
  <c r="Q193" i="45" s="1"/>
  <c r="P194" i="45" s="1"/>
  <c r="BR193" i="45"/>
  <c r="BO193" i="45" s="1"/>
  <c r="BP193" i="45"/>
  <c r="BK193" i="45" s="1"/>
  <c r="BQ193" i="45"/>
  <c r="BL193" i="45" s="1"/>
  <c r="BY193" i="45" l="1"/>
  <c r="R194" i="45"/>
  <c r="T194" i="45" l="1"/>
  <c r="S194" i="45"/>
  <c r="AB194" i="45"/>
  <c r="AD194" i="45" s="1"/>
  <c r="AC195" i="45"/>
  <c r="AN194" i="45" l="1"/>
  <c r="BI194" i="45" s="1"/>
  <c r="AE194" i="45"/>
  <c r="AF194" i="45"/>
  <c r="AM194" i="45" l="1"/>
  <c r="AU194" i="45" l="1"/>
  <c r="AP194" i="45" s="1"/>
  <c r="AV194" i="45"/>
  <c r="AQ194" i="45" s="1"/>
  <c r="BH194" i="45"/>
  <c r="AW194" i="45"/>
  <c r="AT194" i="45" s="1"/>
  <c r="BR194" i="45" l="1"/>
  <c r="BO194" i="45" s="1"/>
  <c r="BQ194" i="45"/>
  <c r="BL194" i="45" s="1"/>
  <c r="BP194" i="45"/>
  <c r="BK194" i="45" s="1"/>
  <c r="BD194" i="45"/>
  <c r="Q194" i="45" s="1"/>
  <c r="P195" i="45" s="1"/>
  <c r="BY194" i="45" l="1"/>
  <c r="R195" i="45"/>
  <c r="T195" i="45" l="1"/>
  <c r="S195" i="45"/>
  <c r="AB195" i="45"/>
  <c r="AD195" i="45" s="1"/>
  <c r="AC196" i="45"/>
  <c r="AN195" i="45" l="1"/>
  <c r="BI195" i="45" s="1"/>
  <c r="AE195" i="45"/>
  <c r="AF195" i="45"/>
  <c r="AM195" i="45" l="1"/>
  <c r="AV195" i="45" l="1"/>
  <c r="AQ195" i="45" s="1"/>
  <c r="AU195" i="45"/>
  <c r="AP195" i="45" s="1"/>
  <c r="AW195" i="45"/>
  <c r="AT195" i="45" s="1"/>
  <c r="BH195" i="45"/>
  <c r="BR195" i="45" l="1"/>
  <c r="BO195" i="45" s="1"/>
  <c r="BQ195" i="45"/>
  <c r="BL195" i="45" s="1"/>
  <c r="BP195" i="45"/>
  <c r="BK195" i="45" s="1"/>
  <c r="BD195" i="45"/>
  <c r="Q195" i="45" s="1"/>
  <c r="P196" i="45" s="1"/>
  <c r="BY195" i="45" l="1"/>
  <c r="R196" i="45"/>
  <c r="T196" i="45" l="1"/>
  <c r="S196" i="45"/>
  <c r="AB196" i="45"/>
  <c r="AD196" i="45" s="1"/>
  <c r="AC197" i="45"/>
  <c r="AN196" i="45" l="1"/>
  <c r="BI196" i="45" s="1"/>
  <c r="AE196" i="45"/>
  <c r="AF196" i="45"/>
  <c r="AM196" i="45" l="1"/>
  <c r="AV196" i="45" l="1"/>
  <c r="AQ196" i="45" s="1"/>
  <c r="AW196" i="45"/>
  <c r="AT196" i="45" s="1"/>
  <c r="BH196" i="45"/>
  <c r="AU196" i="45"/>
  <c r="AP196" i="45" s="1"/>
  <c r="BD196" i="45" l="1"/>
  <c r="Q196" i="45" s="1"/>
  <c r="P197" i="45" s="1"/>
  <c r="BR196" i="45"/>
  <c r="BO196" i="45" s="1"/>
  <c r="BQ196" i="45"/>
  <c r="BL196" i="45" s="1"/>
  <c r="BP196" i="45"/>
  <c r="BK196" i="45" s="1"/>
  <c r="BY196" i="45" l="1"/>
  <c r="R197" i="45"/>
  <c r="S197" i="45" l="1"/>
  <c r="T197" i="45"/>
  <c r="AB197" i="45"/>
  <c r="AD197" i="45" s="1"/>
  <c r="AC198" i="45"/>
  <c r="AN197" i="45" l="1"/>
  <c r="BI197" i="45" s="1"/>
  <c r="AE197" i="45"/>
  <c r="AF197" i="45"/>
  <c r="AM197" i="45" l="1"/>
  <c r="AW197" i="45" l="1"/>
  <c r="AT197" i="45" s="1"/>
  <c r="AU197" i="45"/>
  <c r="AP197" i="45" s="1"/>
  <c r="BH197" i="45"/>
  <c r="AV197" i="45"/>
  <c r="AQ197" i="45" s="1"/>
  <c r="BD197" i="45" l="1"/>
  <c r="Q197" i="45" s="1"/>
  <c r="P198" i="45" s="1"/>
  <c r="R198" i="45" s="1"/>
  <c r="BQ197" i="45"/>
  <c r="BL197" i="45" s="1"/>
  <c r="BP197" i="45"/>
  <c r="BK197" i="45" s="1"/>
  <c r="BR197" i="45"/>
  <c r="BO197" i="45" s="1"/>
  <c r="BY197" i="45" l="1"/>
  <c r="AB198" i="45"/>
  <c r="AD198" i="45" s="1"/>
  <c r="S198" i="45"/>
  <c r="T198" i="45"/>
  <c r="AC199" i="45"/>
  <c r="AN198" i="45" l="1"/>
  <c r="BI198" i="45" s="1"/>
  <c r="AE198" i="45"/>
  <c r="AF198" i="45"/>
  <c r="AM198" i="45" l="1"/>
  <c r="AW198" i="45" l="1"/>
  <c r="AT198" i="45" s="1"/>
  <c r="AU198" i="45"/>
  <c r="AP198" i="45" s="1"/>
  <c r="BH198" i="45"/>
  <c r="AV198" i="45"/>
  <c r="AQ198" i="45" s="1"/>
  <c r="BD198" i="45" l="1"/>
  <c r="Q198" i="45" s="1"/>
  <c r="P199" i="45" s="1"/>
  <c r="R199" i="45" s="1"/>
  <c r="BR198" i="45"/>
  <c r="BO198" i="45" s="1"/>
  <c r="BQ198" i="45"/>
  <c r="BL198" i="45" s="1"/>
  <c r="BP198" i="45"/>
  <c r="BK198" i="45" s="1"/>
  <c r="S199" i="45" l="1"/>
  <c r="AB199" i="45"/>
  <c r="AD199" i="45" s="1"/>
  <c r="T199" i="45"/>
  <c r="BY198" i="45"/>
  <c r="AC200" i="45"/>
  <c r="AN199" i="45" l="1"/>
  <c r="BI199" i="45" s="1"/>
  <c r="AE199" i="45"/>
  <c r="AF199" i="45"/>
  <c r="AM199" i="45" l="1"/>
  <c r="BH199" i="45" l="1"/>
  <c r="AV199" i="45"/>
  <c r="AQ199" i="45" s="1"/>
  <c r="AU199" i="45"/>
  <c r="AP199" i="45" s="1"/>
  <c r="AW199" i="45"/>
  <c r="AT199" i="45" s="1"/>
  <c r="BD199" i="45" l="1"/>
  <c r="Q199" i="45" s="1"/>
  <c r="P200" i="45" s="1"/>
  <c r="BR199" i="45"/>
  <c r="BO199" i="45" s="1"/>
  <c r="BQ199" i="45"/>
  <c r="BL199" i="45" s="1"/>
  <c r="BP199" i="45"/>
  <c r="BK199" i="45" s="1"/>
  <c r="BY199" i="45" l="1"/>
  <c r="R200" i="45"/>
  <c r="S200" i="45" l="1"/>
  <c r="T200" i="45"/>
  <c r="AB200" i="45"/>
  <c r="AD200" i="45" s="1"/>
  <c r="AC201" i="45"/>
  <c r="AN200" i="45" l="1"/>
  <c r="BI200" i="45" s="1"/>
  <c r="AE200" i="45"/>
  <c r="AF200" i="45"/>
  <c r="AM200" i="45" l="1"/>
  <c r="AW200" i="45" l="1"/>
  <c r="AT200" i="45" s="1"/>
  <c r="BH200" i="45"/>
  <c r="AU200" i="45"/>
  <c r="AP200" i="45" s="1"/>
  <c r="AV200" i="45"/>
  <c r="AQ200" i="45" s="1"/>
  <c r="BD200" i="45" l="1"/>
  <c r="Q200" i="45" s="1"/>
  <c r="P201" i="45" s="1"/>
  <c r="R201" i="45" s="1"/>
  <c r="BQ200" i="45"/>
  <c r="BL200" i="45" s="1"/>
  <c r="BR200" i="45"/>
  <c r="BO200" i="45" s="1"/>
  <c r="BP200" i="45"/>
  <c r="BK200" i="45" s="1"/>
  <c r="BY200" i="45" l="1"/>
  <c r="T201" i="45"/>
  <c r="S201" i="45"/>
  <c r="AB201" i="45"/>
  <c r="AD201" i="45" s="1"/>
  <c r="AC202" i="45"/>
  <c r="AN201" i="45" l="1"/>
  <c r="BI201" i="45" s="1"/>
  <c r="AE201" i="45"/>
  <c r="AF201" i="45"/>
  <c r="AM201" i="45" l="1"/>
  <c r="AU201" i="45" l="1"/>
  <c r="AP201" i="45" s="1"/>
  <c r="AV201" i="45"/>
  <c r="AQ201" i="45" s="1"/>
  <c r="AW201" i="45"/>
  <c r="AT201" i="45" s="1"/>
  <c r="BH201" i="45"/>
  <c r="BD201" i="45" l="1"/>
  <c r="Q201" i="45" s="1"/>
  <c r="P202" i="45" s="1"/>
  <c r="BR201" i="45"/>
  <c r="BO201" i="45" s="1"/>
  <c r="BP201" i="45"/>
  <c r="BK201" i="45" s="1"/>
  <c r="BQ201" i="45"/>
  <c r="BL201" i="45" s="1"/>
  <c r="R202" i="45" l="1"/>
  <c r="BY201" i="45"/>
  <c r="S202" i="45" l="1"/>
  <c r="AB202" i="45"/>
  <c r="AD202" i="45" s="1"/>
  <c r="T202" i="45"/>
  <c r="AC203" i="45"/>
  <c r="AN202" i="45" l="1"/>
  <c r="BI202" i="45" s="1"/>
  <c r="AE202" i="45"/>
  <c r="AF202" i="45"/>
  <c r="AM202" i="45" l="1"/>
  <c r="AU202" i="45" l="1"/>
  <c r="AP202" i="45" s="1"/>
  <c r="AV202" i="45"/>
  <c r="AQ202" i="45" s="1"/>
  <c r="AW202" i="45"/>
  <c r="AT202" i="45" s="1"/>
  <c r="BH202" i="45"/>
  <c r="BD202" i="45" l="1"/>
  <c r="Q202" i="45" s="1"/>
  <c r="P203" i="45" s="1"/>
  <c r="BP202" i="45"/>
  <c r="BK202" i="45" s="1"/>
  <c r="BR202" i="45"/>
  <c r="BO202" i="45" s="1"/>
  <c r="BQ202" i="45"/>
  <c r="BL202" i="45" s="1"/>
  <c r="BY202" i="45" l="1"/>
  <c r="R203" i="45"/>
  <c r="S203" i="45" l="1"/>
  <c r="T203" i="45"/>
  <c r="AB203" i="45"/>
  <c r="AD203" i="45" s="1"/>
  <c r="AC204" i="45"/>
  <c r="AN203" i="45" l="1"/>
  <c r="BI203" i="45" s="1"/>
  <c r="AE203" i="45"/>
  <c r="AF203" i="45"/>
  <c r="AM203" i="45" l="1"/>
  <c r="AV203" i="45" l="1"/>
  <c r="AQ203" i="45" s="1"/>
  <c r="AU203" i="45"/>
  <c r="AP203" i="45" s="1"/>
  <c r="AW203" i="45"/>
  <c r="AT203" i="45" s="1"/>
  <c r="BH203" i="45"/>
  <c r="BD203" i="45" l="1"/>
  <c r="Q203" i="45" s="1"/>
  <c r="P204" i="45" s="1"/>
  <c r="BR203" i="45"/>
  <c r="BO203" i="45" s="1"/>
  <c r="BQ203" i="45"/>
  <c r="BL203" i="45" s="1"/>
  <c r="BP203" i="45"/>
  <c r="BK203" i="45" s="1"/>
  <c r="BY203" i="45" l="1"/>
  <c r="R204" i="45"/>
  <c r="AB204" i="45" l="1"/>
  <c r="AD204" i="45" s="1"/>
  <c r="T204" i="45"/>
  <c r="S204" i="45"/>
  <c r="AC205" i="45"/>
  <c r="AN204" i="45" l="1"/>
  <c r="BI204" i="45" s="1"/>
  <c r="AE204" i="45"/>
  <c r="AF204" i="45"/>
  <c r="AM204" i="45" l="1"/>
  <c r="AU204" i="45" l="1"/>
  <c r="AP204" i="45" s="1"/>
  <c r="AW204" i="45"/>
  <c r="AT204" i="45" s="1"/>
  <c r="AV204" i="45"/>
  <c r="AQ204" i="45" s="1"/>
  <c r="BH204" i="45"/>
  <c r="BD204" i="45" l="1"/>
  <c r="Q204" i="45" s="1"/>
  <c r="P205" i="45" s="1"/>
  <c r="R205" i="45" s="1"/>
  <c r="BP204" i="45"/>
  <c r="BK204" i="45" s="1"/>
  <c r="BR204" i="45"/>
  <c r="BO204" i="45" s="1"/>
  <c r="BQ204" i="45"/>
  <c r="BL204" i="45" s="1"/>
  <c r="BY204" i="45" l="1"/>
  <c r="S205" i="45"/>
  <c r="T205" i="45"/>
  <c r="AB205" i="45"/>
  <c r="AD205" i="45" s="1"/>
  <c r="AC206" i="45"/>
  <c r="AN205" i="45" l="1"/>
  <c r="BI205" i="45" s="1"/>
  <c r="AE205" i="45"/>
  <c r="AF205" i="45"/>
  <c r="AM205" i="45" l="1"/>
  <c r="BH205" i="45" l="1"/>
  <c r="AU205" i="45"/>
  <c r="AP205" i="45" s="1"/>
  <c r="AW205" i="45"/>
  <c r="AT205" i="45" s="1"/>
  <c r="AV205" i="45"/>
  <c r="AQ205" i="45" s="1"/>
  <c r="BD205" i="45" l="1"/>
  <c r="Q205" i="45" s="1"/>
  <c r="P206" i="45" s="1"/>
  <c r="BR205" i="45"/>
  <c r="BO205" i="45" s="1"/>
  <c r="BP205" i="45"/>
  <c r="BK205" i="45" s="1"/>
  <c r="BQ205" i="45"/>
  <c r="BL205" i="45" s="1"/>
  <c r="R206" i="45" l="1"/>
  <c r="BY205" i="45"/>
  <c r="S206" i="45" l="1"/>
  <c r="AB206" i="45"/>
  <c r="AD206" i="45" s="1"/>
  <c r="T206" i="45"/>
  <c r="AC207" i="45"/>
  <c r="AN206" i="45" l="1"/>
  <c r="BI206" i="45" s="1"/>
  <c r="AE206" i="45"/>
  <c r="AF206" i="45"/>
  <c r="AM206" i="45" l="1"/>
  <c r="AU206" i="45" l="1"/>
  <c r="AP206" i="45" s="1"/>
  <c r="AV206" i="45"/>
  <c r="AQ206" i="45" s="1"/>
  <c r="BH206" i="45"/>
  <c r="AW206" i="45"/>
  <c r="AT206" i="45" s="1"/>
  <c r="BD206" i="45" l="1"/>
  <c r="Q206" i="45" s="1"/>
  <c r="P207" i="45" s="1"/>
  <c r="BQ206" i="45"/>
  <c r="BL206" i="45" s="1"/>
  <c r="BR206" i="45"/>
  <c r="BO206" i="45" s="1"/>
  <c r="BP206" i="45"/>
  <c r="BK206" i="45" s="1"/>
  <c r="R207" i="45" l="1"/>
  <c r="BY206" i="45"/>
  <c r="S207" i="45" l="1"/>
  <c r="AB207" i="45"/>
  <c r="AD207" i="45" s="1"/>
  <c r="T207" i="45"/>
  <c r="AC208" i="45"/>
  <c r="AN207" i="45" l="1"/>
  <c r="BI207" i="45" s="1"/>
  <c r="AE207" i="45"/>
  <c r="AF207" i="45"/>
  <c r="AM207" i="45" l="1"/>
  <c r="AW207" i="45" l="1"/>
  <c r="AT207" i="45" s="1"/>
  <c r="AU207" i="45"/>
  <c r="AP207" i="45" s="1"/>
  <c r="AV207" i="45"/>
  <c r="AQ207" i="45" s="1"/>
  <c r="BH207" i="45"/>
  <c r="BD207" i="45" l="1"/>
  <c r="Q207" i="45" s="1"/>
  <c r="P208" i="45" s="1"/>
  <c r="BR207" i="45"/>
  <c r="BO207" i="45" s="1"/>
  <c r="BQ207" i="45"/>
  <c r="BL207" i="45" s="1"/>
  <c r="BP207" i="45"/>
  <c r="BK207" i="45" s="1"/>
  <c r="R208" i="45" l="1"/>
  <c r="BY207" i="45"/>
  <c r="S208" i="45" l="1"/>
  <c r="T208" i="45"/>
  <c r="AB208" i="45"/>
  <c r="AD208" i="45" s="1"/>
  <c r="AC209" i="45"/>
  <c r="AN208" i="45" l="1"/>
  <c r="BI208" i="45" s="1"/>
  <c r="AE208" i="45"/>
  <c r="AF208" i="45"/>
  <c r="AM208" i="45" l="1"/>
  <c r="AU208" i="45" l="1"/>
  <c r="AP208" i="45" s="1"/>
  <c r="AV208" i="45"/>
  <c r="AQ208" i="45" s="1"/>
  <c r="BH208" i="45"/>
  <c r="AW208" i="45"/>
  <c r="AT208" i="45" s="1"/>
  <c r="BD208" i="45" l="1"/>
  <c r="Q208" i="45" s="1"/>
  <c r="P209" i="45" s="1"/>
  <c r="BQ208" i="45"/>
  <c r="BL208" i="45" s="1"/>
  <c r="BR208" i="45"/>
  <c r="BO208" i="45" s="1"/>
  <c r="BP208" i="45"/>
  <c r="BK208" i="45" s="1"/>
  <c r="BY208" i="45" l="1"/>
  <c r="R209" i="45"/>
  <c r="AB209" i="45" l="1"/>
  <c r="AD209" i="45" s="1"/>
  <c r="S209" i="45"/>
  <c r="T209" i="45"/>
  <c r="AC210" i="45"/>
  <c r="AN209" i="45" l="1"/>
  <c r="BI209" i="45" s="1"/>
  <c r="AE209" i="45"/>
  <c r="AF209" i="45"/>
  <c r="AM209" i="45" l="1"/>
  <c r="BH209" i="45" l="1"/>
  <c r="AU209" i="45"/>
  <c r="AP209" i="45" s="1"/>
  <c r="AV209" i="45"/>
  <c r="AQ209" i="45" s="1"/>
  <c r="AW209" i="45"/>
  <c r="AT209" i="45" s="1"/>
  <c r="BQ209" i="45" l="1"/>
  <c r="BL209" i="45" s="1"/>
  <c r="BP209" i="45"/>
  <c r="BK209" i="45" s="1"/>
  <c r="BR209" i="45"/>
  <c r="BO209" i="45" s="1"/>
  <c r="BD209" i="45"/>
  <c r="Q209" i="45" s="1"/>
  <c r="P210" i="45" s="1"/>
  <c r="BY209" i="45" l="1"/>
  <c r="R210" i="45"/>
  <c r="T210" i="45" l="1"/>
  <c r="S210" i="45"/>
  <c r="AB210" i="45"/>
  <c r="AD210" i="45" s="1"/>
  <c r="AC211" i="45"/>
  <c r="AN210" i="45" l="1"/>
  <c r="BI210" i="45" s="1"/>
  <c r="AE210" i="45"/>
  <c r="AF210" i="45"/>
  <c r="AM210" i="45" l="1"/>
  <c r="AW210" i="45" l="1"/>
  <c r="AT210" i="45" s="1"/>
  <c r="AU210" i="45"/>
  <c r="AP210" i="45" s="1"/>
  <c r="AV210" i="45"/>
  <c r="AQ210" i="45" s="1"/>
  <c r="BH210" i="45"/>
  <c r="BD210" i="45" l="1"/>
  <c r="Q210" i="45" s="1"/>
  <c r="P211" i="45" s="1"/>
  <c r="BQ210" i="45"/>
  <c r="BL210" i="45" s="1"/>
  <c r="BR210" i="45"/>
  <c r="BO210" i="45" s="1"/>
  <c r="BP210" i="45"/>
  <c r="BK210" i="45" s="1"/>
  <c r="BY210" i="45" l="1"/>
  <c r="R211" i="45"/>
  <c r="T211" i="45" l="1"/>
  <c r="AB211" i="45"/>
  <c r="AD211" i="45" s="1"/>
  <c r="S211" i="45"/>
  <c r="AC212" i="45"/>
  <c r="AN211" i="45" l="1"/>
  <c r="BI211" i="45" s="1"/>
  <c r="AE211" i="45"/>
  <c r="AF211" i="45"/>
  <c r="AM211" i="45" l="1"/>
  <c r="AU211" i="45" l="1"/>
  <c r="AP211" i="45" s="1"/>
  <c r="BH211" i="45"/>
  <c r="AW211" i="45"/>
  <c r="AT211" i="45" s="1"/>
  <c r="AV211" i="45"/>
  <c r="AQ211" i="45" s="1"/>
  <c r="BR211" i="45" l="1"/>
  <c r="BO211" i="45" s="1"/>
  <c r="BQ211" i="45"/>
  <c r="BL211" i="45" s="1"/>
  <c r="BP211" i="45"/>
  <c r="BK211" i="45" s="1"/>
  <c r="BD211" i="45"/>
  <c r="Q211" i="45" s="1"/>
  <c r="P212" i="45" s="1"/>
  <c r="BY211" i="45" l="1"/>
  <c r="R212" i="45"/>
  <c r="S212" i="45" l="1"/>
  <c r="T212" i="45"/>
  <c r="AB212" i="45"/>
  <c r="AD212" i="45" s="1"/>
  <c r="AC213" i="45"/>
  <c r="AN212" i="45" l="1"/>
  <c r="BI212" i="45" s="1"/>
  <c r="AE212" i="45"/>
  <c r="AF212" i="45"/>
  <c r="AM212" i="45" l="1"/>
  <c r="AU212" i="45" l="1"/>
  <c r="AP212" i="45" s="1"/>
  <c r="AV212" i="45"/>
  <c r="AQ212" i="45" s="1"/>
  <c r="BH212" i="45"/>
  <c r="AW212" i="45"/>
  <c r="AT212" i="45" s="1"/>
  <c r="BR212" i="45" l="1"/>
  <c r="BO212" i="45" s="1"/>
  <c r="BQ212" i="45"/>
  <c r="BL212" i="45" s="1"/>
  <c r="BP212" i="45"/>
  <c r="BK212" i="45" s="1"/>
  <c r="BD212" i="45"/>
  <c r="Q212" i="45" s="1"/>
  <c r="P213" i="45" s="1"/>
  <c r="BY212" i="45" l="1"/>
  <c r="R213" i="45"/>
  <c r="S213" i="45" l="1"/>
  <c r="T213" i="45"/>
  <c r="AB213" i="45"/>
  <c r="AD213" i="45" s="1"/>
  <c r="AC214" i="45"/>
  <c r="AN213" i="45" l="1"/>
  <c r="BI213" i="45" s="1"/>
  <c r="AE213" i="45"/>
  <c r="AF213" i="45"/>
  <c r="AM213" i="45" l="1"/>
  <c r="AV213" i="45" l="1"/>
  <c r="AQ213" i="45" s="1"/>
  <c r="BH213" i="45"/>
  <c r="AU213" i="45"/>
  <c r="AP213" i="45" s="1"/>
  <c r="AW213" i="45"/>
  <c r="AT213" i="45" s="1"/>
  <c r="BD213" i="45" l="1"/>
  <c r="Q213" i="45" s="1"/>
  <c r="P214" i="45" s="1"/>
  <c r="R214" i="45" s="1"/>
  <c r="BR213" i="45"/>
  <c r="BO213" i="45" s="1"/>
  <c r="BP213" i="45"/>
  <c r="BK213" i="45" s="1"/>
  <c r="BQ213" i="45"/>
  <c r="BL213" i="45" s="1"/>
  <c r="BY213" i="45" l="1"/>
  <c r="T214" i="45"/>
  <c r="S214" i="45"/>
  <c r="AB214" i="45"/>
  <c r="AD214" i="45" s="1"/>
  <c r="AC215" i="45"/>
  <c r="AN214" i="45" l="1"/>
  <c r="BI214" i="45" s="1"/>
  <c r="AE214" i="45"/>
  <c r="AF214" i="45"/>
  <c r="AM214" i="45" l="1"/>
  <c r="AW214" i="45" l="1"/>
  <c r="AT214" i="45" s="1"/>
  <c r="BH214" i="45"/>
  <c r="AU214" i="45"/>
  <c r="AP214" i="45" s="1"/>
  <c r="AV214" i="45"/>
  <c r="AQ214" i="45" s="1"/>
  <c r="BD214" i="45" l="1"/>
  <c r="Q214" i="45" s="1"/>
  <c r="P215" i="45" s="1"/>
  <c r="BQ214" i="45"/>
  <c r="BL214" i="45" s="1"/>
  <c r="BP214" i="45"/>
  <c r="BK214" i="45" s="1"/>
  <c r="BR214" i="45"/>
  <c r="BO214" i="45" s="1"/>
  <c r="BY214" i="45" l="1"/>
  <c r="R215" i="45"/>
  <c r="T215" i="45" l="1"/>
  <c r="S215" i="45"/>
  <c r="AB215" i="45"/>
  <c r="AD215" i="45" s="1"/>
  <c r="AC216" i="45"/>
  <c r="AN215" i="45" l="1"/>
  <c r="BI215" i="45" s="1"/>
  <c r="AE215" i="45"/>
  <c r="AF215" i="45"/>
  <c r="AM215" i="45" l="1"/>
  <c r="BH215" i="45" l="1"/>
  <c r="AU215" i="45"/>
  <c r="AP215" i="45" s="1"/>
  <c r="AV215" i="45"/>
  <c r="AQ215" i="45" s="1"/>
  <c r="AW215" i="45"/>
  <c r="AT215" i="45" s="1"/>
  <c r="BD215" i="45" l="1"/>
  <c r="Q215" i="45" s="1"/>
  <c r="P216" i="45" s="1"/>
  <c r="BR215" i="45"/>
  <c r="BO215" i="45" s="1"/>
  <c r="BP215" i="45"/>
  <c r="BK215" i="45" s="1"/>
  <c r="BQ215" i="45"/>
  <c r="BL215" i="45" s="1"/>
  <c r="BY215" i="45" l="1"/>
  <c r="R216" i="45"/>
  <c r="T216" i="45" l="1"/>
  <c r="S216" i="45"/>
  <c r="AB216" i="45"/>
  <c r="AD216" i="45" s="1"/>
  <c r="AC217" i="45"/>
  <c r="AN216" i="45" l="1"/>
  <c r="BI216" i="45" s="1"/>
  <c r="AE216" i="45"/>
  <c r="AF216" i="45"/>
  <c r="AM216" i="45" l="1"/>
  <c r="AV216" i="45" l="1"/>
  <c r="AQ216" i="45" s="1"/>
  <c r="AU216" i="45"/>
  <c r="AP216" i="45" s="1"/>
  <c r="BH216" i="45"/>
  <c r="AW216" i="45"/>
  <c r="AT216" i="45" s="1"/>
  <c r="BQ216" i="45" l="1"/>
  <c r="BL216" i="45" s="1"/>
  <c r="BR216" i="45"/>
  <c r="BO216" i="45" s="1"/>
  <c r="BP216" i="45"/>
  <c r="BK216" i="45" s="1"/>
  <c r="BD216" i="45"/>
  <c r="Q216" i="45" s="1"/>
  <c r="P217" i="45" s="1"/>
  <c r="BY216" i="45" l="1"/>
  <c r="R217" i="45"/>
  <c r="T217" i="45" l="1"/>
  <c r="S217" i="45"/>
  <c r="AB217" i="45"/>
  <c r="AD217" i="45" s="1"/>
  <c r="AC218" i="45"/>
  <c r="AN217" i="45" l="1"/>
  <c r="BI217" i="45" s="1"/>
  <c r="AE217" i="45"/>
  <c r="AF217" i="45"/>
  <c r="AM217" i="45" l="1"/>
  <c r="BH217" i="45" l="1"/>
  <c r="AW217" i="45"/>
  <c r="AT217" i="45" s="1"/>
  <c r="AV217" i="45"/>
  <c r="AQ217" i="45" s="1"/>
  <c r="AU217" i="45"/>
  <c r="AP217" i="45" s="1"/>
  <c r="BD217" i="45" l="1"/>
  <c r="Q217" i="45" s="1"/>
  <c r="P218" i="45" s="1"/>
  <c r="BQ217" i="45"/>
  <c r="BL217" i="45" s="1"/>
  <c r="BP217" i="45"/>
  <c r="BK217" i="45" s="1"/>
  <c r="BR217" i="45"/>
  <c r="BO217" i="45" s="1"/>
  <c r="BY217" i="45" l="1"/>
  <c r="R218" i="45"/>
  <c r="T218" i="45" l="1"/>
  <c r="AB218" i="45"/>
  <c r="AD218" i="45" s="1"/>
  <c r="S218" i="45"/>
  <c r="AC219" i="45"/>
  <c r="AN218" i="45" l="1"/>
  <c r="BI218" i="45" s="1"/>
  <c r="AE218" i="45"/>
  <c r="AF218" i="45"/>
  <c r="AM218" i="45" l="1"/>
  <c r="AU218" i="45" l="1"/>
  <c r="AP218" i="45" s="1"/>
  <c r="AV218" i="45"/>
  <c r="AQ218" i="45" s="1"/>
  <c r="AW218" i="45"/>
  <c r="AT218" i="45" s="1"/>
  <c r="BH218" i="45"/>
  <c r="BD218" i="45" l="1"/>
  <c r="Q218" i="45" s="1"/>
  <c r="P219" i="45" s="1"/>
  <c r="R219" i="45" s="1"/>
  <c r="BQ218" i="45"/>
  <c r="BL218" i="45" s="1"/>
  <c r="BP218" i="45"/>
  <c r="BK218" i="45" s="1"/>
  <c r="BR218" i="45"/>
  <c r="BO218" i="45" s="1"/>
  <c r="BY218" i="45" l="1"/>
  <c r="T219" i="45"/>
  <c r="S219" i="45"/>
  <c r="AB219" i="45"/>
  <c r="AD219" i="45" s="1"/>
  <c r="AC220" i="45"/>
  <c r="AN219" i="45" l="1"/>
  <c r="BI219" i="45" s="1"/>
  <c r="AE219" i="45"/>
  <c r="AF219" i="45"/>
  <c r="AM219" i="45" l="1"/>
  <c r="BH219" i="45" l="1"/>
  <c r="AW219" i="45"/>
  <c r="AT219" i="45" s="1"/>
  <c r="AU219" i="45"/>
  <c r="AP219" i="45" s="1"/>
  <c r="AV219" i="45"/>
  <c r="AQ219" i="45" s="1"/>
  <c r="BD219" i="45" l="1"/>
  <c r="Q219" i="45" s="1"/>
  <c r="P220" i="45" s="1"/>
  <c r="BR219" i="45"/>
  <c r="BO219" i="45" s="1"/>
  <c r="BP219" i="45"/>
  <c r="BK219" i="45" s="1"/>
  <c r="BQ219" i="45"/>
  <c r="BL219" i="45" s="1"/>
  <c r="R220" i="45" l="1"/>
  <c r="BY219" i="45"/>
  <c r="S220" i="45" l="1"/>
  <c r="T220" i="45"/>
  <c r="AB220" i="45"/>
  <c r="AD220" i="45" s="1"/>
  <c r="AC221" i="45"/>
  <c r="AN220" i="45" l="1"/>
  <c r="BI220" i="45" s="1"/>
  <c r="AE220" i="45"/>
  <c r="AF220" i="45"/>
  <c r="AM220" i="45" l="1"/>
  <c r="AW220" i="45" l="1"/>
  <c r="AT220" i="45" s="1"/>
  <c r="AU220" i="45"/>
  <c r="AP220" i="45" s="1"/>
  <c r="AV220" i="45"/>
  <c r="AQ220" i="45" s="1"/>
  <c r="BH220" i="45"/>
  <c r="BD220" i="45" l="1"/>
  <c r="Q220" i="45" s="1"/>
  <c r="P221" i="45" s="1"/>
  <c r="R221" i="45" s="1"/>
  <c r="BQ220" i="45"/>
  <c r="BL220" i="45" s="1"/>
  <c r="BP220" i="45"/>
  <c r="BK220" i="45" s="1"/>
  <c r="BR220" i="45"/>
  <c r="BO220" i="45" s="1"/>
  <c r="BY220" i="45" l="1"/>
  <c r="T221" i="45"/>
  <c r="S221" i="45"/>
  <c r="AB221" i="45"/>
  <c r="AD221" i="45" s="1"/>
  <c r="AC222" i="45"/>
  <c r="AN221" i="45" l="1"/>
  <c r="BI221" i="45" s="1"/>
  <c r="AE221" i="45"/>
  <c r="AF221" i="45"/>
  <c r="AM221" i="45" l="1"/>
  <c r="BH221" i="45" l="1"/>
  <c r="AV221" i="45"/>
  <c r="AQ221" i="45" s="1"/>
  <c r="AU221" i="45"/>
  <c r="AP221" i="45" s="1"/>
  <c r="AW221" i="45"/>
  <c r="AT221" i="45" s="1"/>
  <c r="BD221" i="45" l="1"/>
  <c r="Q221" i="45" s="1"/>
  <c r="P222" i="45" s="1"/>
  <c r="R222" i="45" s="1"/>
  <c r="BQ221" i="45"/>
  <c r="BL221" i="45" s="1"/>
  <c r="BP221" i="45"/>
  <c r="BK221" i="45" s="1"/>
  <c r="BR221" i="45"/>
  <c r="BO221" i="45" s="1"/>
  <c r="BY221" i="45" l="1"/>
  <c r="S222" i="45"/>
  <c r="T222" i="45"/>
  <c r="AB222" i="45"/>
  <c r="AD222" i="45" s="1"/>
  <c r="AC223" i="45"/>
  <c r="AN222" i="45" l="1"/>
  <c r="BI222" i="45" s="1"/>
  <c r="AE222" i="45"/>
  <c r="AF222" i="45"/>
  <c r="AM222" i="45" l="1"/>
  <c r="AV222" i="45" l="1"/>
  <c r="AQ222" i="45" s="1"/>
  <c r="BH222" i="45"/>
  <c r="AW222" i="45"/>
  <c r="AT222" i="45" s="1"/>
  <c r="AU222" i="45"/>
  <c r="AP222" i="45" s="1"/>
  <c r="BD222" i="45" l="1"/>
  <c r="Q222" i="45" s="1"/>
  <c r="P223" i="45" s="1"/>
  <c r="R223" i="45" s="1"/>
  <c r="BR222" i="45"/>
  <c r="BO222" i="45" s="1"/>
  <c r="BP222" i="45"/>
  <c r="BK222" i="45" s="1"/>
  <c r="BQ222" i="45"/>
  <c r="BL222" i="45" s="1"/>
  <c r="BY222" i="45" l="1"/>
  <c r="S223" i="45"/>
  <c r="AB223" i="45"/>
  <c r="AD223" i="45" s="1"/>
  <c r="T223" i="45"/>
  <c r="AC224" i="45"/>
  <c r="AN223" i="45" l="1"/>
  <c r="BI223" i="45" s="1"/>
  <c r="AE223" i="45"/>
  <c r="AF223" i="45"/>
  <c r="AM223" i="45" l="1"/>
  <c r="BH223" i="45" l="1"/>
  <c r="AV223" i="45"/>
  <c r="AQ223" i="45" s="1"/>
  <c r="AU223" i="45"/>
  <c r="AP223" i="45" s="1"/>
  <c r="AW223" i="45"/>
  <c r="AT223" i="45" s="1"/>
  <c r="BQ223" i="45" l="1"/>
  <c r="BL223" i="45" s="1"/>
  <c r="BP223" i="45"/>
  <c r="BK223" i="45" s="1"/>
  <c r="BR223" i="45"/>
  <c r="BO223" i="45" s="1"/>
  <c r="BD223" i="45"/>
  <c r="Q223" i="45" s="1"/>
  <c r="P224" i="45" s="1"/>
  <c r="BY223" i="45" l="1"/>
  <c r="R224" i="45"/>
  <c r="S224" i="45" l="1"/>
  <c r="T224" i="45"/>
  <c r="AB224" i="45"/>
  <c r="AD224" i="45" s="1"/>
  <c r="AC225" i="45"/>
  <c r="AN224" i="45" l="1"/>
  <c r="BI224" i="45" s="1"/>
  <c r="AE224" i="45"/>
  <c r="AF224" i="45"/>
  <c r="AM224" i="45" l="1"/>
  <c r="AV224" i="45" l="1"/>
  <c r="AQ224" i="45" s="1"/>
  <c r="AU224" i="45"/>
  <c r="AP224" i="45" s="1"/>
  <c r="AW224" i="45"/>
  <c r="AT224" i="45" s="1"/>
  <c r="BH224" i="45"/>
  <c r="BD224" i="45" l="1"/>
  <c r="Q224" i="45" s="1"/>
  <c r="P225" i="45" s="1"/>
  <c r="R225" i="45" s="1"/>
  <c r="BQ224" i="45"/>
  <c r="BL224" i="45" s="1"/>
  <c r="BP224" i="45"/>
  <c r="BK224" i="45" s="1"/>
  <c r="BR224" i="45"/>
  <c r="BO224" i="45" s="1"/>
  <c r="BY224" i="45" l="1"/>
  <c r="T225" i="45"/>
  <c r="S225" i="45"/>
  <c r="AB225" i="45"/>
  <c r="AD225" i="45" s="1"/>
  <c r="AC226" i="45"/>
  <c r="AN225" i="45" l="1"/>
  <c r="BI225" i="45" s="1"/>
  <c r="AE225" i="45"/>
  <c r="AF225" i="45"/>
  <c r="AM225" i="45" l="1"/>
  <c r="AU225" i="45" l="1"/>
  <c r="AP225" i="45" s="1"/>
  <c r="BH225" i="45"/>
  <c r="AW225" i="45"/>
  <c r="AT225" i="45" s="1"/>
  <c r="AV225" i="45"/>
  <c r="AQ225" i="45" s="1"/>
  <c r="BD225" i="45" l="1"/>
  <c r="Q225" i="45" s="1"/>
  <c r="P226" i="45" s="1"/>
  <c r="BP225" i="45"/>
  <c r="BK225" i="45" s="1"/>
  <c r="BR225" i="45"/>
  <c r="BO225" i="45" s="1"/>
  <c r="BQ225" i="45"/>
  <c r="BL225" i="45" s="1"/>
  <c r="BY225" i="45" l="1"/>
  <c r="R226" i="45"/>
  <c r="T226" i="45" l="1"/>
  <c r="S226" i="45"/>
  <c r="AB226" i="45"/>
  <c r="AD226" i="45" s="1"/>
  <c r="AC227" i="45"/>
  <c r="AN226" i="45" l="1"/>
  <c r="BI226" i="45" s="1"/>
  <c r="AE226" i="45"/>
  <c r="AF226" i="45"/>
  <c r="AM226" i="45" l="1"/>
  <c r="AV226" i="45" l="1"/>
  <c r="AQ226" i="45" s="1"/>
  <c r="AU226" i="45"/>
  <c r="AP226" i="45" s="1"/>
  <c r="BH226" i="45"/>
  <c r="AW226" i="45"/>
  <c r="AT226" i="45" s="1"/>
  <c r="BD226" i="45" l="1"/>
  <c r="Q226" i="45" s="1"/>
  <c r="P227" i="45" s="1"/>
  <c r="R227" i="45" s="1"/>
  <c r="BP226" i="45"/>
  <c r="BK226" i="45" s="1"/>
  <c r="BR226" i="45"/>
  <c r="BO226" i="45" s="1"/>
  <c r="BQ226" i="45"/>
  <c r="BL226" i="45" s="1"/>
  <c r="BY226" i="45" l="1"/>
  <c r="S227" i="45"/>
  <c r="T227" i="45"/>
  <c r="AB227" i="45"/>
  <c r="AD227" i="45" s="1"/>
  <c r="AC228" i="45"/>
  <c r="AN227" i="45" l="1"/>
  <c r="BI227" i="45" s="1"/>
  <c r="AE227" i="45"/>
  <c r="AF227" i="45"/>
  <c r="AM227" i="45" l="1"/>
  <c r="AW227" i="45" l="1"/>
  <c r="AT227" i="45" s="1"/>
  <c r="AU227" i="45"/>
  <c r="AP227" i="45" s="1"/>
  <c r="AV227" i="45"/>
  <c r="AQ227" i="45" s="1"/>
  <c r="BH227" i="45"/>
  <c r="BD227" i="45" l="1"/>
  <c r="Q227" i="45" s="1"/>
  <c r="P228" i="45" s="1"/>
  <c r="BQ227" i="45"/>
  <c r="BL227" i="45" s="1"/>
  <c r="BP227" i="45"/>
  <c r="BK227" i="45" s="1"/>
  <c r="BR227" i="45"/>
  <c r="BO227" i="45" s="1"/>
  <c r="R228" i="45" l="1"/>
  <c r="BY227" i="45"/>
  <c r="S228" i="45" l="1"/>
  <c r="T228" i="45"/>
  <c r="AB228" i="45"/>
  <c r="AD228" i="45" s="1"/>
  <c r="AC229" i="45"/>
  <c r="AN228" i="45" l="1"/>
  <c r="BI228" i="45" s="1"/>
  <c r="AE228" i="45"/>
  <c r="AF228" i="45"/>
  <c r="AM228" i="45" l="1"/>
  <c r="BH228" i="45" l="1"/>
  <c r="AU228" i="45"/>
  <c r="AP228" i="45" s="1"/>
  <c r="AV228" i="45"/>
  <c r="AQ228" i="45" s="1"/>
  <c r="AW228" i="45"/>
  <c r="AT228" i="45" s="1"/>
  <c r="BD228" i="45" l="1"/>
  <c r="Q228" i="45" s="1"/>
  <c r="P229" i="45" s="1"/>
  <c r="BQ228" i="45"/>
  <c r="BL228" i="45" s="1"/>
  <c r="BR228" i="45"/>
  <c r="BO228" i="45" s="1"/>
  <c r="BP228" i="45"/>
  <c r="BK228" i="45" s="1"/>
  <c r="R229" i="45" l="1"/>
  <c r="BY228" i="45"/>
  <c r="S229" i="45" l="1"/>
  <c r="AB229" i="45"/>
  <c r="AD229" i="45" s="1"/>
  <c r="T229" i="45"/>
  <c r="AC230" i="45"/>
  <c r="AN229" i="45" l="1"/>
  <c r="BI229" i="45" s="1"/>
  <c r="AE229" i="45"/>
  <c r="AF229" i="45"/>
  <c r="AM229" i="45" l="1"/>
  <c r="AW229" i="45" l="1"/>
  <c r="AT229" i="45" s="1"/>
  <c r="AV229" i="45"/>
  <c r="AQ229" i="45" s="1"/>
  <c r="AU229" i="45"/>
  <c r="AP229" i="45" s="1"/>
  <c r="BH229" i="45"/>
  <c r="BD229" i="45" l="1"/>
  <c r="Q229" i="45" s="1"/>
  <c r="P230" i="45" s="1"/>
  <c r="R230" i="45" s="1"/>
  <c r="BP229" i="45"/>
  <c r="BK229" i="45" s="1"/>
  <c r="BQ229" i="45"/>
  <c r="BL229" i="45" s="1"/>
  <c r="BR229" i="45"/>
  <c r="BO229" i="45" s="1"/>
  <c r="BY229" i="45" l="1"/>
  <c r="S230" i="45"/>
  <c r="T230" i="45"/>
  <c r="AB230" i="45"/>
  <c r="AD230" i="45" s="1"/>
  <c r="AC231" i="45"/>
  <c r="AN230" i="45" l="1"/>
  <c r="BI230" i="45" s="1"/>
  <c r="AE230" i="45"/>
  <c r="AF230" i="45"/>
  <c r="AM230" i="45" l="1"/>
  <c r="AU230" i="45" l="1"/>
  <c r="AP230" i="45" s="1"/>
  <c r="AV230" i="45"/>
  <c r="AQ230" i="45" s="1"/>
  <c r="AW230" i="45"/>
  <c r="AT230" i="45" s="1"/>
  <c r="BH230" i="45"/>
  <c r="BD230" i="45" l="1"/>
  <c r="Q230" i="45" s="1"/>
  <c r="P231" i="45" s="1"/>
  <c r="BP230" i="45"/>
  <c r="BK230" i="45" s="1"/>
  <c r="BR230" i="45"/>
  <c r="BO230" i="45" s="1"/>
  <c r="BQ230" i="45"/>
  <c r="BL230" i="45" s="1"/>
  <c r="BY230" i="45" l="1"/>
  <c r="R231" i="45"/>
  <c r="T231" i="45" l="1"/>
  <c r="S231" i="45"/>
  <c r="AB231" i="45"/>
  <c r="AD231" i="45" s="1"/>
  <c r="AC232" i="45"/>
  <c r="AN231" i="45" l="1"/>
  <c r="BI231" i="45" s="1"/>
  <c r="AE231" i="45"/>
  <c r="AF231" i="45"/>
  <c r="AM231" i="45" l="1"/>
  <c r="AV231" i="45" l="1"/>
  <c r="AQ231" i="45" s="1"/>
  <c r="BH231" i="45"/>
  <c r="AU231" i="45"/>
  <c r="AP231" i="45" s="1"/>
  <c r="AW231" i="45"/>
  <c r="AT231" i="45" s="1"/>
  <c r="BD231" i="45" l="1"/>
  <c r="Q231" i="45" s="1"/>
  <c r="P232" i="45" s="1"/>
  <c r="R232" i="45" s="1"/>
  <c r="BP231" i="45"/>
  <c r="BK231" i="45" s="1"/>
  <c r="BR231" i="45"/>
  <c r="BO231" i="45" s="1"/>
  <c r="BQ231" i="45"/>
  <c r="BL231" i="45" s="1"/>
  <c r="BY231" i="45" l="1"/>
  <c r="S232" i="45"/>
  <c r="AB232" i="45"/>
  <c r="AD232" i="45" s="1"/>
  <c r="T232" i="45"/>
  <c r="AC233" i="45"/>
  <c r="AN232" i="45" l="1"/>
  <c r="BI232" i="45" s="1"/>
  <c r="AE232" i="45"/>
  <c r="AF232" i="45"/>
  <c r="AM232" i="45" l="1"/>
  <c r="AV232" i="45" l="1"/>
  <c r="AQ232" i="45" s="1"/>
  <c r="AU232" i="45"/>
  <c r="AP232" i="45" s="1"/>
  <c r="BH232" i="45"/>
  <c r="AW232" i="45"/>
  <c r="AT232" i="45" s="1"/>
  <c r="BD232" i="45" l="1"/>
  <c r="Q232" i="45" s="1"/>
  <c r="P233" i="45" s="1"/>
  <c r="BR232" i="45"/>
  <c r="BO232" i="45" s="1"/>
  <c r="BQ232" i="45"/>
  <c r="BL232" i="45" s="1"/>
  <c r="BP232" i="45"/>
  <c r="BK232" i="45" s="1"/>
  <c r="R233" i="45" l="1"/>
  <c r="BY232" i="45"/>
  <c r="S233" i="45" l="1"/>
  <c r="AB233" i="45"/>
  <c r="AD233" i="45" s="1"/>
  <c r="T233" i="45"/>
  <c r="AC234" i="45"/>
  <c r="AN233" i="45" l="1"/>
  <c r="BI233" i="45" s="1"/>
  <c r="AE233" i="45"/>
  <c r="AF233" i="45"/>
  <c r="AM233" i="45" l="1"/>
  <c r="BH233" i="45" l="1"/>
  <c r="AU233" i="45"/>
  <c r="AP233" i="45" s="1"/>
  <c r="AW233" i="45"/>
  <c r="AT233" i="45" s="1"/>
  <c r="AV233" i="45"/>
  <c r="AQ233" i="45" s="1"/>
  <c r="BD233" i="45" l="1"/>
  <c r="Q233" i="45" s="1"/>
  <c r="P234" i="45" s="1"/>
  <c r="BR233" i="45"/>
  <c r="BO233" i="45" s="1"/>
  <c r="BQ233" i="45"/>
  <c r="BL233" i="45" s="1"/>
  <c r="BP233" i="45"/>
  <c r="BK233" i="45" s="1"/>
  <c r="BY233" i="45" l="1"/>
  <c r="R234" i="45"/>
  <c r="AB234" i="45" l="1"/>
  <c r="AD234" i="45" s="1"/>
  <c r="S234" i="45"/>
  <c r="T234" i="45"/>
  <c r="AC235" i="45"/>
  <c r="AN234" i="45" l="1"/>
  <c r="BI234" i="45" s="1"/>
  <c r="AE234" i="45"/>
  <c r="AF234" i="45"/>
  <c r="AM234" i="45" l="1"/>
  <c r="AV234" i="45" l="1"/>
  <c r="AQ234" i="45" s="1"/>
  <c r="AU234" i="45"/>
  <c r="AP234" i="45" s="1"/>
  <c r="BH234" i="45"/>
  <c r="AW234" i="45"/>
  <c r="AT234" i="45" s="1"/>
  <c r="BD234" i="45" l="1"/>
  <c r="Q234" i="45" s="1"/>
  <c r="P235" i="45" s="1"/>
  <c r="R235" i="45" s="1"/>
  <c r="BQ234" i="45"/>
  <c r="BL234" i="45" s="1"/>
  <c r="BR234" i="45"/>
  <c r="BO234" i="45" s="1"/>
  <c r="BP234" i="45"/>
  <c r="BK234" i="45" s="1"/>
  <c r="BY234" i="45" l="1"/>
  <c r="T235" i="45"/>
  <c r="S235" i="45"/>
  <c r="AB235" i="45"/>
  <c r="AD235" i="45" s="1"/>
  <c r="AC236" i="45"/>
  <c r="AN235" i="45" l="1"/>
  <c r="BI235" i="45" s="1"/>
  <c r="AE235" i="45"/>
  <c r="AF235" i="45"/>
  <c r="AM235" i="45" l="1"/>
  <c r="AV235" i="45" l="1"/>
  <c r="AQ235" i="45" s="1"/>
  <c r="BH235" i="45"/>
  <c r="AU235" i="45"/>
  <c r="AP235" i="45" s="1"/>
  <c r="AW235" i="45"/>
  <c r="AT235" i="45" s="1"/>
  <c r="BD235" i="45" l="1"/>
  <c r="Q235" i="45" s="1"/>
  <c r="P236" i="45" s="1"/>
  <c r="R236" i="45" s="1"/>
  <c r="BP235" i="45"/>
  <c r="BK235" i="45" s="1"/>
  <c r="BR235" i="45"/>
  <c r="BO235" i="45" s="1"/>
  <c r="BQ235" i="45"/>
  <c r="BL235" i="45" s="1"/>
  <c r="BY235" i="45" l="1"/>
  <c r="T236" i="45"/>
  <c r="S236" i="45"/>
  <c r="AB236" i="45"/>
  <c r="AD236" i="45" s="1"/>
  <c r="AC237" i="45"/>
  <c r="AN236" i="45" l="1"/>
  <c r="BI236" i="45" s="1"/>
  <c r="AE236" i="45"/>
  <c r="AF236" i="45"/>
  <c r="AM236" i="45" l="1"/>
  <c r="AV236" i="45" l="1"/>
  <c r="AQ236" i="45" s="1"/>
  <c r="AW236" i="45"/>
  <c r="AT236" i="45" s="1"/>
  <c r="AU236" i="45"/>
  <c r="AP236" i="45" s="1"/>
  <c r="BH236" i="45"/>
  <c r="BD236" i="45" l="1"/>
  <c r="Q236" i="45" s="1"/>
  <c r="P237" i="45" s="1"/>
  <c r="R237" i="45" s="1"/>
  <c r="BQ236" i="45"/>
  <c r="BL236" i="45" s="1"/>
  <c r="BR236" i="45"/>
  <c r="BO236" i="45" s="1"/>
  <c r="BP236" i="45"/>
  <c r="BK236" i="45" s="1"/>
  <c r="BY236" i="45" l="1"/>
  <c r="S237" i="45"/>
  <c r="AB237" i="45"/>
  <c r="AD237" i="45" s="1"/>
  <c r="T237" i="45"/>
  <c r="AC238" i="45"/>
  <c r="AN237" i="45" l="1"/>
  <c r="BI237" i="45" s="1"/>
  <c r="AE237" i="45"/>
  <c r="AF237" i="45"/>
  <c r="AM237" i="45" l="1"/>
  <c r="BH237" i="45" l="1"/>
  <c r="AV237" i="45"/>
  <c r="AQ237" i="45" s="1"/>
  <c r="AU237" i="45"/>
  <c r="AP237" i="45" s="1"/>
  <c r="AW237" i="45"/>
  <c r="AT237" i="45" s="1"/>
  <c r="BD237" i="45" l="1"/>
  <c r="Q237" i="45" s="1"/>
  <c r="P238" i="45" s="1"/>
  <c r="R238" i="45" s="1"/>
  <c r="BQ237" i="45"/>
  <c r="BL237" i="45" s="1"/>
  <c r="BR237" i="45"/>
  <c r="BO237" i="45" s="1"/>
  <c r="BP237" i="45"/>
  <c r="BK237" i="45" s="1"/>
  <c r="BY237" i="45" l="1"/>
  <c r="S238" i="45"/>
  <c r="T238" i="45"/>
  <c r="AB238" i="45"/>
  <c r="AD238" i="45" s="1"/>
  <c r="AC239" i="45"/>
  <c r="AN238" i="45" l="1"/>
  <c r="BI238" i="45" s="1"/>
  <c r="AE238" i="45"/>
  <c r="AF238" i="45"/>
  <c r="AM238" i="45" l="1"/>
  <c r="BH238" i="45" l="1"/>
  <c r="AV238" i="45"/>
  <c r="AQ238" i="45" s="1"/>
  <c r="AU238" i="45"/>
  <c r="AP238" i="45" s="1"/>
  <c r="AW238" i="45"/>
  <c r="AT238" i="45" s="1"/>
  <c r="BD238" i="45" l="1"/>
  <c r="Q238" i="45" s="1"/>
  <c r="P239" i="45" s="1"/>
  <c r="BQ238" i="45"/>
  <c r="BL238" i="45" s="1"/>
  <c r="BP238" i="45"/>
  <c r="BK238" i="45" s="1"/>
  <c r="BR238" i="45"/>
  <c r="BO238" i="45" s="1"/>
  <c r="BY238" i="45" l="1"/>
  <c r="R239" i="45"/>
  <c r="T239" i="45" l="1"/>
  <c r="AB239" i="45"/>
  <c r="AD239" i="45" s="1"/>
  <c r="S239" i="45"/>
  <c r="AC240" i="45"/>
  <c r="AN239" i="45" l="1"/>
  <c r="BI239" i="45" s="1"/>
  <c r="AE239" i="45"/>
  <c r="AF239" i="45"/>
  <c r="AM239" i="45" l="1"/>
  <c r="BH239" i="45" l="1"/>
  <c r="AV239" i="45"/>
  <c r="AQ239" i="45" s="1"/>
  <c r="AU239" i="45"/>
  <c r="AP239" i="45" s="1"/>
  <c r="AW239" i="45"/>
  <c r="AT239" i="45" s="1"/>
  <c r="BD239" i="45" l="1"/>
  <c r="Q239" i="45" s="1"/>
  <c r="P240" i="45" s="1"/>
  <c r="R240" i="45" s="1"/>
  <c r="BP239" i="45"/>
  <c r="BK239" i="45" s="1"/>
  <c r="BQ239" i="45"/>
  <c r="BL239" i="45" s="1"/>
  <c r="BR239" i="45"/>
  <c r="BO239" i="45" s="1"/>
  <c r="BY239" i="45" l="1"/>
  <c r="AB240" i="45"/>
  <c r="AD240" i="45" s="1"/>
  <c r="S240" i="45"/>
  <c r="T240" i="45"/>
  <c r="AC241" i="45"/>
  <c r="AN240" i="45" l="1"/>
  <c r="BI240" i="45" s="1"/>
  <c r="AE240" i="45"/>
  <c r="AF240" i="45"/>
  <c r="AM240" i="45" l="1"/>
  <c r="AW240" i="45" l="1"/>
  <c r="AT240" i="45" s="1"/>
  <c r="AU240" i="45"/>
  <c r="AP240" i="45" s="1"/>
  <c r="BH240" i="45"/>
  <c r="AV240" i="45"/>
  <c r="AQ240" i="45" s="1"/>
  <c r="BP240" i="45" l="1"/>
  <c r="BK240" i="45" s="1"/>
  <c r="BR240" i="45"/>
  <c r="BO240" i="45" s="1"/>
  <c r="BQ240" i="45"/>
  <c r="BL240" i="45" s="1"/>
  <c r="BD240" i="45"/>
  <c r="Q240" i="45" s="1"/>
  <c r="P241" i="45" s="1"/>
  <c r="R241" i="45" l="1"/>
  <c r="BY240" i="45"/>
  <c r="T241" i="45" l="1"/>
  <c r="S241" i="45"/>
  <c r="AB241" i="45"/>
  <c r="AD241" i="45" s="1"/>
  <c r="AC242" i="45"/>
  <c r="AN241" i="45" l="1"/>
  <c r="BI241" i="45" s="1"/>
  <c r="AE241" i="45"/>
  <c r="AF241" i="45"/>
  <c r="AM241" i="45" l="1"/>
  <c r="AV241" i="45" l="1"/>
  <c r="AQ241" i="45" s="1"/>
  <c r="AU241" i="45"/>
  <c r="AP241" i="45" s="1"/>
  <c r="BH241" i="45"/>
  <c r="AW241" i="45"/>
  <c r="AT241" i="45" s="1"/>
  <c r="BD241" i="45" l="1"/>
  <c r="Q241" i="45" s="1"/>
  <c r="P242" i="45" s="1"/>
  <c r="BP241" i="45"/>
  <c r="BK241" i="45" s="1"/>
  <c r="BQ241" i="45"/>
  <c r="BL241" i="45" s="1"/>
  <c r="BR241" i="45"/>
  <c r="BO241" i="45" s="1"/>
  <c r="BY241" i="45" l="1"/>
  <c r="R242" i="45"/>
  <c r="T242" i="45" l="1"/>
  <c r="S242" i="45"/>
  <c r="AB242" i="45"/>
  <c r="AD242" i="45" s="1"/>
  <c r="AC243" i="45"/>
  <c r="AN242" i="45" l="1"/>
  <c r="BI242" i="45" s="1"/>
  <c r="AE242" i="45"/>
  <c r="AF242" i="45"/>
  <c r="AM242" i="45" l="1"/>
  <c r="BH242" i="45" l="1"/>
  <c r="AW242" i="45"/>
  <c r="AT242" i="45" s="1"/>
  <c r="AV242" i="45"/>
  <c r="AQ242" i="45" s="1"/>
  <c r="AU242" i="45"/>
  <c r="AP242" i="45" s="1"/>
  <c r="BD242" i="45" l="1"/>
  <c r="Q242" i="45" s="1"/>
  <c r="P243" i="45" s="1"/>
  <c r="R243" i="45" s="1"/>
  <c r="BQ242" i="45"/>
  <c r="BL242" i="45" s="1"/>
  <c r="BR242" i="45"/>
  <c r="BO242" i="45" s="1"/>
  <c r="BP242" i="45"/>
  <c r="BK242" i="45" s="1"/>
  <c r="BY242" i="45" l="1"/>
  <c r="AB243" i="45"/>
  <c r="AD243" i="45" s="1"/>
  <c r="T243" i="45"/>
  <c r="S243" i="45"/>
  <c r="AC244" i="45"/>
  <c r="AN243" i="45" l="1"/>
  <c r="BI243" i="45" s="1"/>
  <c r="AE243" i="45"/>
  <c r="AF243" i="45"/>
  <c r="AM243" i="45" l="1"/>
  <c r="AV243" i="45" l="1"/>
  <c r="AQ243" i="45" s="1"/>
  <c r="AU243" i="45"/>
  <c r="AP243" i="45" s="1"/>
  <c r="AW243" i="45"/>
  <c r="AT243" i="45" s="1"/>
  <c r="BH243" i="45"/>
  <c r="BD243" i="45" l="1"/>
  <c r="Q243" i="45" s="1"/>
  <c r="P244" i="45" s="1"/>
  <c r="R244" i="45" s="1"/>
  <c r="BR243" i="45"/>
  <c r="BO243" i="45" s="1"/>
  <c r="BP243" i="45"/>
  <c r="BK243" i="45" s="1"/>
  <c r="BQ243" i="45"/>
  <c r="BL243" i="45" s="1"/>
  <c r="BY243" i="45" l="1"/>
  <c r="S244" i="45"/>
  <c r="T244" i="45"/>
  <c r="AB244" i="45"/>
  <c r="AD244" i="45" s="1"/>
  <c r="AC245" i="45"/>
  <c r="AN244" i="45" l="1"/>
  <c r="BI244" i="45" s="1"/>
  <c r="AE244" i="45"/>
  <c r="AF244" i="45"/>
  <c r="AM244" i="45" l="1"/>
  <c r="BH244" i="45" l="1"/>
  <c r="AU244" i="45"/>
  <c r="AP244" i="45" s="1"/>
  <c r="AW244" i="45"/>
  <c r="AT244" i="45" s="1"/>
  <c r="AV244" i="45"/>
  <c r="AQ244" i="45" s="1"/>
  <c r="BD244" i="45" l="1"/>
  <c r="Q244" i="45" s="1"/>
  <c r="P245" i="45" s="1"/>
  <c r="BP244" i="45"/>
  <c r="BK244" i="45" s="1"/>
  <c r="BQ244" i="45"/>
  <c r="BL244" i="45" s="1"/>
  <c r="BR244" i="45"/>
  <c r="BO244" i="45" s="1"/>
  <c r="BY244" i="45" l="1"/>
  <c r="R245" i="45"/>
  <c r="T245" i="45" l="1"/>
  <c r="S245" i="45"/>
  <c r="AB245" i="45"/>
  <c r="AD245" i="45" s="1"/>
  <c r="AC246" i="45"/>
  <c r="AN245" i="45" l="1"/>
  <c r="BI245" i="45" s="1"/>
  <c r="AE245" i="45"/>
  <c r="AF245" i="45"/>
  <c r="AM245" i="45" l="1"/>
  <c r="AU245" i="45" l="1"/>
  <c r="AP245" i="45" s="1"/>
  <c r="BH245" i="45"/>
  <c r="AW245" i="45"/>
  <c r="AT245" i="45" s="1"/>
  <c r="AV245" i="45"/>
  <c r="AQ245" i="45" s="1"/>
  <c r="BD245" i="45" l="1"/>
  <c r="Q245" i="45" s="1"/>
  <c r="P246" i="45" s="1"/>
  <c r="R246" i="45" s="1"/>
  <c r="BQ245" i="45"/>
  <c r="BL245" i="45" s="1"/>
  <c r="BR245" i="45"/>
  <c r="BO245" i="45" s="1"/>
  <c r="BP245" i="45"/>
  <c r="BK245" i="45" s="1"/>
  <c r="BY245" i="45" l="1"/>
  <c r="S246" i="45"/>
  <c r="T246" i="45"/>
  <c r="AB246" i="45"/>
  <c r="AD246" i="45" s="1"/>
  <c r="AC247" i="45"/>
  <c r="AN246" i="45" l="1"/>
  <c r="BI246" i="45" s="1"/>
  <c r="AE246" i="45"/>
  <c r="AF246" i="45"/>
  <c r="AM246" i="45" l="1"/>
  <c r="AU246" i="45" l="1"/>
  <c r="AP246" i="45" s="1"/>
  <c r="AW246" i="45"/>
  <c r="AT246" i="45" s="1"/>
  <c r="BH246" i="45"/>
  <c r="AV246" i="45"/>
  <c r="AQ246" i="45" s="1"/>
  <c r="BD246" i="45" l="1"/>
  <c r="Q246" i="45" s="1"/>
  <c r="P247" i="45" s="1"/>
  <c r="BR246" i="45"/>
  <c r="BO246" i="45" s="1"/>
  <c r="BP246" i="45"/>
  <c r="BK246" i="45" s="1"/>
  <c r="BQ246" i="45"/>
  <c r="BL246" i="45" s="1"/>
  <c r="BY246" i="45" l="1"/>
  <c r="R247" i="45"/>
  <c r="T247" i="45" l="1"/>
  <c r="S247" i="45"/>
  <c r="AB247" i="45"/>
  <c r="AD247" i="45" s="1"/>
  <c r="AC248" i="45"/>
  <c r="AN247" i="45" l="1"/>
  <c r="BI247" i="45" s="1"/>
  <c r="AE247" i="45"/>
  <c r="AF247" i="45"/>
  <c r="AM247" i="45" l="1"/>
  <c r="AU247" i="45" l="1"/>
  <c r="AP247" i="45" s="1"/>
  <c r="AV247" i="45"/>
  <c r="AQ247" i="45" s="1"/>
  <c r="BH247" i="45"/>
  <c r="AW247" i="45"/>
  <c r="AT247" i="45" s="1"/>
  <c r="BP247" i="45" l="1"/>
  <c r="BK247" i="45" s="1"/>
  <c r="BQ247" i="45"/>
  <c r="BL247" i="45" s="1"/>
  <c r="BR247" i="45"/>
  <c r="BO247" i="45" s="1"/>
  <c r="BD247" i="45"/>
  <c r="Q247" i="45" s="1"/>
  <c r="P248" i="45" s="1"/>
  <c r="BY247" i="45" l="1"/>
  <c r="R248" i="45"/>
  <c r="S248" i="45" l="1"/>
  <c r="T248" i="45"/>
  <c r="AB248" i="45"/>
  <c r="AD248" i="45" s="1"/>
  <c r="AC249" i="45"/>
  <c r="AN248" i="45" l="1"/>
  <c r="BI248" i="45" s="1"/>
  <c r="AE248" i="45"/>
  <c r="AF248" i="45"/>
  <c r="AM248" i="45" l="1"/>
  <c r="BH248" i="45" l="1"/>
  <c r="AV248" i="45"/>
  <c r="AQ248" i="45" s="1"/>
  <c r="AW248" i="45"/>
  <c r="AT248" i="45" s="1"/>
  <c r="AU248" i="45"/>
  <c r="AP248" i="45" s="1"/>
  <c r="BQ248" i="45" l="1"/>
  <c r="BL248" i="45" s="1"/>
  <c r="BP248" i="45"/>
  <c r="BK248" i="45" s="1"/>
  <c r="BR248" i="45"/>
  <c r="BO248" i="45" s="1"/>
  <c r="BD248" i="45"/>
  <c r="Q248" i="45" s="1"/>
  <c r="P249" i="45" s="1"/>
  <c r="BY248" i="45" l="1"/>
  <c r="R249" i="45"/>
  <c r="S249" i="45" l="1"/>
  <c r="T249" i="45"/>
  <c r="AB249" i="45"/>
  <c r="AD249" i="45" s="1"/>
  <c r="AC250" i="45"/>
  <c r="AN249" i="45" l="1"/>
  <c r="BI249" i="45" s="1"/>
  <c r="AE249" i="45"/>
  <c r="AF249" i="45"/>
  <c r="AM249" i="45" l="1"/>
  <c r="AW249" i="45" l="1"/>
  <c r="AT249" i="45" s="1"/>
  <c r="BH249" i="45"/>
  <c r="AV249" i="45"/>
  <c r="AQ249" i="45" s="1"/>
  <c r="AU249" i="45"/>
  <c r="AP249" i="45" s="1"/>
  <c r="BD249" i="45" l="1"/>
  <c r="Q249" i="45" s="1"/>
  <c r="P250" i="45" s="1"/>
  <c r="BQ249" i="45"/>
  <c r="BL249" i="45" s="1"/>
  <c r="BR249" i="45"/>
  <c r="BO249" i="45" s="1"/>
  <c r="BP249" i="45"/>
  <c r="BK249" i="45" s="1"/>
  <c r="BY249" i="45" l="1"/>
  <c r="R250" i="45"/>
  <c r="T250" i="45" l="1"/>
  <c r="S250" i="45"/>
  <c r="AB250" i="45"/>
  <c r="AD250" i="45" s="1"/>
  <c r="AC251" i="45"/>
  <c r="AN250" i="45" l="1"/>
  <c r="BI250" i="45" s="1"/>
  <c r="AE250" i="45"/>
  <c r="AF250" i="45"/>
  <c r="AM250" i="45" l="1"/>
  <c r="AV250" i="45" l="1"/>
  <c r="AQ250" i="45" s="1"/>
  <c r="BH250" i="45"/>
  <c r="AU250" i="45"/>
  <c r="AP250" i="45" s="1"/>
  <c r="AW250" i="45"/>
  <c r="AT250" i="45" s="1"/>
  <c r="BD250" i="45" l="1"/>
  <c r="Q250" i="45" s="1"/>
  <c r="P251" i="45" s="1"/>
  <c r="R251" i="45" s="1"/>
  <c r="BQ250" i="45"/>
  <c r="BL250" i="45" s="1"/>
  <c r="BP250" i="45"/>
  <c r="BK250" i="45" s="1"/>
  <c r="BR250" i="45"/>
  <c r="BO250" i="45" s="1"/>
  <c r="T251" i="45" l="1"/>
  <c r="S251" i="45"/>
  <c r="AB251" i="45"/>
  <c r="AD251" i="45" s="1"/>
  <c r="BY250" i="45"/>
  <c r="AC252" i="45"/>
  <c r="AN251" i="45" l="1"/>
  <c r="BI251" i="45" s="1"/>
  <c r="AE251" i="45"/>
  <c r="AF251" i="45"/>
  <c r="AM251" i="45" l="1"/>
  <c r="AV251" i="45" l="1"/>
  <c r="AQ251" i="45" s="1"/>
  <c r="BH251" i="45"/>
  <c r="AU251" i="45"/>
  <c r="AP251" i="45" s="1"/>
  <c r="AW251" i="45"/>
  <c r="AT251" i="45" s="1"/>
  <c r="BD251" i="45" l="1"/>
  <c r="Q251" i="45" s="1"/>
  <c r="P252" i="45" s="1"/>
  <c r="R252" i="45" s="1"/>
  <c r="BP251" i="45"/>
  <c r="BK251" i="45" s="1"/>
  <c r="BR251" i="45"/>
  <c r="BO251" i="45" s="1"/>
  <c r="BQ251" i="45"/>
  <c r="BL251" i="45" s="1"/>
  <c r="BY251" i="45" l="1"/>
  <c r="T252" i="45"/>
  <c r="S252" i="45"/>
  <c r="AB252" i="45"/>
  <c r="AD252" i="45" s="1"/>
  <c r="AC253" i="45"/>
  <c r="AN252" i="45" l="1"/>
  <c r="BI252" i="45" s="1"/>
  <c r="AE252" i="45"/>
  <c r="AF252" i="45"/>
  <c r="AM252" i="45" l="1"/>
  <c r="AW252" i="45" l="1"/>
  <c r="AT252" i="45" s="1"/>
  <c r="BH252" i="45"/>
  <c r="AU252" i="45"/>
  <c r="AP252" i="45" s="1"/>
  <c r="AV252" i="45"/>
  <c r="AQ252" i="45" s="1"/>
  <c r="BD252" i="45" l="1"/>
  <c r="Q252" i="45" s="1"/>
  <c r="P253" i="45" s="1"/>
  <c r="R253" i="45" s="1"/>
  <c r="BP252" i="45"/>
  <c r="BK252" i="45" s="1"/>
  <c r="BR252" i="45"/>
  <c r="BO252" i="45" s="1"/>
  <c r="BQ252" i="45"/>
  <c r="BL252" i="45" s="1"/>
  <c r="BY252" i="45" l="1"/>
  <c r="S253" i="45"/>
  <c r="T253" i="45"/>
  <c r="AB253" i="45"/>
  <c r="AD253" i="45" s="1"/>
  <c r="AC254" i="45"/>
  <c r="AN253" i="45" l="1"/>
  <c r="BI253" i="45" s="1"/>
  <c r="AE253" i="45"/>
  <c r="AF253" i="45"/>
  <c r="AM253" i="45" l="1"/>
  <c r="BH253" i="45" l="1"/>
  <c r="AW253" i="45"/>
  <c r="AT253" i="45" s="1"/>
  <c r="AV253" i="45"/>
  <c r="AQ253" i="45" s="1"/>
  <c r="AU253" i="45"/>
  <c r="AP253" i="45" s="1"/>
  <c r="BQ253" i="45" l="1"/>
  <c r="BL253" i="45" s="1"/>
  <c r="BR253" i="45"/>
  <c r="BO253" i="45" s="1"/>
  <c r="BP253" i="45"/>
  <c r="BK253" i="45" s="1"/>
  <c r="BD253" i="45"/>
  <c r="Q253" i="45" s="1"/>
  <c r="P254" i="45" s="1"/>
  <c r="R254" i="45" l="1"/>
  <c r="BY253" i="45"/>
  <c r="T254" i="45" l="1"/>
  <c r="S254" i="45"/>
  <c r="AB254" i="45"/>
  <c r="AD254" i="45" s="1"/>
  <c r="AC255" i="45"/>
  <c r="AN254" i="45" l="1"/>
  <c r="BI254" i="45" s="1"/>
  <c r="AE254" i="45"/>
  <c r="AF254" i="45"/>
  <c r="AM254" i="45" l="1"/>
  <c r="BH254" i="45" l="1"/>
  <c r="AU254" i="45"/>
  <c r="AP254" i="45" s="1"/>
  <c r="AW254" i="45"/>
  <c r="AT254" i="45" s="1"/>
  <c r="AV254" i="45"/>
  <c r="AQ254" i="45" s="1"/>
  <c r="BD254" i="45" l="1"/>
  <c r="Q254" i="45" s="1"/>
  <c r="P255" i="45" s="1"/>
  <c r="BQ254" i="45"/>
  <c r="BL254" i="45" s="1"/>
  <c r="BP254" i="45"/>
  <c r="BK254" i="45" s="1"/>
  <c r="BR254" i="45"/>
  <c r="BO254" i="45" s="1"/>
  <c r="R255" i="45" l="1"/>
  <c r="BY254" i="45"/>
  <c r="T255" i="45" l="1"/>
  <c r="S255" i="45"/>
  <c r="AB255" i="45"/>
  <c r="AD255" i="45" s="1"/>
  <c r="AC256" i="45"/>
  <c r="AN255" i="45" l="1"/>
  <c r="BI255" i="45" s="1"/>
  <c r="AE255" i="45"/>
  <c r="AF255" i="45"/>
  <c r="AM255" i="45" l="1"/>
  <c r="BH255" i="45" l="1"/>
  <c r="AW255" i="45"/>
  <c r="AT255" i="45" s="1"/>
  <c r="AV255" i="45"/>
  <c r="AQ255" i="45" s="1"/>
  <c r="AU255" i="45"/>
  <c r="AP255" i="45" s="1"/>
  <c r="BD255" i="45" l="1"/>
  <c r="Q255" i="45" s="1"/>
  <c r="P256" i="45" s="1"/>
  <c r="R256" i="45" s="1"/>
  <c r="BQ255" i="45"/>
  <c r="BL255" i="45" s="1"/>
  <c r="BP255" i="45"/>
  <c r="BK255" i="45" s="1"/>
  <c r="BR255" i="45"/>
  <c r="BO255" i="45" s="1"/>
  <c r="BY255" i="45" l="1"/>
  <c r="AB256" i="45"/>
  <c r="AD256" i="45" s="1"/>
  <c r="T256" i="45"/>
  <c r="S256" i="45"/>
  <c r="AC257" i="45"/>
  <c r="AN256" i="45" l="1"/>
  <c r="BI256" i="45" s="1"/>
  <c r="AE256" i="45"/>
  <c r="AF256" i="45"/>
  <c r="AM256" i="45" l="1"/>
  <c r="BH256" i="45" l="1"/>
  <c r="AW256" i="45"/>
  <c r="AT256" i="45" s="1"/>
  <c r="AU256" i="45"/>
  <c r="AP256" i="45" s="1"/>
  <c r="AV256" i="45"/>
  <c r="AQ256" i="45" s="1"/>
  <c r="BD256" i="45" l="1"/>
  <c r="Q256" i="45" s="1"/>
  <c r="P257" i="45" s="1"/>
  <c r="R257" i="45" s="1"/>
  <c r="BP256" i="45"/>
  <c r="BK256" i="45" s="1"/>
  <c r="BQ256" i="45"/>
  <c r="BL256" i="45" s="1"/>
  <c r="BR256" i="45"/>
  <c r="BO256" i="45" s="1"/>
  <c r="BY256" i="45" l="1"/>
  <c r="T257" i="45"/>
  <c r="S257" i="45"/>
  <c r="AB257" i="45"/>
  <c r="AD257" i="45" s="1"/>
  <c r="AC258" i="45"/>
  <c r="AN257" i="45" l="1"/>
  <c r="BI257" i="45" s="1"/>
  <c r="AE257" i="45"/>
  <c r="AF257" i="45"/>
  <c r="AM257" i="45" l="1"/>
  <c r="AW257" i="45" l="1"/>
  <c r="AT257" i="45" s="1"/>
  <c r="AV257" i="45"/>
  <c r="AQ257" i="45" s="1"/>
  <c r="BH257" i="45"/>
  <c r="AU257" i="45"/>
  <c r="AP257" i="45" s="1"/>
  <c r="BD257" i="45" l="1"/>
  <c r="Q257" i="45" s="1"/>
  <c r="P258" i="45" s="1"/>
  <c r="BP257" i="45"/>
  <c r="BK257" i="45" s="1"/>
  <c r="BR257" i="45"/>
  <c r="BO257" i="45" s="1"/>
  <c r="BQ257" i="45"/>
  <c r="BL257" i="45" s="1"/>
  <c r="BY257" i="45" l="1"/>
  <c r="R258" i="45"/>
  <c r="S258" i="45" l="1"/>
  <c r="T258" i="45"/>
  <c r="AB258" i="45"/>
  <c r="AD258" i="45" s="1"/>
  <c r="AC259" i="45"/>
  <c r="AN258" i="45" l="1"/>
  <c r="BI258" i="45" s="1"/>
  <c r="AE258" i="45"/>
  <c r="AF258" i="45"/>
  <c r="AM258" i="45" l="1"/>
  <c r="AU258" i="45" l="1"/>
  <c r="AP258" i="45" s="1"/>
  <c r="AV258" i="45"/>
  <c r="AQ258" i="45" s="1"/>
  <c r="AW258" i="45"/>
  <c r="AT258" i="45" s="1"/>
  <c r="BH258" i="45"/>
  <c r="BD258" i="45" l="1"/>
  <c r="Q258" i="45" s="1"/>
  <c r="P259" i="45" s="1"/>
  <c r="BQ258" i="45"/>
  <c r="BL258" i="45" s="1"/>
  <c r="BP258" i="45"/>
  <c r="BK258" i="45" s="1"/>
  <c r="BR258" i="45"/>
  <c r="BO258" i="45" s="1"/>
  <c r="R259" i="45" l="1"/>
  <c r="BY258" i="45"/>
  <c r="AB259" i="45" l="1"/>
  <c r="AD259" i="45" s="1"/>
  <c r="S259" i="45"/>
  <c r="T259" i="45"/>
  <c r="AC260" i="45"/>
  <c r="AN259" i="45" l="1"/>
  <c r="BI259" i="45" s="1"/>
  <c r="AE259" i="45"/>
  <c r="AF259" i="45"/>
  <c r="AM259" i="45" l="1"/>
  <c r="AU259" i="45" l="1"/>
  <c r="AP259" i="45" s="1"/>
  <c r="AV259" i="45"/>
  <c r="AQ259" i="45" s="1"/>
  <c r="BH259" i="45"/>
  <c r="AW259" i="45"/>
  <c r="AT259" i="45" s="1"/>
  <c r="BQ259" i="45" l="1"/>
  <c r="BL259" i="45" s="1"/>
  <c r="BR259" i="45"/>
  <c r="BO259" i="45" s="1"/>
  <c r="BP259" i="45"/>
  <c r="BK259" i="45" s="1"/>
  <c r="BD259" i="45"/>
  <c r="Q259" i="45" s="1"/>
  <c r="P260" i="45" s="1"/>
  <c r="BY259" i="45" l="1"/>
  <c r="R260" i="45"/>
  <c r="T260" i="45" l="1"/>
  <c r="S260" i="45"/>
  <c r="AB260" i="45"/>
  <c r="AD260" i="45" s="1"/>
  <c r="AC261" i="45"/>
  <c r="AN260" i="45" l="1"/>
  <c r="BI260" i="45" s="1"/>
  <c r="AE260" i="45"/>
  <c r="AF260" i="45"/>
  <c r="AM260" i="45" l="1"/>
  <c r="AV260" i="45" l="1"/>
  <c r="AQ260" i="45" s="1"/>
  <c r="AU260" i="45"/>
  <c r="AP260" i="45" s="1"/>
  <c r="BH260" i="45"/>
  <c r="AW260" i="45"/>
  <c r="AT260" i="45" s="1"/>
  <c r="BD260" i="45" l="1"/>
  <c r="Q260" i="45" s="1"/>
  <c r="P261" i="45" s="1"/>
  <c r="R261" i="45" s="1"/>
  <c r="BR260" i="45"/>
  <c r="BO260" i="45" s="1"/>
  <c r="BP260" i="45"/>
  <c r="BK260" i="45" s="1"/>
  <c r="BQ260" i="45"/>
  <c r="BL260" i="45" s="1"/>
  <c r="BY260" i="45" l="1"/>
  <c r="T261" i="45"/>
  <c r="S261" i="45"/>
  <c r="AB261" i="45"/>
  <c r="AD261" i="45" s="1"/>
  <c r="AC262" i="45"/>
  <c r="AN261" i="45" l="1"/>
  <c r="BI261" i="45" s="1"/>
  <c r="AE261" i="45"/>
  <c r="AF261" i="45"/>
  <c r="AM261" i="45" l="1"/>
  <c r="BH261" i="45" l="1"/>
  <c r="AU261" i="45"/>
  <c r="AP261" i="45" s="1"/>
  <c r="AW261" i="45"/>
  <c r="AT261" i="45" s="1"/>
  <c r="AV261" i="45"/>
  <c r="AQ261" i="45" s="1"/>
  <c r="BD261" i="45" l="1"/>
  <c r="Q261" i="45" s="1"/>
  <c r="P262" i="45" s="1"/>
  <c r="BQ261" i="45"/>
  <c r="BL261" i="45" s="1"/>
  <c r="BR261" i="45"/>
  <c r="BO261" i="45" s="1"/>
  <c r="BP261" i="45"/>
  <c r="BK261" i="45" s="1"/>
  <c r="BY261" i="45" l="1"/>
  <c r="R262" i="45"/>
  <c r="S262" i="45" l="1"/>
  <c r="T262" i="45"/>
  <c r="AB262" i="45"/>
  <c r="AD262" i="45" s="1"/>
  <c r="AC263" i="45"/>
  <c r="AN262" i="45" l="1"/>
  <c r="BI262" i="45" s="1"/>
  <c r="AE262" i="45"/>
  <c r="AF262" i="45"/>
  <c r="AM262" i="45" l="1"/>
  <c r="BH262" i="45" l="1"/>
  <c r="AW262" i="45"/>
  <c r="AT262" i="45" s="1"/>
  <c r="AU262" i="45"/>
  <c r="AP262" i="45" s="1"/>
  <c r="AV262" i="45"/>
  <c r="AQ262" i="45" s="1"/>
  <c r="BD262" i="45" l="1"/>
  <c r="Q262" i="45" s="1"/>
  <c r="P263" i="45" s="1"/>
  <c r="R263" i="45" s="1"/>
  <c r="BQ262" i="45"/>
  <c r="BL262" i="45" s="1"/>
  <c r="BR262" i="45"/>
  <c r="BO262" i="45" s="1"/>
  <c r="BP262" i="45"/>
  <c r="BK262" i="45" s="1"/>
  <c r="BY262" i="45" l="1"/>
  <c r="AB263" i="45"/>
  <c r="AD263" i="45" s="1"/>
  <c r="S263" i="45"/>
  <c r="T263" i="45"/>
  <c r="AC264" i="45"/>
  <c r="AN263" i="45" l="1"/>
  <c r="BI263" i="45" s="1"/>
  <c r="AE263" i="45"/>
  <c r="AF263" i="45"/>
  <c r="AM263" i="45" l="1"/>
  <c r="AU263" i="45" l="1"/>
  <c r="AP263" i="45" s="1"/>
  <c r="AW263" i="45"/>
  <c r="AT263" i="45" s="1"/>
  <c r="BH263" i="45"/>
  <c r="AV263" i="45"/>
  <c r="AQ263" i="45" s="1"/>
  <c r="BR263" i="45" l="1"/>
  <c r="BO263" i="45" s="1"/>
  <c r="BQ263" i="45"/>
  <c r="BL263" i="45" s="1"/>
  <c r="BP263" i="45"/>
  <c r="BK263" i="45" s="1"/>
  <c r="BD263" i="45"/>
  <c r="Q263" i="45" s="1"/>
  <c r="P264" i="45" s="1"/>
  <c r="BY263" i="45" l="1"/>
  <c r="R264" i="45"/>
  <c r="T264" i="45" l="1"/>
  <c r="S264" i="45"/>
  <c r="AB264" i="45"/>
  <c r="AD264" i="45" s="1"/>
  <c r="AC265" i="45"/>
  <c r="AN264" i="45" l="1"/>
  <c r="BI264" i="45" s="1"/>
  <c r="AE264" i="45"/>
  <c r="AF264" i="45"/>
  <c r="AM264" i="45" l="1"/>
  <c r="AU264" i="45" l="1"/>
  <c r="AP264" i="45" s="1"/>
  <c r="BH264" i="45"/>
  <c r="AW264" i="45"/>
  <c r="AT264" i="45" s="1"/>
  <c r="AV264" i="45"/>
  <c r="AQ264" i="45" s="1"/>
  <c r="BD264" i="45" l="1"/>
  <c r="Q264" i="45" s="1"/>
  <c r="P265" i="45" s="1"/>
  <c r="R265" i="45" s="1"/>
  <c r="BP264" i="45"/>
  <c r="BK264" i="45" s="1"/>
  <c r="BQ264" i="45"/>
  <c r="BL264" i="45" s="1"/>
  <c r="BR264" i="45"/>
  <c r="BO264" i="45" s="1"/>
  <c r="S265" i="45" l="1"/>
  <c r="T265" i="45"/>
  <c r="AB265" i="45"/>
  <c r="AD265" i="45" s="1"/>
  <c r="BY264" i="45"/>
  <c r="AC266" i="45"/>
  <c r="AN265" i="45" l="1"/>
  <c r="BI265" i="45" s="1"/>
  <c r="AE265" i="45"/>
  <c r="AF265" i="45"/>
  <c r="AM265" i="45" l="1"/>
  <c r="AW265" i="45" l="1"/>
  <c r="AT265" i="45" s="1"/>
  <c r="AU265" i="45"/>
  <c r="AP265" i="45" s="1"/>
  <c r="BH265" i="45"/>
  <c r="AV265" i="45"/>
  <c r="AQ265" i="45" s="1"/>
  <c r="BP265" i="45" l="1"/>
  <c r="BK265" i="45" s="1"/>
  <c r="BQ265" i="45"/>
  <c r="BL265" i="45" s="1"/>
  <c r="BR265" i="45"/>
  <c r="BO265" i="45" s="1"/>
  <c r="BD265" i="45"/>
  <c r="Q265" i="45" s="1"/>
  <c r="P266" i="45" s="1"/>
  <c r="BY265" i="45" l="1"/>
  <c r="R266" i="45"/>
  <c r="AB266" i="45" l="1"/>
  <c r="AD266" i="45" s="1"/>
  <c r="S266" i="45"/>
  <c r="T266" i="45"/>
  <c r="AC267" i="45"/>
  <c r="AN266" i="45" l="1"/>
  <c r="BI266" i="45" s="1"/>
  <c r="AE266" i="45"/>
  <c r="AF266" i="45"/>
  <c r="AM266" i="45" l="1"/>
  <c r="AV266" i="45" l="1"/>
  <c r="AQ266" i="45" s="1"/>
  <c r="AU266" i="45"/>
  <c r="AP266" i="45" s="1"/>
  <c r="BH266" i="45"/>
  <c r="AW266" i="45"/>
  <c r="AT266" i="45" s="1"/>
  <c r="BD266" i="45" l="1"/>
  <c r="Q266" i="45" s="1"/>
  <c r="P267" i="45" s="1"/>
  <c r="R267" i="45" s="1"/>
  <c r="BR266" i="45"/>
  <c r="BO266" i="45" s="1"/>
  <c r="BQ266" i="45"/>
  <c r="BL266" i="45" s="1"/>
  <c r="BP266" i="45"/>
  <c r="BK266" i="45" s="1"/>
  <c r="BY266" i="45" l="1"/>
  <c r="S267" i="45"/>
  <c r="T267" i="45"/>
  <c r="AB267" i="45"/>
  <c r="AD267" i="45" s="1"/>
  <c r="AC268" i="45"/>
  <c r="AN267" i="45" l="1"/>
  <c r="BI267" i="45" s="1"/>
  <c r="AE267" i="45"/>
  <c r="AF267" i="45"/>
  <c r="AM267" i="45" l="1"/>
  <c r="AV267" i="45" l="1"/>
  <c r="AQ267" i="45" s="1"/>
  <c r="AW267" i="45"/>
  <c r="AT267" i="45" s="1"/>
  <c r="BH267" i="45"/>
  <c r="AU267" i="45"/>
  <c r="AP267" i="45" s="1"/>
  <c r="BD267" i="45" l="1"/>
  <c r="Q267" i="45" s="1"/>
  <c r="P268" i="45" s="1"/>
  <c r="BQ267" i="45"/>
  <c r="BL267" i="45" s="1"/>
  <c r="BP267" i="45"/>
  <c r="BK267" i="45" s="1"/>
  <c r="BR267" i="45"/>
  <c r="BO267" i="45" s="1"/>
  <c r="R268" i="45" l="1"/>
  <c r="BY267" i="45"/>
  <c r="AB268" i="45" l="1"/>
  <c r="AD268" i="45" s="1"/>
  <c r="T268" i="45"/>
  <c r="S268" i="45"/>
  <c r="AC269" i="45"/>
  <c r="AN268" i="45" l="1"/>
  <c r="BI268" i="45" s="1"/>
  <c r="AE268" i="45"/>
  <c r="AF268" i="45"/>
  <c r="AM268" i="45" l="1"/>
  <c r="AU268" i="45" l="1"/>
  <c r="AP268" i="45" s="1"/>
  <c r="BH268" i="45"/>
  <c r="AV268" i="45"/>
  <c r="AQ268" i="45" s="1"/>
  <c r="AW268" i="45"/>
  <c r="AT268" i="45" s="1"/>
  <c r="BD268" i="45" l="1"/>
  <c r="Q268" i="45" s="1"/>
  <c r="P269" i="45" s="1"/>
  <c r="R269" i="45" s="1"/>
  <c r="BQ268" i="45"/>
  <c r="BL268" i="45" s="1"/>
  <c r="BR268" i="45"/>
  <c r="BO268" i="45" s="1"/>
  <c r="BP268" i="45"/>
  <c r="BK268" i="45" s="1"/>
  <c r="BY268" i="45" l="1"/>
  <c r="AB269" i="45"/>
  <c r="AD269" i="45" s="1"/>
  <c r="S269" i="45"/>
  <c r="T269" i="45"/>
  <c r="AC270" i="45"/>
  <c r="AN269" i="45" l="1"/>
  <c r="BI269" i="45" s="1"/>
  <c r="AE269" i="45"/>
  <c r="AF269" i="45"/>
  <c r="AM269" i="45" l="1"/>
  <c r="AV269" i="45" l="1"/>
  <c r="AQ269" i="45" s="1"/>
  <c r="AU269" i="45"/>
  <c r="AP269" i="45" s="1"/>
  <c r="BH269" i="45"/>
  <c r="AW269" i="45"/>
  <c r="AT269" i="45" s="1"/>
  <c r="BD269" i="45" l="1"/>
  <c r="Q269" i="45" s="1"/>
  <c r="P270" i="45" s="1"/>
  <c r="R270" i="45" s="1"/>
  <c r="BQ269" i="45"/>
  <c r="BL269" i="45" s="1"/>
  <c r="BR269" i="45"/>
  <c r="BO269" i="45" s="1"/>
  <c r="BP269" i="45"/>
  <c r="BK269" i="45" s="1"/>
  <c r="S270" i="45" l="1"/>
  <c r="T270" i="45"/>
  <c r="AB270" i="45"/>
  <c r="AD270" i="45" s="1"/>
  <c r="BY269" i="45"/>
  <c r="AC271" i="45"/>
  <c r="AN270" i="45" l="1"/>
  <c r="BI270" i="45" s="1"/>
  <c r="AE270" i="45"/>
  <c r="AF270" i="45"/>
  <c r="AM270" i="45" l="1"/>
  <c r="AU270" i="45" l="1"/>
  <c r="AP270" i="45" s="1"/>
  <c r="AV270" i="45"/>
  <c r="AQ270" i="45" s="1"/>
  <c r="AW270" i="45"/>
  <c r="AT270" i="45" s="1"/>
  <c r="BH270" i="45"/>
  <c r="BD270" i="45" l="1"/>
  <c r="Q270" i="45" s="1"/>
  <c r="P271" i="45" s="1"/>
  <c r="R271" i="45" s="1"/>
  <c r="BQ270" i="45"/>
  <c r="BL270" i="45" s="1"/>
  <c r="BP270" i="45"/>
  <c r="BK270" i="45" s="1"/>
  <c r="BR270" i="45"/>
  <c r="BO270" i="45" s="1"/>
  <c r="BY270" i="45" l="1"/>
  <c r="AB271" i="45"/>
  <c r="AD271" i="45" s="1"/>
  <c r="T271" i="45"/>
  <c r="S271" i="45"/>
  <c r="AC272" i="45"/>
  <c r="AN271" i="45" l="1"/>
  <c r="BI271" i="45" s="1"/>
  <c r="AE271" i="45"/>
  <c r="AF271" i="45"/>
  <c r="AM271" i="45" l="1"/>
  <c r="BH271" i="45" l="1"/>
  <c r="AW271" i="45"/>
  <c r="AT271" i="45" s="1"/>
  <c r="AU271" i="45"/>
  <c r="AP271" i="45" s="1"/>
  <c r="AV271" i="45"/>
  <c r="AQ271" i="45" s="1"/>
  <c r="BD271" i="45" l="1"/>
  <c r="Q271" i="45" s="1"/>
  <c r="P272" i="45" s="1"/>
  <c r="R272" i="45" s="1"/>
  <c r="BP271" i="45"/>
  <c r="BK271" i="45" s="1"/>
  <c r="BQ271" i="45"/>
  <c r="BL271" i="45" s="1"/>
  <c r="BR271" i="45"/>
  <c r="BO271" i="45" s="1"/>
  <c r="BY271" i="45" l="1"/>
  <c r="S272" i="45"/>
  <c r="T272" i="45"/>
  <c r="AB272" i="45"/>
  <c r="AD272" i="45" s="1"/>
  <c r="AC273" i="45"/>
  <c r="AN272" i="45" l="1"/>
  <c r="BI272" i="45" s="1"/>
  <c r="AE272" i="45"/>
  <c r="AF272" i="45"/>
  <c r="AM272" i="45" l="1"/>
  <c r="BH272" i="45" l="1"/>
  <c r="AU272" i="45"/>
  <c r="AP272" i="45" s="1"/>
  <c r="AV272" i="45"/>
  <c r="AQ272" i="45" s="1"/>
  <c r="AW272" i="45"/>
  <c r="AT272" i="45" s="1"/>
  <c r="BD272" i="45" l="1"/>
  <c r="Q272" i="45" s="1"/>
  <c r="P273" i="45" s="1"/>
  <c r="BP272" i="45"/>
  <c r="BK272" i="45" s="1"/>
  <c r="BQ272" i="45"/>
  <c r="BL272" i="45" s="1"/>
  <c r="BR272" i="45"/>
  <c r="BO272" i="45" s="1"/>
  <c r="BY272" i="45" l="1"/>
  <c r="R273" i="45"/>
  <c r="S273" i="45" l="1"/>
  <c r="T273" i="45"/>
  <c r="AB273" i="45"/>
  <c r="AD273" i="45" s="1"/>
  <c r="AC274" i="45"/>
  <c r="AN273" i="45" l="1"/>
  <c r="BI273" i="45" s="1"/>
  <c r="AE273" i="45"/>
  <c r="AF273" i="45"/>
  <c r="AM273" i="45" l="1"/>
  <c r="AW273" i="45" l="1"/>
  <c r="AT273" i="45" s="1"/>
  <c r="AV273" i="45"/>
  <c r="AQ273" i="45" s="1"/>
  <c r="AU273" i="45"/>
  <c r="AP273" i="45" s="1"/>
  <c r="BH273" i="45"/>
  <c r="BD273" i="45" l="1"/>
  <c r="Q273" i="45" s="1"/>
  <c r="P274" i="45" s="1"/>
  <c r="R274" i="45" s="1"/>
  <c r="BR273" i="45"/>
  <c r="BO273" i="45" s="1"/>
  <c r="BP273" i="45"/>
  <c r="BK273" i="45" s="1"/>
  <c r="BQ273" i="45"/>
  <c r="BL273" i="45" s="1"/>
  <c r="BY273" i="45" l="1"/>
  <c r="S274" i="45"/>
  <c r="T274" i="45"/>
  <c r="AB274" i="45"/>
  <c r="AD274" i="45" s="1"/>
  <c r="AC275" i="45"/>
  <c r="AN274" i="45" l="1"/>
  <c r="BI274" i="45" s="1"/>
  <c r="AE274" i="45"/>
  <c r="AF274" i="45"/>
  <c r="AM274" i="45" l="1"/>
  <c r="AU274" i="45" l="1"/>
  <c r="AP274" i="45" s="1"/>
  <c r="AW274" i="45"/>
  <c r="AT274" i="45" s="1"/>
  <c r="BH274" i="45"/>
  <c r="AV274" i="45"/>
  <c r="AQ274" i="45" s="1"/>
  <c r="BD274" i="45" l="1"/>
  <c r="Q274" i="45" s="1"/>
  <c r="P275" i="45" s="1"/>
  <c r="R275" i="45" s="1"/>
  <c r="BP274" i="45"/>
  <c r="BK274" i="45" s="1"/>
  <c r="BQ274" i="45"/>
  <c r="BL274" i="45" s="1"/>
  <c r="BR274" i="45"/>
  <c r="BO274" i="45" s="1"/>
  <c r="BY274" i="45" l="1"/>
  <c r="T275" i="45"/>
  <c r="AB275" i="45"/>
  <c r="AD275" i="45" s="1"/>
  <c r="S275" i="45"/>
  <c r="AC276" i="45"/>
  <c r="AN275" i="45" l="1"/>
  <c r="BI275" i="45" s="1"/>
  <c r="AE275" i="45"/>
  <c r="AF275" i="45"/>
  <c r="AM275" i="45" l="1"/>
  <c r="AW275" i="45" l="1"/>
  <c r="AT275" i="45" s="1"/>
  <c r="AU275" i="45"/>
  <c r="AP275" i="45" s="1"/>
  <c r="BH275" i="45"/>
  <c r="AV275" i="45"/>
  <c r="AQ275" i="45" s="1"/>
  <c r="BD275" i="45" l="1"/>
  <c r="Q275" i="45" s="1"/>
  <c r="P276" i="45" s="1"/>
  <c r="R276" i="45" s="1"/>
  <c r="BR275" i="45"/>
  <c r="BO275" i="45" s="1"/>
  <c r="BQ275" i="45"/>
  <c r="BL275" i="45" s="1"/>
  <c r="BP275" i="45"/>
  <c r="BK275" i="45" s="1"/>
  <c r="S276" i="45" l="1"/>
  <c r="T276" i="45"/>
  <c r="AB276" i="45"/>
  <c r="AD276" i="45" s="1"/>
  <c r="BY275" i="45"/>
  <c r="AC277" i="45"/>
  <c r="AN276" i="45" l="1"/>
  <c r="BI276" i="45" s="1"/>
  <c r="AE276" i="45"/>
  <c r="AF276" i="45"/>
  <c r="AM276" i="45" l="1"/>
  <c r="AV276" i="45" l="1"/>
  <c r="AQ276" i="45" s="1"/>
  <c r="AU276" i="45"/>
  <c r="AP276" i="45" s="1"/>
  <c r="BH276" i="45"/>
  <c r="AW276" i="45"/>
  <c r="AT276" i="45" s="1"/>
  <c r="BD276" i="45" l="1"/>
  <c r="Q276" i="45" s="1"/>
  <c r="P277" i="45" s="1"/>
  <c r="R277" i="45" s="1"/>
  <c r="S277" i="45" s="1"/>
  <c r="BR276" i="45"/>
  <c r="BO276" i="45" s="1"/>
  <c r="BP276" i="45"/>
  <c r="BK276" i="45" s="1"/>
  <c r="BQ276" i="45"/>
  <c r="BL276" i="45" s="1"/>
  <c r="T277" i="45" l="1"/>
  <c r="AB277" i="45"/>
  <c r="AD277" i="45" s="1"/>
  <c r="AN277" i="45" s="1"/>
  <c r="BI277" i="45" s="1"/>
  <c r="BY276" i="45"/>
  <c r="AE277" i="45" l="1"/>
  <c r="AF277" i="45"/>
  <c r="AM277" i="45" l="1"/>
  <c r="AW277" i="45" s="1"/>
  <c r="AT277" i="45" s="1"/>
  <c r="AV277" i="45" l="1"/>
  <c r="AQ277" i="45" s="1"/>
  <c r="BH277" i="45"/>
  <c r="BP277" i="45" s="1"/>
  <c r="BK277" i="45" s="1"/>
  <c r="AU277" i="45"/>
  <c r="AP277" i="45" s="1"/>
  <c r="BR277" i="45" l="1"/>
  <c r="BO277" i="45" s="1"/>
  <c r="BQ277" i="45"/>
  <c r="BL277" i="45" s="1"/>
  <c r="BD277" i="45"/>
  <c r="Q277" i="45" s="1"/>
  <c r="BY277" i="4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赵卿</author>
  </authors>
  <commentList>
    <comment ref="B22" authorId="0" shapeId="0" xr:uid="{00000000-0006-0000-0100-000001000000}">
      <text>
        <r>
          <rPr>
            <b/>
            <sz val="9"/>
            <color indexed="81"/>
            <rFont val="宋体"/>
            <family val="3"/>
            <charset val="134"/>
          </rPr>
          <t>作者:</t>
        </r>
        <r>
          <rPr>
            <sz val="9"/>
            <color indexed="81"/>
            <rFont val="宋体"/>
            <family val="3"/>
            <charset val="134"/>
          </rPr>
          <t xml:space="preserve">
    目前标准战场直线观测距离最远为100米.玩家可探测距离最远为100米.设计背后探测距离为25米.重坦攻击距离最远,轻坦攻击距离最近,中坦居中.
    重坦攻击方式:开镜一发后关镜一发;
    中坦攻击方式:不能开镜,三单发;
    轻坦攻击方式:不能开镜,三连发,三连发,三连发;</t>
        </r>
      </text>
    </comment>
    <comment ref="B28" authorId="0" shapeId="0" xr:uid="{00000000-0006-0000-0100-000002000000}">
      <text>
        <r>
          <rPr>
            <b/>
            <sz val="9"/>
            <color indexed="81"/>
            <rFont val="宋体"/>
            <family val="3"/>
            <charset val="134"/>
          </rPr>
          <t>作者:</t>
        </r>
        <r>
          <rPr>
            <sz val="9"/>
            <color indexed="81"/>
            <rFont val="宋体"/>
            <family val="3"/>
            <charset val="134"/>
          </rPr>
          <t xml:space="preserve">
    目前标准战场直线观测距离最远为100米.玩家可探测距离最远为100米.设计背后探测距离为25米.重坦攻击距离最远,轻坦攻击距离最近,中坦居中.
    重坦攻击方式:开镜一发后关镜一发;
    中坦攻击方式:不能开镜,三单发;
    轻坦攻击方式:不能开镜,三连发,三连发,三连发;
    轻坦半自动,中坦弹夹,重坦自动在衰减距离之内射击可以穿透目标装甲;
    轻坦弹夹,中坦单发,重坦单发在衰减10%后可以穿透目标装甲;
    轻坦单发在衰减20%后可以穿透目标装甲;</t>
        </r>
      </text>
    </comment>
    <comment ref="B55" authorId="0" shapeId="0" xr:uid="{00000000-0006-0000-0100-000003000000}">
      <text>
        <r>
          <rPr>
            <b/>
            <sz val="9"/>
            <color indexed="81"/>
            <rFont val="宋体"/>
            <family val="3"/>
            <charset val="134"/>
          </rPr>
          <t>作者:</t>
        </r>
        <r>
          <rPr>
            <sz val="9"/>
            <color indexed="81"/>
            <rFont val="宋体"/>
            <family val="3"/>
            <charset val="134"/>
          </rPr>
          <t xml:space="preserve">
坦克会产生碰撞伤害时最小的相对速度.</t>
        </r>
      </text>
    </comment>
    <comment ref="B56" authorId="0" shapeId="0" xr:uid="{00000000-0006-0000-0100-000004000000}">
      <text>
        <r>
          <rPr>
            <b/>
            <sz val="9"/>
            <color indexed="81"/>
            <rFont val="宋体"/>
            <family val="3"/>
            <charset val="134"/>
          </rPr>
          <t>作者:</t>
        </r>
        <r>
          <rPr>
            <sz val="9"/>
            <color indexed="81"/>
            <rFont val="宋体"/>
            <family val="3"/>
            <charset val="134"/>
          </rPr>
          <t xml:space="preserve">
受到撞击伤害时,反弹的最小伤害.</t>
        </r>
      </text>
    </comment>
    <comment ref="B57" authorId="0" shapeId="0" xr:uid="{00000000-0006-0000-0100-000005000000}">
      <text>
        <r>
          <rPr>
            <b/>
            <sz val="9"/>
            <color indexed="81"/>
            <rFont val="宋体"/>
            <family val="3"/>
            <charset val="134"/>
          </rPr>
          <t>作者:</t>
        </r>
        <r>
          <rPr>
            <sz val="9"/>
            <color indexed="81"/>
            <rFont val="宋体"/>
            <family val="3"/>
            <charset val="134"/>
          </rPr>
          <t xml:space="preserve">
撞击伤害与血量的比例系数.</t>
        </r>
      </text>
    </comment>
    <comment ref="B59" authorId="0" shapeId="0" xr:uid="{00000000-0006-0000-0100-000006000000}">
      <text>
        <r>
          <rPr>
            <b/>
            <sz val="9"/>
            <color indexed="81"/>
            <rFont val="宋体"/>
            <family val="3"/>
            <charset val="134"/>
          </rPr>
          <t>作者:</t>
        </r>
        <r>
          <rPr>
            <sz val="9"/>
            <color indexed="81"/>
            <rFont val="宋体"/>
            <family val="3"/>
            <charset val="134"/>
          </rPr>
          <t xml:space="preserve">
Center的定义为:1.穿破炮塔护甲后对穿甲能力的最终正面反馈.2.玩家长时间瞄准的补偿和目标.
所以,center的大小对所有的坦克来说应是统一的.同时,center不应超出炮塔之外.</t>
        </r>
      </text>
    </comment>
    <comment ref="E60" authorId="1" shapeId="0" xr:uid="{00000000-0006-0000-0100-000007000000}">
      <text>
        <r>
          <rPr>
            <b/>
            <sz val="9"/>
            <color indexed="81"/>
            <rFont val="宋体"/>
            <family val="3"/>
            <charset val="134"/>
          </rPr>
          <t>赵卿:</t>
        </r>
        <r>
          <rPr>
            <sz val="9"/>
            <color indexed="81"/>
            <rFont val="宋体"/>
            <family val="3"/>
            <charset val="134"/>
          </rPr>
          <t xml:space="preserve">
在瞄准射线与中心点的距离小于0.4时,跳过外层车身和履带护甲.</t>
        </r>
      </text>
    </comment>
    <comment ref="G64" authorId="0" shapeId="0" xr:uid="{00000000-0006-0000-0100-000008000000}">
      <text>
        <r>
          <rPr>
            <b/>
            <sz val="9"/>
            <color indexed="81"/>
            <rFont val="宋体"/>
            <family val="3"/>
            <charset val="134"/>
          </rPr>
          <t>作者:</t>
        </r>
        <r>
          <rPr>
            <sz val="9"/>
            <color indexed="81"/>
            <rFont val="宋体"/>
            <family val="3"/>
            <charset val="134"/>
          </rPr>
          <t xml:space="preserve">
可穿透前一层时,击中该部分的概率.</t>
        </r>
      </text>
    </comment>
    <comment ref="I64" authorId="0" shapeId="0" xr:uid="{00000000-0006-0000-0100-000009000000}">
      <text>
        <r>
          <rPr>
            <b/>
            <sz val="9"/>
            <color indexed="81"/>
            <rFont val="宋体"/>
            <family val="3"/>
            <charset val="134"/>
          </rPr>
          <t>作者:</t>
        </r>
        <r>
          <rPr>
            <sz val="9"/>
            <color indexed="81"/>
            <rFont val="宋体"/>
            <family val="3"/>
            <charset val="134"/>
          </rPr>
          <t xml:space="preserve">
射击命中此部位的平均概率</t>
        </r>
      </text>
    </comment>
    <comment ref="J64" authorId="0" shapeId="0" xr:uid="{00000000-0006-0000-0100-00000A000000}">
      <text>
        <r>
          <rPr>
            <b/>
            <sz val="9"/>
            <color indexed="81"/>
            <rFont val="宋体"/>
            <family val="3"/>
            <charset val="134"/>
          </rPr>
          <t>作者:</t>
        </r>
        <r>
          <rPr>
            <sz val="9"/>
            <color indexed="81"/>
            <rFont val="宋体"/>
            <family val="3"/>
            <charset val="134"/>
          </rPr>
          <t xml:space="preserve">
穿透此部位可造成的平均伤害比例</t>
        </r>
      </text>
    </comment>
    <comment ref="K64" authorId="0" shapeId="0" xr:uid="{00000000-0006-0000-0100-00000B000000}">
      <text>
        <r>
          <rPr>
            <b/>
            <sz val="9"/>
            <color indexed="81"/>
            <rFont val="宋体"/>
            <family val="3"/>
            <charset val="134"/>
          </rPr>
          <t>作者:</t>
        </r>
        <r>
          <rPr>
            <sz val="9"/>
            <color indexed="81"/>
            <rFont val="宋体"/>
            <family val="3"/>
            <charset val="134"/>
          </rPr>
          <t xml:space="preserve">
由于命中概率和部位伤害比例计算得出,此部位对总体伤害的影响系数.</t>
        </r>
      </text>
    </comment>
    <comment ref="B65" authorId="0" shapeId="0" xr:uid="{00000000-0006-0000-0100-00000C000000}">
      <text>
        <r>
          <rPr>
            <b/>
            <sz val="9"/>
            <color indexed="81"/>
            <rFont val="宋体"/>
            <family val="3"/>
            <charset val="134"/>
          </rPr>
          <t>作者:</t>
        </r>
        <r>
          <rPr>
            <sz val="9"/>
            <color indexed="81"/>
            <rFont val="宋体"/>
            <family val="3"/>
            <charset val="134"/>
          </rPr>
          <t xml:space="preserve">
圆形</t>
        </r>
      </text>
    </comment>
    <comment ref="B66" authorId="0" shapeId="0" xr:uid="{00000000-0006-0000-0100-00000D000000}">
      <text>
        <r>
          <rPr>
            <b/>
            <sz val="9"/>
            <color indexed="81"/>
            <rFont val="宋体"/>
            <family val="3"/>
            <charset val="134"/>
          </rPr>
          <t>作者:</t>
        </r>
        <r>
          <rPr>
            <sz val="9"/>
            <color indexed="81"/>
            <rFont val="宋体"/>
            <family val="3"/>
            <charset val="134"/>
          </rPr>
          <t xml:space="preserve">
圆形</t>
        </r>
      </text>
    </comment>
    <comment ref="F71" authorId="1" shapeId="0" xr:uid="{00000000-0006-0000-0100-00000E000000}">
      <text>
        <r>
          <rPr>
            <b/>
            <sz val="9"/>
            <color indexed="81"/>
            <rFont val="宋体"/>
            <family val="3"/>
            <charset val="134"/>
          </rPr>
          <t>赵卿:</t>
        </r>
        <r>
          <rPr>
            <sz val="9"/>
            <color indexed="81"/>
            <rFont val="宋体"/>
            <family val="3"/>
            <charset val="134"/>
          </rPr>
          <t xml:space="preserve">
将长度映射到对角线上,近似认为是平均命中长度.计算命中概率</t>
        </r>
      </text>
    </comment>
    <comment ref="B94" authorId="1" shapeId="0" xr:uid="{00000000-0006-0000-0100-00000F000000}">
      <text>
        <r>
          <rPr>
            <b/>
            <sz val="9"/>
            <color indexed="81"/>
            <rFont val="宋体"/>
            <family val="3"/>
            <charset val="134"/>
          </rPr>
          <t>赵卿:</t>
        </r>
        <r>
          <rPr>
            <sz val="9"/>
            <color indexed="81"/>
            <rFont val="宋体"/>
            <family val="3"/>
            <charset val="134"/>
          </rPr>
          <t xml:space="preserve">
大概模拟一定长度的坦克边线的实际生效入射长度的调整系数.
例:坦克长10米,侧面入射的实际生效长度由10米逐渐变为0米.计算实际生效长度时使用此调整系数1.6得生效长度为10/1.6=6.25米</t>
        </r>
      </text>
    </comment>
    <comment ref="B102" authorId="0" shapeId="0" xr:uid="{00000000-0006-0000-0100-000010000000}">
      <text>
        <r>
          <rPr>
            <b/>
            <sz val="9"/>
            <color indexed="81"/>
            <rFont val="宋体"/>
            <family val="3"/>
            <charset val="134"/>
          </rPr>
          <t>作者:</t>
        </r>
        <r>
          <rPr>
            <sz val="9"/>
            <color indexed="81"/>
            <rFont val="宋体"/>
            <family val="3"/>
            <charset val="134"/>
          </rPr>
          <t xml:space="preserve">
当炮弹不能击破当前装甲时,最多对此部件造成该部件最低伤害的75%(暂定值)(废弃)</t>
        </r>
      </text>
    </comment>
    <comment ref="B103" authorId="0" shapeId="0" xr:uid="{00000000-0006-0000-0100-000011000000}">
      <text>
        <r>
          <rPr>
            <b/>
            <sz val="9"/>
            <color indexed="81"/>
            <rFont val="宋体"/>
            <family val="3"/>
            <charset val="134"/>
          </rPr>
          <t>作者:</t>
        </r>
        <r>
          <rPr>
            <sz val="9"/>
            <color indexed="81"/>
            <rFont val="宋体"/>
            <family val="3"/>
            <charset val="134"/>
          </rPr>
          <t xml:space="preserve">
标准坦克在不考虑技能效果下的期望战斗时长.</t>
        </r>
      </text>
    </comment>
    <comment ref="B105" authorId="0" shapeId="0" xr:uid="{00000000-0006-0000-0100-000012000000}">
      <text>
        <r>
          <rPr>
            <b/>
            <sz val="9"/>
            <color indexed="81"/>
            <rFont val="宋体"/>
            <family val="3"/>
            <charset val="134"/>
          </rPr>
          <t>作者:</t>
        </r>
        <r>
          <rPr>
            <sz val="9"/>
            <color indexed="81"/>
            <rFont val="宋体"/>
            <family val="3"/>
            <charset val="134"/>
          </rPr>
          <t xml:space="preserve">
初始设定为,坦克拥有1个主动技能,可以镶嵌3个被动技能.所有技能占据40%输出效果.</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B2" authorId="0" shapeId="0" xr:uid="{00000000-0006-0000-0200-000001000000}">
      <text>
        <r>
          <rPr>
            <b/>
            <sz val="9"/>
            <color indexed="81"/>
            <rFont val="宋体"/>
            <family val="3"/>
            <charset val="134"/>
          </rPr>
          <t>赵卿:</t>
        </r>
        <r>
          <rPr>
            <sz val="9"/>
            <color indexed="81"/>
            <rFont val="宋体"/>
            <family val="3"/>
            <charset val="134"/>
          </rPr>
          <t xml:space="preserve">
初始值,与实际价值比例不同</t>
        </r>
      </text>
    </comment>
    <comment ref="B8" authorId="0" shapeId="0" xr:uid="{00000000-0006-0000-0200-000002000000}">
      <text>
        <r>
          <rPr>
            <b/>
            <sz val="9"/>
            <color indexed="81"/>
            <rFont val="宋体"/>
            <family val="3"/>
            <charset val="134"/>
          </rPr>
          <t>赵卿:</t>
        </r>
        <r>
          <rPr>
            <sz val="9"/>
            <color indexed="81"/>
            <rFont val="宋体"/>
            <family val="3"/>
            <charset val="134"/>
          </rPr>
          <t xml:space="preserve">
假设玩家每天极限游戏时长为10小时.</t>
        </r>
      </text>
    </comment>
    <comment ref="F82" authorId="0" shapeId="0" xr:uid="{00000000-0006-0000-0200-000003000000}">
      <text>
        <r>
          <rPr>
            <b/>
            <sz val="9"/>
            <color indexed="81"/>
            <rFont val="宋体"/>
            <family val="3"/>
            <charset val="134"/>
          </rPr>
          <t>赵卿:</t>
        </r>
        <r>
          <rPr>
            <sz val="9"/>
            <color indexed="81"/>
            <rFont val="宋体"/>
            <family val="3"/>
            <charset val="134"/>
          </rPr>
          <t xml:space="preserve">
平均每场获得75%军费奖励</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B8" authorId="0" shapeId="0" xr:uid="{00000000-0006-0000-0300-000001000000}">
      <text>
        <r>
          <rPr>
            <b/>
            <sz val="9"/>
            <color indexed="81"/>
            <rFont val="宋体"/>
            <family val="3"/>
            <charset val="134"/>
          </rPr>
          <t>赵卿:</t>
        </r>
        <r>
          <rPr>
            <sz val="9"/>
            <color indexed="81"/>
            <rFont val="宋体"/>
            <family val="3"/>
            <charset val="134"/>
          </rPr>
          <t xml:space="preserve">
玩家降级时需要降低当前分段分数的百分比.</t>
        </r>
      </text>
    </comment>
    <comment ref="C66" authorId="0" shapeId="0" xr:uid="{00000000-0006-0000-0300-000002000000}">
      <text>
        <r>
          <rPr>
            <b/>
            <sz val="9"/>
            <color indexed="81"/>
            <rFont val="宋体"/>
            <family val="3"/>
            <charset val="134"/>
          </rPr>
          <t>赵卿:</t>
        </r>
        <r>
          <rPr>
            <sz val="9"/>
            <color indexed="81"/>
            <rFont val="宋体"/>
            <family val="3"/>
            <charset val="134"/>
          </rPr>
          <t xml:space="preserve">
用每日随机产出坦克的部分总价值为基数.除以各个坦克的实际价值,即为该坦克在当前产出节奏中需要多长时间才可以获得.</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R72" authorId="0" shapeId="0" xr:uid="{00000000-0006-0000-0900-000001000000}">
      <text>
        <r>
          <rPr>
            <b/>
            <sz val="9"/>
            <color indexed="81"/>
            <rFont val="宋体"/>
            <family val="3"/>
            <charset val="134"/>
          </rPr>
          <t>赵卿:</t>
        </r>
        <r>
          <rPr>
            <sz val="9"/>
            <color indexed="81"/>
            <rFont val="宋体"/>
            <family val="3"/>
            <charset val="134"/>
          </rPr>
          <t xml:space="preserve">
实际最大价值为售卖价格的1.67倍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B2" authorId="0" shapeId="0" xr:uid="{00000000-0006-0000-0D00-000001000000}">
      <text>
        <r>
          <rPr>
            <b/>
            <sz val="9"/>
            <color indexed="81"/>
            <rFont val="宋体"/>
            <family val="3"/>
            <charset val="134"/>
          </rPr>
          <t>赵卿:</t>
        </r>
        <r>
          <rPr>
            <sz val="9"/>
            <color indexed="81"/>
            <rFont val="宋体"/>
            <family val="3"/>
            <charset val="134"/>
          </rPr>
          <t xml:space="preserve">
设定前提,星级代表坦克战力水平,达到相同的星级需要消耗类似的资源.因此资源消耗的基础系数为坦克属性比例.攻*防*血.基础扩张次方为3次.</t>
        </r>
      </text>
    </comment>
    <comment ref="D2" authorId="0" shapeId="0" xr:uid="{00000000-0006-0000-0D00-000002000000}">
      <text>
        <r>
          <rPr>
            <b/>
            <sz val="9"/>
            <color indexed="81"/>
            <rFont val="宋体"/>
            <family val="3"/>
            <charset val="134"/>
          </rPr>
          <t>赵卿:</t>
        </r>
        <r>
          <rPr>
            <sz val="9"/>
            <color indexed="81"/>
            <rFont val="宋体"/>
            <family val="3"/>
            <charset val="134"/>
          </rPr>
          <t xml:space="preserve">
T1低的坦克价格</t>
        </r>
      </text>
    </comment>
    <comment ref="K5" authorId="0" shapeId="0" xr:uid="{00000000-0006-0000-0D00-000003000000}">
      <text>
        <r>
          <rPr>
            <b/>
            <sz val="9"/>
            <color indexed="81"/>
            <rFont val="宋体"/>
            <family val="3"/>
            <charset val="134"/>
          </rPr>
          <t>赵卿:</t>
        </r>
        <r>
          <rPr>
            <sz val="9"/>
            <color indexed="81"/>
            <rFont val="宋体"/>
            <family val="3"/>
            <charset val="134"/>
          </rPr>
          <t xml:space="preserve">
坦克碎片稀有度差别,直接表现为价格差距</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D68" authorId="0" shapeId="0" xr:uid="{00000000-0006-0000-0E00-000001000000}">
      <text>
        <r>
          <rPr>
            <b/>
            <sz val="9"/>
            <color indexed="81"/>
            <rFont val="宋体"/>
            <family val="3"/>
            <charset val="134"/>
          </rPr>
          <t>赵卿:</t>
        </r>
        <r>
          <rPr>
            <sz val="9"/>
            <color indexed="81"/>
            <rFont val="宋体"/>
            <family val="3"/>
            <charset val="134"/>
          </rPr>
          <t xml:space="preserve">
此类宝箱中坦克相关的道具类型最多数量.</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AP3" authorId="0" shapeId="0" xr:uid="{00000000-0006-0000-1200-000001000000}">
      <text>
        <r>
          <rPr>
            <b/>
            <sz val="9"/>
            <color indexed="81"/>
            <rFont val="宋体"/>
            <family val="3"/>
            <charset val="134"/>
          </rPr>
          <t>赵卿:</t>
        </r>
        <r>
          <rPr>
            <sz val="9"/>
            <color indexed="81"/>
            <rFont val="宋体"/>
            <family val="3"/>
            <charset val="134"/>
          </rPr>
          <t xml:space="preserve">
点击升级后需要等待的时间,最长时间不能超过3天.最短时间一个小时以内.</t>
        </r>
      </text>
    </comment>
    <comment ref="AR3" authorId="0" shapeId="0" xr:uid="{00000000-0006-0000-1200-000002000000}">
      <text>
        <r>
          <rPr>
            <b/>
            <sz val="9"/>
            <color indexed="81"/>
            <rFont val="宋体"/>
            <family val="3"/>
            <charset val="134"/>
          </rPr>
          <t>赵卿:</t>
        </r>
        <r>
          <rPr>
            <sz val="9"/>
            <color indexed="81"/>
            <rFont val="宋体"/>
            <family val="3"/>
            <charset val="134"/>
          </rPr>
          <t xml:space="preserve">
如果消耗太多,可做调整.</t>
        </r>
      </text>
    </comment>
    <comment ref="B4" authorId="0" shapeId="0" xr:uid="{00000000-0006-0000-1200-000003000000}">
      <text>
        <r>
          <rPr>
            <b/>
            <sz val="9"/>
            <color indexed="81"/>
            <rFont val="宋体"/>
            <family val="3"/>
            <charset val="134"/>
          </rPr>
          <t>赵卿:</t>
        </r>
        <r>
          <rPr>
            <sz val="9"/>
            <color indexed="81"/>
            <rFont val="宋体"/>
            <family val="3"/>
            <charset val="134"/>
          </rPr>
          <t xml:space="preserve">
根据1星初始状态的部件给坦克增加的属性值对比坦克本身的属性值和价值计算出部件的价值</t>
        </r>
      </text>
    </comment>
    <comment ref="E15" authorId="0" shapeId="0" xr:uid="{00000000-0006-0000-1200-000004000000}">
      <text>
        <r>
          <rPr>
            <b/>
            <sz val="9"/>
            <color indexed="81"/>
            <rFont val="宋体"/>
            <family val="3"/>
            <charset val="134"/>
          </rPr>
          <t>赵卿:</t>
        </r>
        <r>
          <rPr>
            <sz val="9"/>
            <color indexed="81"/>
            <rFont val="宋体"/>
            <family val="3"/>
            <charset val="134"/>
          </rPr>
          <t xml:space="preserve">
提高T2,T3部件的稀有度,T2升星用T1,T3升星用T1,T2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作者</author>
    <author>赵卿</author>
  </authors>
  <commentList>
    <comment ref="AM2" authorId="0" shapeId="0" xr:uid="{00000000-0006-0000-1400-000001000000}">
      <text>
        <r>
          <rPr>
            <b/>
            <sz val="9"/>
            <color indexed="81"/>
            <rFont val="宋体"/>
            <family val="3"/>
            <charset val="134"/>
          </rPr>
          <t>作者:</t>
        </r>
        <r>
          <rPr>
            <sz val="9"/>
            <color indexed="81"/>
            <rFont val="宋体"/>
            <family val="3"/>
            <charset val="134"/>
          </rPr>
          <t xml:space="preserve">
通过调整单发/弹夹射击间隔;
</t>
        </r>
        <r>
          <rPr>
            <strike/>
            <sz val="9"/>
            <color indexed="81"/>
            <rFont val="宋体"/>
            <family val="3"/>
            <charset val="134"/>
          </rPr>
          <t xml:space="preserve">射击/被击缩圈滞留时间和坦克类型对其影响增加了细微的体验区别.稍稍影响射击速度.
</t>
        </r>
        <r>
          <rPr>
            <sz val="9"/>
            <color indexed="81"/>
            <rFont val="宋体"/>
            <family val="3"/>
            <charset val="134"/>
          </rPr>
          <t>射击滞留和被击滞留都被写死在代码中1帧.</t>
        </r>
      </text>
    </comment>
    <comment ref="AQ2" authorId="1" shapeId="0" xr:uid="{00000000-0006-0000-1400-000002000000}">
      <text>
        <r>
          <rPr>
            <b/>
            <sz val="9"/>
            <color indexed="81"/>
            <rFont val="宋体"/>
            <family val="3"/>
            <charset val="134"/>
          </rPr>
          <t>赵卿:</t>
        </r>
        <r>
          <rPr>
            <sz val="9"/>
            <color indexed="81"/>
            <rFont val="宋体"/>
            <family val="3"/>
            <charset val="134"/>
          </rPr>
          <t xml:space="preserve">
坦克在期望射击次数后的圈可以覆盖目标坦克的比例为标准.以此引导玩家射击套路.</t>
        </r>
      </text>
    </comment>
    <comment ref="BM2" authorId="0" shapeId="0" xr:uid="{00000000-0006-0000-1400-000003000000}">
      <text>
        <r>
          <rPr>
            <b/>
            <sz val="9"/>
            <color indexed="81"/>
            <rFont val="宋体"/>
            <family val="3"/>
            <charset val="134"/>
          </rPr>
          <t>作者:</t>
        </r>
        <r>
          <rPr>
            <sz val="9"/>
            <color indexed="81"/>
            <rFont val="宋体"/>
            <family val="3"/>
            <charset val="134"/>
          </rPr>
          <t xml:space="preserve">
旋转造成的偏移角度的意义在于是否建议坦克在旋转中射击.轻坦,可以;中坦,看技术;重坦不推荐.</t>
        </r>
      </text>
    </comment>
    <comment ref="BZ2" authorId="0" shapeId="0" xr:uid="{00000000-0006-0000-1400-000004000000}">
      <text>
        <r>
          <rPr>
            <b/>
            <sz val="9"/>
            <color indexed="81"/>
            <rFont val="宋体"/>
            <family val="3"/>
            <charset val="134"/>
          </rPr>
          <t>作者:</t>
        </r>
        <r>
          <rPr>
            <sz val="9"/>
            <color indexed="81"/>
            <rFont val="宋体"/>
            <family val="3"/>
            <charset val="134"/>
          </rPr>
          <t xml:space="preserve">
坦克行进速度对应坦克在地图中多长时间遇到敌人.不同类型的坦克因特点不同遇敌时间不同.</t>
        </r>
      </text>
    </comment>
    <comment ref="CQ2" authorId="0" shapeId="0" xr:uid="{00000000-0006-0000-1400-000005000000}">
      <text>
        <r>
          <rPr>
            <b/>
            <sz val="9"/>
            <color indexed="81"/>
            <rFont val="宋体"/>
            <family val="3"/>
            <charset val="134"/>
          </rPr>
          <t>作者:</t>
        </r>
        <r>
          <rPr>
            <sz val="9"/>
            <color indexed="81"/>
            <rFont val="宋体"/>
            <family val="3"/>
            <charset val="134"/>
          </rPr>
          <t xml:space="preserve">
炮塔转向角速度对应坦克在标准射击距离时炮塔的转向速度能否追的上坦克的前进速度.
初始角速度对应在标准战斗距离发现前方坦克,瞄准中心所用时间.
角速度上限对应在近战斗距离下发现前方坦克,瞄准中心所用时间.</t>
        </r>
      </text>
    </comment>
    <comment ref="DE2" authorId="0" shapeId="0" xr:uid="{00000000-0006-0000-1400-000006000000}">
      <text>
        <r>
          <rPr>
            <b/>
            <sz val="9"/>
            <color indexed="81"/>
            <rFont val="宋体"/>
            <family val="3"/>
            <charset val="134"/>
          </rPr>
          <t>作者:</t>
        </r>
        <r>
          <rPr>
            <sz val="9"/>
            <color indexed="81"/>
            <rFont val="宋体"/>
            <family val="3"/>
            <charset val="134"/>
          </rPr>
          <t xml:space="preserve">
此属性作用理解为走位需要调整时的转向速度,会直接影响玩家的操作手感,如果值太小,会使得负面反馈较大.暂定无变化,根据坦克类型不同,但均较大.</t>
        </r>
      </text>
    </comment>
    <comment ref="BA3" authorId="0" shapeId="0" xr:uid="{00000000-0006-0000-1400-000007000000}">
      <text>
        <r>
          <rPr>
            <b/>
            <sz val="9"/>
            <color indexed="81"/>
            <rFont val="宋体"/>
            <family val="3"/>
            <charset val="134"/>
          </rPr>
          <t>作者:</t>
        </r>
        <r>
          <rPr>
            <sz val="9"/>
            <color indexed="81"/>
            <rFont val="宋体"/>
            <family val="3"/>
            <charset val="134"/>
          </rPr>
          <t xml:space="preserve">
以攻击轻坦,导致被击轻坦要增加的额外瞄准时间为标准.以自身瞄准时间的1/2左右为初始值.同时考虑各种类型坦克的射击间隔.</t>
        </r>
      </text>
    </comment>
    <comment ref="BV3" authorId="0" shapeId="0" xr:uid="{00000000-0006-0000-1400-000008000000}">
      <text>
        <r>
          <rPr>
            <b/>
            <sz val="9"/>
            <color indexed="81"/>
            <rFont val="宋体"/>
            <family val="3"/>
            <charset val="134"/>
          </rPr>
          <t>作者:</t>
        </r>
        <r>
          <rPr>
            <sz val="9"/>
            <color indexed="81"/>
            <rFont val="宋体"/>
            <family val="3"/>
            <charset val="134"/>
          </rPr>
          <t xml:space="preserve">
1/3秒时炮塔旋转造成的偏移角度达到上限.</t>
        </r>
      </text>
    </comment>
    <comment ref="CQ8" authorId="0" shapeId="0" xr:uid="{00000000-0006-0000-1400-000009000000}">
      <text>
        <r>
          <rPr>
            <b/>
            <sz val="9"/>
            <color indexed="81"/>
            <rFont val="宋体"/>
            <family val="3"/>
            <charset val="134"/>
          </rPr>
          <t>作者:</t>
        </r>
        <r>
          <rPr>
            <sz val="9"/>
            <color indexed="81"/>
            <rFont val="宋体"/>
            <family val="3"/>
            <charset val="134"/>
          </rPr>
          <t xml:space="preserve">
若对应类型的坦克在此圈范围之内,则同向追逐,旋转炮塔追不上目标.</t>
        </r>
      </text>
    </comment>
    <comment ref="DE8" authorId="0" shapeId="0" xr:uid="{00000000-0006-0000-1400-00000A000000}">
      <text>
        <r>
          <rPr>
            <b/>
            <sz val="9"/>
            <color indexed="81"/>
            <rFont val="宋体"/>
            <family val="3"/>
            <charset val="134"/>
          </rPr>
          <t>作者:</t>
        </r>
        <r>
          <rPr>
            <sz val="9"/>
            <color indexed="81"/>
            <rFont val="宋体"/>
            <family val="3"/>
            <charset val="134"/>
          </rPr>
          <t xml:space="preserve">
坦克在移动中转向,此时的前进后退最大速度与原速度的比例.前进后退的加速度与原加速度的比例.后退时减速加速度与原加速度的比例.</t>
        </r>
      </text>
    </comment>
    <comment ref="BM12" authorId="0" shapeId="0" xr:uid="{00000000-0006-0000-1400-00000B000000}">
      <text>
        <r>
          <rPr>
            <b/>
            <sz val="9"/>
            <color indexed="81"/>
            <rFont val="宋体"/>
            <family val="3"/>
            <charset val="134"/>
          </rPr>
          <t>作者:</t>
        </r>
        <r>
          <rPr>
            <sz val="9"/>
            <color indexed="81"/>
            <rFont val="宋体"/>
            <family val="3"/>
            <charset val="134"/>
          </rPr>
          <t xml:space="preserve">
移动造成的偏移角度的意义在于是否建议坦克在移动中射击.轻坦,可以;中坦,看技术;重坦不推荐.</t>
        </r>
      </text>
    </comment>
    <comment ref="BC13" authorId="0" shapeId="0" xr:uid="{00000000-0006-0000-1400-00000C000000}">
      <text>
        <r>
          <rPr>
            <b/>
            <sz val="9"/>
            <color indexed="81"/>
            <rFont val="宋体"/>
            <family val="3"/>
            <charset val="134"/>
          </rPr>
          <t>作者:</t>
        </r>
        <r>
          <rPr>
            <sz val="9"/>
            <color indexed="81"/>
            <rFont val="宋体"/>
            <family val="3"/>
            <charset val="134"/>
          </rPr>
          <t xml:space="preserve">
未被击中前,瞄准攻击坦克的比例.</t>
        </r>
      </text>
    </comment>
    <comment ref="BG13" authorId="0" shapeId="0" xr:uid="{00000000-0006-0000-1400-00000D000000}">
      <text>
        <r>
          <rPr>
            <b/>
            <sz val="9"/>
            <color indexed="81"/>
            <rFont val="宋体"/>
            <family val="3"/>
            <charset val="134"/>
          </rPr>
          <t>作者:</t>
        </r>
        <r>
          <rPr>
            <sz val="9"/>
            <color indexed="81"/>
            <rFont val="宋体"/>
            <family val="3"/>
            <charset val="134"/>
          </rPr>
          <t xml:space="preserve">
被击导致标准瞄准距离下,瞄准圈完全覆盖目标坦克时,受到的偏移角度.
基本上是挨4发重坦炮弹造成的偏移角度.</t>
        </r>
      </text>
    </comment>
    <comment ref="BV13" authorId="0" shapeId="0" xr:uid="{00000000-0006-0000-1400-00000E000000}">
      <text>
        <r>
          <rPr>
            <b/>
            <sz val="9"/>
            <color indexed="81"/>
            <rFont val="宋体"/>
            <family val="3"/>
            <charset val="134"/>
          </rPr>
          <t>作者:</t>
        </r>
        <r>
          <rPr>
            <sz val="9"/>
            <color indexed="81"/>
            <rFont val="宋体"/>
            <family val="3"/>
            <charset val="134"/>
          </rPr>
          <t xml:space="preserve">
1/3秒时炮塔旋转造成的偏移角度达到上限.</t>
        </r>
      </text>
    </comment>
    <comment ref="BZ14" authorId="1" shapeId="0" xr:uid="{00000000-0006-0000-1400-00000F000000}">
      <text>
        <r>
          <rPr>
            <b/>
            <sz val="9"/>
            <color indexed="81"/>
            <rFont val="宋体"/>
            <family val="3"/>
            <charset val="134"/>
          </rPr>
          <t>赵卿:</t>
        </r>
        <r>
          <rPr>
            <sz val="9"/>
            <color indexed="81"/>
            <rFont val="宋体"/>
            <family val="3"/>
            <charset val="134"/>
          </rPr>
          <t xml:space="preserve">
前进后退最大速度一样,只是加速稍微慢些.</t>
        </r>
      </text>
    </comment>
    <comment ref="AK15" authorId="1" shapeId="0" xr:uid="{00000000-0006-0000-1400-000010000000}">
      <text>
        <r>
          <rPr>
            <b/>
            <sz val="9"/>
            <color indexed="81"/>
            <rFont val="宋体"/>
            <family val="3"/>
            <charset val="134"/>
          </rPr>
          <t>赵卿:</t>
        </r>
        <r>
          <rPr>
            <sz val="9"/>
            <color indexed="81"/>
            <rFont val="宋体"/>
            <family val="3"/>
            <charset val="134"/>
          </rPr>
          <t xml:space="preserve">
最小角度0.63,18像素
最大角度5,圈大小接近两侧显示数字
标准角度:
轻坦,0.78,22像素;
中坦,0.71,20像素;
重坦,0.64,18像素;</t>
        </r>
      </text>
    </comment>
    <comment ref="CS15" authorId="0" shapeId="0" xr:uid="{00000000-0006-0000-1400-000011000000}">
      <text>
        <r>
          <rPr>
            <b/>
            <sz val="9"/>
            <color indexed="81"/>
            <rFont val="宋体"/>
            <family val="3"/>
            <charset val="134"/>
          </rPr>
          <t>作者:</t>
        </r>
        <r>
          <rPr>
            <sz val="9"/>
            <color indexed="81"/>
            <rFont val="宋体"/>
            <family val="3"/>
            <charset val="134"/>
          </rPr>
          <t xml:space="preserve">
初始角速度=B
最终角速度=A
加速时间=T
角加速度=a
转过角度=△
∵(角速度上限-初始角速度)/加速度&gt;期望瞄准时间
∴△=(B*T+A*T)/2
  a =(A-B)/T
计算得
  A=sqrt(2*△*a+B²)
  T=(A-B)/a</t>
        </r>
      </text>
    </comment>
    <comment ref="CA21" authorId="0" shapeId="0" xr:uid="{00000000-0006-0000-1400-000012000000}">
      <text>
        <r>
          <rPr>
            <b/>
            <sz val="9"/>
            <color indexed="81"/>
            <rFont val="宋体"/>
            <family val="3"/>
            <charset val="134"/>
          </rPr>
          <t>作者:</t>
        </r>
        <r>
          <rPr>
            <sz val="9"/>
            <color indexed="81"/>
            <rFont val="宋体"/>
            <family val="3"/>
            <charset val="134"/>
          </rPr>
          <t xml:space="preserve">
单位转化为km/h</t>
        </r>
      </text>
    </comment>
    <comment ref="BC23" authorId="0" shapeId="0" xr:uid="{00000000-0006-0000-1400-000013000000}">
      <text>
        <r>
          <rPr>
            <b/>
            <sz val="9"/>
            <color indexed="81"/>
            <rFont val="宋体"/>
            <family val="3"/>
            <charset val="134"/>
          </rPr>
          <t>作者:</t>
        </r>
        <r>
          <rPr>
            <sz val="9"/>
            <color indexed="81"/>
            <rFont val="宋体"/>
            <family val="3"/>
            <charset val="134"/>
          </rPr>
          <t xml:space="preserve">
未被击中前,瞄准攻击坦克的比例.</t>
        </r>
      </text>
    </comment>
    <comment ref="BP23" authorId="0" shapeId="0" xr:uid="{00000000-0006-0000-1400-000014000000}">
      <text>
        <r>
          <rPr>
            <b/>
            <sz val="9"/>
            <color indexed="81"/>
            <rFont val="宋体"/>
            <family val="3"/>
            <charset val="134"/>
          </rPr>
          <t>作者:</t>
        </r>
        <r>
          <rPr>
            <sz val="9"/>
            <color indexed="81"/>
            <rFont val="宋体"/>
            <family val="3"/>
            <charset val="134"/>
          </rPr>
          <t xml:space="preserve">
轻坦射程距离下</t>
        </r>
      </text>
    </comment>
    <comment ref="BS23" authorId="0" shapeId="0" xr:uid="{00000000-0006-0000-1400-000015000000}">
      <text>
        <r>
          <rPr>
            <b/>
            <sz val="9"/>
            <color indexed="81"/>
            <rFont val="宋体"/>
            <family val="3"/>
            <charset val="134"/>
          </rPr>
          <t>作者:</t>
        </r>
        <r>
          <rPr>
            <sz val="9"/>
            <color indexed="81"/>
            <rFont val="宋体"/>
            <family val="3"/>
            <charset val="134"/>
          </rPr>
          <t xml:space="preserve">
中坦射程距离下</t>
        </r>
      </text>
    </comment>
    <comment ref="BV23" authorId="0" shapeId="0" xr:uid="{00000000-0006-0000-1400-000016000000}">
      <text>
        <r>
          <rPr>
            <b/>
            <sz val="9"/>
            <color indexed="81"/>
            <rFont val="宋体"/>
            <family val="3"/>
            <charset val="134"/>
          </rPr>
          <t>作者:</t>
        </r>
        <r>
          <rPr>
            <sz val="9"/>
            <color indexed="81"/>
            <rFont val="宋体"/>
            <family val="3"/>
            <charset val="134"/>
          </rPr>
          <t xml:space="preserve">
重坦射程距离下</t>
        </r>
      </text>
    </comment>
    <comment ref="BC33" authorId="0" shapeId="0" xr:uid="{00000000-0006-0000-1400-000017000000}">
      <text>
        <r>
          <rPr>
            <b/>
            <sz val="9"/>
            <color indexed="81"/>
            <rFont val="宋体"/>
            <family val="3"/>
            <charset val="134"/>
          </rPr>
          <t>作者:</t>
        </r>
        <r>
          <rPr>
            <sz val="9"/>
            <color indexed="81"/>
            <rFont val="宋体"/>
            <family val="3"/>
            <charset val="134"/>
          </rPr>
          <t xml:space="preserve">
未被击中前,瞄准攻击坦克的比例.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作者</author>
    <author>赵卿</author>
  </authors>
  <commentList>
    <comment ref="B2" authorId="0" shapeId="0" xr:uid="{00000000-0006-0000-1500-000001000000}">
      <text>
        <r>
          <rPr>
            <b/>
            <sz val="9"/>
            <color indexed="81"/>
            <rFont val="宋体"/>
            <family val="3"/>
            <charset val="134"/>
          </rPr>
          <t>作者:</t>
        </r>
        <r>
          <rPr>
            <sz val="9"/>
            <color indexed="81"/>
            <rFont val="宋体"/>
            <family val="3"/>
            <charset val="134"/>
          </rPr>
          <t xml:space="preserve">
坦克最大穿透力的比值.</t>
        </r>
      </text>
    </comment>
    <comment ref="E13" authorId="0" shapeId="0" xr:uid="{00000000-0006-0000-1500-000002000000}">
      <text>
        <r>
          <rPr>
            <b/>
            <sz val="9"/>
            <color indexed="81"/>
            <rFont val="宋体"/>
            <family val="3"/>
            <charset val="134"/>
          </rPr>
          <t>作者:</t>
        </r>
        <r>
          <rPr>
            <sz val="9"/>
            <color indexed="81"/>
            <rFont val="宋体"/>
            <family val="3"/>
            <charset val="134"/>
          </rPr>
          <t xml:space="preserve">
不考虑弹夹容量,设定每发子弹上弹时间.
主要为手感时间.</t>
        </r>
      </text>
    </comment>
    <comment ref="H23" authorId="1" shapeId="0" xr:uid="{00000000-0006-0000-1500-000003000000}">
      <text>
        <r>
          <rPr>
            <b/>
            <sz val="9"/>
            <color indexed="81"/>
            <rFont val="宋体"/>
            <family val="3"/>
            <charset val="134"/>
          </rPr>
          <t>赵卿:</t>
        </r>
        <r>
          <rPr>
            <sz val="9"/>
            <color indexed="81"/>
            <rFont val="宋体"/>
            <family val="3"/>
            <charset val="134"/>
          </rPr>
          <t xml:space="preserve">
不同坦克移动到最佳输出距离的远近导致需要迂回的距离系数</t>
        </r>
      </text>
    </comment>
    <comment ref="U23" authorId="0" shapeId="0" xr:uid="{00000000-0006-0000-1500-000004000000}">
      <text>
        <r>
          <rPr>
            <b/>
            <sz val="9"/>
            <color indexed="81"/>
            <rFont val="宋体"/>
            <family val="3"/>
            <charset val="134"/>
          </rPr>
          <t>作者:</t>
        </r>
        <r>
          <rPr>
            <sz val="9"/>
            <color indexed="81"/>
            <rFont val="宋体"/>
            <family val="3"/>
            <charset val="134"/>
          </rPr>
          <t xml:space="preserve">
每提高1点攻击力对实际造成伤害的影响.</t>
        </r>
      </text>
    </comment>
    <comment ref="C33" authorId="1" shapeId="0" xr:uid="{00000000-0006-0000-1500-000005000000}">
      <text>
        <r>
          <rPr>
            <b/>
            <sz val="9"/>
            <color indexed="81"/>
            <rFont val="宋体"/>
            <family val="3"/>
            <charset val="134"/>
          </rPr>
          <t>赵卿:</t>
        </r>
        <r>
          <rPr>
            <sz val="9"/>
            <color indexed="81"/>
            <rFont val="宋体"/>
            <family val="3"/>
            <charset val="134"/>
          </rPr>
          <t xml:space="preserve">
对该坦克类型所造成的平均伤害</t>
        </r>
      </text>
    </comment>
    <comment ref="B38" authorId="0" shapeId="0" xr:uid="{00000000-0006-0000-1500-000006000000}">
      <text>
        <r>
          <rPr>
            <b/>
            <sz val="9"/>
            <color indexed="81"/>
            <rFont val="宋体"/>
            <family val="3"/>
            <charset val="134"/>
          </rPr>
          <t>作者:</t>
        </r>
        <r>
          <rPr>
            <sz val="9"/>
            <color indexed="81"/>
            <rFont val="宋体"/>
            <family val="3"/>
            <charset val="134"/>
          </rPr>
          <t xml:space="preserve">
以轻坦为标准推导出各类型坦克的标准属性.</t>
        </r>
      </text>
    </comment>
    <comment ref="F49" authorId="0" shapeId="0" xr:uid="{00000000-0006-0000-1500-000007000000}">
      <text>
        <r>
          <rPr>
            <b/>
            <sz val="9"/>
            <color indexed="81"/>
            <rFont val="宋体"/>
            <family val="3"/>
            <charset val="134"/>
          </rPr>
          <t>作者:</t>
        </r>
        <r>
          <rPr>
            <sz val="9"/>
            <color indexed="81"/>
            <rFont val="宋体"/>
            <family val="3"/>
            <charset val="134"/>
          </rPr>
          <t xml:space="preserve">
考虑技能和被动技能效果的情况下.各个坦克间最短战斗时间.</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W70" authorId="0" shapeId="0" xr:uid="{00000000-0006-0000-1600-000001000000}">
      <text>
        <r>
          <rPr>
            <b/>
            <sz val="9"/>
            <color indexed="81"/>
            <rFont val="宋体"/>
            <family val="3"/>
            <charset val="134"/>
          </rPr>
          <t>作者:</t>
        </r>
        <r>
          <rPr>
            <sz val="9"/>
            <color indexed="81"/>
            <rFont val="宋体"/>
            <family val="3"/>
            <charset val="134"/>
          </rPr>
          <t xml:space="preserve">
0.1秒钟占据实际射击间隔的比例.</t>
        </r>
      </text>
    </comment>
    <comment ref="X70" authorId="0" shapeId="0" xr:uid="{00000000-0006-0000-1600-000002000000}">
      <text>
        <r>
          <rPr>
            <b/>
            <sz val="9"/>
            <color indexed="81"/>
            <rFont val="宋体"/>
            <family val="3"/>
            <charset val="134"/>
          </rPr>
          <t>作者:</t>
        </r>
        <r>
          <rPr>
            <sz val="9"/>
            <color indexed="81"/>
            <rFont val="宋体"/>
            <family val="3"/>
            <charset val="134"/>
          </rPr>
          <t xml:space="preserve">
延长0.1秒钟射击间隔,延长的战斗时长比例.</t>
        </r>
      </text>
    </comment>
    <comment ref="W80" authorId="0" shapeId="0" xr:uid="{00000000-0006-0000-1600-000003000000}">
      <text>
        <r>
          <rPr>
            <b/>
            <sz val="9"/>
            <color indexed="81"/>
            <rFont val="宋体"/>
            <family val="3"/>
            <charset val="134"/>
          </rPr>
          <t>作者:</t>
        </r>
        <r>
          <rPr>
            <sz val="9"/>
            <color indexed="81"/>
            <rFont val="宋体"/>
            <family val="3"/>
            <charset val="134"/>
          </rPr>
          <t xml:space="preserve">
1秒钟占据实际上弹时间的比例.</t>
        </r>
      </text>
    </comment>
    <comment ref="X80" authorId="0" shapeId="0" xr:uid="{00000000-0006-0000-1600-000004000000}">
      <text>
        <r>
          <rPr>
            <b/>
            <sz val="9"/>
            <color indexed="81"/>
            <rFont val="宋体"/>
            <family val="3"/>
            <charset val="134"/>
          </rPr>
          <t>作者:</t>
        </r>
        <r>
          <rPr>
            <sz val="9"/>
            <color indexed="81"/>
            <rFont val="宋体"/>
            <family val="3"/>
            <charset val="134"/>
          </rPr>
          <t xml:space="preserve">
加快1秒钟对应的上弹时间,缩短的战斗时长比例.</t>
        </r>
      </text>
    </comment>
    <comment ref="L90" authorId="0" shapeId="0" xr:uid="{00000000-0006-0000-1600-000005000000}">
      <text>
        <r>
          <rPr>
            <b/>
            <sz val="9"/>
            <color indexed="81"/>
            <rFont val="宋体"/>
            <family val="3"/>
            <charset val="134"/>
          </rPr>
          <t>作者:</t>
        </r>
        <r>
          <rPr>
            <sz val="9"/>
            <color indexed="81"/>
            <rFont val="宋体"/>
            <family val="3"/>
            <charset val="134"/>
          </rPr>
          <t xml:space="preserve">
连射期间,每个周期内射击间隔导致的额外缩圈时间.</t>
        </r>
      </text>
    </comment>
    <comment ref="Y90" authorId="0" shapeId="0" xr:uid="{00000000-0006-0000-1600-000006000000}">
      <text>
        <r>
          <rPr>
            <b/>
            <sz val="9"/>
            <color indexed="81"/>
            <rFont val="宋体"/>
            <family val="3"/>
            <charset val="134"/>
          </rPr>
          <t>作者:</t>
        </r>
        <r>
          <rPr>
            <sz val="9"/>
            <color indexed="81"/>
            <rFont val="宋体"/>
            <family val="3"/>
            <charset val="134"/>
          </rPr>
          <t xml:space="preserve">
调整一定比例的瞄准时间,会影响射击周期缩短时间对应的比例值.
例:此值为1,即为若缩短10%的瞄准时间,则射击周期缩短10%.</t>
        </r>
      </text>
    </comment>
    <comment ref="Y95" authorId="0" shapeId="0" xr:uid="{00000000-0006-0000-1600-000007000000}">
      <text>
        <r>
          <rPr>
            <b/>
            <sz val="9"/>
            <color indexed="81"/>
            <rFont val="宋体"/>
            <family val="3"/>
            <charset val="134"/>
          </rPr>
          <t>作者:</t>
        </r>
        <r>
          <rPr>
            <sz val="9"/>
            <color indexed="81"/>
            <rFont val="宋体"/>
            <family val="3"/>
            <charset val="134"/>
          </rPr>
          <t xml:space="preserve">
缩短时间30%以内平均值为80%,之后递减</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B2" authorId="0" shapeId="0" xr:uid="{00000000-0006-0000-1A00-000001000000}">
      <text>
        <r>
          <rPr>
            <b/>
            <sz val="9"/>
            <color indexed="81"/>
            <rFont val="宋体"/>
            <family val="3"/>
            <charset val="134"/>
          </rPr>
          <t>赵卿:</t>
        </r>
        <r>
          <rPr>
            <sz val="9"/>
            <color indexed="81"/>
            <rFont val="宋体"/>
            <family val="3"/>
            <charset val="134"/>
          </rPr>
          <t xml:space="preserve">
每个坦克有初始和最终两个状态</t>
        </r>
      </text>
    </comment>
    <comment ref="C2" authorId="0" shapeId="0" xr:uid="{00000000-0006-0000-1A00-000002000000}">
      <text>
        <r>
          <rPr>
            <b/>
            <sz val="9"/>
            <color indexed="81"/>
            <rFont val="宋体"/>
            <family val="3"/>
            <charset val="134"/>
          </rPr>
          <t>赵卿:</t>
        </r>
        <r>
          <rPr>
            <sz val="9"/>
            <color indexed="81"/>
            <rFont val="宋体"/>
            <family val="3"/>
            <charset val="134"/>
          </rPr>
          <t xml:space="preserve">
升星提供的穿透力增长中包含本应该分配给子弹的穿透力的60%,在没有子弹提供的穿透力时,满星的坦克可以穿透满培养的部件+坦克.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作者</author>
    <author>赵卿</author>
  </authors>
  <commentList>
    <comment ref="B2" authorId="0" shapeId="0" xr:uid="{00000000-0006-0000-1700-000001000000}">
      <text>
        <r>
          <rPr>
            <b/>
            <sz val="9"/>
            <color indexed="81"/>
            <rFont val="宋体"/>
            <family val="3"/>
            <charset val="134"/>
          </rPr>
          <t>作者:</t>
        </r>
        <r>
          <rPr>
            <sz val="9"/>
            <color indexed="81"/>
            <rFont val="宋体"/>
            <family val="3"/>
            <charset val="134"/>
          </rPr>
          <t xml:space="preserve">
以标准坦克属性为基础个性化调整坦克属性时,需要在总值上保证对战斗时长的影响趋近于0.使微调前的属性尽量靠近期望属性.</t>
        </r>
      </text>
    </comment>
    <comment ref="L2" authorId="1" shapeId="0" xr:uid="{00000000-0006-0000-1700-000002000000}">
      <text>
        <r>
          <rPr>
            <b/>
            <sz val="9"/>
            <color indexed="81"/>
            <rFont val="宋体"/>
            <family val="3"/>
            <charset val="134"/>
          </rPr>
          <t>赵卿:</t>
        </r>
        <r>
          <rPr>
            <sz val="9"/>
            <color indexed="81"/>
            <rFont val="宋体"/>
            <family val="3"/>
            <charset val="134"/>
          </rPr>
          <t xml:space="preserve">
坦克炮塔旋转或者坦克车身旋转的角速度都是影响操作和战斗感受较重要的数据,因此,提高初始上限.减少成长区间.</t>
        </r>
      </text>
    </comment>
    <comment ref="B6" authorId="1" shapeId="0" xr:uid="{00000000-0006-0000-1700-000003000000}">
      <text>
        <r>
          <rPr>
            <b/>
            <sz val="9"/>
            <color indexed="81"/>
            <rFont val="宋体"/>
            <family val="3"/>
            <charset val="134"/>
          </rPr>
          <t>赵卿:</t>
        </r>
        <r>
          <rPr>
            <sz val="9"/>
            <color indexed="81"/>
            <rFont val="宋体"/>
            <family val="3"/>
            <charset val="134"/>
          </rPr>
          <t xml:space="preserve">
提升1%的穿透属性</t>
        </r>
      </text>
    </comment>
    <comment ref="B9" authorId="1" shapeId="0" xr:uid="{00000000-0006-0000-1700-000004000000}">
      <text>
        <r>
          <rPr>
            <b/>
            <sz val="9"/>
            <color indexed="81"/>
            <rFont val="宋体"/>
            <family val="3"/>
            <charset val="134"/>
          </rPr>
          <t>赵卿:</t>
        </r>
        <r>
          <rPr>
            <sz val="9"/>
            <color indexed="81"/>
            <rFont val="宋体"/>
            <family val="3"/>
            <charset val="134"/>
          </rPr>
          <t xml:space="preserve">
撞击伤害出现的情况较少,影响战斗节奏效果较弱.手填值0.2</t>
        </r>
      </text>
    </comment>
    <comment ref="B10" authorId="0" shapeId="0" xr:uid="{00000000-0006-0000-1700-000005000000}">
      <text>
        <r>
          <rPr>
            <b/>
            <sz val="9"/>
            <color indexed="81"/>
            <rFont val="宋体"/>
            <family val="3"/>
            <charset val="134"/>
          </rPr>
          <t>作者:</t>
        </r>
        <r>
          <rPr>
            <sz val="9"/>
            <color indexed="81"/>
            <rFont val="宋体"/>
            <family val="3"/>
            <charset val="134"/>
          </rPr>
          <t xml:space="preserve">
对应类型的换弹或者换弹夹缩短1秒对战斗时长缩短的比例.</t>
        </r>
      </text>
    </comment>
    <comment ref="B11" authorId="0" shapeId="0" xr:uid="{00000000-0006-0000-1700-000006000000}">
      <text>
        <r>
          <rPr>
            <b/>
            <sz val="9"/>
            <color indexed="81"/>
            <rFont val="宋体"/>
            <family val="3"/>
            <charset val="134"/>
          </rPr>
          <t>作者:</t>
        </r>
        <r>
          <rPr>
            <sz val="9"/>
            <color indexed="81"/>
            <rFont val="宋体"/>
            <family val="3"/>
            <charset val="134"/>
          </rPr>
          <t xml:space="preserve">
缩短一定比例的瞄准时间,对应战斗时间缩短的比例.</t>
        </r>
      </text>
    </comment>
    <comment ref="B12" authorId="0" shapeId="0" xr:uid="{00000000-0006-0000-1700-000007000000}">
      <text>
        <r>
          <rPr>
            <b/>
            <sz val="9"/>
            <color indexed="81"/>
            <rFont val="宋体"/>
            <family val="3"/>
            <charset val="134"/>
          </rPr>
          <t>作者:</t>
        </r>
        <r>
          <rPr>
            <sz val="9"/>
            <color indexed="81"/>
            <rFont val="宋体"/>
            <family val="3"/>
            <charset val="134"/>
          </rPr>
          <t xml:space="preserve">
提升一定比例的速度,延长对方瞄准时间的比例</t>
        </r>
      </text>
    </comment>
    <comment ref="B13" authorId="0" shapeId="0" xr:uid="{00000000-0006-0000-1700-000008000000}">
      <text>
        <r>
          <rPr>
            <b/>
            <sz val="9"/>
            <color indexed="81"/>
            <rFont val="宋体"/>
            <family val="3"/>
            <charset val="134"/>
          </rPr>
          <t>作者:</t>
        </r>
        <r>
          <rPr>
            <sz val="9"/>
            <color indexed="81"/>
            <rFont val="宋体"/>
            <family val="3"/>
            <charset val="134"/>
          </rPr>
          <t xml:space="preserve">
坦克转向速度和炮塔转向最大速度定义为两个对应的属性.调整转向速度则必定且只需调整炮塔转向速度.而且调整比例为1:2,即增加1度的转向速度,即对应减少2度的炮塔最大转向速度.</t>
        </r>
      </text>
    </comment>
    <comment ref="B15" authorId="1" shapeId="0" xr:uid="{00000000-0006-0000-1700-000009000000}">
      <text>
        <r>
          <rPr>
            <b/>
            <sz val="9"/>
            <color indexed="81"/>
            <rFont val="宋体"/>
            <family val="3"/>
            <charset val="134"/>
          </rPr>
          <t>赵卿:</t>
        </r>
        <r>
          <rPr>
            <sz val="9"/>
            <color indexed="81"/>
            <rFont val="宋体"/>
            <family val="3"/>
            <charset val="134"/>
          </rPr>
          <t xml:space="preserve">
每增加0.1秒射击间隔延长的总战斗时长</t>
        </r>
      </text>
    </comment>
    <comment ref="O18" authorId="1" shapeId="0" xr:uid="{00000000-0006-0000-1700-00000A000000}">
      <text>
        <r>
          <rPr>
            <b/>
            <sz val="9"/>
            <color indexed="81"/>
            <rFont val="宋体"/>
            <family val="3"/>
            <charset val="134"/>
          </rPr>
          <t>赵卿:</t>
        </r>
        <r>
          <rPr>
            <sz val="9"/>
            <color indexed="81"/>
            <rFont val="宋体"/>
            <family val="3"/>
            <charset val="134"/>
          </rPr>
          <t xml:space="preserve">
精准度降低,则伤害上升.</t>
        </r>
      </text>
    </comment>
    <comment ref="P18" authorId="1" shapeId="0" xr:uid="{00000000-0006-0000-1700-00000B000000}">
      <text>
        <r>
          <rPr>
            <b/>
            <sz val="9"/>
            <color indexed="81"/>
            <rFont val="宋体"/>
            <family val="3"/>
            <charset val="134"/>
          </rPr>
          <t>赵卿:</t>
        </r>
        <r>
          <rPr>
            <sz val="9"/>
            <color indexed="81"/>
            <rFont val="宋体"/>
            <family val="3"/>
            <charset val="134"/>
          </rPr>
          <t xml:space="preserve">
射速升高则伤害下降.</t>
        </r>
      </text>
    </comment>
    <comment ref="X18" authorId="1" shapeId="0" xr:uid="{00000000-0006-0000-1700-00000C000000}">
      <text>
        <r>
          <rPr>
            <b/>
            <sz val="9"/>
            <color indexed="81"/>
            <rFont val="宋体"/>
            <family val="3"/>
            <charset val="134"/>
          </rPr>
          <t>赵卿:</t>
        </r>
        <r>
          <rPr>
            <sz val="9"/>
            <color indexed="81"/>
            <rFont val="宋体"/>
            <family val="3"/>
            <charset val="134"/>
          </rPr>
          <t xml:space="preserve">
原有数据,未作修改</t>
        </r>
      </text>
    </comment>
    <comment ref="Y18" authorId="1" shapeId="0" xr:uid="{00000000-0006-0000-1700-00000D000000}">
      <text>
        <r>
          <rPr>
            <b/>
            <sz val="9"/>
            <color indexed="81"/>
            <rFont val="宋体"/>
            <family val="3"/>
            <charset val="134"/>
          </rPr>
          <t>赵卿:</t>
        </r>
        <r>
          <rPr>
            <sz val="9"/>
            <color indexed="81"/>
            <rFont val="宋体"/>
            <family val="3"/>
            <charset val="134"/>
          </rPr>
          <t xml:space="preserve">
炮塔转向角速度用系数</t>
        </r>
      </text>
    </comment>
    <comment ref="Z18" authorId="1" shapeId="0" xr:uid="{00000000-0006-0000-1700-00000E000000}">
      <text>
        <r>
          <rPr>
            <b/>
            <sz val="9"/>
            <color indexed="81"/>
            <rFont val="宋体"/>
            <family val="3"/>
            <charset val="134"/>
          </rPr>
          <t>赵卿:</t>
        </r>
        <r>
          <rPr>
            <sz val="9"/>
            <color indexed="81"/>
            <rFont val="宋体"/>
            <family val="3"/>
            <charset val="134"/>
          </rPr>
          <t xml:space="preserve">
初始的炮塔旋转角速度</t>
        </r>
      </text>
    </comment>
    <comment ref="AA18" authorId="1" shapeId="0" xr:uid="{00000000-0006-0000-1700-00000F000000}">
      <text>
        <r>
          <rPr>
            <b/>
            <sz val="9"/>
            <color indexed="81"/>
            <rFont val="宋体"/>
            <family val="3"/>
            <charset val="134"/>
          </rPr>
          <t>赵卿:</t>
        </r>
        <r>
          <rPr>
            <sz val="9"/>
            <color indexed="81"/>
            <rFont val="宋体"/>
            <family val="3"/>
            <charset val="134"/>
          </rPr>
          <t xml:space="preserve">
最大的炮塔旋转角速度</t>
        </r>
      </text>
    </comment>
    <comment ref="AB18" authorId="1" shapeId="0" xr:uid="{00000000-0006-0000-1700-000010000000}">
      <text>
        <r>
          <rPr>
            <b/>
            <sz val="9"/>
            <color indexed="81"/>
            <rFont val="宋体"/>
            <family val="3"/>
            <charset val="134"/>
          </rPr>
          <t>赵卿:</t>
        </r>
        <r>
          <rPr>
            <sz val="9"/>
            <color indexed="81"/>
            <rFont val="宋体"/>
            <family val="3"/>
            <charset val="134"/>
          </rPr>
          <t xml:space="preserve">
炮塔旋转角速度加速度</t>
        </r>
      </text>
    </comment>
    <comment ref="AC18" authorId="1" shapeId="0" xr:uid="{00000000-0006-0000-1700-000011000000}">
      <text>
        <r>
          <rPr>
            <b/>
            <sz val="9"/>
            <color indexed="81"/>
            <rFont val="宋体"/>
            <family val="3"/>
            <charset val="134"/>
          </rPr>
          <t>赵卿:</t>
        </r>
        <r>
          <rPr>
            <sz val="9"/>
            <color indexed="81"/>
            <rFont val="宋体"/>
            <family val="3"/>
            <charset val="134"/>
          </rPr>
          <t xml:space="preserve">
炮塔旋转造成的偏移角度的上限</t>
        </r>
      </text>
    </comment>
    <comment ref="AD18" authorId="1" shapeId="0" xr:uid="{00000000-0006-0000-1700-000012000000}">
      <text>
        <r>
          <rPr>
            <b/>
            <sz val="9"/>
            <color indexed="81"/>
            <rFont val="宋体"/>
            <family val="3"/>
            <charset val="134"/>
          </rPr>
          <t>赵卿:</t>
        </r>
        <r>
          <rPr>
            <sz val="9"/>
            <color indexed="81"/>
            <rFont val="宋体"/>
            <family val="3"/>
            <charset val="134"/>
          </rPr>
          <t xml:space="preserve">
车身转向速度系数,通过炮塔转向速度系数计算获得.</t>
        </r>
      </text>
    </comment>
    <comment ref="AE18" authorId="1" shapeId="0" xr:uid="{00000000-0006-0000-1700-000013000000}">
      <text>
        <r>
          <rPr>
            <b/>
            <sz val="9"/>
            <color indexed="81"/>
            <rFont val="宋体"/>
            <family val="3"/>
            <charset val="134"/>
          </rPr>
          <t>赵卿:</t>
        </r>
        <r>
          <rPr>
            <sz val="9"/>
            <color indexed="81"/>
            <rFont val="宋体"/>
            <family val="3"/>
            <charset val="134"/>
          </rPr>
          <t xml:space="preserve">
坦克车身旋转时的角速度</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AH3" authorId="0" shapeId="0" xr:uid="{00000000-0006-0000-1800-000001000000}">
      <text>
        <r>
          <rPr>
            <b/>
            <sz val="9"/>
            <color indexed="81"/>
            <rFont val="宋体"/>
            <family val="3"/>
            <charset val="134"/>
          </rPr>
          <t>赵卿:</t>
        </r>
        <r>
          <rPr>
            <sz val="9"/>
            <color indexed="81"/>
            <rFont val="宋体"/>
            <family val="3"/>
            <charset val="134"/>
          </rPr>
          <t xml:space="preserve">
提升20%的瞄准速度</t>
        </r>
      </text>
    </comment>
    <comment ref="B8" authorId="0" shapeId="0" xr:uid="{00000000-0006-0000-1800-000002000000}">
      <text>
        <r>
          <rPr>
            <b/>
            <sz val="9"/>
            <color indexed="81"/>
            <rFont val="宋体"/>
            <family val="3"/>
            <charset val="134"/>
          </rPr>
          <t>赵卿:</t>
        </r>
        <r>
          <rPr>
            <sz val="9"/>
            <color indexed="81"/>
            <rFont val="宋体"/>
            <family val="3"/>
            <charset val="134"/>
          </rPr>
          <t xml:space="preserve">
射速最终能提升的总区间</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B2" authorId="0" shapeId="0" xr:uid="{00000000-0006-0000-1B00-000001000000}">
      <text>
        <r>
          <rPr>
            <b/>
            <sz val="9"/>
            <color indexed="81"/>
            <rFont val="宋体"/>
            <family val="3"/>
            <charset val="134"/>
          </rPr>
          <t>赵卿:</t>
        </r>
        <r>
          <rPr>
            <sz val="9"/>
            <color indexed="81"/>
            <rFont val="宋体"/>
            <family val="3"/>
            <charset val="134"/>
          </rPr>
          <t xml:space="preserve">
同一个属性有两个部件来提供.</t>
        </r>
      </text>
    </comment>
    <comment ref="K3" authorId="0" shapeId="0" xr:uid="{00000000-0006-0000-1B00-000002000000}">
      <text>
        <r>
          <rPr>
            <b/>
            <sz val="9"/>
            <color indexed="81"/>
            <rFont val="宋体"/>
            <family val="3"/>
            <charset val="134"/>
          </rPr>
          <t>赵卿:</t>
        </r>
        <r>
          <rPr>
            <sz val="9"/>
            <color indexed="81"/>
            <rFont val="宋体"/>
            <family val="3"/>
            <charset val="134"/>
          </rPr>
          <t xml:space="preserve">
切换坦克之后,部件在新坦克上面加成的属性百分比降低.但平均增加属性不变.
例:假设T1部件在血量为1000的T1坦克上可以提供100点血量的增长,为10%,若此部件移动到血量为2000的T2坦克上,提升百分比不变的话,则会在没有进行任何养成的情况下额外提升了2000*10%-100=100点的血量,因此部件放到高Tier坦克上时需要进行效果衰减.</t>
        </r>
      </text>
    </comment>
    <comment ref="R3" authorId="0" shapeId="0" xr:uid="{00000000-0006-0000-1B00-000003000000}">
      <text>
        <r>
          <rPr>
            <b/>
            <sz val="9"/>
            <color indexed="81"/>
            <rFont val="宋体"/>
            <family val="3"/>
            <charset val="134"/>
          </rPr>
          <t>赵卿:</t>
        </r>
        <r>
          <rPr>
            <sz val="9"/>
            <color indexed="81"/>
            <rFont val="宋体"/>
            <family val="3"/>
            <charset val="134"/>
          </rPr>
          <t xml:space="preserve">
部件从低级坦克换到高级坦克后损失的提升百分比在新的升级过程中获得.因此新的升级过程中增加的比例提升.</t>
        </r>
      </text>
    </comment>
    <comment ref="B5" authorId="0" shapeId="0" xr:uid="{00000000-0006-0000-1B00-000004000000}">
      <text>
        <r>
          <rPr>
            <b/>
            <sz val="9"/>
            <color indexed="81"/>
            <rFont val="宋体"/>
            <family val="3"/>
            <charset val="134"/>
          </rPr>
          <t>赵卿:</t>
        </r>
        <r>
          <rPr>
            <sz val="9"/>
            <color indexed="81"/>
            <rFont val="宋体"/>
            <family val="3"/>
            <charset val="134"/>
          </rPr>
          <t xml:space="preserve">
设定部件每提升一次等级所能提升的坦克基础属性的比例.</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赵卿</author>
  </authors>
  <commentList>
    <comment ref="C2" authorId="0" shapeId="0" xr:uid="{00000000-0006-0000-0200-000004000000}">
      <text>
        <r>
          <rPr>
            <b/>
            <sz val="9"/>
            <color indexed="81"/>
            <rFont val="宋体"/>
            <family val="3"/>
            <charset val="134"/>
          </rPr>
          <t>赵卿:</t>
        </r>
        <r>
          <rPr>
            <sz val="9"/>
            <color indexed="81"/>
            <rFont val="宋体"/>
            <family val="3"/>
            <charset val="134"/>
          </rPr>
          <t xml:space="preserve">
原来版本中的科技点被去掉了,按价值转换为军费,玩家Rank等级高的获得补偿高.</t>
        </r>
      </text>
    </comment>
  </commentList>
</comments>
</file>

<file path=xl/sharedStrings.xml><?xml version="1.0" encoding="utf-8"?>
<sst xmlns="http://schemas.openxmlformats.org/spreadsheetml/2006/main" count="18996" uniqueCount="3421">
  <si>
    <t>玩家可预期伤害</t>
    <phoneticPr fontId="101" type="noConversion"/>
  </si>
  <si>
    <t>越接近坦克中间伤害越高</t>
    <phoneticPr fontId="101" type="noConversion"/>
  </si>
  <si>
    <t>玩法约定</t>
    <phoneticPr fontId="101" type="noConversion"/>
  </si>
  <si>
    <t>射击距离</t>
    <phoneticPr fontId="101" type="noConversion"/>
  </si>
  <si>
    <t>坦克类型</t>
    <phoneticPr fontId="101" type="noConversion"/>
  </si>
  <si>
    <t>轻坦</t>
    <phoneticPr fontId="101" type="noConversion"/>
  </si>
  <si>
    <t>重坦</t>
    <phoneticPr fontId="101" type="noConversion"/>
  </si>
  <si>
    <t>中坦</t>
    <phoneticPr fontId="101" type="noConversion"/>
  </si>
  <si>
    <t>单发伤害</t>
    <phoneticPr fontId="101" type="noConversion"/>
  </si>
  <si>
    <t>瞄准精度</t>
    <phoneticPr fontId="101" type="noConversion"/>
  </si>
  <si>
    <t>机动效率</t>
    <phoneticPr fontId="101" type="noConversion"/>
  </si>
  <si>
    <t>装甲厚度</t>
    <phoneticPr fontId="101" type="noConversion"/>
  </si>
  <si>
    <t>低</t>
    <phoneticPr fontId="101" type="noConversion"/>
  </si>
  <si>
    <t>高</t>
  </si>
  <si>
    <t>高</t>
    <phoneticPr fontId="101" type="noConversion"/>
  </si>
  <si>
    <t>低</t>
    <phoneticPr fontId="101" type="noConversion"/>
  </si>
  <si>
    <t>高</t>
    <phoneticPr fontId="101" type="noConversion"/>
  </si>
  <si>
    <t>瞄准速度</t>
    <phoneticPr fontId="101" type="noConversion"/>
  </si>
  <si>
    <t>高</t>
    <phoneticPr fontId="101" type="noConversion"/>
  </si>
  <si>
    <t>低</t>
    <phoneticPr fontId="101" type="noConversion"/>
  </si>
  <si>
    <t>低</t>
    <phoneticPr fontId="101" type="noConversion"/>
  </si>
  <si>
    <t>高</t>
    <phoneticPr fontId="101" type="noConversion"/>
  </si>
  <si>
    <t>中</t>
    <phoneticPr fontId="101" type="noConversion"/>
  </si>
  <si>
    <t>坦克类型</t>
    <phoneticPr fontId="101" type="noConversion"/>
  </si>
  <si>
    <t>轻坦</t>
    <phoneticPr fontId="101" type="noConversion"/>
  </si>
  <si>
    <t>中坦</t>
    <phoneticPr fontId="101" type="noConversion"/>
  </si>
  <si>
    <t>重坦</t>
    <phoneticPr fontId="101" type="noConversion"/>
  </si>
  <si>
    <t>标准射击距离</t>
    <phoneticPr fontId="101" type="noConversion"/>
  </si>
  <si>
    <t>始衰减距离</t>
    <phoneticPr fontId="101" type="noConversion"/>
  </si>
  <si>
    <t>终衰减距离</t>
    <phoneticPr fontId="101" type="noConversion"/>
  </si>
  <si>
    <t>坦克特征统计</t>
    <phoneticPr fontId="101" type="noConversion"/>
  </si>
  <si>
    <t>对应ID</t>
    <phoneticPr fontId="101" type="noConversion"/>
  </si>
  <si>
    <t>装弹类型</t>
    <phoneticPr fontId="101" type="noConversion"/>
  </si>
  <si>
    <t>单发时间</t>
    <phoneticPr fontId="101" type="noConversion"/>
  </si>
  <si>
    <t>无</t>
    <phoneticPr fontId="101" type="noConversion"/>
  </si>
  <si>
    <t>炮弹装弹</t>
    <phoneticPr fontId="101" type="noConversion"/>
  </si>
  <si>
    <t>单发</t>
    <phoneticPr fontId="101" type="noConversion"/>
  </si>
  <si>
    <t>4-8秒</t>
  </si>
  <si>
    <t>有</t>
    <phoneticPr fontId="101" type="noConversion"/>
  </si>
  <si>
    <t>单发</t>
    <phoneticPr fontId="101" type="noConversion"/>
  </si>
  <si>
    <t>3.5-4.5秒</t>
  </si>
  <si>
    <t>有</t>
    <phoneticPr fontId="101" type="noConversion"/>
  </si>
  <si>
    <t>弹夹替换</t>
    <phoneticPr fontId="101" type="noConversion"/>
  </si>
  <si>
    <t>1.5-3秒</t>
  </si>
  <si>
    <t>3.5秒</t>
  </si>
  <si>
    <t>主炮类型</t>
    <phoneticPr fontId="101" type="noConversion"/>
  </si>
  <si>
    <t>弹夹容量</t>
    <phoneticPr fontId="101" type="noConversion"/>
  </si>
  <si>
    <t>装弹按键</t>
    <phoneticPr fontId="101" type="noConversion"/>
  </si>
  <si>
    <t>发射类型</t>
    <phoneticPr fontId="101" type="noConversion"/>
  </si>
  <si>
    <t>弹夹时间</t>
    <phoneticPr fontId="101" type="noConversion"/>
  </si>
  <si>
    <t>射击间隔</t>
    <phoneticPr fontId="101" type="noConversion"/>
  </si>
  <si>
    <t>无</t>
    <phoneticPr fontId="101" type="noConversion"/>
  </si>
  <si>
    <t>炮弹装弹</t>
    <phoneticPr fontId="101" type="noConversion"/>
  </si>
  <si>
    <t>15秒</t>
    <phoneticPr fontId="101" type="noConversion"/>
  </si>
  <si>
    <t>弹夹替换</t>
    <phoneticPr fontId="101" type="noConversion"/>
  </si>
  <si>
    <t>散射</t>
    <phoneticPr fontId="101" type="noConversion"/>
  </si>
  <si>
    <t>炮弹装弹</t>
    <phoneticPr fontId="101" type="noConversion"/>
  </si>
  <si>
    <t>gunType</t>
  </si>
  <si>
    <t>主炮类型</t>
  </si>
  <si>
    <t>bullet</t>
  </si>
  <si>
    <t>弹夹容量</t>
  </si>
  <si>
    <t>reloadType</t>
  </si>
  <si>
    <t>上弹方式</t>
  </si>
  <si>
    <t>bulletTime</t>
  </si>
  <si>
    <t>maxAttack</t>
  </si>
  <si>
    <t>最大炮弹伤害</t>
  </si>
  <si>
    <t>attackCd</t>
  </si>
  <si>
    <t>hitAimDisturb</t>
  </si>
  <si>
    <t>每次攻击给对方造成的偏移角度</t>
  </si>
  <si>
    <t>minScatteringAngle</t>
  </si>
  <si>
    <t>最小极限偏移角度</t>
  </si>
  <si>
    <t>每次射击瞬间扩大的偏移角度</t>
  </si>
  <si>
    <t>shootScatteringTime</t>
  </si>
  <si>
    <t>射击缩圈滞留时间(秒)</t>
  </si>
  <si>
    <t>aimingSpeed</t>
  </si>
  <si>
    <t>瞄准速度(每帧偏移角度缩小)</t>
  </si>
  <si>
    <t>口径类型(影响客户端开火特效)</t>
  </si>
  <si>
    <t>turretStartAngularSpeed</t>
  </si>
  <si>
    <t>炮塔旋转初始角速度</t>
  </si>
  <si>
    <t>炮塔转向最大角速度(度/秒)</t>
  </si>
  <si>
    <t>turretAngularAcc</t>
  </si>
  <si>
    <t>炮塔旋转加速度</t>
  </si>
  <si>
    <t>turretSpinScatteringAngleExpand</t>
  </si>
  <si>
    <t>炮塔旋转每帧扩大的偏移角度</t>
  </si>
  <si>
    <t>turretSpinScatteringAngleExpandLimit</t>
  </si>
  <si>
    <t>炮塔旋转造成的偏移角度上限</t>
  </si>
  <si>
    <t>turretStuckHp</t>
  </si>
  <si>
    <t>炮塔卡住-血量</t>
  </si>
  <si>
    <t>turretStuckHit</t>
  </si>
  <si>
    <t>炮塔卡住-命中概率</t>
  </si>
  <si>
    <t>hp</t>
  </si>
  <si>
    <t>HP</t>
  </si>
  <si>
    <t>ramDmgRate</t>
  </si>
  <si>
    <t>撞击反弹伤害基础比例</t>
  </si>
  <si>
    <t>ramMaxDmg</t>
  </si>
  <si>
    <t>撞击伤害</t>
  </si>
  <si>
    <t>前进最大速度(米/秒)</t>
  </si>
  <si>
    <t>backwardMaxSpeed</t>
  </si>
  <si>
    <t>后退极限速度</t>
  </si>
  <si>
    <t>前进加速度</t>
  </si>
  <si>
    <t>backwardAcc</t>
  </si>
  <si>
    <t>后退加速度</t>
  </si>
  <si>
    <t>onFireHp</t>
  </si>
  <si>
    <t>引擎起火-血量</t>
  </si>
  <si>
    <t>onFireHit</t>
  </si>
  <si>
    <t>引擎起火-命中概率</t>
  </si>
  <si>
    <t>坦克转向速度(度/秒)</t>
  </si>
  <si>
    <t>moveScatteringAngleExpand</t>
  </si>
  <si>
    <t>坦克移动每帧扩大的偏移角度</t>
  </si>
  <si>
    <t>moveScatteringAngleExpandLimit</t>
  </si>
  <si>
    <t>坦克移动造成的偏移角度上限</t>
  </si>
  <si>
    <t>spinScatteringAngleExpand</t>
  </si>
  <si>
    <t>坦克自转每帧扩大的偏移角度</t>
  </si>
  <si>
    <t>spinScatteringAngleExpandLimit</t>
  </si>
  <si>
    <t>坦克自转造成的偏移角度上限</t>
  </si>
  <si>
    <t>anchorHp</t>
  </si>
  <si>
    <t>悬挂击毁-血量</t>
  </si>
  <si>
    <t>anchorHit</t>
  </si>
  <si>
    <t>悬挂击毁-命中概率</t>
  </si>
  <si>
    <t>bodyLength</t>
  </si>
  <si>
    <t>长</t>
  </si>
  <si>
    <t>bodyWidth</t>
  </si>
  <si>
    <t>宽</t>
  </si>
  <si>
    <t>bodyTall</t>
  </si>
  <si>
    <t>onFireRepair</t>
  </si>
  <si>
    <t>引擎起火-修复时间</t>
  </si>
  <si>
    <t>turretStuckRepair</t>
  </si>
  <si>
    <t>炮塔卡住-修复时间</t>
  </si>
  <si>
    <t>anchorRepair</t>
  </si>
  <si>
    <t>悬挂击毁-修复时间</t>
  </si>
  <si>
    <t>ramMinSpeed</t>
  </si>
  <si>
    <t>撞击伤害最小速度比值</t>
  </si>
  <si>
    <t>被击中造成的偏移角度上限</t>
  </si>
  <si>
    <t>hitScatteringTime</t>
  </si>
  <si>
    <t>被击中后缩圈滞留时间(秒)</t>
  </si>
  <si>
    <t>forwardStopAcc</t>
  </si>
  <si>
    <t>前进停止加速度</t>
  </si>
  <si>
    <t>backwardStopAcc</t>
  </si>
  <si>
    <t>后退停止加速度</t>
  </si>
  <si>
    <t>turnMaxSpeedRate</t>
  </si>
  <si>
    <t>移动中转向-前进后退最大速度比例</t>
  </si>
  <si>
    <t>turnAccRate</t>
  </si>
  <si>
    <t>移动中转向-前进后退加速度比例</t>
  </si>
  <si>
    <t>turnSlowAccRate</t>
  </si>
  <si>
    <t>移动中转向-前进后退降速加速度比例</t>
  </si>
  <si>
    <t>scopeFovRate</t>
  </si>
  <si>
    <t>开镜倍率</t>
  </si>
  <si>
    <t>switchFovTime</t>
  </si>
  <si>
    <t>开镜所需时间</t>
  </si>
  <si>
    <t>onminuteShootSpeed</t>
  </si>
  <si>
    <t>射速(发/分钟)</t>
  </si>
  <si>
    <t>magazineTime</t>
  </si>
  <si>
    <t>弹夹装填时间(秒)</t>
  </si>
  <si>
    <t>maxPower</t>
  </si>
  <si>
    <t>最大穿透力</t>
  </si>
  <si>
    <t>minPower</t>
  </si>
  <si>
    <t>最小穿透力</t>
  </si>
  <si>
    <t>minRange</t>
  </si>
  <si>
    <t>最小衰减距离</t>
  </si>
  <si>
    <t>maxRange</t>
  </si>
  <si>
    <t>最大衰减距离</t>
  </si>
  <si>
    <t>minAttack</t>
  </si>
  <si>
    <t>最小炮弹伤害</t>
  </si>
  <si>
    <t>armorValueTurret</t>
  </si>
  <si>
    <t>炮塔装甲厚度</t>
  </si>
  <si>
    <t>线性递减最小参数</t>
  </si>
  <si>
    <t>dmgParaMaxTurret</t>
  </si>
  <si>
    <t>线性递减最大参数</t>
  </si>
  <si>
    <t>armorValueBody</t>
  </si>
  <si>
    <t>车身装甲厚度</t>
  </si>
  <si>
    <t>dmgParaMinBody</t>
  </si>
  <si>
    <t>dmgParaMaxBody</t>
  </si>
  <si>
    <t>armorValueEngine</t>
  </si>
  <si>
    <t>引擎装甲厚度</t>
  </si>
  <si>
    <t>dmgParaMinEngine</t>
  </si>
  <si>
    <t>dmgParaMaxEngine</t>
  </si>
  <si>
    <t>armorValueTracks</t>
  </si>
  <si>
    <t>履带装甲厚度</t>
  </si>
  <si>
    <t>dmgParaMinTracks</t>
  </si>
  <si>
    <t>dmgParaMaxTracks</t>
  </si>
  <si>
    <t>reloadEfficiency</t>
  </si>
  <si>
    <t>装填效率(实际装弹时间=装弹时间/(1+装填效率))</t>
  </si>
  <si>
    <t>aimingTime</t>
  </si>
  <si>
    <t>瞄准时间(秒)</t>
  </si>
  <si>
    <t>hitAimDisturbPara</t>
  </si>
  <si>
    <t>被击偏移角度系数</t>
  </si>
  <si>
    <t>属性ID</t>
    <phoneticPr fontId="101" type="noConversion"/>
  </si>
  <si>
    <t>属性名称</t>
    <phoneticPr fontId="101" type="noConversion"/>
  </si>
  <si>
    <t>属性说明</t>
    <phoneticPr fontId="101" type="noConversion"/>
  </si>
  <si>
    <t>炮弹装填时间</t>
    <phoneticPr fontId="101" type="noConversion"/>
  </si>
  <si>
    <t>弹夹炮射击间隔</t>
    <phoneticPr fontId="101" type="noConversion"/>
  </si>
  <si>
    <t>详细说明</t>
    <phoneticPr fontId="101" type="noConversion"/>
  </si>
  <si>
    <t>霰弹炮</t>
  </si>
  <si>
    <t>如右侧说明</t>
    <phoneticPr fontId="101" type="noConversion"/>
  </si>
  <si>
    <t>可否连射</t>
    <phoneticPr fontId="101" type="noConversion"/>
  </si>
  <si>
    <t>不可</t>
    <phoneticPr fontId="101" type="noConversion"/>
  </si>
  <si>
    <t>可</t>
    <phoneticPr fontId="101" type="noConversion"/>
  </si>
  <si>
    <t>可</t>
    <phoneticPr fontId="101" type="noConversion"/>
  </si>
  <si>
    <t>不可</t>
    <phoneticPr fontId="101" type="noConversion"/>
  </si>
  <si>
    <t>单发炮弹发射后,自动装填炮弹,装填过程不可干预,装填完成后可发射下一发.</t>
    <phoneticPr fontId="101" type="noConversion"/>
  </si>
  <si>
    <t>单发炮弹发射后,手动装填炮弹,装填中点击射击则会打断当前装填进程,弹夹中炮弹打完后自动装填</t>
    <phoneticPr fontId="101" type="noConversion"/>
  </si>
  <si>
    <t>单发炮弹发射后,弹夹中如果还有炮弹则可继续开炮,没有炮弹则自动换弹夹,弹夹更换完成后可继续射击.</t>
    <phoneticPr fontId="101" type="noConversion"/>
  </si>
  <si>
    <t>单发炮弹发射后,玩家可手动控制替换弹夹,弹夹更换完成后可继续射击.</t>
    <phoneticPr fontId="101" type="noConversion"/>
  </si>
  <si>
    <t>一次性发射所有炮弹,之后自动进入装填阶段,装填完成后可再次发射.</t>
    <phoneticPr fontId="101" type="noConversion"/>
  </si>
  <si>
    <t>单发炮弹发射后,自动开始下一发炮弹的装填,装填过程中可以进行发射.弹夹空则不能发射</t>
    <phoneticPr fontId="101" type="noConversion"/>
  </si>
  <si>
    <t>单发/弹夹</t>
    <phoneticPr fontId="101" type="noConversion"/>
  </si>
  <si>
    <t>秒</t>
    <phoneticPr fontId="101" type="noConversion"/>
  </si>
  <si>
    <t>秒</t>
    <phoneticPr fontId="101" type="noConversion"/>
  </si>
  <si>
    <t>缩圈最小角度</t>
    <phoneticPr fontId="101" type="noConversion"/>
  </si>
  <si>
    <t>跟坦克类型相关</t>
    <phoneticPr fontId="101" type="noConversion"/>
  </si>
  <si>
    <t>坦克类型</t>
    <phoneticPr fontId="101" type="noConversion"/>
  </si>
  <si>
    <t>轻坦</t>
    <phoneticPr fontId="101" type="noConversion"/>
  </si>
  <si>
    <t>重坦</t>
    <phoneticPr fontId="101" type="noConversion"/>
  </si>
  <si>
    <t>射击流程</t>
    <phoneticPr fontId="101" type="noConversion"/>
  </si>
  <si>
    <t>通用数据</t>
    <phoneticPr fontId="101" type="noConversion"/>
  </si>
  <si>
    <t>射击滞留</t>
    <phoneticPr fontId="101" type="noConversion"/>
  </si>
  <si>
    <t>被击偏移角度系数</t>
    <phoneticPr fontId="101" type="noConversion"/>
  </si>
  <si>
    <t>偏移系数</t>
    <phoneticPr fontId="101" type="noConversion"/>
  </si>
  <si>
    <t>跟坦克类型相关</t>
    <phoneticPr fontId="101" type="noConversion"/>
  </si>
  <si>
    <t>跟坦克类型相关区间</t>
    <phoneticPr fontId="101" type="noConversion"/>
  </si>
  <si>
    <t>跟坦克类型相关</t>
    <phoneticPr fontId="101" type="noConversion"/>
  </si>
  <si>
    <t>坦克长度</t>
    <phoneticPr fontId="101" type="noConversion"/>
  </si>
  <si>
    <t>坦克宽度</t>
    <phoneticPr fontId="101" type="noConversion"/>
  </si>
  <si>
    <t>坦克类型</t>
    <phoneticPr fontId="101" type="noConversion"/>
  </si>
  <si>
    <t>重坦</t>
    <phoneticPr fontId="101" type="noConversion"/>
  </si>
  <si>
    <t>原有坦克大小数据</t>
    <phoneticPr fontId="101" type="noConversion"/>
  </si>
  <si>
    <t>坦克对角线</t>
    <phoneticPr fontId="101" type="noConversion"/>
  </si>
  <si>
    <t>轻坦</t>
    <phoneticPr fontId="101" type="noConversion"/>
  </si>
  <si>
    <t>中坦</t>
    <phoneticPr fontId="101" type="noConversion"/>
  </si>
  <si>
    <t>重坦</t>
    <phoneticPr fontId="101" type="noConversion"/>
  </si>
  <si>
    <t>对角线平均值</t>
    <phoneticPr fontId="101" type="noConversion"/>
  </si>
  <si>
    <t>坦克大小统计</t>
    <phoneticPr fontId="101" type="noConversion"/>
  </si>
  <si>
    <t>坦克瞄准最小圈系数</t>
    <phoneticPr fontId="101" type="noConversion"/>
  </si>
  <si>
    <t>瞄准系数</t>
    <phoneticPr fontId="101" type="noConversion"/>
  </si>
  <si>
    <t>半系数</t>
    <phoneticPr fontId="101" type="noConversion"/>
  </si>
  <si>
    <t>最小角度</t>
    <phoneticPr fontId="101" type="noConversion"/>
  </si>
  <si>
    <t>瞄轻坦比例</t>
    <phoneticPr fontId="101" type="noConversion"/>
  </si>
  <si>
    <t>瞄中坦比例</t>
    <phoneticPr fontId="101" type="noConversion"/>
  </si>
  <si>
    <t>瞄重坦比例</t>
    <phoneticPr fontId="101" type="noConversion"/>
  </si>
  <si>
    <t>最小圈下互相瞄准</t>
    <phoneticPr fontId="101" type="noConversion"/>
  </si>
  <si>
    <t>标准开炮数</t>
    <phoneticPr fontId="101" type="noConversion"/>
  </si>
  <si>
    <t>单发偏移角</t>
    <phoneticPr fontId="101" type="noConversion"/>
  </si>
  <si>
    <t>轻坦弹夹</t>
    <phoneticPr fontId="101" type="noConversion"/>
  </si>
  <si>
    <t>中坦单发</t>
    <phoneticPr fontId="101" type="noConversion"/>
  </si>
  <si>
    <t>中坦弹夹</t>
    <phoneticPr fontId="101" type="noConversion"/>
  </si>
  <si>
    <t>重坦单发</t>
    <phoneticPr fontId="101" type="noConversion"/>
  </si>
  <si>
    <t>射击间隔min</t>
    <phoneticPr fontId="101" type="noConversion"/>
  </si>
  <si>
    <t>射击间隔max</t>
    <phoneticPr fontId="101" type="noConversion"/>
  </si>
  <si>
    <t>瞄准速度</t>
    <phoneticPr fontId="101" type="noConversion"/>
  </si>
  <si>
    <t>瞄准时间</t>
    <phoneticPr fontId="101" type="noConversion"/>
  </si>
  <si>
    <t>攻击给对方造成的偏移角度</t>
    <phoneticPr fontId="101" type="noConversion"/>
  </si>
  <si>
    <t>坦克类型</t>
    <phoneticPr fontId="101" type="noConversion"/>
  </si>
  <si>
    <t>瞄准时间</t>
    <phoneticPr fontId="101" type="noConversion"/>
  </si>
  <si>
    <t>中坦偏移角</t>
    <phoneticPr fontId="101" type="noConversion"/>
  </si>
  <si>
    <t>重坦偏移角</t>
    <phoneticPr fontId="101" type="noConversion"/>
  </si>
  <si>
    <t>被击后比例</t>
    <phoneticPr fontId="101" type="noConversion"/>
  </si>
  <si>
    <t>原瞄准比例</t>
    <phoneticPr fontId="101" type="noConversion"/>
  </si>
  <si>
    <t>需瞄准时间</t>
    <phoneticPr fontId="101" type="noConversion"/>
  </si>
  <si>
    <t>攻击给轻坦造成的偏移角度的效果</t>
    <phoneticPr fontId="101" type="noConversion"/>
  </si>
  <si>
    <t>增加偏移角</t>
    <phoneticPr fontId="101" type="noConversion"/>
  </si>
  <si>
    <t>攻击给中坦造成的偏移角度的效果</t>
    <phoneticPr fontId="101" type="noConversion"/>
  </si>
  <si>
    <t>攻击给重坦造成的偏移角度的效果</t>
    <phoneticPr fontId="101" type="noConversion"/>
  </si>
  <si>
    <t>2发被击</t>
    <phoneticPr fontId="101" type="noConversion"/>
  </si>
  <si>
    <t>3发被击</t>
    <phoneticPr fontId="101" type="noConversion"/>
  </si>
  <si>
    <t>全覆盖偏移</t>
    <phoneticPr fontId="101" type="noConversion"/>
  </si>
  <si>
    <t>偏移上限</t>
    <phoneticPr fontId="101" type="noConversion"/>
  </si>
  <si>
    <t>每秒帧数</t>
    <phoneticPr fontId="101" type="noConversion"/>
  </si>
  <si>
    <t>炮塔旋转造成的偏移角度</t>
    <phoneticPr fontId="101" type="noConversion"/>
  </si>
  <si>
    <t>原最小角度</t>
    <phoneticPr fontId="101" type="noConversion"/>
  </si>
  <si>
    <t>射击后角度</t>
    <phoneticPr fontId="101" type="noConversion"/>
  </si>
  <si>
    <t>偏移角度</t>
    <phoneticPr fontId="101" type="noConversion"/>
  </si>
  <si>
    <t>偏移后比例</t>
    <phoneticPr fontId="101" type="noConversion"/>
  </si>
  <si>
    <t>期望扩大比</t>
    <phoneticPr fontId="101" type="noConversion"/>
  </si>
  <si>
    <t>角度扩大比</t>
    <phoneticPr fontId="101" type="noConversion"/>
  </si>
  <si>
    <t>原瞄准比例</t>
    <phoneticPr fontId="101" type="noConversion"/>
  </si>
  <si>
    <t>帧偏移角度</t>
    <phoneticPr fontId="101" type="noConversion"/>
  </si>
  <si>
    <t>坦克移动造成的偏移角度</t>
    <phoneticPr fontId="101" type="noConversion"/>
  </si>
  <si>
    <t>坦克移动同时旋转炮塔造成的偏移角度影响</t>
    <phoneticPr fontId="101" type="noConversion"/>
  </si>
  <si>
    <t>运动中角度</t>
    <phoneticPr fontId="101" type="noConversion"/>
  </si>
  <si>
    <t>瞄轻坦</t>
    <phoneticPr fontId="101" type="noConversion"/>
  </si>
  <si>
    <t>瞄中坦</t>
    <phoneticPr fontId="101" type="noConversion"/>
  </si>
  <si>
    <t>瞄重坦</t>
    <phoneticPr fontId="101" type="noConversion"/>
  </si>
  <si>
    <t>瞄中坦</t>
    <phoneticPr fontId="101" type="noConversion"/>
  </si>
  <si>
    <t>瞄重坦</t>
    <phoneticPr fontId="101" type="noConversion"/>
  </si>
  <si>
    <t>瞄轻坦</t>
    <phoneticPr fontId="101" type="noConversion"/>
  </si>
  <si>
    <t>瞄重坦</t>
    <phoneticPr fontId="101" type="noConversion"/>
  </si>
  <si>
    <t>瞄轻坦</t>
    <phoneticPr fontId="101" type="noConversion"/>
  </si>
  <si>
    <t>炮塔转向角速度</t>
    <phoneticPr fontId="101" type="noConversion"/>
  </si>
  <si>
    <t>坦克行进速度</t>
    <phoneticPr fontId="101" type="noConversion"/>
  </si>
  <si>
    <t>轻坦</t>
    <phoneticPr fontId="101" type="noConversion"/>
  </si>
  <si>
    <t>中坦</t>
    <phoneticPr fontId="101" type="noConversion"/>
  </si>
  <si>
    <t>重坦</t>
    <phoneticPr fontId="101" type="noConversion"/>
  </si>
  <si>
    <t>标准地图(米)</t>
    <phoneticPr fontId="101" type="noConversion"/>
  </si>
  <si>
    <t>遇敌时间</t>
    <phoneticPr fontId="101" type="noConversion"/>
  </si>
  <si>
    <t>行进距离</t>
    <phoneticPr fontId="101" type="noConversion"/>
  </si>
  <si>
    <t>速度(米/秒)</t>
    <phoneticPr fontId="101" type="noConversion"/>
  </si>
  <si>
    <t>速度(km/h)</t>
    <phoneticPr fontId="101" type="noConversion"/>
  </si>
  <si>
    <t>最小速度</t>
    <phoneticPr fontId="101" type="noConversion"/>
  </si>
  <si>
    <t>最大速度</t>
    <phoneticPr fontId="101" type="noConversion"/>
  </si>
  <si>
    <t>max遇敌</t>
    <phoneticPr fontId="101" type="noConversion"/>
  </si>
  <si>
    <t>min遇敌</t>
    <phoneticPr fontId="101" type="noConversion"/>
  </si>
  <si>
    <t>加速度</t>
    <phoneticPr fontId="101" type="noConversion"/>
  </si>
  <si>
    <t>加速时间</t>
    <phoneticPr fontId="101" type="noConversion"/>
  </si>
  <si>
    <t>最小前进</t>
    <phoneticPr fontId="101" type="noConversion"/>
  </si>
  <si>
    <t>最大前进</t>
    <phoneticPr fontId="101" type="noConversion"/>
  </si>
  <si>
    <t>加速(m/s²)</t>
    <phoneticPr fontId="101" type="noConversion"/>
  </si>
  <si>
    <t>最小后退</t>
    <phoneticPr fontId="101" type="noConversion"/>
  </si>
  <si>
    <t>最大后退</t>
    <phoneticPr fontId="101" type="noConversion"/>
  </si>
  <si>
    <t>后退加速</t>
    <phoneticPr fontId="101" type="noConversion"/>
  </si>
  <si>
    <t>后退系数</t>
    <phoneticPr fontId="101" type="noConversion"/>
  </si>
  <si>
    <t>最小后退</t>
    <phoneticPr fontId="101" type="noConversion"/>
  </si>
  <si>
    <t>加速(m/s²)</t>
    <phoneticPr fontId="101" type="noConversion"/>
  </si>
  <si>
    <t>坦克后退速度区间</t>
    <phoneticPr fontId="101" type="noConversion"/>
  </si>
  <si>
    <t>坦克速度统计</t>
    <phoneticPr fontId="101" type="noConversion"/>
  </si>
  <si>
    <t>初始角速度</t>
    <phoneticPr fontId="101" type="noConversion"/>
  </si>
  <si>
    <t>角速度上限</t>
    <phoneticPr fontId="101" type="noConversion"/>
  </si>
  <si>
    <t>标准距离</t>
    <phoneticPr fontId="101" type="noConversion"/>
  </si>
  <si>
    <t>瞄准时间</t>
    <phoneticPr fontId="101" type="noConversion"/>
  </si>
  <si>
    <t>近距离</t>
    <phoneticPr fontId="101" type="noConversion"/>
  </si>
  <si>
    <t>实际时间1</t>
    <phoneticPr fontId="101" type="noConversion"/>
  </si>
  <si>
    <t>实际时间2</t>
    <phoneticPr fontId="101" type="noConversion"/>
  </si>
  <si>
    <t>最终速度1</t>
    <phoneticPr fontId="101" type="noConversion"/>
  </si>
  <si>
    <t>最终速度2</t>
    <phoneticPr fontId="101" type="noConversion"/>
  </si>
  <si>
    <t>最终速度3</t>
    <phoneticPr fontId="101" type="noConversion"/>
  </si>
  <si>
    <t>实际时间3</t>
    <phoneticPr fontId="101" type="noConversion"/>
  </si>
  <si>
    <t>近距45°</t>
    <phoneticPr fontId="101" type="noConversion"/>
  </si>
  <si>
    <t>近距90°</t>
    <phoneticPr fontId="101" type="noConversion"/>
  </si>
  <si>
    <t>不同情形下不同类型坦克瞄准速度差异</t>
    <phoneticPr fontId="101" type="noConversion"/>
  </si>
  <si>
    <t>追轻坦</t>
    <phoneticPr fontId="101" type="noConversion"/>
  </si>
  <si>
    <t>追中坦</t>
    <phoneticPr fontId="101" type="noConversion"/>
  </si>
  <si>
    <t>追重坦</t>
    <phoneticPr fontId="101" type="noConversion"/>
  </si>
  <si>
    <t>45*追中坦</t>
    <phoneticPr fontId="101" type="noConversion"/>
  </si>
  <si>
    <t>45*追重坦</t>
    <phoneticPr fontId="101" type="noConversion"/>
  </si>
  <si>
    <t>90*追轻坦</t>
  </si>
  <si>
    <t>90*追中坦</t>
  </si>
  <si>
    <t>90*追重坦</t>
  </si>
  <si>
    <t>坦克追逐模拟,最终角速度</t>
    <phoneticPr fontId="101" type="noConversion"/>
  </si>
  <si>
    <t>坦克追逐模拟,追逐时长</t>
    <phoneticPr fontId="101" type="noConversion"/>
  </si>
  <si>
    <t>坦克旋转角速度</t>
    <phoneticPr fontId="101" type="noConversion"/>
  </si>
  <si>
    <t>旋转速度</t>
    <phoneticPr fontId="101" type="noConversion"/>
  </si>
  <si>
    <t>移动中转向比例系数</t>
    <phoneticPr fontId="101" type="noConversion"/>
  </si>
  <si>
    <t>最大速度</t>
    <phoneticPr fontId="101" type="noConversion"/>
  </si>
  <si>
    <t>加速度</t>
    <phoneticPr fontId="101" type="noConversion"/>
  </si>
  <si>
    <t>退加速度</t>
    <phoneticPr fontId="101" type="noConversion"/>
  </si>
  <si>
    <t>物理标准值</t>
    <phoneticPr fontId="101" type="noConversion"/>
  </si>
  <si>
    <t>撞击伤害基础系数</t>
    <phoneticPr fontId="101" type="noConversion"/>
  </si>
  <si>
    <t>属性名称</t>
  </si>
  <si>
    <t>属性名称</t>
    <phoneticPr fontId="101" type="noConversion"/>
  </si>
  <si>
    <t>最小速度比</t>
    <phoneticPr fontId="101" type="noConversion"/>
  </si>
  <si>
    <t>基础反弹比</t>
    <phoneticPr fontId="101" type="noConversion"/>
  </si>
  <si>
    <t>属性值</t>
  </si>
  <si>
    <t>属性值</t>
    <phoneticPr fontId="101" type="noConversion"/>
  </si>
  <si>
    <t>部位受到伤害值系数</t>
    <phoneticPr fontId="101" type="noConversion"/>
  </si>
  <si>
    <t>部位名称</t>
    <phoneticPr fontId="101" type="noConversion"/>
  </si>
  <si>
    <t>CENTER</t>
    <phoneticPr fontId="101" type="noConversion"/>
  </si>
  <si>
    <t>炮塔</t>
    <phoneticPr fontId="101" type="noConversion"/>
  </si>
  <si>
    <t>车身</t>
    <phoneticPr fontId="101" type="noConversion"/>
  </si>
  <si>
    <t>履带</t>
    <phoneticPr fontId="101" type="noConversion"/>
  </si>
  <si>
    <t>最小系数</t>
    <phoneticPr fontId="101" type="noConversion"/>
  </si>
  <si>
    <t>最大系数</t>
    <phoneticPr fontId="101" type="noConversion"/>
  </si>
  <si>
    <t>标准Center大小</t>
    <phoneticPr fontId="101" type="noConversion"/>
  </si>
  <si>
    <t>轻坦对角线</t>
    <phoneticPr fontId="101" type="noConversion"/>
  </si>
  <si>
    <t>瞄准比例</t>
    <phoneticPr fontId="101" type="noConversion"/>
  </si>
  <si>
    <t>center直径</t>
    <phoneticPr fontId="101" type="noConversion"/>
  </si>
  <si>
    <t>标准长度</t>
    <phoneticPr fontId="101" type="noConversion"/>
  </si>
  <si>
    <t>标准宽度</t>
    <phoneticPr fontId="101" type="noConversion"/>
  </si>
  <si>
    <t>正面比例</t>
    <phoneticPr fontId="101" type="noConversion"/>
  </si>
  <si>
    <t>侧面比例</t>
    <phoneticPr fontId="101" type="noConversion"/>
  </si>
  <si>
    <t>未击破系数</t>
    <phoneticPr fontId="101" type="noConversion"/>
  </si>
  <si>
    <r>
      <t>主炮类型区别说明(示意数据</t>
    </r>
    <r>
      <rPr>
        <sz val="9"/>
        <color theme="1"/>
        <rFont val="微软雅黑"/>
        <family val="2"/>
        <charset val="134"/>
      </rPr>
      <t>)</t>
    </r>
    <phoneticPr fontId="101" type="noConversion"/>
  </si>
  <si>
    <t>伤害计算说明</t>
    <phoneticPr fontId="101" type="noConversion"/>
  </si>
  <si>
    <t>自动装弹</t>
  </si>
  <si>
    <t>自动装弹</t>
    <phoneticPr fontId="101" type="noConversion"/>
  </si>
  <si>
    <t>半自动装弹</t>
  </si>
  <si>
    <t>半自动装弹</t>
    <phoneticPr fontId="101" type="noConversion"/>
  </si>
  <si>
    <t>单发装弹</t>
  </si>
  <si>
    <t>单发装弹</t>
    <phoneticPr fontId="101" type="noConversion"/>
  </si>
  <si>
    <t>弹夹装弹</t>
  </si>
  <si>
    <t>弹夹装弹</t>
    <phoneticPr fontId="101" type="noConversion"/>
  </si>
  <si>
    <t>弹夹自装弹</t>
  </si>
  <si>
    <t>弹夹自装弹</t>
    <phoneticPr fontId="101" type="noConversion"/>
  </si>
  <si>
    <t>调整侦查距离,重坦自身的观察距离比较近,被观察到的距离远</t>
    <phoneticPr fontId="101" type="noConversion"/>
  </si>
  <si>
    <t>射速计算说明</t>
    <phoneticPr fontId="101" type="noConversion"/>
  </si>
  <si>
    <t>单发装填炮 ((60-(弹夹数量-1)*max(弹夹炮射击间隔,炮弹装填时间))/max(弹夹炮射击间隔,炮弹装填时间)+1)*弹夹数量</t>
  </si>
  <si>
    <t>弹夹替换炮 ((60-(弹夹数量-1)*弹夹炮射击间隔)/(弹夹替换时间+弹夹炮射击间隔*(弹夹数量-1))+1)*弹夹数量</t>
    <phoneticPr fontId="101" type="noConversion"/>
  </si>
  <si>
    <t>装弹类型</t>
    <phoneticPr fontId="101" type="noConversion"/>
  </si>
  <si>
    <t>坦克长度</t>
  </si>
  <si>
    <t>坦克宽度</t>
  </si>
  <si>
    <t>对角线</t>
    <phoneticPr fontId="101" type="noConversion"/>
  </si>
  <si>
    <t>准星最小角</t>
    <phoneticPr fontId="101" type="noConversion"/>
  </si>
  <si>
    <t>攻击使偏移</t>
    <phoneticPr fontId="101" type="noConversion"/>
  </si>
  <si>
    <t>被击偏移比</t>
    <phoneticPr fontId="101" type="noConversion"/>
  </si>
  <si>
    <t>轻坦弹夹</t>
  </si>
  <si>
    <t>中坦单发</t>
  </si>
  <si>
    <t>中坦弹夹</t>
  </si>
  <si>
    <t>重坦单发</t>
  </si>
  <si>
    <t>坦克类型</t>
    <phoneticPr fontId="101" type="noConversion"/>
  </si>
  <si>
    <t>穿透力比</t>
    <phoneticPr fontId="101" type="noConversion"/>
  </si>
  <si>
    <t>基础血量</t>
    <phoneticPr fontId="101" type="noConversion"/>
  </si>
  <si>
    <t>基础穿透</t>
    <phoneticPr fontId="101" type="noConversion"/>
  </si>
  <si>
    <t>基础DPS</t>
    <phoneticPr fontId="101" type="noConversion"/>
  </si>
  <si>
    <t>基础伤害</t>
    <phoneticPr fontId="101" type="noConversion"/>
  </si>
  <si>
    <t>标准坦克基础属性</t>
    <phoneticPr fontId="101" type="noConversion"/>
  </si>
  <si>
    <t>设定单发</t>
    <phoneticPr fontId="101" type="noConversion"/>
  </si>
  <si>
    <t>基础坦克属性</t>
    <phoneticPr fontId="101" type="noConversion"/>
  </si>
  <si>
    <t>射击发数</t>
    <phoneticPr fontId="101" type="noConversion"/>
  </si>
  <si>
    <t>伤害系数</t>
    <phoneticPr fontId="101" type="noConversion"/>
  </si>
  <si>
    <t>标准坦克初始个性设定</t>
    <phoneticPr fontId="101" type="noConversion"/>
  </si>
  <si>
    <t>轻坦半自动</t>
  </si>
  <si>
    <t>重坦自动</t>
  </si>
  <si>
    <t>敌方轻坦</t>
    <phoneticPr fontId="101" type="noConversion"/>
  </si>
  <si>
    <t>敌方中坦</t>
    <phoneticPr fontId="101" type="noConversion"/>
  </si>
  <si>
    <t>敌方重坦</t>
    <phoneticPr fontId="101" type="noConversion"/>
  </si>
  <si>
    <t>最小安全圈半径</t>
    <phoneticPr fontId="101" type="noConversion"/>
  </si>
  <si>
    <t>缩圈时间</t>
    <phoneticPr fontId="101" type="noConversion"/>
  </si>
  <si>
    <t>对轻坦平均</t>
  </si>
  <si>
    <t>对中坦平均</t>
  </si>
  <si>
    <t>对重坦平均</t>
  </si>
  <si>
    <t>坦克间战斗时间期望</t>
    <phoneticPr fontId="101" type="noConversion"/>
  </si>
  <si>
    <t>技能相关系数</t>
    <phoneticPr fontId="101" type="noConversion"/>
  </si>
  <si>
    <t>类别</t>
    <phoneticPr fontId="101" type="noConversion"/>
  </si>
  <si>
    <t>主动技能数</t>
    <phoneticPr fontId="101" type="noConversion"/>
  </si>
  <si>
    <t>被动技能数</t>
    <phoneticPr fontId="101" type="noConversion"/>
  </si>
  <si>
    <t>主动效果</t>
    <phoneticPr fontId="101" type="noConversion"/>
  </si>
  <si>
    <t>被动效果</t>
    <phoneticPr fontId="101" type="noConversion"/>
  </si>
  <si>
    <t>总计效果</t>
    <phoneticPr fontId="101" type="noConversion"/>
  </si>
  <si>
    <t>数值</t>
    <phoneticPr fontId="101" type="noConversion"/>
  </si>
  <si>
    <t>技能对轻坦</t>
    <phoneticPr fontId="101" type="noConversion"/>
  </si>
  <si>
    <t>技能对中坦</t>
    <phoneticPr fontId="101" type="noConversion"/>
  </si>
  <si>
    <t>技能对重坦</t>
    <phoneticPr fontId="101" type="noConversion"/>
  </si>
  <si>
    <t>坦克类型</t>
    <phoneticPr fontId="101" type="noConversion"/>
  </si>
  <si>
    <t>基础血量</t>
  </si>
  <si>
    <t>基础伤害</t>
    <phoneticPr fontId="101" type="noConversion"/>
  </si>
  <si>
    <t>基础穿透</t>
    <phoneticPr fontId="101" type="noConversion"/>
  </si>
  <si>
    <t>标准坦克初始属性</t>
    <phoneticPr fontId="101" type="noConversion"/>
  </si>
  <si>
    <t>最大穿透</t>
    <phoneticPr fontId="101" type="noConversion"/>
  </si>
  <si>
    <t>最小穿透</t>
    <phoneticPr fontId="101" type="noConversion"/>
  </si>
  <si>
    <t>标准坦克显示属性</t>
    <phoneticPr fontId="101" type="noConversion"/>
  </si>
  <si>
    <t>血量</t>
    <phoneticPr fontId="101" type="noConversion"/>
  </si>
  <si>
    <t>最大穿透</t>
    <phoneticPr fontId="101" type="noConversion"/>
  </si>
  <si>
    <t>最小穿透</t>
    <phoneticPr fontId="101" type="noConversion"/>
  </si>
  <si>
    <t>轻坦半自动</t>
    <phoneticPr fontId="101" type="noConversion"/>
  </si>
  <si>
    <t>轻坦弹夹</t>
    <phoneticPr fontId="101" type="noConversion"/>
  </si>
  <si>
    <t>中坦弹夹</t>
    <phoneticPr fontId="101" type="noConversion"/>
  </si>
  <si>
    <t>中坦单发</t>
    <phoneticPr fontId="101" type="noConversion"/>
  </si>
  <si>
    <t>重坦自动</t>
    <phoneticPr fontId="101" type="noConversion"/>
  </si>
  <si>
    <t>重坦单发</t>
    <phoneticPr fontId="101" type="noConversion"/>
  </si>
  <si>
    <t>伤害系数</t>
    <phoneticPr fontId="101" type="noConversion"/>
  </si>
  <si>
    <t>撞击伤害</t>
    <phoneticPr fontId="101" type="noConversion"/>
  </si>
  <si>
    <t>战斗时间</t>
    <phoneticPr fontId="101" type="noConversion"/>
  </si>
  <si>
    <t>轻坦伤害比</t>
  </si>
  <si>
    <t>中坦伤害比</t>
  </si>
  <si>
    <t>重坦伤害比</t>
  </si>
  <si>
    <t>轻坦时长</t>
    <phoneticPr fontId="101" type="noConversion"/>
  </si>
  <si>
    <t>中坦时长</t>
    <phoneticPr fontId="101" type="noConversion"/>
  </si>
  <si>
    <t>重坦时长</t>
    <phoneticPr fontId="101" type="noConversion"/>
  </si>
  <si>
    <t>影响比例</t>
    <phoneticPr fontId="101" type="noConversion"/>
  </si>
  <si>
    <t>设定单发</t>
    <phoneticPr fontId="101" type="noConversion"/>
  </si>
  <si>
    <t>调整时间1</t>
    <phoneticPr fontId="101" type="noConversion"/>
  </si>
  <si>
    <t>调整时间2</t>
    <phoneticPr fontId="101" type="noConversion"/>
  </si>
  <si>
    <t>影响比例2</t>
  </si>
  <si>
    <t>中坦单发</t>
    <phoneticPr fontId="101" type="noConversion"/>
  </si>
  <si>
    <t>重坦单发</t>
    <phoneticPr fontId="101" type="noConversion"/>
  </si>
  <si>
    <t>影响轻坦1</t>
    <phoneticPr fontId="101" type="noConversion"/>
  </si>
  <si>
    <t>影响中坦1</t>
    <phoneticPr fontId="101" type="noConversion"/>
  </si>
  <si>
    <t>影响重坦1</t>
    <phoneticPr fontId="101" type="noConversion"/>
  </si>
  <si>
    <t>影响轻坦2</t>
    <phoneticPr fontId="101" type="noConversion"/>
  </si>
  <si>
    <t>影响中坦2</t>
    <phoneticPr fontId="101" type="noConversion"/>
  </si>
  <si>
    <t>影响重坦2</t>
    <phoneticPr fontId="101" type="noConversion"/>
  </si>
  <si>
    <t>秒比例</t>
    <phoneticPr fontId="101" type="noConversion"/>
  </si>
  <si>
    <t>秒/上弹</t>
    <phoneticPr fontId="101" type="noConversion"/>
  </si>
  <si>
    <t>连射间隔</t>
    <phoneticPr fontId="101" type="noConversion"/>
  </si>
  <si>
    <t>射击周期</t>
    <phoneticPr fontId="101" type="noConversion"/>
  </si>
  <si>
    <t>瞄准时间</t>
    <phoneticPr fontId="101" type="noConversion"/>
  </si>
  <si>
    <t>加速瞄准1</t>
    <phoneticPr fontId="101" type="noConversion"/>
  </si>
  <si>
    <t>后瞄准速度1</t>
    <phoneticPr fontId="101" type="noConversion"/>
  </si>
  <si>
    <t>后射击周期1</t>
    <phoneticPr fontId="101" type="noConversion"/>
  </si>
  <si>
    <t>影响比例1</t>
    <phoneticPr fontId="101" type="noConversion"/>
  </si>
  <si>
    <t>加速瞄准2</t>
  </si>
  <si>
    <t>后瞄准速度2</t>
  </si>
  <si>
    <t>后射击周期2</t>
  </si>
  <si>
    <t>影响特征</t>
    <phoneticPr fontId="101" type="noConversion"/>
  </si>
  <si>
    <t>基本平均</t>
    <phoneticPr fontId="101" type="noConversion"/>
  </si>
  <si>
    <t>不影响</t>
    <phoneticPr fontId="101" type="noConversion"/>
  </si>
  <si>
    <t>效果递减</t>
    <phoneticPr fontId="101" type="noConversion"/>
  </si>
  <si>
    <t>比例平均值</t>
    <phoneticPr fontId="101" type="noConversion"/>
  </si>
  <si>
    <t>坦克弹夹容量增加对战斗时长的影响</t>
    <phoneticPr fontId="101" type="noConversion"/>
  </si>
  <si>
    <t>坦克上弹时间减少对战斗时长的影响</t>
    <phoneticPr fontId="101" type="noConversion"/>
  </si>
  <si>
    <t>坦克瞄准时间减少对战斗时长的影响</t>
    <phoneticPr fontId="101" type="noConversion"/>
  </si>
  <si>
    <t>max角速度</t>
    <phoneticPr fontId="101" type="noConversion"/>
  </si>
  <si>
    <t>极限安全圈半径</t>
    <phoneticPr fontId="101" type="noConversion"/>
  </si>
  <si>
    <t>平均期望</t>
    <phoneticPr fontId="101" type="noConversion"/>
  </si>
  <si>
    <t>属性类型</t>
    <phoneticPr fontId="101" type="noConversion"/>
  </si>
  <si>
    <t>血量</t>
  </si>
  <si>
    <t>最大穿透</t>
  </si>
  <si>
    <t>最小穿透</t>
  </si>
  <si>
    <t>炮塔转向</t>
    <phoneticPr fontId="101" type="noConversion"/>
  </si>
  <si>
    <t>装填时间</t>
    <phoneticPr fontId="101" type="noConversion"/>
  </si>
  <si>
    <t>瞄准时间</t>
    <phoneticPr fontId="101" type="noConversion"/>
  </si>
  <si>
    <t>最大速度</t>
    <phoneticPr fontId="101" type="noConversion"/>
  </si>
  <si>
    <t>转向速度</t>
    <phoneticPr fontId="101" type="noConversion"/>
  </si>
  <si>
    <t>命中概率</t>
    <phoneticPr fontId="101" type="noConversion"/>
  </si>
  <si>
    <t>平均伤害</t>
    <phoneticPr fontId="101" type="noConversion"/>
  </si>
  <si>
    <t>影响伤害比</t>
    <phoneticPr fontId="101" type="noConversion"/>
  </si>
  <si>
    <t>影响类型</t>
    <phoneticPr fontId="101" type="noConversion"/>
  </si>
  <si>
    <t>延长</t>
    <phoneticPr fontId="101" type="noConversion"/>
  </si>
  <si>
    <t>缩短</t>
    <phoneticPr fontId="101" type="noConversion"/>
  </si>
  <si>
    <t>坦克类型</t>
    <phoneticPr fontId="101" type="noConversion"/>
  </si>
  <si>
    <t>提升10%</t>
    <phoneticPr fontId="101" type="noConversion"/>
  </si>
  <si>
    <t>提升5%</t>
    <phoneticPr fontId="101" type="noConversion"/>
  </si>
  <si>
    <t>提升15%</t>
    <phoneticPr fontId="101" type="noConversion"/>
  </si>
  <si>
    <t>提升20%</t>
    <phoneticPr fontId="101" type="noConversion"/>
  </si>
  <si>
    <t>瞄准轻坦1</t>
    <phoneticPr fontId="101" type="noConversion"/>
  </si>
  <si>
    <t>瞄准中坦1</t>
    <phoneticPr fontId="101" type="noConversion"/>
  </si>
  <si>
    <t>瞄准重坦1</t>
    <phoneticPr fontId="101" type="noConversion"/>
  </si>
  <si>
    <t>瞄准轻坦2</t>
    <phoneticPr fontId="101" type="noConversion"/>
  </si>
  <si>
    <t>瞄准中坦2</t>
    <phoneticPr fontId="101" type="noConversion"/>
  </si>
  <si>
    <t>瞄准中坦3</t>
    <phoneticPr fontId="101" type="noConversion"/>
  </si>
  <si>
    <t>瞄准轻坦3</t>
    <phoneticPr fontId="101" type="noConversion"/>
  </si>
  <si>
    <t>瞄准重坦3</t>
    <phoneticPr fontId="101" type="noConversion"/>
  </si>
  <si>
    <t>瞄准轻坦4</t>
    <phoneticPr fontId="101" type="noConversion"/>
  </si>
  <si>
    <t>瞄准中坦4</t>
    <phoneticPr fontId="101" type="noConversion"/>
  </si>
  <si>
    <t>瞄准重坦4</t>
    <phoneticPr fontId="101" type="noConversion"/>
  </si>
  <si>
    <t>坦克速度提升说明</t>
    <phoneticPr fontId="101" type="noConversion"/>
  </si>
  <si>
    <t>瞄准重坦2</t>
    <phoneticPr fontId="101" type="noConversion"/>
  </si>
  <si>
    <t>瞄准轻坦5</t>
    <phoneticPr fontId="101" type="noConversion"/>
  </si>
  <si>
    <t>瞄准中坦5</t>
    <phoneticPr fontId="101" type="noConversion"/>
  </si>
  <si>
    <t>瞄准重坦5</t>
    <phoneticPr fontId="101" type="noConversion"/>
  </si>
  <si>
    <t>被瞄准速度提升后瞄准坦克消耗时间</t>
    <phoneticPr fontId="101" type="noConversion"/>
  </si>
  <si>
    <t>瞄准1</t>
    <phoneticPr fontId="101" type="noConversion"/>
  </si>
  <si>
    <t>瞄准2</t>
  </si>
  <si>
    <t>瞄准3</t>
  </si>
  <si>
    <t>瞄准4</t>
  </si>
  <si>
    <t>被轻坦瞄准时间变化</t>
    <phoneticPr fontId="101" type="noConversion"/>
  </si>
  <si>
    <t>被中坦瞄准时间变化</t>
    <phoneticPr fontId="101" type="noConversion"/>
  </si>
  <si>
    <t>被重坦瞄准时间变化</t>
    <phoneticPr fontId="101" type="noConversion"/>
  </si>
  <si>
    <t>时间/速度</t>
    <phoneticPr fontId="101" type="noConversion"/>
  </si>
  <si>
    <t>被轻坦瞄准时间变化/速度变化</t>
    <phoneticPr fontId="101" type="noConversion"/>
  </si>
  <si>
    <t>被中坦瞄准时间变化/速度变化</t>
    <phoneticPr fontId="101" type="noConversion"/>
  </si>
  <si>
    <t>被重坦瞄准时间变化/速度变化</t>
    <phoneticPr fontId="101" type="noConversion"/>
  </si>
  <si>
    <t>平均值</t>
    <phoneticPr fontId="101" type="noConversion"/>
  </si>
  <si>
    <t>max旋转</t>
    <phoneticPr fontId="101" type="noConversion"/>
  </si>
  <si>
    <t>坦克个性化设定基准规则</t>
    <phoneticPr fontId="101" type="noConversion"/>
  </si>
  <si>
    <t>ft17</t>
  </si>
  <si>
    <t>ii</t>
  </si>
  <si>
    <t>35t</t>
  </si>
  <si>
    <t>stuart</t>
  </si>
  <si>
    <t>sdkfz234</t>
  </si>
  <si>
    <t>m24</t>
  </si>
  <si>
    <t>amx13</t>
  </si>
  <si>
    <t>m41</t>
  </si>
  <si>
    <t>bmp-3</t>
  </si>
  <si>
    <t>mathilda</t>
  </si>
  <si>
    <t>m4</t>
  </si>
  <si>
    <t>iv</t>
  </si>
  <si>
    <t>t34</t>
  </si>
  <si>
    <t>panzer-v</t>
  </si>
  <si>
    <t>comet</t>
  </si>
  <si>
    <t>m26</t>
  </si>
  <si>
    <t>centurion</t>
  </si>
  <si>
    <t>m48</t>
  </si>
  <si>
    <t>b1</t>
  </si>
  <si>
    <t>kv1</t>
  </si>
  <si>
    <t>churchill</t>
  </si>
  <si>
    <t>kv2</t>
  </si>
  <si>
    <t>tiger</t>
  </si>
  <si>
    <t>is4</t>
  </si>
  <si>
    <t>fv214</t>
  </si>
  <si>
    <t>challenger1</t>
  </si>
  <si>
    <t>m1a2</t>
  </si>
  <si>
    <t>模型名称</t>
    <phoneticPr fontId="101" type="noConversion"/>
  </si>
  <si>
    <t>坦克名称</t>
    <phoneticPr fontId="101" type="noConversion"/>
  </si>
  <si>
    <t>M-41</t>
    <phoneticPr fontId="101" type="noConversion"/>
  </si>
  <si>
    <t>谢尔曼</t>
    <phoneticPr fontId="101" type="noConversion"/>
  </si>
  <si>
    <t>坦克类别</t>
    <phoneticPr fontId="101" type="noConversion"/>
  </si>
  <si>
    <t>血量系数</t>
    <phoneticPr fontId="101" type="noConversion"/>
  </si>
  <si>
    <t>坦克品级</t>
    <phoneticPr fontId="101" type="noConversion"/>
  </si>
  <si>
    <t>白</t>
    <phoneticPr fontId="101" type="noConversion"/>
  </si>
  <si>
    <t>绿</t>
    <phoneticPr fontId="101" type="noConversion"/>
  </si>
  <si>
    <t>蓝</t>
    <phoneticPr fontId="101" type="noConversion"/>
  </si>
  <si>
    <t>紫</t>
    <phoneticPr fontId="101" type="noConversion"/>
  </si>
  <si>
    <t>橙</t>
    <phoneticPr fontId="101" type="noConversion"/>
  </si>
  <si>
    <t>坦克品质</t>
    <phoneticPr fontId="101" type="noConversion"/>
  </si>
  <si>
    <t>初始状态</t>
    <phoneticPr fontId="101" type="noConversion"/>
  </si>
  <si>
    <t>属性系数1</t>
    <phoneticPr fontId="101" type="noConversion"/>
  </si>
  <si>
    <t>属性系数2</t>
  </si>
  <si>
    <t>坦克状态</t>
    <phoneticPr fontId="101" type="noConversion"/>
  </si>
  <si>
    <t>坦克系数</t>
    <phoneticPr fontId="101" type="noConversion"/>
  </si>
  <si>
    <t>坦克各阶段属性系数</t>
    <phoneticPr fontId="101" type="noConversion"/>
  </si>
  <si>
    <t>坦克系数整理</t>
    <phoneticPr fontId="101" type="noConversion"/>
  </si>
  <si>
    <t>成长状态</t>
    <phoneticPr fontId="101" type="noConversion"/>
  </si>
  <si>
    <t>轻坦半自动各阶段属性成长</t>
    <phoneticPr fontId="101" type="noConversion"/>
  </si>
  <si>
    <t>轻坦弹夹各阶段属性成长</t>
    <phoneticPr fontId="101" type="noConversion"/>
  </si>
  <si>
    <t>中坦弹夹各阶段属性成长</t>
    <phoneticPr fontId="101" type="noConversion"/>
  </si>
  <si>
    <t>中坦单发各阶段属性成长</t>
    <phoneticPr fontId="101" type="noConversion"/>
  </si>
  <si>
    <t>重坦自动各阶段属性成长</t>
    <phoneticPr fontId="101" type="noConversion"/>
  </si>
  <si>
    <t>重坦单发各阶段属性成长</t>
    <phoneticPr fontId="101" type="noConversion"/>
  </si>
  <si>
    <t>联赛等级</t>
    <phoneticPr fontId="101" type="noConversion"/>
  </si>
  <si>
    <t>阶段</t>
    <phoneticPr fontId="101" type="noConversion"/>
  </si>
  <si>
    <t>轻坦弹夹各初始阶段坦克属性</t>
    <phoneticPr fontId="101" type="noConversion"/>
  </si>
  <si>
    <t>轻坦半自动各初始阶段坦克属性</t>
    <phoneticPr fontId="101" type="noConversion"/>
  </si>
  <si>
    <t>中坦弹夹各初始阶段坦克属性</t>
    <phoneticPr fontId="101" type="noConversion"/>
  </si>
  <si>
    <t>重坦自动各初始阶段坦克属性</t>
    <phoneticPr fontId="101" type="noConversion"/>
  </si>
  <si>
    <t>轻坦单发</t>
  </si>
  <si>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</si>
  <si>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</si>
  <si>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</si>
  <si>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</si>
  <si>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</si>
  <si>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</si>
  <si>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</si>
  <si>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</si>
  <si>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t>
    <phoneticPr fontId="101" type="noConversion"/>
  </si>
  <si>
    <t>轻坦单发各初始阶段坦克属性</t>
    <phoneticPr fontId="101" type="noConversion"/>
  </si>
  <si>
    <t>轻坦单发各阶段属性成长</t>
    <phoneticPr fontId="101" type="noConversion"/>
  </si>
  <si>
    <t>雷诺FT</t>
  </si>
  <si>
    <t>二号</t>
  </si>
  <si>
    <t>Puma</t>
  </si>
  <si>
    <t>35(t)</t>
  </si>
  <si>
    <t>十字军</t>
  </si>
  <si>
    <t>霞飞</t>
  </si>
  <si>
    <t>BMP-3</t>
  </si>
  <si>
    <t>59式</t>
  </si>
  <si>
    <t>Stuart</t>
  </si>
  <si>
    <t>T-34</t>
  </si>
  <si>
    <t>彗星</t>
  </si>
  <si>
    <t>四号</t>
  </si>
  <si>
    <t>玛蒂尔达</t>
  </si>
  <si>
    <t>黑豹</t>
  </si>
  <si>
    <t>IS-4</t>
  </si>
  <si>
    <t>KV-1</t>
  </si>
  <si>
    <t>丘吉尔</t>
  </si>
  <si>
    <t>虎式</t>
  </si>
  <si>
    <t>KV-2</t>
  </si>
  <si>
    <t>百夫长</t>
  </si>
  <si>
    <t>征服者</t>
  </si>
  <si>
    <t>挑战者</t>
  </si>
  <si>
    <t>M1A2</t>
  </si>
  <si>
    <t>潘兴</t>
    <phoneticPr fontId="101" type="noConversion"/>
  </si>
  <si>
    <t>crusader</t>
  </si>
  <si>
    <t>AMX-13</t>
    <phoneticPr fontId="101" type="noConversion"/>
  </si>
  <si>
    <t>M-48</t>
    <phoneticPr fontId="101" type="noConversion"/>
  </si>
  <si>
    <t>B-1</t>
    <phoneticPr fontId="101" type="noConversion"/>
  </si>
  <si>
    <t>T-32</t>
    <phoneticPr fontId="101" type="noConversion"/>
  </si>
  <si>
    <t>坦克细类</t>
    <phoneticPr fontId="101" type="noConversion"/>
  </si>
  <si>
    <t>min旋转</t>
    <phoneticPr fontId="101" type="noConversion"/>
  </si>
  <si>
    <t>45*追轻坦</t>
    <phoneticPr fontId="101" type="noConversion"/>
  </si>
  <si>
    <t>弹夹换弹</t>
    <phoneticPr fontId="101" type="noConversion"/>
  </si>
  <si>
    <t>单发换弹</t>
    <phoneticPr fontId="101" type="noConversion"/>
  </si>
  <si>
    <t>标准准星</t>
    <phoneticPr fontId="101" type="noConversion"/>
  </si>
  <si>
    <t>准星调整</t>
    <phoneticPr fontId="101" type="noConversion"/>
  </si>
  <si>
    <t>轻坦单发</t>
    <phoneticPr fontId="101" type="noConversion"/>
  </si>
  <si>
    <t>精准度影响</t>
    <phoneticPr fontId="101" type="noConversion"/>
  </si>
  <si>
    <t>射速影响</t>
    <phoneticPr fontId="101" type="noConversion"/>
  </si>
  <si>
    <t>准星影响</t>
    <phoneticPr fontId="101" type="noConversion"/>
  </si>
  <si>
    <t>瞄准速度</t>
    <phoneticPr fontId="101" type="noConversion"/>
  </si>
  <si>
    <t>射击间隔系</t>
    <phoneticPr fontId="101" type="noConversion"/>
  </si>
  <si>
    <t>射击间隔</t>
    <phoneticPr fontId="101" type="noConversion"/>
  </si>
  <si>
    <t>坦克射击间隔时间减少对战斗时长的影响</t>
    <phoneticPr fontId="101" type="noConversion"/>
  </si>
  <si>
    <r>
      <t>0</t>
    </r>
    <r>
      <rPr>
        <sz val="9"/>
        <color theme="1"/>
        <rFont val="微软雅黑"/>
        <family val="2"/>
        <charset val="134"/>
      </rPr>
      <t>.1</t>
    </r>
    <r>
      <rPr>
        <sz val="9"/>
        <color theme="1"/>
        <rFont val="微软雅黑"/>
        <family val="2"/>
        <charset val="134"/>
      </rPr>
      <t>秒/间隔</t>
    </r>
    <phoneticPr fontId="101" type="noConversion"/>
  </si>
  <si>
    <r>
      <t>0</t>
    </r>
    <r>
      <rPr>
        <sz val="9"/>
        <color theme="1"/>
        <rFont val="微软雅黑"/>
        <family val="2"/>
        <charset val="134"/>
      </rPr>
      <t>.1</t>
    </r>
    <r>
      <rPr>
        <sz val="9"/>
        <color theme="1"/>
        <rFont val="微软雅黑"/>
        <family val="2"/>
        <charset val="134"/>
      </rPr>
      <t>秒比例</t>
    </r>
    <phoneticPr fontId="101" type="noConversion"/>
  </si>
  <si>
    <t>射击间隔</t>
    <phoneticPr fontId="101" type="noConversion"/>
  </si>
  <si>
    <t>间隔影响</t>
    <phoneticPr fontId="101" type="noConversion"/>
  </si>
  <si>
    <t>被击偏上限</t>
    <phoneticPr fontId="101" type="noConversion"/>
  </si>
  <si>
    <t>口径类型</t>
    <phoneticPr fontId="101" type="noConversion"/>
  </si>
  <si>
    <t>初始炮角速</t>
    <phoneticPr fontId="101" type="noConversion"/>
  </si>
  <si>
    <t>最大炮角速</t>
    <phoneticPr fontId="101" type="noConversion"/>
  </si>
  <si>
    <t>炮角加速度</t>
    <phoneticPr fontId="101" type="noConversion"/>
  </si>
  <si>
    <t>炮转偏上限</t>
    <phoneticPr fontId="101" type="noConversion"/>
  </si>
  <si>
    <t>身转角速度</t>
    <phoneticPr fontId="101" type="noConversion"/>
  </si>
  <si>
    <t>角速度系数</t>
    <phoneticPr fontId="101" type="noConversion"/>
  </si>
  <si>
    <t>角速度成长比例设定</t>
    <phoneticPr fontId="101" type="noConversion"/>
  </si>
  <si>
    <t>初始值</t>
    <phoneticPr fontId="101" type="noConversion"/>
  </si>
  <si>
    <t>成长值</t>
    <phoneticPr fontId="101" type="noConversion"/>
  </si>
  <si>
    <t>分类</t>
    <phoneticPr fontId="101" type="noConversion"/>
  </si>
  <si>
    <t>值</t>
    <phoneticPr fontId="101" type="noConversion"/>
  </si>
  <si>
    <t>身速度系数</t>
    <phoneticPr fontId="101" type="noConversion"/>
  </si>
  <si>
    <t>角速度下限</t>
    <phoneticPr fontId="101" type="noConversion"/>
  </si>
  <si>
    <t>进最大速度</t>
    <phoneticPr fontId="101" type="noConversion"/>
  </si>
  <si>
    <t>退最大速度</t>
    <phoneticPr fontId="101" type="noConversion"/>
  </si>
  <si>
    <t>前进加速度</t>
    <phoneticPr fontId="101" type="noConversion"/>
  </si>
  <si>
    <t>后退加速度</t>
    <phoneticPr fontId="101" type="noConversion"/>
  </si>
  <si>
    <t>前停加速度</t>
    <phoneticPr fontId="101" type="noConversion"/>
  </si>
  <si>
    <t>后停加速度</t>
    <phoneticPr fontId="101" type="noConversion"/>
  </si>
  <si>
    <t>移动偏上限</t>
    <phoneticPr fontId="101" type="noConversion"/>
  </si>
  <si>
    <t>速度系数</t>
    <phoneticPr fontId="101" type="noConversion"/>
  </si>
  <si>
    <t>速度影响</t>
    <phoneticPr fontId="101" type="noConversion"/>
  </si>
  <si>
    <t>坦克行进速度区间</t>
    <phoneticPr fontId="101" type="noConversion"/>
  </si>
  <si>
    <t>坦克停止加速度</t>
    <phoneticPr fontId="101" type="noConversion"/>
  </si>
  <si>
    <t>停止时间</t>
    <phoneticPr fontId="101" type="noConversion"/>
  </si>
  <si>
    <t>基础撞击比</t>
    <phoneticPr fontId="101" type="noConversion"/>
  </si>
  <si>
    <t>max衰减距</t>
    <phoneticPr fontId="101" type="noConversion"/>
  </si>
  <si>
    <t>撞击速度阈</t>
    <phoneticPr fontId="101" type="noConversion"/>
  </si>
  <si>
    <t>min衰减距</t>
    <phoneticPr fontId="101" type="noConversion"/>
  </si>
  <si>
    <t>移中-max速</t>
    <phoneticPr fontId="101" type="noConversion"/>
  </si>
  <si>
    <t>移中-加速度</t>
    <phoneticPr fontId="101" type="noConversion"/>
  </si>
  <si>
    <t>移中-退加速</t>
    <phoneticPr fontId="101" type="noConversion"/>
  </si>
  <si>
    <t>血量系数</t>
    <phoneticPr fontId="101" type="noConversion"/>
  </si>
  <si>
    <t>伤害系数</t>
    <phoneticPr fontId="101" type="noConversion"/>
  </si>
  <si>
    <t>个性设定对坦克属性影响</t>
    <phoneticPr fontId="101" type="noConversion"/>
  </si>
  <si>
    <t>坦克细类</t>
  </si>
  <si>
    <t>设定单发</t>
  </si>
  <si>
    <t>单发时间</t>
  </si>
  <si>
    <t>弹夹时间</t>
  </si>
  <si>
    <t>射击间隔</t>
  </si>
  <si>
    <t>瞄准速度</t>
  </si>
  <si>
    <t>标准子弹量</t>
    <phoneticPr fontId="101" type="noConversion"/>
  </si>
  <si>
    <t>容量系数</t>
    <phoneticPr fontId="101" type="noConversion"/>
  </si>
  <si>
    <t>单发系数</t>
    <phoneticPr fontId="101" type="noConversion"/>
  </si>
  <si>
    <t>射击偏移角</t>
    <phoneticPr fontId="101" type="noConversion"/>
  </si>
  <si>
    <t>连射射速</t>
    <phoneticPr fontId="101" type="noConversion"/>
  </si>
  <si>
    <t>半分连射数</t>
    <phoneticPr fontId="101" type="noConversion"/>
  </si>
  <si>
    <t>标准射速</t>
    <phoneticPr fontId="101" type="noConversion"/>
  </si>
  <si>
    <t>射速影响</t>
    <phoneticPr fontId="101" type="noConversion"/>
  </si>
  <si>
    <t>个性化设定后射速变化</t>
    <phoneticPr fontId="101" type="noConversion"/>
  </si>
  <si>
    <t>坦克属性个性化设定</t>
    <phoneticPr fontId="101" type="noConversion"/>
  </si>
  <si>
    <t>AMX-13</t>
  </si>
  <si>
    <t>M-41</t>
  </si>
  <si>
    <t>谢尔曼</t>
  </si>
  <si>
    <t>M-48</t>
  </si>
  <si>
    <t>潘兴</t>
  </si>
  <si>
    <t>B-1</t>
  </si>
  <si>
    <t>T-32</t>
  </si>
  <si>
    <t>状态顺序</t>
    <phoneticPr fontId="101" type="noConversion"/>
  </si>
  <si>
    <t>坦克品级阶段</t>
    <phoneticPr fontId="101" type="noConversion"/>
  </si>
  <si>
    <t>标准坦克</t>
    <phoneticPr fontId="101" type="noConversion"/>
  </si>
  <si>
    <t>最大炮角速</t>
    <phoneticPr fontId="101" type="noConversion"/>
  </si>
  <si>
    <t>身转角速度</t>
    <phoneticPr fontId="101" type="noConversion"/>
  </si>
  <si>
    <t>初始炮角速</t>
    <phoneticPr fontId="101" type="noConversion"/>
  </si>
  <si>
    <t>进最大速度</t>
  </si>
  <si>
    <t>退最大速度</t>
  </si>
  <si>
    <t>坦克小区间养成属性整理</t>
    <phoneticPr fontId="101" type="noConversion"/>
  </si>
  <si>
    <t>需调整价值属性整理</t>
    <phoneticPr fontId="101" type="noConversion"/>
  </si>
  <si>
    <t>瞄准时间</t>
    <phoneticPr fontId="101" type="noConversion"/>
  </si>
  <si>
    <t>系数</t>
    <phoneticPr fontId="101" type="noConversion"/>
  </si>
  <si>
    <t>提升系数</t>
    <phoneticPr fontId="101" type="noConversion"/>
  </si>
  <si>
    <t>坦克名称</t>
  </si>
  <si>
    <t>养成区间1</t>
    <phoneticPr fontId="101" type="noConversion"/>
  </si>
  <si>
    <t>养成区间2</t>
    <phoneticPr fontId="101" type="noConversion"/>
  </si>
  <si>
    <t>养成区间3</t>
    <phoneticPr fontId="101" type="noConversion"/>
  </si>
  <si>
    <t>各坦克移动操作手感属性成长区间统计</t>
    <phoneticPr fontId="101" type="noConversion"/>
  </si>
  <si>
    <t>初始坦克属性</t>
    <phoneticPr fontId="101" type="noConversion"/>
  </si>
  <si>
    <t>品质</t>
    <phoneticPr fontId="101" type="noConversion"/>
  </si>
  <si>
    <t>换弹类型</t>
    <phoneticPr fontId="101" type="noConversion"/>
  </si>
  <si>
    <t>原换弹时间</t>
    <phoneticPr fontId="101" type="noConversion"/>
  </si>
  <si>
    <t>射速提升30%调整换弹时间和瞄准时间,获得成长区间</t>
    <phoneticPr fontId="101" type="noConversion"/>
  </si>
  <si>
    <t>瞄准时间</t>
    <phoneticPr fontId="101" type="noConversion"/>
  </si>
  <si>
    <t>调整系数</t>
    <phoneticPr fontId="101" type="noConversion"/>
  </si>
  <si>
    <t>换弹区间</t>
    <phoneticPr fontId="101" type="noConversion"/>
  </si>
  <si>
    <t>瞄准区间</t>
    <phoneticPr fontId="101" type="noConversion"/>
  </si>
  <si>
    <t>坦克名称</t>
    <phoneticPr fontId="101" type="noConversion"/>
  </si>
  <si>
    <t>坦克品质</t>
    <phoneticPr fontId="101" type="noConversion"/>
  </si>
  <si>
    <t>坦克状态</t>
    <phoneticPr fontId="101" type="noConversion"/>
  </si>
  <si>
    <t>坦克类别</t>
  </si>
  <si>
    <t>撞击速度阈</t>
  </si>
  <si>
    <t>移中-max速</t>
  </si>
  <si>
    <t>移中-加速度</t>
  </si>
  <si>
    <t>移中-退加速</t>
  </si>
  <si>
    <t>被击偏上限</t>
  </si>
  <si>
    <t>前停加速度</t>
  </si>
  <si>
    <t>后停加速度</t>
  </si>
  <si>
    <t>初始炮角速</t>
  </si>
  <si>
    <t>炮角加速度</t>
  </si>
  <si>
    <t>炮转偏上限</t>
  </si>
  <si>
    <t>移动偏上限</t>
  </si>
  <si>
    <t>基础撞击比</t>
  </si>
  <si>
    <t>min衰减距</t>
  </si>
  <si>
    <t>max衰减距</t>
  </si>
  <si>
    <t>坦克初始换弹时间统计</t>
    <phoneticPr fontId="101" type="noConversion"/>
  </si>
  <si>
    <t>辅助查询</t>
    <phoneticPr fontId="101" type="noConversion"/>
  </si>
  <si>
    <t>射击间隔</t>
    <phoneticPr fontId="101" type="noConversion"/>
  </si>
  <si>
    <t>射速</t>
    <phoneticPr fontId="101" type="noConversion"/>
  </si>
  <si>
    <t>caliberType</t>
    <phoneticPr fontId="101" type="noConversion"/>
  </si>
  <si>
    <t>forwardAcc</t>
    <phoneticPr fontId="101" type="noConversion"/>
  </si>
  <si>
    <t>dmgParaMinTurret</t>
    <phoneticPr fontId="101" type="noConversion"/>
  </si>
  <si>
    <t>中坦单发各初始阶段坦克属性</t>
    <phoneticPr fontId="101" type="noConversion"/>
  </si>
  <si>
    <t>重坦单发各初始阶段坦克属性</t>
    <phoneticPr fontId="101" type="noConversion"/>
  </si>
  <si>
    <r>
      <t>Tier</t>
    </r>
    <r>
      <rPr>
        <sz val="9"/>
        <color theme="1"/>
        <rFont val="微软雅黑"/>
        <family val="2"/>
        <charset val="134"/>
      </rPr>
      <t>1</t>
    </r>
    <phoneticPr fontId="101" type="noConversion"/>
  </si>
  <si>
    <r>
      <t>Tier</t>
    </r>
    <r>
      <rPr>
        <sz val="9"/>
        <color theme="1"/>
        <rFont val="微软雅黑"/>
        <family val="2"/>
        <charset val="134"/>
      </rPr>
      <t>2</t>
    </r>
  </si>
  <si>
    <r>
      <t>Tier</t>
    </r>
    <r>
      <rPr>
        <sz val="9"/>
        <color theme="1"/>
        <rFont val="微软雅黑"/>
        <family val="2"/>
        <charset val="134"/>
      </rPr>
      <t>3</t>
    </r>
  </si>
  <si>
    <r>
      <t>Tier</t>
    </r>
    <r>
      <rPr>
        <sz val="9"/>
        <color theme="1"/>
        <rFont val="微软雅黑"/>
        <family val="2"/>
        <charset val="134"/>
      </rPr>
      <t>4</t>
    </r>
  </si>
  <si>
    <r>
      <t>Tier</t>
    </r>
    <r>
      <rPr>
        <sz val="9"/>
        <color theme="1"/>
        <rFont val="微软雅黑"/>
        <family val="2"/>
        <charset val="134"/>
      </rPr>
      <t>5</t>
    </r>
  </si>
  <si>
    <r>
      <t>Tier</t>
    </r>
    <r>
      <rPr>
        <sz val="9"/>
        <color theme="1"/>
        <rFont val="微软雅黑"/>
        <family val="2"/>
        <charset val="134"/>
      </rPr>
      <t>6</t>
    </r>
  </si>
  <si>
    <t>坦克小星设定</t>
    <phoneticPr fontId="101" type="noConversion"/>
  </si>
  <si>
    <t>坦克大星设定</t>
    <phoneticPr fontId="101" type="noConversion"/>
  </si>
  <si>
    <t>升星次数</t>
    <phoneticPr fontId="101" type="noConversion"/>
  </si>
  <si>
    <t>最终星级</t>
    <phoneticPr fontId="101" type="noConversion"/>
  </si>
  <si>
    <t>初始</t>
    <phoneticPr fontId="101" type="noConversion"/>
  </si>
  <si>
    <t>最终</t>
    <phoneticPr fontId="101" type="noConversion"/>
  </si>
  <si>
    <t>初始</t>
    <phoneticPr fontId="101" type="noConversion"/>
  </si>
  <si>
    <t>最终</t>
    <phoneticPr fontId="101" type="noConversion"/>
  </si>
  <si>
    <t>坦克序号</t>
    <phoneticPr fontId="101" type="noConversion"/>
  </si>
  <si>
    <t>辅助列</t>
    <phoneticPr fontId="101" type="noConversion"/>
  </si>
  <si>
    <t>坦克丰富度</t>
    <phoneticPr fontId="101" type="noConversion"/>
  </si>
  <si>
    <t>所有坦克养成标准属性</t>
    <phoneticPr fontId="101" type="noConversion"/>
  </si>
  <si>
    <t>升星次数</t>
    <phoneticPr fontId="101" type="noConversion"/>
  </si>
  <si>
    <t>属性比例</t>
    <phoneticPr fontId="101" type="noConversion"/>
  </si>
  <si>
    <t>坦克养成属性分配设定</t>
    <phoneticPr fontId="101" type="noConversion"/>
  </si>
  <si>
    <t>坦克升星属性</t>
    <phoneticPr fontId="101" type="noConversion"/>
  </si>
  <si>
    <t>坦克品级</t>
    <phoneticPr fontId="101" type="noConversion"/>
  </si>
  <si>
    <t>初始</t>
  </si>
  <si>
    <t>填表品质</t>
    <phoneticPr fontId="101" type="noConversion"/>
  </si>
  <si>
    <t>坦克ID</t>
    <phoneticPr fontId="101" type="noConversion"/>
  </si>
  <si>
    <t>坦克1</t>
    <phoneticPr fontId="101" type="noConversion"/>
  </si>
  <si>
    <t>坦克2</t>
  </si>
  <si>
    <t>坦克3</t>
  </si>
  <si>
    <t>颜色数值</t>
    <phoneticPr fontId="101" type="noConversion"/>
  </si>
  <si>
    <t>颜色</t>
    <phoneticPr fontId="101" type="noConversion"/>
  </si>
  <si>
    <t>白</t>
    <phoneticPr fontId="101" type="noConversion"/>
  </si>
  <si>
    <t>绿</t>
    <phoneticPr fontId="101" type="noConversion"/>
  </si>
  <si>
    <t>蓝</t>
    <phoneticPr fontId="101" type="noConversion"/>
  </si>
  <si>
    <t>紫</t>
    <phoneticPr fontId="101" type="noConversion"/>
  </si>
  <si>
    <t>橙</t>
    <phoneticPr fontId="101" type="noConversion"/>
  </si>
  <si>
    <t>颜色数值</t>
    <phoneticPr fontId="101" type="noConversion"/>
  </si>
  <si>
    <t>联赛等级</t>
    <phoneticPr fontId="101" type="noConversion"/>
  </si>
  <si>
    <t>系数类型</t>
    <phoneticPr fontId="101" type="noConversion"/>
  </si>
  <si>
    <t>系数值</t>
    <phoneticPr fontId="101" type="noConversion"/>
  </si>
  <si>
    <t>每日场次</t>
    <phoneticPr fontId="101" type="noConversion"/>
  </si>
  <si>
    <t>标准胜率</t>
    <phoneticPr fontId="101" type="noConversion"/>
  </si>
  <si>
    <t>极限场次</t>
    <phoneticPr fontId="101" type="noConversion"/>
  </si>
  <si>
    <t>分数差</t>
    <phoneticPr fontId="101" type="noConversion"/>
  </si>
  <si>
    <t>期望天数</t>
    <phoneticPr fontId="101" type="noConversion"/>
  </si>
  <si>
    <t>累计天数</t>
    <phoneticPr fontId="101" type="noConversion"/>
  </si>
  <si>
    <t>获得分数</t>
    <phoneticPr fontId="101" type="noConversion"/>
  </si>
  <si>
    <t>累计分数</t>
    <phoneticPr fontId="101" type="noConversion"/>
  </si>
  <si>
    <t>极限胜率</t>
    <phoneticPr fontId="101" type="noConversion"/>
  </si>
  <si>
    <t>系数配置</t>
    <phoneticPr fontId="101" type="noConversion"/>
  </si>
  <si>
    <t>极限天数</t>
    <phoneticPr fontId="101" type="noConversion"/>
  </si>
  <si>
    <t>累计极限</t>
    <phoneticPr fontId="101" type="noConversion"/>
  </si>
  <si>
    <t>胜利得分</t>
    <phoneticPr fontId="101" type="noConversion"/>
  </si>
  <si>
    <t>失败扣分</t>
    <phoneticPr fontId="101" type="noConversion"/>
  </si>
  <si>
    <t>最少场次</t>
    <phoneticPr fontId="101" type="noConversion"/>
  </si>
  <si>
    <t>最少天数</t>
    <phoneticPr fontId="101" type="noConversion"/>
  </si>
  <si>
    <t>最少累计天</t>
    <phoneticPr fontId="101" type="noConversion"/>
  </si>
  <si>
    <t>联赛历程设定</t>
    <phoneticPr fontId="101" type="noConversion"/>
  </si>
  <si>
    <r>
      <t>T</t>
    </r>
    <r>
      <rPr>
        <sz val="9"/>
        <color theme="1"/>
        <rFont val="微软雅黑"/>
        <family val="2"/>
        <charset val="134"/>
      </rPr>
      <t>1</t>
    </r>
    <phoneticPr fontId="101" type="noConversion"/>
  </si>
  <si>
    <t>坦克Tier</t>
    <phoneticPr fontId="101" type="noConversion"/>
  </si>
  <si>
    <r>
      <t>T</t>
    </r>
    <r>
      <rPr>
        <sz val="9"/>
        <color theme="1"/>
        <rFont val="微软雅黑"/>
        <family val="2"/>
        <charset val="134"/>
      </rPr>
      <t>2</t>
    </r>
  </si>
  <si>
    <r>
      <t>T</t>
    </r>
    <r>
      <rPr>
        <sz val="9"/>
        <color theme="1"/>
        <rFont val="微软雅黑"/>
        <family val="2"/>
        <charset val="134"/>
      </rPr>
      <t>3</t>
    </r>
  </si>
  <si>
    <r>
      <t>T</t>
    </r>
    <r>
      <rPr>
        <sz val="9"/>
        <color theme="1"/>
        <rFont val="微软雅黑"/>
        <family val="2"/>
        <charset val="134"/>
      </rPr>
      <t>4</t>
    </r>
  </si>
  <si>
    <r>
      <t>T</t>
    </r>
    <r>
      <rPr>
        <sz val="9"/>
        <color theme="1"/>
        <rFont val="微软雅黑"/>
        <family val="2"/>
        <charset val="134"/>
      </rPr>
      <t>5</t>
    </r>
  </si>
  <si>
    <t>调整系数</t>
    <phoneticPr fontId="101" type="noConversion"/>
  </si>
  <si>
    <t>美金数</t>
    <phoneticPr fontId="101" type="noConversion"/>
  </si>
  <si>
    <t>首次奖励</t>
    <phoneticPr fontId="101" type="noConversion"/>
  </si>
  <si>
    <t>钻石数</t>
    <phoneticPr fontId="101" type="noConversion"/>
  </si>
  <si>
    <t>钻石/美金</t>
    <phoneticPr fontId="101" type="noConversion"/>
  </si>
  <si>
    <t>人民币</t>
    <phoneticPr fontId="101" type="noConversion"/>
  </si>
  <si>
    <t>钻石/美金</t>
    <phoneticPr fontId="101" type="noConversion"/>
  </si>
  <si>
    <t>钻石/元</t>
    <phoneticPr fontId="101" type="noConversion"/>
  </si>
  <si>
    <t>产出内容价值固定,道具贬值了</t>
    <phoneticPr fontId="101" type="noConversion"/>
  </si>
  <si>
    <t>产出内容价值变化,道具无贬值</t>
    <phoneticPr fontId="101" type="noConversion"/>
  </si>
  <si>
    <t>等级类型</t>
    <phoneticPr fontId="101" type="noConversion"/>
  </si>
  <si>
    <t>成长</t>
    <phoneticPr fontId="101" type="noConversion"/>
  </si>
  <si>
    <t>巅峰</t>
    <phoneticPr fontId="101" type="noConversion"/>
  </si>
  <si>
    <t>价值比例</t>
    <phoneticPr fontId="101" type="noConversion"/>
  </si>
  <si>
    <t>活跃小箱</t>
    <phoneticPr fontId="101" type="noConversion"/>
  </si>
  <si>
    <t>活跃中箱</t>
    <phoneticPr fontId="101" type="noConversion"/>
  </si>
  <si>
    <t>活跃大箱</t>
    <phoneticPr fontId="101" type="noConversion"/>
  </si>
  <si>
    <t>活跃巨箱</t>
    <phoneticPr fontId="101" type="noConversion"/>
  </si>
  <si>
    <t>活跃度1</t>
    <phoneticPr fontId="101" type="noConversion"/>
  </si>
  <si>
    <t>活跃度2</t>
  </si>
  <si>
    <t>活跃度3</t>
  </si>
  <si>
    <t>总活跃度</t>
    <phoneticPr fontId="101" type="noConversion"/>
  </si>
  <si>
    <t>任务类型</t>
    <phoneticPr fontId="101" type="noConversion"/>
  </si>
  <si>
    <t>低时长</t>
    <phoneticPr fontId="101" type="noConversion"/>
  </si>
  <si>
    <t>中时长</t>
    <phoneticPr fontId="101" type="noConversion"/>
  </si>
  <si>
    <t>高时长</t>
    <phoneticPr fontId="101" type="noConversion"/>
  </si>
  <si>
    <t>每日活跃度</t>
    <phoneticPr fontId="101" type="noConversion"/>
  </si>
  <si>
    <t>任务活跃度设定</t>
    <phoneticPr fontId="101" type="noConversion"/>
  </si>
  <si>
    <t>宝箱类型</t>
    <phoneticPr fontId="101" type="noConversion"/>
  </si>
  <si>
    <t>标准时长</t>
    <phoneticPr fontId="101" type="noConversion"/>
  </si>
  <si>
    <t>组合中数目</t>
    <phoneticPr fontId="101" type="noConversion"/>
  </si>
  <si>
    <t>需活跃度</t>
    <phoneticPr fontId="101" type="noConversion"/>
  </si>
  <si>
    <t>宝箱对应活跃度</t>
    <phoneticPr fontId="101" type="noConversion"/>
  </si>
  <si>
    <t>日产出价值</t>
    <phoneticPr fontId="101" type="noConversion"/>
  </si>
  <si>
    <t>宝箱价值</t>
    <phoneticPr fontId="101" type="noConversion"/>
  </si>
  <si>
    <t>活跃度价值</t>
    <phoneticPr fontId="101" type="noConversion"/>
  </si>
  <si>
    <t>活跃度产出</t>
    <phoneticPr fontId="101" type="noConversion"/>
  </si>
  <si>
    <t>战斗</t>
  </si>
  <si>
    <t>任务</t>
  </si>
  <si>
    <t>活跃度宝箱</t>
  </si>
  <si>
    <t>产出途径</t>
    <phoneticPr fontId="101" type="noConversion"/>
  </si>
  <si>
    <t>产出比例</t>
    <phoneticPr fontId="101" type="noConversion"/>
  </si>
  <si>
    <t>标准坦克</t>
    <phoneticPr fontId="101" type="noConversion"/>
  </si>
  <si>
    <t>坦克初始</t>
    <phoneticPr fontId="101" type="noConversion"/>
  </si>
  <si>
    <t>初始属性</t>
    <phoneticPr fontId="101" type="noConversion"/>
  </si>
  <si>
    <t>初始系数</t>
    <phoneticPr fontId="101" type="noConversion"/>
  </si>
  <si>
    <t>初始价值</t>
    <phoneticPr fontId="101" type="noConversion"/>
  </si>
  <si>
    <t>坦克(碎片)价值</t>
    <phoneticPr fontId="101" type="noConversion"/>
  </si>
  <si>
    <t>每日产出资源比例</t>
    <phoneticPr fontId="101" type="noConversion"/>
  </si>
  <si>
    <t>坦克品级</t>
    <phoneticPr fontId="101" type="noConversion"/>
  </si>
  <si>
    <t>升星次数</t>
    <phoneticPr fontId="101" type="noConversion"/>
  </si>
  <si>
    <t>合成个数</t>
    <phoneticPr fontId="101" type="noConversion"/>
  </si>
  <si>
    <t>坦克Tier</t>
    <phoneticPr fontId="101" type="noConversion"/>
  </si>
  <si>
    <t>坦克品级</t>
    <phoneticPr fontId="101" type="noConversion"/>
  </si>
  <si>
    <t>升星次数</t>
    <phoneticPr fontId="101" type="noConversion"/>
  </si>
  <si>
    <t>碎片个数</t>
    <phoneticPr fontId="101" type="noConversion"/>
  </si>
  <si>
    <t>升星总数</t>
    <phoneticPr fontId="101" type="noConversion"/>
  </si>
  <si>
    <t>碎片价值</t>
    <phoneticPr fontId="101" type="noConversion"/>
  </si>
  <si>
    <t>碎片价值</t>
    <phoneticPr fontId="101" type="noConversion"/>
  </si>
  <si>
    <t>升星总消耗</t>
    <phoneticPr fontId="101" type="noConversion"/>
  </si>
  <si>
    <t>个数系数</t>
    <phoneticPr fontId="101" type="noConversion"/>
  </si>
  <si>
    <t>抽取次数</t>
    <phoneticPr fontId="101" type="noConversion"/>
  </si>
  <si>
    <t>道具类型</t>
    <phoneticPr fontId="101" type="noConversion"/>
  </si>
  <si>
    <t>钻石数目</t>
    <phoneticPr fontId="101" type="noConversion"/>
  </si>
  <si>
    <t>军费系数</t>
    <phoneticPr fontId="101" type="noConversion"/>
  </si>
  <si>
    <t>undamagedParameter</t>
  </si>
  <si>
    <t>未击破伤害系数</t>
  </si>
  <si>
    <t>centerRange</t>
  </si>
  <si>
    <t>坦克中心区域半径</t>
  </si>
  <si>
    <t>basicObservationRange</t>
  </si>
  <si>
    <t>基础视野距离</t>
  </si>
  <si>
    <t>minObservationRange</t>
  </si>
  <si>
    <t>最小视野距离</t>
  </si>
  <si>
    <r>
      <t>A</t>
    </r>
    <r>
      <rPr>
        <sz val="9"/>
        <color theme="1"/>
        <rFont val="微软雅黑"/>
        <family val="2"/>
        <charset val="134"/>
      </rPr>
      <t>ll</t>
    </r>
    <phoneticPr fontId="101" type="noConversion"/>
  </si>
  <si>
    <t>坦克开放节奏</t>
    <phoneticPr fontId="101" type="noConversion"/>
  </si>
  <si>
    <r>
      <t>N</t>
    </r>
    <r>
      <rPr>
        <sz val="9"/>
        <color theme="1"/>
        <rFont val="微软雅黑"/>
        <family val="2"/>
        <charset val="134"/>
      </rPr>
      <t>one</t>
    </r>
    <phoneticPr fontId="101" type="noConversion"/>
  </si>
  <si>
    <t>对应大类</t>
    <phoneticPr fontId="101" type="noConversion"/>
  </si>
  <si>
    <t>坦克</t>
    <phoneticPr fontId="101" type="noConversion"/>
  </si>
  <si>
    <t>坦克型号</t>
    <phoneticPr fontId="101" type="noConversion"/>
  </si>
  <si>
    <t>道具价值</t>
    <phoneticPr fontId="101" type="noConversion"/>
  </si>
  <si>
    <t>T2</t>
  </si>
  <si>
    <t>T3</t>
  </si>
  <si>
    <t>T4</t>
  </si>
  <si>
    <t>T5</t>
  </si>
  <si>
    <t>T1</t>
    <phoneticPr fontId="101" type="noConversion"/>
  </si>
  <si>
    <t>产出概率</t>
    <phoneticPr fontId="101" type="noConversion"/>
  </si>
  <si>
    <t>权重值</t>
    <phoneticPr fontId="101" type="noConversion"/>
  </si>
  <si>
    <t>货币兑换比例</t>
    <phoneticPr fontId="101" type="noConversion"/>
  </si>
  <si>
    <t>军费</t>
    <phoneticPr fontId="101" type="noConversion"/>
  </si>
  <si>
    <t>军费</t>
    <phoneticPr fontId="101" type="noConversion"/>
  </si>
  <si>
    <t>活跃值</t>
    <phoneticPr fontId="101" type="noConversion"/>
  </si>
  <si>
    <t>钻石</t>
    <phoneticPr fontId="101" type="noConversion"/>
  </si>
  <si>
    <t>碎片</t>
    <phoneticPr fontId="101" type="noConversion"/>
  </si>
  <si>
    <t>碎片</t>
    <phoneticPr fontId="101" type="noConversion"/>
  </si>
  <si>
    <t>坦克</t>
    <phoneticPr fontId="101" type="noConversion"/>
  </si>
  <si>
    <t>军费</t>
    <phoneticPr fontId="101" type="noConversion"/>
  </si>
  <si>
    <t>产出内容1</t>
    <phoneticPr fontId="101" type="noConversion"/>
  </si>
  <si>
    <t>产出内容2</t>
  </si>
  <si>
    <t>产出内容3</t>
  </si>
  <si>
    <t>产出内容4</t>
  </si>
  <si>
    <t>产出内容5</t>
  </si>
  <si>
    <t>产出资源内容</t>
    <phoneticPr fontId="101" type="noConversion"/>
  </si>
  <si>
    <t>包含钻石</t>
    <phoneticPr fontId="101" type="noConversion"/>
  </si>
  <si>
    <t>剩余价值</t>
    <phoneticPr fontId="101" type="noConversion"/>
  </si>
  <si>
    <t>扣除钻石价值</t>
    <phoneticPr fontId="101" type="noConversion"/>
  </si>
  <si>
    <t>日标准场次</t>
    <phoneticPr fontId="101" type="noConversion"/>
  </si>
  <si>
    <t>每钻军费</t>
    <phoneticPr fontId="101" type="noConversion"/>
  </si>
  <si>
    <t>军费价值</t>
    <phoneticPr fontId="101" type="noConversion"/>
  </si>
  <si>
    <t>奖励军费</t>
    <phoneticPr fontId="101" type="noConversion"/>
  </si>
  <si>
    <t>任务军费</t>
    <phoneticPr fontId="101" type="noConversion"/>
  </si>
  <si>
    <t>签到</t>
    <phoneticPr fontId="101" type="noConversion"/>
  </si>
  <si>
    <t>时间戳(分)</t>
    <phoneticPr fontId="101" type="noConversion"/>
  </si>
  <si>
    <t>1钻时长(秒)</t>
    <phoneticPr fontId="101" type="noConversion"/>
  </si>
  <si>
    <t>时间戳(秒)</t>
    <phoneticPr fontId="101" type="noConversion"/>
  </si>
  <si>
    <t>消耗钻石</t>
    <phoneticPr fontId="101" type="noConversion"/>
  </si>
  <si>
    <t>平均钻石</t>
    <phoneticPr fontId="101" type="noConversion"/>
  </si>
  <si>
    <t>活跃度/钻石</t>
    <phoneticPr fontId="101" type="noConversion"/>
  </si>
  <si>
    <t>掉落钻石</t>
    <phoneticPr fontId="101" type="noConversion"/>
  </si>
  <si>
    <t>军费价值</t>
    <phoneticPr fontId="101" type="noConversion"/>
  </si>
  <si>
    <t>价值钻石</t>
    <phoneticPr fontId="101" type="noConversion"/>
  </si>
  <si>
    <t>抽取价值</t>
    <phoneticPr fontId="101" type="noConversion"/>
  </si>
  <si>
    <t>出售宝箱1</t>
    <phoneticPr fontId="101" type="noConversion"/>
  </si>
  <si>
    <t>出售宝箱2</t>
    <phoneticPr fontId="101" type="noConversion"/>
  </si>
  <si>
    <t>出售宝箱3</t>
    <phoneticPr fontId="101" type="noConversion"/>
  </si>
  <si>
    <t>出售宝箱4</t>
    <phoneticPr fontId="101" type="noConversion"/>
  </si>
  <si>
    <t>出售宝箱5</t>
    <phoneticPr fontId="101" type="noConversion"/>
  </si>
  <si>
    <t>抽取个数</t>
    <phoneticPr fontId="101" type="noConversion"/>
  </si>
  <si>
    <t>最终属性</t>
    <phoneticPr fontId="101" type="noConversion"/>
  </si>
  <si>
    <t>辅助系数</t>
    <phoneticPr fontId="101" type="noConversion"/>
  </si>
  <si>
    <t>坦克养成属性系数调用</t>
    <phoneticPr fontId="101" type="noConversion"/>
  </si>
  <si>
    <t>辅助系数</t>
    <phoneticPr fontId="101" type="noConversion"/>
  </si>
  <si>
    <t>升星次数</t>
    <phoneticPr fontId="101" type="noConversion"/>
  </si>
  <si>
    <t>坦克标识</t>
    <phoneticPr fontId="101" type="noConversion"/>
  </si>
  <si>
    <t>坦克星级属性</t>
    <phoneticPr fontId="101" type="noConversion"/>
  </si>
  <si>
    <t>低品初始</t>
    <phoneticPr fontId="101" type="noConversion"/>
  </si>
  <si>
    <t>低品最高</t>
    <phoneticPr fontId="101" type="noConversion"/>
  </si>
  <si>
    <t>中品初始</t>
    <phoneticPr fontId="101" type="noConversion"/>
  </si>
  <si>
    <t>中品最高</t>
    <phoneticPr fontId="101" type="noConversion"/>
  </si>
  <si>
    <t>高品初始</t>
    <phoneticPr fontId="101" type="noConversion"/>
  </si>
  <si>
    <t>高品最高</t>
    <phoneticPr fontId="101" type="noConversion"/>
  </si>
  <si>
    <t>低品坦克</t>
    <phoneticPr fontId="101" type="noConversion"/>
  </si>
  <si>
    <t>高品坦克</t>
    <phoneticPr fontId="101" type="noConversion"/>
  </si>
  <si>
    <t>中品坦克</t>
    <phoneticPr fontId="101" type="noConversion"/>
  </si>
  <si>
    <t>低品坦克</t>
    <phoneticPr fontId="101" type="noConversion"/>
  </si>
  <si>
    <t>中品坦克</t>
    <phoneticPr fontId="101" type="noConversion"/>
  </si>
  <si>
    <t>高品坦克</t>
    <phoneticPr fontId="101" type="noConversion"/>
  </si>
  <si>
    <t>T1</t>
  </si>
  <si>
    <t>低</t>
    <phoneticPr fontId="101" type="noConversion"/>
  </si>
  <si>
    <t>中</t>
    <phoneticPr fontId="101" type="noConversion"/>
  </si>
  <si>
    <t>高</t>
    <phoneticPr fontId="101" type="noConversion"/>
  </si>
  <si>
    <t>T1低0</t>
  </si>
  <si>
    <t>T1低1</t>
  </si>
  <si>
    <t>T1低2</t>
  </si>
  <si>
    <t>T1低3</t>
  </si>
  <si>
    <t>T2低0</t>
  </si>
  <si>
    <t>T2低1</t>
  </si>
  <si>
    <t>T2低2</t>
  </si>
  <si>
    <t>T2低3</t>
  </si>
  <si>
    <t>T2低4</t>
  </si>
  <si>
    <t>T2低5</t>
  </si>
  <si>
    <t>T2低6</t>
  </si>
  <si>
    <t>T2中0</t>
  </si>
  <si>
    <t>T2中1</t>
  </si>
  <si>
    <t>T2中2</t>
  </si>
  <si>
    <t>T2中3</t>
  </si>
  <si>
    <t>T3低0</t>
  </si>
  <si>
    <t>T3低1</t>
  </si>
  <si>
    <t>T3低2</t>
  </si>
  <si>
    <t>T3低3</t>
  </si>
  <si>
    <t>T3低4</t>
  </si>
  <si>
    <t>T3低5</t>
  </si>
  <si>
    <t>T3低6</t>
  </si>
  <si>
    <t>T3低7</t>
  </si>
  <si>
    <t>T3低8</t>
  </si>
  <si>
    <t>T3中0</t>
  </si>
  <si>
    <t>T3中1</t>
  </si>
  <si>
    <t>T3中2</t>
  </si>
  <si>
    <t>T3中3</t>
  </si>
  <si>
    <t>T3中4</t>
  </si>
  <si>
    <t>T3中5</t>
  </si>
  <si>
    <t>T3中6</t>
  </si>
  <si>
    <t>T3高0</t>
  </si>
  <si>
    <t>T3高1</t>
  </si>
  <si>
    <t>T3高2</t>
  </si>
  <si>
    <t>T3高3</t>
  </si>
  <si>
    <t>T4低0</t>
  </si>
  <si>
    <t>T4低1</t>
  </si>
  <si>
    <t>T4低2</t>
  </si>
  <si>
    <t>T4低3</t>
  </si>
  <si>
    <t>T4低4</t>
  </si>
  <si>
    <t>T4低5</t>
  </si>
  <si>
    <t>T4低6</t>
  </si>
  <si>
    <t>T4低7</t>
  </si>
  <si>
    <t>T4低8</t>
  </si>
  <si>
    <t>T4低9</t>
  </si>
  <si>
    <t>T4中0</t>
  </si>
  <si>
    <t>T4中1</t>
  </si>
  <si>
    <t>T4中2</t>
  </si>
  <si>
    <t>T4中3</t>
  </si>
  <si>
    <t>T4中4</t>
  </si>
  <si>
    <t>T4中5</t>
  </si>
  <si>
    <t>T4中6</t>
  </si>
  <si>
    <t>T4高0</t>
  </si>
  <si>
    <t>T4高1</t>
  </si>
  <si>
    <t>T4高2</t>
  </si>
  <si>
    <t>T4高3</t>
  </si>
  <si>
    <t>T5低0</t>
  </si>
  <si>
    <t>T5低1</t>
  </si>
  <si>
    <t>T5低2</t>
  </si>
  <si>
    <t>T5低3</t>
  </si>
  <si>
    <t>T5低4</t>
  </si>
  <si>
    <t>T5低5</t>
  </si>
  <si>
    <t>T5低6</t>
  </si>
  <si>
    <t>T5低7</t>
  </si>
  <si>
    <t>T5低8</t>
  </si>
  <si>
    <t>T5低9</t>
  </si>
  <si>
    <t>T5中0</t>
  </si>
  <si>
    <t>T5中1</t>
  </si>
  <si>
    <t>T5中2</t>
  </si>
  <si>
    <t>T5中3</t>
  </si>
  <si>
    <t>T5中4</t>
  </si>
  <si>
    <t>T5中5</t>
  </si>
  <si>
    <t>T5中6</t>
  </si>
  <si>
    <t>T5高0</t>
  </si>
  <si>
    <t>T5高1</t>
  </si>
  <si>
    <t>T5高2</t>
  </si>
  <si>
    <t>T5高3</t>
  </si>
  <si>
    <t>品级数值</t>
    <phoneticPr fontId="101" type="noConversion"/>
  </si>
  <si>
    <t>品级数值</t>
    <phoneticPr fontId="101" type="noConversion"/>
  </si>
  <si>
    <t>品质数值</t>
    <phoneticPr fontId="101" type="noConversion"/>
  </si>
  <si>
    <t>T4高4</t>
  </si>
  <si>
    <t>T3高4</t>
  </si>
  <si>
    <t>T5高5</t>
  </si>
  <si>
    <t>T4高5</t>
  </si>
  <si>
    <t>T5高6</t>
  </si>
  <si>
    <t>低</t>
    <phoneticPr fontId="101" type="noConversion"/>
  </si>
  <si>
    <t>中</t>
    <phoneticPr fontId="101" type="noConversion"/>
  </si>
  <si>
    <t>原瞄准速度</t>
    <phoneticPr fontId="101" type="noConversion"/>
  </si>
  <si>
    <t>移速转速等品质差异</t>
    <phoneticPr fontId="101" type="noConversion"/>
  </si>
  <si>
    <t>射速属性提升</t>
    <phoneticPr fontId="101" type="noConversion"/>
  </si>
  <si>
    <t>坦克个性化属性统计</t>
    <phoneticPr fontId="101" type="noConversion"/>
  </si>
  <si>
    <t>坦克初始成长属性统计</t>
    <phoneticPr fontId="101" type="noConversion"/>
  </si>
  <si>
    <t>坦克小区间属性成长区间</t>
    <phoneticPr fontId="101" type="noConversion"/>
  </si>
  <si>
    <t>坦克小区间属性初始值</t>
    <phoneticPr fontId="101" type="noConversion"/>
  </si>
  <si>
    <t>瞄准时间</t>
    <phoneticPr fontId="101" type="noConversion"/>
  </si>
  <si>
    <t>换弹时间</t>
    <phoneticPr fontId="101" type="noConversion"/>
  </si>
  <si>
    <t>T1低</t>
    <phoneticPr fontId="101" type="noConversion"/>
  </si>
  <si>
    <t>T2低</t>
    <phoneticPr fontId="101" type="noConversion"/>
  </si>
  <si>
    <t>T2中</t>
    <phoneticPr fontId="101" type="noConversion"/>
  </si>
  <si>
    <t>T3低</t>
    <phoneticPr fontId="101" type="noConversion"/>
  </si>
  <si>
    <t>T3中</t>
    <phoneticPr fontId="101" type="noConversion"/>
  </si>
  <si>
    <t>T3高</t>
    <phoneticPr fontId="101" type="noConversion"/>
  </si>
  <si>
    <t>T4低</t>
    <phoneticPr fontId="101" type="noConversion"/>
  </si>
  <si>
    <t>T4中</t>
    <phoneticPr fontId="101" type="noConversion"/>
  </si>
  <si>
    <t>T4高</t>
    <phoneticPr fontId="101" type="noConversion"/>
  </si>
  <si>
    <t>T5低</t>
    <phoneticPr fontId="101" type="noConversion"/>
  </si>
  <si>
    <t>T5中</t>
    <phoneticPr fontId="101" type="noConversion"/>
  </si>
  <si>
    <t>T5高</t>
    <phoneticPr fontId="101" type="noConversion"/>
  </si>
  <si>
    <t>T1</t>
    <phoneticPr fontId="101" type="noConversion"/>
  </si>
  <si>
    <t>辅助列</t>
    <phoneticPr fontId="101" type="noConversion"/>
  </si>
  <si>
    <t>辅助列</t>
    <phoneticPr fontId="101" type="noConversion"/>
  </si>
  <si>
    <t>T1低</t>
  </si>
  <si>
    <t>T2低</t>
  </si>
  <si>
    <t>T2中</t>
  </si>
  <si>
    <t>T3低</t>
  </si>
  <si>
    <t>T3中</t>
  </si>
  <si>
    <t>T3高</t>
  </si>
  <si>
    <t>T4低</t>
  </si>
  <si>
    <t>T4中</t>
  </si>
  <si>
    <t>T4高</t>
  </si>
  <si>
    <t>T5低</t>
  </si>
  <si>
    <t>T5中</t>
  </si>
  <si>
    <t>T5高</t>
  </si>
  <si>
    <t>T1低碎片</t>
  </si>
  <si>
    <t>T2低碎片</t>
  </si>
  <si>
    <t>T2中碎片</t>
  </si>
  <si>
    <t>T3低碎片</t>
  </si>
  <si>
    <t>T3中碎片</t>
  </si>
  <si>
    <t>T3高碎片</t>
  </si>
  <si>
    <t>T4低碎片</t>
  </si>
  <si>
    <t>T4中碎片</t>
  </si>
  <si>
    <t>T4高碎片</t>
  </si>
  <si>
    <t>T5低碎片</t>
  </si>
  <si>
    <t>T5中碎片</t>
  </si>
  <si>
    <t>T5高碎片</t>
  </si>
  <si>
    <t>宝箱售卖节奏</t>
    <phoneticPr fontId="101" type="noConversion"/>
  </si>
  <si>
    <t>坦克类别</t>
    <phoneticPr fontId="101" type="noConversion"/>
  </si>
  <si>
    <t>获取时间</t>
    <phoneticPr fontId="101" type="noConversion"/>
  </si>
  <si>
    <r>
      <t>p</t>
    </r>
    <r>
      <rPr>
        <sz val="9"/>
        <color theme="1"/>
        <rFont val="微软雅黑"/>
        <family val="2"/>
        <charset val="134"/>
      </rPr>
      <t>art</t>
    </r>
    <phoneticPr fontId="101" type="noConversion"/>
  </si>
  <si>
    <t>坦克1</t>
    <phoneticPr fontId="101" type="noConversion"/>
  </si>
  <si>
    <t>联赛等级</t>
    <phoneticPr fontId="101" type="noConversion"/>
  </si>
  <si>
    <t>非R坦克提升联赛等级阵容需求</t>
    <phoneticPr fontId="101" type="noConversion"/>
  </si>
  <si>
    <t>产出坦克1</t>
    <phoneticPr fontId="101" type="noConversion"/>
  </si>
  <si>
    <t>产出坦克2</t>
  </si>
  <si>
    <t>产出坦克3</t>
  </si>
  <si>
    <t>需求坦克1</t>
    <phoneticPr fontId="101" type="noConversion"/>
  </si>
  <si>
    <t>需求坦克2</t>
  </si>
  <si>
    <t>需求坦克3</t>
  </si>
  <si>
    <t>坦克价值衰减</t>
    <phoneticPr fontId="101" type="noConversion"/>
  </si>
  <si>
    <t>养成时间</t>
    <phoneticPr fontId="101" type="noConversion"/>
  </si>
  <si>
    <t>坦克获取/养成期望</t>
    <phoneticPr fontId="101" type="noConversion"/>
  </si>
  <si>
    <t>坦克品级</t>
  </si>
  <si>
    <t>坦克品质</t>
  </si>
  <si>
    <t>额外20%,日标准20场</t>
    <phoneticPr fontId="101" type="noConversion"/>
  </si>
  <si>
    <t>场军费价值</t>
    <phoneticPr fontId="101" type="noConversion"/>
  </si>
  <si>
    <t>组合序列</t>
    <phoneticPr fontId="101" type="noConversion"/>
  </si>
  <si>
    <t>宝箱位置1</t>
    <phoneticPr fontId="101" type="noConversion"/>
  </si>
  <si>
    <t>宝箱位置2</t>
  </si>
  <si>
    <t>宝箱位置3</t>
  </si>
  <si>
    <t>宝箱位置4</t>
  </si>
  <si>
    <t>宝箱位置5</t>
  </si>
  <si>
    <t>宝箱位置6</t>
  </si>
  <si>
    <t>宝箱位置7</t>
  </si>
  <si>
    <t>宝箱位置8</t>
  </si>
  <si>
    <t>宝箱位置9</t>
  </si>
  <si>
    <t>宝箱位置10</t>
  </si>
  <si>
    <t>宝箱位置11</t>
  </si>
  <si>
    <t>宝箱位置12</t>
  </si>
  <si>
    <t>宝箱位置13</t>
  </si>
  <si>
    <t>宝箱位置14</t>
  </si>
  <si>
    <t>宝箱位置15</t>
  </si>
  <si>
    <t>出售宝箱2</t>
  </si>
  <si>
    <t>出售宝箱3</t>
  </si>
  <si>
    <t>出售宝箱4</t>
  </si>
  <si>
    <t>宝箱分类及产出内容</t>
    <phoneticPr fontId="101" type="noConversion"/>
  </si>
  <si>
    <t>战斗军费</t>
    <phoneticPr fontId="101" type="noConversion"/>
  </si>
  <si>
    <t>平均军费</t>
    <phoneticPr fontId="101" type="noConversion"/>
  </si>
  <si>
    <t>宝箱军费</t>
    <phoneticPr fontId="101" type="noConversion"/>
  </si>
  <si>
    <t>累计军费</t>
    <phoneticPr fontId="101" type="noConversion"/>
  </si>
  <si>
    <t>活跃度军费</t>
    <phoneticPr fontId="101" type="noConversion"/>
  </si>
  <si>
    <t>联赛等级</t>
    <phoneticPr fontId="101" type="noConversion"/>
  </si>
  <si>
    <t>坦克价值</t>
    <phoneticPr fontId="101" type="noConversion"/>
  </si>
  <si>
    <t>坦克碎片价值</t>
    <phoneticPr fontId="101" type="noConversion"/>
  </si>
  <si>
    <t>军费</t>
    <phoneticPr fontId="101" type="noConversion"/>
  </si>
  <si>
    <t>军费售卖</t>
    <phoneticPr fontId="101" type="noConversion"/>
  </si>
  <si>
    <t>货币价值</t>
    <phoneticPr fontId="101" type="noConversion"/>
  </si>
  <si>
    <t>坦克分类</t>
    <phoneticPr fontId="101" type="noConversion"/>
  </si>
  <si>
    <t>标准价值</t>
    <phoneticPr fontId="101" type="noConversion"/>
  </si>
  <si>
    <t>((60-(bullet-1)*attackCd)/(magazineTime+attackCd*(bullet-1)+bulletTime*bullet)+1)*bullet</t>
    <phoneticPr fontId="101" type="noConversion"/>
  </si>
  <si>
    <t>无视距离</t>
    <phoneticPr fontId="101" type="noConversion"/>
  </si>
  <si>
    <t>45S射速</t>
    <phoneticPr fontId="101" type="noConversion"/>
  </si>
  <si>
    <t>希望达到的效果</t>
    <phoneticPr fontId="101" type="noConversion"/>
  </si>
  <si>
    <t>所有坦克达到合适距离可以打穿对方</t>
    <phoneticPr fontId="101" type="noConversion"/>
  </si>
  <si>
    <t>重坦看到对方就可以打,不用等;轻坦需要到合适距离才能开火.不同距离伤害差异较大.</t>
    <phoneticPr fontId="101" type="noConversion"/>
  </si>
  <si>
    <t>穿透力衰减代表伤害差异区间变化,轻坦伤害衰减大,重坦伤害衰减小.轻坦爆发高.重坦爆发低.所有坦克的装甲厚度没有绝对差异.不同坦克的主要差异是灵活度</t>
    <phoneticPr fontId="101" type="noConversion"/>
  </si>
  <si>
    <t>坦克各类型穿透力和衰减区间</t>
    <phoneticPr fontId="101" type="noConversion"/>
  </si>
  <si>
    <t>玩法:重坦看到对面坦克之后就打,轻坦打重坦需要前进70米才能达到最大输出.贴近重坦后通过走位使自己受伤减少,对重坦进行伤害.</t>
    <phoneticPr fontId="101" type="noConversion"/>
  </si>
  <si>
    <t>max穿透系</t>
    <phoneticPr fontId="101" type="noConversion"/>
  </si>
  <si>
    <t>min穿透系</t>
    <phoneticPr fontId="101" type="noConversion"/>
  </si>
  <si>
    <t>平均穿透</t>
    <phoneticPr fontId="101" type="noConversion"/>
  </si>
  <si>
    <t>最小穿透</t>
    <phoneticPr fontId="101" type="noConversion"/>
  </si>
  <si>
    <t>遇敌距离</t>
    <phoneticPr fontId="101" type="noConversion"/>
  </si>
  <si>
    <t>遇敌距离</t>
    <phoneticPr fontId="101" type="noConversion"/>
  </si>
  <si>
    <t>期望距离</t>
    <phoneticPr fontId="101" type="noConversion"/>
  </si>
  <si>
    <t>移动时间</t>
    <phoneticPr fontId="101" type="noConversion"/>
  </si>
  <si>
    <t>轻坦时长</t>
    <phoneticPr fontId="101" type="noConversion"/>
  </si>
  <si>
    <t>中坦时长</t>
    <phoneticPr fontId="101" type="noConversion"/>
  </si>
  <si>
    <t>重坦时长</t>
    <phoneticPr fontId="101" type="noConversion"/>
  </si>
  <si>
    <t>对轻坦输出</t>
    <phoneticPr fontId="101" type="noConversion"/>
  </si>
  <si>
    <t>对中坦输出</t>
    <phoneticPr fontId="101" type="noConversion"/>
  </si>
  <si>
    <t>对重坦输出</t>
    <phoneticPr fontId="101" type="noConversion"/>
  </si>
  <si>
    <t>重坦时间</t>
    <phoneticPr fontId="101" type="noConversion"/>
  </si>
  <si>
    <t>轻坦时间</t>
    <phoneticPr fontId="101" type="noConversion"/>
  </si>
  <si>
    <t>中坦时间</t>
    <phoneticPr fontId="101" type="noConversion"/>
  </si>
  <si>
    <r>
      <t>6</t>
    </r>
    <r>
      <rPr>
        <sz val="9"/>
        <color theme="1"/>
        <rFont val="微软雅黑"/>
        <family val="2"/>
        <charset val="134"/>
      </rPr>
      <t>0S</t>
    </r>
    <r>
      <rPr>
        <sz val="9"/>
        <color theme="1"/>
        <rFont val="微软雅黑"/>
        <family val="2"/>
        <charset val="134"/>
      </rPr>
      <t>射速</t>
    </r>
    <phoneticPr fontId="101" type="noConversion"/>
  </si>
  <si>
    <t>60S射速</t>
    <phoneticPr fontId="101" type="noConversion"/>
  </si>
  <si>
    <r>
      <t>6</t>
    </r>
    <r>
      <rPr>
        <sz val="9"/>
        <color theme="1"/>
        <rFont val="微软雅黑"/>
        <family val="2"/>
        <charset val="134"/>
      </rPr>
      <t>0</t>
    </r>
    <r>
      <rPr>
        <sz val="9"/>
        <color theme="1"/>
        <rFont val="微软雅黑"/>
        <family val="2"/>
        <charset val="134"/>
      </rPr>
      <t>S射速比</t>
    </r>
    <phoneticPr fontId="101" type="noConversion"/>
  </si>
  <si>
    <t>战斗双方输出期望</t>
    <phoneticPr fontId="101" type="noConversion"/>
  </si>
  <si>
    <t>换弹时间</t>
    <phoneticPr fontId="101" type="noConversion"/>
  </si>
  <si>
    <t>缩短比例</t>
    <phoneticPr fontId="101" type="noConversion"/>
  </si>
  <si>
    <t>坦克碎片</t>
    <phoneticPr fontId="101" type="noConversion"/>
  </si>
  <si>
    <t>宝箱类别</t>
    <phoneticPr fontId="101" type="noConversion"/>
  </si>
  <si>
    <t>宝箱名称</t>
    <phoneticPr fontId="101" type="noConversion"/>
  </si>
  <si>
    <t>抽取次数</t>
    <phoneticPr fontId="101" type="noConversion"/>
  </si>
  <si>
    <t>联赛等级</t>
    <phoneticPr fontId="101" type="noConversion"/>
  </si>
  <si>
    <t>产出军费</t>
    <phoneticPr fontId="101" type="noConversion"/>
  </si>
  <si>
    <t>涂装分类</t>
    <phoneticPr fontId="101" type="noConversion"/>
  </si>
  <si>
    <t>贴花</t>
    <phoneticPr fontId="101" type="noConversion"/>
  </si>
  <si>
    <t>图案</t>
    <phoneticPr fontId="101" type="noConversion"/>
  </si>
  <si>
    <t>模型</t>
    <phoneticPr fontId="101" type="noConversion"/>
  </si>
  <si>
    <t>价值系数</t>
    <phoneticPr fontId="101" type="noConversion"/>
  </si>
  <si>
    <t>坦克Tier</t>
    <phoneticPr fontId="101" type="noConversion"/>
  </si>
  <si>
    <t>使用时长</t>
    <phoneticPr fontId="101" type="noConversion"/>
  </si>
  <si>
    <t>日消费额</t>
    <phoneticPr fontId="101" type="noConversion"/>
  </si>
  <si>
    <t>道具名称</t>
    <phoneticPr fontId="101" type="noConversion"/>
  </si>
  <si>
    <t>联赛等级</t>
    <phoneticPr fontId="101" type="noConversion"/>
  </si>
  <si>
    <t>皮肤序号</t>
    <phoneticPr fontId="101" type="noConversion"/>
  </si>
  <si>
    <t>时长</t>
    <phoneticPr fontId="101" type="noConversion"/>
  </si>
  <si>
    <t>价格系数</t>
    <phoneticPr fontId="101" type="noConversion"/>
  </si>
  <si>
    <t>价格</t>
    <phoneticPr fontId="101" type="noConversion"/>
  </si>
  <si>
    <t>永久</t>
    <phoneticPr fontId="101" type="noConversion"/>
  </si>
  <si>
    <t>半月</t>
    <phoneticPr fontId="101" type="noConversion"/>
  </si>
  <si>
    <t>三天</t>
  </si>
  <si>
    <t>返还价值</t>
    <phoneticPr fontId="101" type="noConversion"/>
  </si>
  <si>
    <t>坦克碎片</t>
    <phoneticPr fontId="101" type="noConversion"/>
  </si>
  <si>
    <t>涂装辅助列</t>
    <phoneticPr fontId="101" type="noConversion"/>
  </si>
  <si>
    <t>皮肤序号</t>
    <phoneticPr fontId="101" type="noConversion"/>
  </si>
  <si>
    <t>坦克类型</t>
    <phoneticPr fontId="101" type="noConversion"/>
  </si>
  <si>
    <t>轻</t>
    <phoneticPr fontId="101" type="noConversion"/>
  </si>
  <si>
    <t>中</t>
    <phoneticPr fontId="101" type="noConversion"/>
  </si>
  <si>
    <t>重</t>
    <phoneticPr fontId="101" type="noConversion"/>
  </si>
  <si>
    <t>坦克Tier</t>
    <phoneticPr fontId="101" type="noConversion"/>
  </si>
  <si>
    <t>坦克涂装价值</t>
    <phoneticPr fontId="101" type="noConversion"/>
  </si>
  <si>
    <t>T2低轻贴三</t>
  </si>
  <si>
    <t>T2低中贴三</t>
  </si>
  <si>
    <t>T2低重贴三</t>
  </si>
  <si>
    <t>T2中轻贴三</t>
  </si>
  <si>
    <t>T2中中贴三</t>
  </si>
  <si>
    <t>T2中重贴三</t>
  </si>
  <si>
    <t>T3低轻贴三</t>
  </si>
  <si>
    <t>T3低中贴三</t>
  </si>
  <si>
    <t>T3低重贴三</t>
  </si>
  <si>
    <t>T3低轻图三</t>
  </si>
  <si>
    <t>T3低中图三</t>
  </si>
  <si>
    <t>T3低重图三</t>
  </si>
  <si>
    <t>T3中轻贴三</t>
  </si>
  <si>
    <t>T3中中贴三</t>
  </si>
  <si>
    <t>T3中重贴三</t>
  </si>
  <si>
    <t>T3中轻图三</t>
  </si>
  <si>
    <t>T3中中图三</t>
  </si>
  <si>
    <t>T3中重图三</t>
  </si>
  <si>
    <t>T3高轻贴三</t>
  </si>
  <si>
    <t>T3高中贴三</t>
  </si>
  <si>
    <t>T3高重贴三</t>
  </si>
  <si>
    <t>T3高轻图三</t>
  </si>
  <si>
    <t>T3高中图三</t>
  </si>
  <si>
    <t>T3高重图三</t>
  </si>
  <si>
    <t>T4低轻贴三</t>
  </si>
  <si>
    <t>T4低中贴三</t>
  </si>
  <si>
    <t>T4低重贴三</t>
  </si>
  <si>
    <t>T4低轻图三</t>
  </si>
  <si>
    <t>T4低中图三</t>
  </si>
  <si>
    <t>T4低重图三</t>
  </si>
  <si>
    <t>T4中轻贴三</t>
  </si>
  <si>
    <t>T4中中贴三</t>
  </si>
  <si>
    <t>T4中重贴三</t>
  </si>
  <si>
    <t>T4中轻图三</t>
  </si>
  <si>
    <t>T4中中图三</t>
  </si>
  <si>
    <t>T4中重图三</t>
  </si>
  <si>
    <t>T4高轻贴三</t>
  </si>
  <si>
    <t>T4高中贴三</t>
  </si>
  <si>
    <t>T4高重贴三</t>
  </si>
  <si>
    <t>T4高轻图三</t>
  </si>
  <si>
    <t>T4高中图三</t>
  </si>
  <si>
    <t>T4高重图三</t>
  </si>
  <si>
    <t>T5低轻贴三</t>
  </si>
  <si>
    <t>T5低中贴三</t>
  </si>
  <si>
    <t>T5低重贴三</t>
  </si>
  <si>
    <t>T5低轻图三</t>
  </si>
  <si>
    <t>T5低中图三</t>
  </si>
  <si>
    <t>T5低重图三</t>
  </si>
  <si>
    <t>养成倍数</t>
    <phoneticPr fontId="101" type="noConversion"/>
  </si>
  <si>
    <t>单发时间</t>
    <phoneticPr fontId="101" type="noConversion"/>
  </si>
  <si>
    <t>弹夹时间</t>
    <phoneticPr fontId="101" type="noConversion"/>
  </si>
  <si>
    <t>瞄准时间</t>
    <phoneticPr fontId="101" type="noConversion"/>
  </si>
  <si>
    <t>开火方式</t>
    <phoneticPr fontId="101" type="noConversion"/>
  </si>
  <si>
    <t>开火方式</t>
    <phoneticPr fontId="101" type="noConversion"/>
  </si>
  <si>
    <t>弹夹</t>
    <phoneticPr fontId="101" type="noConversion"/>
  </si>
  <si>
    <t>半自动</t>
    <phoneticPr fontId="101" type="noConversion"/>
  </si>
  <si>
    <t>单发</t>
    <phoneticPr fontId="101" type="noConversion"/>
  </si>
  <si>
    <t>自动</t>
    <phoneticPr fontId="101" type="noConversion"/>
  </si>
  <si>
    <t>开火ID</t>
    <phoneticPr fontId="101" type="noConversion"/>
  </si>
  <si>
    <t>任务ID</t>
    <phoneticPr fontId="101" type="noConversion"/>
  </si>
  <si>
    <t>任务类型</t>
    <phoneticPr fontId="101" type="noConversion"/>
  </si>
  <si>
    <t>任务难度</t>
    <phoneticPr fontId="101" type="noConversion"/>
  </si>
  <si>
    <t>易</t>
    <phoneticPr fontId="101" type="noConversion"/>
  </si>
  <si>
    <t>中</t>
    <phoneticPr fontId="101" type="noConversion"/>
  </si>
  <si>
    <t>难</t>
    <phoneticPr fontId="101" type="noConversion"/>
  </si>
  <si>
    <t>场次</t>
    <phoneticPr fontId="101" type="noConversion"/>
  </si>
  <si>
    <t>消费</t>
    <phoneticPr fontId="101" type="noConversion"/>
  </si>
  <si>
    <t>需求内容</t>
    <phoneticPr fontId="101" type="noConversion"/>
  </si>
  <si>
    <t>最高要求</t>
    <phoneticPr fontId="101" type="noConversion"/>
  </si>
  <si>
    <t>最低要求</t>
    <phoneticPr fontId="101" type="noConversion"/>
  </si>
  <si>
    <t>居中要求</t>
    <phoneticPr fontId="101" type="noConversion"/>
  </si>
  <si>
    <t>奖励系数</t>
    <phoneticPr fontId="101" type="noConversion"/>
  </si>
  <si>
    <t>军费1</t>
    <phoneticPr fontId="101" type="noConversion"/>
  </si>
  <si>
    <t>军费2</t>
  </si>
  <si>
    <t>军费3</t>
  </si>
  <si>
    <t>活跃值1</t>
    <phoneticPr fontId="101" type="noConversion"/>
  </si>
  <si>
    <t>活跃值2</t>
  </si>
  <si>
    <t>活跃值3</t>
  </si>
  <si>
    <t>奖励系数1</t>
    <phoneticPr fontId="101" type="noConversion"/>
  </si>
  <si>
    <t>奖励系数2</t>
  </si>
  <si>
    <t>奖励系数3</t>
  </si>
  <si>
    <t>奖励系数1</t>
    <phoneticPr fontId="101" type="noConversion"/>
  </si>
  <si>
    <t>每日任务数</t>
    <phoneticPr fontId="101" type="noConversion"/>
  </si>
  <si>
    <t>坦克</t>
    <phoneticPr fontId="101" type="noConversion"/>
  </si>
  <si>
    <t>坦克</t>
    <phoneticPr fontId="101" type="noConversion"/>
  </si>
  <si>
    <t>T3低轻贴半</t>
  </si>
  <si>
    <t>T3低中贴半</t>
  </si>
  <si>
    <t>T3低重贴半</t>
  </si>
  <si>
    <t>T3低轻图半</t>
  </si>
  <si>
    <t>T3低中图半</t>
  </si>
  <si>
    <t>T3低重图半</t>
  </si>
  <si>
    <t>T3中轻贴半</t>
  </si>
  <si>
    <t>T3中中贴半</t>
  </si>
  <si>
    <t>T3中重贴半</t>
  </si>
  <si>
    <t>T3中轻图半</t>
  </si>
  <si>
    <t>T3中中图半</t>
  </si>
  <si>
    <t>T3中重图半</t>
  </si>
  <si>
    <t>坦克</t>
    <phoneticPr fontId="101" type="noConversion"/>
  </si>
  <si>
    <t>T3高轻贴半</t>
  </si>
  <si>
    <t>T3高中贴半</t>
  </si>
  <si>
    <t>T3高重贴半</t>
  </si>
  <si>
    <t>T3高轻图半</t>
  </si>
  <si>
    <t>T3高中图半</t>
  </si>
  <si>
    <t>T3高重图半</t>
  </si>
  <si>
    <t>T4低轻贴半</t>
  </si>
  <si>
    <t>T4低中贴半</t>
  </si>
  <si>
    <t>T4低重贴半</t>
  </si>
  <si>
    <t>T4低轻图半</t>
  </si>
  <si>
    <t>T4低中图半</t>
  </si>
  <si>
    <t>T4低重图半</t>
  </si>
  <si>
    <t>T4中轻贴半</t>
  </si>
  <si>
    <t>T4中中贴半</t>
  </si>
  <si>
    <t>T4中重贴半</t>
  </si>
  <si>
    <t>T4中轻图半</t>
  </si>
  <si>
    <t>T4中中图半</t>
  </si>
  <si>
    <t>T4中重图半</t>
  </si>
  <si>
    <t>T4高轻贴半</t>
  </si>
  <si>
    <t>T4高中贴半</t>
  </si>
  <si>
    <t>T4高重贴半</t>
  </si>
  <si>
    <t>T4高轻图半</t>
  </si>
  <si>
    <t>T4高中图半</t>
  </si>
  <si>
    <t>T4高重图半</t>
  </si>
  <si>
    <t>天梯分定位</t>
    <phoneticPr fontId="101" type="noConversion"/>
  </si>
  <si>
    <t>游戏次数</t>
    <phoneticPr fontId="101" type="noConversion"/>
  </si>
  <si>
    <t>培养程度</t>
    <phoneticPr fontId="101" type="noConversion"/>
  </si>
  <si>
    <t>升段条件</t>
    <phoneticPr fontId="101" type="noConversion"/>
  </si>
  <si>
    <t>培养程度</t>
    <phoneticPr fontId="101" type="noConversion"/>
  </si>
  <si>
    <t>游戏次数</t>
    <phoneticPr fontId="101" type="noConversion"/>
  </si>
  <si>
    <t>标准为达到培养程度后,一定游戏次数可提升段位</t>
    <phoneticPr fontId="101" type="noConversion"/>
  </si>
  <si>
    <t>问题:未达到培养程度,累计游戏次数是否可以提升段位?</t>
    <phoneticPr fontId="101" type="noConversion"/>
  </si>
  <si>
    <t>段位匹配</t>
    <phoneticPr fontId="101" type="noConversion"/>
  </si>
  <si>
    <t>max(段位最低分,玩家匹配分)</t>
    <phoneticPr fontId="101" type="noConversion"/>
  </si>
  <si>
    <t>如上提升上去后不打,直接花费资源再重新培养新坦克,参与新段位战斗.</t>
    <phoneticPr fontId="101" type="noConversion"/>
  </si>
  <si>
    <t>以战斗力匹配,胜率认为近似50%</t>
    <phoneticPr fontId="101" type="noConversion"/>
  </si>
  <si>
    <t>加分规则</t>
    <phoneticPr fontId="101" type="noConversion"/>
  </si>
  <si>
    <t>不同段位最低分相同,最高分不同</t>
    <phoneticPr fontId="101" type="noConversion"/>
  </si>
  <si>
    <t>不同段位最低分不同,最高分可能不同</t>
    <phoneticPr fontId="101" type="noConversion"/>
  </si>
  <si>
    <t>不同段位最低分相同,最高分可能不同</t>
    <phoneticPr fontId="101" type="noConversion"/>
  </si>
  <si>
    <t>技能类型</t>
    <phoneticPr fontId="101" type="noConversion"/>
  </si>
  <si>
    <t>主技能</t>
    <phoneticPr fontId="101" type="noConversion"/>
  </si>
  <si>
    <t>副技能</t>
    <phoneticPr fontId="101" type="noConversion"/>
  </si>
  <si>
    <t>被动技能</t>
    <phoneticPr fontId="101" type="noConversion"/>
  </si>
  <si>
    <t>CD</t>
    <phoneticPr fontId="101" type="noConversion"/>
  </si>
  <si>
    <t>无</t>
    <phoneticPr fontId="101" type="noConversion"/>
  </si>
  <si>
    <t>小喷</t>
  </si>
  <si>
    <t>抓勾</t>
  </si>
  <si>
    <t>冲锋</t>
  </si>
  <si>
    <t>追踪导弹</t>
  </si>
  <si>
    <t>天火导弹</t>
  </si>
  <si>
    <t>主动防御</t>
  </si>
  <si>
    <t>战术维修</t>
  </si>
  <si>
    <t>信号弹</t>
  </si>
  <si>
    <t>地雷</t>
  </si>
  <si>
    <t>燃烧弹</t>
  </si>
  <si>
    <t>氮气加速</t>
  </si>
  <si>
    <t>罐桶炸弹</t>
  </si>
  <si>
    <t>微型导弹</t>
  </si>
  <si>
    <t>技能名称</t>
    <phoneticPr fontId="101" type="noConversion"/>
  </si>
  <si>
    <t>技能类型</t>
    <phoneticPr fontId="101" type="noConversion"/>
  </si>
  <si>
    <t>启动后可快速移动一段距离</t>
  </si>
  <si>
    <t>加速冲向对手，产生少量伤害和减速效果</t>
  </si>
  <si>
    <t>朝目标连续发射5枚导弹</t>
  </si>
  <si>
    <t>锁定前方最多3个目标，发射导弹</t>
  </si>
  <si>
    <t>产生炮塔前方的护盾，吸收伤害</t>
  </si>
  <si>
    <t>持续修理友方坦克的血量</t>
  </si>
  <si>
    <t>产生致盲效果</t>
  </si>
  <si>
    <t>命中敌人后将对手履带损坏</t>
  </si>
  <si>
    <t>命中敌人后在地面燃烧，持续伤害</t>
  </si>
  <si>
    <t>将坦克速度大幅提升10秒</t>
  </si>
  <si>
    <t>投掷3枚延迟爆炸的炸弹</t>
  </si>
  <si>
    <t>发射5枚微型导弹</t>
  </si>
  <si>
    <t>技能描述</t>
    <phoneticPr fontId="101" type="noConversion"/>
  </si>
  <si>
    <t>前冲一段</t>
    <phoneticPr fontId="101" type="noConversion"/>
  </si>
  <si>
    <t>抓过来</t>
    <phoneticPr fontId="101" type="noConversion"/>
  </si>
  <si>
    <t>向目标位置发射5发导弹</t>
    <phoneticPr fontId="101" type="noConversion"/>
  </si>
  <si>
    <t>锁定目标发射导弹.最多锁定3个</t>
    <phoneticPr fontId="101" type="noConversion"/>
  </si>
  <si>
    <t>炮塔前方产生护盾,吸收50%伤害</t>
    <phoneticPr fontId="101" type="noConversion"/>
  </si>
  <si>
    <t>持续给友方坦克加血</t>
    <phoneticPr fontId="101" type="noConversion"/>
  </si>
  <si>
    <t>命中的目标致盲</t>
    <phoneticPr fontId="101" type="noConversion"/>
  </si>
  <si>
    <t>3枚延迟爆炸炸弹</t>
    <phoneticPr fontId="101" type="noConversion"/>
  </si>
  <si>
    <t>前方发射导弹6枚</t>
    <phoneticPr fontId="101" type="noConversion"/>
  </si>
  <si>
    <t>段位门槛</t>
    <phoneticPr fontId="101" type="noConversion"/>
  </si>
  <si>
    <t>培养程度</t>
    <phoneticPr fontId="101" type="noConversion"/>
  </si>
  <si>
    <t>不同段位有不同的最低匹配战斗力</t>
    <phoneticPr fontId="101" type="noConversion"/>
  </si>
  <si>
    <t>天梯分段位缓冲规则</t>
    <phoneticPr fontId="101" type="noConversion"/>
  </si>
  <si>
    <t>达到段位,降段的时候分区间</t>
    <phoneticPr fontId="101" type="noConversion"/>
  </si>
  <si>
    <t>段位基础战力,段位期望战力</t>
    <phoneticPr fontId="101" type="noConversion"/>
  </si>
  <si>
    <t>升分段</t>
    <phoneticPr fontId="101" type="noConversion"/>
  </si>
  <si>
    <t>在此阶段以下一级的基础战力为匹配</t>
    <phoneticPr fontId="101" type="noConversion"/>
  </si>
  <si>
    <t>不同段位的升分段场次不同</t>
    <phoneticPr fontId="101" type="noConversion"/>
  </si>
  <si>
    <t>解锁坦克1</t>
    <phoneticPr fontId="101" type="noConversion"/>
  </si>
  <si>
    <t>解锁坦克2</t>
  </si>
  <si>
    <t>解锁坦克3</t>
  </si>
  <si>
    <t>T2低</t>
    <phoneticPr fontId="101" type="noConversion"/>
  </si>
  <si>
    <t>T2中</t>
    <phoneticPr fontId="101" type="noConversion"/>
  </si>
  <si>
    <t>T1低</t>
    <phoneticPr fontId="101" type="noConversion"/>
  </si>
  <si>
    <t>基础战力</t>
    <phoneticPr fontId="101" type="noConversion"/>
  </si>
  <si>
    <t>期望战力</t>
    <phoneticPr fontId="101" type="noConversion"/>
  </si>
  <si>
    <t>匹配用战力</t>
    <phoneticPr fontId="101" type="noConversion"/>
  </si>
  <si>
    <t>当前分基础战力,当前分期望战力,玩家战力</t>
    <phoneticPr fontId="101" type="noConversion"/>
  </si>
  <si>
    <t>玩家战力&gt;当前分期望战力&gt;当前分基础战力</t>
    <phoneticPr fontId="101" type="noConversion"/>
  </si>
  <si>
    <t>容易胜利,快速进阶</t>
    <phoneticPr fontId="101" type="noConversion"/>
  </si>
  <si>
    <t>当前分期望战力&gt;玩家战力&gt;当前分基础战力</t>
    <phoneticPr fontId="101" type="noConversion"/>
  </si>
  <si>
    <t>比较难胜利</t>
    <phoneticPr fontId="101" type="noConversion"/>
  </si>
  <si>
    <t>当前分期望战力&gt;当前分基础战力&gt;玩家战力</t>
    <phoneticPr fontId="101" type="noConversion"/>
  </si>
  <si>
    <t>很难胜利,进阶无望</t>
    <phoneticPr fontId="101" type="noConversion"/>
  </si>
  <si>
    <t>多人匹配最后得分计算</t>
    <phoneticPr fontId="101" type="noConversion"/>
  </si>
  <si>
    <t>战斗前匹配</t>
    <phoneticPr fontId="101" type="noConversion"/>
  </si>
  <si>
    <t>战斗后结算分</t>
    <phoneticPr fontId="101" type="noConversion"/>
  </si>
  <si>
    <t>玩家战力高,快速跨段,实现方式是高胜率还是高获胜分?</t>
    <phoneticPr fontId="101" type="noConversion"/>
  </si>
  <si>
    <t>期望玩家在对应联赛等级达到一定的战斗力</t>
    <phoneticPr fontId="101" type="noConversion"/>
  </si>
  <si>
    <t>战斗力不足则停留在当前段位.当前段位分值区间;</t>
    <phoneticPr fontId="101" type="noConversion"/>
  </si>
  <si>
    <t>停留的原因:胜率低,或者得分少</t>
    <phoneticPr fontId="101" type="noConversion"/>
  </si>
  <si>
    <t>高胜率优点:体验较好,时间较长;同时缺点可能也会是花费时间较长</t>
    <phoneticPr fontId="101" type="noConversion"/>
  </si>
  <si>
    <t>高获胜分优点:快速升分,时间较短;同时缺点会是,快速释放战力提升,快感时间较短</t>
    <phoneticPr fontId="101" type="noConversion"/>
  </si>
  <si>
    <t>胜率低:停留在当前段位的原因明确,但玩家胜率低的体验较差</t>
    <phoneticPr fontId="101" type="noConversion"/>
  </si>
  <si>
    <t>得分少:停留时间较容易控制,但不同玩家同样场次得分不同.不太容易理解</t>
    <phoneticPr fontId="101" type="noConversion"/>
  </si>
  <si>
    <t>匹配方式:玩家自身战力,标准战力,综合两者</t>
    <phoneticPr fontId="101" type="noConversion"/>
  </si>
  <si>
    <t>匹配结果:玩家自身战力:胜率稳定50%左右;标准战力:胜率变化波动较大;综合两者:中间状态</t>
    <phoneticPr fontId="101" type="noConversion"/>
  </si>
  <si>
    <t>钻石</t>
  </si>
  <si>
    <t>军费</t>
  </si>
  <si>
    <t>经验</t>
  </si>
  <si>
    <t>科技值</t>
  </si>
  <si>
    <t>钥匙</t>
  </si>
  <si>
    <t>联赛积分</t>
  </si>
  <si>
    <t>军团贡献值</t>
  </si>
  <si>
    <t>活跃值</t>
  </si>
  <si>
    <t>坦克名称</t>
    <phoneticPr fontId="101" type="noConversion"/>
  </si>
  <si>
    <t>道具ID</t>
    <phoneticPr fontId="101" type="noConversion"/>
  </si>
  <si>
    <t>碎片ID</t>
    <phoneticPr fontId="101" type="noConversion"/>
  </si>
  <si>
    <t>售卖ID</t>
    <phoneticPr fontId="101" type="noConversion"/>
  </si>
  <si>
    <t>货币名称</t>
    <phoneticPr fontId="101" type="noConversion"/>
  </si>
  <si>
    <t>货币ID</t>
    <phoneticPr fontId="101" type="noConversion"/>
  </si>
  <si>
    <t>赢得战斗</t>
  </si>
  <si>
    <t>单场击毁</t>
  </si>
  <si>
    <t>累计击毁</t>
  </si>
  <si>
    <t>打开宝箱</t>
  </si>
  <si>
    <t>拾取道具</t>
  </si>
  <si>
    <t>消费</t>
    <phoneticPr fontId="101" type="noConversion"/>
  </si>
  <si>
    <t>返还系数</t>
    <phoneticPr fontId="101" type="noConversion"/>
  </si>
  <si>
    <t>T2低轻贴永</t>
  </si>
  <si>
    <t>T2低中贴永</t>
  </si>
  <si>
    <t>T2低重贴永</t>
  </si>
  <si>
    <t>T2中轻贴永</t>
  </si>
  <si>
    <t>T2中中贴永</t>
  </si>
  <si>
    <t>T2中重贴永</t>
  </si>
  <si>
    <t>T3低轻贴永</t>
  </si>
  <si>
    <t>T3低中贴永</t>
  </si>
  <si>
    <t>T3低重贴永</t>
  </si>
  <si>
    <t>T3低轻图永</t>
  </si>
  <si>
    <t>T3低中图永</t>
  </si>
  <si>
    <t>T3低重图永</t>
  </si>
  <si>
    <t>T3中轻贴永</t>
  </si>
  <si>
    <t>T3中中贴永</t>
  </si>
  <si>
    <t>T3中重贴永</t>
  </si>
  <si>
    <t>T3中轻图永</t>
  </si>
  <si>
    <t>T3中中图永</t>
  </si>
  <si>
    <t>T3中重图永</t>
  </si>
  <si>
    <t>T3高轻贴永</t>
  </si>
  <si>
    <t>T3高中贴永</t>
  </si>
  <si>
    <t>T3高重贴永</t>
  </si>
  <si>
    <t>T3高轻图永</t>
  </si>
  <si>
    <t>T3高中图永</t>
  </si>
  <si>
    <t>T3高重图永</t>
  </si>
  <si>
    <t>T4低轻贴永</t>
  </si>
  <si>
    <t>T4低中贴永</t>
  </si>
  <si>
    <t>T4低重贴永</t>
  </si>
  <si>
    <t>T4低轻图永</t>
  </si>
  <si>
    <t>T4低中图永</t>
  </si>
  <si>
    <t>T4低重图永</t>
  </si>
  <si>
    <t>涂装简写</t>
    <phoneticPr fontId="101" type="noConversion"/>
  </si>
  <si>
    <t>T2低轻图三</t>
  </si>
  <si>
    <t>T2低中图三</t>
  </si>
  <si>
    <t>T2低重图三</t>
  </si>
  <si>
    <t>T2低轻图永</t>
  </si>
  <si>
    <t>T2低中图永</t>
  </si>
  <si>
    <t>T2低重图永</t>
  </si>
  <si>
    <t>T2中轻图三</t>
  </si>
  <si>
    <t>T2中中图三</t>
  </si>
  <si>
    <t>T2中重图三</t>
  </si>
  <si>
    <t>T2中轻图永</t>
  </si>
  <si>
    <t>T2中中图永</t>
  </si>
  <si>
    <t>T2中重图永</t>
  </si>
  <si>
    <t>T4中轻贴永</t>
  </si>
  <si>
    <t>T4中中贴永</t>
  </si>
  <si>
    <t>T4中重贴永</t>
  </si>
  <si>
    <t>T4中轻图永</t>
  </si>
  <si>
    <t>T4中中图永</t>
  </si>
  <si>
    <t>T4中重图永</t>
  </si>
  <si>
    <t>T4高轻贴永</t>
  </si>
  <si>
    <t>T4高中贴永</t>
  </si>
  <si>
    <t>T4高重贴永</t>
  </si>
  <si>
    <t>T4高轻图永</t>
  </si>
  <si>
    <t>T4高中图永</t>
  </si>
  <si>
    <t>T4高重图永</t>
  </si>
  <si>
    <t>T5低轻贴半</t>
  </si>
  <si>
    <t>T5低中贴半</t>
  </si>
  <si>
    <t>T5低重贴半</t>
  </si>
  <si>
    <t>T5低轻贴永</t>
  </si>
  <si>
    <t>T5低中贴永</t>
  </si>
  <si>
    <t>T5低重贴永</t>
  </si>
  <si>
    <t>T5低轻图半</t>
  </si>
  <si>
    <t>T5低中图半</t>
  </si>
  <si>
    <t>T5低重图半</t>
  </si>
  <si>
    <t>T5低轻图永</t>
  </si>
  <si>
    <t>T5低中图永</t>
  </si>
  <si>
    <t>T5低重图永</t>
  </si>
  <si>
    <t>对应涂装</t>
    <phoneticPr fontId="101" type="noConversion"/>
  </si>
  <si>
    <t>道具ID</t>
    <phoneticPr fontId="101" type="noConversion"/>
  </si>
  <si>
    <t>ii-S-1</t>
  </si>
  <si>
    <t>ii-S-2</t>
  </si>
  <si>
    <t>sdkfz234-S-1</t>
  </si>
  <si>
    <t>sdkfz234-S-2</t>
  </si>
  <si>
    <t>35t-S-1</t>
  </si>
  <si>
    <t>35t-S-2</t>
  </si>
  <si>
    <t>35t-S-3</t>
  </si>
  <si>
    <t>crusader-S-1</t>
  </si>
  <si>
    <t>crusader-S-2</t>
  </si>
  <si>
    <t>crusader-S-3</t>
  </si>
  <si>
    <t>amx13-S-1</t>
  </si>
  <si>
    <t>amx13-S-2</t>
  </si>
  <si>
    <t>amx13-S-3</t>
  </si>
  <si>
    <t>m24-S-1</t>
  </si>
  <si>
    <t>m24-S-2</t>
  </si>
  <si>
    <t>m24-S-3</t>
  </si>
  <si>
    <t>m41-S-1</t>
  </si>
  <si>
    <t>m41-S-2</t>
  </si>
  <si>
    <t>m41-S-3</t>
  </si>
  <si>
    <t>bmp-3-S-1</t>
  </si>
  <si>
    <t>bmp-3-S-2</t>
  </si>
  <si>
    <t>bmp-3-S-3</t>
  </si>
  <si>
    <t>59-S-1</t>
  </si>
  <si>
    <t>59-S-2</t>
  </si>
  <si>
    <t>59-S-3</t>
  </si>
  <si>
    <t>道具名称</t>
    <phoneticPr fontId="101" type="noConversion"/>
  </si>
  <si>
    <t>低材料</t>
    <phoneticPr fontId="101" type="noConversion"/>
  </si>
  <si>
    <t>中材料</t>
    <phoneticPr fontId="101" type="noConversion"/>
  </si>
  <si>
    <t>高材料</t>
    <phoneticPr fontId="101" type="noConversion"/>
  </si>
  <si>
    <t>道具ID</t>
    <phoneticPr fontId="101" type="noConversion"/>
  </si>
  <si>
    <t>玩家升段困难体现在胜率上还是得分速度上</t>
    <phoneticPr fontId="101" type="noConversion"/>
  </si>
  <si>
    <t>胜率:每局胜负分值固定跟随段位固定.升段升不上去是因为打不过对方.若胜分&gt;负分,则胜率低于50%,匹配规则倾向于段位分对应战力匹配.会增加负面体验的频率,减少玩家持续游戏欲望.若胜分&lt;负分,则胜率高于50%但失败分数掉的多.匹配规则倾向于机器人补偿胜率+高战力敌方战斗会加强单次负面体验,减少胜利成就感.</t>
    <phoneticPr fontId="101" type="noConversion"/>
  </si>
  <si>
    <t>得分速度:每局胜负分值根据玩家战力与期望战力的比例关系决定,越接近期望战力则胜负分值越接近标准值.玩家战力越低,则玩家在此段位待的时间越长.战力高也需要在此段位待标准的时间;匹配规则倾向于以段位分,玩家匹配战斗力,玩家实际战力中较低的为主要战力作为匹配.保证较高胜率</t>
    <phoneticPr fontId="101" type="noConversion"/>
  </si>
  <si>
    <t>停留持续时间</t>
    <phoneticPr fontId="101" type="noConversion"/>
  </si>
  <si>
    <t>大小,宽度</t>
    <phoneticPr fontId="101" type="noConversion"/>
  </si>
  <si>
    <t>前进速度</t>
    <phoneticPr fontId="101" type="noConversion"/>
  </si>
  <si>
    <t>伤害间隔时间</t>
    <phoneticPr fontId="101" type="noConversion"/>
  </si>
  <si>
    <t>电锯</t>
    <phoneticPr fontId="101" type="noConversion"/>
  </si>
  <si>
    <r>
      <t>速度3</t>
    </r>
    <r>
      <rPr>
        <sz val="9"/>
        <color theme="1"/>
        <rFont val="微软雅黑"/>
        <family val="2"/>
        <charset val="134"/>
      </rPr>
      <t>0m/s</t>
    </r>
    <phoneticPr fontId="101" type="noConversion"/>
  </si>
  <si>
    <t>停留2s</t>
    <phoneticPr fontId="101" type="noConversion"/>
  </si>
  <si>
    <r>
      <t>伤害间隔0.</t>
    </r>
    <r>
      <rPr>
        <sz val="9"/>
        <color theme="1"/>
        <rFont val="微软雅黑"/>
        <family val="2"/>
        <charset val="134"/>
      </rPr>
      <t>3</t>
    </r>
    <phoneticPr fontId="101" type="noConversion"/>
  </si>
  <si>
    <t>宽度3m</t>
    <phoneticPr fontId="101" type="noConversion"/>
  </si>
  <si>
    <t>切割伤害</t>
    <phoneticPr fontId="101" type="noConversion"/>
  </si>
  <si>
    <t>持续3sBuff</t>
    <phoneticPr fontId="101" type="noConversion"/>
  </si>
  <si>
    <t>每秒5%</t>
    <phoneticPr fontId="101" type="noConversion"/>
  </si>
  <si>
    <t>(自身实际战力-基础战力)/(期望战力-基础战力)*分数差+基础分</t>
  </si>
  <si>
    <t>(自身实际战力-基础战力)/(期望战力-基础战力)*基础分</t>
  </si>
  <si>
    <t>if(自身实际战力&gt;期望战力,自身实际战力/期望战力*基础分,0)</t>
  </si>
  <si>
    <t>军费价格</t>
    <phoneticPr fontId="101" type="noConversion"/>
  </si>
  <si>
    <t>出售系数</t>
    <phoneticPr fontId="101" type="noConversion"/>
  </si>
  <si>
    <t>军费数量</t>
    <phoneticPr fontId="101" type="noConversion"/>
  </si>
  <si>
    <t>取整系数</t>
    <phoneticPr fontId="101" type="noConversion"/>
  </si>
  <si>
    <t>实际每钻</t>
    <phoneticPr fontId="101" type="noConversion"/>
  </si>
  <si>
    <t>拾取修理</t>
  </si>
  <si>
    <t>获得道具的同时恢复血量</t>
  </si>
  <si>
    <t>反应装甲</t>
  </si>
  <si>
    <t>每当被击中时，会获得一个临时护盾</t>
  </si>
  <si>
    <t>再生装甲</t>
  </si>
  <si>
    <t>受到严重损伤时触发，回复血量</t>
  </si>
  <si>
    <t>维修强化</t>
  </si>
  <si>
    <t>受到的修理效果加强，血量越少效果越好</t>
  </si>
  <si>
    <t>掠夺者</t>
  </si>
  <si>
    <t>持有的积分道具越多，增加越多的伤害减免和移动速度</t>
  </si>
  <si>
    <t>稳固</t>
  </si>
  <si>
    <t>增加正面装甲，减少受击时对瞄准精度的影响</t>
  </si>
  <si>
    <t>受击防护</t>
  </si>
  <si>
    <t>每当被攻击时，便会提升防护（累计）</t>
  </si>
  <si>
    <t>击杀装弹</t>
  </si>
  <si>
    <t>消灭一个敌人后，启动快速装弹</t>
  </si>
  <si>
    <t>击杀提速</t>
  </si>
  <si>
    <t>消灭一个敌人后，提升移动速度</t>
  </si>
  <si>
    <t>击杀回血</t>
  </si>
  <si>
    <t>消灭一个敌人后，回复血量</t>
  </si>
  <si>
    <t>侵蚀</t>
  </si>
  <si>
    <t>连续攻击降低对手装甲值</t>
  </si>
  <si>
    <t>愤怒</t>
  </si>
  <si>
    <t>当你的坦克严重受损时会提高损害</t>
  </si>
  <si>
    <t>磁铁</t>
  </si>
  <si>
    <t>增加拾取道具距离</t>
  </si>
  <si>
    <t>收割者</t>
  </si>
  <si>
    <t>对严重受损的敌人增加伤害</t>
  </si>
  <si>
    <t>点燃</t>
  </si>
  <si>
    <t>点燃目标，随时间推移会造成额外伤害</t>
  </si>
  <si>
    <t>击回</t>
  </si>
  <si>
    <t>伤害的30%转化为护盾生命。护盾时间存在7秒，7秒没有攻击敌人则护盾消失</t>
  </si>
  <si>
    <t>猎人</t>
  </si>
  <si>
    <t>提高对敌人侧面和后面的伤害，降低对其前面的伤害</t>
  </si>
  <si>
    <t>工程师</t>
  </si>
  <si>
    <t>提高损坏部件的修复速度</t>
  </si>
  <si>
    <t>能把敌人和道具拉向自己</t>
    <phoneticPr fontId="101" type="noConversion"/>
  </si>
  <si>
    <t>被击回血</t>
    <phoneticPr fontId="101" type="noConversion"/>
  </si>
  <si>
    <t>t32</t>
    <phoneticPr fontId="101" type="noConversion"/>
  </si>
  <si>
    <t>触发概率</t>
    <phoneticPr fontId="101" type="noConversion"/>
  </si>
  <si>
    <t>加血总量</t>
    <phoneticPr fontId="101" type="noConversion"/>
  </si>
  <si>
    <t>加血时间</t>
    <phoneticPr fontId="101" type="noConversion"/>
  </si>
  <si>
    <r>
      <t>C</t>
    </r>
    <r>
      <rPr>
        <sz val="9"/>
        <color theme="1"/>
        <rFont val="微软雅黑"/>
        <family val="2"/>
        <charset val="134"/>
      </rPr>
      <t>D</t>
    </r>
    <phoneticPr fontId="101" type="noConversion"/>
  </si>
  <si>
    <t>修改概率</t>
    <phoneticPr fontId="101" type="noConversion"/>
  </si>
  <si>
    <t>修改血量/时间</t>
    <phoneticPr fontId="101" type="noConversion"/>
  </si>
  <si>
    <t>触发条件</t>
    <phoneticPr fontId="101" type="noConversion"/>
  </si>
  <si>
    <t>拾取</t>
    <phoneticPr fontId="101" type="noConversion"/>
  </si>
  <si>
    <t>被击</t>
    <phoneticPr fontId="101" type="noConversion"/>
  </si>
  <si>
    <r>
      <t>血量低于3</t>
    </r>
    <r>
      <rPr>
        <sz val="9"/>
        <color theme="1"/>
        <rFont val="微软雅黑"/>
        <family val="2"/>
        <charset val="134"/>
      </rPr>
      <t>0%</t>
    </r>
    <phoneticPr fontId="101" type="noConversion"/>
  </si>
  <si>
    <t>加血</t>
    <phoneticPr fontId="101" type="noConversion"/>
  </si>
  <si>
    <t>触发效果</t>
    <phoneticPr fontId="101" type="noConversion"/>
  </si>
  <si>
    <t>血越低加血越多</t>
    <phoneticPr fontId="101" type="noConversion"/>
  </si>
  <si>
    <t>系数</t>
    <phoneticPr fontId="101" type="noConversion"/>
  </si>
  <si>
    <t>最高200%</t>
    <phoneticPr fontId="101" type="noConversion"/>
  </si>
  <si>
    <t>对应星级</t>
    <phoneticPr fontId="101" type="noConversion"/>
  </si>
  <si>
    <t>总战力</t>
    <phoneticPr fontId="101" type="noConversion"/>
  </si>
  <si>
    <t>阶段ID</t>
    <phoneticPr fontId="101" type="noConversion"/>
  </si>
  <si>
    <t>分数差</t>
    <phoneticPr fontId="101" type="noConversion"/>
  </si>
  <si>
    <t>联赛等级</t>
    <phoneticPr fontId="101" type="noConversion"/>
  </si>
  <si>
    <t>起始分数</t>
    <phoneticPr fontId="101" type="noConversion"/>
  </si>
  <si>
    <t>分数差</t>
    <phoneticPr fontId="101" type="noConversion"/>
  </si>
  <si>
    <t>小分数差</t>
    <phoneticPr fontId="101" type="noConversion"/>
  </si>
  <si>
    <t>分数差个数</t>
    <phoneticPr fontId="101" type="noConversion"/>
  </si>
  <si>
    <t>起始分数</t>
    <phoneticPr fontId="101" type="noConversion"/>
  </si>
  <si>
    <t>分数差</t>
    <phoneticPr fontId="101" type="noConversion"/>
  </si>
  <si>
    <t>累计分数</t>
    <phoneticPr fontId="101" type="noConversion"/>
  </si>
  <si>
    <t>联赛等级积分分段</t>
    <phoneticPr fontId="101" type="noConversion"/>
  </si>
  <si>
    <t>详细分段</t>
    <phoneticPr fontId="101" type="noConversion"/>
  </si>
  <si>
    <t>联赛等级</t>
    <phoneticPr fontId="101" type="noConversion"/>
  </si>
  <si>
    <t>标准战力</t>
    <phoneticPr fontId="101" type="noConversion"/>
  </si>
  <si>
    <t>((60-(bullet-1)*attackCd)/(magazineTime+attackCd*(bullet-1)+bulletTime*bullet)+1)*bullet</t>
    <phoneticPr fontId="101" type="noConversion"/>
  </si>
  <si>
    <r>
      <t>当前是每被攻击3次增加一层持续</t>
    </r>
    <r>
      <rPr>
        <sz val="9"/>
        <color theme="1"/>
        <rFont val="微软雅黑"/>
        <family val="2"/>
        <charset val="134"/>
      </rPr>
      <t>8秒的增加护甲值的Buff</t>
    </r>
    <phoneticPr fontId="101" type="noConversion"/>
  </si>
  <si>
    <t>击杀目标后增加快速装弹技能按钮</t>
    <phoneticPr fontId="101" type="noConversion"/>
  </si>
  <si>
    <r>
      <t>击杀目标后提升1</t>
    </r>
    <r>
      <rPr>
        <sz val="9"/>
        <color theme="1"/>
        <rFont val="微软雅黑"/>
        <family val="2"/>
        <charset val="134"/>
      </rPr>
      <t>5%速度持续5秒</t>
    </r>
    <phoneticPr fontId="101" type="noConversion"/>
  </si>
  <si>
    <r>
      <t>击杀目标恢复1</t>
    </r>
    <r>
      <rPr>
        <sz val="9"/>
        <color theme="1"/>
        <rFont val="微软雅黑"/>
        <family val="2"/>
        <charset val="134"/>
      </rPr>
      <t>5%血量</t>
    </r>
    <phoneticPr fontId="101" type="noConversion"/>
  </si>
  <si>
    <r>
      <t>血量低于3</t>
    </r>
    <r>
      <rPr>
        <sz val="9"/>
        <color theme="1"/>
        <rFont val="微软雅黑"/>
        <family val="2"/>
        <charset val="134"/>
      </rPr>
      <t>0%时增加30%伤害</t>
    </r>
    <phoneticPr fontId="101" type="noConversion"/>
  </si>
  <si>
    <t>20%攻击力+2%最大血量,只有单次攻击有效,有最大值150</t>
    <phoneticPr fontId="101" type="noConversion"/>
  </si>
  <si>
    <t>注释掉了,没作用</t>
    <phoneticPr fontId="101" type="noConversion"/>
  </si>
  <si>
    <t>无</t>
    <phoneticPr fontId="101" type="noConversion"/>
  </si>
  <si>
    <t>基础战力</t>
    <phoneticPr fontId="101" type="noConversion"/>
  </si>
  <si>
    <t>碎片时间</t>
    <phoneticPr fontId="101" type="noConversion"/>
  </si>
  <si>
    <t>累计碎片</t>
    <phoneticPr fontId="101" type="noConversion"/>
  </si>
  <si>
    <t>累计时间</t>
    <phoneticPr fontId="101" type="noConversion"/>
  </si>
  <si>
    <t>坦克标识</t>
    <phoneticPr fontId="101" type="noConversion"/>
  </si>
  <si>
    <t>赛季皮肤</t>
    <phoneticPr fontId="101" type="noConversion"/>
  </si>
  <si>
    <t>成就</t>
    <phoneticPr fontId="101" type="noConversion"/>
  </si>
  <si>
    <t>排名</t>
    <phoneticPr fontId="101" type="noConversion"/>
  </si>
  <si>
    <t>头像?</t>
    <phoneticPr fontId="101" type="noConversion"/>
  </si>
  <si>
    <t>拾取道具时恢复5%血量</t>
  </si>
  <si>
    <t>每当被击中时有15%的概率增加回血Buff.每秒恢复2%的血量,持续8秒</t>
  </si>
  <si>
    <t>血量低于30%时,每秒恢复2%血量,持续10秒,CD60秒</t>
  </si>
  <si>
    <t>血量恢复加强效果最高200%</t>
  </si>
  <si>
    <t>每持有一个积分道具,增加1%的移动速度和2%的护甲值</t>
  </si>
  <si>
    <t>正面减少15%的伤害,受击缩圈减少30%</t>
  </si>
  <si>
    <t>每受到3次攻击增加10%护甲,持续8秒</t>
  </si>
  <si>
    <t>击杀敌人后,增加快速装弹按钮</t>
  </si>
  <si>
    <t>击杀敌人后,增加15%移动速度,持续5秒</t>
  </si>
  <si>
    <t>击杀敌人后恢复15%血量</t>
  </si>
  <si>
    <t>每攻击敌人3次,减少对方10%护甲,持续10秒</t>
  </si>
  <si>
    <t>血量低于30%时,增加30%伤害</t>
  </si>
  <si>
    <t>对于血量低于30%的敌人造成200%伤害</t>
  </si>
  <si>
    <t>轻</t>
    <phoneticPr fontId="101" type="noConversion"/>
  </si>
  <si>
    <t>重</t>
    <phoneticPr fontId="101" type="noConversion"/>
  </si>
  <si>
    <t>中</t>
    <phoneticPr fontId="101" type="noConversion"/>
  </si>
  <si>
    <t>轻</t>
    <phoneticPr fontId="101" type="noConversion"/>
  </si>
  <si>
    <t>重</t>
    <phoneticPr fontId="101" type="noConversion"/>
  </si>
  <si>
    <t>重</t>
    <phoneticPr fontId="101" type="noConversion"/>
  </si>
  <si>
    <t>中</t>
    <phoneticPr fontId="101" type="noConversion"/>
  </si>
  <si>
    <t>轻</t>
    <phoneticPr fontId="101" type="noConversion"/>
  </si>
  <si>
    <t>重</t>
    <phoneticPr fontId="101" type="noConversion"/>
  </si>
  <si>
    <t>中</t>
    <phoneticPr fontId="101" type="noConversion"/>
  </si>
  <si>
    <t>中</t>
    <phoneticPr fontId="101" type="noConversion"/>
  </si>
  <si>
    <t>中</t>
    <phoneticPr fontId="101" type="noConversion"/>
  </si>
  <si>
    <t>能把敌人和道具拉向自己，轻坦由于重量太轻，只能把自己拉过去</t>
  </si>
  <si>
    <t>电锯</t>
  </si>
  <si>
    <t>发射电锯</t>
  </si>
  <si>
    <t>小技能</t>
    <phoneticPr fontId="101" type="noConversion"/>
  </si>
  <si>
    <t>大技能</t>
    <phoneticPr fontId="101" type="noConversion"/>
  </si>
  <si>
    <t>被动1</t>
    <phoneticPr fontId="101" type="noConversion"/>
  </si>
  <si>
    <t>被动2</t>
    <phoneticPr fontId="101" type="noConversion"/>
  </si>
  <si>
    <t>被动3</t>
    <phoneticPr fontId="101" type="noConversion"/>
  </si>
  <si>
    <t>技能ID1</t>
    <phoneticPr fontId="101" type="noConversion"/>
  </si>
  <si>
    <t>技能ID2</t>
  </si>
  <si>
    <t>技能ID3</t>
  </si>
  <si>
    <t>技能ID4</t>
  </si>
  <si>
    <t>技能ID5</t>
  </si>
  <si>
    <t>坦克名称</t>
    <phoneticPr fontId="101" type="noConversion"/>
  </si>
  <si>
    <t>坦克细类</t>
    <phoneticPr fontId="101" type="noConversion"/>
  </si>
  <si>
    <r>
      <t>开放Tier</t>
    </r>
    <r>
      <rPr>
        <sz val="9"/>
        <color theme="1"/>
        <rFont val="微软雅黑"/>
        <family val="2"/>
        <charset val="134"/>
      </rPr>
      <t>1</t>
    </r>
    <phoneticPr fontId="101" type="noConversion"/>
  </si>
  <si>
    <r>
      <t>开放Tier</t>
    </r>
    <r>
      <rPr>
        <sz val="9"/>
        <color theme="1"/>
        <rFont val="微软雅黑"/>
        <family val="2"/>
        <charset val="134"/>
      </rPr>
      <t>2</t>
    </r>
  </si>
  <si>
    <r>
      <t>开放Tier</t>
    </r>
    <r>
      <rPr>
        <sz val="9"/>
        <color theme="1"/>
        <rFont val="微软雅黑"/>
        <family val="2"/>
        <charset val="134"/>
      </rPr>
      <t>3</t>
    </r>
  </si>
  <si>
    <t>合成碎片</t>
    <phoneticPr fontId="101" type="noConversion"/>
  </si>
  <si>
    <t>每天个数</t>
    <phoneticPr fontId="101" type="noConversion"/>
  </si>
  <si>
    <t>定向系数</t>
    <phoneticPr fontId="101" type="noConversion"/>
  </si>
  <si>
    <t>坦克种类</t>
    <phoneticPr fontId="101" type="noConversion"/>
  </si>
  <si>
    <t>售卖上限</t>
    <phoneticPr fontId="101" type="noConversion"/>
  </si>
  <si>
    <t>道具ID</t>
  </si>
  <si>
    <t>总伤害</t>
    <phoneticPr fontId="101" type="noConversion"/>
  </si>
  <si>
    <t>伤害次数</t>
    <phoneticPr fontId="101" type="noConversion"/>
  </si>
  <si>
    <t>每次伤害</t>
    <phoneticPr fontId="101" type="noConversion"/>
  </si>
  <si>
    <t>百分比血量</t>
    <phoneticPr fontId="101" type="noConversion"/>
  </si>
  <si>
    <t>剩余伤害</t>
    <phoneticPr fontId="101" type="noConversion"/>
  </si>
  <si>
    <t>攻击力比</t>
    <phoneticPr fontId="101" type="noConversion"/>
  </si>
  <si>
    <t>发射6枚微型导弹</t>
    <phoneticPr fontId="101" type="noConversion"/>
  </si>
  <si>
    <r>
      <t>每命中3次持续</t>
    </r>
    <r>
      <rPr>
        <sz val="9"/>
        <color theme="1"/>
        <rFont val="微软雅黑"/>
        <family val="2"/>
        <charset val="134"/>
      </rPr>
      <t>10秒的减少10%护甲值Buff</t>
    </r>
    <phoneticPr fontId="101" type="noConversion"/>
  </si>
  <si>
    <t>最大距63m</t>
    <phoneticPr fontId="101" type="noConversion"/>
  </si>
  <si>
    <t xml:space="preserve"> </t>
    <phoneticPr fontId="101" type="noConversion"/>
  </si>
  <si>
    <t>标准得分</t>
    <phoneticPr fontId="101" type="noConversion"/>
  </si>
  <si>
    <t>累计时间</t>
    <phoneticPr fontId="101" type="noConversion"/>
  </si>
  <si>
    <t>联赛等级</t>
    <phoneticPr fontId="101" type="noConversion"/>
  </si>
  <si>
    <t>基础战力</t>
    <phoneticPr fontId="101" type="noConversion"/>
  </si>
  <si>
    <t>期望战力</t>
    <phoneticPr fontId="101" type="noConversion"/>
  </si>
  <si>
    <t>获胜分数</t>
    <phoneticPr fontId="101" type="noConversion"/>
  </si>
  <si>
    <t>失败分数</t>
    <phoneticPr fontId="101" type="noConversion"/>
  </si>
  <si>
    <t>初始序列</t>
    <phoneticPr fontId="101" type="noConversion"/>
  </si>
  <si>
    <t>所有玩家</t>
    <phoneticPr fontId="101" type="noConversion"/>
  </si>
  <si>
    <t>平均产出</t>
    <phoneticPr fontId="101" type="noConversion"/>
  </si>
  <si>
    <t>免费玩家</t>
    <phoneticPr fontId="101" type="noConversion"/>
  </si>
  <si>
    <t>低一级产出</t>
    <phoneticPr fontId="101" type="noConversion"/>
  </si>
  <si>
    <t>付费玩家</t>
    <phoneticPr fontId="101" type="noConversion"/>
  </si>
  <si>
    <t>倾向高级</t>
    <phoneticPr fontId="101" type="noConversion"/>
  </si>
  <si>
    <t>目标玩家</t>
    <phoneticPr fontId="101" type="noConversion"/>
  </si>
  <si>
    <t>产出倾向</t>
    <phoneticPr fontId="101" type="noConversion"/>
  </si>
  <si>
    <t>天数</t>
    <phoneticPr fontId="101" type="noConversion"/>
  </si>
  <si>
    <t>当前星级</t>
  </si>
  <si>
    <t>资源分配</t>
    <phoneticPr fontId="101" type="noConversion"/>
  </si>
  <si>
    <t>碎片购买</t>
    <phoneticPr fontId="101" type="noConversion"/>
  </si>
  <si>
    <t>抽取平均</t>
    <phoneticPr fontId="101" type="noConversion"/>
  </si>
  <si>
    <t>资源类型</t>
    <phoneticPr fontId="101" type="noConversion"/>
  </si>
  <si>
    <t>当前Rank</t>
    <phoneticPr fontId="101" type="noConversion"/>
  </si>
  <si>
    <t>坦克位置</t>
    <phoneticPr fontId="101" type="noConversion"/>
  </si>
  <si>
    <t>资源比例</t>
    <phoneticPr fontId="101" type="noConversion"/>
  </si>
  <si>
    <t>坦克名称</t>
    <phoneticPr fontId="101" type="noConversion"/>
  </si>
  <si>
    <t>坦克Tier</t>
    <phoneticPr fontId="101" type="noConversion"/>
  </si>
  <si>
    <t>坦克品质</t>
    <phoneticPr fontId="101" type="noConversion"/>
  </si>
  <si>
    <t>当前积分</t>
    <phoneticPr fontId="101" type="noConversion"/>
  </si>
  <si>
    <t>获得积分</t>
    <phoneticPr fontId="101" type="noConversion"/>
  </si>
  <si>
    <t>当前解锁</t>
    <phoneticPr fontId="101" type="noConversion"/>
  </si>
  <si>
    <t>解锁坦克</t>
    <phoneticPr fontId="101" type="noConversion"/>
  </si>
  <si>
    <t>品质分值</t>
    <phoneticPr fontId="101" type="noConversion"/>
  </si>
  <si>
    <t>当前品质</t>
  </si>
  <si>
    <t>坦克品质</t>
    <phoneticPr fontId="101" type="noConversion"/>
  </si>
  <si>
    <t>高低</t>
    <phoneticPr fontId="101" type="noConversion"/>
  </si>
  <si>
    <t>轻坦</t>
    <phoneticPr fontId="101" type="noConversion"/>
  </si>
  <si>
    <t>中坦</t>
    <phoneticPr fontId="101" type="noConversion"/>
  </si>
  <si>
    <t>重坦</t>
    <phoneticPr fontId="101" type="noConversion"/>
  </si>
  <si>
    <t>坦克类型</t>
    <phoneticPr fontId="101" type="noConversion"/>
  </si>
  <si>
    <t>Rank</t>
    <phoneticPr fontId="101" type="noConversion"/>
  </si>
  <si>
    <t>购买坦克</t>
    <phoneticPr fontId="101" type="noConversion"/>
  </si>
  <si>
    <t>坦克售卖</t>
    <phoneticPr fontId="101" type="noConversion"/>
  </si>
  <si>
    <t>坦克标识</t>
    <phoneticPr fontId="101" type="noConversion"/>
  </si>
  <si>
    <t>辅助列1</t>
    <phoneticPr fontId="101" type="noConversion"/>
  </si>
  <si>
    <t>坦克当前</t>
  </si>
  <si>
    <t>预备品质</t>
  </si>
  <si>
    <t>预备星级</t>
  </si>
  <si>
    <t>预备碎片</t>
  </si>
  <si>
    <t>当前战力</t>
  </si>
  <si>
    <t>坦克预备</t>
  </si>
  <si>
    <t>预备战力</t>
  </si>
  <si>
    <t>T5中</t>
    <phoneticPr fontId="101" type="noConversion"/>
  </si>
  <si>
    <r>
      <t>T</t>
    </r>
    <r>
      <rPr>
        <sz val="9"/>
        <color theme="1"/>
        <rFont val="微软雅黑"/>
        <family val="2"/>
        <charset val="134"/>
      </rPr>
      <t>5高</t>
    </r>
    <phoneticPr fontId="101" type="noConversion"/>
  </si>
  <si>
    <t>累计碎片</t>
    <phoneticPr fontId="101" type="noConversion"/>
  </si>
  <si>
    <t>期望场次</t>
    <phoneticPr fontId="101" type="noConversion"/>
  </si>
  <si>
    <t>基础系数</t>
    <phoneticPr fontId="101" type="noConversion"/>
  </si>
  <si>
    <t>追求坦克</t>
    <phoneticPr fontId="101" type="noConversion"/>
  </si>
  <si>
    <t>shard_ft17</t>
  </si>
  <si>
    <t>shard_ii</t>
  </si>
  <si>
    <t>shard_sdkfz234</t>
  </si>
  <si>
    <t>shard_35t</t>
  </si>
  <si>
    <t>shard_crusader</t>
  </si>
  <si>
    <t>shard_amx13</t>
  </si>
  <si>
    <t>shard_m24</t>
  </si>
  <si>
    <t>shard_m41</t>
  </si>
  <si>
    <t>shard_bmp-3</t>
  </si>
  <si>
    <t>shard_59</t>
  </si>
  <si>
    <t>shard_stuart</t>
  </si>
  <si>
    <t>shard_t34</t>
  </si>
  <si>
    <t>shard_iv</t>
  </si>
  <si>
    <t>shard_mathilda</t>
  </si>
  <si>
    <t>shard_m4</t>
  </si>
  <si>
    <t>shard_comet</t>
  </si>
  <si>
    <t>shard_m48</t>
  </si>
  <si>
    <t>shard_m26</t>
  </si>
  <si>
    <t>shard_centurion</t>
  </si>
  <si>
    <t>shard_challenger1</t>
  </si>
  <si>
    <t>shard_b1</t>
  </si>
  <si>
    <t>shard_kv1</t>
  </si>
  <si>
    <t>shard_churchill</t>
  </si>
  <si>
    <t>shard_panzer-v</t>
  </si>
  <si>
    <t>shard_tiger</t>
  </si>
  <si>
    <t>shard_kv2</t>
  </si>
  <si>
    <t>shard_fv214</t>
  </si>
  <si>
    <t>shard_is4</t>
  </si>
  <si>
    <t>shard_t32</t>
  </si>
  <si>
    <t>shard_m1a2</t>
  </si>
  <si>
    <t>移动速度属性提升</t>
    <phoneticPr fontId="101" type="noConversion"/>
  </si>
  <si>
    <t>提升系数</t>
    <phoneticPr fontId="101" type="noConversion"/>
  </si>
  <si>
    <t>Tier</t>
    <phoneticPr fontId="101" type="noConversion"/>
  </si>
  <si>
    <r>
      <t>T</t>
    </r>
    <r>
      <rPr>
        <sz val="9"/>
        <color theme="1"/>
        <rFont val="微软雅黑"/>
        <family val="2"/>
        <charset val="134"/>
      </rPr>
      <t>ier</t>
    </r>
    <phoneticPr fontId="101" type="noConversion"/>
  </si>
  <si>
    <t>贴花</t>
  </si>
  <si>
    <t>图案</t>
  </si>
  <si>
    <t>turretMaxAngularSpeed</t>
    <phoneticPr fontId="101" type="noConversion"/>
  </si>
  <si>
    <t>forwardMaxSpeed</t>
    <phoneticPr fontId="101" type="noConversion"/>
  </si>
  <si>
    <t>spinAngularSpeed</t>
    <phoneticPr fontId="101" type="noConversion"/>
  </si>
  <si>
    <t>每日宝箱</t>
    <phoneticPr fontId="101" type="noConversion"/>
  </si>
  <si>
    <t>活跃度宝箱</t>
    <phoneticPr fontId="101" type="noConversion"/>
  </si>
  <si>
    <t>消耗比例</t>
    <phoneticPr fontId="101" type="noConversion"/>
  </si>
  <si>
    <t>出售宝箱1</t>
    <phoneticPr fontId="101" type="noConversion"/>
  </si>
  <si>
    <t>总消耗价值</t>
    <phoneticPr fontId="101" type="noConversion"/>
  </si>
  <si>
    <t>低</t>
    <phoneticPr fontId="101" type="noConversion"/>
  </si>
  <si>
    <t>ii-S-1-T</t>
  </si>
  <si>
    <t>t34-S-1-T</t>
  </si>
  <si>
    <t>kv1-S-1-T</t>
  </si>
  <si>
    <t>ii-S-1-F</t>
  </si>
  <si>
    <t>t34-S-1-F</t>
  </si>
  <si>
    <t>kv1-S-1-F</t>
  </si>
  <si>
    <t>sdkfz234-S-1-T</t>
  </si>
  <si>
    <t>iv-S-1-T</t>
  </si>
  <si>
    <t>churchill-S-1-T</t>
  </si>
  <si>
    <t>sdkfz234-S-1-F</t>
  </si>
  <si>
    <t>iv-S-1-F</t>
  </si>
  <si>
    <t>churchill-S-1-F</t>
  </si>
  <si>
    <t>ii-S-2-T</t>
  </si>
  <si>
    <t>t34-S-2-T</t>
  </si>
  <si>
    <t>kv1-S-2-T</t>
  </si>
  <si>
    <t>ii-S-2-F</t>
  </si>
  <si>
    <t>t34-S-2-F</t>
  </si>
  <si>
    <t>kv1-S-2-F</t>
  </si>
  <si>
    <t>sdkfz234-S-2-T</t>
  </si>
  <si>
    <t>iv-S-2-T</t>
  </si>
  <si>
    <t>churchill-S-2-T</t>
  </si>
  <si>
    <t>sdkfz234-S-2-F</t>
  </si>
  <si>
    <t>iv-S-2-F</t>
  </si>
  <si>
    <t>churchill-S-2-F</t>
  </si>
  <si>
    <t>35t-S-1-T</t>
  </si>
  <si>
    <t>mathilda-S-1-T</t>
  </si>
  <si>
    <t>panzer-v-S-1-T</t>
  </si>
  <si>
    <t>35t-S-1-H</t>
  </si>
  <si>
    <t>mathilda-S-1-H</t>
  </si>
  <si>
    <t>panzer-v-S-1-H</t>
  </si>
  <si>
    <t>35t-S-1-F</t>
  </si>
  <si>
    <t>mathilda-S-1-F</t>
  </si>
  <si>
    <t>panzer-v-S-1-F</t>
  </si>
  <si>
    <t>35t-S-2-T</t>
  </si>
  <si>
    <t>mathilda-S-2-T</t>
  </si>
  <si>
    <t>panzer-v-S-2-T</t>
  </si>
  <si>
    <t>35t-S-2-H</t>
  </si>
  <si>
    <t>mathilda-S-2-H</t>
  </si>
  <si>
    <t>panzer-v-S-2-H</t>
  </si>
  <si>
    <t>35t-S-2-F</t>
  </si>
  <si>
    <t>mathilda-S-2-F</t>
  </si>
  <si>
    <t>panzer-v-S-2-F</t>
  </si>
  <si>
    <t>crusader-S-1-T</t>
  </si>
  <si>
    <t>m4-S-1-T</t>
  </si>
  <si>
    <t>tiger-S-1-T</t>
  </si>
  <si>
    <t>crusader-S-1-H</t>
  </si>
  <si>
    <t>m4-S-1-H</t>
  </si>
  <si>
    <t>tiger-S-1-H</t>
  </si>
  <si>
    <t>crusader-S-1-F</t>
  </si>
  <si>
    <t>m4-S-1-F</t>
  </si>
  <si>
    <t>tiger-S-1-F</t>
  </si>
  <si>
    <t>crusader-S-2-T</t>
  </si>
  <si>
    <t>m4-S-2-T</t>
  </si>
  <si>
    <t>tiger-S-2-T</t>
  </si>
  <si>
    <t>crusader-S-2-H</t>
  </si>
  <si>
    <t>m4-S-2-H</t>
  </si>
  <si>
    <t>tiger-S-2-H</t>
  </si>
  <si>
    <t>crusader-S-2-F</t>
  </si>
  <si>
    <t>m4-S-2-F</t>
  </si>
  <si>
    <t>tiger-S-2-F</t>
  </si>
  <si>
    <t>amx13-S-1-T</t>
  </si>
  <si>
    <t>comet-S-1-T</t>
  </si>
  <si>
    <t>kv2-S-1-T</t>
  </si>
  <si>
    <t>amx13-S-1-H</t>
  </si>
  <si>
    <t>comet-S-1-H</t>
  </si>
  <si>
    <t>kv2-S-1-H</t>
  </si>
  <si>
    <t>amx13-S-1-F</t>
  </si>
  <si>
    <t>comet-S-1-F</t>
  </si>
  <si>
    <t>kv2-S-1-F</t>
  </si>
  <si>
    <t>amx13-S-2-T</t>
  </si>
  <si>
    <t>comet-S-2-T</t>
  </si>
  <si>
    <t>kv2-S-2-T</t>
  </si>
  <si>
    <t>amx13-S-2-H</t>
  </si>
  <si>
    <t>comet-S-2-H</t>
  </si>
  <si>
    <t>kv2-S-2-H</t>
  </si>
  <si>
    <t>amx13-S-2-F</t>
  </si>
  <si>
    <t>comet-S-2-F</t>
  </si>
  <si>
    <t>kv2-S-2-F</t>
  </si>
  <si>
    <t>m24-S-1-T</t>
  </si>
  <si>
    <t>m48-S-1-T</t>
  </si>
  <si>
    <t>fv214-S-1-T</t>
  </si>
  <si>
    <t>m24-S-1-H</t>
  </si>
  <si>
    <t>m48-S-1-H</t>
  </si>
  <si>
    <t>fv214-S-1-H</t>
  </si>
  <si>
    <t>m24-S-1-F</t>
  </si>
  <si>
    <t>m48-S-1-F</t>
  </si>
  <si>
    <t>fv214-S-1-F</t>
  </si>
  <si>
    <t>m24-S-2-T</t>
  </si>
  <si>
    <t>m48-S-2-T</t>
  </si>
  <si>
    <t>fv214-S-2-T</t>
  </si>
  <si>
    <t>m24-S-2-H</t>
  </si>
  <si>
    <t>m48-S-2-H</t>
  </si>
  <si>
    <t>fv214-S-2-H</t>
  </si>
  <si>
    <t>m24-S-2-F</t>
  </si>
  <si>
    <t>m48-S-2-F</t>
  </si>
  <si>
    <t>fv214-S-2-F</t>
  </si>
  <si>
    <t>m41-S-1-T</t>
  </si>
  <si>
    <t>m26-S-1-T</t>
  </si>
  <si>
    <t>is4-S-1-T</t>
  </si>
  <si>
    <t>m41-S-1-H</t>
  </si>
  <si>
    <t>m26-S-1-H</t>
  </si>
  <si>
    <t>is4-S-1-H</t>
  </si>
  <si>
    <t>m41-S-1-F</t>
  </si>
  <si>
    <t>m26-S-1-F</t>
  </si>
  <si>
    <t>is4-S-1-F</t>
  </si>
  <si>
    <t>m41-S-2-T</t>
  </si>
  <si>
    <t>m26-S-2-T</t>
  </si>
  <si>
    <t>is4-S-2-T</t>
  </si>
  <si>
    <t>m41-S-2-H</t>
  </si>
  <si>
    <t>m26-S-2-H</t>
  </si>
  <si>
    <t>is4-S-2-H</t>
  </si>
  <si>
    <t>m41-S-2-F</t>
  </si>
  <si>
    <t>m26-S-2-F</t>
  </si>
  <si>
    <t>is4-S-2-F</t>
  </si>
  <si>
    <t>bmp-3-S-1-T</t>
  </si>
  <si>
    <t>centurion-S-1-T</t>
  </si>
  <si>
    <t>t32-S-1-T</t>
  </si>
  <si>
    <t>bmp-3-S-1-H</t>
  </si>
  <si>
    <t>centurion-S-1-H</t>
  </si>
  <si>
    <t>t32-S-1-H</t>
  </si>
  <si>
    <t>bmp-3-S-1-F</t>
  </si>
  <si>
    <t>centurion-S-1-F</t>
  </si>
  <si>
    <t>t32-S-1-F</t>
  </si>
  <si>
    <t>bmp-3-S-2-T</t>
  </si>
  <si>
    <t>centurion-S-2-T</t>
  </si>
  <si>
    <t>t32-S-2-T</t>
  </si>
  <si>
    <t>bmp-3-S-2-H</t>
  </si>
  <si>
    <t>centurion-S-2-H</t>
  </si>
  <si>
    <t>t32-S-2-H</t>
  </si>
  <si>
    <t>bmp-3-S-2-F</t>
  </si>
  <si>
    <t>centurion-S-2-F</t>
  </si>
  <si>
    <t>t32-S-2-F</t>
  </si>
  <si>
    <t>59-S-1-T</t>
  </si>
  <si>
    <t>challenger1-S-1-T</t>
  </si>
  <si>
    <t>m1a2-S-1-T</t>
  </si>
  <si>
    <t>59-S-1-H</t>
  </si>
  <si>
    <t>challenger1-S-1-H</t>
  </si>
  <si>
    <t>m1a2-S-1-H</t>
  </si>
  <si>
    <t>59-S-1-F</t>
  </si>
  <si>
    <t>challenger1-S-1-F</t>
  </si>
  <si>
    <t>m1a2-S-1-F</t>
  </si>
  <si>
    <t>59-S-2-T</t>
  </si>
  <si>
    <t>challenger1-S-2-T</t>
  </si>
  <si>
    <t>m1a2-S-2-T</t>
  </si>
  <si>
    <t>59-S-2-H</t>
  </si>
  <si>
    <t>challenger1-S-2-H</t>
  </si>
  <si>
    <t>m1a2-S-2-H</t>
  </si>
  <si>
    <t>59-S-2-F</t>
  </si>
  <si>
    <t>challenger1-S-2-F</t>
  </si>
  <si>
    <t>m1a2-S-2-F</t>
  </si>
  <si>
    <t>辅助列</t>
    <phoneticPr fontId="101" type="noConversion"/>
  </si>
  <si>
    <t>奖励道具</t>
    <phoneticPr fontId="101" type="noConversion"/>
  </si>
  <si>
    <t>奖励个数</t>
    <phoneticPr fontId="101" type="noConversion"/>
  </si>
  <si>
    <t>价值</t>
    <phoneticPr fontId="101" type="noConversion"/>
  </si>
  <si>
    <t>钻石</t>
    <phoneticPr fontId="101" type="noConversion"/>
  </si>
  <si>
    <t>标准比例</t>
    <phoneticPr fontId="101" type="noConversion"/>
  </si>
  <si>
    <t>调整系数</t>
    <phoneticPr fontId="101" type="noConversion"/>
  </si>
  <si>
    <t>调整比例</t>
    <phoneticPr fontId="101" type="noConversion"/>
  </si>
  <si>
    <t>辅助列</t>
    <phoneticPr fontId="101" type="noConversion"/>
  </si>
  <si>
    <t>辅助列</t>
    <phoneticPr fontId="101" type="noConversion"/>
  </si>
  <si>
    <t>升星价值</t>
    <phoneticPr fontId="101" type="noConversion"/>
  </si>
  <si>
    <t>辅助列</t>
    <phoneticPr fontId="101" type="noConversion"/>
  </si>
  <si>
    <t>shootScatteringAngleExpand</t>
    <phoneticPr fontId="101" type="noConversion"/>
  </si>
  <si>
    <t>主炮类型</t>
    <phoneticPr fontId="101" type="noConversion"/>
  </si>
  <si>
    <t>回收价值</t>
    <phoneticPr fontId="101" type="noConversion"/>
  </si>
  <si>
    <t>回收系数</t>
    <phoneticPr fontId="101" type="noConversion"/>
  </si>
  <si>
    <t>回收军费</t>
    <phoneticPr fontId="101" type="noConversion"/>
  </si>
  <si>
    <t>hitScatteringAngleExpandLimit</t>
    <phoneticPr fontId="101" type="noConversion"/>
  </si>
  <si>
    <t>dmgParaCenter</t>
  </si>
  <si>
    <t>命中中心伤害系数</t>
  </si>
  <si>
    <t>dmgParaTurretFront</t>
  </si>
  <si>
    <t>dmgParaTurretBack</t>
  </si>
  <si>
    <t>炮塔后方伤害系数</t>
  </si>
  <si>
    <t>dmgParaBodyFront</t>
  </si>
  <si>
    <t>车身前方伤害系数</t>
  </si>
  <si>
    <t>dmgParaBodySide</t>
  </si>
  <si>
    <t>车身侧方伤害系数</t>
  </si>
  <si>
    <t>dmgParaBodyBack</t>
  </si>
  <si>
    <t>车身后方伤害系数</t>
  </si>
  <si>
    <t>armorValue</t>
  </si>
  <si>
    <t>装甲厚度</t>
  </si>
  <si>
    <t>hpPower</t>
  </si>
  <si>
    <t>生命等级</t>
  </si>
  <si>
    <t>dmgPower</t>
  </si>
  <si>
    <t>伤害等级</t>
  </si>
  <si>
    <t>armorPower</t>
  </si>
  <si>
    <t>装甲等级</t>
  </si>
  <si>
    <t>piercePower</t>
  </si>
  <si>
    <t>穿透等级</t>
  </si>
  <si>
    <t>轻坦受伤系数集中,重坦受伤系数分散</t>
    <phoneticPr fontId="101" type="noConversion"/>
  </si>
  <si>
    <t>玩家可预期弹着点范围</t>
    <phoneticPr fontId="101" type="noConversion"/>
  </si>
  <si>
    <t>穿透力不足时会跳弹,(穿透/护甲)比例对弱者友好,穿透力不足时伤害衰减少,穿透力超出时伤害增幅少;</t>
    <phoneticPr fontId="101" type="noConversion"/>
  </si>
  <si>
    <t>跳弹:最终伤害=穿透力/装甲厚度*炮弹攻击力*部位伤害系数</t>
    <phoneticPr fontId="101" type="noConversion"/>
  </si>
  <si>
    <t>穿透:打中center则直接暴击,未击中center则取所有部件中伤害最大值.部件伤害=炮弹攻击力*f(穿透力/装甲厚度)*部位伤害系数;</t>
    <phoneticPr fontId="101" type="noConversion"/>
  </si>
  <si>
    <t>入射点名称</t>
    <phoneticPr fontId="101" type="noConversion"/>
  </si>
  <si>
    <t>入射点伤害系数</t>
    <phoneticPr fontId="101" type="noConversion"/>
  </si>
  <si>
    <t>坦克类型</t>
    <phoneticPr fontId="101" type="noConversion"/>
  </si>
  <si>
    <t>Center</t>
    <phoneticPr fontId="101" type="noConversion"/>
  </si>
  <si>
    <t>炮塔后方</t>
    <phoneticPr fontId="101" type="noConversion"/>
  </si>
  <si>
    <t>车身前方</t>
    <phoneticPr fontId="101" type="noConversion"/>
  </si>
  <si>
    <t>车身侧方</t>
    <phoneticPr fontId="101" type="noConversion"/>
  </si>
  <si>
    <t>车身后方</t>
    <phoneticPr fontId="101" type="noConversion"/>
  </si>
  <si>
    <t>轻坦</t>
    <phoneticPr fontId="101" type="noConversion"/>
  </si>
  <si>
    <t>重坦</t>
    <phoneticPr fontId="101" type="noConversion"/>
  </si>
  <si>
    <t>伤害系数</t>
    <phoneticPr fontId="101" type="noConversion"/>
  </si>
  <si>
    <t>炮塔宽度</t>
    <phoneticPr fontId="101" type="noConversion"/>
  </si>
  <si>
    <t>炮塔长度</t>
    <phoneticPr fontId="101" type="noConversion"/>
  </si>
  <si>
    <t>炮塔对角线</t>
    <phoneticPr fontId="101" type="noConversion"/>
  </si>
  <si>
    <t>核心比例</t>
    <phoneticPr fontId="101" type="noConversion"/>
  </si>
  <si>
    <t>长度比例</t>
    <phoneticPr fontId="101" type="noConversion"/>
  </si>
  <si>
    <t>长度伤害</t>
    <phoneticPr fontId="101" type="noConversion"/>
  </si>
  <si>
    <t>累计伤害</t>
    <phoneticPr fontId="101" type="noConversion"/>
  </si>
  <si>
    <t>炮后比例</t>
    <phoneticPr fontId="101" type="noConversion"/>
  </si>
  <si>
    <t>身后比例</t>
    <phoneticPr fontId="101" type="noConversion"/>
  </si>
  <si>
    <t>身侧比例</t>
    <phoneticPr fontId="101" type="noConversion"/>
  </si>
  <si>
    <t>身前比例</t>
    <phoneticPr fontId="101" type="noConversion"/>
  </si>
  <si>
    <t>入射调整系数</t>
    <phoneticPr fontId="101" type="noConversion"/>
  </si>
  <si>
    <t>炮后伤害</t>
    <phoneticPr fontId="101" type="noConversion"/>
  </si>
  <si>
    <t>核心伤害</t>
    <phoneticPr fontId="101" type="noConversion"/>
  </si>
  <si>
    <t>核心伤害系</t>
    <phoneticPr fontId="101" type="noConversion"/>
  </si>
  <si>
    <t>炮后伤害系</t>
    <phoneticPr fontId="101" type="noConversion"/>
  </si>
  <si>
    <t>身后伤害系</t>
    <phoneticPr fontId="101" type="noConversion"/>
  </si>
  <si>
    <t>身侧伤害系</t>
    <phoneticPr fontId="101" type="noConversion"/>
  </si>
  <si>
    <t>身前伤害系</t>
    <phoneticPr fontId="101" type="noConversion"/>
  </si>
  <si>
    <t>身后伤害</t>
    <phoneticPr fontId="101" type="noConversion"/>
  </si>
  <si>
    <t>身侧伤害</t>
    <phoneticPr fontId="101" type="noConversion"/>
  </si>
  <si>
    <t>身前伤害</t>
    <phoneticPr fontId="101" type="noConversion"/>
  </si>
  <si>
    <t>总计伤害</t>
    <phoneticPr fontId="101" type="noConversion"/>
  </si>
  <si>
    <t>映射长度</t>
    <phoneticPr fontId="101" type="noConversion"/>
  </si>
  <si>
    <t>生效长度</t>
    <phoneticPr fontId="101" type="noConversion"/>
  </si>
  <si>
    <t>标准坦克属性</t>
    <phoneticPr fontId="101" type="noConversion"/>
  </si>
  <si>
    <t>坦克类型</t>
    <phoneticPr fontId="101" type="noConversion"/>
  </si>
  <si>
    <t>轻坦</t>
    <phoneticPr fontId="101" type="noConversion"/>
  </si>
  <si>
    <t>中坦</t>
    <phoneticPr fontId="101" type="noConversion"/>
  </si>
  <si>
    <t>重坦</t>
    <phoneticPr fontId="101" type="noConversion"/>
  </si>
  <si>
    <t>车身对角线</t>
    <phoneticPr fontId="101" type="noConversion"/>
  </si>
  <si>
    <t>炮塔对角线</t>
    <phoneticPr fontId="101" type="noConversion"/>
  </si>
  <si>
    <t>期望伤害</t>
    <phoneticPr fontId="101" type="noConversion"/>
  </si>
  <si>
    <t>标准伤害</t>
    <phoneticPr fontId="101" type="noConversion"/>
  </si>
  <si>
    <t>坦克部位伤害系数</t>
    <phoneticPr fontId="101" type="noConversion"/>
  </si>
  <si>
    <t>最小角度</t>
    <phoneticPr fontId="101" type="noConversion"/>
  </si>
  <si>
    <t>最大角度</t>
    <phoneticPr fontId="101" type="noConversion"/>
  </si>
  <si>
    <t>重坦开镜</t>
    <phoneticPr fontId="101" type="noConversion"/>
  </si>
  <si>
    <t>标准开炮数</t>
    <phoneticPr fontId="101" type="noConversion"/>
  </si>
  <si>
    <t>累积偏移角</t>
    <phoneticPr fontId="101" type="noConversion"/>
  </si>
  <si>
    <t>单发偏移角</t>
    <phoneticPr fontId="101" type="noConversion"/>
  </si>
  <si>
    <t>瞄准速度</t>
    <phoneticPr fontId="101" type="noConversion"/>
  </si>
  <si>
    <t>瞄准时间</t>
    <phoneticPr fontId="101" type="noConversion"/>
  </si>
  <si>
    <t>标准轮次数</t>
    <phoneticPr fontId="101" type="noConversion"/>
  </si>
  <si>
    <t>射击造成偏移角度扩大</t>
    <phoneticPr fontId="101" type="noConversion"/>
  </si>
  <si>
    <t>命中占比</t>
    <phoneticPr fontId="101" type="noConversion"/>
  </si>
  <si>
    <t>命中伤害</t>
    <phoneticPr fontId="101" type="noConversion"/>
  </si>
  <si>
    <t>期望伤害</t>
    <phoneticPr fontId="101" type="noConversion"/>
  </si>
  <si>
    <t>坦克装甲</t>
  </si>
  <si>
    <t>坦克装甲</t>
    <phoneticPr fontId="101" type="noConversion"/>
  </si>
  <si>
    <t>坦克装甲</t>
    <phoneticPr fontId="101" type="noConversion"/>
  </si>
  <si>
    <t>坦克伤害</t>
  </si>
  <si>
    <t>坦克伤害</t>
    <phoneticPr fontId="101" type="noConversion"/>
  </si>
  <si>
    <t>装甲系数</t>
    <phoneticPr fontId="101" type="noConversion"/>
  </si>
  <si>
    <t>对轻最弱伤</t>
    <phoneticPr fontId="101" type="noConversion"/>
  </si>
  <si>
    <t>对轻最高伤</t>
    <phoneticPr fontId="101" type="noConversion"/>
  </si>
  <si>
    <t>对中最弱伤</t>
    <phoneticPr fontId="101" type="noConversion"/>
  </si>
  <si>
    <t>对中最高伤</t>
    <phoneticPr fontId="101" type="noConversion"/>
  </si>
  <si>
    <t>对重最弱伤</t>
    <phoneticPr fontId="101" type="noConversion"/>
  </si>
  <si>
    <t>对重最高伤</t>
    <phoneticPr fontId="101" type="noConversion"/>
  </si>
  <si>
    <t>坦克装甲</t>
    <phoneticPr fontId="101" type="noConversion"/>
  </si>
  <si>
    <t>坦克装甲</t>
    <phoneticPr fontId="101" type="noConversion"/>
  </si>
  <si>
    <t>坦克伤害</t>
    <phoneticPr fontId="101" type="noConversion"/>
  </si>
  <si>
    <t>射击间隔时间(秒)</t>
    <phoneticPr fontId="101" type="noConversion"/>
  </si>
  <si>
    <t>攻击使偏移</t>
    <phoneticPr fontId="101" type="noConversion"/>
  </si>
  <si>
    <t>部件比例</t>
    <phoneticPr fontId="101" type="noConversion"/>
  </si>
  <si>
    <t>坦克伤害</t>
    <phoneticPr fontId="101" type="noConversion"/>
  </si>
  <si>
    <t>坦克装甲</t>
    <phoneticPr fontId="101" type="noConversion"/>
  </si>
  <si>
    <t>坦克伤害</t>
    <phoneticPr fontId="101" type="noConversion"/>
  </si>
  <si>
    <t>所有坦克部件养成标准属性</t>
    <phoneticPr fontId="101" type="noConversion"/>
  </si>
  <si>
    <t>后射击间隔</t>
    <phoneticPr fontId="101" type="noConversion"/>
  </si>
  <si>
    <t>射击间隔</t>
    <phoneticPr fontId="101" type="noConversion"/>
  </si>
  <si>
    <t>射击间隔</t>
    <phoneticPr fontId="101" type="noConversion"/>
  </si>
  <si>
    <t>部件Tier</t>
    <phoneticPr fontId="101" type="noConversion"/>
  </si>
  <si>
    <t>当前星级</t>
    <phoneticPr fontId="101" type="noConversion"/>
  </si>
  <si>
    <t>T1</t>
    <phoneticPr fontId="101" type="noConversion"/>
  </si>
  <si>
    <t>升星穿透力</t>
    <phoneticPr fontId="101" type="noConversion"/>
  </si>
  <si>
    <t>升星比例</t>
    <phoneticPr fontId="101" type="noConversion"/>
  </si>
  <si>
    <t>同属性部件数</t>
    <phoneticPr fontId="101" type="noConversion"/>
  </si>
  <si>
    <t>部件总数</t>
    <phoneticPr fontId="101" type="noConversion"/>
  </si>
  <si>
    <t>坦克数量</t>
    <phoneticPr fontId="101" type="noConversion"/>
  </si>
  <si>
    <t>RankLv</t>
    <phoneticPr fontId="101" type="noConversion"/>
  </si>
  <si>
    <t>累计军费</t>
    <phoneticPr fontId="101" type="noConversion"/>
  </si>
  <si>
    <t>标准军费产出</t>
    <phoneticPr fontId="101" type="noConversion"/>
  </si>
  <si>
    <t>标准秒时间钻石花费</t>
    <phoneticPr fontId="101" type="noConversion"/>
  </si>
  <si>
    <t>坦克装甲</t>
    <phoneticPr fontId="101" type="noConversion"/>
  </si>
  <si>
    <t>坦克装甲</t>
    <phoneticPr fontId="101" type="noConversion"/>
  </si>
  <si>
    <t>生命系数</t>
    <phoneticPr fontId="101" type="noConversion"/>
  </si>
  <si>
    <t>伤害系数</t>
    <phoneticPr fontId="101" type="noConversion"/>
  </si>
  <si>
    <t>装甲系数</t>
    <phoneticPr fontId="101" type="noConversion"/>
  </si>
  <si>
    <t>中心区半径</t>
    <phoneticPr fontId="101" type="noConversion"/>
  </si>
  <si>
    <t>基础视野</t>
    <phoneticPr fontId="101" type="noConversion"/>
  </si>
  <si>
    <t>最小视野</t>
    <phoneticPr fontId="101" type="noConversion"/>
  </si>
  <si>
    <t>匹配战斗力</t>
    <phoneticPr fontId="101" type="noConversion"/>
  </si>
  <si>
    <t>坦克名称</t>
    <phoneticPr fontId="101" type="noConversion"/>
  </si>
  <si>
    <t>初始战力</t>
    <phoneticPr fontId="101" type="noConversion"/>
  </si>
  <si>
    <t>最高战力</t>
    <phoneticPr fontId="101" type="noConversion"/>
  </si>
  <si>
    <t>升星次数</t>
    <phoneticPr fontId="101" type="noConversion"/>
  </si>
  <si>
    <t>坦克品级</t>
    <phoneticPr fontId="101" type="noConversion"/>
  </si>
  <si>
    <t>最高战力</t>
    <phoneticPr fontId="101" type="noConversion"/>
  </si>
  <si>
    <t>战力系数</t>
    <phoneticPr fontId="101" type="noConversion"/>
  </si>
  <si>
    <t>初始战力</t>
    <phoneticPr fontId="101" type="noConversion"/>
  </si>
  <si>
    <t>坦克最终战斗属性</t>
    <phoneticPr fontId="101" type="noConversion"/>
  </si>
  <si>
    <t>坦克战力变化</t>
    <phoneticPr fontId="101" type="noConversion"/>
  </si>
  <si>
    <t>联赛等级</t>
    <phoneticPr fontId="101" type="noConversion"/>
  </si>
  <si>
    <t>参考战力1</t>
    <phoneticPr fontId="101" type="noConversion"/>
  </si>
  <si>
    <t>参考战力2</t>
  </si>
  <si>
    <t>参考战力3</t>
  </si>
  <si>
    <t>参考战力4</t>
  </si>
  <si>
    <t>参考战力5</t>
    <phoneticPr fontId="101" type="noConversion"/>
  </si>
  <si>
    <t>参考战力6</t>
  </si>
  <si>
    <t>期望战力</t>
    <phoneticPr fontId="101" type="noConversion"/>
  </si>
  <si>
    <t>模拟联赛等级期望战力</t>
    <phoneticPr fontId="101" type="noConversion"/>
  </si>
  <si>
    <t>缓冲分数</t>
    <phoneticPr fontId="101" type="noConversion"/>
  </si>
  <si>
    <t>缓冲系数</t>
    <phoneticPr fontId="101" type="noConversion"/>
  </si>
  <si>
    <t>累计系数</t>
    <phoneticPr fontId="101" type="noConversion"/>
  </si>
  <si>
    <t>掉段分数</t>
    <phoneticPr fontId="101" type="noConversion"/>
  </si>
  <si>
    <t>最高分数</t>
    <phoneticPr fontId="101" type="noConversion"/>
  </si>
  <si>
    <t>游戏时长(时)</t>
    <phoneticPr fontId="101" type="noConversion"/>
  </si>
  <si>
    <t>T1部件</t>
    <phoneticPr fontId="101" type="noConversion"/>
  </si>
  <si>
    <t>T2部件</t>
  </si>
  <si>
    <t>T2部件</t>
    <phoneticPr fontId="101" type="noConversion"/>
  </si>
  <si>
    <t>T3部件</t>
  </si>
  <si>
    <t>T4部件</t>
  </si>
  <si>
    <t>T5部件</t>
  </si>
  <si>
    <t>T1部件</t>
    <phoneticPr fontId="101" type="noConversion"/>
  </si>
  <si>
    <t>如果到后期每日产出的资源数量变多.同时这些资源对应的实际价值也增加的话.玩家同样付费购买到的资源与每日产出量的比例会降低.导致玩家消费效果降低.因此资源对应的实际价值不应该提升,对应的就导致物品的实际价值随玩家游戏进程而贬值.游戏后期,玩家花同样的时间或者消费同样的金额可以获得更多数量的道具.</t>
    <phoneticPr fontId="101" type="noConversion"/>
  </si>
  <si>
    <t>商店分类</t>
    <phoneticPr fontId="101" type="noConversion"/>
  </si>
  <si>
    <t>材料商店</t>
    <phoneticPr fontId="101" type="noConversion"/>
  </si>
  <si>
    <t>军费商店</t>
    <phoneticPr fontId="101" type="noConversion"/>
  </si>
  <si>
    <t>钻石商店</t>
    <phoneticPr fontId="101" type="noConversion"/>
  </si>
  <si>
    <t>产出内容</t>
    <phoneticPr fontId="101" type="noConversion"/>
  </si>
  <si>
    <t>刷新间隔</t>
    <phoneticPr fontId="101" type="noConversion"/>
  </si>
  <si>
    <t>无</t>
    <phoneticPr fontId="101" type="noConversion"/>
  </si>
  <si>
    <t>无</t>
    <phoneticPr fontId="101" type="noConversion"/>
  </si>
  <si>
    <t>坦克碎片</t>
    <phoneticPr fontId="101" type="noConversion"/>
  </si>
  <si>
    <t>军费</t>
    <phoneticPr fontId="101" type="noConversion"/>
  </si>
  <si>
    <t>钻石</t>
    <phoneticPr fontId="101" type="noConversion"/>
  </si>
  <si>
    <t>产出内容</t>
    <phoneticPr fontId="101" type="noConversion"/>
  </si>
  <si>
    <t>部件</t>
    <phoneticPr fontId="101" type="noConversion"/>
  </si>
  <si>
    <t>玩家期望</t>
    <phoneticPr fontId="101" type="noConversion"/>
  </si>
  <si>
    <t>坦克解锁</t>
    <phoneticPr fontId="101" type="noConversion"/>
  </si>
  <si>
    <t>解锁坦克1</t>
    <phoneticPr fontId="101" type="noConversion"/>
  </si>
  <si>
    <t>坦克解锁</t>
    <phoneticPr fontId="101" type="noConversion"/>
  </si>
  <si>
    <t>轻坦血1</t>
    <phoneticPr fontId="101" type="noConversion"/>
  </si>
  <si>
    <t>轻坦血2</t>
  </si>
  <si>
    <t>轻坦攻1</t>
    <phoneticPr fontId="101" type="noConversion"/>
  </si>
  <si>
    <t>轻坦攻2</t>
  </si>
  <si>
    <t>轻坦甲1</t>
    <phoneticPr fontId="101" type="noConversion"/>
  </si>
  <si>
    <t>轻坦甲2</t>
  </si>
  <si>
    <t>中坦血1</t>
  </si>
  <si>
    <t>中坦血2</t>
  </si>
  <si>
    <t>中坦攻1</t>
  </si>
  <si>
    <t>中坦攻2</t>
  </si>
  <si>
    <t>中坦甲1</t>
  </si>
  <si>
    <t>中坦甲2</t>
  </si>
  <si>
    <t>重坦血1</t>
  </si>
  <si>
    <t>重坦血2</t>
  </si>
  <si>
    <t>重坦攻1</t>
  </si>
  <si>
    <t>重坦攻2</t>
  </si>
  <si>
    <t>重坦甲1</t>
  </si>
  <si>
    <t>重坦甲2</t>
  </si>
  <si>
    <t>完成战斗</t>
    <phoneticPr fontId="101" type="noConversion"/>
  </si>
  <si>
    <t>炮塔侧方</t>
    <phoneticPr fontId="101" type="noConversion"/>
  </si>
  <si>
    <r>
      <t>T</t>
    </r>
    <r>
      <rPr>
        <sz val="9"/>
        <color theme="1"/>
        <rFont val="微软雅黑"/>
        <family val="2"/>
        <charset val="134"/>
      </rPr>
      <t>1</t>
    </r>
    <phoneticPr fontId="101" type="noConversion"/>
  </si>
  <si>
    <t>T1T2</t>
    <phoneticPr fontId="101" type="noConversion"/>
  </si>
  <si>
    <t>T1T2T3</t>
    <phoneticPr fontId="101" type="noConversion"/>
  </si>
  <si>
    <t>坦克部件解锁</t>
    <phoneticPr fontId="101" type="noConversion"/>
  </si>
  <si>
    <t>解锁部件1</t>
    <phoneticPr fontId="101" type="noConversion"/>
  </si>
  <si>
    <t>解锁部件2</t>
  </si>
  <si>
    <t>解锁部件3</t>
  </si>
  <si>
    <t>解锁部件4</t>
  </si>
  <si>
    <t>解锁部件5</t>
  </si>
  <si>
    <t>解锁部件6</t>
  </si>
  <si>
    <t>解锁部件7</t>
  </si>
  <si>
    <t>解锁部件8</t>
  </si>
  <si>
    <t>解锁部件9</t>
  </si>
  <si>
    <t>部件名称</t>
    <phoneticPr fontId="101" type="noConversion"/>
  </si>
  <si>
    <t>T1LP1</t>
  </si>
  <si>
    <t>T1LP1</t>
    <phoneticPr fontId="101" type="noConversion"/>
  </si>
  <si>
    <t>T1LP2</t>
  </si>
  <si>
    <t>T1LP3</t>
  </si>
  <si>
    <t>T1LP4</t>
  </si>
  <si>
    <t>T1LP5</t>
  </si>
  <si>
    <t>T1LP6</t>
  </si>
  <si>
    <t>T1MP1</t>
  </si>
  <si>
    <t>T1MP2</t>
  </si>
  <si>
    <t>T1MP3</t>
  </si>
  <si>
    <t>T1MP4</t>
  </si>
  <si>
    <t>T1MP5</t>
  </si>
  <si>
    <t>T1MP6</t>
  </si>
  <si>
    <t>T1HP1</t>
  </si>
  <si>
    <t>T1HP2</t>
  </si>
  <si>
    <t>T1HP3</t>
  </si>
  <si>
    <t>T1HP4</t>
  </si>
  <si>
    <t>T1HP5</t>
  </si>
  <si>
    <t>T1HP6</t>
  </si>
  <si>
    <t>T2LP1</t>
  </si>
  <si>
    <t>T2LP2</t>
  </si>
  <si>
    <t>T2LP3</t>
  </si>
  <si>
    <t>T2LP4</t>
  </si>
  <si>
    <t>T2LP5</t>
  </si>
  <si>
    <t>T2LP6</t>
  </si>
  <si>
    <t>T2MP1</t>
  </si>
  <si>
    <t>T2MP2</t>
  </si>
  <si>
    <t>T2MP3</t>
  </si>
  <si>
    <t>T2MP4</t>
  </si>
  <si>
    <t>T2MP5</t>
  </si>
  <si>
    <t>T2MP6</t>
  </si>
  <si>
    <t>T2HP1</t>
  </si>
  <si>
    <t>T2HP2</t>
  </si>
  <si>
    <t>T2HP3</t>
  </si>
  <si>
    <t>T2HP4</t>
  </si>
  <si>
    <t>T2HP5</t>
  </si>
  <si>
    <t>T2HP6</t>
  </si>
  <si>
    <t>T3LP1</t>
  </si>
  <si>
    <t>T3LP2</t>
  </si>
  <si>
    <t>T3LP3</t>
  </si>
  <si>
    <t>T3LP4</t>
  </si>
  <si>
    <t>T3LP5</t>
  </si>
  <si>
    <t>T3LP6</t>
  </si>
  <si>
    <t>T3MP1</t>
  </si>
  <si>
    <t>T3MP2</t>
  </si>
  <si>
    <t>T3MP3</t>
  </si>
  <si>
    <t>T3MP4</t>
  </si>
  <si>
    <t>T3MP5</t>
  </si>
  <si>
    <t>T3MP6</t>
  </si>
  <si>
    <t>T3HP1</t>
  </si>
  <si>
    <t>T3HP2</t>
  </si>
  <si>
    <t>T3HP3</t>
  </si>
  <si>
    <t>T3HP4</t>
  </si>
  <si>
    <t>T3HP5</t>
  </si>
  <si>
    <t>T3HP6</t>
  </si>
  <si>
    <t>T4LP1</t>
  </si>
  <si>
    <t>T4LP2</t>
  </si>
  <si>
    <t>T4LP3</t>
  </si>
  <si>
    <t>T4LP4</t>
  </si>
  <si>
    <t>T4LP5</t>
  </si>
  <si>
    <t>T4LP6</t>
  </si>
  <si>
    <t>T4MP1</t>
  </si>
  <si>
    <t>T4MP2</t>
  </si>
  <si>
    <t>T4MP3</t>
  </si>
  <si>
    <t>T4MP4</t>
  </si>
  <si>
    <t>T4MP5</t>
  </si>
  <si>
    <t>T4MP6</t>
  </si>
  <si>
    <t>T4HP1</t>
  </si>
  <si>
    <t>T4HP2</t>
  </si>
  <si>
    <t>T4HP3</t>
  </si>
  <si>
    <t>T4HP4</t>
  </si>
  <si>
    <t>T4HP5</t>
  </si>
  <si>
    <t>T4HP6</t>
  </si>
  <si>
    <t>T5LP1</t>
  </si>
  <si>
    <t>T5LP2</t>
  </si>
  <si>
    <t>T5LP3</t>
  </si>
  <si>
    <t>T5LP4</t>
  </si>
  <si>
    <t>T5LP5</t>
  </si>
  <si>
    <t>T5LP6</t>
  </si>
  <si>
    <t>T5MP1</t>
  </si>
  <si>
    <t>T5MP2</t>
  </si>
  <si>
    <t>T5MP3</t>
  </si>
  <si>
    <t>T5MP4</t>
  </si>
  <si>
    <t>T5MP5</t>
  </si>
  <si>
    <t>T5MP6</t>
  </si>
  <si>
    <t>T5HP1</t>
  </si>
  <si>
    <t>T5HP2</t>
  </si>
  <si>
    <t>T5HP3</t>
  </si>
  <si>
    <t>T5HP4</t>
  </si>
  <si>
    <t>T5HP5</t>
  </si>
  <si>
    <t>T5HP6</t>
  </si>
  <si>
    <t>道具ID</t>
    <phoneticPr fontId="101" type="noConversion"/>
  </si>
  <si>
    <t>部件ID</t>
    <phoneticPr fontId="101" type="noConversion"/>
  </si>
  <si>
    <t>T1LP2</t>
    <phoneticPr fontId="101" type="noConversion"/>
  </si>
  <si>
    <t>T1LP4</t>
    <phoneticPr fontId="101" type="noConversion"/>
  </si>
  <si>
    <t>T1LP6</t>
    <phoneticPr fontId="101" type="noConversion"/>
  </si>
  <si>
    <t>T1MP2</t>
    <phoneticPr fontId="101" type="noConversion"/>
  </si>
  <si>
    <t>T1MP4</t>
    <phoneticPr fontId="101" type="noConversion"/>
  </si>
  <si>
    <t>T1MP6</t>
    <phoneticPr fontId="101" type="noConversion"/>
  </si>
  <si>
    <t>T1HP2</t>
    <phoneticPr fontId="101" type="noConversion"/>
  </si>
  <si>
    <t>T1HP4</t>
    <phoneticPr fontId="101" type="noConversion"/>
  </si>
  <si>
    <t>T1HP6</t>
    <phoneticPr fontId="101" type="noConversion"/>
  </si>
  <si>
    <t>坦克部件开放节奏</t>
    <phoneticPr fontId="101" type="noConversion"/>
  </si>
  <si>
    <t>钥匙宝箱</t>
    <phoneticPr fontId="101" type="noConversion"/>
  </si>
  <si>
    <t>玩家等级</t>
    <phoneticPr fontId="101" type="noConversion"/>
  </si>
  <si>
    <t>战斗次数</t>
    <phoneticPr fontId="101" type="noConversion"/>
  </si>
  <si>
    <t>战胜经验</t>
    <phoneticPr fontId="101" type="noConversion"/>
  </si>
  <si>
    <t>战败经验</t>
    <phoneticPr fontId="101" type="noConversion"/>
  </si>
  <si>
    <t>胜率</t>
    <phoneticPr fontId="101" type="noConversion"/>
  </si>
  <si>
    <t>每日上限</t>
    <phoneticPr fontId="101" type="noConversion"/>
  </si>
  <si>
    <t>等级上限</t>
    <phoneticPr fontId="101" type="noConversion"/>
  </si>
  <si>
    <t>需求经验</t>
    <phoneticPr fontId="101" type="noConversion"/>
  </si>
  <si>
    <t>升级经验</t>
    <phoneticPr fontId="101" type="noConversion"/>
  </si>
  <si>
    <r>
      <t>每日满额奖励8</t>
    </r>
    <r>
      <rPr>
        <sz val="9"/>
        <color theme="1"/>
        <rFont val="微软雅黑"/>
        <family val="2"/>
        <charset val="134"/>
      </rPr>
      <t>0次,TableConst配置</t>
    </r>
    <phoneticPr fontId="101" type="noConversion"/>
  </si>
  <si>
    <t>联赛积分</t>
    <phoneticPr fontId="101" type="noConversion"/>
  </si>
  <si>
    <t>RankLv</t>
    <phoneticPr fontId="101" type="noConversion"/>
  </si>
  <si>
    <t>累计分数</t>
    <phoneticPr fontId="101" type="noConversion"/>
  </si>
  <si>
    <t>分数差值</t>
    <phoneticPr fontId="101" type="noConversion"/>
  </si>
  <si>
    <t>奖励次数</t>
    <phoneticPr fontId="101" type="noConversion"/>
  </si>
  <si>
    <t>积分差距</t>
    <phoneticPr fontId="101" type="noConversion"/>
  </si>
  <si>
    <t>奖励次数</t>
    <phoneticPr fontId="101" type="noConversion"/>
  </si>
  <si>
    <t>积分差值</t>
    <phoneticPr fontId="101" type="noConversion"/>
  </si>
  <si>
    <t>游戏流程,两次教学,两次战斗之后开宝箱</t>
    <phoneticPr fontId="101" type="noConversion"/>
  </si>
  <si>
    <t>Rank分段</t>
    <phoneticPr fontId="101" type="noConversion"/>
  </si>
  <si>
    <t>联赛积分分段奖励分值</t>
    <phoneticPr fontId="101" type="noConversion"/>
  </si>
  <si>
    <t>游戏场次</t>
    <phoneticPr fontId="101" type="noConversion"/>
  </si>
  <si>
    <t>对应天数</t>
    <phoneticPr fontId="101" type="noConversion"/>
  </si>
  <si>
    <t>累计天数</t>
    <phoneticPr fontId="101" type="noConversion"/>
  </si>
  <si>
    <t>累计场次</t>
    <phoneticPr fontId="101" type="noConversion"/>
  </si>
  <si>
    <t>奖励价值</t>
    <phoneticPr fontId="101" type="noConversion"/>
  </si>
  <si>
    <t>奖励分类</t>
    <phoneticPr fontId="101" type="noConversion"/>
  </si>
  <si>
    <t>标准价值</t>
    <phoneticPr fontId="101" type="noConversion"/>
  </si>
  <si>
    <t>联赛积分</t>
    <phoneticPr fontId="101" type="noConversion"/>
  </si>
  <si>
    <t>标准奖励价值</t>
    <phoneticPr fontId="101" type="noConversion"/>
  </si>
  <si>
    <t>奖励内容</t>
    <phoneticPr fontId="101" type="noConversion"/>
  </si>
  <si>
    <t>联赛积分差值</t>
    <phoneticPr fontId="101" type="noConversion"/>
  </si>
  <si>
    <t>玩家等级</t>
    <phoneticPr fontId="101" type="noConversion"/>
  </si>
  <si>
    <t>战斗场次</t>
    <phoneticPr fontId="101" type="noConversion"/>
  </si>
  <si>
    <t>累计场次</t>
    <phoneticPr fontId="101" type="noConversion"/>
  </si>
  <si>
    <t>对应天数</t>
    <phoneticPr fontId="101" type="noConversion"/>
  </si>
  <si>
    <t>累计天数</t>
    <phoneticPr fontId="101" type="noConversion"/>
  </si>
  <si>
    <t>玩家升级</t>
    <phoneticPr fontId="101" type="noConversion"/>
  </si>
  <si>
    <t>奖牌奖励自动跳的功能,自动跳到没领奖励的地方.</t>
    <phoneticPr fontId="101" type="noConversion"/>
  </si>
  <si>
    <t>炮塔前方</t>
    <phoneticPr fontId="101" type="noConversion"/>
  </si>
  <si>
    <t>炮前伤害系</t>
    <phoneticPr fontId="101" type="noConversion"/>
  </si>
  <si>
    <t>炮侧伤害系</t>
    <phoneticPr fontId="101" type="noConversion"/>
  </si>
  <si>
    <t>炮侧比例</t>
    <phoneticPr fontId="101" type="noConversion"/>
  </si>
  <si>
    <t>炮前比例</t>
    <phoneticPr fontId="101" type="noConversion"/>
  </si>
  <si>
    <t>炮侧伤害</t>
    <phoneticPr fontId="101" type="noConversion"/>
  </si>
  <si>
    <t>炮前伤害</t>
    <phoneticPr fontId="101" type="noConversion"/>
  </si>
  <si>
    <t>炮前伤害系</t>
    <phoneticPr fontId="101" type="noConversion"/>
  </si>
  <si>
    <t>炮侧伤害系</t>
    <phoneticPr fontId="101" type="noConversion"/>
  </si>
  <si>
    <t>炮侧伤害系</t>
    <phoneticPr fontId="101" type="noConversion"/>
  </si>
  <si>
    <t>炮前伤害系</t>
    <phoneticPr fontId="101" type="noConversion"/>
  </si>
  <si>
    <t>等级历程设定</t>
    <phoneticPr fontId="101" type="noConversion"/>
  </si>
  <si>
    <t>坦克碎片</t>
  </si>
  <si>
    <t>坦克</t>
  </si>
  <si>
    <t>钥匙</t>
    <phoneticPr fontId="101" type="noConversion"/>
  </si>
  <si>
    <t>调整后价值</t>
    <phoneticPr fontId="101" type="noConversion"/>
  </si>
  <si>
    <t>奖励内容</t>
    <phoneticPr fontId="101" type="noConversion"/>
  </si>
  <si>
    <t>无</t>
    <phoneticPr fontId="101" type="noConversion"/>
  </si>
  <si>
    <t>奖励价值</t>
    <phoneticPr fontId="101" type="noConversion"/>
  </si>
  <si>
    <t>奖励数量</t>
    <phoneticPr fontId="101" type="noConversion"/>
  </si>
  <si>
    <t>部件宝箱</t>
    <phoneticPr fontId="101" type="noConversion"/>
  </si>
  <si>
    <t>碎片宝箱</t>
    <phoneticPr fontId="101" type="noConversion"/>
  </si>
  <si>
    <t>钥匙宝箱</t>
    <phoneticPr fontId="101" type="noConversion"/>
  </si>
  <si>
    <t>dmgParaTurretSide</t>
    <phoneticPr fontId="101" type="noConversion"/>
  </si>
  <si>
    <t>炮塔侧方伤害系数</t>
    <phoneticPr fontId="101" type="noConversion"/>
  </si>
  <si>
    <t>炮塔前方伤害系数</t>
    <phoneticPr fontId="101" type="noConversion"/>
  </si>
  <si>
    <t>部件等级</t>
    <phoneticPr fontId="101" type="noConversion"/>
  </si>
  <si>
    <t>军费/钻</t>
    <phoneticPr fontId="101" type="noConversion"/>
  </si>
  <si>
    <t>军费升级</t>
    <phoneticPr fontId="101" type="noConversion"/>
  </si>
  <si>
    <t>抽取当前</t>
    <phoneticPr fontId="101" type="noConversion"/>
  </si>
  <si>
    <t>碎片购买</t>
    <phoneticPr fontId="101" type="noConversion"/>
  </si>
  <si>
    <t>抽取坦克</t>
    <phoneticPr fontId="101" type="noConversion"/>
  </si>
  <si>
    <t>抽取部件</t>
    <phoneticPr fontId="101" type="noConversion"/>
  </si>
  <si>
    <t>部件价值</t>
    <phoneticPr fontId="101" type="noConversion"/>
  </si>
  <si>
    <t>钥匙</t>
    <phoneticPr fontId="101" type="noConversion"/>
  </si>
  <si>
    <t>军费</t>
    <phoneticPr fontId="101" type="noConversion"/>
  </si>
  <si>
    <t>在线奖励</t>
    <phoneticPr fontId="101" type="noConversion"/>
  </si>
  <si>
    <t>部件</t>
    <phoneticPr fontId="101" type="noConversion"/>
  </si>
  <si>
    <t>钥匙价值</t>
    <phoneticPr fontId="101" type="noConversion"/>
  </si>
  <si>
    <t>钥匙个数</t>
    <phoneticPr fontId="101" type="noConversion"/>
  </si>
  <si>
    <t>钥匙价值</t>
    <phoneticPr fontId="101" type="noConversion"/>
  </si>
  <si>
    <t>获得资源</t>
    <phoneticPr fontId="101" type="noConversion"/>
  </si>
  <si>
    <t>军费</t>
    <phoneticPr fontId="101" type="noConversion"/>
  </si>
  <si>
    <t>钥匙</t>
    <phoneticPr fontId="101" type="noConversion"/>
  </si>
  <si>
    <t>钻石</t>
    <phoneticPr fontId="101" type="noConversion"/>
  </si>
  <si>
    <t>钥匙宝箱</t>
    <phoneticPr fontId="101" type="noConversion"/>
  </si>
  <si>
    <t>活跃度宝箱</t>
    <phoneticPr fontId="101" type="noConversion"/>
  </si>
  <si>
    <t>资源价值</t>
    <phoneticPr fontId="101" type="noConversion"/>
  </si>
  <si>
    <t>产出总价值</t>
    <phoneticPr fontId="101" type="noConversion"/>
  </si>
  <si>
    <t>产出次数</t>
    <phoneticPr fontId="101" type="noConversion"/>
  </si>
  <si>
    <t>每次价值</t>
    <phoneticPr fontId="101" type="noConversion"/>
  </si>
  <si>
    <t>钻石</t>
    <phoneticPr fontId="101" type="noConversion"/>
  </si>
  <si>
    <t>钻石</t>
    <phoneticPr fontId="101" type="noConversion"/>
  </si>
  <si>
    <t>资源用途</t>
    <phoneticPr fontId="101" type="noConversion"/>
  </si>
  <si>
    <t>用途比例</t>
    <phoneticPr fontId="101" type="noConversion"/>
  </si>
  <si>
    <t>每日资源</t>
    <phoneticPr fontId="101" type="noConversion"/>
  </si>
  <si>
    <t>抽取坦克</t>
    <phoneticPr fontId="101" type="noConversion"/>
  </si>
  <si>
    <t>抽取部件</t>
    <phoneticPr fontId="101" type="noConversion"/>
  </si>
  <si>
    <t>部件升级</t>
    <phoneticPr fontId="101" type="noConversion"/>
  </si>
  <si>
    <t>坦克比例</t>
    <phoneticPr fontId="101" type="noConversion"/>
  </si>
  <si>
    <t>部件比例</t>
    <phoneticPr fontId="101" type="noConversion"/>
  </si>
  <si>
    <t>产出定位</t>
    <phoneticPr fontId="101" type="noConversion"/>
  </si>
  <si>
    <t>部件</t>
    <phoneticPr fontId="101" type="noConversion"/>
  </si>
  <si>
    <t>内容价值分配比例</t>
    <phoneticPr fontId="101" type="noConversion"/>
  </si>
  <si>
    <t>宝箱分类</t>
    <phoneticPr fontId="101" type="noConversion"/>
  </si>
  <si>
    <t>碎片+整体</t>
    <phoneticPr fontId="101" type="noConversion"/>
  </si>
  <si>
    <t>只有碎片</t>
    <phoneticPr fontId="101" type="noConversion"/>
  </si>
  <si>
    <t>标准比例</t>
    <phoneticPr fontId="101" type="noConversion"/>
  </si>
  <si>
    <t>M道具种类</t>
    <phoneticPr fontId="101" type="noConversion"/>
  </si>
  <si>
    <t>总计比例</t>
    <phoneticPr fontId="101" type="noConversion"/>
  </si>
  <si>
    <t>部件</t>
    <phoneticPr fontId="101" type="noConversion"/>
  </si>
  <si>
    <t>小喷 CD15秒 持续时间1秒 加速度增加6倍 速度上限增加2倍</t>
  </si>
  <si>
    <t>抓钩 CD15秒</t>
  </si>
  <si>
    <t>主动防御 CD15秒 持续时间5秒 减伤50%</t>
  </si>
  <si>
    <t>罐桶炸弹 CD30秒 爆炸范围2米半径 目标血量10%伤害</t>
  </si>
  <si>
    <t>微型导弹 CD30秒 命中目标和飞行到最远距离时均范围伤害 爆炸范围2米半径 目标血量7%伤害</t>
  </si>
  <si>
    <t>改成15S累计1个,最多累计3个.初始2个</t>
    <phoneticPr fontId="101" type="noConversion"/>
  </si>
  <si>
    <r>
      <t>战术维修 CD30秒 能量上限100 使用技能扣除20 每点恢复0.5%血量上限值的血量 每帧消耗1点能量 释放距离30 中断距离60 连线经过墙会断 使用技能不扣除能量,中断技能扣除剩余能量的50%</t>
    </r>
    <r>
      <rPr>
        <sz val="9"/>
        <color theme="1"/>
        <rFont val="微软雅黑"/>
        <family val="2"/>
        <charset val="134"/>
      </rPr>
      <t>(实际实现为0.25s治疗2%血量或者造成1.5%伤害)</t>
    </r>
    <phoneticPr fontId="101" type="noConversion"/>
  </si>
  <si>
    <t>部件升级</t>
    <phoneticPr fontId="101" type="noConversion"/>
  </si>
  <si>
    <t>部件品质</t>
    <phoneticPr fontId="101" type="noConversion"/>
  </si>
  <si>
    <t>基础价值</t>
    <phoneticPr fontId="101" type="noConversion"/>
  </si>
  <si>
    <t>出售系数</t>
    <phoneticPr fontId="101" type="noConversion"/>
  </si>
  <si>
    <t>出售价格</t>
    <phoneticPr fontId="101" type="noConversion"/>
  </si>
  <si>
    <t>部件宝箱1</t>
  </si>
  <si>
    <t>部件宝箱2</t>
  </si>
  <si>
    <t>部件宝箱3</t>
  </si>
  <si>
    <t>部件宝箱4</t>
  </si>
  <si>
    <t>部件宝箱5</t>
  </si>
  <si>
    <t>部件宝箱6</t>
  </si>
  <si>
    <t>部件宝箱7</t>
  </si>
  <si>
    <t>部件宝箱8</t>
  </si>
  <si>
    <t>部件宝箱9</t>
  </si>
  <si>
    <t>部件宝箱10</t>
  </si>
  <si>
    <t>碎片宝箱1</t>
  </si>
  <si>
    <t>碎片宝箱2</t>
  </si>
  <si>
    <t>碎片宝箱3</t>
  </si>
  <si>
    <t>碎片宝箱4</t>
  </si>
  <si>
    <t>碎片宝箱5</t>
  </si>
  <si>
    <t>碎片宝箱6</t>
  </si>
  <si>
    <t>碎片宝箱7</t>
  </si>
  <si>
    <t>碎片宝箱8</t>
  </si>
  <si>
    <t>碎片宝箱9</t>
  </si>
  <si>
    <t>碎片宝箱10</t>
  </si>
  <si>
    <t>宝箱名称</t>
    <phoneticPr fontId="101" type="noConversion"/>
  </si>
  <si>
    <t>宝箱ID</t>
    <phoneticPr fontId="101" type="noConversion"/>
  </si>
  <si>
    <t>普通宝箱1</t>
  </si>
  <si>
    <t>普通宝箱2</t>
  </si>
  <si>
    <t>普通宝箱3</t>
  </si>
  <si>
    <t>普通宝箱4</t>
  </si>
  <si>
    <t>普通宝箱5</t>
  </si>
  <si>
    <t>普通宝箱6</t>
  </si>
  <si>
    <t>普通宝箱7</t>
  </si>
  <si>
    <t>普通宝箱8</t>
  </si>
  <si>
    <t>普通宝箱9</t>
  </si>
  <si>
    <t>普通宝箱10</t>
  </si>
  <si>
    <t>高级宝箱1</t>
  </si>
  <si>
    <t>高级宝箱2</t>
  </si>
  <si>
    <t>高级宝箱3</t>
  </si>
  <si>
    <t>高级宝箱4</t>
  </si>
  <si>
    <t>高级宝箱5</t>
  </si>
  <si>
    <t>高级宝箱6</t>
  </si>
  <si>
    <t>高级宝箱7</t>
  </si>
  <si>
    <t>高级宝箱8</t>
  </si>
  <si>
    <t>高级宝箱9</t>
  </si>
  <si>
    <t>高级宝箱10</t>
  </si>
  <si>
    <t>稀有宝箱1</t>
  </si>
  <si>
    <t>稀有宝箱2</t>
  </si>
  <si>
    <t>稀有宝箱3</t>
  </si>
  <si>
    <t>稀有宝箱4</t>
  </si>
  <si>
    <t>稀有宝箱5</t>
  </si>
  <si>
    <t>稀有宝箱6</t>
  </si>
  <si>
    <t>稀有宝箱7</t>
  </si>
  <si>
    <t>稀有宝箱8</t>
  </si>
  <si>
    <t>稀有宝箱9</t>
  </si>
  <si>
    <t>稀有宝箱10</t>
  </si>
  <si>
    <t>黄金宝箱1</t>
  </si>
  <si>
    <t>黄金宝箱2</t>
  </si>
  <si>
    <t>黄金宝箱3</t>
  </si>
  <si>
    <t>黄金宝箱4</t>
  </si>
  <si>
    <t>黄金宝箱5</t>
  </si>
  <si>
    <t>黄金宝箱6</t>
  </si>
  <si>
    <t>黄金宝箱7</t>
  </si>
  <si>
    <t>黄金宝箱8</t>
  </si>
  <si>
    <t>黄金宝箱9</t>
  </si>
  <si>
    <t>黄金宝箱10</t>
  </si>
  <si>
    <t>奖励数量</t>
  </si>
  <si>
    <t>道具ID</t>
    <phoneticPr fontId="101" type="noConversion"/>
  </si>
  <si>
    <t>钥匙槽</t>
    <phoneticPr fontId="101" type="noConversion"/>
  </si>
  <si>
    <t>奖励内容</t>
    <phoneticPr fontId="101" type="noConversion"/>
  </si>
  <si>
    <t>奖励ID</t>
    <phoneticPr fontId="101" type="noConversion"/>
  </si>
  <si>
    <t>坦克升星</t>
    <phoneticPr fontId="101" type="noConversion"/>
  </si>
  <si>
    <t>部件升星</t>
    <phoneticPr fontId="101" type="noConversion"/>
  </si>
  <si>
    <t>资源比例</t>
    <phoneticPr fontId="101" type="noConversion"/>
  </si>
  <si>
    <t>部件等级</t>
    <phoneticPr fontId="101" type="noConversion"/>
  </si>
  <si>
    <t>坦克伤害</t>
    <phoneticPr fontId="101" type="noConversion"/>
  </si>
  <si>
    <t>坦克装甲</t>
    <phoneticPr fontId="101" type="noConversion"/>
  </si>
  <si>
    <t>部件品阶</t>
    <phoneticPr fontId="101" type="noConversion"/>
  </si>
  <si>
    <t>伤害等级</t>
    <phoneticPr fontId="101" type="noConversion"/>
  </si>
  <si>
    <t>装甲等级</t>
    <phoneticPr fontId="101" type="noConversion"/>
  </si>
  <si>
    <t>生命等级</t>
    <phoneticPr fontId="101" type="noConversion"/>
  </si>
  <si>
    <t>部件品阶</t>
    <phoneticPr fontId="101" type="noConversion"/>
  </si>
  <si>
    <t>坦克伤害</t>
    <phoneticPr fontId="101" type="noConversion"/>
  </si>
  <si>
    <t>坦克装甲</t>
    <phoneticPr fontId="101" type="noConversion"/>
  </si>
  <si>
    <t>部件升阶</t>
    <phoneticPr fontId="101" type="noConversion"/>
  </si>
  <si>
    <t>解锁部件</t>
    <phoneticPr fontId="101" type="noConversion"/>
  </si>
  <si>
    <t>部件等级</t>
    <phoneticPr fontId="101" type="noConversion"/>
  </si>
  <si>
    <t>部件品阶</t>
    <phoneticPr fontId="101" type="noConversion"/>
  </si>
  <si>
    <t>解锁部件</t>
    <phoneticPr fontId="101" type="noConversion"/>
  </si>
  <si>
    <t>T1</t>
    <phoneticPr fontId="101" type="noConversion"/>
  </si>
  <si>
    <t>T1</t>
    <phoneticPr fontId="101" type="noConversion"/>
  </si>
  <si>
    <t>T2</t>
    <phoneticPr fontId="101" type="noConversion"/>
  </si>
  <si>
    <t>T2</t>
    <phoneticPr fontId="101" type="noConversion"/>
  </si>
  <si>
    <t>T2</t>
    <phoneticPr fontId="101" type="noConversion"/>
  </si>
  <si>
    <t>T3</t>
    <phoneticPr fontId="101" type="noConversion"/>
  </si>
  <si>
    <t>T3</t>
    <phoneticPr fontId="101" type="noConversion"/>
  </si>
  <si>
    <t>T3</t>
    <phoneticPr fontId="101" type="noConversion"/>
  </si>
  <si>
    <t>T4</t>
    <phoneticPr fontId="101" type="noConversion"/>
  </si>
  <si>
    <t>T4</t>
    <phoneticPr fontId="101" type="noConversion"/>
  </si>
  <si>
    <t>T4</t>
    <phoneticPr fontId="101" type="noConversion"/>
  </si>
  <si>
    <t>T221</t>
  </si>
  <si>
    <t>T441</t>
  </si>
  <si>
    <t>钥匙售卖</t>
    <phoneticPr fontId="101" type="noConversion"/>
  </si>
  <si>
    <t>每钻科技点</t>
    <phoneticPr fontId="101" type="noConversion"/>
  </si>
  <si>
    <t>调整系数</t>
    <phoneticPr fontId="101" type="noConversion"/>
  </si>
  <si>
    <t>每钻军费</t>
    <phoneticPr fontId="101" type="noConversion"/>
  </si>
  <si>
    <t>转化系数</t>
    <phoneticPr fontId="101" type="noConversion"/>
  </si>
  <si>
    <t>比赛军费</t>
    <phoneticPr fontId="101" type="noConversion"/>
  </si>
  <si>
    <t>胜败军费</t>
    <phoneticPr fontId="101" type="noConversion"/>
  </si>
  <si>
    <t>排名军费</t>
    <phoneticPr fontId="101" type="noConversion"/>
  </si>
  <si>
    <t>模拟战力</t>
    <phoneticPr fontId="101" type="noConversion"/>
  </si>
  <si>
    <t>模拟战力</t>
    <phoneticPr fontId="101" type="noConversion"/>
  </si>
  <si>
    <t>开方(坦克伤害*射速*坦克血量/2+(最大穿透力+最小穿透力)/2*坦克装甲*100)</t>
    <phoneticPr fontId="101" type="noConversion"/>
  </si>
  <si>
    <r>
      <t>sqrt(attack*onminuteShootSpeed*HP/2+(maxpower+minpower)/2*</t>
    </r>
    <r>
      <rPr>
        <sz val="9"/>
        <color theme="1"/>
        <rFont val="微软雅黑"/>
        <family val="2"/>
        <charset val="134"/>
      </rPr>
      <t>armor</t>
    </r>
    <r>
      <rPr>
        <sz val="9"/>
        <color theme="1"/>
        <rFont val="微软雅黑"/>
        <family val="2"/>
        <charset val="134"/>
      </rPr>
      <t>*100</t>
    </r>
    <r>
      <rPr>
        <sz val="9"/>
        <color theme="1"/>
        <rFont val="微软雅黑"/>
        <family val="2"/>
        <charset val="134"/>
      </rPr>
      <t>)</t>
    </r>
    <phoneticPr fontId="101" type="noConversion"/>
  </si>
  <si>
    <t>紫晶宝箱1</t>
  </si>
  <si>
    <t>紫晶宝箱2</t>
  </si>
  <si>
    <t>紫晶宝箱3</t>
  </si>
  <si>
    <t>紫晶宝箱4</t>
  </si>
  <si>
    <t>紫晶宝箱5</t>
  </si>
  <si>
    <t>紫晶宝箱6</t>
  </si>
  <si>
    <t>紫晶宝箱7</t>
  </si>
  <si>
    <t>紫晶宝箱8</t>
  </si>
  <si>
    <t>紫晶宝箱9</t>
  </si>
  <si>
    <t>紫晶宝箱10</t>
  </si>
  <si>
    <t>史诗宝箱1</t>
  </si>
  <si>
    <t>史诗宝箱2</t>
  </si>
  <si>
    <t>史诗宝箱3</t>
  </si>
  <si>
    <t>史诗宝箱4</t>
  </si>
  <si>
    <t>史诗宝箱5</t>
  </si>
  <si>
    <t>史诗宝箱6</t>
  </si>
  <si>
    <t>史诗宝箱7</t>
  </si>
  <si>
    <t>史诗宝箱8</t>
  </si>
  <si>
    <t>史诗宝箱9</t>
  </si>
  <si>
    <t>史诗宝箱10</t>
  </si>
  <si>
    <t>部件宝箱0</t>
    <phoneticPr fontId="101" type="noConversion"/>
  </si>
  <si>
    <t>坦克1</t>
    <phoneticPr fontId="101" type="noConversion"/>
  </si>
  <si>
    <t>坦克2</t>
    <phoneticPr fontId="101" type="noConversion"/>
  </si>
  <si>
    <t>坦克3</t>
    <phoneticPr fontId="101" type="noConversion"/>
  </si>
  <si>
    <t>坦克1星级</t>
    <phoneticPr fontId="101" type="noConversion"/>
  </si>
  <si>
    <t>坦克2星级</t>
  </si>
  <si>
    <t>坦克3星级</t>
  </si>
  <si>
    <t>坦克1部件</t>
    <phoneticPr fontId="101" type="noConversion"/>
  </si>
  <si>
    <t>坦克2部件</t>
  </si>
  <si>
    <t>坦克3部件</t>
  </si>
  <si>
    <t>1部件等级</t>
    <phoneticPr fontId="101" type="noConversion"/>
  </si>
  <si>
    <t>2部件等级</t>
  </si>
  <si>
    <t>3部件等级</t>
  </si>
  <si>
    <t>分段</t>
    <phoneticPr fontId="101" type="noConversion"/>
  </si>
  <si>
    <t>标准战力</t>
    <phoneticPr fontId="101" type="noConversion"/>
  </si>
  <si>
    <t>坦克1细类</t>
    <phoneticPr fontId="101" type="noConversion"/>
  </si>
  <si>
    <t>坦克2细类</t>
  </si>
  <si>
    <t>坦克3细类</t>
  </si>
  <si>
    <t>1部件数量</t>
    <phoneticPr fontId="101" type="noConversion"/>
  </si>
  <si>
    <t>2部件数量</t>
  </si>
  <si>
    <t>3部件数量</t>
  </si>
  <si>
    <t>坦克1战力</t>
    <phoneticPr fontId="101" type="noConversion"/>
  </si>
  <si>
    <t>坦克2战力</t>
    <phoneticPr fontId="101" type="noConversion"/>
  </si>
  <si>
    <t>坦克3战力</t>
    <phoneticPr fontId="101" type="noConversion"/>
  </si>
  <si>
    <t>T111</t>
    <phoneticPr fontId="101" type="noConversion"/>
  </si>
  <si>
    <t>二号</t>
    <phoneticPr fontId="101" type="noConversion"/>
  </si>
  <si>
    <t>T112</t>
    <phoneticPr fontId="101" type="noConversion"/>
  </si>
  <si>
    <t>T222</t>
    <phoneticPr fontId="101" type="noConversion"/>
  </si>
  <si>
    <t>T222</t>
    <phoneticPr fontId="101" type="noConversion"/>
  </si>
  <si>
    <t>T223</t>
    <phoneticPr fontId="101" type="noConversion"/>
  </si>
  <si>
    <t>T223</t>
    <phoneticPr fontId="101" type="noConversion"/>
  </si>
  <si>
    <t>T233</t>
    <phoneticPr fontId="101" type="noConversion"/>
  </si>
  <si>
    <t>T333</t>
    <phoneticPr fontId="101" type="noConversion"/>
  </si>
  <si>
    <t>T334</t>
    <phoneticPr fontId="101" type="noConversion"/>
  </si>
  <si>
    <t>T334</t>
    <phoneticPr fontId="101" type="noConversion"/>
  </si>
  <si>
    <t>T344</t>
    <phoneticPr fontId="101" type="noConversion"/>
  </si>
  <si>
    <t>T441</t>
    <phoneticPr fontId="101" type="noConversion"/>
  </si>
  <si>
    <t>T442</t>
    <phoneticPr fontId="101" type="noConversion"/>
  </si>
  <si>
    <t>T443</t>
    <phoneticPr fontId="101" type="noConversion"/>
  </si>
  <si>
    <t>T113</t>
    <phoneticPr fontId="101" type="noConversion"/>
  </si>
  <si>
    <t>T443</t>
    <phoneticPr fontId="101" type="noConversion"/>
  </si>
  <si>
    <t>T444</t>
    <phoneticPr fontId="101" type="noConversion"/>
  </si>
  <si>
    <t>T444</t>
    <phoneticPr fontId="101" type="noConversion"/>
  </si>
  <si>
    <t>T454</t>
    <phoneticPr fontId="101" type="noConversion"/>
  </si>
  <si>
    <t>百夫长</t>
    <phoneticPr fontId="101" type="noConversion"/>
  </si>
  <si>
    <t>T334</t>
    <phoneticPr fontId="101" type="noConversion"/>
  </si>
  <si>
    <t>T112</t>
    <phoneticPr fontId="101" type="noConversion"/>
  </si>
  <si>
    <t>T112</t>
    <phoneticPr fontId="101" type="noConversion"/>
  </si>
  <si>
    <t>T111</t>
    <phoneticPr fontId="101" type="noConversion"/>
  </si>
  <si>
    <t>T112</t>
    <phoneticPr fontId="101" type="noConversion"/>
  </si>
  <si>
    <t>T113</t>
    <phoneticPr fontId="101" type="noConversion"/>
  </si>
  <si>
    <t>T113</t>
    <phoneticPr fontId="101" type="noConversion"/>
  </si>
  <si>
    <t>T113</t>
    <phoneticPr fontId="101" type="noConversion"/>
  </si>
  <si>
    <t>T223</t>
    <phoneticPr fontId="101" type="noConversion"/>
  </si>
  <si>
    <t>T223</t>
    <phoneticPr fontId="101" type="noConversion"/>
  </si>
  <si>
    <t>T223</t>
    <phoneticPr fontId="101" type="noConversion"/>
  </si>
  <si>
    <t>军费值</t>
    <phoneticPr fontId="101" type="noConversion"/>
  </si>
  <si>
    <t>军费系数</t>
    <phoneticPr fontId="101" type="noConversion"/>
  </si>
  <si>
    <t>军费天数</t>
    <phoneticPr fontId="101" type="noConversion"/>
  </si>
  <si>
    <r>
      <t>R</t>
    </r>
    <r>
      <rPr>
        <sz val="9"/>
        <color theme="1"/>
        <rFont val="微软雅黑"/>
        <family val="2"/>
        <charset val="134"/>
      </rPr>
      <t>ank</t>
    </r>
    <phoneticPr fontId="101" type="noConversion"/>
  </si>
  <si>
    <t>对应坦克</t>
    <phoneticPr fontId="101" type="noConversion"/>
  </si>
  <si>
    <t>军费基数</t>
    <phoneticPr fontId="101" type="noConversion"/>
  </si>
  <si>
    <t>中坦</t>
    <phoneticPr fontId="101" type="noConversion"/>
  </si>
  <si>
    <t>描边</t>
    <phoneticPr fontId="101" type="noConversion"/>
  </si>
  <si>
    <t>升星总价值</t>
    <phoneticPr fontId="101" type="noConversion"/>
  </si>
  <si>
    <t>获得价值</t>
    <phoneticPr fontId="101" type="noConversion"/>
  </si>
  <si>
    <t>总消耗</t>
    <phoneticPr fontId="101" type="noConversion"/>
  </si>
  <si>
    <t>总消耗</t>
    <phoneticPr fontId="101" type="noConversion"/>
  </si>
  <si>
    <t>经验值</t>
    <phoneticPr fontId="101" type="noConversion"/>
  </si>
  <si>
    <t>总经验值</t>
    <phoneticPr fontId="101" type="noConversion"/>
  </si>
  <si>
    <t>三坦经验值</t>
    <phoneticPr fontId="101" type="noConversion"/>
  </si>
  <si>
    <t>图鉴等级</t>
    <phoneticPr fontId="101" type="noConversion"/>
  </si>
  <si>
    <t>增加属性</t>
    <phoneticPr fontId="101" type="noConversion"/>
  </si>
  <si>
    <t>标准经验</t>
    <phoneticPr fontId="101" type="noConversion"/>
  </si>
  <si>
    <t>标准数</t>
    <phoneticPr fontId="101" type="noConversion"/>
  </si>
  <si>
    <t>排序</t>
    <phoneticPr fontId="101" type="noConversion"/>
  </si>
  <si>
    <t>双倍钥匙</t>
    <phoneticPr fontId="101" type="noConversion"/>
  </si>
  <si>
    <t>加速道具</t>
    <phoneticPr fontId="101" type="noConversion"/>
  </si>
  <si>
    <t>出售宝箱</t>
    <phoneticPr fontId="101" type="noConversion"/>
  </si>
  <si>
    <t>部件宝箱</t>
    <phoneticPr fontId="101" type="noConversion"/>
  </si>
  <si>
    <t>钻石</t>
    <phoneticPr fontId="101" type="noConversion"/>
  </si>
  <si>
    <t>特定碎片</t>
    <phoneticPr fontId="101" type="noConversion"/>
  </si>
  <si>
    <t>特定部件</t>
    <phoneticPr fontId="101" type="noConversion"/>
  </si>
  <si>
    <t>图鉴经验</t>
    <phoneticPr fontId="101" type="noConversion"/>
  </si>
  <si>
    <t>双倍钥匙</t>
    <phoneticPr fontId="101" type="noConversion"/>
  </si>
  <si>
    <t>可推送内容</t>
    <phoneticPr fontId="101" type="noConversion"/>
  </si>
  <si>
    <t>调整值</t>
    <phoneticPr fontId="101" type="noConversion"/>
  </si>
  <si>
    <t>联赛等级</t>
  </si>
  <si>
    <t>部件解锁节奏</t>
    <phoneticPr fontId="101" type="noConversion"/>
  </si>
  <si>
    <t>部件1</t>
    <phoneticPr fontId="101" type="noConversion"/>
  </si>
  <si>
    <t>部件2</t>
    <phoneticPr fontId="101" type="noConversion"/>
  </si>
  <si>
    <t>双倍钥匙</t>
    <phoneticPr fontId="101" type="noConversion"/>
  </si>
  <si>
    <t>双钥售卖</t>
    <phoneticPr fontId="101" type="noConversion"/>
  </si>
  <si>
    <t>双钥价格</t>
    <phoneticPr fontId="101" type="noConversion"/>
  </si>
  <si>
    <t>双钥天数</t>
    <phoneticPr fontId="101" type="noConversion"/>
  </si>
  <si>
    <t>双钥数量</t>
    <phoneticPr fontId="101" type="noConversion"/>
  </si>
  <si>
    <t>打折系数</t>
    <phoneticPr fontId="101" type="noConversion"/>
  </si>
  <si>
    <t>实际价格</t>
    <phoneticPr fontId="101" type="noConversion"/>
  </si>
  <si>
    <t>每日钥匙</t>
    <phoneticPr fontId="101" type="noConversion"/>
  </si>
  <si>
    <t>时间/钻</t>
  </si>
  <si>
    <t>时间长度(分)</t>
    <phoneticPr fontId="101" type="noConversion"/>
  </si>
  <si>
    <t>打折系数</t>
    <phoneticPr fontId="101" type="noConversion"/>
  </si>
  <si>
    <t>加速倍数</t>
    <phoneticPr fontId="101" type="noConversion"/>
  </si>
  <si>
    <t>打折系数</t>
    <phoneticPr fontId="101" type="noConversion"/>
  </si>
  <si>
    <t>时间长度(分)</t>
    <phoneticPr fontId="101" type="noConversion"/>
  </si>
  <si>
    <t>加速倍数</t>
    <phoneticPr fontId="101" type="noConversion"/>
  </si>
  <si>
    <t>加速时间</t>
    <phoneticPr fontId="101" type="noConversion"/>
  </si>
  <si>
    <t>现实时间</t>
    <phoneticPr fontId="101" type="noConversion"/>
  </si>
  <si>
    <t>秒价值</t>
    <phoneticPr fontId="101" type="noConversion"/>
  </si>
  <si>
    <t>现实价值</t>
    <phoneticPr fontId="101" type="noConversion"/>
  </si>
  <si>
    <t>时间系数</t>
    <phoneticPr fontId="101" type="noConversion"/>
  </si>
  <si>
    <t>主道具</t>
    <phoneticPr fontId="101" type="noConversion"/>
  </si>
  <si>
    <t>辅道具1</t>
    <phoneticPr fontId="101" type="noConversion"/>
  </si>
  <si>
    <t>辅道具2</t>
    <phoneticPr fontId="101" type="noConversion"/>
  </si>
  <si>
    <t>单价1</t>
    <phoneticPr fontId="101" type="noConversion"/>
  </si>
  <si>
    <t>单价2</t>
  </si>
  <si>
    <t>单价3</t>
  </si>
  <si>
    <t>数量1</t>
    <phoneticPr fontId="101" type="noConversion"/>
  </si>
  <si>
    <t>普通宝箱</t>
    <phoneticPr fontId="101" type="noConversion"/>
  </si>
  <si>
    <t>高级宝箱</t>
    <phoneticPr fontId="101" type="noConversion"/>
  </si>
  <si>
    <t>史诗宝箱</t>
    <phoneticPr fontId="101" type="noConversion"/>
  </si>
  <si>
    <t>道具名称</t>
    <phoneticPr fontId="101" type="noConversion"/>
  </si>
  <si>
    <r>
      <t>3倍加速</t>
    </r>
    <r>
      <rPr>
        <sz val="9"/>
        <color theme="1"/>
        <rFont val="微软雅黑"/>
        <family val="2"/>
        <charset val="134"/>
      </rPr>
      <t>1</t>
    </r>
    <phoneticPr fontId="101" type="noConversion"/>
  </si>
  <si>
    <t>5倍加速2</t>
  </si>
  <si>
    <t>8倍加速2</t>
  </si>
  <si>
    <r>
      <t>3倍加速</t>
    </r>
    <r>
      <rPr>
        <sz val="9"/>
        <color theme="1"/>
        <rFont val="微软雅黑"/>
        <family val="2"/>
        <charset val="134"/>
      </rPr>
      <t>2</t>
    </r>
  </si>
  <si>
    <t>5倍加速1</t>
    <phoneticPr fontId="101" type="noConversion"/>
  </si>
  <si>
    <t>5倍加速3</t>
  </si>
  <si>
    <t>8倍加速1</t>
    <phoneticPr fontId="101" type="noConversion"/>
  </si>
  <si>
    <t>8倍加速3</t>
  </si>
  <si>
    <t>钻石</t>
    <phoneticPr fontId="101" type="noConversion"/>
  </si>
  <si>
    <t>军费</t>
    <phoneticPr fontId="101" type="noConversion"/>
  </si>
  <si>
    <t>双倍钥匙</t>
    <phoneticPr fontId="101" type="noConversion"/>
  </si>
  <si>
    <t>美金</t>
    <phoneticPr fontId="101" type="noConversion"/>
  </si>
  <si>
    <t>部件手宝箱1</t>
  </si>
  <si>
    <t>部件手宝箱2</t>
  </si>
  <si>
    <t>部件手宝箱3</t>
  </si>
  <si>
    <t>部件手宝箱4</t>
  </si>
  <si>
    <t>部件手宝箱5</t>
  </si>
  <si>
    <t>部件手宝箱6</t>
  </si>
  <si>
    <t>部件手宝箱7</t>
  </si>
  <si>
    <t>部件手宝箱8</t>
  </si>
  <si>
    <t>部件手宝箱9</t>
  </si>
  <si>
    <t>部件手宝箱10</t>
  </si>
  <si>
    <t>碎片手宝箱1</t>
  </si>
  <si>
    <t>碎片手宝箱2</t>
  </si>
  <si>
    <t>碎片手宝箱3</t>
  </si>
  <si>
    <t>碎片手宝箱4</t>
  </si>
  <si>
    <t>碎片手宝箱5</t>
  </si>
  <si>
    <t>碎片手宝箱6</t>
  </si>
  <si>
    <t>碎片手宝箱7</t>
  </si>
  <si>
    <t>碎片手宝箱8</t>
  </si>
  <si>
    <t>碎片手宝箱9</t>
  </si>
  <si>
    <t>碎片手宝箱10</t>
  </si>
  <si>
    <t>5倍加速1</t>
  </si>
  <si>
    <t>雷诺FT碎片</t>
  </si>
  <si>
    <t>二号碎片</t>
  </si>
  <si>
    <t>Puma碎片</t>
  </si>
  <si>
    <t>35(t)碎片</t>
  </si>
  <si>
    <t>十字军碎片</t>
  </si>
  <si>
    <t>AMX-13碎片</t>
  </si>
  <si>
    <t>霞飞碎片</t>
  </si>
  <si>
    <t>M-41碎片</t>
  </si>
  <si>
    <t>BMP-3碎片</t>
  </si>
  <si>
    <t>59式碎片</t>
  </si>
  <si>
    <t>Stuart碎片</t>
  </si>
  <si>
    <t>T-34碎片</t>
  </si>
  <si>
    <t>四号碎片</t>
  </si>
  <si>
    <t>玛蒂尔达碎片</t>
  </si>
  <si>
    <t>谢尔曼碎片</t>
  </si>
  <si>
    <t>彗星碎片</t>
  </si>
  <si>
    <t>M-48碎片</t>
  </si>
  <si>
    <t>潘兴碎片</t>
  </si>
  <si>
    <t>百夫长碎片</t>
  </si>
  <si>
    <t>挑战者碎片</t>
  </si>
  <si>
    <t>B-1碎片</t>
  </si>
  <si>
    <t>KV-1碎片</t>
  </si>
  <si>
    <t>丘吉尔碎片</t>
  </si>
  <si>
    <t>黑豹碎片</t>
  </si>
  <si>
    <t>虎式碎片</t>
  </si>
  <si>
    <t>KV-2碎片</t>
  </si>
  <si>
    <t>征服者碎片</t>
  </si>
  <si>
    <t>IS-4碎片</t>
  </si>
  <si>
    <t>T-32碎片</t>
  </si>
  <si>
    <t>M1A2碎片</t>
  </si>
  <si>
    <t>道具名称</t>
    <phoneticPr fontId="101" type="noConversion"/>
  </si>
  <si>
    <t>道具ID</t>
    <phoneticPr fontId="101" type="noConversion"/>
  </si>
  <si>
    <t>3倍加速1</t>
  </si>
  <si>
    <t>3倍加速2</t>
  </si>
  <si>
    <t>8倍加速1</t>
  </si>
  <si>
    <t>resource_icon_diamond</t>
  </si>
  <si>
    <t>resource_icon_fund</t>
  </si>
  <si>
    <t>public_icon_handbook_exp</t>
  </si>
  <si>
    <t>resource_icon_techpoint</t>
  </si>
  <si>
    <t>resource_icon_key</t>
  </si>
  <si>
    <t>public_icon_league_legion</t>
  </si>
  <si>
    <t>public_icon_shard</t>
  </si>
  <si>
    <t>public_icon_handbook_unlock_icon</t>
  </si>
  <si>
    <t>resource_icon_doublekey</t>
  </si>
  <si>
    <t>t32</t>
  </si>
  <si>
    <t>chest_lv4_icon</t>
  </si>
  <si>
    <t>chest_activation_lv4_icon</t>
  </si>
  <si>
    <t>chest_activation_lv2_icon</t>
  </si>
  <si>
    <t>chest_lv1_icon</t>
  </si>
  <si>
    <t>chest_lv2_icon</t>
  </si>
  <si>
    <t>chest_lv3_icon</t>
  </si>
  <si>
    <t>chest_lv5_icon</t>
  </si>
  <si>
    <t>chest_lv6_icon</t>
  </si>
  <si>
    <t>ii-rd1</t>
  </si>
  <si>
    <t>pziii-rd2</t>
  </si>
  <si>
    <t>sdkfz234-rd1</t>
  </si>
  <si>
    <t>sdkfz234-rd2</t>
  </si>
  <si>
    <t>35t-rd1</t>
  </si>
  <si>
    <t>35t-rd2</t>
  </si>
  <si>
    <t>crusader-rd1</t>
  </si>
  <si>
    <t>crusader-rd2</t>
  </si>
  <si>
    <t>amx13-rd1</t>
  </si>
  <si>
    <t>amx13-rd2</t>
  </si>
  <si>
    <t>m24-rd1</t>
  </si>
  <si>
    <t>m24-rd2</t>
  </si>
  <si>
    <t>m41-rd1</t>
  </si>
  <si>
    <t>m41-rd2</t>
  </si>
  <si>
    <t>bmp-3-rd1</t>
  </si>
  <si>
    <t>bmp-3-rd2</t>
  </si>
  <si>
    <t>59-rd1</t>
  </si>
  <si>
    <t>59-rd2</t>
  </si>
  <si>
    <t>t34-rd1</t>
  </si>
  <si>
    <t>t34-rd2</t>
  </si>
  <si>
    <t>iv-rd1</t>
  </si>
  <si>
    <t>iv-rd2</t>
  </si>
  <si>
    <t>mathilda-rd1</t>
  </si>
  <si>
    <t>mathilda-rd2</t>
  </si>
  <si>
    <t>m4-rd1</t>
  </si>
  <si>
    <t>m4-rd2</t>
  </si>
  <si>
    <t>comet-rd1</t>
  </si>
  <si>
    <t>comet-rd2</t>
  </si>
  <si>
    <t>m48-rd1</t>
  </si>
  <si>
    <t>m48-rd2</t>
  </si>
  <si>
    <t>m26-rd1</t>
  </si>
  <si>
    <t>m26-rd2</t>
  </si>
  <si>
    <t>centurion-rd1</t>
  </si>
  <si>
    <t>centurion-rd2</t>
  </si>
  <si>
    <t>challenger1-rd1</t>
  </si>
  <si>
    <t>challenger1-rd2</t>
  </si>
  <si>
    <t>b1-rd1</t>
  </si>
  <si>
    <t>b1-rd2</t>
  </si>
  <si>
    <t>churchill-rd1</t>
  </si>
  <si>
    <t>churchill-rd2</t>
  </si>
  <si>
    <t>panzer-v-rd1</t>
  </si>
  <si>
    <t>tiger-e-rd2</t>
  </si>
  <si>
    <t>tiger-rd1</t>
  </si>
  <si>
    <t>tiger-rd2</t>
  </si>
  <si>
    <t>kv2-rd1</t>
  </si>
  <si>
    <t>kv2-rd2</t>
  </si>
  <si>
    <t>fv214-rd1</t>
  </si>
  <si>
    <t>fv214-rd2</t>
  </si>
  <si>
    <t>is4-rd1</t>
  </si>
  <si>
    <t>is4-rd2</t>
  </si>
  <si>
    <t>t32-rd1</t>
  </si>
  <si>
    <t>t32-rd2</t>
  </si>
  <si>
    <t>m1a2-rd1</t>
  </si>
  <si>
    <t>m1a2-rd2</t>
  </si>
  <si>
    <t>tank_part_icon_1_1</t>
  </si>
  <si>
    <t>tank_part_icon_2_1</t>
  </si>
  <si>
    <t>tank_part_icon_3_1</t>
  </si>
  <si>
    <t>tank_part_icon_4_1</t>
  </si>
  <si>
    <t>tank_part_icon_5_1</t>
  </si>
  <si>
    <t>tank_part_icon_6_1</t>
  </si>
  <si>
    <t>tank_part_icon_1_2</t>
  </si>
  <si>
    <t>tank_part_icon_2_2</t>
  </si>
  <si>
    <t>tank_part_icon_3_2</t>
  </si>
  <si>
    <t>tank_part_icon_4_2</t>
  </si>
  <si>
    <t>tank_part_icon_5_2</t>
  </si>
  <si>
    <t>tank_part_icon_6_2</t>
  </si>
  <si>
    <t>tank_part_icon_1_3</t>
  </si>
  <si>
    <t>tank_part_icon_2_3</t>
  </si>
  <si>
    <t>tank_part_icon_3_3</t>
  </si>
  <si>
    <t>tank_part_icon_4_3</t>
  </si>
  <si>
    <t>tank_part_icon_5_3</t>
  </si>
  <si>
    <t>tank_part_icon_6_3</t>
  </si>
  <si>
    <t>resource_icon_quicken</t>
  </si>
  <si>
    <t>图标ID</t>
    <phoneticPr fontId="101" type="noConversion"/>
  </si>
  <si>
    <t>价格</t>
    <phoneticPr fontId="101" type="noConversion"/>
  </si>
  <si>
    <r>
      <t>3倍加速</t>
    </r>
    <r>
      <rPr>
        <sz val="9"/>
        <color theme="1"/>
        <rFont val="微软雅黑"/>
        <family val="2"/>
        <charset val="134"/>
      </rPr>
      <t>1</t>
    </r>
    <phoneticPr fontId="101" type="noConversion"/>
  </si>
  <si>
    <t>加速道具</t>
    <phoneticPr fontId="101" type="noConversion"/>
  </si>
  <si>
    <t>3倍加速2</t>
    <phoneticPr fontId="101" type="noConversion"/>
  </si>
  <si>
    <t>5倍加速1</t>
    <phoneticPr fontId="101" type="noConversion"/>
  </si>
  <si>
    <t>5倍加速2</t>
    <phoneticPr fontId="101" type="noConversion"/>
  </si>
  <si>
    <t>sdkfz234</t>
    <phoneticPr fontId="101" type="noConversion"/>
  </si>
  <si>
    <t>3倍加速1</t>
    <phoneticPr fontId="101" type="noConversion"/>
  </si>
  <si>
    <t>3倍加速1</t>
    <phoneticPr fontId="101" type="noConversion"/>
  </si>
  <si>
    <t>次数</t>
    <phoneticPr fontId="101" type="noConversion"/>
  </si>
  <si>
    <t>道具ID</t>
    <phoneticPr fontId="101" type="noConversion"/>
  </si>
  <si>
    <t>间隔时间</t>
    <phoneticPr fontId="101" type="noConversion"/>
  </si>
  <si>
    <t>新手登录奖励</t>
    <phoneticPr fontId="101" type="noConversion"/>
  </si>
  <si>
    <t>模拟自然日</t>
    <phoneticPr fontId="101" type="noConversion"/>
  </si>
  <si>
    <t>双倍钥匙</t>
  </si>
  <si>
    <t>双倍钥匙</t>
    <phoneticPr fontId="101" type="noConversion"/>
  </si>
  <si>
    <t>部件宝箱2</t>
    <phoneticPr fontId="101" type="noConversion"/>
  </si>
  <si>
    <t>军费</t>
    <phoneticPr fontId="101" type="noConversion"/>
  </si>
  <si>
    <t>二号</t>
    <phoneticPr fontId="101" type="noConversion"/>
  </si>
  <si>
    <t>碎片宝箱1</t>
    <phoneticPr fontId="101" type="noConversion"/>
  </si>
  <si>
    <t>道具价值</t>
    <phoneticPr fontId="101" type="noConversion"/>
  </si>
  <si>
    <t>道具名称</t>
    <phoneticPr fontId="101" type="noConversion"/>
  </si>
  <si>
    <t>价值</t>
    <phoneticPr fontId="101" type="noConversion"/>
  </si>
  <si>
    <r>
      <t>3倍加速</t>
    </r>
    <r>
      <rPr>
        <sz val="9"/>
        <color theme="1"/>
        <rFont val="微软雅黑"/>
        <family val="2"/>
        <charset val="134"/>
      </rPr>
      <t>1</t>
    </r>
    <phoneticPr fontId="101" type="noConversion"/>
  </si>
  <si>
    <t>部件宝箱1</t>
    <phoneticPr fontId="101" type="noConversion"/>
  </si>
  <si>
    <t>普通自宝箱1</t>
  </si>
  <si>
    <t>普通自宝箱1</t>
    <phoneticPr fontId="101" type="noConversion"/>
  </si>
  <si>
    <t>高级自宝箱1</t>
  </si>
  <si>
    <t>高级自宝箱1</t>
    <phoneticPr fontId="101" type="noConversion"/>
  </si>
  <si>
    <t>高级自宝箱2</t>
  </si>
  <si>
    <t>高级自宝箱2</t>
    <phoneticPr fontId="101" type="noConversion"/>
  </si>
  <si>
    <t>高级自宝箱3</t>
  </si>
  <si>
    <t>高级自宝箱4</t>
  </si>
  <si>
    <t>高级自宝箱5</t>
  </si>
  <si>
    <t>高级自宝箱6</t>
  </si>
  <si>
    <t>高级自宝箱7</t>
  </si>
  <si>
    <t>高级自宝箱8</t>
  </si>
  <si>
    <t>高级自宝箱9</t>
  </si>
  <si>
    <t>高级自宝箱10</t>
  </si>
  <si>
    <t>紫晶自宝箱10</t>
  </si>
  <si>
    <t>普通自宝箱1</t>
    <phoneticPr fontId="101" type="noConversion"/>
  </si>
  <si>
    <t>普通自宝箱2</t>
  </si>
  <si>
    <t>普通自宝箱3</t>
  </si>
  <si>
    <t>普通自宝箱4</t>
  </si>
  <si>
    <t>普通自宝箱5</t>
  </si>
  <si>
    <t>普通自宝箱6</t>
  </si>
  <si>
    <t>普通自宝箱7</t>
  </si>
  <si>
    <t>普通自宝箱8</t>
  </si>
  <si>
    <t>普通自宝箱9</t>
  </si>
  <si>
    <t>普通自宝箱10</t>
  </si>
  <si>
    <t>稀有自宝箱1</t>
  </si>
  <si>
    <t>稀有自宝箱2</t>
  </si>
  <si>
    <t>稀有自宝箱3</t>
  </si>
  <si>
    <t>稀有自宝箱4</t>
  </si>
  <si>
    <t>稀有自宝箱5</t>
  </si>
  <si>
    <t>稀有自宝箱6</t>
  </si>
  <si>
    <t>稀有自宝箱7</t>
  </si>
  <si>
    <t>稀有自宝箱8</t>
  </si>
  <si>
    <t>稀有自宝箱9</t>
  </si>
  <si>
    <t>稀有自宝箱10</t>
  </si>
  <si>
    <t>紫晶自宝箱1</t>
  </si>
  <si>
    <t>紫晶自宝箱2</t>
  </si>
  <si>
    <t>紫晶自宝箱3</t>
  </si>
  <si>
    <t>紫晶自宝箱4</t>
  </si>
  <si>
    <t>紫晶自宝箱5</t>
  </si>
  <si>
    <t>紫晶自宝箱6</t>
  </si>
  <si>
    <t>紫晶自宝箱7</t>
  </si>
  <si>
    <t>紫晶自宝箱8</t>
  </si>
  <si>
    <t>紫晶自宝箱9</t>
  </si>
  <si>
    <t>黄金自宝箱1</t>
  </si>
  <si>
    <t>黄金自宝箱2</t>
  </si>
  <si>
    <t>黄金自宝箱3</t>
  </si>
  <si>
    <t>黄金自宝箱4</t>
  </si>
  <si>
    <t>黄金自宝箱5</t>
  </si>
  <si>
    <t>黄金自宝箱6</t>
  </si>
  <si>
    <t>黄金自宝箱7</t>
  </si>
  <si>
    <t>黄金自宝箱8</t>
  </si>
  <si>
    <t>黄金自宝箱9</t>
  </si>
  <si>
    <t>黄金自宝箱10</t>
  </si>
  <si>
    <t>史诗自宝箱1</t>
  </si>
  <si>
    <t>史诗自宝箱2</t>
  </si>
  <si>
    <t>史诗自宝箱3</t>
  </si>
  <si>
    <t>史诗自宝箱4</t>
  </si>
  <si>
    <t>史诗自宝箱5</t>
  </si>
  <si>
    <t>史诗自宝箱6</t>
  </si>
  <si>
    <t>史诗自宝箱7</t>
  </si>
  <si>
    <t>史诗自宝箱8</t>
  </si>
  <si>
    <t>史诗自宝箱9</t>
  </si>
  <si>
    <t>史诗自宝箱10</t>
  </si>
  <si>
    <t>高级自宝箱2</t>
    <phoneticPr fontId="101" type="noConversion"/>
  </si>
  <si>
    <t>高级自宝箱3</t>
    <phoneticPr fontId="101" type="noConversion"/>
  </si>
  <si>
    <t>高级自宝箱4</t>
    <phoneticPr fontId="101" type="noConversion"/>
  </si>
  <si>
    <t>高级自宝箱5</t>
    <phoneticPr fontId="101" type="noConversion"/>
  </si>
  <si>
    <t>高级自宝箱6</t>
    <phoneticPr fontId="101" type="noConversion"/>
  </si>
  <si>
    <t>高级自宝箱7</t>
    <phoneticPr fontId="101" type="noConversion"/>
  </si>
  <si>
    <t>高级自宝箱8</t>
    <phoneticPr fontId="101" type="noConversion"/>
  </si>
  <si>
    <t>高级自宝箱9</t>
    <phoneticPr fontId="101" type="noConversion"/>
  </si>
  <si>
    <t>高级自宝箱10</t>
    <phoneticPr fontId="101" type="noConversion"/>
  </si>
  <si>
    <t>抽取个数</t>
  </si>
  <si>
    <t>稀有自宝箱10</t>
    <phoneticPr fontId="101" type="noConversion"/>
  </si>
  <si>
    <t>稀有自宝箱10</t>
    <phoneticPr fontId="101" type="noConversion"/>
  </si>
  <si>
    <t>部件Tier</t>
    <phoneticPr fontId="101" type="noConversion"/>
  </si>
  <si>
    <t>部件数量</t>
    <phoneticPr fontId="101" type="noConversion"/>
  </si>
  <si>
    <t>总价值</t>
    <phoneticPr fontId="101" type="noConversion"/>
  </si>
  <si>
    <t>T1部件</t>
  </si>
  <si>
    <r>
      <t>T</t>
    </r>
    <r>
      <rPr>
        <sz val="9"/>
        <color theme="1"/>
        <rFont val="微软雅黑"/>
        <family val="2"/>
        <charset val="134"/>
      </rPr>
      <t>2</t>
    </r>
    <r>
      <rPr>
        <sz val="9"/>
        <color theme="1"/>
        <rFont val="微软雅黑"/>
        <family val="2"/>
        <charset val="134"/>
      </rPr>
      <t>部件</t>
    </r>
    <phoneticPr fontId="101" type="noConversion"/>
  </si>
  <si>
    <r>
      <t>T3</t>
    </r>
    <r>
      <rPr>
        <sz val="9"/>
        <color theme="1"/>
        <rFont val="微软雅黑"/>
        <family val="2"/>
        <charset val="134"/>
      </rPr>
      <t>部件</t>
    </r>
    <phoneticPr fontId="101" type="noConversion"/>
  </si>
  <si>
    <r>
      <t>T4</t>
    </r>
    <r>
      <rPr>
        <sz val="9"/>
        <color theme="1"/>
        <rFont val="微软雅黑"/>
        <family val="2"/>
        <charset val="134"/>
      </rPr>
      <t>部件</t>
    </r>
    <phoneticPr fontId="101" type="noConversion"/>
  </si>
  <si>
    <t>商店价值</t>
    <phoneticPr fontId="101" type="noConversion"/>
  </si>
  <si>
    <t>部件礼包1</t>
  </si>
  <si>
    <t>部件礼包2</t>
  </si>
  <si>
    <t>部件礼包3</t>
  </si>
  <si>
    <t>部件礼包4</t>
  </si>
  <si>
    <t>部件礼包5</t>
  </si>
  <si>
    <t>部件礼包6</t>
  </si>
  <si>
    <t>部件礼包7</t>
  </si>
  <si>
    <t>部件礼包8</t>
  </si>
  <si>
    <t>道具个数</t>
    <phoneticPr fontId="101" type="noConversion"/>
  </si>
  <si>
    <t>抽取次数</t>
    <phoneticPr fontId="101" type="noConversion"/>
  </si>
  <si>
    <t>部件礼包9</t>
  </si>
  <si>
    <t>部件礼包2</t>
    <phoneticPr fontId="101" type="noConversion"/>
  </si>
  <si>
    <t>礼包分类</t>
    <phoneticPr fontId="101" type="noConversion"/>
  </si>
  <si>
    <t>碎片Tier</t>
    <phoneticPr fontId="101" type="noConversion"/>
  </si>
  <si>
    <t>碎片数量</t>
    <phoneticPr fontId="101" type="noConversion"/>
  </si>
  <si>
    <t>碎片礼包1</t>
  </si>
  <si>
    <t>碎片礼包2</t>
  </si>
  <si>
    <t>碎片礼包3</t>
  </si>
  <si>
    <t>碎片礼包4</t>
  </si>
  <si>
    <t>碎片礼包5</t>
  </si>
  <si>
    <t>碎片礼包6</t>
  </si>
  <si>
    <t>碎片礼包7</t>
  </si>
  <si>
    <t>碎片礼包8</t>
  </si>
  <si>
    <t>调整系数</t>
    <phoneticPr fontId="101" type="noConversion"/>
  </si>
  <si>
    <t>商店价值</t>
    <phoneticPr fontId="101" type="noConversion"/>
  </si>
  <si>
    <t>部件礼包T1_1</t>
  </si>
  <si>
    <t>部件礼包T1_2</t>
  </si>
  <si>
    <t>部件礼包T2_1</t>
  </si>
  <si>
    <t>部件礼包T2_2</t>
  </si>
  <si>
    <t>部件礼包T3_1</t>
  </si>
  <si>
    <t>部件礼包T3_2</t>
  </si>
  <si>
    <t>部件礼包T4_1</t>
  </si>
  <si>
    <t>部件礼包T4_2</t>
  </si>
  <si>
    <t>碎片礼包T1_1</t>
  </si>
  <si>
    <t>碎片礼包T2_1</t>
  </si>
  <si>
    <t>碎片礼包T2_2</t>
  </si>
  <si>
    <t>碎片礼包T3_1</t>
  </si>
  <si>
    <t>碎片礼包T3_2</t>
  </si>
  <si>
    <t>碎片礼包T4_1</t>
  </si>
  <si>
    <t>碎片礼包T4_2</t>
  </si>
  <si>
    <t>碎片礼包T4_3</t>
  </si>
  <si>
    <t>礼包类型</t>
    <phoneticPr fontId="101" type="noConversion"/>
  </si>
  <si>
    <t>部件礼包1</t>
    <phoneticPr fontId="101" type="noConversion"/>
  </si>
  <si>
    <t>碎片礼包1</t>
    <phoneticPr fontId="101" type="noConversion"/>
  </si>
  <si>
    <t>Rank</t>
    <phoneticPr fontId="101" type="noConversion"/>
  </si>
  <si>
    <t>礼包内容1</t>
    <phoneticPr fontId="101" type="noConversion"/>
  </si>
  <si>
    <t>数量1</t>
    <phoneticPr fontId="101" type="noConversion"/>
  </si>
  <si>
    <t>礼包内容2</t>
    <phoneticPr fontId="101" type="noConversion"/>
  </si>
  <si>
    <t>数量2</t>
    <phoneticPr fontId="101" type="noConversion"/>
  </si>
  <si>
    <t>碎片礼包4</t>
    <phoneticPr fontId="101" type="noConversion"/>
  </si>
  <si>
    <t>碎片礼包4</t>
    <phoneticPr fontId="101" type="noConversion"/>
  </si>
  <si>
    <t>碎片礼包5</t>
    <phoneticPr fontId="101" type="noConversion"/>
  </si>
  <si>
    <t>价值倍数</t>
    <phoneticPr fontId="101" type="noConversion"/>
  </si>
  <si>
    <t>期望价值</t>
    <phoneticPr fontId="101" type="noConversion"/>
  </si>
  <si>
    <t>价值1</t>
    <phoneticPr fontId="101" type="noConversion"/>
  </si>
  <si>
    <t>比例1</t>
    <phoneticPr fontId="101" type="noConversion"/>
  </si>
  <si>
    <t>价值2</t>
    <phoneticPr fontId="101" type="noConversion"/>
  </si>
  <si>
    <t>比例2</t>
    <phoneticPr fontId="101" type="noConversion"/>
  </si>
  <si>
    <t>数量3</t>
    <phoneticPr fontId="101" type="noConversion"/>
  </si>
  <si>
    <t>价值3</t>
    <phoneticPr fontId="101" type="noConversion"/>
  </si>
  <si>
    <t>比例3</t>
    <phoneticPr fontId="101" type="noConversion"/>
  </si>
  <si>
    <t>实际折扣</t>
    <phoneticPr fontId="101" type="noConversion"/>
  </si>
  <si>
    <t>实际价值</t>
    <phoneticPr fontId="101" type="noConversion"/>
  </si>
  <si>
    <t>部件礼包5</t>
    <phoneticPr fontId="101" type="noConversion"/>
  </si>
  <si>
    <t>部件礼包4</t>
    <phoneticPr fontId="101" type="noConversion"/>
  </si>
  <si>
    <t>部件礼包5</t>
    <phoneticPr fontId="101" type="noConversion"/>
  </si>
  <si>
    <t>部件礼包5</t>
    <phoneticPr fontId="101" type="noConversion"/>
  </si>
  <si>
    <t>部件礼包4</t>
    <phoneticPr fontId="101" type="noConversion"/>
  </si>
  <si>
    <t>部件礼包3</t>
    <phoneticPr fontId="101" type="noConversion"/>
  </si>
  <si>
    <t>部件礼包4</t>
    <phoneticPr fontId="101" type="noConversion"/>
  </si>
  <si>
    <t>部件礼包2</t>
    <phoneticPr fontId="101" type="noConversion"/>
  </si>
  <si>
    <t>部件礼包3</t>
    <phoneticPr fontId="101" type="noConversion"/>
  </si>
  <si>
    <r>
      <t>道具ID</t>
    </r>
    <r>
      <rPr>
        <sz val="9"/>
        <color theme="1"/>
        <rFont val="微软雅黑"/>
        <family val="2"/>
        <charset val="134"/>
      </rPr>
      <t>1</t>
    </r>
    <phoneticPr fontId="101" type="noConversion"/>
  </si>
  <si>
    <r>
      <t>道具ID</t>
    </r>
    <r>
      <rPr>
        <sz val="9"/>
        <color theme="1"/>
        <rFont val="微软雅黑"/>
        <family val="2"/>
        <charset val="134"/>
      </rPr>
      <t>2</t>
    </r>
  </si>
  <si>
    <r>
      <t>道具ID</t>
    </r>
    <r>
      <rPr>
        <sz val="9"/>
        <color theme="1"/>
        <rFont val="微软雅黑"/>
        <family val="2"/>
        <charset val="134"/>
      </rPr>
      <t>3</t>
    </r>
  </si>
  <si>
    <t>chest_tankpart</t>
  </si>
  <si>
    <t>chest_shard</t>
  </si>
  <si>
    <r>
      <t>Icon</t>
    </r>
    <r>
      <rPr>
        <sz val="9"/>
        <color theme="1"/>
        <rFont val="微软雅黑"/>
        <family val="2"/>
        <charset val="134"/>
      </rPr>
      <t>1</t>
    </r>
    <phoneticPr fontId="101" type="noConversion"/>
  </si>
  <si>
    <r>
      <t>Icon</t>
    </r>
    <r>
      <rPr>
        <sz val="9"/>
        <color theme="1"/>
        <rFont val="微软雅黑"/>
        <family val="2"/>
        <charset val="134"/>
      </rPr>
      <t>2</t>
    </r>
  </si>
  <si>
    <r>
      <t>Icon</t>
    </r>
    <r>
      <rPr>
        <sz val="9"/>
        <color theme="1"/>
        <rFont val="微软雅黑"/>
        <family val="2"/>
        <charset val="134"/>
      </rPr>
      <t>3</t>
    </r>
  </si>
  <si>
    <t>部件礼包1</t>
    <phoneticPr fontId="101" type="noConversion"/>
  </si>
  <si>
    <t>部件礼包2</t>
    <phoneticPr fontId="101" type="noConversion"/>
  </si>
  <si>
    <t>碎片礼包1</t>
    <phoneticPr fontId="101" type="noConversion"/>
  </si>
  <si>
    <t>Puma碎片</t>
    <phoneticPr fontId="101" type="noConversion"/>
  </si>
  <si>
    <t>四号碎片</t>
    <phoneticPr fontId="101" type="noConversion"/>
  </si>
  <si>
    <t>丘吉尔碎片</t>
    <phoneticPr fontId="101" type="noConversion"/>
  </si>
  <si>
    <t>道具ID组</t>
    <phoneticPr fontId="101" type="noConversion"/>
  </si>
  <si>
    <t>道具数量组</t>
    <phoneticPr fontId="101" type="noConversion"/>
  </si>
  <si>
    <t>Icon组</t>
    <phoneticPr fontId="101" type="noConversion"/>
  </si>
  <si>
    <t>组分类</t>
    <phoneticPr fontId="101" type="noConversion"/>
  </si>
  <si>
    <t>射速降低比</t>
    <phoneticPr fontId="101" type="noConversion"/>
  </si>
  <si>
    <t>连射次数</t>
    <phoneticPr fontId="101" type="noConversion"/>
  </si>
  <si>
    <t>延迟时间</t>
    <phoneticPr fontId="101" type="noConversion"/>
  </si>
  <si>
    <t>以价值为衡量标准,则不同箱子中各部分占的价值比例应该性价比越高的箱子适用物品占比越大,至少相同.</t>
    <phoneticPr fontId="101" type="noConversion"/>
  </si>
  <si>
    <t>出售宝箱3</t>
    <phoneticPr fontId="101" type="noConversion"/>
  </si>
  <si>
    <t>T2中4</t>
  </si>
  <si>
    <t>T3高5</t>
  </si>
  <si>
    <t>T4高6</t>
  </si>
  <si>
    <t>T1低4</t>
  </si>
  <si>
    <t>T2中5</t>
  </si>
  <si>
    <t>T2中6</t>
  </si>
  <si>
    <t>T2中7</t>
  </si>
  <si>
    <t>T2中8</t>
  </si>
  <si>
    <t>T2中9</t>
  </si>
  <si>
    <t>T2中10</t>
  </si>
  <si>
    <t>T2中11</t>
  </si>
  <si>
    <t>T3中7</t>
  </si>
  <si>
    <t>T3中8</t>
  </si>
  <si>
    <t>T3中9</t>
  </si>
  <si>
    <t>T3中10</t>
  </si>
  <si>
    <t>T3中11</t>
  </si>
  <si>
    <t>T3中12</t>
  </si>
  <si>
    <t>T3中13</t>
  </si>
  <si>
    <t>T3中14</t>
  </si>
  <si>
    <t>T3高6</t>
  </si>
  <si>
    <t>T3高7</t>
  </si>
  <si>
    <t>T3高8</t>
  </si>
  <si>
    <t>T3高9</t>
  </si>
  <si>
    <t>T3高10</t>
  </si>
  <si>
    <t>T3高11</t>
  </si>
  <si>
    <t>T3高12</t>
  </si>
  <si>
    <t>T3高13</t>
  </si>
  <si>
    <t>T3高14</t>
  </si>
  <si>
    <t>T4低10</t>
  </si>
  <si>
    <t>T4中7</t>
  </si>
  <si>
    <t>T4中8</t>
  </si>
  <si>
    <t>T4中9</t>
  </si>
  <si>
    <t>T4中10</t>
  </si>
  <si>
    <t>T4中11</t>
  </si>
  <si>
    <t>T4中12</t>
  </si>
  <si>
    <t>T4中13</t>
  </si>
  <si>
    <t>T4中14</t>
  </si>
  <si>
    <t>T4中15</t>
  </si>
  <si>
    <t>T4中16</t>
  </si>
  <si>
    <t>T4中17</t>
  </si>
  <si>
    <t>T4高7</t>
  </si>
  <si>
    <t>T4高8</t>
  </si>
  <si>
    <t>T4高9</t>
  </si>
  <si>
    <t>T4高10</t>
  </si>
  <si>
    <t>T4高11</t>
  </si>
  <si>
    <t>T4高12</t>
  </si>
  <si>
    <t>T4高13</t>
  </si>
  <si>
    <t>T4高14</t>
  </si>
  <si>
    <t>T4高15</t>
  </si>
  <si>
    <t>T4高16</t>
  </si>
  <si>
    <t>T4高17</t>
  </si>
  <si>
    <t>T5低10</t>
  </si>
  <si>
    <t>T5低11</t>
  </si>
  <si>
    <t>T5低12</t>
  </si>
  <si>
    <t>T5中7</t>
  </si>
  <si>
    <t>T5中8</t>
  </si>
  <si>
    <t>T5中9</t>
  </si>
  <si>
    <t>T5中10</t>
  </si>
  <si>
    <t>T5中11</t>
  </si>
  <si>
    <t>T5中12</t>
  </si>
  <si>
    <t>T5中13</t>
  </si>
  <si>
    <t>T5中14</t>
  </si>
  <si>
    <t>T5中15</t>
  </si>
  <si>
    <t>T5中16</t>
  </si>
  <si>
    <t>T5中17</t>
  </si>
  <si>
    <t>T5中18</t>
  </si>
  <si>
    <t>T5中19</t>
  </si>
  <si>
    <t>T5中20</t>
  </si>
  <si>
    <t>T5高4</t>
  </si>
  <si>
    <t>T5高7</t>
  </si>
  <si>
    <t>T5高8</t>
  </si>
  <si>
    <t>T5高9</t>
  </si>
  <si>
    <t>T5高10</t>
  </si>
  <si>
    <t>T5高11</t>
  </si>
  <si>
    <t>T5高12</t>
  </si>
  <si>
    <t>T5高13</t>
  </si>
  <si>
    <t>T5高14</t>
  </si>
  <si>
    <t>T5高15</t>
  </si>
  <si>
    <t>T5高16</t>
  </si>
  <si>
    <t>T5高17</t>
  </si>
  <si>
    <t>T5高18</t>
  </si>
  <si>
    <t>T5高19</t>
  </si>
  <si>
    <t>T5高20</t>
  </si>
  <si>
    <t>初始属性</t>
    <phoneticPr fontId="101" type="noConversion"/>
  </si>
  <si>
    <t>最高属性</t>
    <phoneticPr fontId="101" type="noConversion"/>
  </si>
  <si>
    <t>部件属性</t>
    <phoneticPr fontId="101" type="noConversion"/>
  </si>
  <si>
    <t>初始属性</t>
    <phoneticPr fontId="101" type="noConversion"/>
  </si>
  <si>
    <t>最高属性</t>
    <phoneticPr fontId="101" type="noConversion"/>
  </si>
  <si>
    <r>
      <t>T5高</t>
    </r>
    <r>
      <rPr>
        <sz val="9"/>
        <color theme="1"/>
        <rFont val="微软雅黑"/>
        <family val="2"/>
        <charset val="134"/>
      </rPr>
      <t>7</t>
    </r>
    <phoneticPr fontId="101" type="noConversion"/>
  </si>
  <si>
    <t>次方系数</t>
    <phoneticPr fontId="101" type="noConversion"/>
  </si>
  <si>
    <t>坦克价值系数</t>
    <phoneticPr fontId="101" type="noConversion"/>
  </si>
  <si>
    <t>最终价值系数</t>
    <phoneticPr fontId="101" type="noConversion"/>
  </si>
  <si>
    <t>基础坦克价值</t>
    <phoneticPr fontId="101" type="noConversion"/>
  </si>
  <si>
    <t>坦克价值期望</t>
    <phoneticPr fontId="101" type="noConversion"/>
  </si>
  <si>
    <t>最终价值期望</t>
    <phoneticPr fontId="101" type="noConversion"/>
  </si>
  <si>
    <t>坦克价值</t>
    <phoneticPr fontId="101" type="noConversion"/>
  </si>
  <si>
    <t>部件星级</t>
    <phoneticPr fontId="101" type="noConversion"/>
  </si>
  <si>
    <t>最大等级</t>
    <phoneticPr fontId="101" type="noConversion"/>
  </si>
  <si>
    <t>每级提升比例</t>
    <phoneticPr fontId="101" type="noConversion"/>
  </si>
  <si>
    <t>升星次数</t>
    <phoneticPr fontId="101" type="noConversion"/>
  </si>
  <si>
    <t>提升比例</t>
    <phoneticPr fontId="101" type="noConversion"/>
  </si>
  <si>
    <t>总提升比例</t>
    <phoneticPr fontId="101" type="noConversion"/>
  </si>
  <si>
    <t>部件提升比</t>
    <phoneticPr fontId="101" type="noConversion"/>
  </si>
  <si>
    <t>部件星级</t>
    <phoneticPr fontId="101" type="noConversion"/>
  </si>
  <si>
    <t>消耗数量</t>
    <phoneticPr fontId="101" type="noConversion"/>
  </si>
  <si>
    <t>初始星级</t>
    <phoneticPr fontId="101" type="noConversion"/>
  </si>
  <si>
    <t>最大星级</t>
    <phoneticPr fontId="101" type="noConversion"/>
  </si>
  <si>
    <r>
      <t>T</t>
    </r>
    <r>
      <rPr>
        <sz val="9"/>
        <color theme="1"/>
        <rFont val="微软雅黑"/>
        <family val="2"/>
        <charset val="134"/>
      </rPr>
      <t>2</t>
    </r>
    <phoneticPr fontId="101" type="noConversion"/>
  </si>
  <si>
    <r>
      <t>T</t>
    </r>
    <r>
      <rPr>
        <sz val="9"/>
        <color theme="1"/>
        <rFont val="微软雅黑"/>
        <family val="2"/>
        <charset val="134"/>
      </rPr>
      <t>3</t>
    </r>
    <phoneticPr fontId="101" type="noConversion"/>
  </si>
  <si>
    <t>材料星级</t>
    <phoneticPr fontId="101" type="noConversion"/>
  </si>
  <si>
    <t>消耗数量</t>
    <phoneticPr fontId="101" type="noConversion"/>
  </si>
  <si>
    <t>辅助列</t>
    <phoneticPr fontId="101" type="noConversion"/>
  </si>
  <si>
    <t>换算1星</t>
    <phoneticPr fontId="101" type="noConversion"/>
  </si>
  <si>
    <t>1星</t>
    <phoneticPr fontId="101" type="noConversion"/>
  </si>
  <si>
    <t>2星</t>
  </si>
  <si>
    <t>3星</t>
  </si>
  <si>
    <t>4星</t>
  </si>
  <si>
    <t>5星</t>
  </si>
  <si>
    <t>6星</t>
  </si>
  <si>
    <t>换算1星</t>
    <phoneticPr fontId="101" type="noConversion"/>
  </si>
  <si>
    <t>累计1星</t>
    <phoneticPr fontId="101" type="noConversion"/>
  </si>
  <si>
    <t>部件等级</t>
    <phoneticPr fontId="101" type="noConversion"/>
  </si>
  <si>
    <t>最高部件星级</t>
    <phoneticPr fontId="101" type="noConversion"/>
  </si>
  <si>
    <t>部件等级</t>
    <phoneticPr fontId="101" type="noConversion"/>
  </si>
  <si>
    <t>提升比例</t>
    <phoneticPr fontId="101" type="noConversion"/>
  </si>
  <si>
    <t>换坦克衰减比</t>
    <phoneticPr fontId="101" type="noConversion"/>
  </si>
  <si>
    <t>升级属性</t>
    <phoneticPr fontId="101" type="noConversion"/>
  </si>
  <si>
    <t>累计属性</t>
    <phoneticPr fontId="101" type="noConversion"/>
  </si>
  <si>
    <t>升星属性</t>
    <phoneticPr fontId="101" type="noConversion"/>
  </si>
  <si>
    <t>满养成属性</t>
    <phoneticPr fontId="101" type="noConversion"/>
  </si>
  <si>
    <t>计算比例</t>
    <phoneticPr fontId="101" type="noConversion"/>
  </si>
  <si>
    <t>部件Tier</t>
    <phoneticPr fontId="101" type="noConversion"/>
  </si>
  <si>
    <t>当前星级</t>
    <phoneticPr fontId="101" type="noConversion"/>
  </si>
  <si>
    <t>最大星级</t>
    <phoneticPr fontId="101" type="noConversion"/>
  </si>
  <si>
    <r>
      <t>T</t>
    </r>
    <r>
      <rPr>
        <sz val="9"/>
        <color theme="1"/>
        <rFont val="微软雅黑"/>
        <family val="2"/>
        <charset val="134"/>
      </rPr>
      <t>1</t>
    </r>
    <phoneticPr fontId="101" type="noConversion"/>
  </si>
  <si>
    <t>升星属性</t>
    <phoneticPr fontId="101" type="noConversion"/>
  </si>
  <si>
    <t>实际属性</t>
    <phoneticPr fontId="101" type="noConversion"/>
  </si>
  <si>
    <t>部件品级</t>
    <phoneticPr fontId="101" type="noConversion"/>
  </si>
  <si>
    <t>T1</t>
    <phoneticPr fontId="101" type="noConversion"/>
  </si>
  <si>
    <t>初始星级</t>
    <phoneticPr fontId="101" type="noConversion"/>
  </si>
  <si>
    <t>最大星级</t>
    <phoneticPr fontId="101" type="noConversion"/>
  </si>
  <si>
    <t>部件设定</t>
    <phoneticPr fontId="101" type="noConversion"/>
  </si>
  <si>
    <t>部件在坦克上更换设定</t>
    <phoneticPr fontId="101" type="noConversion"/>
  </si>
  <si>
    <t>部件属性成长设定</t>
    <phoneticPr fontId="101" type="noConversion"/>
  </si>
  <si>
    <t>部件升级获得属性</t>
    <phoneticPr fontId="101" type="noConversion"/>
  </si>
  <si>
    <t>部件升星获得属性</t>
    <phoneticPr fontId="101" type="noConversion"/>
  </si>
  <si>
    <t>产出类型</t>
    <phoneticPr fontId="101" type="noConversion"/>
  </si>
  <si>
    <t>坦克</t>
    <phoneticPr fontId="101" type="noConversion"/>
  </si>
  <si>
    <t>部件</t>
    <phoneticPr fontId="101" type="noConversion"/>
  </si>
  <si>
    <t>价值比例</t>
    <phoneticPr fontId="101" type="noConversion"/>
  </si>
  <si>
    <t>产出类型</t>
    <phoneticPr fontId="101" type="noConversion"/>
  </si>
  <si>
    <t>军费</t>
    <phoneticPr fontId="101" type="noConversion"/>
  </si>
  <si>
    <t>钻石</t>
    <phoneticPr fontId="101" type="noConversion"/>
  </si>
  <si>
    <t>坦克</t>
    <phoneticPr fontId="101" type="noConversion"/>
  </si>
  <si>
    <t>部件</t>
    <phoneticPr fontId="101" type="noConversion"/>
  </si>
  <si>
    <t>每日总价值</t>
    <phoneticPr fontId="101" type="noConversion"/>
  </si>
  <si>
    <t>Gacha产出坦克与部件比例</t>
    <phoneticPr fontId="101" type="noConversion"/>
  </si>
  <si>
    <t>每日产出资源价值</t>
    <phoneticPr fontId="101" type="noConversion"/>
  </si>
  <si>
    <t>各部件满升星消耗转化为1星数量</t>
    <phoneticPr fontId="101" type="noConversion"/>
  </si>
  <si>
    <t>初始星级属性</t>
    <phoneticPr fontId="101" type="noConversion"/>
  </si>
  <si>
    <t>满需求</t>
    <phoneticPr fontId="101" type="noConversion"/>
  </si>
  <si>
    <t>换算钻石</t>
    <phoneticPr fontId="101" type="noConversion"/>
  </si>
  <si>
    <t>换算天数</t>
    <phoneticPr fontId="101" type="noConversion"/>
  </si>
  <si>
    <t>每日消耗军费价值</t>
    <phoneticPr fontId="101" type="noConversion"/>
  </si>
  <si>
    <t>价值基数</t>
    <phoneticPr fontId="101" type="noConversion"/>
  </si>
  <si>
    <t>合成碎片数</t>
    <phoneticPr fontId="101" type="noConversion"/>
  </si>
  <si>
    <t>碎片价值</t>
    <phoneticPr fontId="101" type="noConversion"/>
  </si>
  <si>
    <t>坦克价值与坦克属性正相关,以基础坦克的价值和属性关系计算出其他坦克价值</t>
    <phoneticPr fontId="101" type="noConversion"/>
  </si>
  <si>
    <t>以上一步计算好的坦克碎片价值和右侧模拟的坦克升星重新计算坦克总消耗碎片价值</t>
    <phoneticPr fontId="101" type="noConversion"/>
  </si>
  <si>
    <t>以每日资源产出速度推算养成满所需时间</t>
    <phoneticPr fontId="101" type="noConversion"/>
  </si>
  <si>
    <t>每日产出军费分配给坦克升星的数量</t>
    <phoneticPr fontId="101" type="noConversion"/>
  </si>
  <si>
    <t>获取时长</t>
    <phoneticPr fontId="101" type="noConversion"/>
  </si>
  <si>
    <t>累计时长</t>
    <phoneticPr fontId="101" type="noConversion"/>
  </si>
  <si>
    <t>升星时长</t>
    <phoneticPr fontId="101" type="noConversion"/>
  </si>
  <si>
    <t>总升星时长</t>
    <phoneticPr fontId="101" type="noConversion"/>
  </si>
  <si>
    <t>调整系数</t>
    <phoneticPr fontId="101" type="noConversion"/>
  </si>
  <si>
    <t>升级时长</t>
    <phoneticPr fontId="101" type="noConversion"/>
  </si>
  <si>
    <t>军费时长</t>
    <phoneticPr fontId="101" type="noConversion"/>
  </si>
  <si>
    <t>升级系数</t>
    <phoneticPr fontId="101" type="noConversion"/>
  </si>
  <si>
    <t>军费系数</t>
    <phoneticPr fontId="101" type="noConversion"/>
  </si>
  <si>
    <t>军费→钻石</t>
    <phoneticPr fontId="101" type="noConversion"/>
  </si>
  <si>
    <t>平均军费→钻石</t>
    <phoneticPr fontId="101" type="noConversion"/>
  </si>
  <si>
    <t>1星部件价值</t>
    <phoneticPr fontId="101" type="noConversion"/>
  </si>
  <si>
    <t>部件星级</t>
    <phoneticPr fontId="101" type="noConversion"/>
  </si>
  <si>
    <t>升级秒数</t>
    <phoneticPr fontId="101" type="noConversion"/>
  </si>
  <si>
    <t>升级分钟</t>
    <phoneticPr fontId="101" type="noConversion"/>
  </si>
  <si>
    <t>假定星级</t>
    <phoneticPr fontId="101" type="noConversion"/>
  </si>
  <si>
    <t>升级军费</t>
    <phoneticPr fontId="101" type="noConversion"/>
  </si>
  <si>
    <t>时间系数</t>
    <phoneticPr fontId="101" type="noConversion"/>
  </si>
  <si>
    <t>军费系数</t>
    <phoneticPr fontId="101" type="noConversion"/>
  </si>
  <si>
    <t>取整系数</t>
    <phoneticPr fontId="101" type="noConversion"/>
  </si>
  <si>
    <t>消耗钻石</t>
    <phoneticPr fontId="101" type="noConversion"/>
  </si>
  <si>
    <t>累计军费</t>
    <phoneticPr fontId="101" type="noConversion"/>
  </si>
  <si>
    <t>获得时长</t>
    <phoneticPr fontId="101" type="noConversion"/>
  </si>
  <si>
    <t>单坦克钻石</t>
    <phoneticPr fontId="101" type="noConversion"/>
  </si>
  <si>
    <t>单坦克军费</t>
    <phoneticPr fontId="101" type="noConversion"/>
  </si>
  <si>
    <t>Max钻石</t>
    <phoneticPr fontId="101" type="noConversion"/>
  </si>
  <si>
    <t>Max军费</t>
    <phoneticPr fontId="101" type="noConversion"/>
  </si>
  <si>
    <t>价值钻石</t>
    <phoneticPr fontId="101" type="noConversion"/>
  </si>
  <si>
    <t>最终价值</t>
    <phoneticPr fontId="101" type="noConversion"/>
  </si>
  <si>
    <t>后获得时长</t>
    <phoneticPr fontId="101" type="noConversion"/>
  </si>
  <si>
    <t>最大等级</t>
    <phoneticPr fontId="101" type="noConversion"/>
  </si>
  <si>
    <t>累计钻石</t>
    <phoneticPr fontId="101" type="noConversion"/>
  </si>
  <si>
    <t>累计军费</t>
    <phoneticPr fontId="101" type="noConversion"/>
  </si>
  <si>
    <t>累计钻石</t>
    <phoneticPr fontId="101" type="noConversion"/>
  </si>
  <si>
    <t>各部件价值推导和累计消耗统计</t>
    <phoneticPr fontId="101" type="noConversion"/>
  </si>
  <si>
    <t>通用射击距离(根据坦克类型分类)</t>
    <phoneticPr fontId="101" type="noConversion"/>
  </si>
  <si>
    <t>标准射击距离(根据细类分类)</t>
    <phoneticPr fontId="101" type="noConversion"/>
  </si>
  <si>
    <t>AI用连续射击次数和延迟时间</t>
    <phoneticPr fontId="101" type="noConversion"/>
  </si>
  <si>
    <t>部件状态</t>
    <phoneticPr fontId="101" type="noConversion"/>
  </si>
  <si>
    <t>1星1</t>
  </si>
  <si>
    <t>2星1</t>
  </si>
  <si>
    <t>3星1</t>
  </si>
  <si>
    <t>坦克名称</t>
    <phoneticPr fontId="101" type="noConversion"/>
  </si>
  <si>
    <t>坦克Tier</t>
    <phoneticPr fontId="101" type="noConversion"/>
  </si>
  <si>
    <t>坦克稀有度</t>
    <phoneticPr fontId="101" type="noConversion"/>
  </si>
  <si>
    <t>最终星级</t>
    <phoneticPr fontId="101" type="noConversion"/>
  </si>
  <si>
    <t>部件等级</t>
    <phoneticPr fontId="101" type="noConversion"/>
  </si>
  <si>
    <t>基础系数</t>
    <phoneticPr fontId="101" type="noConversion"/>
  </si>
  <si>
    <t>基础系数</t>
    <phoneticPr fontId="101" type="noConversion"/>
  </si>
  <si>
    <t>加成比例</t>
    <phoneticPr fontId="101" type="noConversion"/>
  </si>
  <si>
    <t>辅助列</t>
    <phoneticPr fontId="101" type="noConversion"/>
  </si>
  <si>
    <t>坦克星级</t>
    <phoneticPr fontId="101" type="noConversion"/>
  </si>
  <si>
    <t>对应星级</t>
    <phoneticPr fontId="101" type="noConversion"/>
  </si>
  <si>
    <t>满养成属性</t>
    <phoneticPr fontId="101" type="noConversion"/>
  </si>
  <si>
    <t>全队列价格</t>
    <phoneticPr fontId="101" type="noConversion"/>
  </si>
  <si>
    <t>升星军费比</t>
    <phoneticPr fontId="101" type="noConversion"/>
  </si>
  <si>
    <t>升级军费比</t>
    <phoneticPr fontId="101" type="noConversion"/>
  </si>
  <si>
    <t>升星军费</t>
    <phoneticPr fontId="101" type="noConversion"/>
  </si>
  <si>
    <t>取整系数</t>
    <phoneticPr fontId="101" type="noConversion"/>
  </si>
  <si>
    <t>坦克属性推导</t>
    <phoneticPr fontId="101" type="noConversion"/>
  </si>
  <si>
    <t>根据地图大小,设定轻中重坦克的遇敌时间和最佳攻击距离</t>
    <phoneticPr fontId="101" type="noConversion"/>
  </si>
  <si>
    <t>设定轻中重坦克的攻击模式分别为缠斗,多变,狙击</t>
    <phoneticPr fontId="101" type="noConversion"/>
  </si>
  <si>
    <t>根据轻中重坦克的攻击模式,设定射击间隔,受击晃动等坦克特性的区间,并计算区间是否合理</t>
    <phoneticPr fontId="101" type="noConversion"/>
  </si>
  <si>
    <t>根据坦克模型各部分的大小设定坦克各入射角命中的情况下会受到的伤害系数.以平衡各坦克受到的平均伤害</t>
    <phoneticPr fontId="101" type="noConversion"/>
  </si>
  <si>
    <t>轻中重分类</t>
    <phoneticPr fontId="101" type="noConversion"/>
  </si>
  <si>
    <t>根据坦克的射击方式,细化坦克的玩法,不同比例的加强穿透力细分相同类型坦克的不同战斗距离</t>
    <phoneticPr fontId="101" type="noConversion"/>
  </si>
  <si>
    <t>根据坦克的上弹方式,设定坦克的弹夹容量,射击间隔,上弹速度等</t>
    <phoneticPr fontId="101" type="noConversion"/>
  </si>
  <si>
    <t>根据已有的射击和上弹规则模拟出坦克的标准射击速度,设定初始的坦克血量和战斗时长推断出不同类型坦克的血量基础值和输出基础值</t>
    <phoneticPr fontId="101" type="noConversion"/>
  </si>
  <si>
    <t>在已有基础血量和基础输出值的情况下计算出坦克的基础伤害.</t>
    <phoneticPr fontId="101" type="noConversion"/>
  </si>
  <si>
    <t>设定轻中重坦克的防御倾向比例和基础的穿透值,使用基础血量,标准战斗距离,基础输出,计算出对应的装甲值</t>
    <phoneticPr fontId="101" type="noConversion"/>
  </si>
  <si>
    <t>重新计算七种坦克之间的期望战斗时间</t>
    <phoneticPr fontId="101" type="noConversion"/>
  </si>
  <si>
    <t>七种坦克分类</t>
    <phoneticPr fontId="101" type="noConversion"/>
  </si>
  <si>
    <t>设定坦克分为5个Tier,高级Tier中有稀有度的区分,最终设定出12个坦克属性分段;</t>
    <phoneticPr fontId="101" type="noConversion"/>
  </si>
  <si>
    <t>调整每个坦克的成长区间,使12个坦克的属性相交情况满足老吴的需求;</t>
    <phoneticPr fontId="101" type="noConversion"/>
  </si>
  <si>
    <t>根据已有的基础坦克属性和坦克的属性成长系数计算出坦克的可成长属性的最终值;</t>
    <phoneticPr fontId="101" type="noConversion"/>
  </si>
  <si>
    <t>在已有坦克的属性基础上,计算小区间属性在成长的过程中对坦克之间战斗时长的影响,决定使用哪些小区间属性作为可成长属性以调整坦克的操作性.</t>
    <phoneticPr fontId="101" type="noConversion"/>
  </si>
  <si>
    <t>根据已有的30个坦克的模型设定坦克的类型和射击模式,再进行小范围的个性化,重新设定坦克的不可成长属性的属性值,以区分坦克的手感和玩法.</t>
    <phoneticPr fontId="101" type="noConversion"/>
  </si>
  <si>
    <t>根据坦克的升星流程,细化出不同坦克的小成长区间的属性的成长值</t>
    <phoneticPr fontId="101" type="noConversion"/>
  </si>
  <si>
    <t>计算出所有坦克的详细属性变化;</t>
    <phoneticPr fontId="101" type="noConversion"/>
  </si>
  <si>
    <t>把坦克的属性按系统规则分配给坦克升星和坦克部件,并计算出坦克的所有属性和部件的所有属性;</t>
    <phoneticPr fontId="101" type="noConversion"/>
  </si>
  <si>
    <t>30个坦克分类</t>
    <phoneticPr fontId="101" type="noConversion"/>
  </si>
  <si>
    <t>经济系统推导</t>
    <phoneticPr fontId="101" type="noConversion"/>
  </si>
  <si>
    <t>设定兑换率,每天产出价值,各个系统产出资源的分类和资源占比,最终得到每天产出的各种资源的实际值</t>
    <phoneticPr fontId="101" type="noConversion"/>
  </si>
  <si>
    <t>将每天产出的资源分配给各个系统;得到各个系统平均每天可以消耗的对应资源的价值</t>
    <phoneticPr fontId="101" type="noConversion"/>
  </si>
  <si>
    <t>设定最便宜坦克的基础价值,根据现有规则,坦克星级与坦克属性正相关,使用坦克属性成长系数计算获得最终所有坦克的价值</t>
    <phoneticPr fontId="101" type="noConversion"/>
  </si>
  <si>
    <t>根据老吴需求通过调整坦克合成所需要的碎片数量使高稀有度的坦克碎片价值更高,并保证价值不会过高以至于无法进入宝箱抽取</t>
    <phoneticPr fontId="101" type="noConversion"/>
  </si>
  <si>
    <t>根据部件可以给坦克增加的属性比例,获得最初始坦克部件的价值,通过人为设置的稀有度系数区分三种部件的初始价值</t>
    <phoneticPr fontId="101" type="noConversion"/>
  </si>
  <si>
    <t>根据期望的总游戏时长(消费深度),计算出坦克升星消耗资源</t>
    <phoneticPr fontId="101" type="noConversion"/>
  </si>
  <si>
    <t>资源获取模拟</t>
    <phoneticPr fontId="101" type="noConversion"/>
  </si>
  <si>
    <t>根据玩家的资源获取速度与消耗推导出玩家的属性成长速度,设定基础的期望胜率,得到玩家的奖牌数量变化,最终得到各个奖牌区间时玩家的属性强度,获得机器人属性强度</t>
    <phoneticPr fontId="101" type="noConversion"/>
  </si>
  <si>
    <t>根据之前获得的玩家属性强度给玩家设定适用可能性更高的奖励,以作为追求目标或者是付费目的</t>
    <phoneticPr fontId="101" type="noConversion"/>
  </si>
  <si>
    <t>部件则是根据规则直接获得的最低消费深度;</t>
    <phoneticPr fontId="101" type="noConversion"/>
  </si>
  <si>
    <r>
      <t>开方(坦克伤害*射速*坦克血量</t>
    </r>
    <r>
      <rPr>
        <sz val="9"/>
        <color theme="1"/>
        <rFont val="微软雅黑"/>
        <family val="2"/>
        <charset val="134"/>
      </rPr>
      <t>*(穿透力/坦克装甲)</t>
    </r>
    <r>
      <rPr>
        <sz val="9"/>
        <color theme="1"/>
        <rFont val="微软雅黑"/>
        <family val="2"/>
        <charset val="134"/>
      </rPr>
      <t>)</t>
    </r>
    <phoneticPr fontId="101" type="noConversion"/>
  </si>
  <si>
    <t>Gacha掉率分配</t>
    <phoneticPr fontId="101" type="noConversion"/>
  </si>
  <si>
    <t>T1部件</t>
    <phoneticPr fontId="101" type="noConversion"/>
  </si>
  <si>
    <t>T2部件</t>
    <phoneticPr fontId="101" type="noConversion"/>
  </si>
  <si>
    <t>T3部件</t>
    <phoneticPr fontId="101" type="noConversion"/>
  </si>
  <si>
    <t>道具ID填表</t>
    <phoneticPr fontId="101" type="noConversion"/>
  </si>
  <si>
    <t>道具数量填表</t>
    <phoneticPr fontId="101" type="noConversion"/>
  </si>
  <si>
    <t>等级奖励填表</t>
    <phoneticPr fontId="101" type="noConversion"/>
  </si>
  <si>
    <t>基础装甲</t>
    <phoneticPr fontId="101" type="noConversion"/>
  </si>
  <si>
    <t>品质系数</t>
    <phoneticPr fontId="101" type="noConversion"/>
  </si>
  <si>
    <t>材料星级</t>
    <phoneticPr fontId="101" type="noConversion"/>
  </si>
  <si>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</si>
  <si>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</si>
  <si>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</si>
  <si>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</si>
  <si>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</si>
  <si>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</si>
  <si>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</si>
  <si>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</si>
  <si>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</si>
  <si>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</si>
  <si>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</si>
  <si>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</si>
  <si>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</si>
  <si>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</si>
  <si>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</si>
  <si>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</si>
  <si>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</si>
  <si>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</si>
  <si>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</si>
  <si>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</si>
  <si>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</si>
  <si>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</si>
  <si>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</si>
  <si>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</si>
  <si>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</si>
  <si>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</si>
  <si>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</si>
  <si>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</si>
  <si>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</si>
  <si>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</si>
  <si>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</si>
  <si>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</si>
  <si>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</si>
  <si>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</si>
  <si>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</si>
  <si>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</si>
  <si>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</si>
  <si>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</si>
  <si>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</si>
  <si>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</si>
  <si>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</si>
  <si>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</si>
  <si>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</si>
  <si>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</si>
  <si>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</si>
  <si>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</si>
  <si>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</si>
  <si>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</si>
  <si>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</si>
  <si>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养成系数</t>
    <phoneticPr fontId="101" type="noConversion"/>
  </si>
  <si>
    <t>初始提升比例</t>
    <phoneticPr fontId="101" type="noConversion"/>
  </si>
  <si>
    <t>次方系数</t>
    <phoneticPr fontId="101" type="noConversion"/>
  </si>
  <si>
    <t>养成系数</t>
    <phoneticPr fontId="101" type="noConversion"/>
  </si>
  <si>
    <t>时间系数</t>
    <phoneticPr fontId="101" type="noConversion"/>
  </si>
  <si>
    <t>部件属性分配</t>
    <phoneticPr fontId="101" type="noConversion"/>
  </si>
  <si>
    <t>炮管</t>
    <phoneticPr fontId="101" type="noConversion"/>
  </si>
  <si>
    <t>履带</t>
    <phoneticPr fontId="101" type="noConversion"/>
  </si>
  <si>
    <t>底盘</t>
    <phoneticPr fontId="101" type="noConversion"/>
  </si>
  <si>
    <t>装弹机</t>
    <phoneticPr fontId="101" type="noConversion"/>
  </si>
  <si>
    <t>发动机</t>
    <phoneticPr fontId="101" type="noConversion"/>
  </si>
  <si>
    <t>装甲</t>
    <phoneticPr fontId="101" type="noConversion"/>
  </si>
  <si>
    <t>穿透</t>
  </si>
  <si>
    <t>TableChestArray</t>
    <phoneticPr fontId="101" type="noConversion"/>
  </si>
  <si>
    <t>TableDailyMission</t>
  </si>
  <si>
    <t>TableRoleLevel</t>
    <phoneticPr fontId="101" type="noConversion"/>
  </si>
  <si>
    <t>TableTrophyReward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</si>
</sst>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_ "/>
    <numFmt numFmtId="177" formatCode="0.000_);[Red]\(0.000\)"/>
    <numFmt numFmtId="178" formatCode="0.000_ "/>
    <numFmt numFmtId="179" formatCode="0.0%"/>
    <numFmt numFmtId="180" formatCode="0_ "/>
    <numFmt numFmtId="181" formatCode="0.0_ "/>
    <numFmt numFmtId="182" formatCode="0.0_);[Red]\(0.0\)"/>
    <numFmt numFmtId="183" formatCode="0_);[Red]\(0\)"/>
    <numFmt numFmtId="184" formatCode="0.00_);[Red]\(0.00\)"/>
    <numFmt numFmtId="185" formatCode="0.0000_ "/>
  </numFmts>
  <fonts count="109" x14ac:knownFonts="1">
    <font>
      <sz val="11"/>
      <color theme="1"/>
      <name val="宋体"/>
      <family val="2"/>
      <scheme val="minor"/>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color theme="1"/>
      <name val="微软雅黑"/>
      <family val="2"/>
      <charset val="134"/>
    </font>
    <font>
      <sz val="9"/>
      <name val="宋体"/>
      <family val="3"/>
      <charset val="134"/>
      <scheme val="minor"/>
    </font>
    <font>
      <sz val="9"/>
      <color indexed="81"/>
      <name val="宋体"/>
      <family val="3"/>
      <charset val="134"/>
    </font>
    <font>
      <b/>
      <sz val="9"/>
      <color indexed="81"/>
      <name val="宋体"/>
      <family val="3"/>
      <charset val="134"/>
    </font>
    <font>
      <sz val="9"/>
      <color rgb="FFFF0000"/>
      <name val="微软雅黑"/>
      <family val="2"/>
      <charset val="134"/>
    </font>
    <font>
      <sz val="9"/>
      <name val="微软雅黑"/>
      <family val="2"/>
      <charset val="134"/>
    </font>
    <font>
      <sz val="9"/>
      <color rgb="FFFF0066"/>
      <name val="微软雅黑"/>
      <family val="2"/>
      <charset val="134"/>
    </font>
    <font>
      <strike/>
      <sz val="9"/>
      <color indexed="81"/>
      <name val="宋体"/>
      <family val="3"/>
      <charset val="134"/>
    </font>
    <font>
      <sz val="11"/>
      <color rgb="FF000000"/>
      <name val="宋体"/>
      <family val="3"/>
      <charset val="134"/>
    </font>
  </fonts>
  <fills count="14">
    <fill>
      <patternFill patternType="none"/>
    </fill>
    <fill>
      <patternFill patternType="gray125"/>
    </fill>
    <fill>
      <patternFill patternType="solid">
        <fgColor theme="6" tint="0.5999938962981048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6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0070C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837">
    <xf numFmtId="0" fontId="0" fillId="0" borderId="0" xfId="0"/>
    <xf numFmtId="0" fontId="100" fillId="0" borderId="0" xfId="0" applyFont="1" applyAlignment="1">
      <alignment horizontal="center"/>
    </xf>
    <xf numFmtId="0" fontId="99" fillId="0" borderId="0" xfId="0" applyFont="1" applyAlignment="1">
      <alignment horizontal="center"/>
    </xf>
    <xf numFmtId="0" fontId="99" fillId="0" borderId="0" xfId="0" applyFont="1" applyAlignment="1">
      <alignment horizontal="left"/>
    </xf>
    <xf numFmtId="0" fontId="99" fillId="0" borderId="1" xfId="0" applyFont="1" applyBorder="1" applyAlignment="1">
      <alignment horizontal="center"/>
    </xf>
    <xf numFmtId="0" fontId="98" fillId="0" borderId="1" xfId="0" applyFont="1" applyBorder="1" applyAlignment="1">
      <alignment horizontal="center"/>
    </xf>
    <xf numFmtId="0" fontId="99" fillId="0" borderId="1" xfId="0" applyFont="1" applyBorder="1" applyAlignment="1">
      <alignment horizontal="left"/>
    </xf>
    <xf numFmtId="0" fontId="100" fillId="0" borderId="1" xfId="0" applyFont="1" applyBorder="1" applyAlignment="1">
      <alignment horizontal="center"/>
    </xf>
    <xf numFmtId="0" fontId="104" fillId="0" borderId="1" xfId="0" applyFont="1" applyBorder="1" applyAlignment="1">
      <alignment horizontal="center"/>
    </xf>
    <xf numFmtId="0" fontId="104" fillId="0" borderId="1" xfId="0" applyNumberFormat="1" applyFont="1" applyBorder="1" applyAlignment="1">
      <alignment horizontal="center"/>
    </xf>
    <xf numFmtId="0" fontId="104" fillId="0" borderId="0" xfId="0" applyFont="1" applyBorder="1" applyAlignment="1">
      <alignment horizontal="center"/>
    </xf>
    <xf numFmtId="9" fontId="104" fillId="0" borderId="1" xfId="0" applyNumberFormat="1" applyFont="1" applyBorder="1" applyAlignment="1">
      <alignment horizontal="center"/>
    </xf>
    <xf numFmtId="0" fontId="96" fillId="0" borderId="0" xfId="0" applyFont="1" applyAlignment="1">
      <alignment horizontal="center"/>
    </xf>
    <xf numFmtId="0" fontId="96" fillId="0" borderId="1" xfId="0" applyFont="1" applyBorder="1" applyAlignment="1">
      <alignment horizontal="center"/>
    </xf>
    <xf numFmtId="9" fontId="100" fillId="0" borderId="1" xfId="0" applyNumberFormat="1" applyFont="1" applyBorder="1" applyAlignment="1">
      <alignment horizontal="center"/>
    </xf>
    <xf numFmtId="0" fontId="100" fillId="0" borderId="0" xfId="0" applyNumberFormat="1" applyFont="1" applyAlignment="1">
      <alignment horizontal="center"/>
    </xf>
    <xf numFmtId="176" fontId="100" fillId="0" borderId="1" xfId="0" applyNumberFormat="1" applyFont="1" applyBorder="1" applyAlignment="1">
      <alignment horizontal="center"/>
    </xf>
    <xf numFmtId="176" fontId="100" fillId="0" borderId="0" xfId="0" applyNumberFormat="1" applyFont="1" applyAlignment="1">
      <alignment horizontal="center"/>
    </xf>
    <xf numFmtId="0" fontId="96" fillId="0" borderId="0" xfId="0" applyFont="1" applyAlignment="1">
      <alignment horizontal="left"/>
    </xf>
    <xf numFmtId="0" fontId="96" fillId="0" borderId="0" xfId="0" applyNumberFormat="1" applyFont="1" applyAlignment="1">
      <alignment horizontal="center"/>
    </xf>
    <xf numFmtId="0" fontId="96" fillId="3" borderId="1" xfId="0" applyFont="1" applyFill="1" applyBorder="1" applyAlignment="1">
      <alignment horizontal="center"/>
    </xf>
    <xf numFmtId="0" fontId="99" fillId="3" borderId="1" xfId="0" applyFont="1" applyFill="1" applyBorder="1" applyAlignment="1">
      <alignment horizontal="center"/>
    </xf>
    <xf numFmtId="0" fontId="99" fillId="3" borderId="1" xfId="0" applyFont="1" applyFill="1" applyBorder="1" applyAlignment="1">
      <alignment horizontal="left"/>
    </xf>
    <xf numFmtId="9" fontId="100" fillId="0" borderId="0" xfId="0" applyNumberFormat="1" applyFont="1" applyAlignment="1">
      <alignment horizontal="center"/>
    </xf>
    <xf numFmtId="0" fontId="95" fillId="0" borderId="0" xfId="0" applyFont="1" applyAlignment="1">
      <alignment horizontal="center"/>
    </xf>
    <xf numFmtId="0" fontId="95" fillId="0" borderId="0" xfId="0" applyFont="1" applyAlignment="1">
      <alignment horizontal="left"/>
    </xf>
    <xf numFmtId="0" fontId="95" fillId="0" borderId="1" xfId="0" applyFont="1" applyBorder="1" applyAlignment="1">
      <alignment horizontal="center"/>
    </xf>
    <xf numFmtId="0" fontId="94" fillId="0" borderId="1" xfId="0" applyFont="1" applyBorder="1" applyAlignment="1">
      <alignment horizontal="center"/>
    </xf>
    <xf numFmtId="176" fontId="96" fillId="0" borderId="1" xfId="0" applyNumberFormat="1" applyFont="1" applyBorder="1" applyAlignment="1">
      <alignment horizontal="center"/>
    </xf>
    <xf numFmtId="180" fontId="96" fillId="0" borderId="1" xfId="0" applyNumberFormat="1" applyFont="1" applyBorder="1" applyAlignment="1">
      <alignment horizontal="center"/>
    </xf>
    <xf numFmtId="180" fontId="96" fillId="0" borderId="0" xfId="0" applyNumberFormat="1" applyFont="1" applyBorder="1" applyAlignment="1">
      <alignment horizontal="center"/>
    </xf>
    <xf numFmtId="0" fontId="94" fillId="0" borderId="0" xfId="0" applyFont="1" applyBorder="1" applyAlignment="1">
      <alignment horizontal="center"/>
    </xf>
    <xf numFmtId="176" fontId="96" fillId="0" borderId="0" xfId="0" applyNumberFormat="1" applyFont="1" applyBorder="1" applyAlignment="1">
      <alignment horizontal="center"/>
    </xf>
    <xf numFmtId="0" fontId="93" fillId="0" borderId="1" xfId="0" applyFont="1" applyBorder="1" applyAlignment="1">
      <alignment horizontal="center"/>
    </xf>
    <xf numFmtId="0" fontId="96" fillId="0" borderId="1" xfId="0" applyFont="1" applyBorder="1" applyAlignment="1">
      <alignment horizontal="center"/>
    </xf>
    <xf numFmtId="0" fontId="94" fillId="0" borderId="1" xfId="0" applyFont="1" applyBorder="1" applyAlignment="1">
      <alignment horizontal="center"/>
    </xf>
    <xf numFmtId="0" fontId="92" fillId="0" borderId="0" xfId="0" applyFont="1" applyAlignment="1">
      <alignment horizontal="center"/>
    </xf>
    <xf numFmtId="183" fontId="104" fillId="0" borderId="1" xfId="0" applyNumberFormat="1" applyFont="1" applyBorder="1" applyAlignment="1">
      <alignment horizontal="center"/>
    </xf>
    <xf numFmtId="183" fontId="96" fillId="0" borderId="1" xfId="0" applyNumberFormat="1" applyFont="1" applyBorder="1" applyAlignment="1">
      <alignment horizontal="center"/>
    </xf>
    <xf numFmtId="0" fontId="92" fillId="0" borderId="1" xfId="0" applyFont="1" applyBorder="1" applyAlignment="1">
      <alignment horizontal="center"/>
    </xf>
    <xf numFmtId="176" fontId="92" fillId="0" borderId="1" xfId="0" applyNumberFormat="1" applyFont="1" applyBorder="1" applyAlignment="1">
      <alignment horizontal="center"/>
    </xf>
    <xf numFmtId="176" fontId="105" fillId="0" borderId="1" xfId="0" applyNumberFormat="1" applyFont="1" applyBorder="1" applyAlignment="1">
      <alignment horizontal="center"/>
    </xf>
    <xf numFmtId="0" fontId="96" fillId="0" borderId="1" xfId="0" applyFont="1" applyBorder="1" applyAlignment="1">
      <alignment horizontal="center"/>
    </xf>
    <xf numFmtId="0" fontId="94" fillId="0" borderId="1" xfId="0" applyFont="1" applyBorder="1" applyAlignment="1">
      <alignment horizontal="center"/>
    </xf>
    <xf numFmtId="0" fontId="92" fillId="0" borderId="1" xfId="0" applyFont="1" applyBorder="1" applyAlignment="1">
      <alignment horizontal="center"/>
    </xf>
    <xf numFmtId="176" fontId="96" fillId="0" borderId="0" xfId="0" applyNumberFormat="1" applyFont="1" applyAlignment="1">
      <alignment horizontal="center"/>
    </xf>
    <xf numFmtId="0" fontId="91" fillId="0" borderId="1" xfId="0" applyFont="1" applyBorder="1" applyAlignment="1">
      <alignment horizontal="center"/>
    </xf>
    <xf numFmtId="0" fontId="91" fillId="0" borderId="0" xfId="0" applyFont="1" applyAlignment="1">
      <alignment horizontal="center"/>
    </xf>
    <xf numFmtId="0" fontId="105" fillId="0" borderId="0" xfId="0" applyFont="1" applyBorder="1" applyAlignment="1">
      <alignment horizontal="center"/>
    </xf>
    <xf numFmtId="176" fontId="91" fillId="0" borderId="1" xfId="0" applyNumberFormat="1" applyFont="1" applyBorder="1" applyAlignment="1">
      <alignment horizontal="center"/>
    </xf>
    <xf numFmtId="182" fontId="96" fillId="0" borderId="1" xfId="0" applyNumberFormat="1" applyFont="1" applyBorder="1" applyAlignment="1">
      <alignment horizontal="center"/>
    </xf>
    <xf numFmtId="182" fontId="91" fillId="0" borderId="1" xfId="0" applyNumberFormat="1" applyFont="1" applyBorder="1" applyAlignment="1">
      <alignment horizontal="center"/>
    </xf>
    <xf numFmtId="180" fontId="92" fillId="0" borderId="1" xfId="0" applyNumberFormat="1" applyFont="1" applyBorder="1" applyAlignment="1">
      <alignment horizontal="center"/>
    </xf>
    <xf numFmtId="176" fontId="104" fillId="0" borderId="1" xfId="0" applyNumberFormat="1" applyFont="1" applyBorder="1" applyAlignment="1">
      <alignment horizontal="center"/>
    </xf>
    <xf numFmtId="182" fontId="96" fillId="0" borderId="0" xfId="0" applyNumberFormat="1" applyFont="1" applyAlignment="1">
      <alignment horizontal="center"/>
    </xf>
    <xf numFmtId="0" fontId="92" fillId="0" borderId="0" xfId="0" applyFont="1" applyBorder="1" applyAlignment="1">
      <alignment horizontal="center"/>
    </xf>
    <xf numFmtId="176" fontId="92" fillId="0" borderId="0" xfId="0" applyNumberFormat="1" applyFont="1" applyBorder="1" applyAlignment="1">
      <alignment horizontal="center"/>
    </xf>
    <xf numFmtId="0" fontId="90" fillId="0" borderId="1" xfId="0" applyFont="1" applyBorder="1" applyAlignment="1">
      <alignment horizontal="center"/>
    </xf>
    <xf numFmtId="184" fontId="92" fillId="0" borderId="1" xfId="0" applyNumberFormat="1" applyFont="1" applyBorder="1" applyAlignment="1">
      <alignment horizontal="center"/>
    </xf>
    <xf numFmtId="0" fontId="90" fillId="0" borderId="0" xfId="0" applyFont="1" applyBorder="1" applyAlignment="1">
      <alignment horizontal="center"/>
    </xf>
    <xf numFmtId="0" fontId="90" fillId="0" borderId="1" xfId="0" applyNumberFormat="1" applyFont="1" applyBorder="1" applyAlignment="1">
      <alignment horizontal="center"/>
    </xf>
    <xf numFmtId="0" fontId="91" fillId="0" borderId="1" xfId="0" applyFont="1" applyBorder="1" applyAlignment="1">
      <alignment horizontal="center"/>
    </xf>
    <xf numFmtId="0" fontId="92" fillId="0" borderId="1" xfId="0" applyFont="1" applyBorder="1" applyAlignment="1">
      <alignment horizontal="center"/>
    </xf>
    <xf numFmtId="0" fontId="91" fillId="0" borderId="1" xfId="0" applyFont="1" applyBorder="1" applyAlignment="1">
      <alignment horizontal="center"/>
    </xf>
    <xf numFmtId="0" fontId="96" fillId="0" borderId="1" xfId="0" applyFont="1" applyBorder="1" applyAlignment="1">
      <alignment horizontal="center"/>
    </xf>
    <xf numFmtId="0" fontId="99" fillId="0" borderId="1" xfId="0" applyFont="1" applyBorder="1" applyAlignment="1">
      <alignment horizontal="center"/>
    </xf>
    <xf numFmtId="0" fontId="92" fillId="0" borderId="1" xfId="0" applyFont="1" applyBorder="1" applyAlignment="1">
      <alignment horizontal="center"/>
    </xf>
    <xf numFmtId="0" fontId="94" fillId="0" borderId="1" xfId="0" applyFont="1" applyBorder="1" applyAlignment="1">
      <alignment horizontal="center"/>
    </xf>
    <xf numFmtId="0" fontId="97" fillId="0" borderId="1" xfId="0" applyFont="1" applyBorder="1" applyAlignment="1">
      <alignment horizontal="center"/>
    </xf>
    <xf numFmtId="0" fontId="105" fillId="0" borderId="1" xfId="0" applyFont="1" applyBorder="1" applyAlignment="1">
      <alignment horizontal="center"/>
    </xf>
    <xf numFmtId="0" fontId="93" fillId="0" borderId="1" xfId="0" applyFont="1" applyBorder="1" applyAlignment="1">
      <alignment horizontal="center"/>
    </xf>
    <xf numFmtId="0" fontId="90" fillId="0" borderId="1" xfId="0" applyFont="1" applyBorder="1" applyAlignment="1">
      <alignment horizontal="center"/>
    </xf>
    <xf numFmtId="0" fontId="89" fillId="0" borderId="0" xfId="0" applyFont="1" applyAlignment="1">
      <alignment horizontal="center"/>
    </xf>
    <xf numFmtId="0" fontId="91" fillId="0" borderId="0" xfId="0" applyFont="1" applyBorder="1" applyAlignment="1">
      <alignment horizontal="center"/>
    </xf>
    <xf numFmtId="0" fontId="89" fillId="0" borderId="1" xfId="0" applyFont="1" applyBorder="1" applyAlignment="1">
      <alignment horizontal="center"/>
    </xf>
    <xf numFmtId="0" fontId="89" fillId="0" borderId="1" xfId="0" applyFont="1" applyBorder="1" applyAlignment="1">
      <alignment horizontal="center"/>
    </xf>
    <xf numFmtId="0" fontId="88" fillId="0" borderId="0" xfId="0" applyFont="1" applyAlignment="1">
      <alignment horizontal="center"/>
    </xf>
    <xf numFmtId="0" fontId="88" fillId="0" borderId="1" xfId="0" applyFont="1" applyBorder="1" applyAlignment="1">
      <alignment horizontal="center"/>
    </xf>
    <xf numFmtId="0" fontId="88" fillId="0" borderId="1" xfId="0" applyFont="1" applyBorder="1" applyAlignment="1">
      <alignment horizontal="center"/>
    </xf>
    <xf numFmtId="0" fontId="90" fillId="0" borderId="0" xfId="0" applyFont="1" applyBorder="1" applyAlignment="1"/>
    <xf numFmtId="176" fontId="91" fillId="0" borderId="0" xfId="0" applyNumberFormat="1" applyFont="1" applyBorder="1" applyAlignment="1">
      <alignment horizontal="center"/>
    </xf>
    <xf numFmtId="176" fontId="88" fillId="0" borderId="1" xfId="0" applyNumberFormat="1" applyFont="1" applyBorder="1" applyAlignment="1">
      <alignment horizontal="center"/>
    </xf>
    <xf numFmtId="176" fontId="88" fillId="0" borderId="0" xfId="0" applyNumberFormat="1" applyFont="1" applyAlignment="1">
      <alignment horizontal="center"/>
    </xf>
    <xf numFmtId="0" fontId="88" fillId="0" borderId="0" xfId="0" applyFont="1"/>
    <xf numFmtId="0" fontId="88" fillId="0" borderId="0" xfId="0" applyFont="1" applyBorder="1" applyAlignment="1">
      <alignment horizontal="center"/>
    </xf>
    <xf numFmtId="0" fontId="88" fillId="0" borderId="1" xfId="0" applyNumberFormat="1" applyFont="1" applyBorder="1" applyAlignment="1">
      <alignment horizontal="center"/>
    </xf>
    <xf numFmtId="177" fontId="88" fillId="0" borderId="1" xfId="0" applyNumberFormat="1" applyFont="1" applyBorder="1" applyAlignment="1">
      <alignment horizontal="center"/>
    </xf>
    <xf numFmtId="178" fontId="88" fillId="0" borderId="1" xfId="0" applyNumberFormat="1" applyFont="1" applyBorder="1" applyAlignment="1">
      <alignment horizontal="center"/>
    </xf>
    <xf numFmtId="176" fontId="88" fillId="0" borderId="0" xfId="0" applyNumberFormat="1" applyFont="1" applyBorder="1" applyAlignment="1">
      <alignment horizontal="center"/>
    </xf>
    <xf numFmtId="176" fontId="88" fillId="2" borderId="1" xfId="0" applyNumberFormat="1" applyFont="1" applyFill="1" applyBorder="1" applyAlignment="1">
      <alignment horizontal="center"/>
    </xf>
    <xf numFmtId="184" fontId="88" fillId="0" borderId="1" xfId="0" applyNumberFormat="1" applyFont="1" applyBorder="1" applyAlignment="1">
      <alignment horizontal="center"/>
    </xf>
    <xf numFmtId="0" fontId="87" fillId="0" borderId="1" xfId="0" applyFont="1" applyBorder="1" applyAlignment="1">
      <alignment horizontal="center"/>
    </xf>
    <xf numFmtId="9" fontId="88" fillId="0" borderId="1" xfId="0" applyNumberFormat="1" applyFont="1" applyBorder="1" applyAlignment="1">
      <alignment horizontal="center"/>
    </xf>
    <xf numFmtId="0" fontId="88" fillId="2" borderId="1" xfId="0" applyFont="1" applyFill="1" applyBorder="1" applyAlignment="1">
      <alignment horizontal="center"/>
    </xf>
    <xf numFmtId="0" fontId="87" fillId="2" borderId="1" xfId="0" applyFont="1" applyFill="1" applyBorder="1" applyAlignment="1">
      <alignment horizontal="center"/>
    </xf>
    <xf numFmtId="176" fontId="92" fillId="0" borderId="0" xfId="0" applyNumberFormat="1" applyFont="1" applyAlignment="1">
      <alignment horizontal="center"/>
    </xf>
    <xf numFmtId="180" fontId="87" fillId="0" borderId="1" xfId="0" applyNumberFormat="1"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91"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86" fillId="0" borderId="0" xfId="0" applyFont="1" applyAlignment="1">
      <alignment horizontal="center"/>
    </xf>
    <xf numFmtId="0" fontId="86" fillId="0" borderId="1" xfId="0" applyFont="1" applyBorder="1" applyAlignment="1">
      <alignment horizontal="center"/>
    </xf>
    <xf numFmtId="0" fontId="86" fillId="0" borderId="1" xfId="0" applyFont="1" applyBorder="1" applyAlignment="1">
      <alignment horizontal="center"/>
    </xf>
    <xf numFmtId="0" fontId="104" fillId="0" borderId="0" xfId="0" applyFont="1" applyAlignment="1">
      <alignment horizontal="left"/>
    </xf>
    <xf numFmtId="176" fontId="86" fillId="0" borderId="1" xfId="0" applyNumberFormat="1" applyFont="1" applyBorder="1" applyAlignment="1">
      <alignment horizontal="center"/>
    </xf>
    <xf numFmtId="0" fontId="91"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86" fillId="0" borderId="4" xfId="0" applyFont="1" applyBorder="1" applyAlignment="1">
      <alignment horizontal="center"/>
    </xf>
    <xf numFmtId="0" fontId="85" fillId="0" borderId="0" xfId="0" applyFont="1" applyAlignment="1">
      <alignment horizontal="center"/>
    </xf>
    <xf numFmtId="0" fontId="85" fillId="0" borderId="1" xfId="0" applyFont="1" applyBorder="1" applyAlignment="1">
      <alignment horizontal="center"/>
    </xf>
    <xf numFmtId="0" fontId="85" fillId="0" borderId="1" xfId="0" applyFont="1" applyBorder="1" applyAlignment="1">
      <alignment horizontal="center"/>
    </xf>
    <xf numFmtId="176" fontId="85" fillId="0" borderId="1" xfId="0" applyNumberFormat="1" applyFont="1" applyBorder="1" applyAlignment="1">
      <alignment horizontal="center"/>
    </xf>
    <xf numFmtId="0" fontId="99" fillId="0" borderId="1" xfId="0" applyFont="1" applyBorder="1" applyAlignment="1">
      <alignment horizontal="center"/>
    </xf>
    <xf numFmtId="0" fontId="84" fillId="0" borderId="0" xfId="0" applyFont="1" applyAlignment="1">
      <alignment horizontal="center"/>
    </xf>
    <xf numFmtId="0" fontId="84" fillId="0" borderId="1" xfId="0" applyFont="1" applyBorder="1" applyAlignment="1">
      <alignment horizontal="center"/>
    </xf>
    <xf numFmtId="0" fontId="88" fillId="0" borderId="5" xfId="0" applyFont="1" applyBorder="1" applyAlignment="1">
      <alignment horizontal="center"/>
    </xf>
    <xf numFmtId="176" fontId="84" fillId="0" borderId="1" xfId="0" applyNumberFormat="1" applyFont="1" applyBorder="1" applyAlignment="1">
      <alignment horizontal="center"/>
    </xf>
    <xf numFmtId="180" fontId="84" fillId="0" borderId="0" xfId="0" applyNumberFormat="1" applyFont="1" applyAlignment="1">
      <alignment horizontal="center"/>
    </xf>
    <xf numFmtId="0" fontId="83" fillId="0" borderId="1" xfId="0" applyFont="1" applyBorder="1" applyAlignment="1">
      <alignment horizontal="left"/>
    </xf>
    <xf numFmtId="0" fontId="82" fillId="2" borderId="1" xfId="0" applyFont="1" applyFill="1" applyBorder="1" applyAlignment="1">
      <alignment horizontal="center"/>
    </xf>
    <xf numFmtId="0" fontId="82" fillId="5" borderId="1" xfId="0" applyFont="1" applyFill="1" applyBorder="1" applyAlignment="1">
      <alignment horizontal="center"/>
    </xf>
    <xf numFmtId="0" fontId="82" fillId="4" borderId="1" xfId="0" applyFont="1" applyFill="1" applyBorder="1" applyAlignment="1">
      <alignment horizontal="center"/>
    </xf>
    <xf numFmtId="0" fontId="82" fillId="6" borderId="1" xfId="0" applyFont="1" applyFill="1" applyBorder="1" applyAlignment="1">
      <alignment horizontal="center"/>
    </xf>
    <xf numFmtId="0" fontId="82" fillId="7" borderId="1" xfId="0" applyFont="1" applyFill="1" applyBorder="1" applyAlignment="1">
      <alignment horizontal="center"/>
    </xf>
    <xf numFmtId="0" fontId="92" fillId="0" borderId="1" xfId="0" applyFont="1" applyBorder="1" applyAlignment="1">
      <alignment horizontal="center"/>
    </xf>
    <xf numFmtId="0" fontId="91"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105" fillId="0" borderId="1" xfId="0" applyFont="1" applyBorder="1" applyAlignment="1">
      <alignment horizontal="center"/>
    </xf>
    <xf numFmtId="0" fontId="80" fillId="0" borderId="1" xfId="0" applyFont="1" applyBorder="1" applyAlignment="1">
      <alignment horizontal="center"/>
    </xf>
    <xf numFmtId="0" fontId="87" fillId="0" borderId="1" xfId="0" applyFont="1" applyBorder="1" applyAlignment="1">
      <alignment horizontal="center"/>
    </xf>
    <xf numFmtId="0" fontId="85" fillId="0" borderId="1" xfId="0" applyFont="1" applyBorder="1" applyAlignment="1">
      <alignment horizontal="center"/>
    </xf>
    <xf numFmtId="0" fontId="79" fillId="0" borderId="0" xfId="0" applyFont="1" applyAlignment="1">
      <alignment horizontal="center"/>
    </xf>
    <xf numFmtId="0" fontId="79" fillId="0" borderId="1" xfId="0" applyFont="1" applyBorder="1" applyAlignment="1">
      <alignment horizontal="center"/>
    </xf>
    <xf numFmtId="0" fontId="79" fillId="0" borderId="0" xfId="0" applyFont="1" applyBorder="1" applyAlignment="1">
      <alignment horizontal="center"/>
    </xf>
    <xf numFmtId="0" fontId="92" fillId="0" borderId="1" xfId="0" applyFont="1" applyBorder="1" applyAlignment="1">
      <alignment horizontal="center"/>
    </xf>
    <xf numFmtId="0" fontId="78" fillId="0" borderId="1" xfId="0" applyFont="1" applyBorder="1" applyAlignment="1">
      <alignment horizontal="center"/>
    </xf>
    <xf numFmtId="0" fontId="77" fillId="0" borderId="1" xfId="0" applyFont="1" applyBorder="1" applyAlignment="1">
      <alignment horizontal="center"/>
    </xf>
    <xf numFmtId="0" fontId="88" fillId="0" borderId="1" xfId="0" applyFont="1" applyBorder="1" applyAlignment="1">
      <alignment horizontal="center"/>
    </xf>
    <xf numFmtId="0" fontId="76" fillId="0" borderId="0" xfId="0" applyFont="1" applyAlignment="1">
      <alignment horizontal="center"/>
    </xf>
    <xf numFmtId="0" fontId="76" fillId="0" borderId="1" xfId="0" applyFont="1" applyBorder="1" applyAlignment="1">
      <alignment horizontal="center"/>
    </xf>
    <xf numFmtId="0" fontId="76" fillId="0" borderId="1" xfId="0" applyFont="1" applyBorder="1" applyAlignment="1">
      <alignment horizontal="center"/>
    </xf>
    <xf numFmtId="0" fontId="76" fillId="0" borderId="0" xfId="0" applyFont="1" applyBorder="1" applyAlignment="1">
      <alignment horizontal="center"/>
    </xf>
    <xf numFmtId="9" fontId="76" fillId="0" borderId="0" xfId="0" applyNumberFormat="1" applyFont="1" applyBorder="1" applyAlignment="1">
      <alignment horizontal="center"/>
    </xf>
    <xf numFmtId="176" fontId="76" fillId="0" borderId="1" xfId="0" applyNumberFormat="1" applyFont="1" applyBorder="1" applyAlignment="1">
      <alignment horizontal="center"/>
    </xf>
    <xf numFmtId="180" fontId="76" fillId="0" borderId="1" xfId="0" applyNumberFormat="1" applyFont="1" applyBorder="1" applyAlignment="1">
      <alignment horizontal="center"/>
    </xf>
    <xf numFmtId="181" fontId="76" fillId="0" borderId="1" xfId="0" applyNumberFormat="1" applyFont="1" applyBorder="1" applyAlignment="1">
      <alignment horizontal="center"/>
    </xf>
    <xf numFmtId="0" fontId="76" fillId="0" borderId="1" xfId="0" applyFont="1" applyBorder="1" applyAlignment="1">
      <alignment horizontal="center"/>
    </xf>
    <xf numFmtId="0" fontId="75" fillId="0" borderId="0" xfId="0" applyFont="1" applyAlignment="1">
      <alignment horizontal="center"/>
    </xf>
    <xf numFmtId="0" fontId="75" fillId="0" borderId="1" xfId="0" applyFont="1" applyBorder="1" applyAlignment="1">
      <alignment horizontal="center"/>
    </xf>
    <xf numFmtId="0" fontId="75" fillId="0" borderId="0" xfId="0" applyFont="1" applyBorder="1" applyAlignment="1">
      <alignment horizontal="center"/>
    </xf>
    <xf numFmtId="0" fontId="75" fillId="0" borderId="0" xfId="0" applyFont="1" applyAlignment="1">
      <alignment horizontal="left"/>
    </xf>
    <xf numFmtId="0" fontId="74" fillId="0" borderId="1" xfId="0" applyFont="1" applyBorder="1" applyAlignment="1">
      <alignment horizontal="center"/>
    </xf>
    <xf numFmtId="0" fontId="74" fillId="0" borderId="0" xfId="0" applyFont="1" applyBorder="1" applyAlignment="1">
      <alignment horizontal="center"/>
    </xf>
    <xf numFmtId="0" fontId="74" fillId="0" borderId="0" xfId="0" applyFont="1" applyAlignment="1">
      <alignment horizontal="center"/>
    </xf>
    <xf numFmtId="180" fontId="74" fillId="0" borderId="1" xfId="0" applyNumberFormat="1" applyFont="1" applyBorder="1" applyAlignment="1">
      <alignment horizontal="center"/>
    </xf>
    <xf numFmtId="179" fontId="76" fillId="0" borderId="1" xfId="0" applyNumberFormat="1" applyFont="1" applyBorder="1" applyAlignment="1">
      <alignment horizontal="center"/>
    </xf>
    <xf numFmtId="9" fontId="76" fillId="0" borderId="0" xfId="0" applyNumberFormat="1" applyFont="1" applyAlignment="1">
      <alignment horizontal="center"/>
    </xf>
    <xf numFmtId="0" fontId="76" fillId="0" borderId="1" xfId="0" applyFont="1" applyBorder="1" applyAlignment="1">
      <alignment horizontal="center"/>
    </xf>
    <xf numFmtId="0" fontId="73"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2" fillId="0" borderId="1" xfId="0" applyFont="1" applyBorder="1" applyAlignment="1">
      <alignment horizontal="center"/>
    </xf>
    <xf numFmtId="0" fontId="71" fillId="0" borderId="1" xfId="0" applyFont="1" applyBorder="1" applyAlignment="1">
      <alignment horizontal="center"/>
    </xf>
    <xf numFmtId="0" fontId="71" fillId="0" borderId="0" xfId="0" applyFont="1" applyAlignment="1">
      <alignment horizontal="center"/>
    </xf>
    <xf numFmtId="180" fontId="76" fillId="0" borderId="0" xfId="0" applyNumberFormat="1" applyFont="1" applyBorder="1" applyAlignment="1">
      <alignment horizontal="center"/>
    </xf>
    <xf numFmtId="178" fontId="73" fillId="0" borderId="1" xfId="0" applyNumberFormat="1" applyFont="1" applyBorder="1" applyAlignment="1">
      <alignment horizontal="center"/>
    </xf>
    <xf numFmtId="0" fontId="73" fillId="0" borderId="1" xfId="0" applyFont="1" applyBorder="1" applyAlignment="1">
      <alignment horizontal="center"/>
    </xf>
    <xf numFmtId="0" fontId="92" fillId="0" borderId="1" xfId="0" applyFont="1" applyBorder="1" applyAlignment="1">
      <alignment horizontal="center"/>
    </xf>
    <xf numFmtId="0" fontId="87" fillId="0" borderId="1" xfId="0" applyFont="1" applyBorder="1" applyAlignment="1">
      <alignment horizontal="center"/>
    </xf>
    <xf numFmtId="0" fontId="79" fillId="0" borderId="1" xfId="0" applyFont="1" applyBorder="1" applyAlignment="1">
      <alignment horizontal="center"/>
    </xf>
    <xf numFmtId="0" fontId="92"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87" fillId="0" borderId="1" xfId="0" applyFont="1" applyBorder="1" applyAlignment="1">
      <alignment horizontal="center"/>
    </xf>
    <xf numFmtId="0" fontId="82" fillId="0" borderId="1" xfId="0" applyFont="1" applyBorder="1" applyAlignment="1">
      <alignment horizontal="center"/>
    </xf>
    <xf numFmtId="0" fontId="89" fillId="0" borderId="1" xfId="0" applyFont="1" applyBorder="1" applyAlignment="1">
      <alignment horizontal="center"/>
    </xf>
    <xf numFmtId="0" fontId="86" fillId="0" borderId="1" xfId="0" applyFont="1" applyBorder="1" applyAlignment="1">
      <alignment horizontal="center"/>
    </xf>
    <xf numFmtId="0" fontId="85" fillId="0" borderId="1" xfId="0" applyFont="1" applyBorder="1" applyAlignment="1">
      <alignment horizontal="center"/>
    </xf>
    <xf numFmtId="0" fontId="79" fillId="0" borderId="1" xfId="0" applyFont="1" applyBorder="1" applyAlignment="1">
      <alignment horizontal="center"/>
    </xf>
    <xf numFmtId="0" fontId="78" fillId="0" borderId="1" xfId="0" applyFont="1" applyBorder="1" applyAlignment="1">
      <alignment horizontal="center"/>
    </xf>
    <xf numFmtId="0" fontId="70" fillId="0" borderId="1" xfId="0" applyFont="1" applyBorder="1" applyAlignment="1">
      <alignment horizontal="center"/>
    </xf>
    <xf numFmtId="0" fontId="70" fillId="0" borderId="0" xfId="0" applyFont="1" applyAlignment="1">
      <alignment horizontal="center"/>
    </xf>
    <xf numFmtId="0" fontId="70" fillId="0" borderId="1" xfId="0" applyFont="1" applyBorder="1" applyAlignment="1">
      <alignment horizontal="center"/>
    </xf>
    <xf numFmtId="176" fontId="70" fillId="0" borderId="1" xfId="0" applyNumberFormat="1"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86" fillId="0" borderId="1" xfId="0" applyFont="1" applyBorder="1" applyAlignment="1">
      <alignment horizontal="center"/>
    </xf>
    <xf numFmtId="0" fontId="79" fillId="0" borderId="1" xfId="0" applyFont="1" applyBorder="1" applyAlignment="1">
      <alignment horizontal="center"/>
    </xf>
    <xf numFmtId="0" fontId="69" fillId="0" borderId="1" xfId="0" applyFont="1" applyBorder="1" applyAlignment="1">
      <alignment horizontal="center"/>
    </xf>
    <xf numFmtId="0" fontId="81" fillId="0" borderId="0" xfId="0" applyFont="1" applyBorder="1" applyAlignment="1">
      <alignment horizontal="center"/>
    </xf>
    <xf numFmtId="0" fontId="69" fillId="0" borderId="0" xfId="0" applyFont="1" applyBorder="1" applyAlignment="1">
      <alignment horizontal="center"/>
    </xf>
    <xf numFmtId="0" fontId="69" fillId="0" borderId="1" xfId="0" applyFont="1" applyBorder="1" applyAlignment="1">
      <alignment horizontal="center"/>
    </xf>
    <xf numFmtId="176" fontId="86" fillId="0" borderId="0" xfId="0" applyNumberFormat="1" applyFont="1" applyAlignment="1">
      <alignment horizontal="center"/>
    </xf>
    <xf numFmtId="0" fontId="86" fillId="0" borderId="0"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0" fillId="0" borderId="1" xfId="0" applyFont="1" applyBorder="1" applyAlignment="1">
      <alignment horizontal="center"/>
    </xf>
    <xf numFmtId="0" fontId="68" fillId="0" borderId="1" xfId="0" applyFont="1" applyBorder="1" applyAlignment="1">
      <alignment horizontal="center"/>
    </xf>
    <xf numFmtId="176" fontId="79" fillId="0" borderId="1" xfId="0" applyNumberFormat="1" applyFont="1" applyBorder="1" applyAlignment="1">
      <alignment horizontal="center"/>
    </xf>
    <xf numFmtId="0" fontId="68" fillId="0" borderId="0" xfId="0" applyFont="1" applyBorder="1" applyAlignment="1">
      <alignment horizontal="center"/>
    </xf>
    <xf numFmtId="176" fontId="79" fillId="0" borderId="0" xfId="0" applyNumberFormat="1" applyFont="1" applyBorder="1" applyAlignment="1">
      <alignment horizontal="center"/>
    </xf>
    <xf numFmtId="0" fontId="84" fillId="0" borderId="1" xfId="0" applyNumberFormat="1" applyFont="1" applyBorder="1" applyAlignment="1">
      <alignment horizontal="center"/>
    </xf>
    <xf numFmtId="183" fontId="74" fillId="0" borderId="1" xfId="0" applyNumberFormat="1" applyFont="1" applyBorder="1" applyAlignment="1">
      <alignment horizontal="center"/>
    </xf>
    <xf numFmtId="180" fontId="74" fillId="0" borderId="0" xfId="0" applyNumberFormat="1" applyFont="1" applyBorder="1" applyAlignment="1">
      <alignment horizontal="center"/>
    </xf>
    <xf numFmtId="0" fontId="70" fillId="0" borderId="1" xfId="0" applyFont="1" applyFill="1" applyBorder="1" applyAlignment="1">
      <alignment horizontal="center"/>
    </xf>
    <xf numFmtId="176" fontId="70" fillId="0" borderId="0" xfId="0" applyNumberFormat="1" applyFont="1" applyAlignment="1">
      <alignment horizontal="center"/>
    </xf>
    <xf numFmtId="178" fontId="74" fillId="0" borderId="1" xfId="0" applyNumberFormat="1" applyFont="1" applyBorder="1" applyAlignment="1">
      <alignment horizontal="center"/>
    </xf>
    <xf numFmtId="0" fontId="73" fillId="0" borderId="0" xfId="0" applyFont="1" applyBorder="1" applyAlignment="1">
      <alignment horizontal="center"/>
    </xf>
    <xf numFmtId="0" fontId="66" fillId="0" borderId="1" xfId="0" applyFont="1" applyBorder="1" applyAlignment="1">
      <alignment horizontal="center"/>
    </xf>
    <xf numFmtId="0" fontId="66" fillId="0" borderId="0" xfId="0" applyFont="1" applyBorder="1" applyAlignment="1">
      <alignment horizontal="center"/>
    </xf>
    <xf numFmtId="0" fontId="76" fillId="0" borderId="1" xfId="0" applyFont="1" applyBorder="1" applyAlignment="1">
      <alignment horizontal="center"/>
    </xf>
    <xf numFmtId="0" fontId="74"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65" fillId="0" borderId="1" xfId="0" applyFont="1" applyBorder="1" applyAlignment="1">
      <alignment horizontal="center"/>
    </xf>
    <xf numFmtId="0" fontId="64" fillId="0" borderId="0" xfId="0" applyFont="1" applyAlignment="1">
      <alignment horizontal="left"/>
    </xf>
    <xf numFmtId="0" fontId="64" fillId="0" borderId="1" xfId="0" applyFont="1" applyBorder="1" applyAlignment="1">
      <alignment horizontal="center"/>
    </xf>
    <xf numFmtId="179" fontId="104" fillId="0" borderId="1" xfId="0" applyNumberFormat="1" applyFont="1" applyBorder="1" applyAlignment="1">
      <alignment horizontal="center"/>
    </xf>
    <xf numFmtId="0" fontId="64" fillId="0" borderId="1" xfId="0" applyFont="1" applyFill="1" applyBorder="1" applyAlignment="1">
      <alignment horizontal="center"/>
    </xf>
    <xf numFmtId="180" fontId="64" fillId="0" borderId="1" xfId="0" applyNumberFormat="1" applyFont="1" applyBorder="1" applyAlignment="1">
      <alignment horizontal="center"/>
    </xf>
    <xf numFmtId="0" fontId="106" fillId="0" borderId="1" xfId="0" applyFont="1" applyBorder="1" applyAlignment="1">
      <alignment horizontal="center"/>
    </xf>
    <xf numFmtId="181" fontId="64" fillId="0" borderId="1" xfId="0" applyNumberFormat="1" applyFont="1" applyBorder="1" applyAlignment="1">
      <alignment horizontal="center"/>
    </xf>
    <xf numFmtId="0" fontId="62" fillId="0" borderId="0" xfId="0" applyFont="1" applyAlignment="1">
      <alignment horizontal="center"/>
    </xf>
    <xf numFmtId="0" fontId="84" fillId="0" borderId="0" xfId="0" applyFont="1" applyBorder="1" applyAlignment="1">
      <alignment horizontal="center"/>
    </xf>
    <xf numFmtId="176" fontId="84" fillId="0" borderId="0" xfId="0" applyNumberFormat="1" applyFont="1" applyBorder="1" applyAlignment="1">
      <alignment horizontal="center"/>
    </xf>
    <xf numFmtId="0" fontId="94" fillId="0" borderId="1" xfId="0" applyFont="1" applyFill="1" applyBorder="1" applyAlignment="1">
      <alignment horizontal="center"/>
    </xf>
    <xf numFmtId="0" fontId="99" fillId="0" borderId="1" xfId="0" applyFont="1" applyFill="1" applyBorder="1" applyAlignment="1">
      <alignment horizontal="center"/>
    </xf>
    <xf numFmtId="0" fontId="104" fillId="0" borderId="1" xfId="0" applyFont="1" applyFill="1" applyBorder="1" applyAlignment="1">
      <alignment horizontal="center"/>
    </xf>
    <xf numFmtId="0" fontId="96" fillId="0" borderId="1" xfId="0" applyFont="1" applyFill="1" applyBorder="1" applyAlignment="1">
      <alignment horizontal="center"/>
    </xf>
    <xf numFmtId="0" fontId="62" fillId="0" borderId="1" xfId="0" applyFont="1" applyBorder="1" applyAlignment="1">
      <alignment horizontal="center"/>
    </xf>
    <xf numFmtId="0" fontId="96" fillId="0" borderId="1" xfId="0" applyFont="1" applyBorder="1" applyAlignment="1">
      <alignment horizontal="center"/>
    </xf>
    <xf numFmtId="0" fontId="99" fillId="0" borderId="1" xfId="0" applyFont="1" applyBorder="1" applyAlignment="1">
      <alignment horizontal="center"/>
    </xf>
    <xf numFmtId="0" fontId="94" fillId="0" borderId="1" xfId="0" applyFont="1" applyBorder="1" applyAlignment="1">
      <alignment horizontal="center"/>
    </xf>
    <xf numFmtId="0" fontId="88" fillId="0" borderId="1" xfId="0" applyFont="1" applyBorder="1" applyAlignment="1">
      <alignment horizontal="center"/>
    </xf>
    <xf numFmtId="0" fontId="87" fillId="0" borderId="1" xfId="0" applyFont="1" applyBorder="1" applyAlignment="1">
      <alignment horizontal="center"/>
    </xf>
    <xf numFmtId="0" fontId="61" fillId="0" borderId="0" xfId="0" applyFont="1" applyAlignment="1">
      <alignment horizontal="center"/>
    </xf>
    <xf numFmtId="0" fontId="96" fillId="0" borderId="1" xfId="0" applyFont="1" applyBorder="1" applyAlignment="1">
      <alignment horizontal="center"/>
    </xf>
    <xf numFmtId="0" fontId="99" fillId="0" borderId="1" xfId="0" applyFont="1" applyBorder="1" applyAlignment="1">
      <alignment horizontal="center"/>
    </xf>
    <xf numFmtId="0" fontId="92" fillId="0" borderId="1" xfId="0" applyFont="1" applyBorder="1" applyAlignment="1">
      <alignment horizontal="center"/>
    </xf>
    <xf numFmtId="0" fontId="94"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90" fillId="0" borderId="1" xfId="0" applyFont="1" applyBorder="1" applyAlignment="1">
      <alignment horizontal="center"/>
    </xf>
    <xf numFmtId="0" fontId="60" fillId="0" borderId="0" xfId="0" applyFont="1" applyAlignment="1">
      <alignment horizontal="center"/>
    </xf>
    <xf numFmtId="0" fontId="99" fillId="0" borderId="0" xfId="0" applyFont="1" applyBorder="1" applyAlignment="1">
      <alignment horizontal="center"/>
    </xf>
    <xf numFmtId="0" fontId="96" fillId="0" borderId="0" xfId="0" applyFont="1" applyBorder="1" applyAlignment="1">
      <alignment horizontal="center"/>
    </xf>
    <xf numFmtId="0" fontId="60" fillId="0" borderId="1" xfId="0" applyFont="1" applyBorder="1" applyAlignment="1">
      <alignment horizontal="center"/>
    </xf>
    <xf numFmtId="0" fontId="60" fillId="0" borderId="0" xfId="0" applyFont="1" applyAlignment="1">
      <alignment horizontal="left"/>
    </xf>
    <xf numFmtId="0" fontId="74" fillId="0" borderId="1" xfId="0" applyFont="1" applyBorder="1" applyAlignment="1">
      <alignment horizontal="center"/>
    </xf>
    <xf numFmtId="0" fontId="76"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0" fontId="59" fillId="0" borderId="1" xfId="0" applyFont="1" applyBorder="1" applyAlignment="1">
      <alignment horizontal="center"/>
    </xf>
    <xf numFmtId="176" fontId="59" fillId="0" borderId="1" xfId="0" applyNumberFormat="1" applyFont="1" applyBorder="1" applyAlignment="1">
      <alignment horizontal="center"/>
    </xf>
    <xf numFmtId="0" fontId="94" fillId="0" borderId="5" xfId="0" applyFont="1" applyBorder="1" applyAlignment="1">
      <alignment horizontal="center"/>
    </xf>
    <xf numFmtId="180" fontId="91" fillId="0" borderId="5" xfId="0" applyNumberFormat="1" applyFont="1" applyBorder="1" applyAlignment="1">
      <alignment horizontal="center"/>
    </xf>
    <xf numFmtId="176" fontId="91" fillId="0" borderId="5" xfId="0" applyNumberFormat="1" applyFont="1" applyBorder="1" applyAlignment="1">
      <alignment horizontal="center"/>
    </xf>
    <xf numFmtId="0" fontId="105" fillId="0" borderId="5" xfId="0" applyFont="1" applyBorder="1" applyAlignment="1">
      <alignment horizontal="center"/>
    </xf>
    <xf numFmtId="180" fontId="104" fillId="0" borderId="1" xfId="0" applyNumberFormat="1" applyFont="1" applyBorder="1" applyAlignment="1">
      <alignment horizontal="center"/>
    </xf>
    <xf numFmtId="180" fontId="105" fillId="0" borderId="1" xfId="0" applyNumberFormat="1" applyFont="1" applyBorder="1" applyAlignment="1">
      <alignment horizontal="center"/>
    </xf>
    <xf numFmtId="0" fontId="96" fillId="0" borderId="1" xfId="0" applyNumberFormat="1" applyFont="1" applyBorder="1" applyAlignment="1">
      <alignment horizontal="center"/>
    </xf>
    <xf numFmtId="0" fontId="59" fillId="0" borderId="0" xfId="0" applyFont="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58" fillId="0" borderId="0" xfId="0" applyFont="1" applyAlignment="1">
      <alignment horizontal="center"/>
    </xf>
    <xf numFmtId="0" fontId="85" fillId="0" borderId="0" xfId="0" applyFont="1" applyBorder="1" applyAlignment="1">
      <alignment horizontal="center"/>
    </xf>
    <xf numFmtId="0" fontId="58" fillId="0" borderId="0" xfId="0" applyFont="1" applyBorder="1" applyAlignment="1">
      <alignment horizontal="center"/>
    </xf>
    <xf numFmtId="0" fontId="58" fillId="0" borderId="4" xfId="0" applyFont="1" applyBorder="1" applyAlignment="1">
      <alignment horizontal="center"/>
    </xf>
    <xf numFmtId="0" fontId="58" fillId="8" borderId="1" xfId="0" applyFont="1" applyFill="1" applyBorder="1" applyAlignment="1">
      <alignment horizontal="center"/>
    </xf>
    <xf numFmtId="0" fontId="74"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58" fillId="0" borderId="1" xfId="0" applyFont="1" applyBorder="1" applyAlignment="1">
      <alignment horizontal="center"/>
    </xf>
    <xf numFmtId="0" fontId="88" fillId="0" borderId="1" xfId="0" applyFont="1" applyBorder="1" applyAlignment="1">
      <alignment horizontal="center"/>
    </xf>
    <xf numFmtId="0" fontId="85" fillId="0" borderId="1" xfId="0" applyFont="1" applyBorder="1" applyAlignment="1">
      <alignment horizontal="center"/>
    </xf>
    <xf numFmtId="0" fontId="70" fillId="0" borderId="1" xfId="0" applyFont="1" applyBorder="1" applyAlignment="1">
      <alignment horizontal="center"/>
    </xf>
    <xf numFmtId="0" fontId="79" fillId="0" borderId="1" xfId="0" applyFont="1" applyBorder="1" applyAlignment="1">
      <alignment horizontal="center"/>
    </xf>
    <xf numFmtId="0" fontId="57" fillId="0" borderId="0" xfId="0" applyFont="1" applyAlignment="1">
      <alignment horizontal="center"/>
    </xf>
    <xf numFmtId="176" fontId="79" fillId="0" borderId="0" xfId="0" applyNumberFormat="1" applyFont="1" applyAlignment="1">
      <alignment horizontal="center"/>
    </xf>
    <xf numFmtId="0" fontId="57" fillId="0" borderId="1" xfId="0" applyFont="1" applyBorder="1" applyAlignment="1">
      <alignment horizontal="center"/>
    </xf>
    <xf numFmtId="0" fontId="74"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58" fillId="0" borderId="1" xfId="0" applyFont="1" applyBorder="1" applyAlignment="1">
      <alignment horizontal="center"/>
    </xf>
    <xf numFmtId="0" fontId="70" fillId="0" borderId="1" xfId="0" applyFont="1" applyBorder="1" applyAlignment="1">
      <alignment horizontal="center"/>
    </xf>
    <xf numFmtId="0" fontId="56" fillId="0" borderId="1" xfId="0" applyFont="1" applyBorder="1" applyAlignment="1">
      <alignment horizontal="center"/>
    </xf>
    <xf numFmtId="0" fontId="56" fillId="0" borderId="0" xfId="0" applyFont="1" applyBorder="1" applyAlignment="1">
      <alignment horizontal="center"/>
    </xf>
    <xf numFmtId="0" fontId="74" fillId="0" borderId="0" xfId="0" applyFont="1" applyAlignment="1">
      <alignment horizontal="left"/>
    </xf>
    <xf numFmtId="176" fontId="74" fillId="0" borderId="1" xfId="0" applyNumberFormat="1" applyFont="1" applyBorder="1" applyAlignment="1">
      <alignment horizontal="center"/>
    </xf>
    <xf numFmtId="0" fontId="74" fillId="0" borderId="1" xfId="0" applyNumberFormat="1" applyFont="1" applyBorder="1" applyAlignment="1">
      <alignment horizontal="center"/>
    </xf>
    <xf numFmtId="0" fontId="58" fillId="0" borderId="0" xfId="0" applyNumberFormat="1" applyFont="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88" fillId="0" borderId="1" xfId="0" applyFont="1" applyBorder="1" applyAlignment="1">
      <alignment horizontal="center"/>
    </xf>
    <xf numFmtId="0" fontId="55" fillId="0" borderId="1" xfId="0" applyFont="1" applyBorder="1" applyAlignment="1">
      <alignment horizontal="center"/>
    </xf>
    <xf numFmtId="0" fontId="55" fillId="0" borderId="1"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left"/>
    </xf>
    <xf numFmtId="0" fontId="74" fillId="0" borderId="1" xfId="0" applyFont="1" applyBorder="1" applyAlignment="1">
      <alignment horizontal="center"/>
    </xf>
    <xf numFmtId="0" fontId="54" fillId="0" borderId="0" xfId="0" applyFont="1" applyAlignment="1">
      <alignment horizontal="center"/>
    </xf>
    <xf numFmtId="0" fontId="54" fillId="0" borderId="0" xfId="0" applyFont="1" applyAlignment="1">
      <alignment horizontal="left"/>
    </xf>
    <xf numFmtId="0" fontId="54" fillId="0" borderId="1" xfId="0" applyFont="1" applyBorder="1" applyAlignment="1">
      <alignment horizontal="center"/>
    </xf>
    <xf numFmtId="0" fontId="74" fillId="0" borderId="1" xfId="0" applyFont="1" applyBorder="1" applyAlignment="1">
      <alignment horizontal="center"/>
    </xf>
    <xf numFmtId="0" fontId="71" fillId="0" borderId="1" xfId="0" applyFont="1" applyBorder="1" applyAlignment="1">
      <alignment horizontal="center"/>
    </xf>
    <xf numFmtId="0" fontId="58" fillId="0" borderId="1" xfId="0" applyFont="1" applyBorder="1" applyAlignment="1">
      <alignment horizontal="center"/>
    </xf>
    <xf numFmtId="0" fontId="53" fillId="0" borderId="0" xfId="0" applyFont="1" applyAlignment="1">
      <alignment horizontal="center"/>
    </xf>
    <xf numFmtId="0" fontId="53" fillId="0" borderId="0" xfId="0" applyFont="1" applyAlignment="1">
      <alignment horizontal="left"/>
    </xf>
    <xf numFmtId="9" fontId="55" fillId="0" borderId="0" xfId="0" applyNumberFormat="1" applyFont="1" applyAlignment="1">
      <alignment horizontal="center"/>
    </xf>
    <xf numFmtId="179" fontId="55" fillId="0" borderId="0" xfId="0" applyNumberFormat="1" applyFont="1" applyAlignment="1">
      <alignment horizontal="center"/>
    </xf>
    <xf numFmtId="0" fontId="53" fillId="0" borderId="1" xfId="0" applyFont="1" applyBorder="1" applyAlignment="1">
      <alignment horizontal="center"/>
    </xf>
    <xf numFmtId="0" fontId="76" fillId="0" borderId="1" xfId="0" applyFont="1" applyBorder="1" applyAlignment="1">
      <alignment horizontal="center"/>
    </xf>
    <xf numFmtId="0" fontId="52" fillId="0" borderId="1" xfId="0" applyFont="1" applyBorder="1" applyAlignment="1">
      <alignment horizontal="center"/>
    </xf>
    <xf numFmtId="0" fontId="52" fillId="0" borderId="0" xfId="0" applyFont="1" applyAlignment="1">
      <alignment horizontal="center"/>
    </xf>
    <xf numFmtId="0" fontId="51" fillId="0" borderId="0" xfId="0" applyFont="1" applyAlignment="1">
      <alignment horizontal="center"/>
    </xf>
    <xf numFmtId="9" fontId="51" fillId="0" borderId="0" xfId="0" applyNumberFormat="1" applyFont="1" applyAlignment="1">
      <alignment horizontal="center"/>
    </xf>
    <xf numFmtId="0" fontId="51" fillId="0" borderId="1" xfId="0" applyFont="1" applyBorder="1" applyAlignment="1">
      <alignment horizontal="center"/>
    </xf>
    <xf numFmtId="0" fontId="85" fillId="0" borderId="1" xfId="0" applyNumberFormat="1" applyFont="1" applyBorder="1" applyAlignment="1">
      <alignment horizontal="center"/>
    </xf>
    <xf numFmtId="176" fontId="76" fillId="0" borderId="0" xfId="0" applyNumberFormat="1" applyFont="1" applyBorder="1" applyAlignment="1">
      <alignment horizontal="center"/>
    </xf>
    <xf numFmtId="181" fontId="76" fillId="0" borderId="0" xfId="0" applyNumberFormat="1" applyFont="1" applyBorder="1" applyAlignment="1">
      <alignment horizontal="center"/>
    </xf>
    <xf numFmtId="0" fontId="76" fillId="0" borderId="1" xfId="0" applyNumberFormat="1" applyFont="1" applyBorder="1" applyAlignment="1">
      <alignment horizontal="center"/>
    </xf>
    <xf numFmtId="0" fontId="74" fillId="0" borderId="1" xfId="0" applyFont="1" applyBorder="1" applyAlignment="1">
      <alignment horizontal="center"/>
    </xf>
    <xf numFmtId="0" fontId="50" fillId="0" borderId="0" xfId="0" applyFont="1" applyAlignment="1">
      <alignment horizontal="center"/>
    </xf>
    <xf numFmtId="0" fontId="76" fillId="0" borderId="1" xfId="0" applyFont="1" applyBorder="1" applyAlignment="1">
      <alignment horizontal="center"/>
    </xf>
    <xf numFmtId="0" fontId="65" fillId="0" borderId="1" xfId="0" applyFont="1" applyBorder="1" applyAlignment="1">
      <alignment horizontal="center"/>
    </xf>
    <xf numFmtId="0" fontId="51" fillId="0" borderId="1" xfId="0" applyFont="1" applyBorder="1" applyAlignment="1">
      <alignment horizontal="center"/>
    </xf>
    <xf numFmtId="0" fontId="88" fillId="0" borderId="1" xfId="0" applyFont="1" applyBorder="1" applyAlignment="1">
      <alignment horizontal="center"/>
    </xf>
    <xf numFmtId="0" fontId="89" fillId="0" borderId="1" xfId="0" applyFont="1" applyBorder="1" applyAlignment="1">
      <alignment horizontal="center"/>
    </xf>
    <xf numFmtId="176" fontId="49" fillId="0" borderId="1" xfId="0" applyNumberFormat="1" applyFont="1" applyBorder="1" applyAlignment="1">
      <alignment horizontal="center"/>
    </xf>
    <xf numFmtId="0" fontId="49" fillId="0" borderId="1" xfId="0" applyFont="1" applyBorder="1" applyAlignment="1">
      <alignment horizontal="center"/>
    </xf>
    <xf numFmtId="181" fontId="74" fillId="0" borderId="1" xfId="0" applyNumberFormat="1" applyFont="1" applyBorder="1" applyAlignment="1">
      <alignment horizontal="center"/>
    </xf>
    <xf numFmtId="0" fontId="49" fillId="0" borderId="0" xfId="0" applyFont="1" applyAlignment="1">
      <alignment horizontal="center"/>
    </xf>
    <xf numFmtId="0" fontId="74" fillId="0" borderId="1" xfId="0" applyFont="1" applyBorder="1" applyAlignment="1">
      <alignment horizontal="center"/>
    </xf>
    <xf numFmtId="0" fontId="69" fillId="0" borderId="1" xfId="0" applyFont="1" applyBorder="1" applyAlignment="1">
      <alignment horizontal="center"/>
    </xf>
    <xf numFmtId="0" fontId="68" fillId="0" borderId="1" xfId="0" applyFont="1" applyBorder="1" applyAlignment="1">
      <alignment horizontal="center"/>
    </xf>
    <xf numFmtId="0" fontId="49" fillId="0" borderId="0" xfId="0" applyNumberFormat="1" applyFont="1" applyAlignment="1">
      <alignment horizontal="center"/>
    </xf>
    <xf numFmtId="0" fontId="55" fillId="0" borderId="0" xfId="0" applyNumberFormat="1" applyFont="1" applyAlignment="1">
      <alignment horizontal="center"/>
    </xf>
    <xf numFmtId="0" fontId="48" fillId="0" borderId="0" xfId="0" applyFont="1" applyAlignment="1">
      <alignment horizontal="center"/>
    </xf>
    <xf numFmtId="0" fontId="48" fillId="0" borderId="1" xfId="0" applyFont="1" applyBorder="1" applyAlignment="1">
      <alignment horizontal="center"/>
    </xf>
    <xf numFmtId="176" fontId="89" fillId="0" borderId="1" xfId="0" applyNumberFormat="1" applyFont="1" applyBorder="1" applyAlignment="1">
      <alignment horizontal="center"/>
    </xf>
    <xf numFmtId="0" fontId="89" fillId="0" borderId="1" xfId="0" applyNumberFormat="1" applyFont="1" applyBorder="1" applyAlignment="1">
      <alignment horizontal="center"/>
    </xf>
    <xf numFmtId="176" fontId="89" fillId="0" borderId="0" xfId="0" applyNumberFormat="1" applyFont="1" applyAlignment="1">
      <alignment horizontal="center"/>
    </xf>
    <xf numFmtId="0" fontId="48" fillId="0" borderId="0" xfId="0" applyFont="1" applyAlignment="1">
      <alignment horizontal="left"/>
    </xf>
    <xf numFmtId="0" fontId="76" fillId="0" borderId="1" xfId="0" applyFont="1" applyBorder="1" applyAlignment="1">
      <alignment horizontal="center"/>
    </xf>
    <xf numFmtId="0" fontId="51" fillId="0" borderId="1" xfId="0" applyFont="1" applyBorder="1" applyAlignment="1">
      <alignment horizontal="center"/>
    </xf>
    <xf numFmtId="0" fontId="47" fillId="0" borderId="0" xfId="0" applyFont="1" applyAlignment="1">
      <alignment horizontal="center"/>
    </xf>
    <xf numFmtId="0" fontId="47" fillId="0" borderId="1" xfId="0" applyFont="1" applyBorder="1" applyAlignment="1">
      <alignment horizontal="center"/>
    </xf>
    <xf numFmtId="176" fontId="47" fillId="0" borderId="1" xfId="0" applyNumberFormat="1" applyFont="1" applyBorder="1" applyAlignment="1">
      <alignment horizontal="center"/>
    </xf>
    <xf numFmtId="180" fontId="47" fillId="0" borderId="1" xfId="0" applyNumberFormat="1" applyFont="1" applyBorder="1" applyAlignment="1">
      <alignment horizontal="center"/>
    </xf>
    <xf numFmtId="180" fontId="76" fillId="0" borderId="0" xfId="0" applyNumberFormat="1" applyFont="1" applyAlignment="1">
      <alignment horizontal="center"/>
    </xf>
    <xf numFmtId="0" fontId="74" fillId="0" borderId="1" xfId="0" applyFont="1" applyBorder="1" applyAlignment="1">
      <alignment horizontal="center"/>
    </xf>
    <xf numFmtId="0" fontId="46" fillId="0" borderId="1" xfId="0" applyFont="1" applyBorder="1" applyAlignment="1">
      <alignment horizontal="center"/>
    </xf>
    <xf numFmtId="0" fontId="46" fillId="0" borderId="0" xfId="0" applyFont="1" applyAlignment="1">
      <alignment horizontal="center"/>
    </xf>
    <xf numFmtId="0" fontId="76" fillId="0" borderId="1" xfId="0" applyFont="1" applyBorder="1" applyAlignment="1">
      <alignment horizontal="center"/>
    </xf>
    <xf numFmtId="0" fontId="88" fillId="0" borderId="1" xfId="0" applyFont="1" applyBorder="1" applyAlignment="1">
      <alignment horizontal="center"/>
    </xf>
    <xf numFmtId="0" fontId="47" fillId="0" borderId="1" xfId="0" applyFont="1" applyBorder="1" applyAlignment="1">
      <alignment horizontal="center"/>
    </xf>
    <xf numFmtId="0" fontId="45"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1" fillId="0" borderId="1" xfId="0" applyFont="1" applyBorder="1" applyAlignment="1">
      <alignment horizontal="center"/>
    </xf>
    <xf numFmtId="0" fontId="58"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47" fillId="0" borderId="1" xfId="0" applyFont="1" applyBorder="1" applyAlignment="1">
      <alignment horizontal="center"/>
    </xf>
    <xf numFmtId="0" fontId="44" fillId="0" borderId="0" xfId="0" applyFont="1" applyAlignment="1">
      <alignment horizontal="center"/>
    </xf>
    <xf numFmtId="0" fontId="44" fillId="0" borderId="1" xfId="0" applyFont="1" applyBorder="1" applyAlignment="1">
      <alignment horizontal="center"/>
    </xf>
    <xf numFmtId="176" fontId="46" fillId="0" borderId="1" xfId="0" applyNumberFormat="1" applyFont="1" applyBorder="1" applyAlignment="1">
      <alignment horizontal="center"/>
    </xf>
    <xf numFmtId="0" fontId="44" fillId="0" borderId="0" xfId="0" applyFont="1" applyBorder="1" applyAlignment="1">
      <alignment horizontal="center"/>
    </xf>
    <xf numFmtId="0" fontId="46" fillId="0" borderId="0" xfId="0" applyFont="1" applyBorder="1" applyAlignment="1">
      <alignment horizontal="center"/>
    </xf>
    <xf numFmtId="180" fontId="46" fillId="0" borderId="1" xfId="0" applyNumberFormat="1"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88" fillId="0" borderId="1" xfId="0" applyFont="1" applyBorder="1" applyAlignment="1">
      <alignment horizontal="center"/>
    </xf>
    <xf numFmtId="0" fontId="89" fillId="0" borderId="1" xfId="0" applyFont="1" applyBorder="1" applyAlignment="1">
      <alignment horizontal="center"/>
    </xf>
    <xf numFmtId="0" fontId="70" fillId="0" borderId="1" xfId="0" applyFont="1" applyBorder="1" applyAlignment="1">
      <alignment horizontal="center"/>
    </xf>
    <xf numFmtId="0" fontId="43" fillId="0" borderId="1" xfId="0" applyFont="1" applyBorder="1" applyAlignment="1">
      <alignment horizontal="center"/>
    </xf>
    <xf numFmtId="0" fontId="58" fillId="0" borderId="1" xfId="0" applyNumberFormat="1" applyFont="1" applyBorder="1" applyAlignment="1">
      <alignment horizontal="center"/>
    </xf>
    <xf numFmtId="0" fontId="65" fillId="0" borderId="1" xfId="0" applyFont="1" applyBorder="1" applyAlignment="1">
      <alignment horizontal="center"/>
    </xf>
    <xf numFmtId="0" fontId="44" fillId="0" borderId="1" xfId="0" applyFont="1" applyBorder="1" applyAlignment="1">
      <alignment horizontal="center"/>
    </xf>
    <xf numFmtId="0" fontId="73" fillId="0" borderId="1" xfId="0" applyFont="1" applyBorder="1" applyAlignment="1">
      <alignment horizontal="center"/>
    </xf>
    <xf numFmtId="0" fontId="76" fillId="0" borderId="1" xfId="0" applyFont="1" applyBorder="1" applyAlignment="1">
      <alignment horizontal="center"/>
    </xf>
    <xf numFmtId="0" fontId="86"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8"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0" fontId="42" fillId="0" borderId="1" xfId="0" applyFont="1" applyBorder="1" applyAlignment="1">
      <alignment horizontal="center"/>
    </xf>
    <xf numFmtId="0" fontId="76" fillId="0" borderId="1" xfId="0" applyFont="1" applyBorder="1" applyAlignment="1">
      <alignment horizontal="center"/>
    </xf>
    <xf numFmtId="0" fontId="74" fillId="0" borderId="1" xfId="0" applyFont="1" applyBorder="1" applyAlignment="1">
      <alignment horizontal="center"/>
    </xf>
    <xf numFmtId="0" fontId="69" fillId="0" borderId="1" xfId="0" applyFont="1" applyBorder="1" applyAlignment="1">
      <alignment horizontal="center"/>
    </xf>
    <xf numFmtId="0" fontId="68" fillId="0" borderId="1" xfId="0" applyFont="1" applyBorder="1" applyAlignment="1">
      <alignment horizontal="center"/>
    </xf>
    <xf numFmtId="0" fontId="41" fillId="0" borderId="1" xfId="0" applyFont="1" applyBorder="1" applyAlignment="1">
      <alignment horizontal="left"/>
    </xf>
    <xf numFmtId="0" fontId="74" fillId="0" borderId="1" xfId="0" applyFont="1" applyBorder="1" applyAlignment="1">
      <alignment horizontal="center"/>
    </xf>
    <xf numFmtId="0" fontId="58" fillId="0" borderId="1" xfId="0" applyFont="1" applyBorder="1" applyAlignment="1">
      <alignment horizontal="center"/>
    </xf>
    <xf numFmtId="0" fontId="40" fillId="0" borderId="1" xfId="0" applyFont="1" applyBorder="1" applyAlignment="1">
      <alignment horizontal="center"/>
    </xf>
    <xf numFmtId="0" fontId="74" fillId="0" borderId="1" xfId="0" applyFont="1" applyBorder="1" applyAlignment="1">
      <alignment horizontal="center"/>
    </xf>
    <xf numFmtId="0" fontId="39" fillId="0" borderId="0" xfId="0" applyFont="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86" fillId="0" borderId="1" xfId="0" applyFont="1" applyBorder="1" applyAlignment="1">
      <alignment horizontal="center"/>
    </xf>
    <xf numFmtId="0" fontId="38" fillId="0" borderId="0" xfId="0" applyFont="1" applyAlignment="1">
      <alignment horizontal="center"/>
    </xf>
    <xf numFmtId="0" fontId="37" fillId="0" borderId="0" xfId="0" applyFont="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36" fillId="0" borderId="1" xfId="0" applyFont="1" applyBorder="1" applyAlignment="1">
      <alignment horizontal="center"/>
    </xf>
    <xf numFmtId="0" fontId="74" fillId="0" borderId="1" xfId="0" applyFont="1" applyBorder="1" applyAlignment="1">
      <alignment horizontal="center"/>
    </xf>
    <xf numFmtId="0" fontId="35" fillId="0" borderId="1" xfId="0" applyFont="1" applyBorder="1" applyAlignment="1">
      <alignment horizontal="center"/>
    </xf>
    <xf numFmtId="0" fontId="34"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4" fillId="0" borderId="1" xfId="0" applyFont="1" applyBorder="1" applyAlignment="1">
      <alignment horizontal="center"/>
    </xf>
    <xf numFmtId="0" fontId="79" fillId="0" borderId="1" xfId="0" applyFont="1" applyBorder="1" applyAlignment="1">
      <alignment horizontal="center"/>
    </xf>
    <xf numFmtId="0" fontId="33" fillId="0" borderId="1" xfId="0" applyFont="1" applyBorder="1" applyAlignment="1">
      <alignment horizontal="center"/>
    </xf>
    <xf numFmtId="0" fontId="32"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70" fillId="0" borderId="1" xfId="0" applyFont="1" applyBorder="1" applyAlignment="1">
      <alignment horizontal="center"/>
    </xf>
    <xf numFmtId="0" fontId="31" fillId="0" borderId="0" xfId="0" applyFont="1" applyAlignment="1">
      <alignment horizontal="center"/>
    </xf>
    <xf numFmtId="0" fontId="30" fillId="0" borderId="1" xfId="0" applyFont="1" applyBorder="1" applyAlignment="1">
      <alignment horizontal="left"/>
    </xf>
    <xf numFmtId="0" fontId="74" fillId="0" borderId="1" xfId="0" applyFont="1" applyBorder="1" applyAlignment="1">
      <alignment horizontal="center"/>
    </xf>
    <xf numFmtId="0" fontId="76" fillId="0" borderId="1" xfId="0" applyFont="1" applyBorder="1" applyAlignment="1">
      <alignment horizontal="center"/>
    </xf>
    <xf numFmtId="0" fontId="29" fillId="0" borderId="1" xfId="0" applyFont="1" applyBorder="1" applyAlignment="1">
      <alignment horizontal="center"/>
    </xf>
    <xf numFmtId="0" fontId="29" fillId="0" borderId="1" xfId="0" applyFont="1" applyBorder="1" applyAlignment="1">
      <alignment horizontal="left"/>
    </xf>
    <xf numFmtId="0" fontId="99" fillId="0" borderId="1" xfId="0" applyFont="1" applyBorder="1" applyAlignment="1">
      <alignment horizontal="center"/>
    </xf>
    <xf numFmtId="0" fontId="28" fillId="0" borderId="0" xfId="0" applyFont="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27" fillId="0" borderId="1" xfId="0" applyFont="1" applyBorder="1" applyAlignment="1">
      <alignment horizontal="left"/>
    </xf>
    <xf numFmtId="0" fontId="96" fillId="0" borderId="1" xfId="0" applyFont="1" applyBorder="1" applyAlignment="1">
      <alignment horizontal="center"/>
    </xf>
    <xf numFmtId="0" fontId="99" fillId="0" borderId="1" xfId="0" applyFont="1" applyBorder="1" applyAlignment="1">
      <alignment horizontal="center"/>
    </xf>
    <xf numFmtId="0" fontId="100"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26" fillId="0" borderId="0" xfId="0" applyFont="1" applyAlignment="1">
      <alignment horizontal="center"/>
    </xf>
    <xf numFmtId="0" fontId="26" fillId="0" borderId="0" xfId="0" applyFont="1" applyAlignment="1">
      <alignment horizontal="left"/>
    </xf>
    <xf numFmtId="9" fontId="104" fillId="0" borderId="0" xfId="0" applyNumberFormat="1" applyFont="1" applyBorder="1" applyAlignment="1">
      <alignment horizontal="center"/>
    </xf>
    <xf numFmtId="176" fontId="100" fillId="0" borderId="0" xfId="0" applyNumberFormat="1" applyFont="1" applyBorder="1" applyAlignment="1">
      <alignment horizontal="center"/>
    </xf>
    <xf numFmtId="0" fontId="26" fillId="0" borderId="1" xfId="0" applyFont="1" applyBorder="1" applyAlignment="1">
      <alignment horizontal="center"/>
    </xf>
    <xf numFmtId="9" fontId="105" fillId="0" borderId="1" xfId="0" applyNumberFormat="1" applyFont="1" applyBorder="1" applyAlignment="1">
      <alignment horizontal="center"/>
    </xf>
    <xf numFmtId="0" fontId="26" fillId="0" borderId="0" xfId="0" applyFont="1" applyBorder="1" applyAlignment="1">
      <alignment horizontal="center"/>
    </xf>
    <xf numFmtId="9" fontId="106" fillId="0" borderId="1" xfId="0" applyNumberFormat="1" applyFont="1" applyBorder="1" applyAlignment="1">
      <alignment horizontal="center"/>
    </xf>
    <xf numFmtId="0" fontId="26" fillId="0" borderId="1" xfId="0" applyNumberFormat="1" applyFont="1" applyBorder="1" applyAlignment="1">
      <alignment horizontal="center"/>
    </xf>
    <xf numFmtId="178" fontId="100" fillId="0" borderId="1" xfId="0" applyNumberFormat="1" applyFont="1" applyBorder="1" applyAlignment="1">
      <alignment horizontal="center"/>
    </xf>
    <xf numFmtId="0" fontId="26" fillId="0" borderId="1" xfId="0" applyFont="1" applyBorder="1" applyAlignment="1">
      <alignment horizontal="center"/>
    </xf>
    <xf numFmtId="0" fontId="88" fillId="0" borderId="1" xfId="0" applyFont="1" applyBorder="1" applyAlignment="1">
      <alignment horizontal="center"/>
    </xf>
    <xf numFmtId="0" fontId="79" fillId="0" borderId="1" xfId="0" applyFont="1" applyBorder="1" applyAlignment="1">
      <alignment horizontal="center"/>
    </xf>
    <xf numFmtId="0" fontId="25" fillId="0" borderId="1" xfId="0" applyFont="1" applyBorder="1" applyAlignment="1">
      <alignment horizontal="center"/>
    </xf>
    <xf numFmtId="0" fontId="104" fillId="0" borderId="0" xfId="0" applyNumberFormat="1" applyFont="1" applyBorder="1" applyAlignment="1">
      <alignment horizontal="center"/>
    </xf>
    <xf numFmtId="0" fontId="25" fillId="0" borderId="1" xfId="0" applyFont="1" applyBorder="1" applyAlignment="1">
      <alignment horizontal="center"/>
    </xf>
    <xf numFmtId="0" fontId="105" fillId="0" borderId="1" xfId="0" applyNumberFormat="1" applyFont="1" applyBorder="1" applyAlignment="1">
      <alignment horizontal="center"/>
    </xf>
    <xf numFmtId="178" fontId="105" fillId="0" borderId="1" xfId="0" applyNumberFormat="1" applyFont="1" applyBorder="1" applyAlignment="1">
      <alignment horizontal="center"/>
    </xf>
    <xf numFmtId="0" fontId="88" fillId="0" borderId="0" xfId="0" applyNumberFormat="1" applyFont="1" applyAlignment="1">
      <alignment horizontal="center"/>
    </xf>
    <xf numFmtId="0" fontId="59" fillId="0" borderId="5" xfId="0" applyFont="1" applyBorder="1" applyAlignment="1">
      <alignment horizontal="center"/>
    </xf>
    <xf numFmtId="0" fontId="25" fillId="0" borderId="5" xfId="0" applyFont="1" applyBorder="1" applyAlignment="1">
      <alignment horizontal="center"/>
    </xf>
    <xf numFmtId="0" fontId="24" fillId="0" borderId="1" xfId="0" applyFont="1" applyBorder="1" applyAlignment="1">
      <alignment horizontal="center"/>
    </xf>
    <xf numFmtId="176" fontId="104" fillId="2" borderId="1" xfId="0" applyNumberFormat="1" applyFont="1" applyFill="1" applyBorder="1" applyAlignment="1">
      <alignment horizontal="center"/>
    </xf>
    <xf numFmtId="0" fontId="91" fillId="0" borderId="1" xfId="0" applyFont="1" applyBorder="1" applyAlignment="1">
      <alignment horizontal="center"/>
    </xf>
    <xf numFmtId="0" fontId="96" fillId="0" borderId="1" xfId="0" applyFont="1" applyBorder="1" applyAlignment="1">
      <alignment horizontal="center"/>
    </xf>
    <xf numFmtId="0" fontId="26" fillId="0" borderId="1" xfId="0" applyFont="1" applyBorder="1" applyAlignment="1">
      <alignment horizontal="center"/>
    </xf>
    <xf numFmtId="0" fontId="76" fillId="0" borderId="1" xfId="0" applyFont="1" applyBorder="1" applyAlignment="1">
      <alignment horizontal="center"/>
    </xf>
    <xf numFmtId="0" fontId="71"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25" fillId="0" borderId="1" xfId="0" applyFont="1" applyBorder="1" applyAlignment="1">
      <alignment horizontal="center"/>
    </xf>
    <xf numFmtId="0" fontId="87" fillId="0" borderId="1" xfId="0" applyFont="1" applyBorder="1" applyAlignment="1">
      <alignment horizontal="center"/>
    </xf>
    <xf numFmtId="0" fontId="92" fillId="0" borderId="1" xfId="0" applyFont="1" applyBorder="1" applyAlignment="1">
      <alignment horizontal="center"/>
    </xf>
    <xf numFmtId="0" fontId="86" fillId="0" borderId="1" xfId="0" applyFont="1" applyBorder="1" applyAlignment="1">
      <alignment horizontal="center"/>
    </xf>
    <xf numFmtId="0" fontId="85" fillId="0" borderId="1" xfId="0" applyFont="1" applyBorder="1" applyAlignment="1">
      <alignment horizontal="center"/>
    </xf>
    <xf numFmtId="0" fontId="79"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105" fillId="0" borderId="1" xfId="0" applyFont="1" applyBorder="1" applyAlignment="1">
      <alignment horizontal="center"/>
    </xf>
    <xf numFmtId="0" fontId="89" fillId="0" borderId="1" xfId="0" applyFont="1" applyBorder="1" applyAlignment="1">
      <alignment horizontal="center"/>
    </xf>
    <xf numFmtId="0" fontId="68" fillId="0" borderId="1" xfId="0" applyFont="1" applyBorder="1" applyAlignment="1">
      <alignment horizontal="center"/>
    </xf>
    <xf numFmtId="0" fontId="23" fillId="0" borderId="0" xfId="0" applyFont="1" applyAlignment="1">
      <alignment horizontal="center"/>
    </xf>
    <xf numFmtId="0" fontId="23" fillId="0" borderId="1" xfId="0" applyFont="1" applyBorder="1" applyAlignment="1">
      <alignment horizontal="center"/>
    </xf>
    <xf numFmtId="180" fontId="23" fillId="0" borderId="1" xfId="0" applyNumberFormat="1" applyFont="1" applyBorder="1" applyAlignment="1">
      <alignment horizontal="center"/>
    </xf>
    <xf numFmtId="0" fontId="23" fillId="0" borderId="0" xfId="0" applyFont="1" applyBorder="1" applyAlignment="1">
      <alignment horizontal="center"/>
    </xf>
    <xf numFmtId="180" fontId="79" fillId="0" borderId="0" xfId="0" applyNumberFormat="1" applyFont="1" applyAlignment="1">
      <alignment horizontal="center"/>
    </xf>
    <xf numFmtId="176" fontId="23" fillId="0" borderId="1" xfId="0" applyNumberFormat="1" applyFont="1" applyBorder="1" applyAlignment="1">
      <alignment horizontal="center"/>
    </xf>
    <xf numFmtId="180" fontId="106" fillId="0" borderId="1" xfId="0" applyNumberFormat="1" applyFont="1" applyBorder="1" applyAlignment="1">
      <alignment horizontal="center"/>
    </xf>
    <xf numFmtId="0" fontId="106" fillId="0" borderId="0" xfId="0" applyFont="1" applyBorder="1" applyAlignment="1">
      <alignment horizontal="center"/>
    </xf>
    <xf numFmtId="178" fontId="23" fillId="0" borderId="1" xfId="0" applyNumberFormat="1" applyFont="1" applyBorder="1" applyAlignment="1">
      <alignment horizontal="center"/>
    </xf>
    <xf numFmtId="0" fontId="23" fillId="0" borderId="1" xfId="0" applyNumberFormat="1" applyFont="1" applyBorder="1" applyAlignment="1">
      <alignment horizontal="center"/>
    </xf>
    <xf numFmtId="180" fontId="84" fillId="0" borderId="1" xfId="0" applyNumberFormat="1" applyFont="1" applyBorder="1" applyAlignment="1">
      <alignment horizontal="center"/>
    </xf>
    <xf numFmtId="0" fontId="106" fillId="0" borderId="1" xfId="0" applyNumberFormat="1" applyFont="1" applyBorder="1" applyAlignment="1">
      <alignment horizontal="center"/>
    </xf>
    <xf numFmtId="0" fontId="76" fillId="0" borderId="0" xfId="0" applyNumberFormat="1" applyFont="1" applyBorder="1" applyAlignment="1">
      <alignment horizontal="center"/>
    </xf>
    <xf numFmtId="0" fontId="23" fillId="0" borderId="1" xfId="0" applyFont="1" applyFill="1" applyBorder="1" applyAlignment="1">
      <alignment horizontal="center"/>
    </xf>
    <xf numFmtId="0" fontId="99" fillId="0" borderId="1" xfId="0" applyFont="1" applyBorder="1" applyAlignment="1">
      <alignment horizontal="center"/>
    </xf>
    <xf numFmtId="0" fontId="100"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1" fillId="0" borderId="1" xfId="0" applyFont="1" applyBorder="1" applyAlignment="1">
      <alignment horizontal="center"/>
    </xf>
    <xf numFmtId="0" fontId="65"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23" fillId="0" borderId="1" xfId="0" applyFont="1" applyBorder="1" applyAlignment="1">
      <alignment horizontal="center"/>
    </xf>
    <xf numFmtId="0" fontId="88" fillId="0" borderId="1" xfId="0" applyFont="1" applyBorder="1" applyAlignment="1">
      <alignment horizontal="center"/>
    </xf>
    <xf numFmtId="0" fontId="85" fillId="0" borderId="1" xfId="0" applyFont="1" applyBorder="1" applyAlignment="1">
      <alignment horizontal="center"/>
    </xf>
    <xf numFmtId="0" fontId="70" fillId="0" borderId="1" xfId="0" applyFont="1" applyBorder="1" applyAlignment="1">
      <alignment horizontal="center"/>
    </xf>
    <xf numFmtId="0" fontId="68" fillId="0" borderId="1" xfId="0" applyFont="1" applyBorder="1" applyAlignment="1">
      <alignment horizontal="center"/>
    </xf>
    <xf numFmtId="0" fontId="22" fillId="0" borderId="1" xfId="0" applyFont="1" applyBorder="1" applyAlignment="1">
      <alignment horizontal="center"/>
    </xf>
    <xf numFmtId="0" fontId="22" fillId="0" borderId="0" xfId="0" applyFont="1" applyBorder="1" applyAlignment="1">
      <alignment horizontal="left"/>
    </xf>
    <xf numFmtId="176" fontId="106" fillId="0" borderId="1" xfId="0" applyNumberFormat="1"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0" fontId="21" fillId="0" borderId="1" xfId="0" applyFont="1" applyBorder="1" applyAlignment="1">
      <alignment horizontal="center"/>
    </xf>
    <xf numFmtId="0" fontId="21" fillId="0" borderId="1" xfId="0" applyFont="1" applyBorder="1" applyAlignment="1">
      <alignment horizontal="center"/>
    </xf>
    <xf numFmtId="0" fontId="21" fillId="0" borderId="0" xfId="0" applyFont="1" applyAlignment="1">
      <alignment horizontal="center"/>
    </xf>
    <xf numFmtId="9" fontId="76" fillId="0" borderId="1" xfId="0" applyNumberFormat="1" applyFont="1" applyBorder="1" applyAlignment="1">
      <alignment horizontal="center"/>
    </xf>
    <xf numFmtId="0" fontId="21" fillId="0" borderId="0" xfId="0" applyFont="1" applyAlignment="1">
      <alignment horizontal="left"/>
    </xf>
    <xf numFmtId="176" fontId="53" fillId="0" borderId="1" xfId="0" applyNumberFormat="1" applyFont="1" applyBorder="1" applyAlignment="1">
      <alignment horizontal="center"/>
    </xf>
    <xf numFmtId="176" fontId="21" fillId="0" borderId="1" xfId="0" applyNumberFormat="1" applyFont="1" applyBorder="1" applyAlignment="1">
      <alignment horizontal="center"/>
    </xf>
    <xf numFmtId="0" fontId="21" fillId="0" borderId="1" xfId="0" applyFont="1" applyFill="1" applyBorder="1" applyAlignment="1">
      <alignment horizontal="center"/>
    </xf>
    <xf numFmtId="0" fontId="21" fillId="0" borderId="1" xfId="0" applyFont="1" applyBorder="1" applyAlignment="1">
      <alignment horizontal="left"/>
    </xf>
    <xf numFmtId="178" fontId="73" fillId="0" borderId="0" xfId="0" applyNumberFormat="1" applyFont="1" applyBorder="1" applyAlignment="1">
      <alignment horizontal="center"/>
    </xf>
    <xf numFmtId="0" fontId="21"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22" fillId="0" borderId="1" xfId="0" applyFont="1" applyBorder="1" applyAlignment="1">
      <alignment horizontal="center"/>
    </xf>
    <xf numFmtId="0" fontId="53" fillId="0" borderId="1" xfId="0" applyFont="1" applyBorder="1" applyAlignment="1">
      <alignment horizontal="center"/>
    </xf>
    <xf numFmtId="0" fontId="105" fillId="0" borderId="1" xfId="0" applyFont="1" applyBorder="1" applyAlignment="1">
      <alignment horizontal="center"/>
    </xf>
    <xf numFmtId="0" fontId="20" fillId="0" borderId="0" xfId="0" applyFont="1" applyAlignment="1">
      <alignment horizontal="center"/>
    </xf>
    <xf numFmtId="0" fontId="20" fillId="0" borderId="1" xfId="0" applyFont="1" applyBorder="1" applyAlignment="1">
      <alignment horizontal="center"/>
    </xf>
    <xf numFmtId="0" fontId="104" fillId="9" borderId="1" xfId="0" applyFont="1" applyFill="1" applyBorder="1" applyAlignment="1">
      <alignment horizontal="center"/>
    </xf>
    <xf numFmtId="0" fontId="96" fillId="9" borderId="1" xfId="0" applyFont="1" applyFill="1" applyBorder="1" applyAlignment="1">
      <alignment horizontal="center"/>
    </xf>
    <xf numFmtId="0" fontId="76" fillId="0" borderId="1" xfId="0" applyFont="1" applyBorder="1" applyAlignment="1">
      <alignment horizontal="center"/>
    </xf>
    <xf numFmtId="0" fontId="19" fillId="0" borderId="1" xfId="0" applyFont="1" applyBorder="1" applyAlignment="1">
      <alignment horizontal="center"/>
    </xf>
    <xf numFmtId="176" fontId="19" fillId="0" borderId="1" xfId="0" applyNumberFormat="1" applyFont="1" applyBorder="1" applyAlignment="1">
      <alignment horizontal="center"/>
    </xf>
    <xf numFmtId="0" fontId="53" fillId="0" borderId="1" xfId="0" applyNumberFormat="1" applyFont="1" applyBorder="1" applyAlignment="1">
      <alignment horizontal="center"/>
    </xf>
    <xf numFmtId="178" fontId="46" fillId="0" borderId="1" xfId="0" applyNumberFormat="1" applyFont="1" applyBorder="1" applyAlignment="1">
      <alignment horizontal="center"/>
    </xf>
    <xf numFmtId="0" fontId="76" fillId="0" borderId="1" xfId="0" applyFont="1" applyBorder="1" applyAlignment="1">
      <alignment horizontal="center"/>
    </xf>
    <xf numFmtId="0" fontId="65" fillId="0" borderId="1" xfId="0" applyFont="1" applyBorder="1" applyAlignment="1">
      <alignment horizontal="center"/>
    </xf>
    <xf numFmtId="0" fontId="21" fillId="0" borderId="0" xfId="0" applyFont="1" applyBorder="1" applyAlignment="1">
      <alignment horizontal="center"/>
    </xf>
    <xf numFmtId="0" fontId="18" fillId="0" borderId="1" xfId="0" applyFont="1" applyBorder="1" applyAlignment="1">
      <alignment horizontal="center"/>
    </xf>
    <xf numFmtId="0" fontId="17" fillId="0" borderId="1" xfId="0" applyFont="1" applyBorder="1" applyAlignment="1">
      <alignment horizontal="center"/>
    </xf>
    <xf numFmtId="0" fontId="17" fillId="0" borderId="0" xfId="0" applyFont="1" applyAlignment="1">
      <alignment horizontal="center"/>
    </xf>
    <xf numFmtId="0" fontId="65" fillId="0" borderId="0" xfId="0" applyFont="1" applyBorder="1" applyAlignment="1">
      <alignment horizontal="center"/>
    </xf>
    <xf numFmtId="176" fontId="17" fillId="0" borderId="1" xfId="0" applyNumberFormat="1" applyFont="1" applyBorder="1" applyAlignment="1">
      <alignment horizontal="center"/>
    </xf>
    <xf numFmtId="0" fontId="76" fillId="0" borderId="1" xfId="0" applyFont="1" applyBorder="1" applyAlignment="1">
      <alignment horizontal="center"/>
    </xf>
    <xf numFmtId="0" fontId="23" fillId="0" borderId="1" xfId="0" applyFont="1" applyBorder="1" applyAlignment="1">
      <alignment horizontal="center"/>
    </xf>
    <xf numFmtId="0" fontId="84"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70" fillId="0" borderId="1"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181" fontId="16" fillId="0" borderId="1" xfId="0" applyNumberFormat="1"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8" fillId="0" borderId="1" xfId="0" applyFont="1" applyBorder="1" applyAlignment="1">
      <alignment horizontal="center"/>
    </xf>
    <xf numFmtId="0" fontId="19" fillId="0" borderId="1" xfId="0" applyFont="1" applyBorder="1" applyAlignment="1">
      <alignment horizontal="center"/>
    </xf>
    <xf numFmtId="0" fontId="53" fillId="0" borderId="1" xfId="0" applyFont="1" applyBorder="1" applyAlignment="1">
      <alignment horizontal="center"/>
    </xf>
    <xf numFmtId="0" fontId="88" fillId="0" borderId="1" xfId="0" applyFont="1" applyBorder="1" applyAlignment="1">
      <alignment horizontal="center"/>
    </xf>
    <xf numFmtId="0" fontId="59" fillId="0" borderId="1" xfId="0" applyFont="1" applyBorder="1" applyAlignment="1">
      <alignment horizontal="center"/>
    </xf>
    <xf numFmtId="0" fontId="15" fillId="0" borderId="1" xfId="0" applyFont="1" applyBorder="1" applyAlignment="1">
      <alignment horizontal="center"/>
    </xf>
    <xf numFmtId="0" fontId="15" fillId="0" borderId="0" xfId="0" applyFont="1" applyAlignment="1">
      <alignment horizontal="center"/>
    </xf>
    <xf numFmtId="0" fontId="71"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4" fillId="0" borderId="1" xfId="0" applyFont="1" applyBorder="1" applyAlignment="1">
      <alignment horizontal="center"/>
    </xf>
    <xf numFmtId="0" fontId="71" fillId="0" borderId="1" xfId="0" applyFont="1" applyBorder="1" applyAlignment="1">
      <alignment horizontal="center"/>
    </xf>
    <xf numFmtId="0" fontId="50" fillId="0" borderId="1" xfId="0" applyFont="1" applyBorder="1" applyAlignment="1">
      <alignment horizontal="center"/>
    </xf>
    <xf numFmtId="0" fontId="14" fillId="0" borderId="1" xfId="0" applyFont="1" applyBorder="1" applyAlignment="1">
      <alignment horizontal="center"/>
    </xf>
    <xf numFmtId="0" fontId="54" fillId="10" borderId="1" xfId="0" applyFont="1" applyFill="1" applyBorder="1" applyAlignment="1">
      <alignment horizontal="center"/>
    </xf>
    <xf numFmtId="0" fontId="13" fillId="0" borderId="1" xfId="0" applyFont="1" applyBorder="1" applyAlignment="1">
      <alignment horizontal="center"/>
    </xf>
    <xf numFmtId="0" fontId="13" fillId="0" borderId="1" xfId="0" applyFont="1" applyFill="1" applyBorder="1" applyAlignment="1">
      <alignment horizontal="center"/>
    </xf>
    <xf numFmtId="0" fontId="13" fillId="0" borderId="0" xfId="0" applyFont="1" applyBorder="1" applyAlignment="1">
      <alignment horizontal="center"/>
    </xf>
    <xf numFmtId="181" fontId="73" fillId="0" borderId="1" xfId="0" applyNumberFormat="1" applyFont="1" applyBorder="1" applyAlignment="1">
      <alignment horizontal="center"/>
    </xf>
    <xf numFmtId="180" fontId="71" fillId="0" borderId="1" xfId="0" applyNumberFormat="1" applyFont="1" applyBorder="1" applyAlignment="1">
      <alignment horizontal="center"/>
    </xf>
    <xf numFmtId="0" fontId="21"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19"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0" fontId="12" fillId="0" borderId="1" xfId="0" applyFont="1" applyBorder="1" applyAlignment="1">
      <alignment horizontal="center"/>
    </xf>
    <xf numFmtId="0" fontId="74" fillId="0" borderId="1" xfId="0" applyFont="1" applyBorder="1" applyAlignment="1">
      <alignment horizontal="center"/>
    </xf>
    <xf numFmtId="0" fontId="11" fillId="0" borderId="1" xfId="0" applyFont="1" applyBorder="1" applyAlignment="1">
      <alignment horizontal="center"/>
    </xf>
    <xf numFmtId="0" fontId="14" fillId="0" borderId="0" xfId="0" applyFont="1" applyBorder="1" applyAlignment="1">
      <alignment horizontal="center"/>
    </xf>
    <xf numFmtId="0" fontId="54" fillId="0" borderId="0" xfId="0" applyFont="1" applyBorder="1" applyAlignment="1">
      <alignment horizontal="center"/>
    </xf>
    <xf numFmtId="0" fontId="11" fillId="0" borderId="0"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53" fillId="0" borderId="1" xfId="0" applyFont="1" applyBorder="1" applyAlignment="1">
      <alignment horizontal="center"/>
    </xf>
    <xf numFmtId="0" fontId="105" fillId="0" borderId="1" xfId="0" applyFont="1" applyBorder="1" applyAlignment="1">
      <alignment horizontal="center"/>
    </xf>
    <xf numFmtId="0" fontId="10" fillId="0" borderId="1" xfId="0" applyFont="1" applyBorder="1" applyAlignment="1">
      <alignment horizontal="center"/>
    </xf>
    <xf numFmtId="0" fontId="9" fillId="0" borderId="1" xfId="0" applyFont="1" applyBorder="1" applyAlignment="1">
      <alignment horizontal="center"/>
    </xf>
    <xf numFmtId="0" fontId="9" fillId="0" borderId="0" xfId="0" applyFont="1" applyAlignment="1">
      <alignment horizontal="center"/>
    </xf>
    <xf numFmtId="0" fontId="9" fillId="0" borderId="0" xfId="0" applyFont="1" applyBorder="1" applyAlignment="1">
      <alignment horizontal="center"/>
    </xf>
    <xf numFmtId="176" fontId="9" fillId="0" borderId="1" xfId="0" applyNumberFormat="1" applyFont="1" applyBorder="1" applyAlignment="1">
      <alignment horizontal="center"/>
    </xf>
    <xf numFmtId="0" fontId="9" fillId="0" borderId="1" xfId="0" applyFont="1" applyFill="1" applyBorder="1" applyAlignment="1">
      <alignment horizontal="center"/>
    </xf>
    <xf numFmtId="0" fontId="74" fillId="0" borderId="1" xfId="0" applyFont="1" applyBorder="1" applyAlignment="1">
      <alignment horizontal="center"/>
    </xf>
    <xf numFmtId="0" fontId="21"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88" fillId="0" borderId="1" xfId="0" applyFont="1" applyBorder="1" applyAlignment="1">
      <alignment horizontal="center"/>
    </xf>
    <xf numFmtId="0" fontId="70" fillId="0" borderId="1" xfId="0" applyFont="1" applyBorder="1" applyAlignment="1">
      <alignment horizontal="center"/>
    </xf>
    <xf numFmtId="176" fontId="8" fillId="0" borderId="1" xfId="0" applyNumberFormat="1" applyFont="1" applyBorder="1" applyAlignment="1">
      <alignment horizontal="center"/>
    </xf>
    <xf numFmtId="0" fontId="8" fillId="0" borderId="1" xfId="0" applyFont="1" applyBorder="1" applyAlignment="1">
      <alignment horizontal="center"/>
    </xf>
    <xf numFmtId="0" fontId="74" fillId="0" borderId="1" xfId="0" applyFont="1" applyBorder="1" applyAlignment="1">
      <alignment horizontal="center"/>
    </xf>
    <xf numFmtId="0" fontId="58" fillId="0" borderId="1" xfId="0" applyFont="1" applyBorder="1" applyAlignment="1">
      <alignment horizontal="center"/>
    </xf>
    <xf numFmtId="0" fontId="9" fillId="0" borderId="1" xfId="0" applyFont="1" applyBorder="1" applyAlignment="1">
      <alignment horizontal="center"/>
    </xf>
    <xf numFmtId="0" fontId="70" fillId="0" borderId="1" xfId="0" applyFont="1" applyBorder="1" applyAlignment="1">
      <alignment horizontal="center"/>
    </xf>
    <xf numFmtId="0" fontId="7" fillId="0" borderId="0" xfId="0" applyFont="1" applyAlignment="1">
      <alignment horizontal="center"/>
    </xf>
    <xf numFmtId="0" fontId="7" fillId="0" borderId="1" xfId="0" applyFont="1" applyBorder="1" applyAlignment="1">
      <alignment horizontal="center"/>
    </xf>
    <xf numFmtId="0" fontId="74" fillId="0" borderId="0" xfId="0" applyNumberFormat="1" applyFont="1" applyAlignment="1">
      <alignment horizontal="center"/>
    </xf>
    <xf numFmtId="0" fontId="74" fillId="0" borderId="1" xfId="0" applyFont="1" applyBorder="1" applyAlignment="1">
      <alignment horizontal="center"/>
    </xf>
    <xf numFmtId="0" fontId="6" fillId="0" borderId="1" xfId="0" applyFont="1" applyBorder="1" applyAlignment="1">
      <alignment horizontal="center"/>
    </xf>
    <xf numFmtId="0" fontId="74" fillId="0" borderId="1" xfId="0" applyFont="1" applyBorder="1" applyAlignment="1">
      <alignment horizontal="center"/>
    </xf>
    <xf numFmtId="0" fontId="9" fillId="0" borderId="1" xfId="0" applyFont="1" applyBorder="1" applyAlignment="1">
      <alignment horizontal="center"/>
    </xf>
    <xf numFmtId="0" fontId="5" fillId="0" borderId="1" xfId="0" applyFont="1" applyBorder="1" applyAlignment="1">
      <alignment horizontal="center"/>
    </xf>
    <xf numFmtId="0" fontId="5" fillId="0" borderId="0" xfId="0" applyFont="1" applyBorder="1" applyAlignment="1">
      <alignment horizontal="center"/>
    </xf>
    <xf numFmtId="0" fontId="76" fillId="0" borderId="1" xfId="0" applyFont="1" applyBorder="1" applyAlignment="1">
      <alignment horizontal="center"/>
    </xf>
    <xf numFmtId="0" fontId="12" fillId="11" borderId="1" xfId="0" applyFont="1" applyFill="1" applyBorder="1" applyAlignment="1">
      <alignment horizontal="center"/>
    </xf>
    <xf numFmtId="0" fontId="74" fillId="11" borderId="1" xfId="0" applyFont="1" applyFill="1" applyBorder="1" applyAlignment="1">
      <alignment horizontal="center"/>
    </xf>
    <xf numFmtId="0" fontId="104" fillId="11" borderId="1" xfId="0" applyFont="1" applyFill="1" applyBorder="1" applyAlignment="1">
      <alignment horizontal="center"/>
    </xf>
    <xf numFmtId="10" fontId="59" fillId="0" borderId="0" xfId="0" applyNumberFormat="1" applyFont="1" applyAlignment="1">
      <alignment horizontal="center"/>
    </xf>
    <xf numFmtId="9" fontId="59" fillId="0" borderId="0" xfId="0" applyNumberFormat="1" applyFont="1" applyAlignment="1">
      <alignment horizontal="center"/>
    </xf>
    <xf numFmtId="0" fontId="75"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89" fillId="0" borderId="1" xfId="0" applyFont="1" applyBorder="1" applyAlignment="1">
      <alignment horizontal="center"/>
    </xf>
    <xf numFmtId="0" fontId="23" fillId="0" borderId="1" xfId="0" applyFont="1" applyBorder="1" applyAlignment="1">
      <alignment horizontal="center"/>
    </xf>
    <xf numFmtId="0" fontId="87" fillId="0" borderId="1" xfId="0" applyFont="1" applyBorder="1" applyAlignment="1">
      <alignment horizontal="center"/>
    </xf>
    <xf numFmtId="0" fontId="105" fillId="0" borderId="1" xfId="0" applyFont="1" applyBorder="1" applyAlignment="1">
      <alignment horizontal="center"/>
    </xf>
    <xf numFmtId="0" fontId="92" fillId="0" borderId="1" xfId="0" applyFont="1" applyBorder="1" applyAlignment="1">
      <alignment horizontal="center"/>
    </xf>
    <xf numFmtId="0" fontId="69" fillId="0" borderId="1" xfId="0" applyFont="1" applyBorder="1" applyAlignment="1">
      <alignment horizontal="center"/>
    </xf>
    <xf numFmtId="0" fontId="70" fillId="0" borderId="1" xfId="0" applyFont="1" applyBorder="1" applyAlignment="1">
      <alignment horizontal="center"/>
    </xf>
    <xf numFmtId="0" fontId="79" fillId="0" borderId="1" xfId="0" applyFont="1" applyBorder="1" applyAlignment="1">
      <alignment horizontal="center"/>
    </xf>
    <xf numFmtId="0" fontId="68" fillId="0" borderId="1" xfId="0" applyFont="1" applyBorder="1" applyAlignment="1">
      <alignment horizontal="center"/>
    </xf>
    <xf numFmtId="9" fontId="70" fillId="0" borderId="0" xfId="0" applyNumberFormat="1" applyFont="1" applyAlignment="1">
      <alignment horizontal="center"/>
    </xf>
    <xf numFmtId="0" fontId="7" fillId="0" borderId="0" xfId="0" applyFont="1" applyFill="1" applyBorder="1" applyAlignment="1">
      <alignment horizontal="center"/>
    </xf>
    <xf numFmtId="0" fontId="45" fillId="0" borderId="0" xfId="0" applyFont="1" applyBorder="1" applyAlignment="1">
      <alignment horizontal="center"/>
    </xf>
    <xf numFmtId="0" fontId="21" fillId="0" borderId="0" xfId="0" applyFont="1" applyFill="1" applyBorder="1" applyAlignment="1">
      <alignment horizontal="center"/>
    </xf>
    <xf numFmtId="0" fontId="3" fillId="0" borderId="1" xfId="0" applyFont="1" applyFill="1" applyBorder="1" applyAlignment="1">
      <alignment horizontal="center"/>
    </xf>
    <xf numFmtId="0" fontId="21" fillId="0" borderId="1"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23" fillId="0" borderId="1" xfId="0" applyFont="1" applyBorder="1" applyAlignment="1">
      <alignment horizontal="center"/>
    </xf>
    <xf numFmtId="0" fontId="58" fillId="0" borderId="1" xfId="0" applyFont="1" applyBorder="1" applyAlignment="1">
      <alignment horizontal="center"/>
    </xf>
    <xf numFmtId="0" fontId="88" fillId="0" borderId="1" xfId="0" applyFont="1" applyBorder="1" applyAlignment="1">
      <alignment horizontal="center"/>
    </xf>
    <xf numFmtId="0" fontId="105" fillId="0" borderId="1" xfId="0" applyFont="1" applyBorder="1" applyAlignment="1">
      <alignment horizontal="center"/>
    </xf>
    <xf numFmtId="0" fontId="92" fillId="0" borderId="1" xfId="0" applyFont="1" applyBorder="1" applyAlignment="1">
      <alignment horizontal="center"/>
    </xf>
    <xf numFmtId="0" fontId="85" fillId="0" borderId="1" xfId="0" applyFont="1" applyBorder="1" applyAlignment="1">
      <alignment horizontal="center"/>
    </xf>
    <xf numFmtId="0" fontId="92" fillId="0" borderId="1" xfId="0" applyNumberFormat="1" applyFont="1" applyBorder="1" applyAlignment="1">
      <alignment horizontal="center"/>
    </xf>
    <xf numFmtId="0" fontId="2" fillId="0" borderId="1" xfId="0" applyFont="1" applyBorder="1" applyAlignment="1">
      <alignment horizontal="center"/>
    </xf>
    <xf numFmtId="183" fontId="74" fillId="0" borderId="0" xfId="0" applyNumberFormat="1" applyFont="1" applyBorder="1" applyAlignment="1">
      <alignment horizontal="center"/>
    </xf>
    <xf numFmtId="0" fontId="40" fillId="0" borderId="0" xfId="0" applyFont="1" applyBorder="1" applyAlignment="1">
      <alignment horizontal="center"/>
    </xf>
    <xf numFmtId="0" fontId="15" fillId="0" borderId="0" xfId="0" applyFont="1" applyBorder="1" applyAlignment="1">
      <alignment horizontal="center"/>
    </xf>
    <xf numFmtId="10" fontId="23" fillId="0" borderId="1" xfId="0" applyNumberFormat="1" applyFont="1" applyBorder="1" applyAlignment="1">
      <alignment horizontal="center"/>
    </xf>
    <xf numFmtId="0" fontId="2" fillId="0" borderId="0" xfId="0" applyFont="1" applyBorder="1" applyAlignment="1">
      <alignment horizontal="center"/>
    </xf>
    <xf numFmtId="178" fontId="79" fillId="0" borderId="1" xfId="0" applyNumberFormat="1" applyFont="1" applyBorder="1" applyAlignment="1">
      <alignment horizontal="center"/>
    </xf>
    <xf numFmtId="179" fontId="23" fillId="0" borderId="1" xfId="0" applyNumberFormat="1" applyFont="1" applyBorder="1" applyAlignment="1">
      <alignment horizontal="center"/>
    </xf>
    <xf numFmtId="0" fontId="2" fillId="0" borderId="1" xfId="0" applyFont="1" applyBorder="1" applyAlignment="1">
      <alignment horizontal="center"/>
    </xf>
    <xf numFmtId="179" fontId="76" fillId="0" borderId="0" xfId="0" applyNumberFormat="1" applyFont="1" applyBorder="1" applyAlignment="1">
      <alignment horizontal="center"/>
    </xf>
    <xf numFmtId="0" fontId="71" fillId="0" borderId="0" xfId="0" applyFont="1" applyBorder="1" applyAlignment="1">
      <alignment horizontal="center"/>
    </xf>
    <xf numFmtId="0" fontId="105" fillId="0" borderId="0" xfId="0" applyNumberFormat="1" applyFont="1" applyBorder="1" applyAlignment="1">
      <alignment horizontal="center"/>
    </xf>
    <xf numFmtId="180" fontId="2" fillId="0" borderId="1" xfId="0" applyNumberFormat="1" applyFont="1" applyBorder="1" applyAlignment="1">
      <alignment horizontal="center"/>
    </xf>
    <xf numFmtId="0" fontId="2" fillId="0" borderId="1" xfId="0" applyNumberFormat="1" applyFont="1" applyBorder="1" applyAlignment="1">
      <alignment horizontal="center"/>
    </xf>
    <xf numFmtId="0" fontId="23" fillId="0" borderId="5" xfId="0" applyFont="1" applyBorder="1" applyAlignment="1">
      <alignment horizontal="center"/>
    </xf>
    <xf numFmtId="0" fontId="2" fillId="0" borderId="5" xfId="0" applyFont="1" applyBorder="1" applyAlignment="1">
      <alignment horizontal="center"/>
    </xf>
    <xf numFmtId="181" fontId="105" fillId="0" borderId="1" xfId="0" applyNumberFormat="1" applyFont="1" applyBorder="1" applyAlignment="1">
      <alignment horizontal="center"/>
    </xf>
    <xf numFmtId="0" fontId="1" fillId="0" borderId="0" xfId="0" applyFont="1" applyAlignment="1">
      <alignment horizontal="center"/>
    </xf>
    <xf numFmtId="0" fontId="1" fillId="0" borderId="1" xfId="0" applyFont="1" applyBorder="1" applyAlignment="1">
      <alignment horizontal="center"/>
    </xf>
    <xf numFmtId="185" fontId="23" fillId="0" borderId="1" xfId="0" applyNumberFormat="1" applyFont="1" applyBorder="1" applyAlignment="1">
      <alignment horizontal="center"/>
    </xf>
    <xf numFmtId="0" fontId="64" fillId="0" borderId="5" xfId="0" applyFont="1" applyBorder="1" applyAlignment="1">
      <alignment horizontal="center"/>
    </xf>
    <xf numFmtId="0" fontId="22" fillId="0" borderId="5" xfId="0" applyFont="1" applyBorder="1" applyAlignment="1">
      <alignment horizontal="center"/>
    </xf>
    <xf numFmtId="0" fontId="4" fillId="0" borderId="1" xfId="0" applyFont="1" applyBorder="1" applyAlignment="1">
      <alignment horizontal="center"/>
    </xf>
    <xf numFmtId="0" fontId="1" fillId="0" borderId="0" xfId="0" applyFont="1" applyAlignment="1">
      <alignment horizontal="left" vertical="center"/>
    </xf>
    <xf numFmtId="10" fontId="104" fillId="0" borderId="1" xfId="0" applyNumberFormat="1" applyFont="1" applyBorder="1" applyAlignment="1">
      <alignment horizontal="center"/>
    </xf>
    <xf numFmtId="0" fontId="1" fillId="0" borderId="1" xfId="0" applyFont="1" applyBorder="1" applyAlignment="1">
      <alignment horizontal="center"/>
    </xf>
    <xf numFmtId="0" fontId="76" fillId="0" borderId="1" xfId="0" applyFont="1" applyBorder="1" applyAlignment="1">
      <alignment horizontal="center"/>
    </xf>
    <xf numFmtId="0" fontId="23" fillId="0" borderId="1" xfId="0" applyFont="1" applyBorder="1" applyAlignment="1">
      <alignment horizontal="center"/>
    </xf>
    <xf numFmtId="0" fontId="105" fillId="0" borderId="1" xfId="0" applyFont="1" applyBorder="1" applyAlignment="1">
      <alignment horizontal="center"/>
    </xf>
    <xf numFmtId="0" fontId="92" fillId="0" borderId="1" xfId="0" applyFont="1" applyBorder="1" applyAlignment="1">
      <alignment horizontal="center"/>
    </xf>
    <xf numFmtId="0" fontId="69" fillId="0" borderId="1" xfId="0" applyFont="1" applyBorder="1" applyAlignment="1">
      <alignment horizontal="center"/>
    </xf>
    <xf numFmtId="0" fontId="68" fillId="0" borderId="1" xfId="0" applyFont="1" applyBorder="1" applyAlignment="1">
      <alignment horizontal="center"/>
    </xf>
    <xf numFmtId="0" fontId="1" fillId="0" borderId="1" xfId="0" applyFont="1" applyBorder="1" applyAlignment="1">
      <alignment horizontal="center"/>
    </xf>
    <xf numFmtId="0" fontId="76" fillId="0" borderId="5" xfId="0" applyFont="1" applyBorder="1" applyAlignment="1">
      <alignment horizontal="center"/>
    </xf>
    <xf numFmtId="0" fontId="68" fillId="0" borderId="5" xfId="0" applyFont="1" applyBorder="1" applyAlignment="1">
      <alignment horizontal="center"/>
    </xf>
    <xf numFmtId="0" fontId="53" fillId="12" borderId="0" xfId="0" applyFont="1" applyFill="1" applyAlignment="1">
      <alignment horizontal="center"/>
    </xf>
    <xf numFmtId="0" fontId="104" fillId="12" borderId="1" xfId="0" applyFont="1" applyFill="1" applyBorder="1" applyAlignment="1">
      <alignment horizontal="center"/>
    </xf>
    <xf numFmtId="0" fontId="104" fillId="12" borderId="0" xfId="0" applyFont="1" applyFill="1" applyAlignment="1">
      <alignment horizontal="center"/>
    </xf>
    <xf numFmtId="0" fontId="69" fillId="13" borderId="1" xfId="0" applyFont="1" applyFill="1" applyBorder="1" applyAlignment="1">
      <alignment horizontal="center"/>
    </xf>
    <xf numFmtId="0" fontId="92" fillId="13" borderId="1" xfId="0" applyFont="1" applyFill="1" applyBorder="1" applyAlignment="1">
      <alignment horizontal="center"/>
    </xf>
    <xf numFmtId="0" fontId="91" fillId="0" borderId="1" xfId="0" applyFont="1" applyBorder="1" applyAlignment="1">
      <alignment horizontal="center"/>
    </xf>
    <xf numFmtId="0" fontId="1" fillId="0" borderId="1" xfId="0" applyFont="1" applyBorder="1" applyAlignment="1">
      <alignment horizontal="center"/>
    </xf>
    <xf numFmtId="0" fontId="74" fillId="0" borderId="1" xfId="0" applyFont="1" applyBorder="1" applyAlignment="1">
      <alignment horizontal="center"/>
    </xf>
    <xf numFmtId="0" fontId="53" fillId="0" borderId="1" xfId="0" applyFont="1" applyBorder="1" applyAlignment="1">
      <alignment horizontal="center"/>
    </xf>
    <xf numFmtId="0" fontId="9" fillId="0" borderId="1" xfId="0" applyFont="1" applyBorder="1" applyAlignment="1">
      <alignment horizontal="center"/>
    </xf>
    <xf numFmtId="0" fontId="88" fillId="0" borderId="1" xfId="0" applyFont="1" applyBorder="1" applyAlignment="1">
      <alignment horizontal="center"/>
    </xf>
    <xf numFmtId="0" fontId="24" fillId="0" borderId="1" xfId="0" applyFont="1" applyBorder="1" applyAlignment="1">
      <alignment horizontal="center"/>
    </xf>
    <xf numFmtId="0" fontId="92" fillId="0" borderId="1" xfId="0" applyFont="1" applyBorder="1" applyAlignment="1">
      <alignment horizontal="center"/>
    </xf>
    <xf numFmtId="0" fontId="86" fillId="0" borderId="1" xfId="0" applyFont="1" applyBorder="1" applyAlignment="1">
      <alignment horizontal="center"/>
    </xf>
    <xf numFmtId="184" fontId="74" fillId="0" borderId="1" xfId="0" applyNumberFormat="1" applyFont="1" applyBorder="1" applyAlignment="1">
      <alignment horizontal="center"/>
    </xf>
    <xf numFmtId="0" fontId="1" fillId="0" borderId="0" xfId="0" applyFont="1" applyAlignment="1">
      <alignment horizontal="center" vertical="center"/>
    </xf>
    <xf numFmtId="0" fontId="91" fillId="0" borderId="1" xfId="0" applyFont="1" applyBorder="1" applyAlignment="1">
      <alignment horizontal="center"/>
    </xf>
    <xf numFmtId="0" fontId="96" fillId="0" borderId="1" xfId="0" applyFont="1" applyBorder="1" applyAlignment="1">
      <alignment horizontal="center"/>
    </xf>
    <xf numFmtId="0" fontId="1" fillId="0" borderId="1" xfId="0" applyFont="1" applyFill="1" applyBorder="1" applyAlignment="1">
      <alignment horizontal="center"/>
    </xf>
    <xf numFmtId="0" fontId="99" fillId="0" borderId="1" xfId="0" applyFont="1" applyFill="1" applyBorder="1" applyAlignment="1">
      <alignment horizontal="center"/>
    </xf>
    <xf numFmtId="0" fontId="99" fillId="0" borderId="1" xfId="0" applyFont="1" applyBorder="1" applyAlignment="1">
      <alignment horizontal="center"/>
    </xf>
    <xf numFmtId="0" fontId="100" fillId="0" borderId="1" xfId="0" applyFont="1" applyBorder="1" applyAlignment="1">
      <alignment horizontal="center"/>
    </xf>
    <xf numFmtId="0" fontId="25" fillId="0" borderId="2" xfId="0" applyFont="1" applyBorder="1" applyAlignment="1">
      <alignment horizontal="center"/>
    </xf>
    <xf numFmtId="0" fontId="25" fillId="0" borderId="3" xfId="0" applyFont="1" applyBorder="1" applyAlignment="1">
      <alignment horizontal="center"/>
    </xf>
    <xf numFmtId="0" fontId="25" fillId="0" borderId="4" xfId="0" applyFont="1" applyBorder="1" applyAlignment="1">
      <alignment horizontal="center"/>
    </xf>
    <xf numFmtId="0" fontId="1" fillId="0" borderId="1" xfId="0" applyFont="1" applyBorder="1" applyAlignment="1">
      <alignment horizontal="center"/>
    </xf>
    <xf numFmtId="0" fontId="26" fillId="0" borderId="1" xfId="0" applyFont="1" applyBorder="1" applyAlignment="1">
      <alignment horizontal="center"/>
    </xf>
    <xf numFmtId="0" fontId="21" fillId="0" borderId="1" xfId="0" applyFont="1" applyBorder="1" applyAlignment="1">
      <alignment horizontal="center"/>
    </xf>
    <xf numFmtId="0" fontId="75" fillId="0" borderId="1" xfId="0" applyFont="1" applyBorder="1" applyAlignment="1">
      <alignment horizontal="center"/>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22" fillId="0" borderId="2" xfId="0" applyFont="1" applyBorder="1" applyAlignment="1">
      <alignment horizontal="center"/>
    </xf>
    <xf numFmtId="0" fontId="76" fillId="0" borderId="3" xfId="0" applyFont="1" applyBorder="1" applyAlignment="1">
      <alignment horizontal="center"/>
    </xf>
    <xf numFmtId="0" fontId="76" fillId="0" borderId="4" xfId="0" applyFont="1" applyBorder="1" applyAlignment="1">
      <alignment horizontal="center"/>
    </xf>
    <xf numFmtId="0" fontId="73" fillId="0" borderId="2" xfId="0" applyFont="1" applyBorder="1" applyAlignment="1">
      <alignment horizontal="center"/>
    </xf>
    <xf numFmtId="0" fontId="73" fillId="0" borderId="3" xfId="0" applyFont="1" applyBorder="1" applyAlignment="1">
      <alignment horizontal="center"/>
    </xf>
    <xf numFmtId="0" fontId="73" fillId="0" borderId="4" xfId="0" applyFont="1" applyBorder="1" applyAlignment="1">
      <alignment horizontal="center"/>
    </xf>
    <xf numFmtId="0" fontId="74" fillId="0" borderId="1" xfId="0" applyFont="1" applyBorder="1" applyAlignment="1">
      <alignment horizontal="center"/>
    </xf>
    <xf numFmtId="0" fontId="76" fillId="0" borderId="1" xfId="0" applyFont="1" applyBorder="1" applyAlignment="1">
      <alignment horizontal="center"/>
    </xf>
    <xf numFmtId="0" fontId="71" fillId="0" borderId="2" xfId="0" applyFont="1" applyBorder="1" applyAlignment="1">
      <alignment horizontal="center"/>
    </xf>
    <xf numFmtId="0" fontId="75" fillId="0" borderId="3" xfId="0" applyFont="1" applyBorder="1" applyAlignment="1">
      <alignment horizontal="center"/>
    </xf>
    <xf numFmtId="0" fontId="75" fillId="0" borderId="4" xfId="0" applyFont="1" applyBorder="1" applyAlignment="1">
      <alignment horizontal="center"/>
    </xf>
    <xf numFmtId="0" fontId="71" fillId="0" borderId="1" xfId="0" applyFont="1" applyBorder="1" applyAlignment="1">
      <alignment horizontal="center"/>
    </xf>
    <xf numFmtId="0" fontId="2" fillId="0" borderId="2" xfId="0" applyFont="1" applyBorder="1" applyAlignment="1">
      <alignment horizontal="center"/>
    </xf>
    <xf numFmtId="0" fontId="2" fillId="0" borderId="4" xfId="0" applyFont="1" applyBorder="1" applyAlignment="1">
      <alignment horizontal="center"/>
    </xf>
    <xf numFmtId="0" fontId="21" fillId="0" borderId="2" xfId="0" applyFont="1" applyBorder="1" applyAlignment="1">
      <alignment horizontal="center"/>
    </xf>
    <xf numFmtId="0" fontId="51" fillId="0" borderId="1" xfId="0" applyFont="1" applyBorder="1" applyAlignment="1">
      <alignment horizontal="center"/>
    </xf>
    <xf numFmtId="0" fontId="65" fillId="0" borderId="2" xfId="0" applyFont="1" applyBorder="1" applyAlignment="1">
      <alignment horizontal="center"/>
    </xf>
    <xf numFmtId="0" fontId="65" fillId="0" borderId="3" xfId="0" applyFont="1" applyBorder="1" applyAlignment="1">
      <alignment horizontal="center"/>
    </xf>
    <xf numFmtId="0" fontId="65" fillId="0" borderId="4" xfId="0" applyFont="1" applyBorder="1" applyAlignment="1">
      <alignment horizontal="center"/>
    </xf>
    <xf numFmtId="0" fontId="65" fillId="0" borderId="1" xfId="0" applyFont="1" applyBorder="1" applyAlignment="1">
      <alignment horizontal="center"/>
    </xf>
    <xf numFmtId="0" fontId="76" fillId="0" borderId="2" xfId="0" applyFont="1" applyBorder="1" applyAlignment="1">
      <alignment horizontal="center"/>
    </xf>
    <xf numFmtId="0" fontId="22" fillId="0" borderId="1" xfId="0" applyFont="1" applyBorder="1" applyAlignment="1">
      <alignment horizontal="center"/>
    </xf>
    <xf numFmtId="0" fontId="89" fillId="0" borderId="1" xfId="0" applyFont="1" applyBorder="1" applyAlignment="1">
      <alignment horizontal="center"/>
    </xf>
    <xf numFmtId="0" fontId="23" fillId="0" borderId="1" xfId="0" applyFont="1" applyBorder="1" applyAlignment="1">
      <alignment horizontal="center"/>
    </xf>
    <xf numFmtId="0" fontId="63" fillId="0" borderId="1" xfId="0" applyFont="1" applyBorder="1" applyAlignment="1">
      <alignment horizontal="center"/>
    </xf>
    <xf numFmtId="0" fontId="58" fillId="0" borderId="1" xfId="0" applyFont="1" applyBorder="1" applyAlignment="1">
      <alignment horizontal="center"/>
    </xf>
    <xf numFmtId="0" fontId="63" fillId="0" borderId="2" xfId="0" applyFont="1" applyBorder="1" applyAlignment="1">
      <alignment horizontal="center"/>
    </xf>
    <xf numFmtId="0" fontId="64" fillId="0" borderId="1" xfId="0" applyFont="1" applyBorder="1" applyAlignment="1">
      <alignment horizontal="center"/>
    </xf>
    <xf numFmtId="0" fontId="64" fillId="0" borderId="2" xfId="0" applyFont="1" applyBorder="1" applyAlignment="1">
      <alignment horizontal="center"/>
    </xf>
    <xf numFmtId="0" fontId="64" fillId="0" borderId="3" xfId="0" applyFont="1" applyBorder="1" applyAlignment="1">
      <alignment horizontal="center"/>
    </xf>
    <xf numFmtId="0" fontId="64" fillId="0" borderId="4" xfId="0" applyFont="1" applyBorder="1" applyAlignment="1">
      <alignment horizontal="center"/>
    </xf>
    <xf numFmtId="0" fontId="21" fillId="0" borderId="3" xfId="0" applyFont="1" applyBorder="1" applyAlignment="1">
      <alignment horizontal="center"/>
    </xf>
    <xf numFmtId="0" fontId="21" fillId="0" borderId="4"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center"/>
    </xf>
    <xf numFmtId="0" fontId="19" fillId="0" borderId="1" xfId="0" applyFont="1" applyBorder="1" applyAlignment="1">
      <alignment horizontal="center"/>
    </xf>
    <xf numFmtId="0" fontId="53" fillId="0" borderId="1" xfId="0" applyFont="1" applyBorder="1" applyAlignment="1">
      <alignment horizontal="center"/>
    </xf>
    <xf numFmtId="0" fontId="9"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73" fillId="0" borderId="1" xfId="0" applyFont="1" applyBorder="1" applyAlignment="1">
      <alignment horizontal="center"/>
    </xf>
    <xf numFmtId="0" fontId="67" fillId="0" borderId="1" xfId="0" applyFont="1" applyBorder="1" applyAlignment="1">
      <alignment horizontal="center"/>
    </xf>
    <xf numFmtId="0" fontId="56" fillId="0" borderId="2" xfId="0" applyFont="1" applyBorder="1" applyAlignment="1">
      <alignment horizontal="center"/>
    </xf>
    <xf numFmtId="0" fontId="23" fillId="0" borderId="2" xfId="0" applyFont="1" applyBorder="1" applyAlignment="1">
      <alignment horizontal="center"/>
    </xf>
    <xf numFmtId="0" fontId="23" fillId="0" borderId="3" xfId="0" applyFont="1" applyBorder="1" applyAlignment="1">
      <alignment horizontal="center"/>
    </xf>
    <xf numFmtId="0" fontId="23" fillId="0" borderId="4" xfId="0" applyFont="1" applyBorder="1" applyAlignment="1">
      <alignment horizontal="center"/>
    </xf>
    <xf numFmtId="0" fontId="2" fillId="0" borderId="3" xfId="0" applyFont="1" applyBorder="1" applyAlignment="1">
      <alignment horizontal="center"/>
    </xf>
    <xf numFmtId="0" fontId="88" fillId="0" borderId="1" xfId="0" applyFont="1" applyBorder="1" applyAlignment="1">
      <alignment horizontal="center"/>
    </xf>
    <xf numFmtId="0" fontId="25" fillId="0" borderId="1" xfId="0" applyFont="1" applyBorder="1" applyAlignment="1">
      <alignment horizontal="center"/>
    </xf>
    <xf numFmtId="0" fontId="88" fillId="0" borderId="3" xfId="0" applyFont="1" applyBorder="1" applyAlignment="1">
      <alignment horizontal="center"/>
    </xf>
    <xf numFmtId="0" fontId="88" fillId="0" borderId="4" xfId="0" applyFont="1" applyBorder="1" applyAlignment="1">
      <alignment horizontal="center"/>
    </xf>
    <xf numFmtId="0" fontId="87" fillId="0" borderId="2" xfId="0" applyFont="1" applyBorder="1" applyAlignment="1">
      <alignment horizontal="center"/>
    </xf>
    <xf numFmtId="0" fontId="88" fillId="0" borderId="2" xfId="0" applyFont="1" applyBorder="1" applyAlignment="1">
      <alignment horizontal="center"/>
    </xf>
    <xf numFmtId="0" fontId="87" fillId="0" borderId="1" xfId="0" applyFont="1" applyBorder="1" applyAlignment="1">
      <alignment horizontal="center"/>
    </xf>
    <xf numFmtId="0" fontId="24" fillId="0" borderId="1" xfId="0" applyFont="1" applyBorder="1" applyAlignment="1">
      <alignment horizontal="center"/>
    </xf>
    <xf numFmtId="0" fontId="105" fillId="0" borderId="1" xfId="0" applyFont="1" applyBorder="1" applyAlignment="1">
      <alignment horizontal="center"/>
    </xf>
    <xf numFmtId="0" fontId="60" fillId="0" borderId="1" xfId="0" applyFont="1" applyBorder="1" applyAlignment="1">
      <alignment horizontal="center"/>
    </xf>
    <xf numFmtId="0" fontId="94" fillId="0" borderId="2" xfId="0" applyFont="1" applyBorder="1" applyAlignment="1">
      <alignment horizontal="center"/>
    </xf>
    <xf numFmtId="0" fontId="94" fillId="0" borderId="3" xfId="0" applyFont="1" applyBorder="1" applyAlignment="1">
      <alignment horizontal="center"/>
    </xf>
    <xf numFmtId="0" fontId="94" fillId="0" borderId="4" xfId="0" applyFont="1" applyBorder="1" applyAlignment="1">
      <alignment horizontal="center"/>
    </xf>
    <xf numFmtId="0" fontId="59" fillId="0" borderId="1" xfId="0" applyFont="1" applyBorder="1" applyAlignment="1">
      <alignment horizontal="center"/>
    </xf>
    <xf numFmtId="0" fontId="93" fillId="0" borderId="2" xfId="0" applyFont="1" applyBorder="1" applyAlignment="1">
      <alignment horizontal="center"/>
    </xf>
    <xf numFmtId="0" fontId="93" fillId="0" borderId="3" xfId="0" applyFont="1" applyBorder="1" applyAlignment="1">
      <alignment horizontal="center"/>
    </xf>
    <xf numFmtId="0" fontId="93" fillId="0" borderId="4" xfId="0" applyFont="1" applyBorder="1" applyAlignment="1">
      <alignment horizontal="center"/>
    </xf>
    <xf numFmtId="0" fontId="82" fillId="0" borderId="1" xfId="0" applyFont="1" applyBorder="1" applyAlignment="1">
      <alignment horizontal="center"/>
    </xf>
    <xf numFmtId="0" fontId="92" fillId="0" borderId="1" xfId="0" applyFont="1" applyBorder="1" applyAlignment="1">
      <alignment horizontal="center"/>
    </xf>
    <xf numFmtId="0" fontId="91" fillId="0" borderId="3" xfId="0" applyFont="1" applyBorder="1" applyAlignment="1">
      <alignment horizontal="center"/>
    </xf>
    <xf numFmtId="0" fontId="91" fillId="0" borderId="4" xfId="0" applyFont="1" applyBorder="1" applyAlignment="1">
      <alignment horizontal="center"/>
    </xf>
    <xf numFmtId="0" fontId="91" fillId="0" borderId="2" xfId="0" applyFont="1" applyBorder="1" applyAlignment="1">
      <alignment horizontal="center"/>
    </xf>
    <xf numFmtId="0" fontId="90" fillId="0" borderId="1" xfId="0" applyFont="1" applyBorder="1" applyAlignment="1">
      <alignment horizontal="center"/>
    </xf>
    <xf numFmtId="0" fontId="82" fillId="0" borderId="2" xfId="0" applyFont="1" applyBorder="1" applyAlignment="1">
      <alignment horizontal="center"/>
    </xf>
    <xf numFmtId="0" fontId="82" fillId="0" borderId="3" xfId="0" applyFont="1" applyBorder="1" applyAlignment="1">
      <alignment horizontal="center"/>
    </xf>
    <xf numFmtId="0" fontId="82" fillId="0" borderId="4" xfId="0" applyFont="1" applyBorder="1" applyAlignment="1">
      <alignment horizontal="center"/>
    </xf>
    <xf numFmtId="0" fontId="82" fillId="13" borderId="2" xfId="0" applyFont="1" applyFill="1" applyBorder="1" applyAlignment="1">
      <alignment horizontal="center"/>
    </xf>
    <xf numFmtId="0" fontId="82" fillId="13" borderId="3" xfId="0" applyFont="1" applyFill="1" applyBorder="1" applyAlignment="1">
      <alignment horizontal="center"/>
    </xf>
    <xf numFmtId="0" fontId="82" fillId="13" borderId="4" xfId="0" applyFont="1" applyFill="1" applyBorder="1" applyAlignment="1">
      <alignment horizontal="center"/>
    </xf>
    <xf numFmtId="0" fontId="69" fillId="0" borderId="1" xfId="0" applyFont="1" applyBorder="1" applyAlignment="1">
      <alignment horizontal="center"/>
    </xf>
    <xf numFmtId="0" fontId="81" fillId="0" borderId="2" xfId="0" applyFont="1" applyBorder="1" applyAlignment="1">
      <alignment horizontal="center"/>
    </xf>
    <xf numFmtId="0" fontId="81" fillId="0" borderId="3" xfId="0" applyFont="1" applyBorder="1" applyAlignment="1">
      <alignment horizontal="center"/>
    </xf>
    <xf numFmtId="0" fontId="81" fillId="0" borderId="4" xfId="0" applyFont="1" applyBorder="1" applyAlignment="1">
      <alignment horizontal="center"/>
    </xf>
    <xf numFmtId="0" fontId="78" fillId="0" borderId="1" xfId="0" applyFont="1" applyBorder="1" applyAlignment="1">
      <alignment horizontal="center"/>
    </xf>
    <xf numFmtId="0" fontId="79" fillId="0" borderId="1" xfId="0" applyFont="1" applyBorder="1" applyAlignment="1">
      <alignment horizontal="center"/>
    </xf>
    <xf numFmtId="0" fontId="68" fillId="0" borderId="1" xfId="0" applyFont="1" applyBorder="1" applyAlignment="1">
      <alignment horizontal="center"/>
    </xf>
    <xf numFmtId="0" fontId="86" fillId="0" borderId="1" xfId="0" applyFont="1" applyBorder="1" applyAlignment="1">
      <alignment horizontal="center"/>
    </xf>
    <xf numFmtId="0" fontId="87" fillId="0" borderId="3" xfId="0" applyFont="1" applyBorder="1" applyAlignment="1">
      <alignment horizontal="center"/>
    </xf>
    <xf numFmtId="0" fontId="87" fillId="0" borderId="4" xfId="0" applyFont="1" applyBorder="1" applyAlignment="1">
      <alignment horizontal="center"/>
    </xf>
    <xf numFmtId="0" fontId="42" fillId="0" borderId="2" xfId="0" applyFont="1" applyBorder="1" applyAlignment="1">
      <alignment horizontal="center"/>
    </xf>
    <xf numFmtId="0" fontId="86" fillId="0" borderId="4" xfId="0" applyFont="1" applyBorder="1" applyAlignment="1">
      <alignment horizontal="center"/>
    </xf>
    <xf numFmtId="0" fontId="85" fillId="0" borderId="1" xfId="0" applyFont="1" applyBorder="1" applyAlignment="1">
      <alignment horizontal="center"/>
    </xf>
    <xf numFmtId="0" fontId="70" fillId="0" borderId="1" xfId="0" applyFont="1" applyBorder="1" applyAlignment="1">
      <alignment horizontal="center"/>
    </xf>
    <xf numFmtId="0" fontId="70" fillId="0" borderId="2" xfId="0" applyFont="1" applyBorder="1" applyAlignment="1">
      <alignment horizontal="center"/>
    </xf>
    <xf numFmtId="0" fontId="70" fillId="0" borderId="3" xfId="0" applyFont="1" applyBorder="1" applyAlignment="1">
      <alignment horizontal="center"/>
    </xf>
    <xf numFmtId="0" fontId="70" fillId="0" borderId="4" xfId="0" applyFont="1" applyBorder="1" applyAlignment="1">
      <alignment horizontal="center"/>
    </xf>
    <xf numFmtId="0" fontId="2" fillId="0" borderId="1" xfId="0" applyFont="1" applyBorder="1" applyAlignment="1">
      <alignment horizontal="center"/>
    </xf>
    <xf numFmtId="0" fontId="84" fillId="0" borderId="1" xfId="0" applyFont="1" applyBorder="1" applyAlignment="1">
      <alignment horizontal="center"/>
    </xf>
    <xf numFmtId="182" fontId="104" fillId="12" borderId="1" xfId="0" applyNumberFormat="1" applyFont="1" applyFill="1" applyBorder="1" applyAlignment="1">
      <alignment horizontal="center"/>
    </xf>
    <xf numFmtId="0" fontId="1" fillId="12" borderId="0" xfId="0" applyFont="1" applyFill="1" applyAlignment="1">
      <alignment horizontal="left"/>
    </xf>
  </cellXfs>
  <cellStyles count="1">
    <cellStyle name="常规" xfId="0" builtinId="0"/>
  </cellStyles>
  <dxfs count="0"/>
  <tableStyles count="0" defaultTableStyle="TableStyleMedium2" defaultPivotStyle="PivotStyleMedium9"/>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areaChart>
        <c:grouping val="stacked"/>
        <c:varyColors val="0"/>
        <c:ser>
          <c:idx val="0"/>
          <c:order val="0"/>
          <c:tx>
            <c:strRef>
              <c:f>坦克属性对比!$G$3</c:f>
              <c:strCache>
                <c:ptCount val="1"/>
                <c:pt idx="0">
                  <c:v>初始属性</c:v>
                </c:pt>
              </c:strCache>
            </c:strRef>
          </c:tx>
          <c:spPr>
            <a:solidFill>
              <a:schemeClr val="accent1"/>
            </a:solidFill>
            <a:ln>
              <a:noFill/>
            </a:ln>
            <a:effectLst/>
          </c:spPr>
          <c:cat>
            <c:strRef>
              <c:f>坦克属性对比!$C$4:$C$15</c:f>
              <c:strCache>
                <c:ptCount val="12"/>
                <c:pt idx="0">
                  <c:v>T1低</c:v>
                </c:pt>
                <c:pt idx="1">
                  <c:v>T2低</c:v>
                </c:pt>
                <c:pt idx="2">
                  <c:v>T2中</c:v>
                </c:pt>
                <c:pt idx="3">
                  <c:v>T3低</c:v>
                </c:pt>
                <c:pt idx="4">
                  <c:v>T3中</c:v>
                </c:pt>
                <c:pt idx="5">
                  <c:v>T3高</c:v>
                </c:pt>
                <c:pt idx="6">
                  <c:v>T4低</c:v>
                </c:pt>
                <c:pt idx="7">
                  <c:v>T4中</c:v>
                </c:pt>
                <c:pt idx="8">
                  <c:v>T4高</c:v>
                </c:pt>
                <c:pt idx="9">
                  <c:v>T5低</c:v>
                </c:pt>
                <c:pt idx="10">
                  <c:v>T5中</c:v>
                </c:pt>
                <c:pt idx="11">
                  <c:v>T5高</c:v>
                </c:pt>
              </c:strCache>
            </c:strRef>
          </c:cat>
          <c:val>
            <c:numRef>
              <c:f>坦克属性对比!$G$4:$G$15</c:f>
              <c:numCache>
                <c:formatCode>0.00_ </c:formatCode>
                <c:ptCount val="12"/>
                <c:pt idx="0">
                  <c:v>1</c:v>
                </c:pt>
                <c:pt idx="1">
                  <c:v>1.2</c:v>
                </c:pt>
                <c:pt idx="2">
                  <c:v>1.23</c:v>
                </c:pt>
                <c:pt idx="3">
                  <c:v>1.5</c:v>
                </c:pt>
                <c:pt idx="4">
                  <c:v>1.5449999999999999</c:v>
                </c:pt>
                <c:pt idx="5">
                  <c:v>1.62</c:v>
                </c:pt>
                <c:pt idx="6">
                  <c:v>1.9</c:v>
                </c:pt>
                <c:pt idx="7">
                  <c:v>1.96</c:v>
                </c:pt>
                <c:pt idx="8">
                  <c:v>2.06</c:v>
                </c:pt>
                <c:pt idx="9">
                  <c:v>2.4</c:v>
                </c:pt>
                <c:pt idx="10">
                  <c:v>2.4750000000000001</c:v>
                </c:pt>
                <c:pt idx="11">
                  <c:v>2.6</c:v>
                </c:pt>
              </c:numCache>
            </c:numRef>
          </c:val>
          <c:extLst>
            <c:ext xmlns:c16="http://schemas.microsoft.com/office/drawing/2014/chart" uri="{C3380CC4-5D6E-409C-BE32-E72D297353CC}">
              <c16:uniqueId val="{00000000-302B-4221-B803-2F80A9B17B97}"/>
            </c:ext>
          </c:extLst>
        </c:ser>
        <c:dLbls>
          <c:showLegendKey val="0"/>
          <c:showVal val="0"/>
          <c:showCatName val="0"/>
          <c:showSerName val="0"/>
          <c:showPercent val="0"/>
          <c:showBubbleSize val="0"/>
        </c:dLbls>
        <c:axId val="964779120"/>
        <c:axId val="964778032"/>
      </c:areaChart>
      <c:barChart>
        <c:barDir val="col"/>
        <c:grouping val="clustered"/>
        <c:varyColors val="0"/>
        <c:ser>
          <c:idx val="1"/>
          <c:order val="1"/>
          <c:tx>
            <c:strRef>
              <c:f>坦克属性对比!$H$3</c:f>
              <c:strCache>
                <c:ptCount val="1"/>
                <c:pt idx="0">
                  <c:v>最终属性</c:v>
                </c:pt>
              </c:strCache>
            </c:strRef>
          </c:tx>
          <c:spPr>
            <a:solidFill>
              <a:schemeClr val="accent2"/>
            </a:solidFill>
            <a:ln>
              <a:noFill/>
            </a:ln>
            <a:effectLst/>
          </c:spPr>
          <c:invertIfNegative val="0"/>
          <c:cat>
            <c:strRef>
              <c:f>坦克属性对比!$C$4:$C$15</c:f>
              <c:strCache>
                <c:ptCount val="12"/>
                <c:pt idx="0">
                  <c:v>T1低</c:v>
                </c:pt>
                <c:pt idx="1">
                  <c:v>T2低</c:v>
                </c:pt>
                <c:pt idx="2">
                  <c:v>T2中</c:v>
                </c:pt>
                <c:pt idx="3">
                  <c:v>T3低</c:v>
                </c:pt>
                <c:pt idx="4">
                  <c:v>T3中</c:v>
                </c:pt>
                <c:pt idx="5">
                  <c:v>T3高</c:v>
                </c:pt>
                <c:pt idx="6">
                  <c:v>T4低</c:v>
                </c:pt>
                <c:pt idx="7">
                  <c:v>T4中</c:v>
                </c:pt>
                <c:pt idx="8">
                  <c:v>T4高</c:v>
                </c:pt>
                <c:pt idx="9">
                  <c:v>T5低</c:v>
                </c:pt>
                <c:pt idx="10">
                  <c:v>T5中</c:v>
                </c:pt>
                <c:pt idx="11">
                  <c:v>T5高</c:v>
                </c:pt>
              </c:strCache>
            </c:strRef>
          </c:cat>
          <c:val>
            <c:numRef>
              <c:f>坦克属性对比!$H$4:$H$15</c:f>
              <c:numCache>
                <c:formatCode>0.00_ </c:formatCode>
                <c:ptCount val="12"/>
                <c:pt idx="0">
                  <c:v>1.4</c:v>
                </c:pt>
                <c:pt idx="1">
                  <c:v>1.8</c:v>
                </c:pt>
                <c:pt idx="2">
                  <c:v>2.39</c:v>
                </c:pt>
                <c:pt idx="3">
                  <c:v>2.2999999999999998</c:v>
                </c:pt>
                <c:pt idx="4">
                  <c:v>3.02</c:v>
                </c:pt>
                <c:pt idx="5">
                  <c:v>3.22</c:v>
                </c:pt>
                <c:pt idx="6">
                  <c:v>2.9</c:v>
                </c:pt>
                <c:pt idx="7">
                  <c:v>3.75</c:v>
                </c:pt>
                <c:pt idx="8">
                  <c:v>4</c:v>
                </c:pt>
                <c:pt idx="9">
                  <c:v>3.6</c:v>
                </c:pt>
                <c:pt idx="10">
                  <c:v>4.58</c:v>
                </c:pt>
                <c:pt idx="11">
                  <c:v>4.8800000000000008</c:v>
                </c:pt>
              </c:numCache>
            </c:numRef>
          </c:val>
          <c:extLst>
            <c:ext xmlns:c16="http://schemas.microsoft.com/office/drawing/2014/chart" uri="{C3380CC4-5D6E-409C-BE32-E72D297353CC}">
              <c16:uniqueId val="{00000001-302B-4221-B803-2F80A9B17B97}"/>
            </c:ext>
          </c:extLst>
        </c:ser>
        <c:dLbls>
          <c:showLegendKey val="0"/>
          <c:showVal val="0"/>
          <c:showCatName val="0"/>
          <c:showSerName val="0"/>
          <c:showPercent val="0"/>
          <c:showBubbleSize val="0"/>
        </c:dLbls>
        <c:gapWidth val="150"/>
        <c:axId val="964779120"/>
        <c:axId val="964778032"/>
      </c:barChart>
      <c:catAx>
        <c:axId val="96477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4778032"/>
        <c:crosses val="autoZero"/>
        <c:auto val="1"/>
        <c:lblAlgn val="ctr"/>
        <c:lblOffset val="100"/>
        <c:noMultiLvlLbl val="0"/>
      </c:catAx>
      <c:valAx>
        <c:axId val="964778032"/>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477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strRef>
              <c:f>战斗力计算!$H$73</c:f>
              <c:strCache>
                <c:ptCount val="1"/>
                <c:pt idx="0">
                  <c:v>参考战力1</c:v>
                </c:pt>
              </c:strCache>
            </c:strRef>
          </c:tx>
          <c:spPr>
            <a:ln w="19050" cap="rnd">
              <a:solidFill>
                <a:schemeClr val="accent1"/>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战斗力计算!$H$74:$H$97</c:f>
              <c:numCache>
                <c:formatCode>0_ </c:formatCode>
                <c:ptCount val="24"/>
                <c:pt idx="0">
                  <c:v>2455.7439205817686</c:v>
                </c:pt>
                <c:pt idx="1">
                  <c:v>2883.4966157800727</c:v>
                </c:pt>
                <c:pt idx="2">
                  <c:v>3724.0640892485703</c:v>
                </c:pt>
                <c:pt idx="3">
                  <c:v>3664.5709540218927</c:v>
                </c:pt>
                <c:pt idx="4">
                  <c:v>4500.3813945138927</c:v>
                </c:pt>
                <c:pt idx="5">
                  <c:v>4990.8305241541657</c:v>
                </c:pt>
                <c:pt idx="6">
                  <c:v>4651.3034724441195</c:v>
                </c:pt>
                <c:pt idx="7">
                  <c:v>5643.835422015477</c:v>
                </c:pt>
                <c:pt idx="8">
                  <c:v>6236.20783826961</c:v>
                </c:pt>
                <c:pt idx="9">
                  <c:v>6639</c:v>
                </c:pt>
                <c:pt idx="10">
                  <c:v>7042</c:v>
                </c:pt>
                <c:pt idx="11">
                  <c:v>7445</c:v>
                </c:pt>
                <c:pt idx="12">
                  <c:v>7848</c:v>
                </c:pt>
                <c:pt idx="13">
                  <c:v>8251</c:v>
                </c:pt>
                <c:pt idx="14">
                  <c:v>8653</c:v>
                </c:pt>
                <c:pt idx="15">
                  <c:v>9056</c:v>
                </c:pt>
                <c:pt idx="16">
                  <c:v>9459</c:v>
                </c:pt>
                <c:pt idx="17">
                  <c:v>9862</c:v>
                </c:pt>
                <c:pt idx="18">
                  <c:v>10265</c:v>
                </c:pt>
                <c:pt idx="19">
                  <c:v>10668</c:v>
                </c:pt>
                <c:pt idx="20">
                  <c:v>11071</c:v>
                </c:pt>
                <c:pt idx="21">
                  <c:v>11474</c:v>
                </c:pt>
                <c:pt idx="22">
                  <c:v>11876</c:v>
                </c:pt>
                <c:pt idx="23">
                  <c:v>12279.350242571832</c:v>
                </c:pt>
              </c:numCache>
            </c:numRef>
          </c:yVal>
          <c:smooth val="1"/>
          <c:extLst>
            <c:ext xmlns:c16="http://schemas.microsoft.com/office/drawing/2014/chart" uri="{C3380CC4-5D6E-409C-BE32-E72D297353CC}">
              <c16:uniqueId val="{00000000-00C9-44CC-A99D-49C0DD52C1B1}"/>
            </c:ext>
          </c:extLst>
        </c:ser>
        <c:ser>
          <c:idx val="1"/>
          <c:order val="1"/>
          <c:tx>
            <c:strRef>
              <c:f>战斗力计算!$I$73</c:f>
              <c:strCache>
                <c:ptCount val="1"/>
                <c:pt idx="0">
                  <c:v>参考战力2</c:v>
                </c:pt>
              </c:strCache>
            </c:strRef>
          </c:tx>
          <c:spPr>
            <a:ln w="19050" cap="rnd">
              <a:solidFill>
                <a:schemeClr val="accent2"/>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战斗力计算!$I$74:$I$97</c:f>
              <c:numCache>
                <c:formatCode>0_ </c:formatCode>
                <c:ptCount val="24"/>
                <c:pt idx="0">
                  <c:v>2455.7439205817686</c:v>
                </c:pt>
                <c:pt idx="1">
                  <c:v>2883</c:v>
                </c:pt>
                <c:pt idx="2">
                  <c:v>3310</c:v>
                </c:pt>
                <c:pt idx="3">
                  <c:v>3737</c:v>
                </c:pt>
                <c:pt idx="4">
                  <c:v>4164</c:v>
                </c:pt>
                <c:pt idx="5">
                  <c:v>4591</c:v>
                </c:pt>
                <c:pt idx="6">
                  <c:v>5018</c:v>
                </c:pt>
                <c:pt idx="7">
                  <c:v>5446</c:v>
                </c:pt>
                <c:pt idx="8">
                  <c:v>5873</c:v>
                </c:pt>
                <c:pt idx="9">
                  <c:v>6300</c:v>
                </c:pt>
                <c:pt idx="10">
                  <c:v>6727</c:v>
                </c:pt>
                <c:pt idx="11">
                  <c:v>7154</c:v>
                </c:pt>
                <c:pt idx="12">
                  <c:v>7581</c:v>
                </c:pt>
                <c:pt idx="13">
                  <c:v>8008</c:v>
                </c:pt>
                <c:pt idx="14">
                  <c:v>8435</c:v>
                </c:pt>
                <c:pt idx="15">
                  <c:v>8862</c:v>
                </c:pt>
                <c:pt idx="16">
                  <c:v>9290</c:v>
                </c:pt>
                <c:pt idx="17">
                  <c:v>9717</c:v>
                </c:pt>
                <c:pt idx="18">
                  <c:v>10144</c:v>
                </c:pt>
                <c:pt idx="19">
                  <c:v>10571</c:v>
                </c:pt>
                <c:pt idx="20">
                  <c:v>10998</c:v>
                </c:pt>
                <c:pt idx="21">
                  <c:v>11425</c:v>
                </c:pt>
                <c:pt idx="22">
                  <c:v>11852</c:v>
                </c:pt>
                <c:pt idx="23">
                  <c:v>12279.350242571832</c:v>
                </c:pt>
              </c:numCache>
            </c:numRef>
          </c:yVal>
          <c:smooth val="1"/>
          <c:extLst>
            <c:ext xmlns:c16="http://schemas.microsoft.com/office/drawing/2014/chart" uri="{C3380CC4-5D6E-409C-BE32-E72D297353CC}">
              <c16:uniqueId val="{00000001-00C9-44CC-A99D-49C0DD52C1B1}"/>
            </c:ext>
          </c:extLst>
        </c:ser>
        <c:ser>
          <c:idx val="2"/>
          <c:order val="2"/>
          <c:tx>
            <c:strRef>
              <c:f>战斗力计算!$J$73</c:f>
              <c:strCache>
                <c:ptCount val="1"/>
                <c:pt idx="0">
                  <c:v>参考战力3</c:v>
                </c:pt>
              </c:strCache>
            </c:strRef>
          </c:tx>
          <c:spPr>
            <a:ln w="19050" cap="rnd">
              <a:solidFill>
                <a:schemeClr val="accent3"/>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战斗力计算!$J$74:$J$97</c:f>
              <c:numCache>
                <c:formatCode>0_ </c:formatCode>
                <c:ptCount val="24"/>
                <c:pt idx="0">
                  <c:v>7248.1280706198568</c:v>
                </c:pt>
                <c:pt idx="1">
                  <c:v>7769.1594381718978</c:v>
                </c:pt>
                <c:pt idx="2">
                  <c:v>8327.6451226631725</c:v>
                </c:pt>
                <c:pt idx="3">
                  <c:v>8926.2775260194539</c:v>
                </c:pt>
                <c:pt idx="4">
                  <c:v>9567.9425933605198</c:v>
                </c:pt>
                <c:pt idx="5">
                  <c:v>10255.733725844155</c:v>
                </c:pt>
                <c:pt idx="6">
                  <c:v>10992.966693634304</c:v>
                </c:pt>
                <c:pt idx="7">
                  <c:v>11783.195620887313</c:v>
                </c:pt>
                <c:pt idx="8">
                  <c:v>12630.230119818165</c:v>
                </c:pt>
                <c:pt idx="9">
                  <c:v>13538.15365644837</c:v>
                </c:pt>
                <c:pt idx="10">
                  <c:v>14511.343236574778</c:v>
                </c:pt>
                <c:pt idx="11">
                  <c:v>15554.490506863425</c:v>
                </c:pt>
                <c:pt idx="12">
                  <c:v>16672.62437279458</c:v>
                </c:pt>
                <c:pt idx="13">
                  <c:v>17871.135242497763</c:v>
                </c:pt>
                <c:pt idx="14">
                  <c:v>19155.80101335379</c:v>
                </c:pt>
                <c:pt idx="15">
                  <c:v>20532.814926642575</c:v>
                </c:pt>
                <c:pt idx="16">
                  <c:v>22008.815424521006</c:v>
                </c:pt>
                <c:pt idx="17">
                  <c:v>23590.918153268456</c:v>
                </c:pt>
                <c:pt idx="18">
                  <c:v>25286.750267084091</c:v>
                </c:pt>
                <c:pt idx="19">
                  <c:v>27104.487197811239</c:v>
                </c:pt>
                <c:pt idx="20">
                  <c:v>29052.892067851655</c:v>
                </c:pt>
                <c:pt idx="21">
                  <c:v>31141.357936275534</c:v>
                </c:pt>
                <c:pt idx="22">
                  <c:v>33379.953081791165</c:v>
                </c:pt>
                <c:pt idx="23">
                  <c:v>35779.469540878978</c:v>
                </c:pt>
              </c:numCache>
            </c:numRef>
          </c:yVal>
          <c:smooth val="1"/>
          <c:extLst>
            <c:ext xmlns:c16="http://schemas.microsoft.com/office/drawing/2014/chart" uri="{C3380CC4-5D6E-409C-BE32-E72D297353CC}">
              <c16:uniqueId val="{00000002-00C9-44CC-A99D-49C0DD52C1B1}"/>
            </c:ext>
          </c:extLst>
        </c:ser>
        <c:ser>
          <c:idx val="3"/>
          <c:order val="3"/>
          <c:tx>
            <c:strRef>
              <c:f>战斗力计算!$K$73</c:f>
              <c:strCache>
                <c:ptCount val="1"/>
                <c:pt idx="0">
                  <c:v>参考战力4</c:v>
                </c:pt>
              </c:strCache>
            </c:strRef>
          </c:tx>
          <c:spPr>
            <a:ln w="19050" cap="rnd">
              <a:solidFill>
                <a:schemeClr val="accent4"/>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战斗力计算!$K$74:$K$97</c:f>
              <c:numCache>
                <c:formatCode>0_ </c:formatCode>
                <c:ptCount val="24"/>
                <c:pt idx="0">
                  <c:v>4701.2002018720495</c:v>
                </c:pt>
                <c:pt idx="1">
                  <c:v>5225.9142275751301</c:v>
                </c:pt>
                <c:pt idx="2">
                  <c:v>5757.6402184475046</c:v>
                </c:pt>
                <c:pt idx="3">
                  <c:v>6301.02888257012</c:v>
                </c:pt>
                <c:pt idx="4">
                  <c:v>6859.5468225339728</c:v>
                </c:pt>
                <c:pt idx="5">
                  <c:v>7436.0612616727612</c:v>
                </c:pt>
                <c:pt idx="6">
                  <c:v>8033.0636864678263</c:v>
                </c:pt>
                <c:pt idx="7">
                  <c:v>8653.4424046536024</c:v>
                </c:pt>
                <c:pt idx="8">
                  <c:v>9298.0260448825848</c:v>
                </c:pt>
                <c:pt idx="9">
                  <c:v>9969.4656921578317</c:v>
                </c:pt>
                <c:pt idx="10">
                  <c:v>10669.722879878633</c:v>
                </c:pt>
                <c:pt idx="11">
                  <c:v>11400.740183189224</c:v>
                </c:pt>
                <c:pt idx="12">
                  <c:v>12164.464018819583</c:v>
                </c:pt>
                <c:pt idx="13">
                  <c:v>12962.86238789826</c:v>
                </c:pt>
                <c:pt idx="14">
                  <c:v>13797.939138747544</c:v>
                </c:pt>
                <c:pt idx="15">
                  <c:v>14671.745799252112</c:v>
                </c:pt>
                <c:pt idx="16">
                  <c:v>15587.062849273345</c:v>
                </c:pt>
                <c:pt idx="17">
                  <c:v>16544.733934410116</c:v>
                </c:pt>
                <c:pt idx="18">
                  <c:v>17547.671995679164</c:v>
                </c:pt>
                <c:pt idx="19">
                  <c:v>18598.209956219835</c:v>
                </c:pt>
                <c:pt idx="20">
                  <c:v>19698.769958478992</c:v>
                </c:pt>
                <c:pt idx="21">
                  <c:v>20851.870124863821</c:v>
                </c:pt>
                <c:pt idx="22">
                  <c:v>22060.131161466845</c:v>
                </c:pt>
                <c:pt idx="23">
                  <c:v>23326.549029551043</c:v>
                </c:pt>
              </c:numCache>
            </c:numRef>
          </c:yVal>
          <c:smooth val="1"/>
          <c:extLst>
            <c:ext xmlns:c16="http://schemas.microsoft.com/office/drawing/2014/chart" uri="{C3380CC4-5D6E-409C-BE32-E72D297353CC}">
              <c16:uniqueId val="{00000003-00C9-44CC-A99D-49C0DD52C1B1}"/>
            </c:ext>
          </c:extLst>
        </c:ser>
        <c:ser>
          <c:idx val="4"/>
          <c:order val="4"/>
          <c:tx>
            <c:strRef>
              <c:f>战斗力计算!$L$73</c:f>
              <c:strCache>
                <c:ptCount val="1"/>
                <c:pt idx="0">
                  <c:v>参考战力5</c:v>
                </c:pt>
              </c:strCache>
            </c:strRef>
          </c:tx>
          <c:spPr>
            <a:ln w="19050" cap="rnd">
              <a:solidFill>
                <a:schemeClr val="accent5"/>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战斗力计算!$L$74:$L$97</c:f>
              <c:numCache>
                <c:formatCode>0_ </c:formatCode>
                <c:ptCount val="24"/>
                <c:pt idx="0">
                  <c:v>210.28763929148772</c:v>
                </c:pt>
                <c:pt idx="1">
                  <c:v>540.0857724248699</c:v>
                </c:pt>
                <c:pt idx="2">
                  <c:v>862.35978155249541</c:v>
                </c:pt>
                <c:pt idx="3">
                  <c:v>1172.97111742988</c:v>
                </c:pt>
                <c:pt idx="4">
                  <c:v>1468.4531774660272</c:v>
                </c:pt>
                <c:pt idx="5">
                  <c:v>1745.9387383272388</c:v>
                </c:pt>
                <c:pt idx="6">
                  <c:v>2002.9363135321737</c:v>
                </c:pt>
                <c:pt idx="7">
                  <c:v>2238.5575953463976</c:v>
                </c:pt>
                <c:pt idx="8">
                  <c:v>2447.9739551174152</c:v>
                </c:pt>
                <c:pt idx="9">
                  <c:v>2630.5343078421683</c:v>
                </c:pt>
                <c:pt idx="10">
                  <c:v>2784.2771201213673</c:v>
                </c:pt>
                <c:pt idx="11">
                  <c:v>2907.2598168107761</c:v>
                </c:pt>
                <c:pt idx="12">
                  <c:v>2997.5359811804174</c:v>
                </c:pt>
                <c:pt idx="13">
                  <c:v>3053.1376121017402</c:v>
                </c:pt>
                <c:pt idx="14">
                  <c:v>3072.0608612524557</c:v>
                </c:pt>
                <c:pt idx="15">
                  <c:v>3052.2542007478878</c:v>
                </c:pt>
                <c:pt idx="16">
                  <c:v>2992.9371507266551</c:v>
                </c:pt>
                <c:pt idx="17">
                  <c:v>2889.2660655898835</c:v>
                </c:pt>
                <c:pt idx="18">
                  <c:v>2740.328004320836</c:v>
                </c:pt>
                <c:pt idx="19">
                  <c:v>2543.7900437801654</c:v>
                </c:pt>
                <c:pt idx="20">
                  <c:v>2297.2300415210084</c:v>
                </c:pt>
                <c:pt idx="21">
                  <c:v>1998.1298751361792</c:v>
                </c:pt>
                <c:pt idx="22">
                  <c:v>1643.8688385331552</c:v>
                </c:pt>
                <c:pt idx="23">
                  <c:v>1232.1514555926224</c:v>
                </c:pt>
              </c:numCache>
            </c:numRef>
          </c:yVal>
          <c:smooth val="1"/>
          <c:extLst>
            <c:ext xmlns:c16="http://schemas.microsoft.com/office/drawing/2014/chart" uri="{C3380CC4-5D6E-409C-BE32-E72D297353CC}">
              <c16:uniqueId val="{00000004-00C9-44CC-A99D-49C0DD52C1B1}"/>
            </c:ext>
          </c:extLst>
        </c:ser>
        <c:ser>
          <c:idx val="5"/>
          <c:order val="5"/>
          <c:tx>
            <c:strRef>
              <c:f>战斗力计算!$M$73</c:f>
              <c:strCache>
                <c:ptCount val="1"/>
                <c:pt idx="0">
                  <c:v>参考战力6</c:v>
                </c:pt>
              </c:strCache>
            </c:strRef>
          </c:tx>
          <c:spPr>
            <a:ln w="19050" cap="rnd">
              <a:solidFill>
                <a:schemeClr val="accent6"/>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战斗力计算!$M$74:$M$97</c:f>
              <c:numCache>
                <c:formatCode>0_ </c:formatCode>
                <c:ptCount val="24"/>
                <c:pt idx="0">
                  <c:v>7248</c:v>
                </c:pt>
                <c:pt idx="1">
                  <c:v>10444</c:v>
                </c:pt>
                <c:pt idx="2">
                  <c:v>13395</c:v>
                </c:pt>
                <c:pt idx="3">
                  <c:v>16106</c:v>
                </c:pt>
                <c:pt idx="4">
                  <c:v>18586</c:v>
                </c:pt>
                <c:pt idx="5">
                  <c:v>20844</c:v>
                </c:pt>
                <c:pt idx="6">
                  <c:v>22888</c:v>
                </c:pt>
                <c:pt idx="7">
                  <c:v>24728</c:v>
                </c:pt>
                <c:pt idx="8">
                  <c:v>26375</c:v>
                </c:pt>
                <c:pt idx="9">
                  <c:v>27837</c:v>
                </c:pt>
                <c:pt idx="10">
                  <c:v>29126</c:v>
                </c:pt>
                <c:pt idx="11">
                  <c:v>30253</c:v>
                </c:pt>
                <c:pt idx="12">
                  <c:v>31230</c:v>
                </c:pt>
                <c:pt idx="13">
                  <c:v>32068</c:v>
                </c:pt>
                <c:pt idx="14">
                  <c:v>32781</c:v>
                </c:pt>
                <c:pt idx="15">
                  <c:v>33380</c:v>
                </c:pt>
                <c:pt idx="16">
                  <c:v>33879</c:v>
                </c:pt>
                <c:pt idx="17">
                  <c:v>34292</c:v>
                </c:pt>
                <c:pt idx="18">
                  <c:v>34633</c:v>
                </c:pt>
                <c:pt idx="19">
                  <c:v>34917</c:v>
                </c:pt>
                <c:pt idx="20">
                  <c:v>35158</c:v>
                </c:pt>
                <c:pt idx="21">
                  <c:v>35373</c:v>
                </c:pt>
                <c:pt idx="22">
                  <c:v>35576</c:v>
                </c:pt>
                <c:pt idx="23">
                  <c:v>35785</c:v>
                </c:pt>
              </c:numCache>
            </c:numRef>
          </c:yVal>
          <c:smooth val="1"/>
          <c:extLst>
            <c:ext xmlns:c16="http://schemas.microsoft.com/office/drawing/2014/chart" uri="{C3380CC4-5D6E-409C-BE32-E72D297353CC}">
              <c16:uniqueId val="{00000005-00C9-44CC-A99D-49C0DD52C1B1}"/>
            </c:ext>
          </c:extLst>
        </c:ser>
        <c:ser>
          <c:idx val="6"/>
          <c:order val="6"/>
          <c:tx>
            <c:strRef>
              <c:f>战斗力计算!$N$73</c:f>
              <c:strCache>
                <c:ptCount val="1"/>
                <c:pt idx="0">
                  <c:v>期望战力</c:v>
                </c:pt>
              </c:strCache>
            </c:strRef>
          </c:tx>
          <c:spPr>
            <a:ln w="19050" cap="rnd">
              <a:solidFill>
                <a:schemeClr val="accent1">
                  <a:lumMod val="60000"/>
                </a:schemeClr>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战斗力计算!$N$74:$N$97</c:f>
              <c:numCache>
                <c:formatCode>0_ </c:formatCode>
                <c:ptCount val="24"/>
                <c:pt idx="0">
                  <c:v>7248</c:v>
                </c:pt>
                <c:pt idx="1">
                  <c:v>10444</c:v>
                </c:pt>
                <c:pt idx="2">
                  <c:v>13395</c:v>
                </c:pt>
                <c:pt idx="3">
                  <c:v>16106</c:v>
                </c:pt>
                <c:pt idx="4">
                  <c:v>18586</c:v>
                </c:pt>
                <c:pt idx="5">
                  <c:v>20844</c:v>
                </c:pt>
                <c:pt idx="6">
                  <c:v>22888</c:v>
                </c:pt>
                <c:pt idx="7">
                  <c:v>24728</c:v>
                </c:pt>
                <c:pt idx="8">
                  <c:v>26375</c:v>
                </c:pt>
                <c:pt idx="9">
                  <c:v>27837</c:v>
                </c:pt>
                <c:pt idx="10">
                  <c:v>29126</c:v>
                </c:pt>
                <c:pt idx="11">
                  <c:v>30253</c:v>
                </c:pt>
                <c:pt idx="12">
                  <c:v>31230</c:v>
                </c:pt>
                <c:pt idx="13">
                  <c:v>32068</c:v>
                </c:pt>
                <c:pt idx="14">
                  <c:v>32781</c:v>
                </c:pt>
                <c:pt idx="15">
                  <c:v>33380</c:v>
                </c:pt>
                <c:pt idx="16">
                  <c:v>33879</c:v>
                </c:pt>
                <c:pt idx="17">
                  <c:v>34292</c:v>
                </c:pt>
                <c:pt idx="18">
                  <c:v>34633</c:v>
                </c:pt>
                <c:pt idx="19">
                  <c:v>34917</c:v>
                </c:pt>
                <c:pt idx="20">
                  <c:v>35158</c:v>
                </c:pt>
                <c:pt idx="21">
                  <c:v>35373</c:v>
                </c:pt>
                <c:pt idx="22">
                  <c:v>35576</c:v>
                </c:pt>
                <c:pt idx="23">
                  <c:v>35785</c:v>
                </c:pt>
              </c:numCache>
            </c:numRef>
          </c:yVal>
          <c:smooth val="1"/>
          <c:extLst>
            <c:ext xmlns:c16="http://schemas.microsoft.com/office/drawing/2014/chart" uri="{C3380CC4-5D6E-409C-BE32-E72D297353CC}">
              <c16:uniqueId val="{00000006-00C9-44CC-A99D-49C0DD52C1B1}"/>
            </c:ext>
          </c:extLst>
        </c:ser>
        <c:ser>
          <c:idx val="7"/>
          <c:order val="7"/>
          <c:tx>
            <c:strRef>
              <c:f>战斗力计算!$O$73</c:f>
              <c:strCache>
                <c:ptCount val="1"/>
                <c:pt idx="0">
                  <c:v>模拟战力</c:v>
                </c:pt>
              </c:strCache>
            </c:strRef>
          </c:tx>
          <c:spPr>
            <a:ln w="19050" cap="rnd">
              <a:solidFill>
                <a:schemeClr val="accent2">
                  <a:lumMod val="60000"/>
                </a:schemeClr>
              </a:solidFill>
              <a:round/>
            </a:ln>
            <a:effectLst/>
          </c:spPr>
          <c:marker>
            <c:symbol val="none"/>
          </c:marker>
          <c:xVal>
            <c:numRef>
              <c:f>战斗力计算!$G$74:$G$97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战斗力计算!$O$74:$O$97</c:f>
              <c:numCache>
                <c:formatCode>0_ </c:formatCode>
                <c:ptCount val="24"/>
                <c:pt idx="0">
                  <c:v>2556.1917595276586</c:v>
                </c:pt>
                <c:pt idx="1">
                  <c:v>3841.3905149499133</c:v>
                </c:pt>
                <c:pt idx="2">
                  <c:v>5039.9065210349972</c:v>
                </c:pt>
                <c:pt idx="3">
                  <c:v>6150.6474116199197</c:v>
                </c:pt>
                <c:pt idx="4">
                  <c:v>7174.3021183106857</c:v>
                </c:pt>
                <c:pt idx="5">
                  <c:v>8111.9591588848261</c:v>
                </c:pt>
                <c:pt idx="6">
                  <c:v>8964.6242090214491</c:v>
                </c:pt>
                <c:pt idx="7">
                  <c:v>9735.0383968975984</c:v>
                </c:pt>
                <c:pt idx="8">
                  <c:v>10423.64930341161</c:v>
                </c:pt>
                <c:pt idx="9">
                  <c:v>11032.689538561446</c:v>
                </c:pt>
                <c:pt idx="10">
                  <c:v>11564.851413414246</c:v>
                </c:pt>
                <c:pt idx="11">
                  <c:v>12022.506544540518</c:v>
                </c:pt>
                <c:pt idx="12">
                  <c:v>12408.357320786943</c:v>
                </c:pt>
                <c:pt idx="13">
                  <c:v>12724.758408067826</c:v>
                </c:pt>
                <c:pt idx="14">
                  <c:v>12975.040574168304</c:v>
                </c:pt>
                <c:pt idx="15">
                  <c:v>13161.502800498592</c:v>
                </c:pt>
                <c:pt idx="16">
                  <c:v>13288.291433817771</c:v>
                </c:pt>
                <c:pt idx="17">
                  <c:v>13356.844043726589</c:v>
                </c:pt>
                <c:pt idx="18">
                  <c:v>13371.218669547225</c:v>
                </c:pt>
                <c:pt idx="19">
                  <c:v>13334.860029186777</c:v>
                </c:pt>
                <c:pt idx="20">
                  <c:v>13250.820027680673</c:v>
                </c:pt>
                <c:pt idx="21">
                  <c:v>13123.086583424119</c:v>
                </c:pt>
                <c:pt idx="22">
                  <c:v>12954.579225688771</c:v>
                </c:pt>
                <c:pt idx="23">
                  <c:v>12749.767637061748</c:v>
                </c:pt>
              </c:numCache>
            </c:numRef>
          </c:yVal>
          <c:smooth val="1"/>
          <c:extLst>
            <c:ext xmlns:c16="http://schemas.microsoft.com/office/drawing/2014/chart" uri="{C3380CC4-5D6E-409C-BE32-E72D297353CC}">
              <c16:uniqueId val="{00000007-00C9-44CC-A99D-49C0DD52C1B1}"/>
            </c:ext>
          </c:extLst>
        </c:ser>
        <c:dLbls>
          <c:showLegendKey val="0"/>
          <c:showVal val="0"/>
          <c:showCatName val="0"/>
          <c:showSerName val="0"/>
          <c:showPercent val="0"/>
          <c:showBubbleSize val="0"/>
        </c:dLbls>
        <c:axId val="964771504"/>
        <c:axId val="964784560"/>
      </c:scatterChart>
      <c:valAx>
        <c:axId val="964771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4784560"/>
        <c:crosses val="autoZero"/>
        <c:crossBetween val="midCat"/>
      </c:valAx>
      <c:valAx>
        <c:axId val="96478456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47715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31750</xdr:colOff>
          <xdr:row>0</xdr:row>
          <xdr:rowOff>31750</xdr:rowOff>
        </xdr:from>
        <xdr:to>
          <xdr:col>21</xdr:col>
          <xdr:colOff>355600</xdr:colOff>
          <xdr:row>2</xdr:row>
          <xdr:rowOff>12700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取消隐藏</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28575</xdr:colOff>
      <xdr:row>16</xdr:row>
      <xdr:rowOff>47625</xdr:rowOff>
    </xdr:from>
    <xdr:to>
      <xdr:col>7</xdr:col>
      <xdr:colOff>485775</xdr:colOff>
      <xdr:row>31</xdr:row>
      <xdr:rowOff>76200</xdr:rowOff>
    </xdr:to>
    <xdr:graphicFrame macro="">
      <xdr:nvGraphicFramePr>
        <xdr:cNvPr id="4" name="图表 3">
          <a:extLst>
            <a:ext uri="{FF2B5EF4-FFF2-40B4-BE49-F238E27FC236}">
              <a16:creationId xmlns:a16="http://schemas.microsoft.com/office/drawing/2014/main" id="{00000000-0008-0000-1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109537</xdr:colOff>
      <xdr:row>71</xdr:row>
      <xdr:rowOff>28575</xdr:rowOff>
    </xdr:from>
    <xdr:to>
      <xdr:col>26</xdr:col>
      <xdr:colOff>390525</xdr:colOff>
      <xdr:row>97</xdr:row>
      <xdr:rowOff>161925</xdr:rowOff>
    </xdr:to>
    <xdr:graphicFrame macro="">
      <xdr:nvGraphicFramePr>
        <xdr:cNvPr id="6" name="图表 5">
          <a:extLst>
            <a:ext uri="{FF2B5EF4-FFF2-40B4-BE49-F238E27FC236}">
              <a16:creationId xmlns:a16="http://schemas.microsoft.com/office/drawing/2014/main" id="{00000000-0008-0000-1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C40"/>
  <sheetViews>
    <sheetView zoomScaleNormal="100" workbookViewId="0">
      <selection activeCell="O18" sqref="O18"/>
    </sheetView>
  </sheetViews>
  <sheetFormatPr defaultColWidth="9" defaultRowHeight="13" x14ac:dyDescent="0.25"/>
  <cols>
    <col min="1" max="1" width="9" style="694"/>
    <col min="2" max="2" width="10.453125" style="694" bestFit="1" customWidth="1"/>
    <col min="3" max="16384" width="9" style="694"/>
  </cols>
  <sheetData>
    <row r="3" spans="2:3" x14ac:dyDescent="0.25">
      <c r="C3" s="694" t="s">
        <v>3311</v>
      </c>
    </row>
    <row r="4" spans="2:3" x14ac:dyDescent="0.25">
      <c r="B4" s="721" t="s">
        <v>3316</v>
      </c>
      <c r="C4" s="694" t="s">
        <v>3313</v>
      </c>
    </row>
    <row r="5" spans="2:3" x14ac:dyDescent="0.25">
      <c r="B5" s="721"/>
      <c r="C5" s="694" t="s">
        <v>3312</v>
      </c>
    </row>
    <row r="6" spans="2:3" x14ac:dyDescent="0.25">
      <c r="B6" s="721"/>
      <c r="C6" s="694" t="s">
        <v>3314</v>
      </c>
    </row>
    <row r="7" spans="2:3" x14ac:dyDescent="0.25">
      <c r="B7" s="721"/>
      <c r="C7" s="694" t="s">
        <v>3315</v>
      </c>
    </row>
    <row r="8" spans="2:3" x14ac:dyDescent="0.25">
      <c r="B8" s="721" t="s">
        <v>3323</v>
      </c>
      <c r="C8" s="694" t="s">
        <v>3317</v>
      </c>
    </row>
    <row r="9" spans="2:3" x14ac:dyDescent="0.25">
      <c r="B9" s="721"/>
      <c r="C9" s="694" t="s">
        <v>3318</v>
      </c>
    </row>
    <row r="10" spans="2:3" x14ac:dyDescent="0.25">
      <c r="B10" s="721"/>
      <c r="C10" s="694" t="s">
        <v>3319</v>
      </c>
    </row>
    <row r="11" spans="2:3" x14ac:dyDescent="0.25">
      <c r="B11" s="721"/>
      <c r="C11" s="694" t="s">
        <v>3320</v>
      </c>
    </row>
    <row r="12" spans="2:3" x14ac:dyDescent="0.25">
      <c r="B12" s="721"/>
      <c r="C12" s="694" t="s">
        <v>3321</v>
      </c>
    </row>
    <row r="13" spans="2:3" x14ac:dyDescent="0.25">
      <c r="B13" s="721"/>
      <c r="C13" s="694" t="s">
        <v>3322</v>
      </c>
    </row>
    <row r="14" spans="2:3" x14ac:dyDescent="0.25">
      <c r="B14" s="721" t="s">
        <v>3332</v>
      </c>
      <c r="C14" s="694" t="s">
        <v>3324</v>
      </c>
    </row>
    <row r="15" spans="2:3" x14ac:dyDescent="0.25">
      <c r="B15" s="721"/>
      <c r="C15" s="694" t="s">
        <v>3325</v>
      </c>
    </row>
    <row r="16" spans="2:3" x14ac:dyDescent="0.25">
      <c r="B16" s="721"/>
      <c r="C16" s="694" t="s">
        <v>3326</v>
      </c>
    </row>
    <row r="17" spans="2:3" x14ac:dyDescent="0.25">
      <c r="B17" s="721"/>
      <c r="C17" s="694" t="s">
        <v>3327</v>
      </c>
    </row>
    <row r="18" spans="2:3" x14ac:dyDescent="0.25">
      <c r="B18" s="721"/>
      <c r="C18" s="694" t="s">
        <v>3329</v>
      </c>
    </row>
    <row r="19" spans="2:3" x14ac:dyDescent="0.25">
      <c r="B19" s="721"/>
      <c r="C19" s="694" t="s">
        <v>3328</v>
      </c>
    </row>
    <row r="20" spans="2:3" x14ac:dyDescent="0.25">
      <c r="B20" s="721"/>
      <c r="C20" s="694" t="s">
        <v>3330</v>
      </c>
    </row>
    <row r="21" spans="2:3" x14ac:dyDescent="0.25">
      <c r="B21" s="721"/>
      <c r="C21" s="694" t="s">
        <v>3331</v>
      </c>
    </row>
    <row r="27" spans="2:3" x14ac:dyDescent="0.25">
      <c r="C27" s="694" t="s">
        <v>3333</v>
      </c>
    </row>
    <row r="28" spans="2:3" x14ac:dyDescent="0.25">
      <c r="C28" s="694" t="s">
        <v>3334</v>
      </c>
    </row>
    <row r="29" spans="2:3" x14ac:dyDescent="0.25">
      <c r="C29" s="694" t="s">
        <v>3335</v>
      </c>
    </row>
    <row r="30" spans="2:3" x14ac:dyDescent="0.25">
      <c r="C30" s="694" t="s">
        <v>3336</v>
      </c>
    </row>
    <row r="31" spans="2:3" x14ac:dyDescent="0.25">
      <c r="C31" s="694" t="s">
        <v>3337</v>
      </c>
    </row>
    <row r="32" spans="2:3" x14ac:dyDescent="0.25">
      <c r="C32" s="694" t="s">
        <v>3338</v>
      </c>
    </row>
    <row r="33" spans="3:3" x14ac:dyDescent="0.25">
      <c r="C33" s="694" t="s">
        <v>3339</v>
      </c>
    </row>
    <row r="34" spans="3:3" x14ac:dyDescent="0.25">
      <c r="C34" s="694" t="s">
        <v>3343</v>
      </c>
    </row>
    <row r="38" spans="3:3" x14ac:dyDescent="0.25">
      <c r="C38" s="694" t="s">
        <v>3340</v>
      </c>
    </row>
    <row r="39" spans="3:3" x14ac:dyDescent="0.25">
      <c r="C39" s="694" t="s">
        <v>3341</v>
      </c>
    </row>
    <row r="40" spans="3:3" x14ac:dyDescent="0.25">
      <c r="C40" s="694" t="s">
        <v>3342</v>
      </c>
    </row>
  </sheetData>
  <mergeCells count="3">
    <mergeCell ref="B4:B7"/>
    <mergeCell ref="B8:B13"/>
    <mergeCell ref="B14:B21"/>
  </mergeCells>
  <phoneticPr fontId="10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V143"/>
  <sheetViews>
    <sheetView topLeftCell="A58" workbookViewId="0">
      <selection activeCell="E100" sqref="E100"/>
    </sheetView>
  </sheetViews>
  <sheetFormatPr defaultColWidth="9" defaultRowHeight="13" x14ac:dyDescent="0.35"/>
  <cols>
    <col min="1" max="1" width="9" style="1"/>
    <col min="2" max="2" width="10.81640625" style="1" customWidth="1"/>
    <col min="3" max="3" width="9" style="1"/>
    <col min="4" max="4" width="9" style="1" bestFit="1" customWidth="1"/>
    <col min="5" max="16384" width="9" style="1"/>
  </cols>
  <sheetData>
    <row r="2" spans="2:7" x14ac:dyDescent="0.35">
      <c r="B2" s="2" t="s">
        <v>2</v>
      </c>
    </row>
    <row r="3" spans="2:7" x14ac:dyDescent="0.35">
      <c r="B3" s="3" t="s">
        <v>0</v>
      </c>
    </row>
    <row r="4" spans="2:7" x14ac:dyDescent="0.35">
      <c r="B4" s="451" t="s">
        <v>2046</v>
      </c>
    </row>
    <row r="5" spans="2:7" x14ac:dyDescent="0.35">
      <c r="B5" s="3" t="s">
        <v>1</v>
      </c>
    </row>
    <row r="6" spans="2:7" x14ac:dyDescent="0.35">
      <c r="B6" s="451" t="s">
        <v>2047</v>
      </c>
    </row>
    <row r="7" spans="2:7" x14ac:dyDescent="0.35">
      <c r="B7" s="3"/>
    </row>
    <row r="8" spans="2:7" x14ac:dyDescent="0.35">
      <c r="B8" s="18" t="s">
        <v>370</v>
      </c>
    </row>
    <row r="9" spans="2:7" x14ac:dyDescent="0.35">
      <c r="B9" s="451" t="s">
        <v>2048</v>
      </c>
    </row>
    <row r="10" spans="2:7" x14ac:dyDescent="0.35">
      <c r="B10" s="451" t="s">
        <v>2049</v>
      </c>
    </row>
    <row r="11" spans="2:7" x14ac:dyDescent="0.35">
      <c r="B11" s="18"/>
    </row>
    <row r="12" spans="2:7" x14ac:dyDescent="0.35">
      <c r="B12" s="25" t="s">
        <v>382</v>
      </c>
      <c r="G12" s="230" t="s">
        <v>1179</v>
      </c>
    </row>
    <row r="13" spans="2:7" x14ac:dyDescent="0.35">
      <c r="B13" s="18" t="s">
        <v>383</v>
      </c>
    </row>
    <row r="14" spans="2:7" x14ac:dyDescent="0.35">
      <c r="B14" s="25" t="s">
        <v>384</v>
      </c>
    </row>
    <row r="16" spans="2:7" x14ac:dyDescent="0.35">
      <c r="B16" s="723" t="s">
        <v>344</v>
      </c>
      <c r="C16" s="723"/>
    </row>
    <row r="17" spans="2:12" x14ac:dyDescent="0.35">
      <c r="B17" s="13" t="s">
        <v>346</v>
      </c>
      <c r="C17" s="13" t="s">
        <v>350</v>
      </c>
    </row>
    <row r="18" spans="2:12" x14ac:dyDescent="0.35">
      <c r="B18" s="13" t="s">
        <v>266</v>
      </c>
      <c r="C18" s="8">
        <v>15</v>
      </c>
    </row>
    <row r="19" spans="2:12" x14ac:dyDescent="0.35">
      <c r="B19" s="13" t="s">
        <v>292</v>
      </c>
      <c r="C19" s="8">
        <v>400</v>
      </c>
      <c r="J19" s="136"/>
    </row>
    <row r="20" spans="2:12" x14ac:dyDescent="0.35">
      <c r="B20" s="262" t="s">
        <v>1192</v>
      </c>
      <c r="C20" s="8">
        <v>100</v>
      </c>
      <c r="J20" s="136"/>
    </row>
    <row r="21" spans="2:12" x14ac:dyDescent="0.35">
      <c r="E21" s="2"/>
    </row>
    <row r="22" spans="2:12" x14ac:dyDescent="0.35">
      <c r="B22" s="724" t="s">
        <v>3287</v>
      </c>
      <c r="C22" s="725"/>
      <c r="D22" s="725"/>
      <c r="E22" s="725"/>
    </row>
    <row r="23" spans="2:12" x14ac:dyDescent="0.35">
      <c r="B23" s="234" t="s">
        <v>23</v>
      </c>
      <c r="C23" s="234" t="s">
        <v>3</v>
      </c>
      <c r="D23" s="234" t="s">
        <v>28</v>
      </c>
      <c r="E23" s="234" t="s">
        <v>29</v>
      </c>
      <c r="L23" s="243"/>
    </row>
    <row r="24" spans="2:12" x14ac:dyDescent="0.35">
      <c r="B24" s="234" t="s">
        <v>24</v>
      </c>
      <c r="C24" s="235">
        <v>60</v>
      </c>
      <c r="D24" s="235">
        <v>40</v>
      </c>
      <c r="E24" s="235">
        <v>100</v>
      </c>
      <c r="L24" s="230"/>
    </row>
    <row r="25" spans="2:12" x14ac:dyDescent="0.35">
      <c r="B25" s="234" t="s">
        <v>25</v>
      </c>
      <c r="C25" s="235">
        <v>75</v>
      </c>
      <c r="D25" s="235">
        <v>55</v>
      </c>
      <c r="E25" s="235">
        <v>105</v>
      </c>
    </row>
    <row r="26" spans="2:12" x14ac:dyDescent="0.35">
      <c r="B26" s="234" t="s">
        <v>26</v>
      </c>
      <c r="C26" s="235">
        <v>90</v>
      </c>
      <c r="D26" s="235">
        <v>70</v>
      </c>
      <c r="E26" s="235">
        <v>110</v>
      </c>
    </row>
    <row r="27" spans="2:12" x14ac:dyDescent="0.35">
      <c r="B27" s="252"/>
      <c r="C27" s="10"/>
      <c r="D27" s="10"/>
      <c r="E27" s="10"/>
    </row>
    <row r="28" spans="2:12" x14ac:dyDescent="0.35">
      <c r="B28" s="731" t="s">
        <v>3288</v>
      </c>
      <c r="C28" s="726"/>
      <c r="D28" s="726"/>
      <c r="E28" s="726"/>
    </row>
    <row r="29" spans="2:12" x14ac:dyDescent="0.35">
      <c r="B29" s="446" t="s">
        <v>4</v>
      </c>
      <c r="C29" s="446" t="s">
        <v>3</v>
      </c>
      <c r="D29" s="446" t="s">
        <v>28</v>
      </c>
      <c r="E29" s="446" t="s">
        <v>29</v>
      </c>
    </row>
    <row r="30" spans="2:12" x14ac:dyDescent="0.35">
      <c r="B30" s="445" t="s">
        <v>408</v>
      </c>
      <c r="C30" s="8">
        <v>40</v>
      </c>
      <c r="D30" s="8">
        <v>40</v>
      </c>
      <c r="E30" s="8">
        <v>100</v>
      </c>
    </row>
    <row r="31" spans="2:12" x14ac:dyDescent="0.35">
      <c r="B31" s="445" t="s">
        <v>392</v>
      </c>
      <c r="C31" s="8">
        <v>60</v>
      </c>
      <c r="D31" s="8">
        <v>40</v>
      </c>
      <c r="E31" s="8">
        <v>100</v>
      </c>
    </row>
    <row r="32" spans="2:12" x14ac:dyDescent="0.35">
      <c r="B32" s="448" t="s">
        <v>608</v>
      </c>
      <c r="C32" s="8">
        <v>80</v>
      </c>
      <c r="D32" s="8">
        <v>40</v>
      </c>
      <c r="E32" s="8">
        <v>100</v>
      </c>
    </row>
    <row r="33" spans="2:12" x14ac:dyDescent="0.35">
      <c r="B33" s="445" t="s">
        <v>394</v>
      </c>
      <c r="C33" s="8">
        <v>55</v>
      </c>
      <c r="D33" s="8">
        <v>55</v>
      </c>
      <c r="E33" s="8">
        <v>105</v>
      </c>
    </row>
    <row r="34" spans="2:12" x14ac:dyDescent="0.35">
      <c r="B34" s="445" t="s">
        <v>393</v>
      </c>
      <c r="C34" s="8">
        <v>80</v>
      </c>
      <c r="D34" s="8">
        <v>55</v>
      </c>
      <c r="E34" s="8">
        <v>105</v>
      </c>
    </row>
    <row r="35" spans="2:12" x14ac:dyDescent="0.35">
      <c r="B35" s="445" t="s">
        <v>409</v>
      </c>
      <c r="C35" s="8">
        <v>70</v>
      </c>
      <c r="D35" s="8">
        <v>70</v>
      </c>
      <c r="E35" s="8">
        <v>110</v>
      </c>
    </row>
    <row r="36" spans="2:12" x14ac:dyDescent="0.35">
      <c r="B36" s="445" t="s">
        <v>395</v>
      </c>
      <c r="C36" s="8">
        <v>90</v>
      </c>
      <c r="D36" s="8">
        <v>70</v>
      </c>
      <c r="E36" s="8">
        <v>110</v>
      </c>
    </row>
    <row r="38" spans="2:12" x14ac:dyDescent="0.35">
      <c r="B38" s="726" t="s">
        <v>30</v>
      </c>
      <c r="C38" s="726"/>
      <c r="D38" s="726"/>
      <c r="E38" s="726"/>
      <c r="F38" s="726"/>
      <c r="G38" s="726"/>
      <c r="L38" s="450" t="s">
        <v>2045</v>
      </c>
    </row>
    <row r="39" spans="2:12" x14ac:dyDescent="0.35">
      <c r="B39" s="4" t="s">
        <v>4</v>
      </c>
      <c r="C39" s="4" t="s">
        <v>8</v>
      </c>
      <c r="D39" s="4" t="s">
        <v>17</v>
      </c>
      <c r="E39" s="4" t="s">
        <v>9</v>
      </c>
      <c r="F39" s="4" t="s">
        <v>10</v>
      </c>
      <c r="G39" s="4" t="s">
        <v>11</v>
      </c>
    </row>
    <row r="40" spans="2:12" x14ac:dyDescent="0.35">
      <c r="B40" s="4" t="s">
        <v>5</v>
      </c>
      <c r="C40" s="4" t="s">
        <v>12</v>
      </c>
      <c r="D40" s="4" t="s">
        <v>18</v>
      </c>
      <c r="E40" s="4" t="s">
        <v>19</v>
      </c>
      <c r="F40" s="4" t="s">
        <v>14</v>
      </c>
      <c r="G40" s="4" t="s">
        <v>15</v>
      </c>
    </row>
    <row r="41" spans="2:12" x14ac:dyDescent="0.35">
      <c r="B41" s="4" t="s">
        <v>7</v>
      </c>
      <c r="C41" s="4" t="s">
        <v>22</v>
      </c>
      <c r="D41" s="4" t="s">
        <v>22</v>
      </c>
      <c r="E41" s="4" t="s">
        <v>22</v>
      </c>
      <c r="F41" s="4" t="s">
        <v>22</v>
      </c>
      <c r="G41" s="4" t="s">
        <v>22</v>
      </c>
    </row>
    <row r="42" spans="2:12" x14ac:dyDescent="0.35">
      <c r="B42" s="4" t="s">
        <v>6</v>
      </c>
      <c r="C42" s="4" t="s">
        <v>16</v>
      </c>
      <c r="D42" s="4" t="s">
        <v>20</v>
      </c>
      <c r="E42" s="4" t="s">
        <v>18</v>
      </c>
      <c r="F42" s="4" t="s">
        <v>20</v>
      </c>
      <c r="G42" s="4" t="s">
        <v>21</v>
      </c>
    </row>
    <row r="44" spans="2:12" x14ac:dyDescent="0.35">
      <c r="B44" s="723" t="s">
        <v>369</v>
      </c>
      <c r="C44" s="727"/>
      <c r="D44" s="727"/>
      <c r="E44" s="727"/>
      <c r="F44" s="727"/>
      <c r="G44" s="727"/>
      <c r="H44" s="727"/>
      <c r="I44" s="727"/>
      <c r="J44" s="727"/>
      <c r="K44" s="727"/>
    </row>
    <row r="45" spans="2:12" x14ac:dyDescent="0.35">
      <c r="B45" s="4" t="s">
        <v>45</v>
      </c>
      <c r="C45" s="4" t="s">
        <v>31</v>
      </c>
      <c r="D45" s="4" t="s">
        <v>46</v>
      </c>
      <c r="E45" s="4" t="s">
        <v>47</v>
      </c>
      <c r="F45" s="4" t="s">
        <v>32</v>
      </c>
      <c r="G45" s="4" t="s">
        <v>48</v>
      </c>
      <c r="H45" s="4" t="s">
        <v>33</v>
      </c>
      <c r="I45" s="4" t="s">
        <v>194</v>
      </c>
      <c r="J45" s="4" t="s">
        <v>49</v>
      </c>
      <c r="K45" s="4" t="s">
        <v>50</v>
      </c>
    </row>
    <row r="46" spans="2:12" x14ac:dyDescent="0.35">
      <c r="B46" s="4" t="s">
        <v>375</v>
      </c>
      <c r="C46" s="4">
        <v>1</v>
      </c>
      <c r="D46" s="4">
        <v>1</v>
      </c>
      <c r="E46" s="4" t="s">
        <v>51</v>
      </c>
      <c r="F46" s="4" t="s">
        <v>52</v>
      </c>
      <c r="G46" s="4" t="s">
        <v>39</v>
      </c>
      <c r="H46" s="4" t="s">
        <v>37</v>
      </c>
      <c r="I46" s="4" t="s">
        <v>195</v>
      </c>
      <c r="J46" s="4">
        <v>0</v>
      </c>
      <c r="K46" s="4">
        <v>0</v>
      </c>
    </row>
    <row r="47" spans="2:12" x14ac:dyDescent="0.35">
      <c r="B47" s="4" t="s">
        <v>373</v>
      </c>
      <c r="C47" s="4">
        <v>2</v>
      </c>
      <c r="D47" s="4">
        <v>6</v>
      </c>
      <c r="E47" s="4" t="s">
        <v>41</v>
      </c>
      <c r="F47" s="4" t="s">
        <v>35</v>
      </c>
      <c r="G47" s="4" t="s">
        <v>36</v>
      </c>
      <c r="H47" s="4" t="s">
        <v>40</v>
      </c>
      <c r="I47" s="4" t="s">
        <v>196</v>
      </c>
      <c r="J47" s="4">
        <v>0</v>
      </c>
      <c r="K47" s="4">
        <v>0.5</v>
      </c>
    </row>
    <row r="48" spans="2:12" x14ac:dyDescent="0.35">
      <c r="B48" s="21" t="s">
        <v>379</v>
      </c>
      <c r="C48" s="4">
        <v>3</v>
      </c>
      <c r="D48" s="4">
        <v>6</v>
      </c>
      <c r="E48" s="4" t="s">
        <v>34</v>
      </c>
      <c r="F48" s="4" t="s">
        <v>42</v>
      </c>
      <c r="G48" s="4" t="s">
        <v>39</v>
      </c>
      <c r="H48" s="4">
        <v>0</v>
      </c>
      <c r="I48" s="4" t="s">
        <v>197</v>
      </c>
      <c r="J48" s="4" t="s">
        <v>53</v>
      </c>
      <c r="K48" s="4">
        <v>0.25</v>
      </c>
    </row>
    <row r="49" spans="2:15" x14ac:dyDescent="0.35">
      <c r="B49" s="4" t="s">
        <v>377</v>
      </c>
      <c r="C49" s="4">
        <v>4</v>
      </c>
      <c r="D49" s="4">
        <v>6</v>
      </c>
      <c r="E49" s="4" t="s">
        <v>38</v>
      </c>
      <c r="F49" s="4" t="s">
        <v>54</v>
      </c>
      <c r="G49" s="4" t="s">
        <v>39</v>
      </c>
      <c r="H49" s="4">
        <v>0</v>
      </c>
      <c r="I49" s="4" t="s">
        <v>197</v>
      </c>
      <c r="J49" s="4" t="s">
        <v>53</v>
      </c>
      <c r="K49" s="4">
        <v>0.25</v>
      </c>
    </row>
    <row r="50" spans="2:15" x14ac:dyDescent="0.35">
      <c r="B50" s="21" t="s">
        <v>192</v>
      </c>
      <c r="C50" s="4">
        <v>5</v>
      </c>
      <c r="D50" s="4">
        <v>6</v>
      </c>
      <c r="E50" s="4" t="s">
        <v>34</v>
      </c>
      <c r="F50" s="4" t="s">
        <v>35</v>
      </c>
      <c r="G50" s="4" t="s">
        <v>55</v>
      </c>
      <c r="H50" s="4" t="s">
        <v>43</v>
      </c>
      <c r="I50" s="4" t="s">
        <v>198</v>
      </c>
      <c r="J50" s="4">
        <v>0</v>
      </c>
      <c r="K50" s="4">
        <v>0</v>
      </c>
    </row>
    <row r="51" spans="2:15" x14ac:dyDescent="0.35">
      <c r="B51" s="4" t="s">
        <v>371</v>
      </c>
      <c r="C51" s="4">
        <v>6</v>
      </c>
      <c r="D51" s="4">
        <v>3</v>
      </c>
      <c r="E51" s="4" t="s">
        <v>34</v>
      </c>
      <c r="F51" s="4" t="s">
        <v>56</v>
      </c>
      <c r="G51" s="4" t="s">
        <v>39</v>
      </c>
      <c r="H51" s="4" t="s">
        <v>44</v>
      </c>
      <c r="I51" s="4" t="s">
        <v>196</v>
      </c>
      <c r="J51" s="4">
        <v>0</v>
      </c>
      <c r="K51" s="4">
        <v>0.25</v>
      </c>
    </row>
    <row r="53" spans="2:15" x14ac:dyDescent="0.35">
      <c r="B53" s="723" t="s">
        <v>345</v>
      </c>
      <c r="C53" s="723"/>
    </row>
    <row r="54" spans="2:15" x14ac:dyDescent="0.35">
      <c r="B54" s="13" t="s">
        <v>347</v>
      </c>
      <c r="C54" s="13" t="s">
        <v>351</v>
      </c>
      <c r="M54" s="15"/>
      <c r="N54" s="15"/>
      <c r="O54" s="15"/>
    </row>
    <row r="55" spans="2:15" x14ac:dyDescent="0.35">
      <c r="B55" s="13" t="s">
        <v>348</v>
      </c>
      <c r="C55" s="11">
        <v>0.3</v>
      </c>
      <c r="M55" s="15"/>
      <c r="N55" s="15"/>
      <c r="O55" s="15"/>
    </row>
    <row r="56" spans="2:15" x14ac:dyDescent="0.35">
      <c r="B56" s="13" t="s">
        <v>349</v>
      </c>
      <c r="C56" s="11">
        <v>0.2</v>
      </c>
      <c r="M56" s="15"/>
      <c r="N56" s="15"/>
      <c r="O56" s="15"/>
    </row>
    <row r="57" spans="2:15" x14ac:dyDescent="0.35">
      <c r="B57" s="46" t="s">
        <v>447</v>
      </c>
      <c r="C57" s="11">
        <v>0.1</v>
      </c>
      <c r="M57" s="15"/>
      <c r="N57" s="15"/>
      <c r="O57" s="15"/>
    </row>
    <row r="58" spans="2:15" x14ac:dyDescent="0.35">
      <c r="M58" s="15"/>
      <c r="N58" s="15"/>
      <c r="O58" s="15"/>
    </row>
    <row r="59" spans="2:15" x14ac:dyDescent="0.35">
      <c r="B59" s="723" t="s">
        <v>360</v>
      </c>
      <c r="C59" s="723"/>
      <c r="D59" s="723"/>
      <c r="E59" s="723"/>
      <c r="H59" s="12"/>
      <c r="I59" s="12"/>
      <c r="M59" s="15"/>
      <c r="N59" s="15"/>
      <c r="O59" s="15"/>
    </row>
    <row r="60" spans="2:15" x14ac:dyDescent="0.35">
      <c r="B60" s="13" t="s">
        <v>361</v>
      </c>
      <c r="C60" s="13" t="s">
        <v>362</v>
      </c>
      <c r="D60" s="13" t="s">
        <v>363</v>
      </c>
      <c r="E60" s="237" t="s">
        <v>1180</v>
      </c>
      <c r="M60" s="15"/>
      <c r="N60" s="15"/>
      <c r="O60" s="15"/>
    </row>
    <row r="61" spans="2:15" x14ac:dyDescent="0.35">
      <c r="B61" s="7">
        <f>坦克类型系数!AK4</f>
        <v>6.17</v>
      </c>
      <c r="C61" s="14">
        <f>AVERAGE(坦克类型系数!AI24:AK26)</f>
        <v>0.26261528969223918</v>
      </c>
      <c r="D61" s="7">
        <f>ROUND(B61*C61,2)</f>
        <v>1.62</v>
      </c>
      <c r="E61" s="8">
        <v>0.35</v>
      </c>
      <c r="M61" s="15"/>
      <c r="N61" s="15"/>
      <c r="O61" s="15"/>
    </row>
    <row r="62" spans="2:15" x14ac:dyDescent="0.35">
      <c r="K62" s="15"/>
      <c r="M62" s="15"/>
      <c r="N62" s="15"/>
      <c r="O62" s="15"/>
    </row>
    <row r="63" spans="2:15" x14ac:dyDescent="0.35">
      <c r="B63" s="723" t="s">
        <v>352</v>
      </c>
      <c r="C63" s="723"/>
      <c r="D63" s="723"/>
      <c r="E63" s="723"/>
      <c r="F63" s="723"/>
      <c r="G63" s="723"/>
      <c r="H63" s="723"/>
      <c r="I63" s="723"/>
      <c r="J63" s="723"/>
      <c r="K63" s="723"/>
      <c r="M63" s="15"/>
      <c r="N63" s="15"/>
      <c r="O63" s="15"/>
    </row>
    <row r="64" spans="2:15" x14ac:dyDescent="0.35">
      <c r="B64" s="42" t="s">
        <v>353</v>
      </c>
      <c r="C64" s="42" t="s">
        <v>358</v>
      </c>
      <c r="D64" s="42" t="s">
        <v>359</v>
      </c>
      <c r="E64" s="42" t="s">
        <v>364</v>
      </c>
      <c r="F64" s="42" t="s">
        <v>365</v>
      </c>
      <c r="G64" s="42" t="s">
        <v>366</v>
      </c>
      <c r="H64" s="42" t="s">
        <v>367</v>
      </c>
      <c r="I64" s="57" t="s">
        <v>501</v>
      </c>
      <c r="J64" s="57" t="s">
        <v>502</v>
      </c>
      <c r="K64" s="60" t="s">
        <v>503</v>
      </c>
      <c r="M64" s="15"/>
      <c r="N64" s="15"/>
    </row>
    <row r="65" spans="2:16" x14ac:dyDescent="0.35">
      <c r="B65" s="42" t="s">
        <v>354</v>
      </c>
      <c r="C65" s="11">
        <v>2</v>
      </c>
      <c r="D65" s="11">
        <v>2</v>
      </c>
      <c r="E65" s="8">
        <v>0.9</v>
      </c>
      <c r="F65" s="8">
        <v>0.9</v>
      </c>
      <c r="G65" s="16">
        <f>F65/($F$67+$F$68*2)</f>
        <v>0.3</v>
      </c>
      <c r="H65" s="16">
        <f>E65/$E$67</f>
        <v>0.15</v>
      </c>
      <c r="I65" s="16">
        <f>AVERAGE(G65:H65)</f>
        <v>0.22499999999999998</v>
      </c>
      <c r="J65" s="16">
        <f>AVERAGE(C65:D65)</f>
        <v>2</v>
      </c>
      <c r="K65" s="16">
        <f>I65*J65</f>
        <v>0.44999999999999996</v>
      </c>
      <c r="M65" s="15"/>
      <c r="N65" s="15"/>
      <c r="P65" s="15"/>
    </row>
    <row r="66" spans="2:16" x14ac:dyDescent="0.35">
      <c r="B66" s="42" t="s">
        <v>355</v>
      </c>
      <c r="C66" s="11">
        <v>1.2</v>
      </c>
      <c r="D66" s="11">
        <v>1.6</v>
      </c>
      <c r="E66" s="8">
        <v>2.2000000000000002</v>
      </c>
      <c r="F66" s="8">
        <v>2.2000000000000002</v>
      </c>
      <c r="G66" s="16">
        <f>F66/($F$67+$F$68*2)</f>
        <v>0.73333333333333339</v>
      </c>
      <c r="H66" s="16">
        <f>E66/$E$67</f>
        <v>0.3666666666666667</v>
      </c>
      <c r="I66" s="16">
        <f>AVERAGE(G66:H66)</f>
        <v>0.55000000000000004</v>
      </c>
      <c r="J66" s="16">
        <f>AVERAGE(C66:D66)</f>
        <v>1.4</v>
      </c>
      <c r="K66" s="16">
        <f>I66*J66</f>
        <v>0.77</v>
      </c>
      <c r="M66" s="15"/>
      <c r="N66" s="15"/>
    </row>
    <row r="67" spans="2:16" x14ac:dyDescent="0.35">
      <c r="B67" s="42" t="s">
        <v>356</v>
      </c>
      <c r="C67" s="11">
        <v>0.8</v>
      </c>
      <c r="D67" s="11">
        <v>1</v>
      </c>
      <c r="E67" s="8">
        <v>6</v>
      </c>
      <c r="F67" s="8">
        <v>2</v>
      </c>
      <c r="G67" s="16">
        <f>F67/($F$67+$F$68*2)</f>
        <v>0.66666666666666663</v>
      </c>
      <c r="H67" s="16">
        <f>E67/$E$67</f>
        <v>1</v>
      </c>
      <c r="I67" s="16">
        <f>AVERAGE(G67:H67)</f>
        <v>0.83333333333333326</v>
      </c>
      <c r="J67" s="16">
        <f>AVERAGE(C67:D67)</f>
        <v>0.9</v>
      </c>
      <c r="K67" s="16">
        <f>I67*J67</f>
        <v>0.75</v>
      </c>
      <c r="M67" s="15"/>
      <c r="N67" s="15"/>
      <c r="P67" s="15"/>
    </row>
    <row r="68" spans="2:16" x14ac:dyDescent="0.35">
      <c r="B68" s="42" t="s">
        <v>357</v>
      </c>
      <c r="C68" s="11">
        <v>0.5</v>
      </c>
      <c r="D68" s="11">
        <v>0.7</v>
      </c>
      <c r="E68" s="8">
        <v>6</v>
      </c>
      <c r="F68" s="8">
        <v>0.5</v>
      </c>
      <c r="G68" s="16">
        <f>F68*2/($F$67+$F$68*2)</f>
        <v>0.33333333333333331</v>
      </c>
      <c r="H68" s="16">
        <f>E68/$E$67</f>
        <v>1</v>
      </c>
      <c r="I68" s="16">
        <f>AVERAGE(G68:H68)</f>
        <v>0.66666666666666663</v>
      </c>
      <c r="J68" s="16">
        <f>AVERAGE(C68:D68)</f>
        <v>0.6</v>
      </c>
      <c r="K68" s="16">
        <f>I68*J68</f>
        <v>0.39999999999999997</v>
      </c>
      <c r="M68" s="15"/>
      <c r="N68" s="15"/>
      <c r="O68" s="15"/>
    </row>
    <row r="69" spans="2:16" x14ac:dyDescent="0.35">
      <c r="B69" s="253"/>
      <c r="C69" s="452"/>
      <c r="D69" s="452"/>
      <c r="E69" s="10"/>
      <c r="F69" s="10"/>
      <c r="G69" s="453"/>
      <c r="H69" s="453"/>
      <c r="I69" s="453"/>
      <c r="J69" s="453"/>
      <c r="K69" s="453"/>
      <c r="M69" s="15"/>
      <c r="N69" s="15"/>
      <c r="O69" s="15"/>
      <c r="P69" s="15"/>
    </row>
    <row r="70" spans="2:16" x14ac:dyDescent="0.35">
      <c r="B70" s="732" t="s">
        <v>2051</v>
      </c>
      <c r="C70" s="732"/>
      <c r="D70" s="732"/>
      <c r="E70" s="732"/>
      <c r="F70" s="732"/>
      <c r="G70" s="732"/>
      <c r="H70" s="732"/>
      <c r="I70" s="732"/>
      <c r="J70" s="732"/>
      <c r="K70" s="732"/>
      <c r="L70" s="732"/>
      <c r="M70" s="15"/>
      <c r="N70" s="15"/>
      <c r="O70" s="15"/>
    </row>
    <row r="71" spans="2:16" x14ac:dyDescent="0.35">
      <c r="B71" s="454" t="s">
        <v>2050</v>
      </c>
      <c r="C71" s="454" t="s">
        <v>2052</v>
      </c>
      <c r="D71" s="454" t="s">
        <v>2060</v>
      </c>
      <c r="E71" s="463" t="s">
        <v>2084</v>
      </c>
      <c r="F71" s="463" t="s">
        <v>2085</v>
      </c>
      <c r="G71" s="454" t="s">
        <v>2065</v>
      </c>
      <c r="H71" s="454" t="s">
        <v>2066</v>
      </c>
      <c r="I71" s="458" t="s">
        <v>2067</v>
      </c>
      <c r="J71" s="463" t="s">
        <v>2106</v>
      </c>
      <c r="K71" s="463" t="s">
        <v>2107</v>
      </c>
      <c r="L71" s="463" t="s">
        <v>2108</v>
      </c>
      <c r="O71" s="15"/>
    </row>
    <row r="72" spans="2:16" x14ac:dyDescent="0.35">
      <c r="B72" s="454" t="s">
        <v>2053</v>
      </c>
      <c r="C72" s="455" t="s">
        <v>2058</v>
      </c>
      <c r="D72" s="457">
        <v>2.0099999999999998</v>
      </c>
      <c r="E72" s="447">
        <f>$E$61*2</f>
        <v>0.7</v>
      </c>
      <c r="F72" s="443">
        <f>E72</f>
        <v>0.7</v>
      </c>
      <c r="G72" s="41">
        <f>F72/AVERAGE(坦克类型系数!$F$4:$F$13)</f>
        <v>0.11354420113544199</v>
      </c>
      <c r="H72" s="16">
        <f t="shared" ref="H72:H92" si="0">D72*G72</f>
        <v>0.22822384428223838</v>
      </c>
      <c r="I72" s="459">
        <f>SUM(H72:H78)</f>
        <v>1.8751673956063983</v>
      </c>
      <c r="J72" s="16">
        <f t="shared" ref="J72:J78" si="1">G72/SUM($G$72:$G$78)</f>
        <v>7.0213930706582176E-2</v>
      </c>
      <c r="K72" s="16">
        <f>J72*D72</f>
        <v>0.14113000072023016</v>
      </c>
      <c r="L72" s="16">
        <f>SUM(K72:K78)</f>
        <v>1.1595737365864669</v>
      </c>
      <c r="O72" s="15"/>
    </row>
    <row r="73" spans="2:16" x14ac:dyDescent="0.35">
      <c r="B73" s="454" t="s">
        <v>2054</v>
      </c>
      <c r="C73" s="455" t="s">
        <v>2058</v>
      </c>
      <c r="D73" s="457">
        <v>1.6</v>
      </c>
      <c r="E73" s="16">
        <f>AVERAGE(坦克类型系数!$H$4:$H$13)/$C$94</f>
        <v>1.0062500000000001</v>
      </c>
      <c r="F73" s="41">
        <f>E73-F72*E73/AVERAGE(坦克类型系数!$I$4:$I$13)</f>
        <v>0.72915519276160512</v>
      </c>
      <c r="G73" s="41">
        <f>F73/AVERAGE(坦克类型系数!$F$4:$F$13)</f>
        <v>0.11827334837982238</v>
      </c>
      <c r="H73" s="16">
        <f t="shared" si="0"/>
        <v>0.18923735740771583</v>
      </c>
      <c r="I73" s="16"/>
      <c r="J73" s="16">
        <f t="shared" si="1"/>
        <v>7.3138360255582735E-2</v>
      </c>
      <c r="K73" s="16">
        <f t="shared" ref="K73:K92" si="2">J73*D73</f>
        <v>0.11702137640893238</v>
      </c>
      <c r="L73" s="447"/>
      <c r="O73" s="15"/>
    </row>
    <row r="74" spans="2:16" x14ac:dyDescent="0.35">
      <c r="B74" s="529" t="s">
        <v>2224</v>
      </c>
      <c r="C74" s="455" t="s">
        <v>5</v>
      </c>
      <c r="D74" s="457">
        <v>1.3</v>
      </c>
      <c r="E74" s="16">
        <f>AVERAGE(坦克类型系数!$G$4:$G$13)/$C$94</f>
        <v>1.21875</v>
      </c>
      <c r="F74" s="41">
        <f>(E74-F72*E74/AVERAGE(坦克类型系数!$I$4:$I$13))*2</f>
        <v>1.7662765538945713</v>
      </c>
      <c r="G74" s="41">
        <f>F74/AVERAGE(坦克类型系数!$F$4:$F$13)</f>
        <v>0.28650065756602938</v>
      </c>
      <c r="H74" s="16">
        <f t="shared" si="0"/>
        <v>0.37245085483583823</v>
      </c>
      <c r="I74" s="16"/>
      <c r="J74" s="16">
        <f t="shared" si="1"/>
        <v>0.17716745651973459</v>
      </c>
      <c r="K74" s="16">
        <f>J74*D74</f>
        <v>0.23031769347565498</v>
      </c>
      <c r="L74" s="507"/>
      <c r="O74" s="15"/>
    </row>
    <row r="75" spans="2:16" x14ac:dyDescent="0.35">
      <c r="B75" s="529" t="s">
        <v>2382</v>
      </c>
      <c r="C75" s="455" t="s">
        <v>2058</v>
      </c>
      <c r="D75" s="457">
        <v>1.3</v>
      </c>
      <c r="E75" s="16">
        <f>AVERAGE(坦克类型系数!$H$4:$H$13)/$C$94</f>
        <v>1.0062500000000001</v>
      </c>
      <c r="F75" s="41">
        <f>E75-F72*E75/AVERAGE(坦克类型系数!$I$4:$I$13)</f>
        <v>0.72915519276160512</v>
      </c>
      <c r="G75" s="41">
        <f>F75/AVERAGE(坦克类型系数!$F$4:$F$13)</f>
        <v>0.11827334837982238</v>
      </c>
      <c r="H75" s="16">
        <f t="shared" si="0"/>
        <v>0.1537553528937691</v>
      </c>
      <c r="I75" s="16"/>
      <c r="J75" s="16">
        <f t="shared" si="1"/>
        <v>7.3138360255582735E-2</v>
      </c>
      <c r="K75" s="16">
        <f>J75*D75</f>
        <v>9.5079868332257553E-2</v>
      </c>
      <c r="L75" s="447"/>
      <c r="O75" s="15"/>
    </row>
    <row r="76" spans="2:16" x14ac:dyDescent="0.35">
      <c r="B76" s="454" t="s">
        <v>2057</v>
      </c>
      <c r="C76" s="455" t="s">
        <v>2058</v>
      </c>
      <c r="D76" s="457">
        <v>1.1000000000000001</v>
      </c>
      <c r="E76" s="16">
        <f>AVERAGE(坦克类型系数!$E$4:$E$13)/$C$94</f>
        <v>1.6812500000000001</v>
      </c>
      <c r="F76" s="41">
        <f>E76-AVERAGE(坦克类型系数!$I$4:$I$13)*E76/AVERAGE(坦克类型系数!$F$4:$F$13)</f>
        <v>0.98802412814274154</v>
      </c>
      <c r="G76" s="41">
        <f>F76/AVERAGE(坦克类型系数!$F$4:$F$13)</f>
        <v>0.16026344333215595</v>
      </c>
      <c r="H76" s="16">
        <f t="shared" si="0"/>
        <v>0.17628978766537157</v>
      </c>
      <c r="I76" s="16"/>
      <c r="J76" s="16">
        <f t="shared" si="1"/>
        <v>9.9104368099779613E-2</v>
      </c>
      <c r="K76" s="16">
        <f>J76*D76</f>
        <v>0.10901480490975758</v>
      </c>
      <c r="L76" s="447"/>
      <c r="O76" s="15"/>
    </row>
    <row r="77" spans="2:16" x14ac:dyDescent="0.35">
      <c r="B77" s="454" t="s">
        <v>2056</v>
      </c>
      <c r="C77" s="455" t="s">
        <v>2058</v>
      </c>
      <c r="D77" s="457">
        <v>0.95</v>
      </c>
      <c r="E77" s="16">
        <f>AVERAGE(坦克类型系数!$D$4:$D$13)/$C$94</f>
        <v>3.4618749999999996</v>
      </c>
      <c r="F77" s="41">
        <f>(E77-AVERAGE(坦克类型系数!$I$4:$I$13)*E77/AVERAGE(坦克类型系数!$F$4:$F$13))*2</f>
        <v>4.0688963909164642</v>
      </c>
      <c r="G77" s="41">
        <f>F77/AVERAGE(坦克类型系数!$F$4:$F$13)</f>
        <v>0.65999941458499001</v>
      </c>
      <c r="H77" s="16">
        <f t="shared" si="0"/>
        <v>0.62699944385574047</v>
      </c>
      <c r="I77" s="16"/>
      <c r="J77" s="16">
        <f t="shared" si="1"/>
        <v>0.40813315606295847</v>
      </c>
      <c r="K77" s="16">
        <f>J77*D77</f>
        <v>0.38772649825981054</v>
      </c>
      <c r="L77" s="447"/>
      <c r="O77" s="15"/>
    </row>
    <row r="78" spans="2:16" x14ac:dyDescent="0.35">
      <c r="B78" s="454" t="s">
        <v>2055</v>
      </c>
      <c r="C78" s="455" t="s">
        <v>2058</v>
      </c>
      <c r="D78" s="457">
        <v>0.8</v>
      </c>
      <c r="E78" s="16">
        <f>AVERAGE(坦克类型系数!$E$4:$E$13)/$C$94</f>
        <v>1.6812500000000001</v>
      </c>
      <c r="F78" s="41">
        <f>E78-AVERAGE(坦克类型系数!$I$4:$I$13)*E78/AVERAGE(坦克类型系数!$F$4:$F$13)</f>
        <v>0.98802412814274154</v>
      </c>
      <c r="G78" s="41">
        <f>F78/AVERAGE(坦克类型系数!$F$4:$F$13)</f>
        <v>0.16026344333215595</v>
      </c>
      <c r="H78" s="16">
        <f t="shared" si="0"/>
        <v>0.12821075466572476</v>
      </c>
      <c r="I78" s="16"/>
      <c r="J78" s="16">
        <f t="shared" si="1"/>
        <v>9.9104368099779613E-2</v>
      </c>
      <c r="K78" s="16">
        <f t="shared" si="2"/>
        <v>7.9283494479823691E-2</v>
      </c>
      <c r="L78" s="447"/>
      <c r="O78" s="15"/>
    </row>
    <row r="79" spans="2:16" x14ac:dyDescent="0.35">
      <c r="B79" s="454" t="s">
        <v>2053</v>
      </c>
      <c r="C79" s="455" t="s">
        <v>228</v>
      </c>
      <c r="D79" s="457">
        <v>2.25</v>
      </c>
      <c r="E79" s="447">
        <f>$E$61*2</f>
        <v>0.7</v>
      </c>
      <c r="F79" s="449">
        <f>E79</f>
        <v>0.7</v>
      </c>
      <c r="G79" s="41">
        <f>F79/AVERAGE(坦克类型系数!$F$14:$F$23)</f>
        <v>9.6153846153846131E-2</v>
      </c>
      <c r="H79" s="16">
        <f t="shared" si="0"/>
        <v>0.2163461538461538</v>
      </c>
      <c r="I79" s="459">
        <f>SUM(H79:H85)</f>
        <v>1.8749372968890197</v>
      </c>
      <c r="J79" s="16">
        <f t="shared" ref="J79:J85" si="3">G79/SUM($G$79:$G$85)</f>
        <v>5.8951320059787753E-2</v>
      </c>
      <c r="K79" s="16">
        <f t="shared" si="2"/>
        <v>0.13264047013452243</v>
      </c>
      <c r="L79" s="16">
        <f>SUM(K79:K85)</f>
        <v>1.1495122982817543</v>
      </c>
      <c r="O79" s="15"/>
    </row>
    <row r="80" spans="2:16" x14ac:dyDescent="0.35">
      <c r="B80" s="454" t="s">
        <v>2054</v>
      </c>
      <c r="C80" s="455" t="s">
        <v>228</v>
      </c>
      <c r="D80" s="457">
        <v>1.85</v>
      </c>
      <c r="E80" s="16">
        <f>AVERAGE(坦克类型系数!$H$14:$H$23)/$C$94</f>
        <v>1.25</v>
      </c>
      <c r="F80" s="41">
        <f>E80-F79*E80/AVERAGE(坦克类型系数!$I$14:$I$23)</f>
        <v>0.97310126582278489</v>
      </c>
      <c r="G80" s="41">
        <f>F80/AVERAGE(坦克类型系数!$F$14:$F$23)</f>
        <v>0.13366775629433855</v>
      </c>
      <c r="H80" s="16">
        <f t="shared" si="0"/>
        <v>0.24728534914452632</v>
      </c>
      <c r="I80" s="16"/>
      <c r="J80" s="16">
        <f t="shared" si="3"/>
        <v>8.1950863103005131E-2</v>
      </c>
      <c r="K80" s="16">
        <f t="shared" si="2"/>
        <v>0.1516090967405595</v>
      </c>
      <c r="L80" s="447"/>
      <c r="O80" s="15"/>
    </row>
    <row r="81" spans="2:16" x14ac:dyDescent="0.35">
      <c r="B81" s="529" t="s">
        <v>2224</v>
      </c>
      <c r="C81" s="455" t="s">
        <v>7</v>
      </c>
      <c r="D81" s="457">
        <v>1.4</v>
      </c>
      <c r="E81" s="16">
        <f>AVERAGE(坦克类型系数!$G$14:$G$23)/$C$94</f>
        <v>1.51875</v>
      </c>
      <c r="F81" s="41">
        <f>(E81-F79*E81/AVERAGE(坦克类型系数!$I$14:$I$23))*2</f>
        <v>2.3646360759493672</v>
      </c>
      <c r="G81" s="41">
        <f>F81/AVERAGE(坦克类型系数!$F$14:$F$23)</f>
        <v>0.32481264779524271</v>
      </c>
      <c r="H81" s="16">
        <f t="shared" si="0"/>
        <v>0.45473770691333976</v>
      </c>
      <c r="I81" s="16"/>
      <c r="J81" s="16">
        <f t="shared" si="3"/>
        <v>0.19914059734030248</v>
      </c>
      <c r="K81" s="16">
        <f>J81*D81</f>
        <v>0.27879683627642343</v>
      </c>
      <c r="L81" s="507"/>
      <c r="O81" s="15"/>
    </row>
    <row r="82" spans="2:16" x14ac:dyDescent="0.35">
      <c r="B82" s="529" t="s">
        <v>2382</v>
      </c>
      <c r="C82" s="455" t="s">
        <v>228</v>
      </c>
      <c r="D82" s="457">
        <v>1.4</v>
      </c>
      <c r="E82" s="16">
        <f>AVERAGE(坦克类型系数!$H$14:$H$23)/$C$94</f>
        <v>1.25</v>
      </c>
      <c r="F82" s="41">
        <f>E82-F79*E82/AVERAGE(坦克类型系数!$I$14:$I$23)</f>
        <v>0.97310126582278489</v>
      </c>
      <c r="G82" s="41">
        <f>F82/AVERAGE(坦克类型系数!$F$14:$F$23)</f>
        <v>0.13366775629433855</v>
      </c>
      <c r="H82" s="16">
        <f t="shared" si="0"/>
        <v>0.18713485881207395</v>
      </c>
      <c r="I82" s="16"/>
      <c r="J82" s="16">
        <f t="shared" si="3"/>
        <v>8.1950863103005131E-2</v>
      </c>
      <c r="K82" s="16">
        <f>J82*D82</f>
        <v>0.11473120834420718</v>
      </c>
      <c r="L82" s="447"/>
      <c r="O82" s="15"/>
    </row>
    <row r="83" spans="2:16" x14ac:dyDescent="0.35">
      <c r="B83" s="454" t="s">
        <v>2057</v>
      </c>
      <c r="C83" s="455" t="s">
        <v>228</v>
      </c>
      <c r="D83" s="457">
        <v>1.1499999999999999</v>
      </c>
      <c r="E83" s="16">
        <f>AVERAGE(坦克类型系数!$E$14:$E$23)/$C$94</f>
        <v>1.9574999999999998</v>
      </c>
      <c r="F83" s="41">
        <f>E83-AVERAGE(坦克类型系数!$I$14:$I$23)*E83/AVERAGE(坦克类型系数!$F$14:$F$23)</f>
        <v>1.1078159340659339</v>
      </c>
      <c r="G83" s="41">
        <f>F83/AVERAGE(坦克类型系数!$F$14:$F$23)</f>
        <v>0.15217251841565024</v>
      </c>
      <c r="H83" s="16">
        <f t="shared" si="0"/>
        <v>0.17499839617799776</v>
      </c>
      <c r="I83" s="16"/>
      <c r="J83" s="16">
        <f t="shared" si="3"/>
        <v>9.3296016709219429E-2</v>
      </c>
      <c r="K83" s="16">
        <f t="shared" si="2"/>
        <v>0.10729041921560234</v>
      </c>
      <c r="L83" s="447"/>
      <c r="O83" s="15"/>
    </row>
    <row r="84" spans="2:16" x14ac:dyDescent="0.35">
      <c r="B84" s="454" t="s">
        <v>2056</v>
      </c>
      <c r="C84" s="455" t="s">
        <v>228</v>
      </c>
      <c r="D84" s="457">
        <v>0.8</v>
      </c>
      <c r="E84" s="16">
        <f>AVERAGE(坦克类型系数!$D$14:$D$23)/$C$94</f>
        <v>4.1062499999999984</v>
      </c>
      <c r="F84" s="41">
        <f>(E84-AVERAGE(坦克类型系数!$I$14:$I$23)*E84/AVERAGE(坦克类型系数!$F$14:$F$23))*2</f>
        <v>4.6477335164835143</v>
      </c>
      <c r="G84" s="41">
        <f>F84/AVERAGE(坦克类型系数!$F$14:$F$23)</f>
        <v>0.6384249335829002</v>
      </c>
      <c r="H84" s="16">
        <f t="shared" si="0"/>
        <v>0.51073994686632018</v>
      </c>
      <c r="I84" s="16"/>
      <c r="J84" s="16">
        <f t="shared" si="3"/>
        <v>0.39141432297546069</v>
      </c>
      <c r="K84" s="16">
        <f t="shared" si="2"/>
        <v>0.3131314583803686</v>
      </c>
      <c r="L84" s="447"/>
      <c r="O84" s="15"/>
    </row>
    <row r="85" spans="2:16" x14ac:dyDescent="0.35">
      <c r="B85" s="454" t="s">
        <v>2055</v>
      </c>
      <c r="C85" s="455" t="s">
        <v>228</v>
      </c>
      <c r="D85" s="457">
        <v>0.55000000000000004</v>
      </c>
      <c r="E85" s="16">
        <f>AVERAGE(坦克类型系数!$E$14:$E$23)/$C$94</f>
        <v>1.9574999999999998</v>
      </c>
      <c r="F85" s="41">
        <f>E85-AVERAGE(坦克类型系数!$I$14:$I$23)*E85/AVERAGE(坦克类型系数!$F$14:$F$23)</f>
        <v>1.1078159340659339</v>
      </c>
      <c r="G85" s="41">
        <f>F85/AVERAGE(坦克类型系数!$F$14:$F$23)</f>
        <v>0.15217251841565024</v>
      </c>
      <c r="H85" s="16">
        <f t="shared" si="0"/>
        <v>8.3694885128607635E-2</v>
      </c>
      <c r="I85" s="16"/>
      <c r="J85" s="16">
        <f t="shared" si="3"/>
        <v>9.3296016709219429E-2</v>
      </c>
      <c r="K85" s="16">
        <f t="shared" si="2"/>
        <v>5.1312809190070689E-2</v>
      </c>
      <c r="L85" s="447"/>
      <c r="O85" s="15"/>
    </row>
    <row r="86" spans="2:16" x14ac:dyDescent="0.35">
      <c r="B86" s="454" t="s">
        <v>2053</v>
      </c>
      <c r="C86" s="455" t="s">
        <v>2059</v>
      </c>
      <c r="D86" s="457">
        <v>2.6</v>
      </c>
      <c r="E86" s="447">
        <f>$E$61*2</f>
        <v>0.7</v>
      </c>
      <c r="F86" s="449">
        <f>E86</f>
        <v>0.7</v>
      </c>
      <c r="G86" s="41">
        <f>F86/AVERAGE(坦克类型系数!$F$24:$F$33)</f>
        <v>9.1050988553590007E-2</v>
      </c>
      <c r="H86" s="16">
        <f t="shared" si="0"/>
        <v>0.23673257023933403</v>
      </c>
      <c r="I86" s="459">
        <f>SUM(H86:H92)</f>
        <v>1.87508015842237</v>
      </c>
      <c r="J86" s="16">
        <f t="shared" ref="J86:J92" si="4">G86/SUM($G$86:$G$92)</f>
        <v>5.5780339230559542E-2</v>
      </c>
      <c r="K86" s="16">
        <f t="shared" si="2"/>
        <v>0.14502888199945482</v>
      </c>
      <c r="L86" s="16">
        <f>SUM(K86:K92)</f>
        <v>1.1487256644086945</v>
      </c>
      <c r="O86" s="15"/>
    </row>
    <row r="87" spans="2:16" x14ac:dyDescent="0.35">
      <c r="B87" s="454" t="s">
        <v>2054</v>
      </c>
      <c r="C87" s="455" t="s">
        <v>2059</v>
      </c>
      <c r="D87" s="457">
        <v>2</v>
      </c>
      <c r="E87" s="16">
        <f>AVERAGE(坦克类型系数!$H$24:$H$33)/$C$94</f>
        <v>1.2</v>
      </c>
      <c r="F87" s="41">
        <f>E87-F86*E87/AVERAGE(坦克类型系数!$I$24:$I$33)</f>
        <v>0.95066785396260012</v>
      </c>
      <c r="G87" s="41">
        <f>F87/AVERAGE(坦克类型系数!$F$24:$F$33)</f>
        <v>0.12365606841344955</v>
      </c>
      <c r="H87" s="16">
        <f t="shared" si="0"/>
        <v>0.24731213682689909</v>
      </c>
      <c r="I87" s="16"/>
      <c r="J87" s="16">
        <f t="shared" si="4"/>
        <v>7.5755107699459825E-2</v>
      </c>
      <c r="K87" s="16">
        <f t="shared" si="2"/>
        <v>0.15151021539891965</v>
      </c>
      <c r="L87" s="447"/>
      <c r="O87" s="15"/>
      <c r="P87" s="15"/>
    </row>
    <row r="88" spans="2:16" x14ac:dyDescent="0.35">
      <c r="B88" s="529" t="s">
        <v>2224</v>
      </c>
      <c r="C88" s="455" t="s">
        <v>6</v>
      </c>
      <c r="D88" s="457">
        <v>1.5</v>
      </c>
      <c r="E88" s="16">
        <f>AVERAGE(坦克类型系数!$G$24:$G$33)/$C$94</f>
        <v>1.7250000000000001</v>
      </c>
      <c r="F88" s="41">
        <f>(E88-F86*E88/AVERAGE(坦克类型系数!$I$24:$I$33))*2</f>
        <v>2.7331700801424756</v>
      </c>
      <c r="G88" s="41">
        <f>F88/AVERAGE(坦克类型系数!$F$24:$F$33)</f>
        <v>0.35551119668866749</v>
      </c>
      <c r="H88" s="16">
        <f t="shared" si="0"/>
        <v>0.53326679503300123</v>
      </c>
      <c r="I88" s="16"/>
      <c r="J88" s="16">
        <f t="shared" si="4"/>
        <v>0.21779593463594701</v>
      </c>
      <c r="K88" s="16">
        <f>J88*D88</f>
        <v>0.32669390195392051</v>
      </c>
      <c r="L88" s="507"/>
      <c r="O88" s="15"/>
      <c r="P88" s="15"/>
    </row>
    <row r="89" spans="2:16" x14ac:dyDescent="0.35">
      <c r="B89" s="529" t="s">
        <v>2382</v>
      </c>
      <c r="C89" s="455" t="s">
        <v>2059</v>
      </c>
      <c r="D89" s="457">
        <v>1.5</v>
      </c>
      <c r="E89" s="16">
        <f>AVERAGE(坦克类型系数!$H$24:$H$33)/$C$94</f>
        <v>1.2</v>
      </c>
      <c r="F89" s="41">
        <f>E89-F86*E89/AVERAGE(坦克类型系数!$I$24:$I$33)</f>
        <v>0.95066785396260012</v>
      </c>
      <c r="G89" s="41">
        <f>F89/AVERAGE(坦克类型系数!$F$24:$F$33)</f>
        <v>0.12365606841344955</v>
      </c>
      <c r="H89" s="16">
        <f t="shared" si="0"/>
        <v>0.18548410262017431</v>
      </c>
      <c r="I89" s="16"/>
      <c r="J89" s="16">
        <f t="shared" si="4"/>
        <v>7.5755107699459825E-2</v>
      </c>
      <c r="K89" s="16">
        <f>J89*D89</f>
        <v>0.11363266154918975</v>
      </c>
      <c r="L89" s="447"/>
      <c r="O89" s="15"/>
      <c r="P89" s="15"/>
    </row>
    <row r="90" spans="2:16" x14ac:dyDescent="0.35">
      <c r="B90" s="454" t="s">
        <v>2057</v>
      </c>
      <c r="C90" s="455" t="s">
        <v>2059</v>
      </c>
      <c r="D90" s="457">
        <v>1.1000000000000001</v>
      </c>
      <c r="E90" s="16">
        <f>AVERAGE(坦克类型系数!$E$24:$E$33)/$C$94</f>
        <v>2.1043749999999997</v>
      </c>
      <c r="F90" s="41">
        <f>E90-AVERAGE(坦克类型系数!$I$24:$I$33)*E90/AVERAGE(坦克类型系数!$F$24:$F$33)</f>
        <v>1.1822054663111341</v>
      </c>
      <c r="G90" s="41">
        <f>F90/AVERAGE(坦克类型系数!$F$24:$F$33)</f>
        <v>0.15377282340155229</v>
      </c>
      <c r="H90" s="16">
        <f t="shared" si="0"/>
        <v>0.16915010574170752</v>
      </c>
      <c r="I90" s="16"/>
      <c r="J90" s="16">
        <f t="shared" si="4"/>
        <v>9.4205459930081267E-2</v>
      </c>
      <c r="K90" s="16">
        <f t="shared" si="2"/>
        <v>0.1036260059230894</v>
      </c>
      <c r="L90" s="447"/>
      <c r="O90" s="15"/>
      <c r="P90" s="15"/>
    </row>
    <row r="91" spans="2:16" x14ac:dyDescent="0.35">
      <c r="B91" s="454" t="s">
        <v>2056</v>
      </c>
      <c r="C91" s="455" t="s">
        <v>2059</v>
      </c>
      <c r="D91" s="457">
        <v>0.7</v>
      </c>
      <c r="E91" s="16">
        <f>AVERAGE(坦克类型系数!$D$24:$D$33)/$C$94</f>
        <v>4.3168749999999996</v>
      </c>
      <c r="F91" s="41">
        <f>(E91-AVERAGE(坦克类型系数!$I$24:$I$33)*E91/AVERAGE(坦克类型系数!$F$24:$F$33))*2</f>
        <v>4.8503077848595213</v>
      </c>
      <c r="G91" s="41">
        <f>F91/AVERAGE(坦克类型系数!$F$24:$F$33)</f>
        <v>0.63089331228661827</v>
      </c>
      <c r="H91" s="16">
        <f t="shared" si="0"/>
        <v>0.44162531860063275</v>
      </c>
      <c r="I91" s="16"/>
      <c r="J91" s="16">
        <f t="shared" si="4"/>
        <v>0.3865025908744113</v>
      </c>
      <c r="K91" s="16">
        <f t="shared" si="2"/>
        <v>0.27055181361208791</v>
      </c>
      <c r="L91" s="447"/>
      <c r="O91" s="15"/>
      <c r="P91" s="15"/>
    </row>
    <row r="92" spans="2:16" x14ac:dyDescent="0.35">
      <c r="B92" s="454" t="s">
        <v>2055</v>
      </c>
      <c r="C92" s="455" t="s">
        <v>2059</v>
      </c>
      <c r="D92" s="457">
        <v>0.4</v>
      </c>
      <c r="E92" s="16">
        <f>AVERAGE(坦克类型系数!$E$24:$E$33)/$C$94</f>
        <v>2.1043749999999997</v>
      </c>
      <c r="F92" s="41">
        <f>E92-AVERAGE(坦克类型系数!$I$24:$I$33)*E92/AVERAGE(坦克类型系数!$F$24:$F$33)</f>
        <v>1.1822054663111341</v>
      </c>
      <c r="G92" s="41">
        <f>F92/AVERAGE(坦克类型系数!$F$24:$F$33)</f>
        <v>0.15377282340155229</v>
      </c>
      <c r="H92" s="16">
        <f t="shared" si="0"/>
        <v>6.1509129360620918E-2</v>
      </c>
      <c r="I92" s="16"/>
      <c r="J92" s="16">
        <f t="shared" si="4"/>
        <v>9.4205459930081267E-2</v>
      </c>
      <c r="K92" s="16">
        <f t="shared" si="2"/>
        <v>3.7682183972032511E-2</v>
      </c>
      <c r="L92" s="447"/>
      <c r="O92" s="15"/>
      <c r="P92" s="15"/>
    </row>
    <row r="93" spans="2:16" x14ac:dyDescent="0.35">
      <c r="B93" s="253"/>
      <c r="C93" s="452"/>
      <c r="D93" s="452"/>
      <c r="E93" s="10"/>
      <c r="F93" s="10"/>
      <c r="G93" s="453"/>
      <c r="H93" s="453"/>
      <c r="I93" s="453"/>
      <c r="J93" s="453"/>
      <c r="K93" s="453"/>
      <c r="M93" s="15"/>
      <c r="N93" s="15"/>
      <c r="O93" s="15"/>
      <c r="P93" s="15"/>
    </row>
    <row r="94" spans="2:16" x14ac:dyDescent="0.35">
      <c r="B94" s="454" t="s">
        <v>2072</v>
      </c>
      <c r="C94" s="9">
        <v>1.6</v>
      </c>
      <c r="D94" s="452"/>
      <c r="E94" s="10"/>
      <c r="F94" s="10"/>
      <c r="G94" s="453"/>
      <c r="H94" s="453"/>
      <c r="I94" s="453"/>
      <c r="J94" s="453"/>
      <c r="K94" s="453"/>
      <c r="M94" s="15"/>
      <c r="N94" s="15"/>
      <c r="O94" s="15"/>
      <c r="P94" s="15"/>
    </row>
    <row r="95" spans="2:16" x14ac:dyDescent="0.35">
      <c r="B95" s="456"/>
      <c r="C95" s="464"/>
      <c r="D95" s="452"/>
      <c r="E95" s="10"/>
      <c r="F95" s="10"/>
      <c r="G95" s="453"/>
      <c r="H95" s="453"/>
      <c r="I95" s="453"/>
      <c r="J95" s="453"/>
      <c r="K95" s="453"/>
      <c r="M95" s="15"/>
      <c r="N95" s="15"/>
      <c r="O95" s="15"/>
      <c r="P95" s="15"/>
    </row>
    <row r="96" spans="2:16" x14ac:dyDescent="0.35">
      <c r="B96" s="728" t="s">
        <v>2086</v>
      </c>
      <c r="C96" s="729"/>
      <c r="D96" s="729"/>
      <c r="E96" s="730"/>
      <c r="F96" s="10"/>
      <c r="G96" s="453"/>
      <c r="H96" s="453"/>
      <c r="I96" s="453"/>
      <c r="J96" s="453"/>
      <c r="K96" s="453"/>
      <c r="M96" s="15"/>
      <c r="N96" s="15"/>
      <c r="O96" s="15"/>
      <c r="P96" s="15"/>
    </row>
    <row r="97" spans="2:16" x14ac:dyDescent="0.35">
      <c r="B97" s="463" t="s">
        <v>2087</v>
      </c>
      <c r="C97" s="466" t="s">
        <v>2091</v>
      </c>
      <c r="D97" s="455" t="s">
        <v>2092</v>
      </c>
      <c r="E97" s="449" t="s">
        <v>2094</v>
      </c>
      <c r="F97" s="10"/>
      <c r="G97" s="453"/>
      <c r="H97" s="453"/>
      <c r="I97" s="453"/>
      <c r="J97" s="453"/>
      <c r="K97" s="453"/>
      <c r="M97" s="15"/>
      <c r="N97" s="15"/>
      <c r="O97" s="15"/>
      <c r="P97" s="15"/>
    </row>
    <row r="98" spans="2:16" x14ac:dyDescent="0.35">
      <c r="B98" s="463" t="s">
        <v>2088</v>
      </c>
      <c r="C98" s="466">
        <f>AVERAGE(坦克类型系数!$F$4:$F$13)</f>
        <v>6.1650000000000009</v>
      </c>
      <c r="D98" s="466">
        <f>AVERAGE(坦克类型系数!$I$4:$I$13)</f>
        <v>2.5419999999999998</v>
      </c>
      <c r="E98" s="467">
        <f>I72</f>
        <v>1.8751673956063983</v>
      </c>
      <c r="F98" s="10"/>
      <c r="G98" s="453"/>
      <c r="H98" s="453"/>
      <c r="I98" s="453"/>
      <c r="J98" s="453"/>
      <c r="K98" s="453"/>
      <c r="M98" s="15"/>
      <c r="N98" s="15"/>
      <c r="O98" s="15"/>
      <c r="P98" s="15"/>
    </row>
    <row r="99" spans="2:16" x14ac:dyDescent="0.35">
      <c r="B99" s="463" t="s">
        <v>2089</v>
      </c>
      <c r="C99" s="466">
        <f>AVERAGE(坦克类型系数!$F$14:$F$23)</f>
        <v>7.2800000000000011</v>
      </c>
      <c r="D99" s="466">
        <f>AVERAGE(坦克类型系数!$I$14:$I$23)</f>
        <v>3.16</v>
      </c>
      <c r="E99" s="467">
        <f>I79</f>
        <v>1.8749372968890197</v>
      </c>
      <c r="F99" s="10"/>
      <c r="G99" s="453"/>
      <c r="H99" s="453"/>
      <c r="I99" s="453"/>
      <c r="J99" s="453"/>
      <c r="K99" s="453"/>
      <c r="M99" s="15"/>
      <c r="N99" s="15"/>
      <c r="O99" s="15"/>
      <c r="P99" s="15"/>
    </row>
    <row r="100" spans="2:16" x14ac:dyDescent="0.35">
      <c r="B100" s="463" t="s">
        <v>2090</v>
      </c>
      <c r="C100" s="466">
        <f>AVERAGE(坦克类型系数!$F$24:$F$33)</f>
        <v>7.6879999999999997</v>
      </c>
      <c r="D100" s="466">
        <f>AVERAGE(坦克类型系数!$I$24:$I$33)</f>
        <v>3.3689999999999998</v>
      </c>
      <c r="E100" s="467">
        <f>I86</f>
        <v>1.87508015842237</v>
      </c>
      <c r="F100" s="10"/>
      <c r="G100" s="453"/>
      <c r="H100" s="453"/>
      <c r="I100" s="453"/>
      <c r="J100" s="453"/>
      <c r="K100" s="453"/>
      <c r="M100" s="15"/>
      <c r="N100" s="15"/>
      <c r="O100" s="15"/>
      <c r="P100" s="15"/>
    </row>
    <row r="101" spans="2:16" x14ac:dyDescent="0.35">
      <c r="K101" s="15"/>
      <c r="M101" s="15"/>
      <c r="N101" s="15"/>
      <c r="O101" s="15"/>
      <c r="P101" s="15"/>
    </row>
    <row r="102" spans="2:16" x14ac:dyDescent="0.35">
      <c r="B102" s="548" t="s">
        <v>368</v>
      </c>
      <c r="C102" s="547">
        <v>0.8</v>
      </c>
      <c r="K102" s="15"/>
      <c r="M102" s="15"/>
      <c r="N102" s="15"/>
      <c r="O102" s="15"/>
      <c r="P102" s="15"/>
    </row>
    <row r="103" spans="2:16" x14ac:dyDescent="0.35">
      <c r="B103" s="46" t="s">
        <v>449</v>
      </c>
      <c r="C103" s="8">
        <v>20</v>
      </c>
      <c r="K103" s="15"/>
      <c r="M103" s="15"/>
      <c r="N103" s="15"/>
      <c r="O103" s="15"/>
      <c r="P103" s="15"/>
    </row>
    <row r="104" spans="2:16" x14ac:dyDescent="0.35">
      <c r="K104" s="15"/>
      <c r="M104" s="15"/>
      <c r="N104" s="15"/>
      <c r="O104" s="15"/>
      <c r="P104" s="15"/>
    </row>
    <row r="105" spans="2:16" x14ac:dyDescent="0.35">
      <c r="B105" s="722" t="s">
        <v>419</v>
      </c>
      <c r="C105" s="722"/>
      <c r="K105" s="15"/>
      <c r="M105" s="15"/>
      <c r="N105" s="15"/>
      <c r="O105" s="15"/>
      <c r="P105" s="15"/>
    </row>
    <row r="106" spans="2:16" x14ac:dyDescent="0.35">
      <c r="B106" s="46" t="s">
        <v>420</v>
      </c>
      <c r="C106" s="46" t="s">
        <v>426</v>
      </c>
      <c r="K106" s="15"/>
      <c r="M106" s="15"/>
      <c r="N106" s="15"/>
      <c r="O106" s="15"/>
      <c r="P106" s="15"/>
    </row>
    <row r="107" spans="2:16" x14ac:dyDescent="0.35">
      <c r="B107" s="46" t="s">
        <v>421</v>
      </c>
      <c r="C107" s="8">
        <v>1</v>
      </c>
      <c r="K107" s="15"/>
      <c r="M107" s="15"/>
      <c r="N107" s="15"/>
      <c r="O107" s="15"/>
    </row>
    <row r="108" spans="2:16" x14ac:dyDescent="0.35">
      <c r="B108" s="46" t="s">
        <v>422</v>
      </c>
      <c r="C108" s="8">
        <v>3</v>
      </c>
      <c r="K108" s="15"/>
      <c r="M108" s="15"/>
      <c r="N108" s="15"/>
      <c r="O108" s="15"/>
    </row>
    <row r="109" spans="2:16" x14ac:dyDescent="0.35">
      <c r="B109" s="46" t="s">
        <v>423</v>
      </c>
      <c r="C109" s="11">
        <v>0.16</v>
      </c>
      <c r="K109" s="15"/>
      <c r="M109" s="15"/>
      <c r="N109" s="15"/>
      <c r="O109" s="15"/>
    </row>
    <row r="110" spans="2:16" x14ac:dyDescent="0.35">
      <c r="B110" s="46" t="s">
        <v>424</v>
      </c>
      <c r="C110" s="11">
        <v>0.08</v>
      </c>
      <c r="K110" s="15"/>
      <c r="M110" s="15"/>
      <c r="N110" s="15"/>
      <c r="O110" s="15"/>
      <c r="P110" s="15"/>
    </row>
    <row r="111" spans="2:16" x14ac:dyDescent="0.35">
      <c r="B111" s="46" t="s">
        <v>425</v>
      </c>
      <c r="C111" s="14">
        <f>C107*C109+C108*C110</f>
        <v>0.4</v>
      </c>
      <c r="K111" s="15"/>
      <c r="M111" s="15"/>
      <c r="N111" s="15"/>
      <c r="O111" s="15"/>
    </row>
    <row r="112" spans="2:16" x14ac:dyDescent="0.35">
      <c r="B112" s="47"/>
      <c r="K112" s="15"/>
      <c r="M112" s="15"/>
      <c r="N112" s="15"/>
      <c r="O112" s="15"/>
    </row>
    <row r="113" spans="2:22" x14ac:dyDescent="0.35">
      <c r="B113" s="18" t="s">
        <v>381</v>
      </c>
      <c r="K113" s="15"/>
      <c r="M113" s="15"/>
      <c r="N113" s="15"/>
      <c r="O113" s="15"/>
    </row>
    <row r="114" spans="2:22" x14ac:dyDescent="0.35">
      <c r="K114" s="15"/>
      <c r="M114" s="15"/>
      <c r="N114" s="15"/>
      <c r="O114" s="15"/>
    </row>
    <row r="117" spans="2:22" x14ac:dyDescent="0.35">
      <c r="O117" s="15"/>
    </row>
    <row r="118" spans="2:22" x14ac:dyDescent="0.35">
      <c r="O118" s="15"/>
    </row>
    <row r="119" spans="2:22" x14ac:dyDescent="0.35">
      <c r="O119" s="15"/>
      <c r="U119" s="24"/>
      <c r="V119" s="24"/>
    </row>
    <row r="120" spans="2:22" x14ac:dyDescent="0.35">
      <c r="O120" s="15"/>
      <c r="U120" s="23"/>
    </row>
    <row r="121" spans="2:22" x14ac:dyDescent="0.35">
      <c r="I121" s="12"/>
      <c r="O121" s="15"/>
    </row>
    <row r="122" spans="2:22" x14ac:dyDescent="0.35">
      <c r="O122" s="15"/>
    </row>
    <row r="123" spans="2:22" x14ac:dyDescent="0.35">
      <c r="I123" s="19"/>
      <c r="J123" s="12"/>
      <c r="O123" s="15"/>
    </row>
    <row r="124" spans="2:22" x14ac:dyDescent="0.35">
      <c r="I124" s="12"/>
      <c r="O124" s="15"/>
    </row>
    <row r="125" spans="2:22" x14ac:dyDescent="0.35">
      <c r="I125" s="12"/>
      <c r="O125" s="15"/>
    </row>
    <row r="126" spans="2:22" x14ac:dyDescent="0.35">
      <c r="I126" s="12"/>
      <c r="O126" s="15"/>
    </row>
    <row r="127" spans="2:22" x14ac:dyDescent="0.35">
      <c r="O127" s="15"/>
    </row>
    <row r="128" spans="2:22" x14ac:dyDescent="0.35">
      <c r="I128" s="12"/>
      <c r="J128" s="12"/>
      <c r="K128" s="12"/>
      <c r="L128" s="12"/>
      <c r="O128" s="15"/>
    </row>
    <row r="129" spans="2:15" x14ac:dyDescent="0.35">
      <c r="I129" s="12"/>
    </row>
    <row r="130" spans="2:15" x14ac:dyDescent="0.35">
      <c r="I130" s="12"/>
    </row>
    <row r="131" spans="2:15" x14ac:dyDescent="0.35">
      <c r="I131" s="12"/>
    </row>
    <row r="132" spans="2:15" x14ac:dyDescent="0.35">
      <c r="B132" s="12"/>
      <c r="O132" s="15"/>
    </row>
    <row r="134" spans="2:15" x14ac:dyDescent="0.35">
      <c r="B134" s="12"/>
      <c r="C134" s="12"/>
      <c r="D134" s="12"/>
      <c r="E134" s="12"/>
      <c r="O134" s="12"/>
    </row>
    <row r="135" spans="2:15" x14ac:dyDescent="0.35">
      <c r="B135" s="12"/>
      <c r="D135" s="17"/>
      <c r="E135" s="17"/>
      <c r="O135" s="12"/>
    </row>
    <row r="136" spans="2:15" x14ac:dyDescent="0.35">
      <c r="B136" s="12"/>
      <c r="D136" s="17"/>
      <c r="E136" s="17"/>
    </row>
    <row r="137" spans="2:15" x14ac:dyDescent="0.35">
      <c r="B137" s="12"/>
      <c r="D137" s="17"/>
      <c r="E137" s="17"/>
    </row>
    <row r="138" spans="2:15" x14ac:dyDescent="0.35">
      <c r="B138" s="12"/>
      <c r="D138" s="17"/>
      <c r="E138" s="17"/>
    </row>
    <row r="139" spans="2:15" x14ac:dyDescent="0.35">
      <c r="B139" s="12"/>
      <c r="D139" s="17"/>
      <c r="E139" s="17"/>
    </row>
    <row r="140" spans="2:15" x14ac:dyDescent="0.35">
      <c r="H140" s="12"/>
      <c r="I140" s="12"/>
      <c r="K140" s="19"/>
      <c r="L140" s="12"/>
      <c r="M140" s="12"/>
      <c r="N140" s="19"/>
    </row>
    <row r="141" spans="2:15" x14ac:dyDescent="0.35">
      <c r="K141" s="12"/>
      <c r="L141" s="12"/>
      <c r="M141" s="12"/>
      <c r="N141" s="12"/>
    </row>
    <row r="142" spans="2:15" x14ac:dyDescent="0.35">
      <c r="K142" s="12"/>
      <c r="L142" s="12"/>
      <c r="M142" s="12"/>
      <c r="N142" s="12"/>
    </row>
    <row r="143" spans="2:15" x14ac:dyDescent="0.35">
      <c r="K143" s="12"/>
      <c r="L143" s="12"/>
      <c r="M143" s="12"/>
      <c r="N143" s="12"/>
    </row>
  </sheetData>
  <mergeCells count="11">
    <mergeCell ref="B105:C105"/>
    <mergeCell ref="B16:C16"/>
    <mergeCell ref="B53:C53"/>
    <mergeCell ref="B22:E22"/>
    <mergeCell ref="B38:G38"/>
    <mergeCell ref="B44:K44"/>
    <mergeCell ref="B63:K63"/>
    <mergeCell ref="B59:E59"/>
    <mergeCell ref="B96:E96"/>
    <mergeCell ref="B28:E28"/>
    <mergeCell ref="B70:L70"/>
  </mergeCells>
  <phoneticPr fontId="101" type="noConversion"/>
  <pageMargins left="0.7" right="0.7" top="0.75" bottom="0.75" header="0.3" footer="0.3"/>
  <pageSetup paperSize="9" orientation="portrait" r:id="rId1"/>
  <ignoredErrors>
    <ignoredError sqref="J65:J6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ThisWorkbook.unhide">
                <anchor moveWithCells="1" sizeWithCells="1">
                  <from>
                    <xdr:col>20</xdr:col>
                    <xdr:colOff>31750</xdr:colOff>
                    <xdr:row>0</xdr:row>
                    <xdr:rowOff>31750</xdr:rowOff>
                  </from>
                  <to>
                    <xdr:col>21</xdr:col>
                    <xdr:colOff>355600</xdr:colOff>
                    <xdr:row>2</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2:AQ106"/>
  <sheetViews>
    <sheetView tabSelected="1" topLeftCell="A52" workbookViewId="0">
      <selection activeCell="P96" sqref="P96"/>
    </sheetView>
  </sheetViews>
  <sheetFormatPr defaultColWidth="9" defaultRowHeight="13" x14ac:dyDescent="0.35"/>
  <cols>
    <col min="1" max="1" width="9" style="143"/>
    <col min="2" max="2" width="10.453125" style="143" bestFit="1" customWidth="1"/>
    <col min="3" max="16384" width="9" style="143"/>
  </cols>
  <sheetData>
    <row r="2" spans="1:31" x14ac:dyDescent="0.35">
      <c r="B2" s="153" t="s">
        <v>847</v>
      </c>
      <c r="C2" s="8">
        <v>100</v>
      </c>
      <c r="D2" s="146"/>
      <c r="E2" s="521" t="s">
        <v>2187</v>
      </c>
      <c r="F2" s="146"/>
      <c r="G2" s="146"/>
      <c r="H2" s="146"/>
      <c r="I2" s="146"/>
      <c r="W2" s="152"/>
    </row>
    <row r="3" spans="1:31" x14ac:dyDescent="0.35">
      <c r="B3" s="156" t="s">
        <v>874</v>
      </c>
      <c r="C3" s="8">
        <v>600</v>
      </c>
      <c r="E3" s="155" t="s">
        <v>849</v>
      </c>
    </row>
    <row r="4" spans="1:31" x14ac:dyDescent="0.35">
      <c r="B4" s="156" t="s">
        <v>883</v>
      </c>
      <c r="C4" s="8">
        <f>坦克升星消耗!E2</f>
        <v>300</v>
      </c>
      <c r="E4" s="155" t="s">
        <v>850</v>
      </c>
      <c r="L4" s="161"/>
      <c r="N4" s="161"/>
    </row>
    <row r="5" spans="1:31" x14ac:dyDescent="0.35">
      <c r="B5" s="167" t="s">
        <v>946</v>
      </c>
      <c r="C5" s="8">
        <v>20</v>
      </c>
      <c r="E5" s="223" t="s">
        <v>1144</v>
      </c>
    </row>
    <row r="6" spans="1:31" x14ac:dyDescent="0.35">
      <c r="B6" s="224" t="s">
        <v>1145</v>
      </c>
      <c r="C6" s="8">
        <v>2</v>
      </c>
      <c r="E6" s="155"/>
      <c r="N6" s="161"/>
      <c r="P6" s="161"/>
    </row>
    <row r="7" spans="1:31" x14ac:dyDescent="0.35">
      <c r="B7" s="529" t="s">
        <v>2420</v>
      </c>
      <c r="C7" s="8">
        <f>F15/(C9/E15)</f>
        <v>1.25</v>
      </c>
      <c r="E7" s="533" t="s">
        <v>2352</v>
      </c>
      <c r="N7" s="161"/>
      <c r="P7" s="161"/>
    </row>
    <row r="8" spans="1:31" x14ac:dyDescent="0.35">
      <c r="B8" s="505" t="s">
        <v>2179</v>
      </c>
      <c r="C8" s="235">
        <v>10</v>
      </c>
      <c r="E8" s="155"/>
    </row>
    <row r="9" spans="1:31" x14ac:dyDescent="0.35">
      <c r="B9" s="589" t="s">
        <v>2693</v>
      </c>
      <c r="C9" s="235">
        <v>200</v>
      </c>
      <c r="E9" s="155"/>
    </row>
    <row r="10" spans="1:31" x14ac:dyDescent="0.35">
      <c r="B10" s="146"/>
      <c r="C10" s="146"/>
      <c r="E10" s="155"/>
      <c r="H10" s="154"/>
      <c r="I10" s="154"/>
      <c r="J10" s="154"/>
      <c r="K10" s="154"/>
      <c r="S10" s="154"/>
      <c r="Z10" s="152"/>
      <c r="AB10" s="152"/>
      <c r="AC10" s="152"/>
      <c r="AE10" s="152"/>
    </row>
    <row r="11" spans="1:31" x14ac:dyDescent="0.35">
      <c r="B11" s="735" t="s">
        <v>889</v>
      </c>
      <c r="C11" s="736"/>
      <c r="D11" s="736"/>
      <c r="E11" s="736"/>
      <c r="F11" s="737"/>
      <c r="G11" s="749" t="s">
        <v>942</v>
      </c>
      <c r="H11" s="745"/>
      <c r="I11" s="745"/>
      <c r="J11" s="745"/>
      <c r="K11" s="745"/>
      <c r="L11" s="746" t="s">
        <v>945</v>
      </c>
      <c r="M11" s="740"/>
      <c r="N11" s="745"/>
      <c r="O11" s="745"/>
      <c r="P11" s="509"/>
      <c r="Z11" s="152"/>
      <c r="AB11" s="152"/>
    </row>
    <row r="12" spans="1:31" x14ac:dyDescent="0.35">
      <c r="B12" s="156" t="s">
        <v>881</v>
      </c>
      <c r="C12" s="529" t="s">
        <v>2430</v>
      </c>
      <c r="D12" s="156" t="s">
        <v>882</v>
      </c>
      <c r="E12" s="529" t="s">
        <v>2431</v>
      </c>
      <c r="F12" s="529" t="s">
        <v>2432</v>
      </c>
      <c r="G12" s="167" t="s">
        <v>937</v>
      </c>
      <c r="H12" s="167" t="s">
        <v>938</v>
      </c>
      <c r="I12" s="167" t="s">
        <v>939</v>
      </c>
      <c r="J12" s="167" t="s">
        <v>940</v>
      </c>
      <c r="K12" s="167" t="s">
        <v>941</v>
      </c>
      <c r="L12" s="167" t="s">
        <v>943</v>
      </c>
      <c r="M12" s="167" t="s">
        <v>944</v>
      </c>
      <c r="N12" s="510" t="s">
        <v>948</v>
      </c>
      <c r="O12" s="529" t="s">
        <v>2421</v>
      </c>
      <c r="P12" s="529" t="s">
        <v>2422</v>
      </c>
      <c r="Y12" s="152"/>
      <c r="AA12" s="152"/>
    </row>
    <row r="13" spans="1:31" x14ac:dyDescent="0.35">
      <c r="B13" s="151" t="s">
        <v>878</v>
      </c>
      <c r="C13" s="149">
        <f>C5*C6</f>
        <v>40</v>
      </c>
      <c r="D13" s="160">
        <f>C13/$C$3</f>
        <v>6.6666666666666666E-2</v>
      </c>
      <c r="E13" s="509">
        <f>C5</f>
        <v>20</v>
      </c>
      <c r="F13" s="509">
        <f>C13/E13</f>
        <v>2</v>
      </c>
      <c r="G13" s="510" t="s">
        <v>929</v>
      </c>
      <c r="H13" s="509"/>
      <c r="I13" s="509"/>
      <c r="J13" s="509"/>
      <c r="K13" s="509"/>
      <c r="L13" s="165">
        <v>0</v>
      </c>
      <c r="M13" s="149">
        <f>C13-L13</f>
        <v>40</v>
      </c>
      <c r="N13" s="329">
        <f>M13</f>
        <v>40</v>
      </c>
      <c r="O13" s="509"/>
      <c r="P13" s="509"/>
      <c r="AA13" s="152"/>
    </row>
    <row r="14" spans="1:31" x14ac:dyDescent="0.35">
      <c r="B14" s="151" t="s">
        <v>879</v>
      </c>
      <c r="C14" s="149">
        <f>$C$3*D14</f>
        <v>39.999999999999957</v>
      </c>
      <c r="D14" s="160">
        <f>1-D13-D15-D16-D17</f>
        <v>6.6666666666666596E-2</v>
      </c>
      <c r="E14" s="228">
        <v>3</v>
      </c>
      <c r="F14" s="509">
        <f>C14/E14</f>
        <v>13.33333333333332</v>
      </c>
      <c r="G14" s="510" t="s">
        <v>930</v>
      </c>
      <c r="H14" s="580" t="s">
        <v>931</v>
      </c>
      <c r="I14" s="510"/>
      <c r="J14" s="510"/>
      <c r="K14" s="509"/>
      <c r="L14" s="165">
        <v>0</v>
      </c>
      <c r="M14" s="149">
        <f>C14-L14</f>
        <v>39.999999999999957</v>
      </c>
      <c r="N14" s="329">
        <f>M14-P14</f>
        <v>39.999999999999957</v>
      </c>
      <c r="O14" s="498"/>
      <c r="P14" s="509"/>
      <c r="AA14" s="152"/>
    </row>
    <row r="15" spans="1:31" x14ac:dyDescent="0.35">
      <c r="B15" s="529" t="s">
        <v>2342</v>
      </c>
      <c r="C15" s="149">
        <f>$C$3*D15</f>
        <v>250</v>
      </c>
      <c r="D15" s="225">
        <v>0.41666666666666669</v>
      </c>
      <c r="E15" s="228">
        <v>2</v>
      </c>
      <c r="F15" s="509">
        <f>C15/E15</f>
        <v>125</v>
      </c>
      <c r="G15" s="510" t="s">
        <v>933</v>
      </c>
      <c r="H15" s="510" t="s">
        <v>929</v>
      </c>
      <c r="I15" s="529" t="s">
        <v>2419</v>
      </c>
      <c r="J15" s="529" t="s">
        <v>2434</v>
      </c>
      <c r="K15" s="509"/>
      <c r="L15" s="8">
        <v>5</v>
      </c>
      <c r="M15" s="149">
        <f>C15-L15</f>
        <v>245</v>
      </c>
      <c r="N15" s="9">
        <v>10</v>
      </c>
      <c r="O15" s="509"/>
      <c r="P15" s="509"/>
      <c r="AA15" s="152"/>
    </row>
    <row r="16" spans="1:31" x14ac:dyDescent="0.35">
      <c r="A16" s="358"/>
      <c r="B16" s="529" t="s">
        <v>2418</v>
      </c>
      <c r="C16" s="149">
        <f>$C$3*D16</f>
        <v>90</v>
      </c>
      <c r="D16" s="225">
        <v>0.15</v>
      </c>
      <c r="E16" s="228">
        <v>1</v>
      </c>
      <c r="F16" s="509">
        <f>C16/E16</f>
        <v>90</v>
      </c>
      <c r="G16" s="529" t="s">
        <v>2416</v>
      </c>
      <c r="H16" s="529" t="s">
        <v>2417</v>
      </c>
      <c r="I16" s="510" t="s">
        <v>932</v>
      </c>
      <c r="J16" s="509"/>
      <c r="K16" s="509"/>
      <c r="L16" s="8">
        <v>10</v>
      </c>
      <c r="M16" s="149">
        <f>C16-L16</f>
        <v>80</v>
      </c>
      <c r="N16" s="466">
        <f>M16-P16</f>
        <v>30</v>
      </c>
      <c r="O16" s="498">
        <v>40</v>
      </c>
      <c r="P16" s="509">
        <f>O16*$C$7</f>
        <v>50</v>
      </c>
      <c r="AA16" s="152"/>
    </row>
    <row r="17" spans="2:23" x14ac:dyDescent="0.35">
      <c r="B17" s="151" t="s">
        <v>880</v>
      </c>
      <c r="C17" s="149">
        <f>任务设定!C4</f>
        <v>180</v>
      </c>
      <c r="D17" s="160">
        <f>C17/$C$3</f>
        <v>0.3</v>
      </c>
      <c r="E17" s="228">
        <v>1</v>
      </c>
      <c r="F17" s="509">
        <f>C17/E17</f>
        <v>180</v>
      </c>
      <c r="G17" s="510" t="s">
        <v>934</v>
      </c>
      <c r="H17" s="510" t="s">
        <v>935</v>
      </c>
      <c r="I17" s="510" t="s">
        <v>936</v>
      </c>
      <c r="J17" s="529" t="s">
        <v>2419</v>
      </c>
      <c r="K17" s="529" t="s">
        <v>2433</v>
      </c>
      <c r="L17" s="8">
        <v>15</v>
      </c>
      <c r="M17" s="149">
        <f>C17-L17</f>
        <v>165</v>
      </c>
      <c r="N17" s="466">
        <f>任务设定!C6</f>
        <v>5.416666666666667</v>
      </c>
      <c r="O17" s="509"/>
      <c r="P17" s="509"/>
    </row>
    <row r="18" spans="2:23" x14ac:dyDescent="0.35">
      <c r="B18" s="146"/>
      <c r="C18" s="169"/>
      <c r="D18" s="680"/>
      <c r="E18" s="499"/>
      <c r="F18" s="146"/>
      <c r="G18" s="681"/>
      <c r="H18" s="681"/>
      <c r="I18" s="681"/>
      <c r="J18" s="556"/>
      <c r="K18" s="556"/>
      <c r="L18" s="10"/>
      <c r="M18" s="169"/>
      <c r="N18" s="682"/>
      <c r="O18" s="146"/>
      <c r="P18" s="146"/>
    </row>
    <row r="19" spans="2:23" x14ac:dyDescent="0.35">
      <c r="B19" s="750" t="s">
        <v>3237</v>
      </c>
      <c r="C19" s="740"/>
      <c r="D19" s="680"/>
      <c r="E19" s="750" t="s">
        <v>3244</v>
      </c>
      <c r="F19" s="740"/>
      <c r="G19" s="681"/>
      <c r="H19" s="681"/>
      <c r="I19" s="681"/>
      <c r="J19" s="556"/>
      <c r="K19" s="556"/>
      <c r="L19" s="10"/>
      <c r="M19" s="169"/>
      <c r="N19" s="682"/>
      <c r="O19" s="146"/>
      <c r="P19" s="146"/>
    </row>
    <row r="20" spans="2:23" x14ac:dyDescent="0.35">
      <c r="B20" s="671" t="s">
        <v>3227</v>
      </c>
      <c r="C20" s="683" t="s">
        <v>3230</v>
      </c>
      <c r="D20" s="680"/>
      <c r="E20" s="671" t="s">
        <v>3227</v>
      </c>
      <c r="F20" s="683" t="s">
        <v>3245</v>
      </c>
      <c r="G20" s="681"/>
      <c r="H20" s="681"/>
      <c r="I20" s="681"/>
      <c r="J20" s="556"/>
      <c r="K20" s="556"/>
      <c r="L20" s="10"/>
      <c r="M20" s="169"/>
      <c r="N20" s="682"/>
      <c r="O20" s="146"/>
      <c r="P20" s="146"/>
    </row>
    <row r="21" spans="2:23" x14ac:dyDescent="0.35">
      <c r="B21" s="671" t="s">
        <v>3228</v>
      </c>
      <c r="C21" s="503">
        <v>0.7</v>
      </c>
      <c r="D21" s="680"/>
      <c r="E21" s="671" t="s">
        <v>3228</v>
      </c>
      <c r="F21" s="466">
        <f>$C$26*C21</f>
        <v>87.791666666666629</v>
      </c>
      <c r="G21" s="681"/>
      <c r="H21" s="681"/>
      <c r="I21" s="681"/>
      <c r="J21" s="556"/>
      <c r="K21" s="556"/>
      <c r="L21" s="10"/>
      <c r="M21" s="169"/>
      <c r="N21" s="682"/>
      <c r="O21" s="146"/>
      <c r="P21" s="146"/>
    </row>
    <row r="22" spans="2:23" x14ac:dyDescent="0.35">
      <c r="B22" s="671" t="s">
        <v>3229</v>
      </c>
      <c r="C22" s="329">
        <f>1-C21</f>
        <v>0.30000000000000004</v>
      </c>
      <c r="D22" s="680"/>
      <c r="E22" s="671" t="s">
        <v>3229</v>
      </c>
      <c r="F22" s="466">
        <f>$C$26*C22</f>
        <v>37.624999999999993</v>
      </c>
      <c r="G22" s="681"/>
      <c r="H22" s="681"/>
      <c r="I22" s="681"/>
      <c r="J22" s="556"/>
      <c r="K22" s="556"/>
      <c r="L22" s="10"/>
      <c r="M22" s="169"/>
      <c r="N22" s="682"/>
      <c r="O22" s="146"/>
      <c r="P22" s="146"/>
    </row>
    <row r="23" spans="2:23" x14ac:dyDescent="0.35">
      <c r="B23" s="676"/>
      <c r="C23" s="504"/>
      <c r="D23" s="680"/>
      <c r="E23" s="499"/>
      <c r="F23" s="146"/>
      <c r="G23" s="681"/>
      <c r="H23" s="681"/>
      <c r="I23" s="681"/>
      <c r="J23" s="556"/>
      <c r="K23" s="556"/>
      <c r="L23" s="10"/>
      <c r="M23" s="169"/>
      <c r="N23" s="682"/>
      <c r="O23" s="146"/>
      <c r="P23" s="146"/>
    </row>
    <row r="24" spans="2:23" x14ac:dyDescent="0.35">
      <c r="B24" s="750" t="s">
        <v>3238</v>
      </c>
      <c r="C24" s="751"/>
      <c r="D24" s="680"/>
      <c r="E24" s="499"/>
      <c r="F24" s="146"/>
      <c r="G24" s="681"/>
      <c r="H24" s="681"/>
      <c r="I24" s="681"/>
      <c r="J24" s="556"/>
      <c r="K24" s="556"/>
      <c r="L24" s="10"/>
      <c r="M24" s="169"/>
      <c r="N24" s="682"/>
      <c r="O24" s="146"/>
      <c r="P24" s="146"/>
    </row>
    <row r="25" spans="2:23" x14ac:dyDescent="0.35">
      <c r="B25" s="671" t="s">
        <v>3231</v>
      </c>
      <c r="C25" s="684" t="s">
        <v>3236</v>
      </c>
      <c r="D25" s="680"/>
      <c r="E25" s="499"/>
      <c r="F25" s="146"/>
      <c r="G25" s="681"/>
      <c r="H25" s="681"/>
      <c r="I25" s="681"/>
      <c r="J25" s="556"/>
      <c r="K25" s="556"/>
      <c r="L25" s="10"/>
      <c r="M25" s="169"/>
      <c r="N25" s="682"/>
      <c r="O25" s="146"/>
      <c r="P25" s="146"/>
    </row>
    <row r="26" spans="2:23" x14ac:dyDescent="0.35">
      <c r="B26" s="671" t="s">
        <v>3232</v>
      </c>
      <c r="C26" s="329">
        <f>SUM(N13:N17)</f>
        <v>125.41666666666663</v>
      </c>
      <c r="D26" s="680"/>
      <c r="E26" s="499"/>
      <c r="F26" s="146"/>
      <c r="G26" s="681"/>
      <c r="H26" s="681"/>
      <c r="I26" s="681"/>
      <c r="J26" s="556"/>
      <c r="K26" s="556"/>
      <c r="L26" s="10"/>
      <c r="M26" s="169"/>
      <c r="N26" s="682"/>
      <c r="O26" s="146"/>
      <c r="P26" s="146"/>
    </row>
    <row r="27" spans="2:23" x14ac:dyDescent="0.35">
      <c r="B27" s="671" t="s">
        <v>3233</v>
      </c>
      <c r="C27" s="329">
        <f>SUM(L15:L17)</f>
        <v>30</v>
      </c>
      <c r="D27" s="680"/>
      <c r="E27" s="499"/>
      <c r="F27" s="146"/>
      <c r="G27" s="681"/>
      <c r="H27" s="681"/>
      <c r="I27" s="681"/>
      <c r="J27" s="556"/>
      <c r="K27" s="556"/>
      <c r="L27" s="10"/>
      <c r="M27" s="169"/>
      <c r="N27" s="682"/>
      <c r="O27" s="146"/>
      <c r="P27" s="146"/>
    </row>
    <row r="28" spans="2:23" x14ac:dyDescent="0.35">
      <c r="B28" s="671" t="s">
        <v>3234</v>
      </c>
      <c r="C28" s="329">
        <f>(C3-C26-C27)*$C$21</f>
        <v>311.20833333333331</v>
      </c>
      <c r="D28" s="680"/>
      <c r="E28" s="499"/>
      <c r="F28" s="146"/>
      <c r="G28" s="681"/>
      <c r="H28" s="681"/>
      <c r="I28" s="681"/>
      <c r="J28" s="556"/>
      <c r="K28" s="556"/>
      <c r="L28" s="10"/>
      <c r="M28" s="169"/>
      <c r="N28" s="682"/>
      <c r="O28" s="146"/>
      <c r="P28" s="146"/>
    </row>
    <row r="29" spans="2:23" x14ac:dyDescent="0.35">
      <c r="B29" s="671" t="s">
        <v>3235</v>
      </c>
      <c r="C29" s="329">
        <f>C28/C21*C22</f>
        <v>133.375</v>
      </c>
      <c r="D29" s="680"/>
      <c r="E29" s="499"/>
      <c r="F29" s="146"/>
      <c r="G29" s="681"/>
      <c r="H29" s="681"/>
      <c r="I29" s="681"/>
      <c r="J29" s="556"/>
      <c r="K29" s="556"/>
      <c r="L29" s="10"/>
      <c r="M29" s="169"/>
      <c r="N29" s="682"/>
      <c r="O29" s="146"/>
      <c r="P29" s="146"/>
    </row>
    <row r="30" spans="2:23" x14ac:dyDescent="0.35">
      <c r="D30" s="146"/>
      <c r="E30" s="146"/>
      <c r="F30" s="146"/>
      <c r="G30" s="146"/>
      <c r="I30" s="146"/>
      <c r="J30" s="146"/>
      <c r="K30" s="146"/>
      <c r="M30" s="146"/>
      <c r="N30" s="146"/>
      <c r="O30" s="146"/>
      <c r="P30" s="146"/>
      <c r="Q30" s="146"/>
      <c r="R30" s="146"/>
      <c r="S30" s="146"/>
      <c r="V30" s="559"/>
      <c r="W30" s="559"/>
    </row>
    <row r="31" spans="2:23" x14ac:dyDescent="0.35">
      <c r="B31" s="744" t="s">
        <v>888</v>
      </c>
      <c r="C31" s="745"/>
      <c r="D31" s="745"/>
      <c r="E31" s="745"/>
      <c r="F31" s="745"/>
      <c r="G31" s="745"/>
      <c r="H31" s="745"/>
      <c r="I31" s="146"/>
      <c r="J31" s="146"/>
      <c r="K31" s="146"/>
      <c r="L31" s="146"/>
      <c r="M31" s="146"/>
      <c r="N31" s="146"/>
      <c r="O31" s="146"/>
      <c r="P31" s="146"/>
      <c r="Q31" s="146"/>
      <c r="R31" s="146"/>
      <c r="S31" s="146"/>
      <c r="V31" s="559"/>
      <c r="W31" s="559"/>
    </row>
    <row r="32" spans="2:23" x14ac:dyDescent="0.35">
      <c r="B32" s="153" t="s">
        <v>836</v>
      </c>
      <c r="C32" s="156" t="s">
        <v>884</v>
      </c>
      <c r="D32" s="156" t="s">
        <v>885</v>
      </c>
      <c r="E32" s="156" t="s">
        <v>886</v>
      </c>
      <c r="F32" s="156" t="s">
        <v>887</v>
      </c>
      <c r="G32" s="671" t="s">
        <v>3246</v>
      </c>
      <c r="H32" s="671" t="s">
        <v>3247</v>
      </c>
      <c r="I32" s="146"/>
      <c r="O32" s="146"/>
      <c r="P32" s="146"/>
      <c r="Q32" s="146"/>
      <c r="R32" s="146"/>
      <c r="S32" s="146"/>
      <c r="V32" s="559"/>
      <c r="W32" s="559"/>
    </row>
    <row r="33" spans="2:29" x14ac:dyDescent="0.35">
      <c r="B33" s="153" t="s">
        <v>835</v>
      </c>
      <c r="C33" s="151" t="str">
        <f>坦克等级成长!F13</f>
        <v>T1低1</v>
      </c>
      <c r="D33" s="151">
        <f>ROUND(VLOOKUP(C33,坦克等级成长!$Y$3:$Z$27,2,FALSE),2)</f>
        <v>1</v>
      </c>
      <c r="E33" s="687">
        <f>坦克升星消耗!G6</f>
        <v>1</v>
      </c>
      <c r="F33" s="149">
        <f>坦克升星消耗!M6</f>
        <v>300</v>
      </c>
      <c r="G33" s="8">
        <f>坦克升星消耗!K6</f>
        <v>5</v>
      </c>
      <c r="H33" s="149">
        <f>坦克升星消耗!L6</f>
        <v>60</v>
      </c>
      <c r="J33" s="358"/>
      <c r="L33" s="358"/>
      <c r="S33" s="146"/>
      <c r="V33" s="559"/>
      <c r="W33" s="559"/>
    </row>
    <row r="34" spans="2:29" x14ac:dyDescent="0.35">
      <c r="B34" s="153" t="s">
        <v>837</v>
      </c>
      <c r="C34" s="190" t="str">
        <f>坦克等级成长!F14</f>
        <v>T2低2</v>
      </c>
      <c r="D34" s="151">
        <f>ROUND(VLOOKUP(C34,坦克等级成长!$Y$3:$Z$27,2,FALSE),2)</f>
        <v>1.2</v>
      </c>
      <c r="E34" s="687">
        <f>坦克升星消耗!G7</f>
        <v>1.728</v>
      </c>
      <c r="F34" s="149">
        <f>坦克升星消耗!M7</f>
        <v>600</v>
      </c>
      <c r="G34" s="8">
        <f>坦克升星消耗!K7</f>
        <v>10</v>
      </c>
      <c r="H34" s="149">
        <f>坦克升星消耗!L7</f>
        <v>60</v>
      </c>
      <c r="J34" s="358"/>
      <c r="L34" s="358"/>
      <c r="S34" s="146"/>
      <c r="V34" s="559"/>
      <c r="W34" s="559"/>
    </row>
    <row r="35" spans="2:29" x14ac:dyDescent="0.35">
      <c r="B35" s="153" t="s">
        <v>837</v>
      </c>
      <c r="C35" s="190" t="str">
        <f>坦克等级成长!F15</f>
        <v>T2中2</v>
      </c>
      <c r="D35" s="151">
        <f>ROUND(VLOOKUP(C35,坦克等级成长!$Y$3:$Z$27,2,FALSE),2)</f>
        <v>1.23</v>
      </c>
      <c r="E35" s="687">
        <f>坦克升星消耗!G8</f>
        <v>1.8608669999999998</v>
      </c>
      <c r="F35" s="149">
        <f>坦克升星消耗!M8</f>
        <v>850</v>
      </c>
      <c r="G35" s="8">
        <f>坦克升星消耗!K8</f>
        <v>10</v>
      </c>
      <c r="H35" s="149">
        <f>坦克升星消耗!L8</f>
        <v>85</v>
      </c>
      <c r="J35" s="358"/>
      <c r="S35" s="146"/>
      <c r="V35" s="559"/>
      <c r="W35" s="559"/>
    </row>
    <row r="36" spans="2:29" x14ac:dyDescent="0.35">
      <c r="B36" s="153" t="s">
        <v>838</v>
      </c>
      <c r="C36" s="190" t="str">
        <f>坦克等级成长!F16</f>
        <v>T3低3</v>
      </c>
      <c r="D36" s="151">
        <f>ROUND(VLOOKUP(C36,坦克等级成长!$Y$3:$Z$27,2,FALSE),2)</f>
        <v>1.5</v>
      </c>
      <c r="E36" s="687">
        <f>坦克升星消耗!G9</f>
        <v>3.375</v>
      </c>
      <c r="F36" s="149">
        <f>坦克升星消耗!M9</f>
        <v>1800</v>
      </c>
      <c r="G36" s="8">
        <f>坦克升星消耗!K9</f>
        <v>30</v>
      </c>
      <c r="H36" s="149">
        <f>坦克升星消耗!L9</f>
        <v>60</v>
      </c>
      <c r="J36" s="358"/>
      <c r="L36" s="358"/>
      <c r="S36" s="146"/>
      <c r="V36" s="559"/>
      <c r="W36" s="559"/>
    </row>
    <row r="37" spans="2:29" x14ac:dyDescent="0.35">
      <c r="B37" s="153" t="s">
        <v>838</v>
      </c>
      <c r="C37" s="190" t="str">
        <f>坦克等级成长!F17</f>
        <v>T3中3</v>
      </c>
      <c r="D37" s="151">
        <f>ROUND(VLOOKUP(C37,坦克等级成长!$Y$3:$Z$27,2,FALSE),2)</f>
        <v>1.55</v>
      </c>
      <c r="E37" s="687">
        <f>坦克升星消耗!G10</f>
        <v>3.6879536249999996</v>
      </c>
      <c r="F37" s="149">
        <f>坦克升星消耗!M10</f>
        <v>2250</v>
      </c>
      <c r="G37" s="8">
        <f>坦克升星消耗!K10</f>
        <v>30</v>
      </c>
      <c r="H37" s="149">
        <f>坦克升星消耗!L10</f>
        <v>75</v>
      </c>
      <c r="J37" s="358"/>
      <c r="S37" s="146"/>
      <c r="V37" s="559"/>
      <c r="W37" s="559"/>
    </row>
    <row r="38" spans="2:29" x14ac:dyDescent="0.35">
      <c r="B38" s="153" t="s">
        <v>838</v>
      </c>
      <c r="C38" s="190" t="str">
        <f>坦克等级成长!F18</f>
        <v>T3高3</v>
      </c>
      <c r="D38" s="151">
        <f>ROUND(VLOOKUP(C38,坦克等级成长!$Y$3:$Z$27,2,FALSE),2)</f>
        <v>1.62</v>
      </c>
      <c r="E38" s="687">
        <f>坦克升星消耗!G11</f>
        <v>4.2515280000000013</v>
      </c>
      <c r="F38" s="149">
        <f>坦克升星消耗!M11</f>
        <v>2850</v>
      </c>
      <c r="G38" s="8">
        <f>坦克升星消耗!K11</f>
        <v>30</v>
      </c>
      <c r="H38" s="149">
        <f>坦克升星消耗!L11</f>
        <v>95</v>
      </c>
      <c r="J38" s="358"/>
      <c r="S38" s="146"/>
      <c r="V38" s="559"/>
      <c r="W38" s="559"/>
    </row>
    <row r="39" spans="2:29" x14ac:dyDescent="0.35">
      <c r="B39" s="153" t="s">
        <v>839</v>
      </c>
      <c r="C39" s="190" t="str">
        <f>坦克等级成长!F19</f>
        <v>T4低4</v>
      </c>
      <c r="D39" s="151">
        <f>ROUND(VLOOKUP(C39,坦克等级成长!$Y$3:$Z$27,2,FALSE),2)</f>
        <v>1.9</v>
      </c>
      <c r="E39" s="687">
        <f>坦克升星消耗!G12</f>
        <v>6.8589999999999991</v>
      </c>
      <c r="F39" s="149">
        <f>坦克升星消耗!M12</f>
        <v>5000</v>
      </c>
      <c r="G39" s="8">
        <f>坦克升星消耗!K12</f>
        <v>50</v>
      </c>
      <c r="H39" s="149">
        <f>坦克升星消耗!L12</f>
        <v>100</v>
      </c>
      <c r="J39" s="358"/>
      <c r="L39" s="358"/>
      <c r="S39" s="146"/>
      <c r="V39" s="559"/>
      <c r="W39" s="559"/>
      <c r="AA39" s="168"/>
      <c r="AB39" s="168"/>
      <c r="AC39" s="168"/>
    </row>
    <row r="40" spans="2:29" x14ac:dyDescent="0.35">
      <c r="B40" s="153" t="s">
        <v>839</v>
      </c>
      <c r="C40" s="190" t="str">
        <f>坦克等级成长!F20</f>
        <v>T4中4</v>
      </c>
      <c r="D40" s="151">
        <f>ROUND(VLOOKUP(C40,坦克等级成长!$Y$3:$Z$27,2,FALSE),2)</f>
        <v>1.96</v>
      </c>
      <c r="E40" s="687">
        <f>坦克升星消耗!G13</f>
        <v>7.5295359999999993</v>
      </c>
      <c r="F40" s="149">
        <f>坦克升星消耗!M13</f>
        <v>6250</v>
      </c>
      <c r="G40" s="8">
        <f>坦克升星消耗!K13</f>
        <v>50</v>
      </c>
      <c r="H40" s="149">
        <f>坦克升星消耗!L13</f>
        <v>125</v>
      </c>
      <c r="J40" s="358"/>
      <c r="S40" s="146"/>
      <c r="V40" s="559"/>
      <c r="W40" s="559"/>
    </row>
    <row r="41" spans="2:29" x14ac:dyDescent="0.35">
      <c r="B41" s="153" t="s">
        <v>839</v>
      </c>
      <c r="C41" s="190" t="str">
        <f>坦克等级成长!F21</f>
        <v>T4高4</v>
      </c>
      <c r="D41" s="151">
        <f>ROUND(VLOOKUP(C41,坦克等级成长!$Y$3:$Z$27,2,FALSE),2)</f>
        <v>2.06</v>
      </c>
      <c r="E41" s="687">
        <f>坦克升星消耗!G14</f>
        <v>8.741816</v>
      </c>
      <c r="F41" s="149">
        <f>坦克升星消耗!M14</f>
        <v>7750</v>
      </c>
      <c r="G41" s="8">
        <f>坦克升星消耗!K14</f>
        <v>50</v>
      </c>
      <c r="H41" s="149">
        <f>坦克升星消耗!L14</f>
        <v>155</v>
      </c>
      <c r="J41" s="358"/>
      <c r="S41" s="146"/>
      <c r="V41" s="559"/>
      <c r="W41" s="559"/>
    </row>
    <row r="42" spans="2:29" x14ac:dyDescent="0.35">
      <c r="B42" s="153" t="s">
        <v>840</v>
      </c>
      <c r="C42" s="190" t="str">
        <f>坦克等级成长!F22</f>
        <v>T5低5</v>
      </c>
      <c r="D42" s="151">
        <f>ROUND(VLOOKUP(C42,坦克等级成长!$Y$3:$Z$27,2,FALSE),2)</f>
        <v>2.4</v>
      </c>
      <c r="E42" s="687">
        <f>坦克升星消耗!G15</f>
        <v>13.824</v>
      </c>
      <c r="F42" s="149">
        <f>坦克升星消耗!M15</f>
        <v>13600</v>
      </c>
      <c r="G42" s="8">
        <f>坦克升星消耗!K15</f>
        <v>80</v>
      </c>
      <c r="H42" s="149">
        <f>坦克升星消耗!L15</f>
        <v>170</v>
      </c>
      <c r="J42" s="358"/>
      <c r="L42" s="358"/>
      <c r="S42" s="146"/>
      <c r="V42" s="559"/>
      <c r="W42" s="559"/>
    </row>
    <row r="43" spans="2:29" x14ac:dyDescent="0.35">
      <c r="B43" s="153" t="s">
        <v>840</v>
      </c>
      <c r="C43" s="190" t="str">
        <f>坦克等级成长!F23</f>
        <v>T5中5</v>
      </c>
      <c r="D43" s="151">
        <f>ROUND(VLOOKUP(C43,坦克等级成长!$Y$3:$Z$27,2,FALSE),2)</f>
        <v>2.48</v>
      </c>
      <c r="E43" s="687">
        <f>坦克升星消耗!G16</f>
        <v>15.160921875000001</v>
      </c>
      <c r="F43" s="149">
        <f>坦克升星消耗!M16</f>
        <v>16000</v>
      </c>
      <c r="G43" s="8">
        <f>坦克升星消耗!K16</f>
        <v>80</v>
      </c>
      <c r="H43" s="149">
        <f>坦克升星消耗!L16</f>
        <v>200</v>
      </c>
      <c r="J43" s="358"/>
      <c r="S43" s="146"/>
      <c r="V43" s="559"/>
      <c r="W43" s="559"/>
    </row>
    <row r="44" spans="2:29" x14ac:dyDescent="0.35">
      <c r="B44" s="153" t="s">
        <v>840</v>
      </c>
      <c r="C44" s="190" t="str">
        <f>坦克等级成长!F24</f>
        <v>T5高5</v>
      </c>
      <c r="D44" s="151">
        <f>ROUND(VLOOKUP(C44,坦克等级成长!$Y$3:$Z$27,2,FALSE),2)</f>
        <v>2.6</v>
      </c>
      <c r="E44" s="687">
        <f>坦克升星消耗!G17</f>
        <v>17.576000000000004</v>
      </c>
      <c r="F44" s="149">
        <f>坦克升星消耗!M17</f>
        <v>19600</v>
      </c>
      <c r="G44" s="8">
        <f>坦克升星消耗!K17</f>
        <v>80</v>
      </c>
      <c r="H44" s="149">
        <f>坦克升星消耗!L17</f>
        <v>245</v>
      </c>
      <c r="J44" s="358"/>
      <c r="S44" s="146"/>
      <c r="V44" s="559"/>
      <c r="W44" s="559"/>
    </row>
    <row r="45" spans="2:29" x14ac:dyDescent="0.35">
      <c r="B45" s="154"/>
      <c r="C45" s="146"/>
      <c r="D45" s="146"/>
      <c r="E45" s="146"/>
      <c r="F45" s="169"/>
      <c r="G45" s="146"/>
      <c r="H45" s="146"/>
      <c r="V45" s="559"/>
      <c r="W45" s="559"/>
    </row>
    <row r="46" spans="2:29" x14ac:dyDescent="0.35">
      <c r="B46" s="746" t="s">
        <v>928</v>
      </c>
      <c r="C46" s="747"/>
      <c r="D46" s="747"/>
      <c r="E46" s="747"/>
      <c r="F46" s="747"/>
      <c r="G46" s="747"/>
      <c r="H46" s="748"/>
      <c r="V46" s="559"/>
      <c r="W46" s="559"/>
    </row>
    <row r="47" spans="2:29" x14ac:dyDescent="0.35">
      <c r="B47" s="153" t="s">
        <v>842</v>
      </c>
      <c r="C47" s="153" t="s">
        <v>846</v>
      </c>
      <c r="D47" s="153" t="s">
        <v>841</v>
      </c>
      <c r="E47" s="153" t="s">
        <v>844</v>
      </c>
      <c r="F47" s="153" t="s">
        <v>843</v>
      </c>
      <c r="G47" s="153" t="s">
        <v>845</v>
      </c>
      <c r="H47" s="153" t="s">
        <v>848</v>
      </c>
      <c r="V47" s="559"/>
      <c r="W47" s="559"/>
    </row>
    <row r="48" spans="2:29" x14ac:dyDescent="0.35">
      <c r="B48" s="145">
        <v>3</v>
      </c>
      <c r="C48" s="145">
        <v>18</v>
      </c>
      <c r="D48" s="8">
        <v>0.75</v>
      </c>
      <c r="E48" s="145">
        <f t="shared" ref="E48:E53" si="0">B48*$C$2*D48</f>
        <v>225</v>
      </c>
      <c r="F48" s="145">
        <f t="shared" ref="F48:F53" si="1">E48</f>
        <v>225</v>
      </c>
      <c r="G48" s="145">
        <f t="shared" ref="G48:G53" si="2">E48/B48</f>
        <v>75</v>
      </c>
      <c r="H48" s="148">
        <f t="shared" ref="H48:H53" si="3">E48/C48</f>
        <v>12.5</v>
      </c>
    </row>
    <row r="49" spans="2:24" x14ac:dyDescent="0.35">
      <c r="B49" s="145">
        <v>5</v>
      </c>
      <c r="C49" s="145">
        <v>30</v>
      </c>
      <c r="D49" s="8">
        <v>0.8</v>
      </c>
      <c r="E49" s="145">
        <f t="shared" si="0"/>
        <v>400</v>
      </c>
      <c r="F49" s="145">
        <f t="shared" si="1"/>
        <v>400</v>
      </c>
      <c r="G49" s="145">
        <f t="shared" si="2"/>
        <v>80</v>
      </c>
      <c r="H49" s="148">
        <f t="shared" si="3"/>
        <v>13.333333333333334</v>
      </c>
    </row>
    <row r="50" spans="2:24" x14ac:dyDescent="0.35">
      <c r="B50" s="145">
        <v>10</v>
      </c>
      <c r="C50" s="145">
        <v>68</v>
      </c>
      <c r="D50" s="8">
        <v>0.85</v>
      </c>
      <c r="E50" s="145">
        <f t="shared" si="0"/>
        <v>850</v>
      </c>
      <c r="F50" s="145">
        <f t="shared" si="1"/>
        <v>850</v>
      </c>
      <c r="G50" s="145">
        <f t="shared" si="2"/>
        <v>85</v>
      </c>
      <c r="H50" s="148">
        <f t="shared" si="3"/>
        <v>12.5</v>
      </c>
    </row>
    <row r="51" spans="2:24" x14ac:dyDescent="0.35">
      <c r="B51" s="145">
        <v>20</v>
      </c>
      <c r="C51" s="145">
        <v>128</v>
      </c>
      <c r="D51" s="8">
        <v>0.9</v>
      </c>
      <c r="E51" s="145">
        <f t="shared" si="0"/>
        <v>1800</v>
      </c>
      <c r="F51" s="145">
        <f t="shared" si="1"/>
        <v>1800</v>
      </c>
      <c r="G51" s="145">
        <f t="shared" si="2"/>
        <v>90</v>
      </c>
      <c r="H51" s="148">
        <f t="shared" si="3"/>
        <v>14.0625</v>
      </c>
    </row>
    <row r="52" spans="2:24" x14ac:dyDescent="0.35">
      <c r="B52" s="145">
        <v>50</v>
      </c>
      <c r="C52" s="145">
        <v>328</v>
      </c>
      <c r="D52" s="8">
        <v>0.95</v>
      </c>
      <c r="E52" s="145">
        <f t="shared" si="0"/>
        <v>4750</v>
      </c>
      <c r="F52" s="145">
        <f t="shared" si="1"/>
        <v>4750</v>
      </c>
      <c r="G52" s="145">
        <f t="shared" si="2"/>
        <v>95</v>
      </c>
      <c r="H52" s="148">
        <f t="shared" si="3"/>
        <v>14.481707317073171</v>
      </c>
      <c r="U52" s="146"/>
    </row>
    <row r="53" spans="2:24" x14ac:dyDescent="0.35">
      <c r="B53" s="145">
        <v>100</v>
      </c>
      <c r="C53" s="145">
        <v>648</v>
      </c>
      <c r="D53" s="8">
        <v>1</v>
      </c>
      <c r="E53" s="145">
        <f t="shared" si="0"/>
        <v>10000</v>
      </c>
      <c r="F53" s="145">
        <f t="shared" si="1"/>
        <v>10000</v>
      </c>
      <c r="G53" s="145">
        <f t="shared" si="2"/>
        <v>100</v>
      </c>
      <c r="H53" s="148">
        <f t="shared" si="3"/>
        <v>15.432098765432098</v>
      </c>
      <c r="U53" s="146"/>
    </row>
    <row r="54" spans="2:24" x14ac:dyDescent="0.35">
      <c r="B54" s="154"/>
      <c r="C54" s="146"/>
      <c r="D54" s="146"/>
      <c r="E54" s="146"/>
      <c r="F54" s="169"/>
      <c r="G54" s="146"/>
      <c r="H54" s="146"/>
      <c r="U54" s="146"/>
    </row>
    <row r="55" spans="2:24" x14ac:dyDescent="0.35">
      <c r="B55" s="741" t="s">
        <v>915</v>
      </c>
      <c r="C55" s="742"/>
      <c r="D55" s="742"/>
      <c r="E55" s="742"/>
      <c r="F55" s="742"/>
      <c r="G55" s="742"/>
      <c r="H55" s="742"/>
      <c r="I55" s="742"/>
      <c r="J55" s="742"/>
      <c r="K55" s="742"/>
      <c r="L55" s="742"/>
      <c r="M55" s="742"/>
      <c r="N55" s="743"/>
      <c r="P55" s="738" t="s">
        <v>2204</v>
      </c>
      <c r="Q55" s="739"/>
      <c r="R55" s="739"/>
      <c r="S55" s="740"/>
    </row>
    <row r="56" spans="2:24" x14ac:dyDescent="0.35">
      <c r="B56" s="151" t="s">
        <v>597</v>
      </c>
      <c r="C56" s="205" t="s">
        <v>1087</v>
      </c>
      <c r="D56" s="205" t="s">
        <v>1088</v>
      </c>
      <c r="E56" s="205" t="s">
        <v>1089</v>
      </c>
      <c r="F56" s="205" t="s">
        <v>1090</v>
      </c>
      <c r="G56" s="205" t="s">
        <v>1091</v>
      </c>
      <c r="H56" s="205" t="s">
        <v>1092</v>
      </c>
      <c r="I56" s="205" t="s">
        <v>1093</v>
      </c>
      <c r="J56" s="205" t="s">
        <v>1094</v>
      </c>
      <c r="K56" s="205" t="s">
        <v>1095</v>
      </c>
      <c r="L56" s="205" t="s">
        <v>1096</v>
      </c>
      <c r="M56" s="205" t="s">
        <v>1097</v>
      </c>
      <c r="N56" s="205" t="s">
        <v>1098</v>
      </c>
      <c r="P56" s="488" t="s">
        <v>597</v>
      </c>
      <c r="Q56" s="520" t="s">
        <v>2203</v>
      </c>
      <c r="R56" s="520" t="s">
        <v>1435</v>
      </c>
      <c r="S56" s="520" t="s">
        <v>1436</v>
      </c>
    </row>
    <row r="57" spans="2:24" x14ac:dyDescent="0.35">
      <c r="B57" s="162">
        <v>1</v>
      </c>
      <c r="C57" s="163" t="s">
        <v>914</v>
      </c>
      <c r="D57" s="391" t="s">
        <v>916</v>
      </c>
      <c r="E57" s="391" t="s">
        <v>916</v>
      </c>
      <c r="F57" s="191" t="s">
        <v>916</v>
      </c>
      <c r="G57" s="171" t="s">
        <v>916</v>
      </c>
      <c r="H57" s="171" t="s">
        <v>916</v>
      </c>
      <c r="I57" s="163" t="s">
        <v>916</v>
      </c>
      <c r="J57" s="163" t="s">
        <v>916</v>
      </c>
      <c r="K57" s="163" t="s">
        <v>916</v>
      </c>
      <c r="L57" s="163" t="s">
        <v>916</v>
      </c>
      <c r="M57" s="163" t="s">
        <v>916</v>
      </c>
      <c r="N57" s="163" t="s">
        <v>916</v>
      </c>
      <c r="P57" s="488">
        <v>1</v>
      </c>
      <c r="Q57" s="491" t="s">
        <v>1087</v>
      </c>
      <c r="R57" s="488"/>
      <c r="S57" s="488"/>
      <c r="U57" s="143" t="str">
        <f>CONCATENATE("[",V57,",",W57,",",X57,"]")</f>
        <v>[1111,2111,3111]</v>
      </c>
      <c r="V57" s="152">
        <v>1111</v>
      </c>
      <c r="W57" s="152">
        <v>2111</v>
      </c>
      <c r="X57" s="152">
        <v>3111</v>
      </c>
    </row>
    <row r="58" spans="2:24" x14ac:dyDescent="0.35">
      <c r="B58" s="162">
        <v>2</v>
      </c>
      <c r="C58" s="163" t="s">
        <v>914</v>
      </c>
      <c r="D58" s="163" t="s">
        <v>914</v>
      </c>
      <c r="E58" s="391" t="s">
        <v>916</v>
      </c>
      <c r="F58" s="391" t="s">
        <v>916</v>
      </c>
      <c r="G58" s="391" t="s">
        <v>916</v>
      </c>
      <c r="H58" s="391" t="s">
        <v>916</v>
      </c>
      <c r="I58" s="391" t="s">
        <v>916</v>
      </c>
      <c r="J58" s="163" t="s">
        <v>916</v>
      </c>
      <c r="K58" s="163" t="s">
        <v>916</v>
      </c>
      <c r="L58" s="163" t="s">
        <v>916</v>
      </c>
      <c r="M58" s="163" t="s">
        <v>916</v>
      </c>
      <c r="N58" s="163" t="s">
        <v>916</v>
      </c>
      <c r="P58" s="488">
        <v>2</v>
      </c>
      <c r="Q58" s="491" t="s">
        <v>1088</v>
      </c>
      <c r="R58" s="488"/>
      <c r="S58" s="488"/>
      <c r="U58" s="143" t="str">
        <f>CONCATENATE("[",V58,",",W58,",",X58,"]")</f>
        <v>[1211,2211,3211]</v>
      </c>
      <c r="V58" s="152">
        <v>1211</v>
      </c>
      <c r="W58" s="152">
        <v>2211</v>
      </c>
      <c r="X58" s="152">
        <v>3211</v>
      </c>
    </row>
    <row r="59" spans="2:24" x14ac:dyDescent="0.35">
      <c r="B59" s="162">
        <v>3</v>
      </c>
      <c r="C59" s="163" t="s">
        <v>914</v>
      </c>
      <c r="D59" s="163" t="s">
        <v>914</v>
      </c>
      <c r="E59" s="391" t="s">
        <v>914</v>
      </c>
      <c r="F59" s="391" t="s">
        <v>916</v>
      </c>
      <c r="G59" s="391" t="s">
        <v>916</v>
      </c>
      <c r="H59" s="391" t="s">
        <v>916</v>
      </c>
      <c r="I59" s="391" t="s">
        <v>916</v>
      </c>
      <c r="J59" s="163" t="s">
        <v>916</v>
      </c>
      <c r="K59" s="163" t="s">
        <v>916</v>
      </c>
      <c r="L59" s="163" t="s">
        <v>916</v>
      </c>
      <c r="M59" s="163" t="s">
        <v>916</v>
      </c>
      <c r="N59" s="163" t="s">
        <v>916</v>
      </c>
      <c r="P59" s="488">
        <v>3</v>
      </c>
      <c r="Q59" s="491" t="s">
        <v>1089</v>
      </c>
      <c r="R59" s="488"/>
      <c r="S59" s="488"/>
      <c r="U59" s="143" t="str">
        <f>CONCATENATE("[",V59,",",W59,",",X59,"]")</f>
        <v>[1221,2221,3221]</v>
      </c>
      <c r="V59" s="152">
        <v>1221</v>
      </c>
      <c r="W59" s="152">
        <v>2221</v>
      </c>
      <c r="X59" s="152">
        <v>3221</v>
      </c>
    </row>
    <row r="60" spans="2:24" x14ac:dyDescent="0.35">
      <c r="B60" s="162">
        <v>4</v>
      </c>
      <c r="C60" s="163" t="s">
        <v>914</v>
      </c>
      <c r="D60" s="163" t="s">
        <v>914</v>
      </c>
      <c r="E60" s="163" t="s">
        <v>914</v>
      </c>
      <c r="F60" s="391" t="s">
        <v>916</v>
      </c>
      <c r="G60" s="391" t="s">
        <v>916</v>
      </c>
      <c r="H60" s="391" t="s">
        <v>916</v>
      </c>
      <c r="I60" s="391" t="s">
        <v>916</v>
      </c>
      <c r="J60" s="391" t="s">
        <v>916</v>
      </c>
      <c r="K60" s="163" t="s">
        <v>916</v>
      </c>
      <c r="L60" s="163" t="s">
        <v>916</v>
      </c>
      <c r="M60" s="163" t="s">
        <v>916</v>
      </c>
      <c r="N60" s="163" t="s">
        <v>916</v>
      </c>
      <c r="P60" s="488">
        <v>4</v>
      </c>
      <c r="Q60" s="488"/>
      <c r="R60" s="488"/>
      <c r="S60" s="488"/>
      <c r="V60" s="152">
        <v>1311</v>
      </c>
      <c r="W60" s="152">
        <v>2311</v>
      </c>
      <c r="X60" s="152">
        <v>3311</v>
      </c>
    </row>
    <row r="61" spans="2:24" x14ac:dyDescent="0.35">
      <c r="B61" s="162">
        <v>5</v>
      </c>
      <c r="C61" s="163" t="s">
        <v>914</v>
      </c>
      <c r="D61" s="163" t="s">
        <v>914</v>
      </c>
      <c r="E61" s="163" t="s">
        <v>914</v>
      </c>
      <c r="F61" s="163" t="s">
        <v>914</v>
      </c>
      <c r="G61" s="191" t="s">
        <v>914</v>
      </c>
      <c r="H61" s="391" t="s">
        <v>916</v>
      </c>
      <c r="I61" s="391" t="s">
        <v>916</v>
      </c>
      <c r="J61" s="391" t="s">
        <v>916</v>
      </c>
      <c r="K61" s="391" t="s">
        <v>916</v>
      </c>
      <c r="L61" s="391" t="s">
        <v>916</v>
      </c>
      <c r="M61" s="163" t="s">
        <v>916</v>
      </c>
      <c r="N61" s="163" t="s">
        <v>916</v>
      </c>
      <c r="P61" s="488">
        <v>5</v>
      </c>
      <c r="Q61" s="491" t="s">
        <v>1090</v>
      </c>
      <c r="R61" s="491" t="s">
        <v>1091</v>
      </c>
      <c r="S61" s="488"/>
      <c r="U61" s="143" t="str">
        <f>CONCATENATE("[",V60,",",W60,",",X60,",",V61,",",W61,",",X61,"]")</f>
        <v>[1311,2311,3311,1321,2321,3321]</v>
      </c>
      <c r="V61" s="152">
        <v>1321</v>
      </c>
      <c r="W61" s="152">
        <v>2321</v>
      </c>
      <c r="X61" s="146">
        <v>3321</v>
      </c>
    </row>
    <row r="62" spans="2:24" x14ac:dyDescent="0.35">
      <c r="B62" s="162">
        <v>6</v>
      </c>
      <c r="C62" s="163" t="s">
        <v>914</v>
      </c>
      <c r="D62" s="163" t="s">
        <v>914</v>
      </c>
      <c r="E62" s="163" t="s">
        <v>914</v>
      </c>
      <c r="F62" s="163" t="s">
        <v>914</v>
      </c>
      <c r="G62" s="163" t="s">
        <v>914</v>
      </c>
      <c r="H62" s="391" t="s">
        <v>916</v>
      </c>
      <c r="I62" s="391" t="s">
        <v>916</v>
      </c>
      <c r="J62" s="391" t="s">
        <v>916</v>
      </c>
      <c r="K62" s="391" t="s">
        <v>916</v>
      </c>
      <c r="L62" s="391" t="s">
        <v>916</v>
      </c>
      <c r="M62" s="163" t="s">
        <v>916</v>
      </c>
      <c r="N62" s="163" t="s">
        <v>916</v>
      </c>
      <c r="P62" s="488">
        <v>6</v>
      </c>
      <c r="Q62" s="488"/>
      <c r="R62" s="488"/>
      <c r="S62" s="488"/>
      <c r="V62" s="152"/>
      <c r="W62" s="152"/>
      <c r="X62" s="146"/>
    </row>
    <row r="63" spans="2:24" x14ac:dyDescent="0.35">
      <c r="B63" s="151">
        <v>7</v>
      </c>
      <c r="C63" s="163" t="s">
        <v>914</v>
      </c>
      <c r="D63" s="163" t="s">
        <v>914</v>
      </c>
      <c r="E63" s="163" t="s">
        <v>914</v>
      </c>
      <c r="F63" s="163" t="s">
        <v>914</v>
      </c>
      <c r="G63" s="163" t="s">
        <v>914</v>
      </c>
      <c r="H63" s="391" t="s">
        <v>916</v>
      </c>
      <c r="I63" s="391" t="s">
        <v>916</v>
      </c>
      <c r="J63" s="391" t="s">
        <v>916</v>
      </c>
      <c r="K63" s="391" t="s">
        <v>916</v>
      </c>
      <c r="L63" s="391" t="s">
        <v>916</v>
      </c>
      <c r="M63" s="163" t="s">
        <v>916</v>
      </c>
      <c r="N63" s="163" t="s">
        <v>916</v>
      </c>
      <c r="P63" s="488">
        <v>7</v>
      </c>
      <c r="Q63" s="488"/>
      <c r="R63" s="488"/>
      <c r="S63" s="488"/>
      <c r="V63" s="152">
        <v>1411</v>
      </c>
      <c r="W63" s="152">
        <v>2411</v>
      </c>
      <c r="X63" s="146">
        <v>3411</v>
      </c>
    </row>
    <row r="64" spans="2:24" x14ac:dyDescent="0.35">
      <c r="B64" s="151">
        <v>8</v>
      </c>
      <c r="C64" s="163" t="s">
        <v>914</v>
      </c>
      <c r="D64" s="163" t="s">
        <v>914</v>
      </c>
      <c r="E64" s="163" t="s">
        <v>914</v>
      </c>
      <c r="F64" s="163" t="s">
        <v>914</v>
      </c>
      <c r="G64" s="163" t="s">
        <v>914</v>
      </c>
      <c r="H64" s="391" t="s">
        <v>916</v>
      </c>
      <c r="I64" s="163" t="s">
        <v>914</v>
      </c>
      <c r="J64" s="389" t="s">
        <v>1129</v>
      </c>
      <c r="K64" s="389" t="s">
        <v>1129</v>
      </c>
      <c r="L64" s="391" t="s">
        <v>916</v>
      </c>
      <c r="M64" s="391" t="s">
        <v>916</v>
      </c>
      <c r="N64" s="391" t="s">
        <v>916</v>
      </c>
      <c r="P64" s="488">
        <v>8</v>
      </c>
      <c r="Q64" s="491" t="s">
        <v>1093</v>
      </c>
      <c r="R64" s="491" t="s">
        <v>1094</v>
      </c>
      <c r="S64" s="491" t="s">
        <v>1095</v>
      </c>
      <c r="U64" s="143" t="str">
        <f>CONCATENATE("[",V63,",",W63,",",X63,",",V64,",",V65,"]")</f>
        <v>[1411,2411,3411,1421,1431]</v>
      </c>
      <c r="V64" s="143">
        <v>1421</v>
      </c>
      <c r="W64" s="152">
        <v>2421</v>
      </c>
      <c r="X64" s="146">
        <v>3421</v>
      </c>
    </row>
    <row r="65" spans="2:43" x14ac:dyDescent="0.35">
      <c r="B65" s="151">
        <v>9</v>
      </c>
      <c r="C65" s="163" t="s">
        <v>914</v>
      </c>
      <c r="D65" s="163" t="s">
        <v>914</v>
      </c>
      <c r="E65" s="163" t="s">
        <v>914</v>
      </c>
      <c r="F65" s="163" t="s">
        <v>914</v>
      </c>
      <c r="G65" s="163" t="s">
        <v>914</v>
      </c>
      <c r="H65" s="391" t="s">
        <v>916</v>
      </c>
      <c r="I65" s="163" t="s">
        <v>914</v>
      </c>
      <c r="J65" s="511" t="s">
        <v>1129</v>
      </c>
      <c r="K65" s="511" t="s">
        <v>1129</v>
      </c>
      <c r="L65" s="391" t="s">
        <v>916</v>
      </c>
      <c r="M65" s="391" t="s">
        <v>916</v>
      </c>
      <c r="N65" s="391" t="s">
        <v>916</v>
      </c>
      <c r="P65" s="488">
        <v>9</v>
      </c>
      <c r="Q65" s="491" t="s">
        <v>1094</v>
      </c>
      <c r="R65" s="491" t="s">
        <v>1095</v>
      </c>
      <c r="S65" s="488"/>
      <c r="U65" s="143" t="str">
        <f>CONCATENATE("[",W64,",",X64,",",W65,",",X65,"]")</f>
        <v>[2421,3421,2431,3431]</v>
      </c>
      <c r="V65" s="143">
        <v>1431</v>
      </c>
      <c r="W65" s="152">
        <v>2431</v>
      </c>
      <c r="X65" s="146">
        <v>3431</v>
      </c>
    </row>
    <row r="66" spans="2:43" x14ac:dyDescent="0.35">
      <c r="B66" s="151">
        <v>10</v>
      </c>
      <c r="C66" s="163" t="s">
        <v>914</v>
      </c>
      <c r="D66" s="163" t="s">
        <v>914</v>
      </c>
      <c r="E66" s="163" t="s">
        <v>914</v>
      </c>
      <c r="F66" s="163" t="s">
        <v>914</v>
      </c>
      <c r="G66" s="163" t="s">
        <v>914</v>
      </c>
      <c r="H66" s="391" t="s">
        <v>916</v>
      </c>
      <c r="I66" s="163" t="s">
        <v>914</v>
      </c>
      <c r="J66" s="163" t="s">
        <v>914</v>
      </c>
      <c r="K66" s="163" t="s">
        <v>914</v>
      </c>
      <c r="L66" s="391" t="s">
        <v>916</v>
      </c>
      <c r="M66" s="391" t="s">
        <v>916</v>
      </c>
      <c r="N66" s="391" t="s">
        <v>916</v>
      </c>
      <c r="P66" s="488">
        <v>10</v>
      </c>
      <c r="Q66" s="519" t="s">
        <v>1094</v>
      </c>
      <c r="R66" s="519" t="s">
        <v>1095</v>
      </c>
      <c r="S66" s="488"/>
      <c r="W66" s="152"/>
      <c r="X66" s="146"/>
    </row>
    <row r="67" spans="2:43" x14ac:dyDescent="0.35">
      <c r="B67" s="152"/>
      <c r="R67" s="146"/>
    </row>
    <row r="68" spans="2:43" x14ac:dyDescent="0.35">
      <c r="B68" s="733" t="s">
        <v>2341</v>
      </c>
      <c r="C68" s="734"/>
      <c r="D68" s="734"/>
      <c r="E68" s="734"/>
      <c r="F68" s="734"/>
      <c r="G68" s="734"/>
      <c r="H68" s="734"/>
      <c r="I68" s="734"/>
      <c r="J68" s="734"/>
      <c r="K68" s="734"/>
      <c r="L68" s="734"/>
      <c r="M68" s="734"/>
      <c r="N68" s="734"/>
      <c r="O68" s="734"/>
      <c r="P68" s="734"/>
      <c r="Q68" s="734"/>
      <c r="R68" s="734"/>
      <c r="S68" s="734"/>
      <c r="T68" s="734"/>
      <c r="V68" s="733" t="s">
        <v>2228</v>
      </c>
      <c r="W68" s="733"/>
      <c r="X68" s="733"/>
      <c r="Y68" s="733"/>
      <c r="Z68" s="733"/>
      <c r="AA68" s="733"/>
      <c r="AB68" s="733"/>
      <c r="AC68" s="733"/>
      <c r="AD68" s="733"/>
      <c r="AE68" s="733"/>
    </row>
    <row r="69" spans="2:43" x14ac:dyDescent="0.35">
      <c r="B69" s="488" t="s">
        <v>597</v>
      </c>
      <c r="C69" s="520" t="s">
        <v>2205</v>
      </c>
      <c r="D69" s="520" t="s">
        <v>2206</v>
      </c>
      <c r="E69" s="520" t="s">
        <v>2207</v>
      </c>
      <c r="F69" s="520" t="s">
        <v>2208</v>
      </c>
      <c r="G69" s="520" t="s">
        <v>2209</v>
      </c>
      <c r="H69" s="520" t="s">
        <v>2210</v>
      </c>
      <c r="I69" s="520" t="s">
        <v>2211</v>
      </c>
      <c r="J69" s="520" t="s">
        <v>2212</v>
      </c>
      <c r="K69" s="520" t="s">
        <v>2213</v>
      </c>
      <c r="L69" s="520" t="s">
        <v>2214</v>
      </c>
      <c r="M69" s="520" t="s">
        <v>2215</v>
      </c>
      <c r="N69" s="520" t="s">
        <v>2216</v>
      </c>
      <c r="O69" s="520" t="s">
        <v>2217</v>
      </c>
      <c r="P69" s="520" t="s">
        <v>2218</v>
      </c>
      <c r="Q69" s="520" t="s">
        <v>2219</v>
      </c>
      <c r="R69" s="520" t="s">
        <v>2220</v>
      </c>
      <c r="S69" s="520" t="s">
        <v>2221</v>
      </c>
      <c r="T69" s="520" t="s">
        <v>2222</v>
      </c>
      <c r="V69" s="509" t="s">
        <v>597</v>
      </c>
      <c r="W69" s="529" t="s">
        <v>2229</v>
      </c>
      <c r="X69" s="529" t="s">
        <v>2230</v>
      </c>
      <c r="Y69" s="529" t="s">
        <v>2231</v>
      </c>
      <c r="Z69" s="529" t="s">
        <v>2232</v>
      </c>
      <c r="AA69" s="529" t="s">
        <v>2233</v>
      </c>
      <c r="AB69" s="529" t="s">
        <v>2234</v>
      </c>
      <c r="AC69" s="529" t="s">
        <v>2235</v>
      </c>
      <c r="AD69" s="529" t="s">
        <v>2236</v>
      </c>
      <c r="AE69" s="529" t="s">
        <v>2237</v>
      </c>
    </row>
    <row r="70" spans="2:43" x14ac:dyDescent="0.35">
      <c r="B70" s="488">
        <v>1</v>
      </c>
      <c r="C70" s="529" t="s">
        <v>2225</v>
      </c>
      <c r="D70" s="488"/>
      <c r="E70" s="529" t="s">
        <v>2225</v>
      </c>
      <c r="F70" s="488"/>
      <c r="G70" s="529" t="s">
        <v>2225</v>
      </c>
      <c r="H70" s="488"/>
      <c r="I70" s="529" t="s">
        <v>2225</v>
      </c>
      <c r="J70" s="488"/>
      <c r="K70" s="529" t="s">
        <v>2225</v>
      </c>
      <c r="L70" s="488"/>
      <c r="M70" s="529" t="s">
        <v>2225</v>
      </c>
      <c r="N70" s="488"/>
      <c r="O70" s="529" t="s">
        <v>2225</v>
      </c>
      <c r="P70" s="488"/>
      <c r="Q70" s="529" t="s">
        <v>2225</v>
      </c>
      <c r="R70" s="488"/>
      <c r="S70" s="529" t="s">
        <v>2225</v>
      </c>
      <c r="T70" s="488"/>
      <c r="V70" s="509">
        <v>1</v>
      </c>
      <c r="W70" s="529" t="s">
        <v>2239</v>
      </c>
      <c r="X70" s="529" t="s">
        <v>2242</v>
      </c>
      <c r="Y70" s="529" t="s">
        <v>2244</v>
      </c>
      <c r="Z70" s="529" t="s">
        <v>2246</v>
      </c>
      <c r="AA70" s="529" t="s">
        <v>2248</v>
      </c>
      <c r="AB70" s="529" t="s">
        <v>2250</v>
      </c>
      <c r="AC70" s="529" t="s">
        <v>2252</v>
      </c>
      <c r="AD70" s="529" t="s">
        <v>2254</v>
      </c>
      <c r="AE70" s="529" t="s">
        <v>2256</v>
      </c>
      <c r="AG70" s="143">
        <f>IF(W70&lt;&gt;"",VLOOKUP(W70,道具ID!$B$206:$D$296,3,FALSE),"")</f>
        <v>1110</v>
      </c>
      <c r="AH70" s="143">
        <f>IF(X70&lt;&gt;"",VLOOKUP(X70,道具ID!$B$206:$D$296,3,FALSE),"")</f>
        <v>1130</v>
      </c>
      <c r="AI70" s="143">
        <f>IF(Y70&lt;&gt;"",VLOOKUP(Y70,道具ID!$B$206:$D$296,3,FALSE),"")</f>
        <v>1150</v>
      </c>
      <c r="AJ70" s="143">
        <f>IF(Z70&lt;&gt;"",VLOOKUP(Z70,道具ID!$B$206:$D$296,3,FALSE),"")</f>
        <v>1210</v>
      </c>
      <c r="AK70" s="143">
        <f>IF(AA70&lt;&gt;"",VLOOKUP(AA70,道具ID!$B$206:$D$296,3,FALSE),"")</f>
        <v>1230</v>
      </c>
      <c r="AL70" s="143">
        <f>IF(AB70&lt;&gt;"",VLOOKUP(AB70,道具ID!$B$206:$D$296,3,FALSE),"")</f>
        <v>1250</v>
      </c>
      <c r="AM70" s="143">
        <f>IF(AC70&lt;&gt;"",VLOOKUP(AC70,道具ID!$B$206:$D$296,3,FALSE),"")</f>
        <v>1310</v>
      </c>
      <c r="AN70" s="143">
        <f>IF(AD70&lt;&gt;"",VLOOKUP(AD70,道具ID!$B$206:$D$296,3,FALSE),"")</f>
        <v>1330</v>
      </c>
      <c r="AO70" s="143">
        <f>IF(AE70&lt;&gt;"",VLOOKUP(AE70,道具ID!$B$206:$D$296,3,FALSE),"")</f>
        <v>1350</v>
      </c>
      <c r="AQ70" s="143" t="str">
        <f>"["&amp;AG70&amp;","&amp;AH70&amp;","&amp;AI70&amp;","&amp;AJ70&amp;","&amp;AK70&amp;","&amp;AL70&amp;","&amp;AM70&amp;","&amp;AN70&amp;","&amp;AO70&amp;"]"</f>
        <v>[1110,1130,1150,1210,1230,1250,1310,1330,1350]</v>
      </c>
    </row>
    <row r="71" spans="2:43" x14ac:dyDescent="0.35">
      <c r="B71" s="488">
        <v>2</v>
      </c>
      <c r="C71" s="529" t="s">
        <v>2225</v>
      </c>
      <c r="D71" s="529" t="s">
        <v>2225</v>
      </c>
      <c r="E71" s="529" t="s">
        <v>2225</v>
      </c>
      <c r="F71" s="529" t="s">
        <v>2225</v>
      </c>
      <c r="G71" s="529" t="s">
        <v>2225</v>
      </c>
      <c r="H71" s="529" t="s">
        <v>2225</v>
      </c>
      <c r="I71" s="529" t="s">
        <v>2225</v>
      </c>
      <c r="J71" s="529" t="s">
        <v>2225</v>
      </c>
      <c r="K71" s="529" t="s">
        <v>2225</v>
      </c>
      <c r="L71" s="529" t="s">
        <v>2225</v>
      </c>
      <c r="M71" s="529" t="s">
        <v>2225</v>
      </c>
      <c r="N71" s="529" t="s">
        <v>2225</v>
      </c>
      <c r="O71" s="529" t="s">
        <v>2225</v>
      </c>
      <c r="P71" s="529" t="s">
        <v>2225</v>
      </c>
      <c r="Q71" s="529" t="s">
        <v>2225</v>
      </c>
      <c r="R71" s="529" t="s">
        <v>2225</v>
      </c>
      <c r="S71" s="529" t="s">
        <v>2225</v>
      </c>
      <c r="T71" s="529" t="s">
        <v>2225</v>
      </c>
      <c r="V71" s="509">
        <v>2</v>
      </c>
      <c r="W71" s="529" t="s">
        <v>2332</v>
      </c>
      <c r="X71" s="529" t="s">
        <v>2333</v>
      </c>
      <c r="Y71" s="529" t="s">
        <v>2334</v>
      </c>
      <c r="Z71" s="529" t="s">
        <v>2335</v>
      </c>
      <c r="AA71" s="529" t="s">
        <v>2336</v>
      </c>
      <c r="AB71" s="529" t="s">
        <v>2337</v>
      </c>
      <c r="AC71" s="529" t="s">
        <v>2338</v>
      </c>
      <c r="AD71" s="529" t="s">
        <v>2339</v>
      </c>
      <c r="AE71" s="529" t="s">
        <v>2340</v>
      </c>
      <c r="AG71" s="143">
        <f>IF(W71&lt;&gt;"",VLOOKUP(W71,道具ID!$B$206:$D$296,3,FALSE),"")</f>
        <v>1120</v>
      </c>
      <c r="AH71" s="143">
        <f>IF(X71&lt;&gt;"",VLOOKUP(X71,道具ID!$B$206:$D$296,3,FALSE),"")</f>
        <v>1140</v>
      </c>
      <c r="AI71" s="143">
        <f>IF(Y71&lt;&gt;"",VLOOKUP(Y71,道具ID!$B$206:$D$296,3,FALSE),"")</f>
        <v>1160</v>
      </c>
      <c r="AJ71" s="143">
        <f>IF(Z71&lt;&gt;"",VLOOKUP(Z71,道具ID!$B$206:$D$296,3,FALSE),"")</f>
        <v>1220</v>
      </c>
      <c r="AK71" s="143">
        <f>IF(AA71&lt;&gt;"",VLOOKUP(AA71,道具ID!$B$206:$D$296,3,FALSE),"")</f>
        <v>1240</v>
      </c>
      <c r="AL71" s="143">
        <f>IF(AB71&lt;&gt;"",VLOOKUP(AB71,道具ID!$B$206:$D$296,3,FALSE),"")</f>
        <v>1260</v>
      </c>
      <c r="AM71" s="143">
        <f>IF(AC71&lt;&gt;"",VLOOKUP(AC71,道具ID!$B$206:$D$296,3,FALSE),"")</f>
        <v>1320</v>
      </c>
      <c r="AN71" s="143">
        <f>IF(AD71&lt;&gt;"",VLOOKUP(AD71,道具ID!$B$206:$D$296,3,FALSE),"")</f>
        <v>1340</v>
      </c>
      <c r="AO71" s="143">
        <f>IF(AE71&lt;&gt;"",VLOOKUP(AE71,道具ID!$B$206:$D$296,3,FALSE),"")</f>
        <v>1360</v>
      </c>
      <c r="AQ71" s="143" t="str">
        <f t="shared" ref="AQ71:AQ76" si="4">"["&amp;AG71&amp;","&amp;AH71&amp;","&amp;AI71&amp;","&amp;AJ71&amp;","&amp;AK71&amp;","&amp;AL71&amp;","&amp;AM71&amp;","&amp;AN71&amp;","&amp;AO71&amp;"]"</f>
        <v>[1120,1140,1160,1220,1240,1260,1320,1340,1360]</v>
      </c>
    </row>
    <row r="72" spans="2:43" x14ac:dyDescent="0.35">
      <c r="B72" s="488">
        <v>3</v>
      </c>
      <c r="C72" s="529" t="s">
        <v>2226</v>
      </c>
      <c r="D72" s="529" t="s">
        <v>2225</v>
      </c>
      <c r="E72" s="529" t="s">
        <v>2226</v>
      </c>
      <c r="F72" s="529" t="s">
        <v>2225</v>
      </c>
      <c r="G72" s="529" t="s">
        <v>2226</v>
      </c>
      <c r="H72" s="529" t="s">
        <v>2225</v>
      </c>
      <c r="I72" s="529" t="s">
        <v>2226</v>
      </c>
      <c r="J72" s="529" t="s">
        <v>2225</v>
      </c>
      <c r="K72" s="529" t="s">
        <v>2226</v>
      </c>
      <c r="L72" s="529" t="s">
        <v>2225</v>
      </c>
      <c r="M72" s="529" t="s">
        <v>2226</v>
      </c>
      <c r="N72" s="529" t="s">
        <v>2225</v>
      </c>
      <c r="O72" s="529" t="s">
        <v>2226</v>
      </c>
      <c r="P72" s="529" t="s">
        <v>2225</v>
      </c>
      <c r="Q72" s="529" t="s">
        <v>2226</v>
      </c>
      <c r="R72" s="529" t="s">
        <v>2225</v>
      </c>
      <c r="S72" s="529" t="s">
        <v>2226</v>
      </c>
      <c r="T72" s="529" t="s">
        <v>2225</v>
      </c>
      <c r="V72" s="509">
        <v>3</v>
      </c>
      <c r="W72" s="529" t="s">
        <v>2258</v>
      </c>
      <c r="X72" s="529" t="s">
        <v>2260</v>
      </c>
      <c r="Y72" s="529" t="s">
        <v>2262</v>
      </c>
      <c r="Z72" s="529" t="s">
        <v>2264</v>
      </c>
      <c r="AA72" s="529" t="s">
        <v>2266</v>
      </c>
      <c r="AB72" s="529" t="s">
        <v>2268</v>
      </c>
      <c r="AC72" s="529" t="s">
        <v>2270</v>
      </c>
      <c r="AD72" s="529" t="s">
        <v>2272</v>
      </c>
      <c r="AE72" s="529" t="s">
        <v>2274</v>
      </c>
      <c r="AG72" s="143">
        <f>IF(W72&lt;&gt;"",VLOOKUP(W72,道具ID!$B$206:$D$296,3,FALSE),"")</f>
        <v>2110</v>
      </c>
      <c r="AH72" s="143">
        <f>IF(X72&lt;&gt;"",VLOOKUP(X72,道具ID!$B$206:$D$296,3,FALSE),"")</f>
        <v>2130</v>
      </c>
      <c r="AI72" s="143">
        <f>IF(Y72&lt;&gt;"",VLOOKUP(Y72,道具ID!$B$206:$D$296,3,FALSE),"")</f>
        <v>2150</v>
      </c>
      <c r="AJ72" s="143">
        <f>IF(Z72&lt;&gt;"",VLOOKUP(Z72,道具ID!$B$206:$D$296,3,FALSE),"")</f>
        <v>2210</v>
      </c>
      <c r="AK72" s="143">
        <f>IF(AA72&lt;&gt;"",VLOOKUP(AA72,道具ID!$B$206:$D$296,3,FALSE),"")</f>
        <v>2230</v>
      </c>
      <c r="AL72" s="143">
        <f>IF(AB72&lt;&gt;"",VLOOKUP(AB72,道具ID!$B$206:$D$296,3,FALSE),"")</f>
        <v>2250</v>
      </c>
      <c r="AM72" s="143">
        <f>IF(AC72&lt;&gt;"",VLOOKUP(AC72,道具ID!$B$206:$D$296,3,FALSE),"")</f>
        <v>2310</v>
      </c>
      <c r="AN72" s="143">
        <f>IF(AD72&lt;&gt;"",VLOOKUP(AD72,道具ID!$B$206:$D$296,3,FALSE),"")</f>
        <v>2330</v>
      </c>
      <c r="AO72" s="143">
        <f>IF(AE72&lt;&gt;"",VLOOKUP(AE72,道具ID!$B$206:$D$296,3,FALSE),"")</f>
        <v>2350</v>
      </c>
      <c r="AQ72" s="143" t="str">
        <f t="shared" si="4"/>
        <v>[2110,2130,2150,2210,2230,2250,2310,2330,2350]</v>
      </c>
    </row>
    <row r="73" spans="2:43" x14ac:dyDescent="0.35">
      <c r="B73" s="488">
        <v>4</v>
      </c>
      <c r="C73" s="529" t="s">
        <v>2226</v>
      </c>
      <c r="D73" s="529" t="s">
        <v>2226</v>
      </c>
      <c r="E73" s="529" t="s">
        <v>2226</v>
      </c>
      <c r="F73" s="529" t="s">
        <v>2226</v>
      </c>
      <c r="G73" s="529" t="s">
        <v>2226</v>
      </c>
      <c r="H73" s="529" t="s">
        <v>2226</v>
      </c>
      <c r="I73" s="529" t="s">
        <v>2226</v>
      </c>
      <c r="J73" s="529" t="s">
        <v>2226</v>
      </c>
      <c r="K73" s="529" t="s">
        <v>2226</v>
      </c>
      <c r="L73" s="529" t="s">
        <v>2226</v>
      </c>
      <c r="M73" s="529" t="s">
        <v>2226</v>
      </c>
      <c r="N73" s="529" t="s">
        <v>2226</v>
      </c>
      <c r="O73" s="529" t="s">
        <v>2226</v>
      </c>
      <c r="P73" s="529" t="s">
        <v>2226</v>
      </c>
      <c r="Q73" s="529" t="s">
        <v>2226</v>
      </c>
      <c r="R73" s="529" t="s">
        <v>2226</v>
      </c>
      <c r="S73" s="529" t="s">
        <v>2226</v>
      </c>
      <c r="T73" s="529" t="s">
        <v>2226</v>
      </c>
      <c r="V73" s="509">
        <v>4</v>
      </c>
      <c r="W73" s="529" t="s">
        <v>2259</v>
      </c>
      <c r="X73" s="529" t="s">
        <v>2261</v>
      </c>
      <c r="Y73" s="529" t="s">
        <v>2263</v>
      </c>
      <c r="Z73" s="529" t="s">
        <v>2265</v>
      </c>
      <c r="AA73" s="529" t="s">
        <v>2267</v>
      </c>
      <c r="AB73" s="529" t="s">
        <v>2269</v>
      </c>
      <c r="AC73" s="529" t="s">
        <v>2271</v>
      </c>
      <c r="AD73" s="529" t="s">
        <v>2273</v>
      </c>
      <c r="AE73" s="529" t="s">
        <v>2275</v>
      </c>
      <c r="AG73" s="143">
        <f>IF(W73&lt;&gt;"",VLOOKUP(W73,道具ID!$B$206:$D$296,3,FALSE),"")</f>
        <v>2120</v>
      </c>
      <c r="AH73" s="143">
        <f>IF(X73&lt;&gt;"",VLOOKUP(X73,道具ID!$B$206:$D$296,3,FALSE),"")</f>
        <v>2140</v>
      </c>
      <c r="AI73" s="143">
        <f>IF(Y73&lt;&gt;"",VLOOKUP(Y73,道具ID!$B$206:$D$296,3,FALSE),"")</f>
        <v>2160</v>
      </c>
      <c r="AJ73" s="143">
        <f>IF(Z73&lt;&gt;"",VLOOKUP(Z73,道具ID!$B$206:$D$296,3,FALSE),"")</f>
        <v>2220</v>
      </c>
      <c r="AK73" s="143">
        <f>IF(AA73&lt;&gt;"",VLOOKUP(AA73,道具ID!$B$206:$D$296,3,FALSE),"")</f>
        <v>2240</v>
      </c>
      <c r="AL73" s="143">
        <f>IF(AB73&lt;&gt;"",VLOOKUP(AB73,道具ID!$B$206:$D$296,3,FALSE),"")</f>
        <v>2260</v>
      </c>
      <c r="AM73" s="143">
        <f>IF(AC73&lt;&gt;"",VLOOKUP(AC73,道具ID!$B$206:$D$296,3,FALSE),"")</f>
        <v>2320</v>
      </c>
      <c r="AN73" s="143">
        <f>IF(AD73&lt;&gt;"",VLOOKUP(AD73,道具ID!$B$206:$D$296,3,FALSE),"")</f>
        <v>2340</v>
      </c>
      <c r="AO73" s="143">
        <f>IF(AE73&lt;&gt;"",VLOOKUP(AE73,道具ID!$B$206:$D$296,3,FALSE),"")</f>
        <v>2360</v>
      </c>
      <c r="AQ73" s="143" t="str">
        <f t="shared" si="4"/>
        <v>[2120,2140,2160,2220,2240,2260,2320,2340,2360]</v>
      </c>
    </row>
    <row r="74" spans="2:43" x14ac:dyDescent="0.35">
      <c r="B74" s="488">
        <v>5</v>
      </c>
      <c r="C74" s="529" t="s">
        <v>2226</v>
      </c>
      <c r="D74" s="529" t="s">
        <v>2226</v>
      </c>
      <c r="E74" s="529" t="s">
        <v>2226</v>
      </c>
      <c r="F74" s="529" t="s">
        <v>2226</v>
      </c>
      <c r="G74" s="529" t="s">
        <v>2226</v>
      </c>
      <c r="H74" s="529" t="s">
        <v>2226</v>
      </c>
      <c r="I74" s="529" t="s">
        <v>2226</v>
      </c>
      <c r="J74" s="529" t="s">
        <v>2226</v>
      </c>
      <c r="K74" s="529" t="s">
        <v>2226</v>
      </c>
      <c r="L74" s="529" t="s">
        <v>2226</v>
      </c>
      <c r="M74" s="529" t="s">
        <v>2226</v>
      </c>
      <c r="N74" s="529" t="s">
        <v>2226</v>
      </c>
      <c r="O74" s="529" t="s">
        <v>2226</v>
      </c>
      <c r="P74" s="529" t="s">
        <v>2226</v>
      </c>
      <c r="Q74" s="529" t="s">
        <v>2226</v>
      </c>
      <c r="R74" s="529" t="s">
        <v>2226</v>
      </c>
      <c r="S74" s="529" t="s">
        <v>2226</v>
      </c>
      <c r="T74" s="529" t="s">
        <v>2226</v>
      </c>
      <c r="V74" s="509">
        <v>5</v>
      </c>
      <c r="W74" s="509"/>
      <c r="X74" s="509"/>
      <c r="Y74" s="509"/>
      <c r="Z74" s="509"/>
      <c r="AA74" s="509"/>
      <c r="AB74" s="509"/>
      <c r="AC74" s="509"/>
      <c r="AD74" s="509"/>
      <c r="AE74" s="509"/>
      <c r="AG74" s="143" t="str">
        <f>IF(W74&lt;&gt;"",VLOOKUP(W74,道具ID!$B$206:$D$296,3,FALSE),"")</f>
        <v/>
      </c>
      <c r="AH74" s="143" t="str">
        <f>IF(X74&lt;&gt;"",VLOOKUP(X74,道具ID!$B$206:$D$296,3,FALSE),"")</f>
        <v/>
      </c>
      <c r="AI74" s="143" t="str">
        <f>IF(Y74&lt;&gt;"",VLOOKUP(Y74,道具ID!$B$206:$D$296,3,FALSE),"")</f>
        <v/>
      </c>
      <c r="AJ74" s="143" t="str">
        <f>IF(Z74&lt;&gt;"",VLOOKUP(Z74,道具ID!$B$206:$D$296,3,FALSE),"")</f>
        <v/>
      </c>
      <c r="AK74" s="143" t="str">
        <f>IF(AA74&lt;&gt;"",VLOOKUP(AA74,道具ID!$B$206:$D$296,3,FALSE),"")</f>
        <v/>
      </c>
      <c r="AL74" s="143" t="str">
        <f>IF(AB74&lt;&gt;"",VLOOKUP(AB74,道具ID!$B$206:$D$296,3,FALSE),"")</f>
        <v/>
      </c>
      <c r="AM74" s="143" t="str">
        <f>IF(AC74&lt;&gt;"",VLOOKUP(AC74,道具ID!$B$206:$D$296,3,FALSE),"")</f>
        <v/>
      </c>
      <c r="AN74" s="143" t="str">
        <f>IF(AD74&lt;&gt;"",VLOOKUP(AD74,道具ID!$B$206:$D$296,3,FALSE),"")</f>
        <v/>
      </c>
      <c r="AO74" s="143" t="str">
        <f>IF(AE74&lt;&gt;"",VLOOKUP(AE74,道具ID!$B$206:$D$296,3,FALSE),"")</f>
        <v/>
      </c>
    </row>
    <row r="75" spans="2:43" x14ac:dyDescent="0.35">
      <c r="B75" s="488">
        <v>6</v>
      </c>
      <c r="C75" s="529" t="s">
        <v>2227</v>
      </c>
      <c r="D75" s="529" t="s">
        <v>2226</v>
      </c>
      <c r="E75" s="529" t="s">
        <v>2227</v>
      </c>
      <c r="F75" s="529" t="s">
        <v>2226</v>
      </c>
      <c r="G75" s="529" t="s">
        <v>2227</v>
      </c>
      <c r="H75" s="529" t="s">
        <v>2226</v>
      </c>
      <c r="I75" s="529" t="s">
        <v>2227</v>
      </c>
      <c r="J75" s="529" t="s">
        <v>2226</v>
      </c>
      <c r="K75" s="529" t="s">
        <v>2227</v>
      </c>
      <c r="L75" s="529" t="s">
        <v>2226</v>
      </c>
      <c r="M75" s="529" t="s">
        <v>2227</v>
      </c>
      <c r="N75" s="529" t="s">
        <v>2226</v>
      </c>
      <c r="O75" s="529" t="s">
        <v>2227</v>
      </c>
      <c r="P75" s="529" t="s">
        <v>2226</v>
      </c>
      <c r="Q75" s="529" t="s">
        <v>2227</v>
      </c>
      <c r="R75" s="529" t="s">
        <v>2226</v>
      </c>
      <c r="S75" s="529" t="s">
        <v>2227</v>
      </c>
      <c r="T75" s="529" t="s">
        <v>2226</v>
      </c>
      <c r="V75" s="509">
        <v>6</v>
      </c>
      <c r="W75" s="529" t="s">
        <v>2276</v>
      </c>
      <c r="X75" s="529" t="s">
        <v>2278</v>
      </c>
      <c r="Y75" s="529" t="s">
        <v>2280</v>
      </c>
      <c r="Z75" s="529" t="s">
        <v>2282</v>
      </c>
      <c r="AA75" s="529" t="s">
        <v>2284</v>
      </c>
      <c r="AB75" s="529" t="s">
        <v>2286</v>
      </c>
      <c r="AC75" s="529" t="s">
        <v>2288</v>
      </c>
      <c r="AD75" s="529" t="s">
        <v>2290</v>
      </c>
      <c r="AE75" s="529" t="s">
        <v>2292</v>
      </c>
      <c r="AG75" s="143">
        <f>IF(W75&lt;&gt;"",VLOOKUP(W75,道具ID!$B$206:$D$296,3,FALSE),"")</f>
        <v>3110</v>
      </c>
      <c r="AH75" s="143">
        <f>IF(X75&lt;&gt;"",VLOOKUP(X75,道具ID!$B$206:$D$296,3,FALSE),"")</f>
        <v>3130</v>
      </c>
      <c r="AI75" s="143">
        <f>IF(Y75&lt;&gt;"",VLOOKUP(Y75,道具ID!$B$206:$D$296,3,FALSE),"")</f>
        <v>3150</v>
      </c>
      <c r="AJ75" s="143">
        <f>IF(Z75&lt;&gt;"",VLOOKUP(Z75,道具ID!$B$206:$D$296,3,FALSE),"")</f>
        <v>3210</v>
      </c>
      <c r="AK75" s="143">
        <f>IF(AA75&lt;&gt;"",VLOOKUP(AA75,道具ID!$B$206:$D$296,3,FALSE),"")</f>
        <v>3230</v>
      </c>
      <c r="AL75" s="143">
        <f>IF(AB75&lt;&gt;"",VLOOKUP(AB75,道具ID!$B$206:$D$296,3,FALSE),"")</f>
        <v>3250</v>
      </c>
      <c r="AM75" s="143">
        <f>IF(AC75&lt;&gt;"",VLOOKUP(AC75,道具ID!$B$206:$D$296,3,FALSE),"")</f>
        <v>3310</v>
      </c>
      <c r="AN75" s="143">
        <f>IF(AD75&lt;&gt;"",VLOOKUP(AD75,道具ID!$B$206:$D$296,3,FALSE),"")</f>
        <v>3330</v>
      </c>
      <c r="AO75" s="143">
        <f>IF(AE75&lt;&gt;"",VLOOKUP(AE75,道具ID!$B$206:$D$296,3,FALSE),"")</f>
        <v>3350</v>
      </c>
      <c r="AQ75" s="143" t="str">
        <f t="shared" si="4"/>
        <v>[3110,3130,3150,3210,3230,3250,3310,3330,3350]</v>
      </c>
    </row>
    <row r="76" spans="2:43" x14ac:dyDescent="0.35">
      <c r="B76" s="488">
        <v>7</v>
      </c>
      <c r="C76" s="529" t="s">
        <v>2227</v>
      </c>
      <c r="D76" s="529" t="s">
        <v>2227</v>
      </c>
      <c r="E76" s="529" t="s">
        <v>2227</v>
      </c>
      <c r="F76" s="529" t="s">
        <v>2227</v>
      </c>
      <c r="G76" s="529" t="s">
        <v>2227</v>
      </c>
      <c r="H76" s="529" t="s">
        <v>2227</v>
      </c>
      <c r="I76" s="529" t="s">
        <v>2227</v>
      </c>
      <c r="J76" s="529" t="s">
        <v>2227</v>
      </c>
      <c r="K76" s="529" t="s">
        <v>2227</v>
      </c>
      <c r="L76" s="529" t="s">
        <v>2227</v>
      </c>
      <c r="M76" s="529" t="s">
        <v>2227</v>
      </c>
      <c r="N76" s="529" t="s">
        <v>2227</v>
      </c>
      <c r="O76" s="529" t="s">
        <v>2227</v>
      </c>
      <c r="P76" s="529" t="s">
        <v>2227</v>
      </c>
      <c r="Q76" s="529" t="s">
        <v>2227</v>
      </c>
      <c r="R76" s="529" t="s">
        <v>2227</v>
      </c>
      <c r="S76" s="529" t="s">
        <v>2227</v>
      </c>
      <c r="T76" s="529" t="s">
        <v>2227</v>
      </c>
      <c r="V76" s="509">
        <v>7</v>
      </c>
      <c r="W76" s="529" t="s">
        <v>2277</v>
      </c>
      <c r="X76" s="529" t="s">
        <v>2279</v>
      </c>
      <c r="Y76" s="529" t="s">
        <v>2281</v>
      </c>
      <c r="Z76" s="529" t="s">
        <v>2283</v>
      </c>
      <c r="AA76" s="529" t="s">
        <v>2285</v>
      </c>
      <c r="AB76" s="529" t="s">
        <v>2287</v>
      </c>
      <c r="AC76" s="529" t="s">
        <v>2289</v>
      </c>
      <c r="AD76" s="529" t="s">
        <v>2291</v>
      </c>
      <c r="AE76" s="529" t="s">
        <v>2293</v>
      </c>
      <c r="AG76" s="143">
        <f>IF(W76&lt;&gt;"",VLOOKUP(W76,道具ID!$B$206:$D$296,3,FALSE),"")</f>
        <v>3120</v>
      </c>
      <c r="AH76" s="143">
        <f>IF(X76&lt;&gt;"",VLOOKUP(X76,道具ID!$B$206:$D$296,3,FALSE),"")</f>
        <v>3140</v>
      </c>
      <c r="AI76" s="143">
        <f>IF(Y76&lt;&gt;"",VLOOKUP(Y76,道具ID!$B$206:$D$296,3,FALSE),"")</f>
        <v>3160</v>
      </c>
      <c r="AJ76" s="143">
        <f>IF(Z76&lt;&gt;"",VLOOKUP(Z76,道具ID!$B$206:$D$296,3,FALSE),"")</f>
        <v>3220</v>
      </c>
      <c r="AK76" s="143">
        <f>IF(AA76&lt;&gt;"",VLOOKUP(AA76,道具ID!$B$206:$D$296,3,FALSE),"")</f>
        <v>3240</v>
      </c>
      <c r="AL76" s="143">
        <f>IF(AB76&lt;&gt;"",VLOOKUP(AB76,道具ID!$B$206:$D$296,3,FALSE),"")</f>
        <v>3260</v>
      </c>
      <c r="AM76" s="143">
        <f>IF(AC76&lt;&gt;"",VLOOKUP(AC76,道具ID!$B$206:$D$296,3,FALSE),"")</f>
        <v>3320</v>
      </c>
      <c r="AN76" s="143">
        <f>IF(AD76&lt;&gt;"",VLOOKUP(AD76,道具ID!$B$206:$D$296,3,FALSE),"")</f>
        <v>3340</v>
      </c>
      <c r="AO76" s="143">
        <f>IF(AE76&lt;&gt;"",VLOOKUP(AE76,道具ID!$B$206:$D$296,3,FALSE),"")</f>
        <v>3360</v>
      </c>
      <c r="AQ76" s="143" t="str">
        <f t="shared" si="4"/>
        <v>[3120,3140,3160,3220,3240,3260,3320,3340,3360]</v>
      </c>
    </row>
    <row r="77" spans="2:43" x14ac:dyDescent="0.35">
      <c r="B77" s="488">
        <v>8</v>
      </c>
      <c r="C77" s="529" t="s">
        <v>2227</v>
      </c>
      <c r="D77" s="529" t="s">
        <v>2227</v>
      </c>
      <c r="E77" s="529" t="s">
        <v>2227</v>
      </c>
      <c r="F77" s="529" t="s">
        <v>2227</v>
      </c>
      <c r="G77" s="529" t="s">
        <v>2227</v>
      </c>
      <c r="H77" s="529" t="s">
        <v>2227</v>
      </c>
      <c r="I77" s="529" t="s">
        <v>2227</v>
      </c>
      <c r="J77" s="529" t="s">
        <v>2227</v>
      </c>
      <c r="K77" s="529" t="s">
        <v>2227</v>
      </c>
      <c r="L77" s="529" t="s">
        <v>2227</v>
      </c>
      <c r="M77" s="529" t="s">
        <v>2227</v>
      </c>
      <c r="N77" s="529" t="s">
        <v>2227</v>
      </c>
      <c r="O77" s="529" t="s">
        <v>2227</v>
      </c>
      <c r="P77" s="529" t="s">
        <v>2227</v>
      </c>
      <c r="Q77" s="529" t="s">
        <v>2227</v>
      </c>
      <c r="R77" s="529" t="s">
        <v>2227</v>
      </c>
      <c r="S77" s="529" t="s">
        <v>2227</v>
      </c>
      <c r="T77" s="529" t="s">
        <v>2227</v>
      </c>
      <c r="V77" s="509">
        <v>8</v>
      </c>
      <c r="W77" s="509"/>
      <c r="X77" s="509"/>
      <c r="Y77" s="509"/>
      <c r="Z77" s="509"/>
      <c r="AA77" s="509"/>
      <c r="AB77" s="509"/>
      <c r="AC77" s="509"/>
      <c r="AD77" s="509"/>
      <c r="AE77" s="509"/>
      <c r="AG77" s="143" t="str">
        <f>IF(W77&lt;&gt;"",VLOOKUP(W77,道具ID!$B$206:$D$296,3,FALSE),"")</f>
        <v/>
      </c>
      <c r="AH77" s="143" t="str">
        <f>IF(X77&lt;&gt;"",VLOOKUP(X77,道具ID!$B$206:$D$296,3,FALSE),"")</f>
        <v/>
      </c>
      <c r="AI77" s="143" t="str">
        <f>IF(Y77&lt;&gt;"",VLOOKUP(Y77,道具ID!$B$206:$D$296,3,FALSE),"")</f>
        <v/>
      </c>
      <c r="AJ77" s="143" t="str">
        <f>IF(Z77&lt;&gt;"",VLOOKUP(Z77,道具ID!$B$206:$D$296,3,FALSE),"")</f>
        <v/>
      </c>
      <c r="AK77" s="143" t="str">
        <f>IF(AA77&lt;&gt;"",VLOOKUP(AA77,道具ID!$B$206:$D$296,3,FALSE),"")</f>
        <v/>
      </c>
      <c r="AL77" s="143" t="str">
        <f>IF(AB77&lt;&gt;"",VLOOKUP(AB77,道具ID!$B$206:$D$296,3,FALSE),"")</f>
        <v/>
      </c>
      <c r="AM77" s="143" t="str">
        <f>IF(AC77&lt;&gt;"",VLOOKUP(AC77,道具ID!$B$206:$D$296,3,FALSE),"")</f>
        <v/>
      </c>
      <c r="AN77" s="143" t="str">
        <f>IF(AD77&lt;&gt;"",VLOOKUP(AD77,道具ID!$B$206:$D$296,3,FALSE),"")</f>
        <v/>
      </c>
      <c r="AO77" s="143" t="str">
        <f>IF(AE77&lt;&gt;"",VLOOKUP(AE77,道具ID!$B$206:$D$296,3,FALSE),"")</f>
        <v/>
      </c>
    </row>
    <row r="78" spans="2:43" x14ac:dyDescent="0.35">
      <c r="B78" s="488">
        <v>9</v>
      </c>
      <c r="C78" s="661" t="s">
        <v>2227</v>
      </c>
      <c r="D78" s="661" t="s">
        <v>2227</v>
      </c>
      <c r="E78" s="661" t="s">
        <v>2227</v>
      </c>
      <c r="F78" s="661" t="s">
        <v>2227</v>
      </c>
      <c r="G78" s="661" t="s">
        <v>2227</v>
      </c>
      <c r="H78" s="661" t="s">
        <v>2227</v>
      </c>
      <c r="I78" s="661" t="s">
        <v>2227</v>
      </c>
      <c r="J78" s="661" t="s">
        <v>2227</v>
      </c>
      <c r="K78" s="661" t="s">
        <v>2227</v>
      </c>
      <c r="L78" s="661" t="s">
        <v>2227</v>
      </c>
      <c r="M78" s="661" t="s">
        <v>2227</v>
      </c>
      <c r="N78" s="661" t="s">
        <v>2227</v>
      </c>
      <c r="O78" s="661" t="s">
        <v>2227</v>
      </c>
      <c r="P78" s="661" t="s">
        <v>2227</v>
      </c>
      <c r="Q78" s="661" t="s">
        <v>2227</v>
      </c>
      <c r="R78" s="661" t="s">
        <v>2227</v>
      </c>
      <c r="S78" s="661" t="s">
        <v>2227</v>
      </c>
      <c r="T78" s="661" t="s">
        <v>2227</v>
      </c>
      <c r="V78" s="509">
        <v>9</v>
      </c>
      <c r="W78" s="529"/>
      <c r="X78" s="529"/>
      <c r="Y78" s="529"/>
      <c r="Z78" s="529"/>
      <c r="AA78" s="529"/>
      <c r="AB78" s="529"/>
      <c r="AC78" s="529"/>
      <c r="AD78" s="529"/>
      <c r="AE78" s="529"/>
      <c r="AG78" s="143" t="str">
        <f>IF(W78&lt;&gt;"",VLOOKUP(W78,道具ID!$B$206:$D$296,3,FALSE),"")</f>
        <v/>
      </c>
      <c r="AH78" s="143" t="str">
        <f>IF(X78&lt;&gt;"",VLOOKUP(X78,道具ID!$B$206:$D$296,3,FALSE),"")</f>
        <v/>
      </c>
      <c r="AI78" s="143" t="str">
        <f>IF(Y78&lt;&gt;"",VLOOKUP(Y78,道具ID!$B$206:$D$296,3,FALSE),"")</f>
        <v/>
      </c>
      <c r="AJ78" s="143" t="str">
        <f>IF(Z78&lt;&gt;"",VLOOKUP(Z78,道具ID!$B$206:$D$296,3,FALSE),"")</f>
        <v/>
      </c>
      <c r="AK78" s="143" t="str">
        <f>IF(AA78&lt;&gt;"",VLOOKUP(AA78,道具ID!$B$206:$D$296,3,FALSE),"")</f>
        <v/>
      </c>
      <c r="AL78" s="143" t="str">
        <f>IF(AB78&lt;&gt;"",VLOOKUP(AB78,道具ID!$B$206:$D$296,3,FALSE),"")</f>
        <v/>
      </c>
      <c r="AM78" s="143" t="str">
        <f>IF(AC78&lt;&gt;"",VLOOKUP(AC78,道具ID!$B$206:$D$296,3,FALSE),"")</f>
        <v/>
      </c>
      <c r="AN78" s="143" t="str">
        <f>IF(AD78&lt;&gt;"",VLOOKUP(AD78,道具ID!$B$206:$D$296,3,FALSE),"")</f>
        <v/>
      </c>
      <c r="AO78" s="143" t="str">
        <f>IF(AE78&lt;&gt;"",VLOOKUP(AE78,道具ID!$B$206:$D$296,3,FALSE),"")</f>
        <v/>
      </c>
    </row>
    <row r="79" spans="2:43" x14ac:dyDescent="0.35">
      <c r="B79" s="488">
        <v>10</v>
      </c>
      <c r="C79" s="661" t="s">
        <v>2227</v>
      </c>
      <c r="D79" s="661" t="s">
        <v>2227</v>
      </c>
      <c r="E79" s="661" t="s">
        <v>2227</v>
      </c>
      <c r="F79" s="661" t="s">
        <v>2227</v>
      </c>
      <c r="G79" s="661" t="s">
        <v>2227</v>
      </c>
      <c r="H79" s="661" t="s">
        <v>2227</v>
      </c>
      <c r="I79" s="661" t="s">
        <v>2227</v>
      </c>
      <c r="J79" s="661" t="s">
        <v>2227</v>
      </c>
      <c r="K79" s="661" t="s">
        <v>2227</v>
      </c>
      <c r="L79" s="661" t="s">
        <v>2227</v>
      </c>
      <c r="M79" s="661" t="s">
        <v>2227</v>
      </c>
      <c r="N79" s="661" t="s">
        <v>2227</v>
      </c>
      <c r="O79" s="661" t="s">
        <v>2227</v>
      </c>
      <c r="P79" s="661" t="s">
        <v>2227</v>
      </c>
      <c r="Q79" s="661" t="s">
        <v>2227</v>
      </c>
      <c r="R79" s="661" t="s">
        <v>2227</v>
      </c>
      <c r="S79" s="661" t="s">
        <v>2227</v>
      </c>
      <c r="T79" s="661" t="s">
        <v>2227</v>
      </c>
      <c r="V79" s="509">
        <v>10</v>
      </c>
      <c r="W79" s="529"/>
      <c r="X79" s="529"/>
      <c r="Y79" s="529"/>
      <c r="Z79" s="529"/>
      <c r="AA79" s="529"/>
      <c r="AB79" s="529"/>
      <c r="AC79" s="529"/>
      <c r="AD79" s="529"/>
      <c r="AE79" s="529"/>
      <c r="AG79" s="143" t="str">
        <f>IF(W79&lt;&gt;"",VLOOKUP(W79,道具ID!$B$206:$D$296,3,FALSE),"")</f>
        <v/>
      </c>
      <c r="AH79" s="143" t="str">
        <f>IF(X79&lt;&gt;"",VLOOKUP(X79,道具ID!$B$206:$D$296,3,FALSE),"")</f>
        <v/>
      </c>
      <c r="AI79" s="143" t="str">
        <f>IF(Y79&lt;&gt;"",VLOOKUP(Y79,道具ID!$B$206:$D$296,3,FALSE),"")</f>
        <v/>
      </c>
      <c r="AJ79" s="143" t="str">
        <f>IF(Z79&lt;&gt;"",VLOOKUP(Z79,道具ID!$B$206:$D$296,3,FALSE),"")</f>
        <v/>
      </c>
      <c r="AK79" s="143" t="str">
        <f>IF(AA79&lt;&gt;"",VLOOKUP(AA79,道具ID!$B$206:$D$296,3,FALSE),"")</f>
        <v/>
      </c>
      <c r="AL79" s="143" t="str">
        <f>IF(AB79&lt;&gt;"",VLOOKUP(AB79,道具ID!$B$206:$D$296,3,FALSE),"")</f>
        <v/>
      </c>
      <c r="AM79" s="143" t="str">
        <f>IF(AC79&lt;&gt;"",VLOOKUP(AC79,道具ID!$B$206:$D$296,3,FALSE),"")</f>
        <v/>
      </c>
      <c r="AN79" s="143" t="str">
        <f>IF(AD79&lt;&gt;"",VLOOKUP(AD79,道具ID!$B$206:$D$296,3,FALSE),"")</f>
        <v/>
      </c>
      <c r="AO79" s="143" t="str">
        <f>IF(AE79&lt;&gt;"",VLOOKUP(AE79,道具ID!$B$206:$D$296,3,FALSE),"")</f>
        <v/>
      </c>
    </row>
    <row r="80" spans="2:43" x14ac:dyDescent="0.35">
      <c r="B80" s="152"/>
      <c r="R80" s="146"/>
    </row>
    <row r="81" spans="1:31" x14ac:dyDescent="0.35">
      <c r="B81" s="154"/>
      <c r="C81" s="146"/>
      <c r="R81" s="146"/>
    </row>
    <row r="82" spans="1:31" x14ac:dyDescent="0.35">
      <c r="B82" s="145" t="s">
        <v>597</v>
      </c>
      <c r="C82" s="156" t="s">
        <v>851</v>
      </c>
      <c r="D82" s="156" t="s">
        <v>905</v>
      </c>
      <c r="E82" s="558" t="s">
        <v>2568</v>
      </c>
      <c r="F82" s="224" t="s">
        <v>1166</v>
      </c>
      <c r="G82" s="167" t="s">
        <v>947</v>
      </c>
      <c r="H82" s="167" t="s">
        <v>949</v>
      </c>
      <c r="I82" s="167" t="s">
        <v>950</v>
      </c>
      <c r="J82" s="224" t="s">
        <v>1168</v>
      </c>
      <c r="K82" s="224" t="s">
        <v>1170</v>
      </c>
      <c r="L82" s="224" t="s">
        <v>1169</v>
      </c>
      <c r="M82" s="558" t="s">
        <v>2569</v>
      </c>
      <c r="N82" s="558" t="s">
        <v>2570</v>
      </c>
      <c r="P82" s="731" t="s">
        <v>3345</v>
      </c>
      <c r="Q82" s="731"/>
      <c r="R82" s="731"/>
      <c r="S82" s="731"/>
      <c r="T82" s="731"/>
      <c r="U82" s="731"/>
      <c r="V82" s="731"/>
      <c r="W82" s="731"/>
      <c r="X82" s="731"/>
      <c r="Y82" s="731"/>
      <c r="Z82" s="731"/>
      <c r="AA82" s="731"/>
      <c r="AB82" s="731"/>
      <c r="AC82" s="731"/>
      <c r="AD82" s="731"/>
      <c r="AE82" s="731"/>
    </row>
    <row r="83" spans="1:31" x14ac:dyDescent="0.35">
      <c r="B83" s="145">
        <v>1</v>
      </c>
      <c r="C83" s="156" t="s">
        <v>852</v>
      </c>
      <c r="D83" s="8">
        <v>1</v>
      </c>
      <c r="E83" s="8">
        <v>600</v>
      </c>
      <c r="F83" s="165">
        <f t="shared" ref="F83:F106" si="5">E83*$C$5*0.75</f>
        <v>9000</v>
      </c>
      <c r="G83" s="149">
        <f>ROUND(F83/$C$13/5,0)*5</f>
        <v>225</v>
      </c>
      <c r="H83" s="149">
        <f>G83*$N$16</f>
        <v>6750</v>
      </c>
      <c r="I83" s="149">
        <f t="shared" ref="I83:I106" si="6">$N$14*G83</f>
        <v>8999.9999999999909</v>
      </c>
      <c r="J83" s="149">
        <f t="shared" ref="J83:J106" si="7">G83*$N$15</f>
        <v>2250</v>
      </c>
      <c r="K83" s="149">
        <f t="shared" ref="K83:K106" si="8">G83*$N$17</f>
        <v>1218.75</v>
      </c>
      <c r="L83" s="149">
        <f>H83+I83+J83+K83</f>
        <v>19218.749999999993</v>
      </c>
      <c r="M83" s="8">
        <v>400</v>
      </c>
      <c r="N83" s="554">
        <f>E83-M83</f>
        <v>200</v>
      </c>
      <c r="P83" s="704" t="s">
        <v>597</v>
      </c>
      <c r="Q83" s="705" t="s">
        <v>1087</v>
      </c>
      <c r="R83" s="705" t="s">
        <v>1088</v>
      </c>
      <c r="S83" s="705" t="s">
        <v>1089</v>
      </c>
      <c r="T83" s="705" t="s">
        <v>1090</v>
      </c>
      <c r="U83" s="705" t="s">
        <v>1091</v>
      </c>
      <c r="V83" s="705" t="s">
        <v>1092</v>
      </c>
      <c r="W83" s="705" t="s">
        <v>1093</v>
      </c>
      <c r="X83" s="705" t="s">
        <v>1094</v>
      </c>
      <c r="Y83" s="705" t="s">
        <v>1095</v>
      </c>
      <c r="Z83" s="702" t="s">
        <v>1096</v>
      </c>
      <c r="AA83" s="702" t="s">
        <v>1097</v>
      </c>
      <c r="AB83" s="702" t="s">
        <v>1098</v>
      </c>
      <c r="AC83" s="696" t="s">
        <v>3346</v>
      </c>
      <c r="AD83" s="696" t="s">
        <v>3347</v>
      </c>
      <c r="AE83" s="696" t="s">
        <v>3348</v>
      </c>
    </row>
    <row r="84" spans="1:31" x14ac:dyDescent="0.35">
      <c r="B84" s="145">
        <v>2</v>
      </c>
      <c r="C84" s="156" t="s">
        <v>852</v>
      </c>
      <c r="D84" s="8">
        <v>1.08</v>
      </c>
      <c r="E84" s="165">
        <f>ROUND($E$83*D84/10,0)*10</f>
        <v>650</v>
      </c>
      <c r="F84" s="165">
        <f t="shared" si="5"/>
        <v>9750</v>
      </c>
      <c r="G84" s="149">
        <f t="shared" ref="G84:G106" si="9">ROUND(F84/$C$13/5,0)*5</f>
        <v>245</v>
      </c>
      <c r="H84" s="149">
        <f t="shared" ref="H84:H106" si="10">G84*$N$16</f>
        <v>7350</v>
      </c>
      <c r="I84" s="149">
        <f t="shared" si="6"/>
        <v>9799.9999999999891</v>
      </c>
      <c r="J84" s="149">
        <f t="shared" si="7"/>
        <v>2450</v>
      </c>
      <c r="K84" s="149">
        <f t="shared" si="8"/>
        <v>1327.0833333333335</v>
      </c>
      <c r="L84" s="149">
        <f t="shared" ref="L84:L106" si="11">H84+I84+J84+K84</f>
        <v>20927.083333333321</v>
      </c>
      <c r="M84" s="554">
        <f>ROUNDUP($M$83*D84/10,0)*10</f>
        <v>440</v>
      </c>
      <c r="N84" s="572">
        <f t="shared" ref="N84:N106" si="12">E84-M84</f>
        <v>210</v>
      </c>
      <c r="P84" s="697">
        <v>1</v>
      </c>
      <c r="Q84" s="8">
        <v>0.5</v>
      </c>
      <c r="R84" s="8">
        <v>0</v>
      </c>
      <c r="S84" s="8">
        <v>0</v>
      </c>
      <c r="T84" s="8">
        <v>0</v>
      </c>
      <c r="U84" s="8">
        <v>0</v>
      </c>
      <c r="V84" s="8">
        <v>0</v>
      </c>
      <c r="W84" s="8">
        <v>0</v>
      </c>
      <c r="X84" s="8">
        <v>0</v>
      </c>
      <c r="Y84" s="8">
        <v>0</v>
      </c>
      <c r="Z84" s="8">
        <v>0</v>
      </c>
      <c r="AA84" s="8">
        <v>0</v>
      </c>
      <c r="AB84" s="8">
        <v>0</v>
      </c>
      <c r="AC84" s="8">
        <v>0.5</v>
      </c>
      <c r="AD84" s="8">
        <v>0</v>
      </c>
      <c r="AE84" s="8">
        <v>0</v>
      </c>
    </row>
    <row r="85" spans="1:31" x14ac:dyDescent="0.35">
      <c r="B85" s="145">
        <v>3</v>
      </c>
      <c r="C85" s="156" t="s">
        <v>852</v>
      </c>
      <c r="D85" s="8">
        <v>1.17</v>
      </c>
      <c r="E85" s="257">
        <f t="shared" ref="E85:E106" si="13">ROUND($E$83*D85/10,0)*10</f>
        <v>700</v>
      </c>
      <c r="F85" s="165">
        <f t="shared" si="5"/>
        <v>10500</v>
      </c>
      <c r="G85" s="149">
        <f t="shared" si="9"/>
        <v>265</v>
      </c>
      <c r="H85" s="149">
        <f t="shared" si="10"/>
        <v>7950</v>
      </c>
      <c r="I85" s="149">
        <f t="shared" si="6"/>
        <v>10599.999999999989</v>
      </c>
      <c r="J85" s="149">
        <f t="shared" si="7"/>
        <v>2650</v>
      </c>
      <c r="K85" s="149">
        <f t="shared" si="8"/>
        <v>1435.4166666666667</v>
      </c>
      <c r="L85" s="149">
        <f t="shared" si="11"/>
        <v>22635.416666666657</v>
      </c>
      <c r="M85" s="572">
        <f t="shared" ref="M85:M106" si="14">ROUNDUP($M$83*D85/10,0)*10</f>
        <v>470</v>
      </c>
      <c r="N85" s="572">
        <f t="shared" si="12"/>
        <v>230</v>
      </c>
      <c r="P85" s="697">
        <v>2</v>
      </c>
      <c r="Q85" s="8">
        <v>0.25</v>
      </c>
      <c r="R85" s="8">
        <v>0.25</v>
      </c>
      <c r="S85" s="8">
        <v>0</v>
      </c>
      <c r="T85" s="8">
        <v>0</v>
      </c>
      <c r="U85" s="8">
        <v>0</v>
      </c>
      <c r="V85" s="8">
        <v>0</v>
      </c>
      <c r="W85" s="8">
        <v>0</v>
      </c>
      <c r="X85" s="8">
        <v>0</v>
      </c>
      <c r="Y85" s="8">
        <v>0</v>
      </c>
      <c r="Z85" s="8">
        <v>0</v>
      </c>
      <c r="AA85" s="8">
        <v>0</v>
      </c>
      <c r="AB85" s="8">
        <v>0</v>
      </c>
      <c r="AC85" s="8">
        <v>0.5</v>
      </c>
      <c r="AD85" s="8">
        <v>0</v>
      </c>
      <c r="AE85" s="8">
        <v>0</v>
      </c>
    </row>
    <row r="86" spans="1:31" x14ac:dyDescent="0.35">
      <c r="B86" s="145">
        <v>4</v>
      </c>
      <c r="C86" s="156" t="s">
        <v>852</v>
      </c>
      <c r="D86" s="8">
        <v>1.25</v>
      </c>
      <c r="E86" s="257">
        <f t="shared" si="13"/>
        <v>750</v>
      </c>
      <c r="F86" s="165">
        <f t="shared" si="5"/>
        <v>11250</v>
      </c>
      <c r="G86" s="149">
        <f t="shared" si="9"/>
        <v>280</v>
      </c>
      <c r="H86" s="149">
        <f t="shared" si="10"/>
        <v>8400</v>
      </c>
      <c r="I86" s="149">
        <f t="shared" si="6"/>
        <v>11199.999999999987</v>
      </c>
      <c r="J86" s="149">
        <f t="shared" si="7"/>
        <v>2800</v>
      </c>
      <c r="K86" s="149">
        <f t="shared" si="8"/>
        <v>1516.6666666666667</v>
      </c>
      <c r="L86" s="149">
        <f t="shared" si="11"/>
        <v>23916.666666666653</v>
      </c>
      <c r="M86" s="572">
        <f t="shared" si="14"/>
        <v>500</v>
      </c>
      <c r="N86" s="572">
        <f t="shared" si="12"/>
        <v>250</v>
      </c>
      <c r="P86" s="697">
        <v>3</v>
      </c>
      <c r="Q86" s="8">
        <v>0.2</v>
      </c>
      <c r="R86" s="8">
        <v>0.2</v>
      </c>
      <c r="S86" s="8">
        <v>0.2</v>
      </c>
      <c r="T86" s="8">
        <v>0</v>
      </c>
      <c r="U86" s="8">
        <v>0</v>
      </c>
      <c r="V86" s="8">
        <v>0</v>
      </c>
      <c r="W86" s="8">
        <v>0</v>
      </c>
      <c r="X86" s="8">
        <v>0</v>
      </c>
      <c r="Y86" s="8">
        <v>0</v>
      </c>
      <c r="Z86" s="8">
        <v>0</v>
      </c>
      <c r="AA86" s="8">
        <v>0</v>
      </c>
      <c r="AB86" s="8">
        <v>0</v>
      </c>
      <c r="AC86" s="8">
        <v>0.2</v>
      </c>
      <c r="AD86" s="8">
        <v>0.2</v>
      </c>
      <c r="AE86" s="8">
        <v>0</v>
      </c>
    </row>
    <row r="87" spans="1:31" x14ac:dyDescent="0.35">
      <c r="B87" s="145">
        <v>5</v>
      </c>
      <c r="C87" s="156" t="s">
        <v>852</v>
      </c>
      <c r="D87" s="8">
        <v>1.33</v>
      </c>
      <c r="E87" s="257">
        <f t="shared" si="13"/>
        <v>800</v>
      </c>
      <c r="F87" s="165">
        <f t="shared" si="5"/>
        <v>12000</v>
      </c>
      <c r="G87" s="149">
        <f t="shared" si="9"/>
        <v>300</v>
      </c>
      <c r="H87" s="149">
        <f t="shared" si="10"/>
        <v>9000</v>
      </c>
      <c r="I87" s="149">
        <f t="shared" si="6"/>
        <v>11999.999999999987</v>
      </c>
      <c r="J87" s="149">
        <f t="shared" si="7"/>
        <v>3000</v>
      </c>
      <c r="K87" s="149">
        <f t="shared" si="8"/>
        <v>1625</v>
      </c>
      <c r="L87" s="149">
        <f t="shared" si="11"/>
        <v>25624.999999999985</v>
      </c>
      <c r="M87" s="572">
        <f t="shared" si="14"/>
        <v>540</v>
      </c>
      <c r="N87" s="572">
        <f t="shared" si="12"/>
        <v>260</v>
      </c>
      <c r="P87" s="697">
        <v>4</v>
      </c>
      <c r="Q87" s="8">
        <v>0.2</v>
      </c>
      <c r="R87" s="8">
        <v>0.2</v>
      </c>
      <c r="S87" s="8">
        <v>0.2</v>
      </c>
      <c r="T87" s="8">
        <v>0</v>
      </c>
      <c r="U87" s="8">
        <v>0</v>
      </c>
      <c r="V87" s="8">
        <v>0</v>
      </c>
      <c r="W87" s="8">
        <v>0</v>
      </c>
      <c r="X87" s="8">
        <v>0</v>
      </c>
      <c r="Y87" s="8">
        <v>0</v>
      </c>
      <c r="Z87" s="8">
        <v>0</v>
      </c>
      <c r="AA87" s="8">
        <v>0</v>
      </c>
      <c r="AB87" s="8">
        <v>0</v>
      </c>
      <c r="AC87" s="8">
        <v>0.2</v>
      </c>
      <c r="AD87" s="8">
        <v>0.2</v>
      </c>
      <c r="AE87" s="8">
        <v>0</v>
      </c>
    </row>
    <row r="88" spans="1:31" x14ac:dyDescent="0.35">
      <c r="B88" s="145">
        <v>6</v>
      </c>
      <c r="C88" s="156" t="s">
        <v>852</v>
      </c>
      <c r="D88" s="8">
        <v>1.42</v>
      </c>
      <c r="E88" s="257">
        <f t="shared" si="13"/>
        <v>850</v>
      </c>
      <c r="F88" s="165">
        <f t="shared" si="5"/>
        <v>12750</v>
      </c>
      <c r="G88" s="149">
        <f t="shared" si="9"/>
        <v>320</v>
      </c>
      <c r="H88" s="149">
        <f t="shared" si="10"/>
        <v>9600</v>
      </c>
      <c r="I88" s="149">
        <f t="shared" si="6"/>
        <v>12799.999999999985</v>
      </c>
      <c r="J88" s="149">
        <f t="shared" si="7"/>
        <v>3200</v>
      </c>
      <c r="K88" s="149">
        <f t="shared" si="8"/>
        <v>1733.3333333333335</v>
      </c>
      <c r="L88" s="149">
        <f t="shared" si="11"/>
        <v>27333.333333333318</v>
      </c>
      <c r="M88" s="572">
        <f t="shared" si="14"/>
        <v>570</v>
      </c>
      <c r="N88" s="572">
        <f t="shared" si="12"/>
        <v>280</v>
      </c>
      <c r="P88" s="697">
        <v>5</v>
      </c>
      <c r="Q88" s="8">
        <v>0</v>
      </c>
      <c r="R88" s="8">
        <v>0.125</v>
      </c>
      <c r="S88" s="8">
        <v>0.125</v>
      </c>
      <c r="T88" s="8">
        <v>0.125</v>
      </c>
      <c r="U88" s="8">
        <v>0.125</v>
      </c>
      <c r="V88" s="8">
        <v>0</v>
      </c>
      <c r="W88" s="8">
        <v>0</v>
      </c>
      <c r="X88" s="8">
        <v>0</v>
      </c>
      <c r="Y88" s="8">
        <v>0</v>
      </c>
      <c r="Z88" s="8">
        <v>0</v>
      </c>
      <c r="AA88" s="8">
        <v>0</v>
      </c>
      <c r="AB88" s="8">
        <v>0</v>
      </c>
      <c r="AC88" s="8">
        <v>0.25</v>
      </c>
      <c r="AD88" s="8">
        <v>0.25</v>
      </c>
      <c r="AE88" s="8">
        <v>0</v>
      </c>
    </row>
    <row r="89" spans="1:31" x14ac:dyDescent="0.35">
      <c r="A89" s="713" t="s">
        <v>853</v>
      </c>
      <c r="B89" s="145">
        <v>7</v>
      </c>
      <c r="C89" s="156" t="s">
        <v>852</v>
      </c>
      <c r="D89" s="8">
        <v>1.5</v>
      </c>
      <c r="E89" s="257">
        <f t="shared" si="13"/>
        <v>900</v>
      </c>
      <c r="F89" s="165">
        <f t="shared" si="5"/>
        <v>13500</v>
      </c>
      <c r="G89" s="149">
        <f t="shared" si="9"/>
        <v>340</v>
      </c>
      <c r="H89" s="149">
        <f t="shared" si="10"/>
        <v>10200</v>
      </c>
      <c r="I89" s="149">
        <f t="shared" si="6"/>
        <v>13599.999999999985</v>
      </c>
      <c r="J89" s="149">
        <f t="shared" si="7"/>
        <v>3400</v>
      </c>
      <c r="K89" s="149">
        <f t="shared" si="8"/>
        <v>1841.6666666666667</v>
      </c>
      <c r="L89" s="149">
        <f t="shared" si="11"/>
        <v>29041.666666666653</v>
      </c>
      <c r="M89" s="572">
        <f t="shared" si="14"/>
        <v>600</v>
      </c>
      <c r="N89" s="572">
        <f t="shared" si="12"/>
        <v>300</v>
      </c>
      <c r="P89" s="697">
        <v>6</v>
      </c>
      <c r="Q89" s="8">
        <v>0</v>
      </c>
      <c r="R89" s="8">
        <v>0.125</v>
      </c>
      <c r="S89" s="8">
        <v>0.125</v>
      </c>
      <c r="T89" s="8">
        <v>0.125</v>
      </c>
      <c r="U89" s="8">
        <v>0.125</v>
      </c>
      <c r="V89" s="8">
        <v>0</v>
      </c>
      <c r="W89" s="8">
        <v>0</v>
      </c>
      <c r="X89" s="8">
        <v>0</v>
      </c>
      <c r="Y89" s="8">
        <v>0</v>
      </c>
      <c r="Z89" s="8">
        <v>0</v>
      </c>
      <c r="AA89" s="8">
        <v>0</v>
      </c>
      <c r="AB89" s="8">
        <v>0</v>
      </c>
      <c r="AC89" s="8">
        <v>0.1</v>
      </c>
      <c r="AD89" s="8">
        <v>0.2</v>
      </c>
      <c r="AE89" s="8">
        <v>0.2</v>
      </c>
    </row>
    <row r="90" spans="1:31" x14ac:dyDescent="0.35">
      <c r="A90" s="713" t="s">
        <v>853</v>
      </c>
      <c r="B90" s="145">
        <v>8</v>
      </c>
      <c r="C90" s="156" t="s">
        <v>852</v>
      </c>
      <c r="D90" s="8">
        <v>1.58</v>
      </c>
      <c r="E90" s="257">
        <f t="shared" si="13"/>
        <v>950</v>
      </c>
      <c r="F90" s="165">
        <f t="shared" si="5"/>
        <v>14250</v>
      </c>
      <c r="G90" s="149">
        <f t="shared" si="9"/>
        <v>355</v>
      </c>
      <c r="H90" s="149">
        <f t="shared" si="10"/>
        <v>10650</v>
      </c>
      <c r="I90" s="149">
        <f t="shared" si="6"/>
        <v>14199.999999999985</v>
      </c>
      <c r="J90" s="149">
        <f t="shared" si="7"/>
        <v>3550</v>
      </c>
      <c r="K90" s="149">
        <f t="shared" si="8"/>
        <v>1922.9166666666667</v>
      </c>
      <c r="L90" s="149">
        <f t="shared" si="11"/>
        <v>30322.916666666653</v>
      </c>
      <c r="M90" s="572">
        <f t="shared" si="14"/>
        <v>640</v>
      </c>
      <c r="N90" s="572">
        <f t="shared" si="12"/>
        <v>310</v>
      </c>
      <c r="P90" s="697">
        <v>7</v>
      </c>
      <c r="Q90" s="8">
        <v>0</v>
      </c>
      <c r="R90" s="8">
        <v>0</v>
      </c>
      <c r="S90" s="8">
        <v>0.125</v>
      </c>
      <c r="T90" s="8">
        <v>0.125</v>
      </c>
      <c r="U90" s="8">
        <v>0.125</v>
      </c>
      <c r="V90" s="8">
        <v>0</v>
      </c>
      <c r="W90" s="8">
        <v>0</v>
      </c>
      <c r="X90" s="8">
        <v>0</v>
      </c>
      <c r="Y90" s="8">
        <v>0</v>
      </c>
      <c r="Z90" s="8">
        <v>0</v>
      </c>
      <c r="AA90" s="8">
        <v>0</v>
      </c>
      <c r="AB90" s="8">
        <v>0</v>
      </c>
      <c r="AC90" s="8">
        <v>0.1</v>
      </c>
      <c r="AD90" s="8">
        <v>0.2</v>
      </c>
      <c r="AE90" s="8">
        <v>0.2</v>
      </c>
    </row>
    <row r="91" spans="1:31" x14ac:dyDescent="0.35">
      <c r="A91" s="713" t="s">
        <v>853</v>
      </c>
      <c r="B91" s="145">
        <v>9</v>
      </c>
      <c r="C91" s="156" t="s">
        <v>852</v>
      </c>
      <c r="D91" s="8">
        <v>1.67</v>
      </c>
      <c r="E91" s="257">
        <f t="shared" si="13"/>
        <v>1000</v>
      </c>
      <c r="F91" s="165">
        <f t="shared" si="5"/>
        <v>15000</v>
      </c>
      <c r="G91" s="149">
        <f t="shared" si="9"/>
        <v>375</v>
      </c>
      <c r="H91" s="149">
        <f t="shared" si="10"/>
        <v>11250</v>
      </c>
      <c r="I91" s="149">
        <f t="shared" si="6"/>
        <v>14999.999999999984</v>
      </c>
      <c r="J91" s="149">
        <f t="shared" si="7"/>
        <v>3750</v>
      </c>
      <c r="K91" s="149">
        <f t="shared" si="8"/>
        <v>2031.25</v>
      </c>
      <c r="L91" s="149">
        <f t="shared" si="11"/>
        <v>32031.249999999985</v>
      </c>
      <c r="M91" s="572">
        <f t="shared" si="14"/>
        <v>670</v>
      </c>
      <c r="N91" s="572">
        <f t="shared" si="12"/>
        <v>330</v>
      </c>
      <c r="P91" s="697">
        <v>8</v>
      </c>
      <c r="Q91" s="8">
        <v>0</v>
      </c>
      <c r="R91" s="8">
        <v>0</v>
      </c>
      <c r="S91" s="8">
        <v>0.125</v>
      </c>
      <c r="T91" s="8">
        <v>0.125</v>
      </c>
      <c r="U91" s="8">
        <v>0.125</v>
      </c>
      <c r="V91" s="8">
        <v>0</v>
      </c>
      <c r="W91" s="8">
        <v>0.125</v>
      </c>
      <c r="X91" s="8">
        <v>0.125</v>
      </c>
      <c r="Y91" s="8">
        <v>0.125</v>
      </c>
      <c r="Z91" s="8">
        <v>0</v>
      </c>
      <c r="AA91" s="8">
        <v>0</v>
      </c>
      <c r="AB91" s="8">
        <v>0</v>
      </c>
      <c r="AC91" s="8">
        <v>0.1</v>
      </c>
      <c r="AD91" s="8">
        <v>0.2</v>
      </c>
      <c r="AE91" s="8">
        <v>0.2</v>
      </c>
    </row>
    <row r="92" spans="1:31" x14ac:dyDescent="0.35">
      <c r="A92" s="713" t="s">
        <v>853</v>
      </c>
      <c r="B92" s="145">
        <v>10</v>
      </c>
      <c r="C92" s="156" t="s">
        <v>852</v>
      </c>
      <c r="D92" s="8">
        <v>1.75</v>
      </c>
      <c r="E92" s="257">
        <f t="shared" si="13"/>
        <v>1050</v>
      </c>
      <c r="F92" s="165">
        <f t="shared" si="5"/>
        <v>15750</v>
      </c>
      <c r="G92" s="149">
        <f t="shared" si="9"/>
        <v>395</v>
      </c>
      <c r="H92" s="149">
        <f t="shared" si="10"/>
        <v>11850</v>
      </c>
      <c r="I92" s="149">
        <f t="shared" si="6"/>
        <v>15799.999999999984</v>
      </c>
      <c r="J92" s="149">
        <f t="shared" si="7"/>
        <v>3950</v>
      </c>
      <c r="K92" s="149">
        <f t="shared" si="8"/>
        <v>2139.5833333333335</v>
      </c>
      <c r="L92" s="149">
        <f t="shared" si="11"/>
        <v>33739.583333333321</v>
      </c>
      <c r="M92" s="572">
        <f t="shared" si="14"/>
        <v>700</v>
      </c>
      <c r="N92" s="572">
        <f t="shared" si="12"/>
        <v>350</v>
      </c>
      <c r="P92" s="697">
        <v>9</v>
      </c>
      <c r="Q92" s="8">
        <v>0</v>
      </c>
      <c r="R92" s="8">
        <v>0</v>
      </c>
      <c r="S92" s="8">
        <v>0</v>
      </c>
      <c r="T92" s="8">
        <v>0.125</v>
      </c>
      <c r="U92" s="8">
        <v>0.125</v>
      </c>
      <c r="V92" s="8">
        <v>0</v>
      </c>
      <c r="W92" s="8">
        <v>0.125</v>
      </c>
      <c r="X92" s="8">
        <v>0.125</v>
      </c>
      <c r="Y92" s="8">
        <v>0.125</v>
      </c>
      <c r="Z92" s="8">
        <v>0</v>
      </c>
      <c r="AA92" s="8">
        <v>0</v>
      </c>
      <c r="AB92" s="8">
        <v>0</v>
      </c>
      <c r="AC92" s="8">
        <v>0.1</v>
      </c>
      <c r="AD92" s="8">
        <v>0.2</v>
      </c>
      <c r="AE92" s="8">
        <v>0.2</v>
      </c>
    </row>
    <row r="93" spans="1:31" x14ac:dyDescent="0.35">
      <c r="A93" s="713" t="s">
        <v>853</v>
      </c>
      <c r="B93" s="145">
        <v>11</v>
      </c>
      <c r="C93" s="156" t="s">
        <v>852</v>
      </c>
      <c r="D93" s="8">
        <v>1.83</v>
      </c>
      <c r="E93" s="257">
        <f t="shared" si="13"/>
        <v>1100</v>
      </c>
      <c r="F93" s="165">
        <f t="shared" si="5"/>
        <v>16500</v>
      </c>
      <c r="G93" s="149">
        <f t="shared" si="9"/>
        <v>415</v>
      </c>
      <c r="H93" s="149">
        <f t="shared" si="10"/>
        <v>12450</v>
      </c>
      <c r="I93" s="149">
        <f t="shared" si="6"/>
        <v>16599.999999999982</v>
      </c>
      <c r="J93" s="149">
        <f t="shared" si="7"/>
        <v>4150</v>
      </c>
      <c r="K93" s="149">
        <f t="shared" si="8"/>
        <v>2247.916666666667</v>
      </c>
      <c r="L93" s="149">
        <f t="shared" si="11"/>
        <v>35447.91666666665</v>
      </c>
      <c r="M93" s="572">
        <f t="shared" si="14"/>
        <v>740</v>
      </c>
      <c r="N93" s="572">
        <f t="shared" si="12"/>
        <v>360</v>
      </c>
      <c r="P93" s="697">
        <v>10</v>
      </c>
      <c r="Q93" s="8">
        <v>0</v>
      </c>
      <c r="R93" s="8">
        <v>0</v>
      </c>
      <c r="S93" s="8">
        <v>0</v>
      </c>
      <c r="T93" s="8">
        <v>0.125</v>
      </c>
      <c r="U93" s="8">
        <v>0.125</v>
      </c>
      <c r="V93" s="8">
        <v>0</v>
      </c>
      <c r="W93" s="8">
        <v>0.125</v>
      </c>
      <c r="X93" s="8">
        <v>0.125</v>
      </c>
      <c r="Y93" s="8">
        <v>0.125</v>
      </c>
      <c r="Z93" s="8">
        <v>0</v>
      </c>
      <c r="AA93" s="8">
        <v>0</v>
      </c>
      <c r="AB93" s="8">
        <v>0</v>
      </c>
      <c r="AC93" s="8">
        <v>0.1</v>
      </c>
      <c r="AD93" s="8">
        <v>0.2</v>
      </c>
      <c r="AE93" s="8">
        <v>0.2</v>
      </c>
    </row>
    <row r="94" spans="1:31" x14ac:dyDescent="0.35">
      <c r="A94" s="713" t="s">
        <v>853</v>
      </c>
      <c r="B94" s="145">
        <v>12</v>
      </c>
      <c r="C94" s="156" t="s">
        <v>852</v>
      </c>
      <c r="D94" s="8">
        <v>1.92</v>
      </c>
      <c r="E94" s="257">
        <f t="shared" si="13"/>
        <v>1150</v>
      </c>
      <c r="F94" s="165">
        <f t="shared" si="5"/>
        <v>17250</v>
      </c>
      <c r="G94" s="149">
        <f t="shared" si="9"/>
        <v>430</v>
      </c>
      <c r="H94" s="149">
        <f t="shared" si="10"/>
        <v>12900</v>
      </c>
      <c r="I94" s="149">
        <f t="shared" si="6"/>
        <v>17199.999999999982</v>
      </c>
      <c r="J94" s="149">
        <f t="shared" si="7"/>
        <v>4300</v>
      </c>
      <c r="K94" s="149">
        <f t="shared" si="8"/>
        <v>2329.166666666667</v>
      </c>
      <c r="L94" s="149">
        <f t="shared" si="11"/>
        <v>36729.16666666665</v>
      </c>
      <c r="M94" s="572">
        <f t="shared" si="14"/>
        <v>770</v>
      </c>
      <c r="N94" s="572">
        <f t="shared" si="12"/>
        <v>380</v>
      </c>
    </row>
    <row r="95" spans="1:31" x14ac:dyDescent="0.35">
      <c r="B95" s="145">
        <v>13</v>
      </c>
      <c r="C95" s="156" t="s">
        <v>853</v>
      </c>
      <c r="D95" s="8">
        <v>2</v>
      </c>
      <c r="E95" s="257">
        <f t="shared" si="13"/>
        <v>1200</v>
      </c>
      <c r="F95" s="165">
        <f t="shared" si="5"/>
        <v>18000</v>
      </c>
      <c r="G95" s="149">
        <f t="shared" si="9"/>
        <v>450</v>
      </c>
      <c r="H95" s="149">
        <f t="shared" si="10"/>
        <v>13500</v>
      </c>
      <c r="I95" s="149">
        <f t="shared" si="6"/>
        <v>17999.999999999982</v>
      </c>
      <c r="J95" s="149">
        <f t="shared" si="7"/>
        <v>4500</v>
      </c>
      <c r="K95" s="149">
        <f t="shared" si="8"/>
        <v>2437.5</v>
      </c>
      <c r="L95" s="149">
        <f t="shared" si="11"/>
        <v>38437.499999999985</v>
      </c>
      <c r="M95" s="572">
        <f t="shared" si="14"/>
        <v>800</v>
      </c>
      <c r="N95" s="572">
        <f t="shared" si="12"/>
        <v>400</v>
      </c>
      <c r="X95" s="158"/>
    </row>
    <row r="96" spans="1:31" x14ac:dyDescent="0.35">
      <c r="B96" s="145">
        <v>14</v>
      </c>
      <c r="C96" s="156" t="s">
        <v>853</v>
      </c>
      <c r="D96" s="8">
        <v>2.08</v>
      </c>
      <c r="E96" s="257">
        <f t="shared" si="13"/>
        <v>1250</v>
      </c>
      <c r="F96" s="165">
        <f t="shared" si="5"/>
        <v>18750</v>
      </c>
      <c r="G96" s="149">
        <f t="shared" si="9"/>
        <v>470</v>
      </c>
      <c r="H96" s="149">
        <f t="shared" si="10"/>
        <v>14100</v>
      </c>
      <c r="I96" s="149">
        <f t="shared" si="6"/>
        <v>18799.999999999978</v>
      </c>
      <c r="J96" s="149">
        <f t="shared" si="7"/>
        <v>4700</v>
      </c>
      <c r="K96" s="149">
        <f t="shared" si="8"/>
        <v>2545.8333333333335</v>
      </c>
      <c r="L96" s="149">
        <f t="shared" si="11"/>
        <v>40145.833333333314</v>
      </c>
      <c r="M96" s="572">
        <f t="shared" si="14"/>
        <v>840</v>
      </c>
      <c r="N96" s="572">
        <f t="shared" si="12"/>
        <v>410</v>
      </c>
    </row>
    <row r="97" spans="2:14" x14ac:dyDescent="0.35">
      <c r="B97" s="145">
        <v>15</v>
      </c>
      <c r="C97" s="156" t="s">
        <v>853</v>
      </c>
      <c r="D97" s="8">
        <v>2.17</v>
      </c>
      <c r="E97" s="257">
        <f t="shared" si="13"/>
        <v>1300</v>
      </c>
      <c r="F97" s="165">
        <f t="shared" si="5"/>
        <v>19500</v>
      </c>
      <c r="G97" s="149">
        <f t="shared" si="9"/>
        <v>490</v>
      </c>
      <c r="H97" s="149">
        <f t="shared" si="10"/>
        <v>14700</v>
      </c>
      <c r="I97" s="149">
        <f t="shared" si="6"/>
        <v>19599.999999999978</v>
      </c>
      <c r="J97" s="149">
        <f t="shared" si="7"/>
        <v>4900</v>
      </c>
      <c r="K97" s="149">
        <f t="shared" si="8"/>
        <v>2654.166666666667</v>
      </c>
      <c r="L97" s="149">
        <f t="shared" si="11"/>
        <v>41854.166666666642</v>
      </c>
      <c r="M97" s="572">
        <f t="shared" si="14"/>
        <v>870</v>
      </c>
      <c r="N97" s="572">
        <f t="shared" si="12"/>
        <v>430</v>
      </c>
    </row>
    <row r="98" spans="2:14" x14ac:dyDescent="0.35">
      <c r="B98" s="145">
        <v>16</v>
      </c>
      <c r="C98" s="156" t="s">
        <v>853</v>
      </c>
      <c r="D98" s="8">
        <v>2.25</v>
      </c>
      <c r="E98" s="257">
        <f t="shared" si="13"/>
        <v>1350</v>
      </c>
      <c r="F98" s="165">
        <f t="shared" si="5"/>
        <v>20250</v>
      </c>
      <c r="G98" s="149">
        <f t="shared" si="9"/>
        <v>505</v>
      </c>
      <c r="H98" s="149">
        <f t="shared" si="10"/>
        <v>15150</v>
      </c>
      <c r="I98" s="149">
        <f t="shared" si="6"/>
        <v>20199.999999999978</v>
      </c>
      <c r="J98" s="149">
        <f t="shared" si="7"/>
        <v>5050</v>
      </c>
      <c r="K98" s="149">
        <f t="shared" si="8"/>
        <v>2735.416666666667</v>
      </c>
      <c r="L98" s="149">
        <f t="shared" si="11"/>
        <v>43135.416666666642</v>
      </c>
      <c r="M98" s="572">
        <f t="shared" si="14"/>
        <v>900</v>
      </c>
      <c r="N98" s="572">
        <f t="shared" si="12"/>
        <v>450</v>
      </c>
    </row>
    <row r="99" spans="2:14" x14ac:dyDescent="0.35">
      <c r="B99" s="145">
        <v>17</v>
      </c>
      <c r="C99" s="156" t="s">
        <v>853</v>
      </c>
      <c r="D99" s="8">
        <v>2.33</v>
      </c>
      <c r="E99" s="257">
        <f t="shared" si="13"/>
        <v>1400</v>
      </c>
      <c r="F99" s="165">
        <f t="shared" si="5"/>
        <v>21000</v>
      </c>
      <c r="G99" s="149">
        <f t="shared" si="9"/>
        <v>525</v>
      </c>
      <c r="H99" s="149">
        <f t="shared" si="10"/>
        <v>15750</v>
      </c>
      <c r="I99" s="149">
        <f t="shared" si="6"/>
        <v>20999.999999999978</v>
      </c>
      <c r="J99" s="149">
        <f t="shared" si="7"/>
        <v>5250</v>
      </c>
      <c r="K99" s="149">
        <f t="shared" si="8"/>
        <v>2843.75</v>
      </c>
      <c r="L99" s="149">
        <f t="shared" si="11"/>
        <v>44843.749999999978</v>
      </c>
      <c r="M99" s="572">
        <f t="shared" si="14"/>
        <v>940</v>
      </c>
      <c r="N99" s="572">
        <f t="shared" si="12"/>
        <v>460</v>
      </c>
    </row>
    <row r="100" spans="2:14" x14ac:dyDescent="0.35">
      <c r="B100" s="145">
        <v>18</v>
      </c>
      <c r="C100" s="156" t="s">
        <v>853</v>
      </c>
      <c r="D100" s="8">
        <v>2.42</v>
      </c>
      <c r="E100" s="257">
        <f t="shared" si="13"/>
        <v>1450</v>
      </c>
      <c r="F100" s="165">
        <f t="shared" si="5"/>
        <v>21750</v>
      </c>
      <c r="G100" s="149">
        <f t="shared" si="9"/>
        <v>545</v>
      </c>
      <c r="H100" s="149">
        <f t="shared" si="10"/>
        <v>16350</v>
      </c>
      <c r="I100" s="149">
        <f t="shared" si="6"/>
        <v>21799.999999999978</v>
      </c>
      <c r="J100" s="149">
        <f t="shared" si="7"/>
        <v>5450</v>
      </c>
      <c r="K100" s="149">
        <f t="shared" si="8"/>
        <v>2952.0833333333335</v>
      </c>
      <c r="L100" s="149">
        <f t="shared" si="11"/>
        <v>46552.083333333314</v>
      </c>
      <c r="M100" s="572">
        <f t="shared" si="14"/>
        <v>970</v>
      </c>
      <c r="N100" s="572">
        <f t="shared" si="12"/>
        <v>480</v>
      </c>
    </row>
    <row r="101" spans="2:14" x14ac:dyDescent="0.35">
      <c r="B101" s="145">
        <v>19</v>
      </c>
      <c r="C101" s="156" t="s">
        <v>853</v>
      </c>
      <c r="D101" s="8">
        <v>2.5</v>
      </c>
      <c r="E101" s="257">
        <f t="shared" si="13"/>
        <v>1500</v>
      </c>
      <c r="F101" s="165">
        <f t="shared" si="5"/>
        <v>22500</v>
      </c>
      <c r="G101" s="149">
        <f t="shared" si="9"/>
        <v>565</v>
      </c>
      <c r="H101" s="149">
        <f t="shared" si="10"/>
        <v>16950</v>
      </c>
      <c r="I101" s="149">
        <f t="shared" si="6"/>
        <v>22599.999999999975</v>
      </c>
      <c r="J101" s="149">
        <f t="shared" si="7"/>
        <v>5650</v>
      </c>
      <c r="K101" s="149">
        <f t="shared" si="8"/>
        <v>3060.416666666667</v>
      </c>
      <c r="L101" s="149">
        <f t="shared" si="11"/>
        <v>48260.416666666635</v>
      </c>
      <c r="M101" s="572">
        <f t="shared" si="14"/>
        <v>1000</v>
      </c>
      <c r="N101" s="572">
        <f t="shared" si="12"/>
        <v>500</v>
      </c>
    </row>
    <row r="102" spans="2:14" x14ac:dyDescent="0.35">
      <c r="B102" s="145">
        <v>20</v>
      </c>
      <c r="C102" s="156" t="s">
        <v>853</v>
      </c>
      <c r="D102" s="8">
        <v>2.58</v>
      </c>
      <c r="E102" s="257">
        <f t="shared" si="13"/>
        <v>1550</v>
      </c>
      <c r="F102" s="165">
        <f t="shared" si="5"/>
        <v>23250</v>
      </c>
      <c r="G102" s="149">
        <f t="shared" si="9"/>
        <v>580</v>
      </c>
      <c r="H102" s="149">
        <f t="shared" si="10"/>
        <v>17400</v>
      </c>
      <c r="I102" s="149">
        <f t="shared" si="6"/>
        <v>23199.999999999975</v>
      </c>
      <c r="J102" s="149">
        <f t="shared" si="7"/>
        <v>5800</v>
      </c>
      <c r="K102" s="149">
        <f t="shared" si="8"/>
        <v>3141.666666666667</v>
      </c>
      <c r="L102" s="149">
        <f t="shared" si="11"/>
        <v>49541.666666666635</v>
      </c>
      <c r="M102" s="572">
        <f t="shared" si="14"/>
        <v>1040</v>
      </c>
      <c r="N102" s="572">
        <f t="shared" si="12"/>
        <v>510</v>
      </c>
    </row>
    <row r="103" spans="2:14" x14ac:dyDescent="0.35">
      <c r="B103" s="145">
        <v>21</v>
      </c>
      <c r="C103" s="156" t="s">
        <v>853</v>
      </c>
      <c r="D103" s="8">
        <v>2.67</v>
      </c>
      <c r="E103" s="257">
        <f t="shared" si="13"/>
        <v>1600</v>
      </c>
      <c r="F103" s="165">
        <f t="shared" si="5"/>
        <v>24000</v>
      </c>
      <c r="G103" s="149">
        <f t="shared" si="9"/>
        <v>600</v>
      </c>
      <c r="H103" s="149">
        <f t="shared" si="10"/>
        <v>18000</v>
      </c>
      <c r="I103" s="149">
        <f t="shared" si="6"/>
        <v>23999.999999999975</v>
      </c>
      <c r="J103" s="149">
        <f t="shared" si="7"/>
        <v>6000</v>
      </c>
      <c r="K103" s="149">
        <f t="shared" si="8"/>
        <v>3250</v>
      </c>
      <c r="L103" s="149">
        <f t="shared" si="11"/>
        <v>51249.999999999971</v>
      </c>
      <c r="M103" s="572">
        <f t="shared" si="14"/>
        <v>1070</v>
      </c>
      <c r="N103" s="572">
        <f t="shared" si="12"/>
        <v>530</v>
      </c>
    </row>
    <row r="104" spans="2:14" x14ac:dyDescent="0.35">
      <c r="B104" s="145">
        <v>22</v>
      </c>
      <c r="C104" s="156" t="s">
        <v>853</v>
      </c>
      <c r="D104" s="8">
        <v>2.75</v>
      </c>
      <c r="E104" s="257">
        <f t="shared" si="13"/>
        <v>1650</v>
      </c>
      <c r="F104" s="165">
        <f t="shared" si="5"/>
        <v>24750</v>
      </c>
      <c r="G104" s="149">
        <f t="shared" si="9"/>
        <v>620</v>
      </c>
      <c r="H104" s="149">
        <f t="shared" si="10"/>
        <v>18600</v>
      </c>
      <c r="I104" s="149">
        <f t="shared" si="6"/>
        <v>24799.999999999975</v>
      </c>
      <c r="J104" s="149">
        <f t="shared" si="7"/>
        <v>6200</v>
      </c>
      <c r="K104" s="149">
        <f t="shared" si="8"/>
        <v>3358.3333333333335</v>
      </c>
      <c r="L104" s="149">
        <f t="shared" si="11"/>
        <v>52958.333333333307</v>
      </c>
      <c r="M104" s="572">
        <f t="shared" si="14"/>
        <v>1100</v>
      </c>
      <c r="N104" s="572">
        <f t="shared" si="12"/>
        <v>550</v>
      </c>
    </row>
    <row r="105" spans="2:14" x14ac:dyDescent="0.35">
      <c r="B105" s="145">
        <v>23</v>
      </c>
      <c r="C105" s="156" t="s">
        <v>853</v>
      </c>
      <c r="D105" s="8">
        <v>2.83</v>
      </c>
      <c r="E105" s="257">
        <f t="shared" si="13"/>
        <v>1700</v>
      </c>
      <c r="F105" s="165">
        <f t="shared" si="5"/>
        <v>25500</v>
      </c>
      <c r="G105" s="149">
        <f t="shared" si="9"/>
        <v>640</v>
      </c>
      <c r="H105" s="149">
        <f t="shared" si="10"/>
        <v>19200</v>
      </c>
      <c r="I105" s="149">
        <f t="shared" si="6"/>
        <v>25599.999999999971</v>
      </c>
      <c r="J105" s="149">
        <f t="shared" si="7"/>
        <v>6400</v>
      </c>
      <c r="K105" s="149">
        <f t="shared" si="8"/>
        <v>3466.666666666667</v>
      </c>
      <c r="L105" s="149">
        <f t="shared" si="11"/>
        <v>54666.666666666635</v>
      </c>
      <c r="M105" s="572">
        <f t="shared" si="14"/>
        <v>1140</v>
      </c>
      <c r="N105" s="572">
        <f t="shared" si="12"/>
        <v>560</v>
      </c>
    </row>
    <row r="106" spans="2:14" x14ac:dyDescent="0.35">
      <c r="B106" s="145">
        <v>24</v>
      </c>
      <c r="C106" s="156" t="s">
        <v>853</v>
      </c>
      <c r="D106" s="8">
        <v>2.92</v>
      </c>
      <c r="E106" s="257">
        <f t="shared" si="13"/>
        <v>1750</v>
      </c>
      <c r="F106" s="165">
        <f t="shared" si="5"/>
        <v>26250</v>
      </c>
      <c r="G106" s="149">
        <f t="shared" si="9"/>
        <v>655</v>
      </c>
      <c r="H106" s="149">
        <f t="shared" si="10"/>
        <v>19650</v>
      </c>
      <c r="I106" s="149">
        <f t="shared" si="6"/>
        <v>26199.999999999971</v>
      </c>
      <c r="J106" s="149">
        <f t="shared" si="7"/>
        <v>6550</v>
      </c>
      <c r="K106" s="149">
        <f t="shared" si="8"/>
        <v>3547.916666666667</v>
      </c>
      <c r="L106" s="149">
        <f t="shared" si="11"/>
        <v>55947.916666666635</v>
      </c>
      <c r="M106" s="572">
        <f t="shared" si="14"/>
        <v>1170</v>
      </c>
      <c r="N106" s="572">
        <f t="shared" si="12"/>
        <v>580</v>
      </c>
    </row>
  </sheetData>
  <mergeCells count="14">
    <mergeCell ref="P82:AE82"/>
    <mergeCell ref="V68:AE68"/>
    <mergeCell ref="B68:T68"/>
    <mergeCell ref="B11:F11"/>
    <mergeCell ref="P55:S55"/>
    <mergeCell ref="B55:N55"/>
    <mergeCell ref="B31:H31"/>
    <mergeCell ref="B46:H46"/>
    <mergeCell ref="G11:K11"/>
    <mergeCell ref="L11:M11"/>
    <mergeCell ref="N11:O11"/>
    <mergeCell ref="B19:C19"/>
    <mergeCell ref="B24:C24"/>
    <mergeCell ref="E19:F19"/>
  </mergeCells>
  <phoneticPr fontId="10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AD185"/>
  <sheetViews>
    <sheetView workbookViewId="0">
      <selection activeCell="C69" sqref="C69"/>
    </sheetView>
  </sheetViews>
  <sheetFormatPr defaultColWidth="9" defaultRowHeight="13" x14ac:dyDescent="0.35"/>
  <cols>
    <col min="1" max="16384" width="9" style="143"/>
  </cols>
  <sheetData>
    <row r="2" spans="1:30" x14ac:dyDescent="0.35">
      <c r="B2" s="745" t="s">
        <v>826</v>
      </c>
      <c r="C2" s="745"/>
      <c r="F2" s="531" t="s">
        <v>2361</v>
      </c>
    </row>
    <row r="3" spans="1:30" x14ac:dyDescent="0.35">
      <c r="B3" s="144" t="s">
        <v>815</v>
      </c>
      <c r="C3" s="144" t="s">
        <v>816</v>
      </c>
      <c r="R3" s="287"/>
      <c r="T3" s="287"/>
    </row>
    <row r="4" spans="1:30" x14ac:dyDescent="0.35">
      <c r="B4" s="144" t="s">
        <v>817</v>
      </c>
      <c r="C4" s="144">
        <f>基础经济系数!C5*0.75</f>
        <v>15</v>
      </c>
      <c r="R4" s="287"/>
      <c r="T4" s="287"/>
      <c r="V4" s="287"/>
      <c r="W4" s="287"/>
    </row>
    <row r="5" spans="1:30" x14ac:dyDescent="0.35">
      <c r="B5" s="144" t="s">
        <v>818</v>
      </c>
      <c r="C5" s="457">
        <v>0.5</v>
      </c>
      <c r="R5" s="287"/>
    </row>
    <row r="6" spans="1:30" x14ac:dyDescent="0.35">
      <c r="B6" s="144" t="s">
        <v>819</v>
      </c>
      <c r="C6" s="228">
        <v>100</v>
      </c>
    </row>
    <row r="7" spans="1:30" x14ac:dyDescent="0.35">
      <c r="B7" s="144" t="s">
        <v>825</v>
      </c>
      <c r="C7" s="457">
        <v>0.7</v>
      </c>
    </row>
    <row r="8" spans="1:30" x14ac:dyDescent="0.35">
      <c r="B8" s="493" t="s">
        <v>2175</v>
      </c>
      <c r="C8" s="503">
        <v>0.5</v>
      </c>
    </row>
    <row r="9" spans="1:30" x14ac:dyDescent="0.35">
      <c r="B9" s="493" t="s">
        <v>2176</v>
      </c>
      <c r="C9" s="503">
        <v>2</v>
      </c>
    </row>
    <row r="10" spans="1:30" x14ac:dyDescent="0.35">
      <c r="B10" s="146"/>
      <c r="C10" s="147"/>
    </row>
    <row r="11" spans="1:30" x14ac:dyDescent="0.35">
      <c r="A11" s="143" t="s">
        <v>1102</v>
      </c>
      <c r="B11" s="758" t="s">
        <v>834</v>
      </c>
      <c r="C11" s="739"/>
      <c r="D11" s="739"/>
      <c r="E11" s="739"/>
      <c r="F11" s="739"/>
      <c r="G11" s="739"/>
      <c r="H11" s="739"/>
      <c r="I11" s="739"/>
      <c r="J11" s="739"/>
      <c r="K11" s="739"/>
      <c r="L11" s="739"/>
      <c r="M11" s="739"/>
      <c r="N11" s="739"/>
      <c r="O11" s="739"/>
      <c r="P11" s="739"/>
      <c r="Q11" s="739"/>
      <c r="R11" s="740"/>
      <c r="S11" s="146"/>
      <c r="T11" s="146"/>
      <c r="U11" s="752" t="s">
        <v>2393</v>
      </c>
      <c r="V11" s="739"/>
      <c r="W11" s="739"/>
      <c r="X11" s="739"/>
      <c r="Y11" s="739"/>
      <c r="Z11" s="739"/>
      <c r="AA11" s="739"/>
      <c r="AB11" s="739"/>
      <c r="AC11" s="740"/>
    </row>
    <row r="12" spans="1:30" x14ac:dyDescent="0.35">
      <c r="A12" s="143" t="s">
        <v>1103</v>
      </c>
      <c r="B12" s="367" t="s">
        <v>814</v>
      </c>
      <c r="C12" s="367" t="s">
        <v>823</v>
      </c>
      <c r="D12" s="367" t="s">
        <v>824</v>
      </c>
      <c r="E12" s="367" t="s">
        <v>820</v>
      </c>
      <c r="F12" s="387" t="s">
        <v>1808</v>
      </c>
      <c r="G12" s="367" t="s">
        <v>821</v>
      </c>
      <c r="H12" s="367" t="s">
        <v>822</v>
      </c>
      <c r="I12" s="367" t="s">
        <v>827</v>
      </c>
      <c r="J12" s="367" t="s">
        <v>828</v>
      </c>
      <c r="K12" s="367" t="s">
        <v>829</v>
      </c>
      <c r="L12" s="367" t="s">
        <v>830</v>
      </c>
      <c r="M12" s="367" t="s">
        <v>831</v>
      </c>
      <c r="N12" s="367" t="s">
        <v>832</v>
      </c>
      <c r="O12" s="367" t="s">
        <v>833</v>
      </c>
      <c r="P12" s="493" t="s">
        <v>2174</v>
      </c>
      <c r="Q12" s="493" t="s">
        <v>2177</v>
      </c>
      <c r="R12" s="493" t="s">
        <v>2178</v>
      </c>
      <c r="U12" s="529" t="s">
        <v>2343</v>
      </c>
      <c r="V12" s="529" t="s">
        <v>2344</v>
      </c>
      <c r="W12" s="529" t="s">
        <v>2345</v>
      </c>
      <c r="X12" s="529" t="s">
        <v>2346</v>
      </c>
      <c r="Y12" s="529" t="s">
        <v>2347</v>
      </c>
      <c r="Z12" s="529" t="s">
        <v>2350</v>
      </c>
      <c r="AA12" s="529" t="s">
        <v>2351</v>
      </c>
      <c r="AB12" s="529" t="s">
        <v>2349</v>
      </c>
      <c r="AC12" s="529" t="s">
        <v>2348</v>
      </c>
    </row>
    <row r="13" spans="1:30" x14ac:dyDescent="0.35">
      <c r="A13" s="143" t="s">
        <v>1104</v>
      </c>
      <c r="B13" s="144">
        <v>1</v>
      </c>
      <c r="C13" s="228">
        <v>60</v>
      </c>
      <c r="D13" s="367">
        <f>C13</f>
        <v>60</v>
      </c>
      <c r="E13" s="228">
        <v>10</v>
      </c>
      <c r="F13" s="144">
        <f>C13/E13</f>
        <v>6</v>
      </c>
      <c r="G13" s="150">
        <f>F13/$C$4</f>
        <v>0.4</v>
      </c>
      <c r="H13" s="150">
        <f>G13</f>
        <v>0.4</v>
      </c>
      <c r="I13" s="148">
        <f t="shared" ref="I13:I36" si="0">C13/$C$7/$C$6/E13</f>
        <v>8.5714285714285715E-2</v>
      </c>
      <c r="J13" s="148">
        <f>I13</f>
        <v>8.5714285714285715E-2</v>
      </c>
      <c r="K13" s="228">
        <v>10</v>
      </c>
      <c r="L13" s="144">
        <f t="shared" ref="L13:L36" si="1">E13-K13</f>
        <v>0</v>
      </c>
      <c r="M13" s="144">
        <f>C13/K13</f>
        <v>6</v>
      </c>
      <c r="N13" s="148">
        <f>M13/$C$4</f>
        <v>0.4</v>
      </c>
      <c r="O13" s="150">
        <f>N13</f>
        <v>0.4</v>
      </c>
      <c r="P13" s="476">
        <f>ROUNDUP(C13*$C$8/5,0)*5</f>
        <v>30</v>
      </c>
      <c r="Q13" s="476">
        <f>D13-P13</f>
        <v>30</v>
      </c>
      <c r="R13" s="476">
        <f>C13*$C$9</f>
        <v>120</v>
      </c>
      <c r="U13" s="509">
        <v>1</v>
      </c>
      <c r="V13" s="509">
        <v>0</v>
      </c>
      <c r="W13" s="509">
        <v>100</v>
      </c>
      <c r="X13" s="509">
        <f>W13/2</f>
        <v>50</v>
      </c>
      <c r="Y13" s="532">
        <v>1</v>
      </c>
      <c r="Z13" s="509">
        <v>0</v>
      </c>
      <c r="AA13" s="509">
        <f>SUM(Z$13:Z13)</f>
        <v>0</v>
      </c>
      <c r="AB13" s="509">
        <f>ROUND(((W13*Y13+(1-Y13)*X13)*基础经济系数!$C$5/2+AA14)/50,0)*50</f>
        <v>1100</v>
      </c>
      <c r="AC13" s="509">
        <f>(W13*Y13+(1-Y13)*X13)*基础经济系数!$C$5*2</f>
        <v>4000</v>
      </c>
      <c r="AD13" s="143">
        <f>AB13-AA14</f>
        <v>1000</v>
      </c>
    </row>
    <row r="14" spans="1:30" x14ac:dyDescent="0.35">
      <c r="A14" s="143" t="s">
        <v>1105</v>
      </c>
      <c r="B14" s="144">
        <v>2</v>
      </c>
      <c r="C14" s="228">
        <v>60</v>
      </c>
      <c r="D14" s="367">
        <f>C14+D13</f>
        <v>120</v>
      </c>
      <c r="E14" s="228">
        <v>8</v>
      </c>
      <c r="F14" s="606">
        <f>C14/E14/$C$5</f>
        <v>15</v>
      </c>
      <c r="G14" s="150">
        <f>F14/$C$4</f>
        <v>1</v>
      </c>
      <c r="H14" s="150">
        <f>G14+H13</f>
        <v>1.4</v>
      </c>
      <c r="I14" s="148">
        <f t="shared" si="0"/>
        <v>0.10714285714285715</v>
      </c>
      <c r="J14" s="148">
        <f>I14+J13</f>
        <v>0.19285714285714287</v>
      </c>
      <c r="K14" s="228">
        <v>20</v>
      </c>
      <c r="L14" s="144">
        <f t="shared" si="1"/>
        <v>-12</v>
      </c>
      <c r="M14" s="367">
        <f t="shared" ref="M14:M36" si="2">C14/K14</f>
        <v>3</v>
      </c>
      <c r="N14" s="148">
        <f t="shared" ref="N14:N36" si="3">M14/$C$4</f>
        <v>0.2</v>
      </c>
      <c r="O14" s="150">
        <f>N14+O13</f>
        <v>0.60000000000000009</v>
      </c>
      <c r="P14" s="638">
        <f t="shared" ref="P14:P36" si="4">ROUNDUP(C14*$C$8/5,0)*5</f>
        <v>30</v>
      </c>
      <c r="Q14" s="476">
        <f t="shared" ref="Q14:Q36" si="5">D14-P14</f>
        <v>90</v>
      </c>
      <c r="R14" s="476">
        <f>C14*$C$9+D13</f>
        <v>180</v>
      </c>
      <c r="U14" s="509">
        <v>2</v>
      </c>
      <c r="V14" s="509">
        <v>1</v>
      </c>
      <c r="W14" s="509">
        <v>150</v>
      </c>
      <c r="X14" s="509">
        <f t="shared" ref="X14:X42" si="6">W14/2</f>
        <v>75</v>
      </c>
      <c r="Y14" s="532">
        <v>0.94</v>
      </c>
      <c r="Z14" s="329">
        <f t="shared" ref="Z14:Z42" si="7">ROUND((W13*Y13+(1-Y13)*X13)*V14/50,0)*50</f>
        <v>100</v>
      </c>
      <c r="AA14" s="509">
        <f>SUM(Z$13:Z14)</f>
        <v>100</v>
      </c>
      <c r="AB14" s="541">
        <f>ROUND(((W14*Y14+(1-Y14)*X14)*基础经济系数!$C$5/2+AA15)/50,0)*50</f>
        <v>1700</v>
      </c>
      <c r="AC14" s="541">
        <f>(W14*Y14+(1-Y14)*X14)*基础经济系数!$C$5*2</f>
        <v>5820</v>
      </c>
      <c r="AD14" s="143">
        <f t="shared" ref="AD14:AD42" si="8">AB14-AA15</f>
        <v>1450</v>
      </c>
    </row>
    <row r="15" spans="1:30" x14ac:dyDescent="0.35">
      <c r="A15" s="143" t="s">
        <v>1106</v>
      </c>
      <c r="B15" s="144">
        <v>3</v>
      </c>
      <c r="C15" s="228">
        <v>60</v>
      </c>
      <c r="D15" s="424">
        <f t="shared" ref="D15:D36" si="9">C15+D14</f>
        <v>180</v>
      </c>
      <c r="E15" s="228">
        <v>6</v>
      </c>
      <c r="F15" s="663">
        <f t="shared" ref="F15:F36" si="10">C15/E15/$C$5</f>
        <v>20</v>
      </c>
      <c r="G15" s="150">
        <f t="shared" ref="G15:G36" si="11">F15/$C$4</f>
        <v>1.3333333333333333</v>
      </c>
      <c r="H15" s="150">
        <f t="shared" ref="H15:H36" si="12">G15+H14</f>
        <v>2.7333333333333334</v>
      </c>
      <c r="I15" s="148">
        <f t="shared" si="0"/>
        <v>0.14285714285714288</v>
      </c>
      <c r="J15" s="148">
        <f t="shared" ref="J15:J36" si="13">I15+J14</f>
        <v>0.33571428571428574</v>
      </c>
      <c r="K15" s="228">
        <v>20</v>
      </c>
      <c r="L15" s="144">
        <f t="shared" si="1"/>
        <v>-14</v>
      </c>
      <c r="M15" s="367">
        <f t="shared" si="2"/>
        <v>3</v>
      </c>
      <c r="N15" s="148">
        <f t="shared" si="3"/>
        <v>0.2</v>
      </c>
      <c r="O15" s="150">
        <f t="shared" ref="O15:O36" si="14">N15+O14</f>
        <v>0.8</v>
      </c>
      <c r="P15" s="638">
        <f t="shared" si="4"/>
        <v>30</v>
      </c>
      <c r="Q15" s="476">
        <f t="shared" si="5"/>
        <v>150</v>
      </c>
      <c r="R15" s="476">
        <f t="shared" ref="R15:R36" si="15">C15*$C$9+D14</f>
        <v>240</v>
      </c>
      <c r="U15" s="509">
        <v>3</v>
      </c>
      <c r="V15" s="509">
        <v>1</v>
      </c>
      <c r="W15" s="509">
        <v>200</v>
      </c>
      <c r="X15" s="509">
        <f t="shared" si="6"/>
        <v>100</v>
      </c>
      <c r="Y15" s="532">
        <v>0.88</v>
      </c>
      <c r="Z15" s="329">
        <f t="shared" si="7"/>
        <v>150</v>
      </c>
      <c r="AA15" s="509">
        <f>SUM(Z$13:Z15)</f>
        <v>250</v>
      </c>
      <c r="AB15" s="541">
        <f>ROUND(((W15*Y15+(1-Y15)*X15)*基础经济系数!$C$5/2+AA16)/50,0)*50</f>
        <v>2350</v>
      </c>
      <c r="AC15" s="541">
        <f>(W15*Y15+(1-Y15)*X15)*基础经济系数!$C$5*2</f>
        <v>7520</v>
      </c>
      <c r="AD15" s="143">
        <f t="shared" si="8"/>
        <v>1900</v>
      </c>
    </row>
    <row r="16" spans="1:30" x14ac:dyDescent="0.35">
      <c r="A16" s="143" t="s">
        <v>1107</v>
      </c>
      <c r="B16" s="144">
        <v>4</v>
      </c>
      <c r="C16" s="228">
        <v>120</v>
      </c>
      <c r="D16" s="424">
        <f t="shared" si="9"/>
        <v>300</v>
      </c>
      <c r="E16" s="228">
        <v>4</v>
      </c>
      <c r="F16" s="663">
        <f t="shared" si="10"/>
        <v>60</v>
      </c>
      <c r="G16" s="150">
        <f t="shared" si="11"/>
        <v>4</v>
      </c>
      <c r="H16" s="150">
        <f t="shared" si="12"/>
        <v>6.7333333333333334</v>
      </c>
      <c r="I16" s="148">
        <f t="shared" si="0"/>
        <v>0.4285714285714286</v>
      </c>
      <c r="J16" s="148">
        <f t="shared" si="13"/>
        <v>0.76428571428571435</v>
      </c>
      <c r="K16" s="228">
        <v>20</v>
      </c>
      <c r="L16" s="144">
        <f t="shared" si="1"/>
        <v>-16</v>
      </c>
      <c r="M16" s="367">
        <f t="shared" si="2"/>
        <v>6</v>
      </c>
      <c r="N16" s="148">
        <f t="shared" si="3"/>
        <v>0.4</v>
      </c>
      <c r="O16" s="150">
        <f t="shared" si="14"/>
        <v>1.2000000000000002</v>
      </c>
      <c r="P16" s="638">
        <f t="shared" si="4"/>
        <v>60</v>
      </c>
      <c r="Q16" s="476">
        <f t="shared" si="5"/>
        <v>240</v>
      </c>
      <c r="R16" s="476">
        <f t="shared" si="15"/>
        <v>420</v>
      </c>
      <c r="U16" s="509">
        <v>4</v>
      </c>
      <c r="V16" s="509">
        <v>1</v>
      </c>
      <c r="W16" s="509">
        <v>250</v>
      </c>
      <c r="X16" s="509">
        <f t="shared" si="6"/>
        <v>125</v>
      </c>
      <c r="Y16" s="532">
        <v>0.83</v>
      </c>
      <c r="Z16" s="329">
        <f t="shared" si="7"/>
        <v>200</v>
      </c>
      <c r="AA16" s="509">
        <f>SUM(Z$13:Z16)</f>
        <v>450</v>
      </c>
      <c r="AB16" s="541">
        <f>ROUND(((W16*Y16+(1-Y16)*X16)*基础经济系数!$C$5/2+AA17)/50,0)*50</f>
        <v>3200</v>
      </c>
      <c r="AC16" s="541">
        <f>(W16*Y16+(1-Y16)*X16)*基础经济系数!$C$5*2</f>
        <v>9150</v>
      </c>
      <c r="AD16" s="143">
        <f t="shared" si="8"/>
        <v>2300</v>
      </c>
    </row>
    <row r="17" spans="1:30" x14ac:dyDescent="0.35">
      <c r="A17" s="143" t="s">
        <v>1108</v>
      </c>
      <c r="B17" s="144">
        <v>5</v>
      </c>
      <c r="C17" s="228">
        <v>120</v>
      </c>
      <c r="D17" s="424">
        <f t="shared" si="9"/>
        <v>420</v>
      </c>
      <c r="E17" s="228">
        <v>2</v>
      </c>
      <c r="F17" s="663">
        <f t="shared" si="10"/>
        <v>120</v>
      </c>
      <c r="G17" s="150">
        <f t="shared" si="11"/>
        <v>8</v>
      </c>
      <c r="H17" s="150">
        <f t="shared" si="12"/>
        <v>14.733333333333334</v>
      </c>
      <c r="I17" s="148">
        <f t="shared" si="0"/>
        <v>0.85714285714285721</v>
      </c>
      <c r="J17" s="148">
        <f t="shared" si="13"/>
        <v>1.6214285714285714</v>
      </c>
      <c r="K17" s="228">
        <v>20</v>
      </c>
      <c r="L17" s="144">
        <f>E17-K17</f>
        <v>-18</v>
      </c>
      <c r="M17" s="367">
        <f t="shared" si="2"/>
        <v>6</v>
      </c>
      <c r="N17" s="148">
        <f t="shared" si="3"/>
        <v>0.4</v>
      </c>
      <c r="O17" s="150">
        <f t="shared" si="14"/>
        <v>1.6</v>
      </c>
      <c r="P17" s="638">
        <f t="shared" si="4"/>
        <v>60</v>
      </c>
      <c r="Q17" s="476">
        <f t="shared" si="5"/>
        <v>360</v>
      </c>
      <c r="R17" s="476">
        <f t="shared" si="15"/>
        <v>540</v>
      </c>
      <c r="U17" s="509">
        <v>5</v>
      </c>
      <c r="V17" s="509">
        <v>2</v>
      </c>
      <c r="W17" s="509">
        <v>300</v>
      </c>
      <c r="X17" s="509">
        <f t="shared" si="6"/>
        <v>150</v>
      </c>
      <c r="Y17" s="532">
        <v>0.79</v>
      </c>
      <c r="Z17" s="329">
        <f t="shared" si="7"/>
        <v>450</v>
      </c>
      <c r="AA17" s="509">
        <f>SUM(Z$13:Z17)</f>
        <v>900</v>
      </c>
      <c r="AB17" s="541">
        <f>ROUND(((W17*Y17+(1-Y17)*X17)*基础经济系数!$C$5/2+AA18)/50,0)*50</f>
        <v>4150</v>
      </c>
      <c r="AC17" s="541">
        <f>(W17*Y17+(1-Y17)*X17)*基础经济系数!$C$5*2</f>
        <v>10740</v>
      </c>
      <c r="AD17" s="143">
        <f t="shared" si="8"/>
        <v>2700</v>
      </c>
    </row>
    <row r="18" spans="1:30" x14ac:dyDescent="0.35">
      <c r="A18" s="143" t="s">
        <v>1109</v>
      </c>
      <c r="B18" s="144">
        <v>6</v>
      </c>
      <c r="C18" s="228">
        <v>120</v>
      </c>
      <c r="D18" s="424">
        <f t="shared" si="9"/>
        <v>540</v>
      </c>
      <c r="E18" s="228">
        <v>2</v>
      </c>
      <c r="F18" s="663">
        <f t="shared" si="10"/>
        <v>120</v>
      </c>
      <c r="G18" s="150">
        <f t="shared" si="11"/>
        <v>8</v>
      </c>
      <c r="H18" s="150">
        <f t="shared" si="12"/>
        <v>22.733333333333334</v>
      </c>
      <c r="I18" s="148">
        <f t="shared" si="0"/>
        <v>0.85714285714285721</v>
      </c>
      <c r="J18" s="148">
        <f t="shared" si="13"/>
        <v>2.4785714285714286</v>
      </c>
      <c r="K18" s="228">
        <v>20</v>
      </c>
      <c r="L18" s="144">
        <f t="shared" si="1"/>
        <v>-18</v>
      </c>
      <c r="M18" s="367">
        <f t="shared" si="2"/>
        <v>6</v>
      </c>
      <c r="N18" s="148">
        <f t="shared" si="3"/>
        <v>0.4</v>
      </c>
      <c r="O18" s="150">
        <f t="shared" si="14"/>
        <v>2</v>
      </c>
      <c r="P18" s="638">
        <f t="shared" si="4"/>
        <v>60</v>
      </c>
      <c r="Q18" s="476">
        <f t="shared" si="5"/>
        <v>480</v>
      </c>
      <c r="R18" s="476">
        <f t="shared" si="15"/>
        <v>660</v>
      </c>
      <c r="U18" s="509">
        <v>6</v>
      </c>
      <c r="V18" s="509">
        <v>2</v>
      </c>
      <c r="W18" s="509">
        <v>350</v>
      </c>
      <c r="X18" s="509">
        <f t="shared" si="6"/>
        <v>175</v>
      </c>
      <c r="Y18" s="532">
        <v>0.75</v>
      </c>
      <c r="Z18" s="329">
        <f t="shared" si="7"/>
        <v>550</v>
      </c>
      <c r="AA18" s="509">
        <f>SUM(Z$13:Z18)</f>
        <v>1450</v>
      </c>
      <c r="AB18" s="541">
        <f>ROUND(((W18*Y18+(1-Y18)*X18)*基础经济系数!$C$5/2+AA19)/50,0)*50</f>
        <v>5100</v>
      </c>
      <c r="AC18" s="541">
        <f>(W18*Y18+(1-Y18)*X18)*基础经济系数!$C$5*2</f>
        <v>12250</v>
      </c>
      <c r="AD18" s="143">
        <f t="shared" si="8"/>
        <v>3050</v>
      </c>
    </row>
    <row r="19" spans="1:30" x14ac:dyDescent="0.35">
      <c r="A19" s="143" t="s">
        <v>1110</v>
      </c>
      <c r="B19" s="144">
        <v>7</v>
      </c>
      <c r="C19" s="228">
        <v>180</v>
      </c>
      <c r="D19" s="424">
        <f t="shared" si="9"/>
        <v>720</v>
      </c>
      <c r="E19" s="228">
        <v>2</v>
      </c>
      <c r="F19" s="663">
        <f t="shared" si="10"/>
        <v>180</v>
      </c>
      <c r="G19" s="150">
        <f t="shared" si="11"/>
        <v>12</v>
      </c>
      <c r="H19" s="150">
        <f t="shared" si="12"/>
        <v>34.733333333333334</v>
      </c>
      <c r="I19" s="148">
        <f t="shared" si="0"/>
        <v>1.2857142857142858</v>
      </c>
      <c r="J19" s="148">
        <f t="shared" si="13"/>
        <v>3.7642857142857142</v>
      </c>
      <c r="K19" s="228">
        <v>20</v>
      </c>
      <c r="L19" s="144">
        <f t="shared" si="1"/>
        <v>-18</v>
      </c>
      <c r="M19" s="367">
        <f t="shared" si="2"/>
        <v>9</v>
      </c>
      <c r="N19" s="148">
        <f t="shared" si="3"/>
        <v>0.6</v>
      </c>
      <c r="O19" s="150">
        <f t="shared" si="14"/>
        <v>2.6</v>
      </c>
      <c r="P19" s="638">
        <f t="shared" si="4"/>
        <v>90</v>
      </c>
      <c r="Q19" s="476">
        <f t="shared" si="5"/>
        <v>630</v>
      </c>
      <c r="R19" s="476">
        <f t="shared" si="15"/>
        <v>900</v>
      </c>
      <c r="U19" s="509">
        <v>7</v>
      </c>
      <c r="V19" s="509">
        <v>2</v>
      </c>
      <c r="W19" s="509">
        <v>400</v>
      </c>
      <c r="X19" s="509">
        <f t="shared" si="6"/>
        <v>200</v>
      </c>
      <c r="Y19" s="532">
        <v>0.72</v>
      </c>
      <c r="Z19" s="329">
        <f t="shared" si="7"/>
        <v>600</v>
      </c>
      <c r="AA19" s="509">
        <f>SUM(Z$13:Z19)</f>
        <v>2050</v>
      </c>
      <c r="AB19" s="541">
        <f>ROUND(((W19*Y19+(1-Y19)*X19)*基础经济系数!$C$5/2+AA20)/50,0)*50</f>
        <v>6200</v>
      </c>
      <c r="AC19" s="541">
        <f>(W19*Y19+(1-Y19)*X19)*基础经济系数!$C$5*2</f>
        <v>13760</v>
      </c>
      <c r="AD19" s="143">
        <f t="shared" si="8"/>
        <v>3450</v>
      </c>
    </row>
    <row r="20" spans="1:30" x14ac:dyDescent="0.35">
      <c r="A20" s="143" t="s">
        <v>1111</v>
      </c>
      <c r="B20" s="144">
        <v>8</v>
      </c>
      <c r="C20" s="228">
        <v>180</v>
      </c>
      <c r="D20" s="424">
        <f t="shared" si="9"/>
        <v>900</v>
      </c>
      <c r="E20" s="228">
        <v>2</v>
      </c>
      <c r="F20" s="663">
        <f t="shared" si="10"/>
        <v>180</v>
      </c>
      <c r="G20" s="150">
        <f t="shared" si="11"/>
        <v>12</v>
      </c>
      <c r="H20" s="150">
        <f t="shared" si="12"/>
        <v>46.733333333333334</v>
      </c>
      <c r="I20" s="148">
        <f t="shared" si="0"/>
        <v>1.2857142857142858</v>
      </c>
      <c r="J20" s="148">
        <f t="shared" si="13"/>
        <v>5.05</v>
      </c>
      <c r="K20" s="228">
        <v>20</v>
      </c>
      <c r="L20" s="144">
        <f t="shared" si="1"/>
        <v>-18</v>
      </c>
      <c r="M20" s="367">
        <f t="shared" si="2"/>
        <v>9</v>
      </c>
      <c r="N20" s="148">
        <f t="shared" si="3"/>
        <v>0.6</v>
      </c>
      <c r="O20" s="150">
        <f t="shared" si="14"/>
        <v>3.2</v>
      </c>
      <c r="P20" s="638">
        <f t="shared" si="4"/>
        <v>90</v>
      </c>
      <c r="Q20" s="476">
        <f t="shared" si="5"/>
        <v>810</v>
      </c>
      <c r="R20" s="476">
        <f t="shared" si="15"/>
        <v>1080</v>
      </c>
      <c r="U20" s="509">
        <v>8</v>
      </c>
      <c r="V20" s="509">
        <v>2</v>
      </c>
      <c r="W20" s="509">
        <v>450</v>
      </c>
      <c r="X20" s="509">
        <f t="shared" si="6"/>
        <v>225</v>
      </c>
      <c r="Y20" s="532">
        <v>0.69</v>
      </c>
      <c r="Z20" s="329">
        <f t="shared" si="7"/>
        <v>700</v>
      </c>
      <c r="AA20" s="509">
        <f>SUM(Z$13:Z20)</f>
        <v>2750</v>
      </c>
      <c r="AB20" s="541">
        <f>ROUND(((W20*Y20+(1-Y20)*X20)*基础经济系数!$C$5/2+AA21)/50,0)*50</f>
        <v>7700</v>
      </c>
      <c r="AC20" s="541">
        <f>(W20*Y20+(1-Y20)*X20)*基础经济系数!$C$5*2</f>
        <v>15210</v>
      </c>
      <c r="AD20" s="143">
        <f t="shared" si="8"/>
        <v>3800</v>
      </c>
    </row>
    <row r="21" spans="1:30" x14ac:dyDescent="0.35">
      <c r="A21" s="143" t="s">
        <v>1112</v>
      </c>
      <c r="B21" s="144">
        <v>9</v>
      </c>
      <c r="C21" s="228">
        <v>180</v>
      </c>
      <c r="D21" s="424">
        <f t="shared" si="9"/>
        <v>1080</v>
      </c>
      <c r="E21" s="228">
        <v>2</v>
      </c>
      <c r="F21" s="663">
        <f t="shared" si="10"/>
        <v>180</v>
      </c>
      <c r="G21" s="150">
        <f t="shared" si="11"/>
        <v>12</v>
      </c>
      <c r="H21" s="150">
        <f t="shared" si="12"/>
        <v>58.733333333333334</v>
      </c>
      <c r="I21" s="148">
        <f t="shared" si="0"/>
        <v>1.2857142857142858</v>
      </c>
      <c r="J21" s="148">
        <f t="shared" si="13"/>
        <v>6.3357142857142854</v>
      </c>
      <c r="K21" s="228">
        <v>20</v>
      </c>
      <c r="L21" s="144">
        <f t="shared" si="1"/>
        <v>-18</v>
      </c>
      <c r="M21" s="367">
        <f t="shared" si="2"/>
        <v>9</v>
      </c>
      <c r="N21" s="148">
        <f t="shared" si="3"/>
        <v>0.6</v>
      </c>
      <c r="O21" s="150">
        <f t="shared" si="14"/>
        <v>3.8000000000000003</v>
      </c>
      <c r="P21" s="638">
        <f t="shared" si="4"/>
        <v>90</v>
      </c>
      <c r="Q21" s="476">
        <f t="shared" si="5"/>
        <v>990</v>
      </c>
      <c r="R21" s="476">
        <f t="shared" si="15"/>
        <v>1260</v>
      </c>
      <c r="U21" s="509">
        <v>9</v>
      </c>
      <c r="V21" s="509">
        <v>3</v>
      </c>
      <c r="W21" s="509">
        <v>500</v>
      </c>
      <c r="X21" s="509">
        <f t="shared" si="6"/>
        <v>250</v>
      </c>
      <c r="Y21" s="532">
        <v>0.67</v>
      </c>
      <c r="Z21" s="329">
        <f t="shared" si="7"/>
        <v>1150</v>
      </c>
      <c r="AA21" s="509">
        <f>SUM(Z$13:Z21)</f>
        <v>3900</v>
      </c>
      <c r="AB21" s="541">
        <f>ROUND(((W21*Y21+(1-Y21)*X21)*基础经济系数!$C$5/2+AA22)/50,0)*50</f>
        <v>9750</v>
      </c>
      <c r="AC21" s="541">
        <f>(W21*Y21+(1-Y21)*X21)*基础经济系数!$C$5*2</f>
        <v>16700</v>
      </c>
      <c r="AD21" s="143">
        <f t="shared" si="8"/>
        <v>4200</v>
      </c>
    </row>
    <row r="22" spans="1:30" x14ac:dyDescent="0.35">
      <c r="A22" s="143" t="s">
        <v>1113</v>
      </c>
      <c r="B22" s="144">
        <v>10</v>
      </c>
      <c r="C22" s="228">
        <v>240</v>
      </c>
      <c r="D22" s="424">
        <f t="shared" si="9"/>
        <v>1320</v>
      </c>
      <c r="E22" s="228">
        <v>2</v>
      </c>
      <c r="F22" s="663">
        <f t="shared" si="10"/>
        <v>240</v>
      </c>
      <c r="G22" s="150">
        <f t="shared" si="11"/>
        <v>16</v>
      </c>
      <c r="H22" s="150">
        <f t="shared" si="12"/>
        <v>74.733333333333334</v>
      </c>
      <c r="I22" s="148">
        <f t="shared" si="0"/>
        <v>1.7142857142857144</v>
      </c>
      <c r="J22" s="148">
        <f t="shared" si="13"/>
        <v>8.0500000000000007</v>
      </c>
      <c r="K22" s="228">
        <v>20</v>
      </c>
      <c r="L22" s="144">
        <f t="shared" si="1"/>
        <v>-18</v>
      </c>
      <c r="M22" s="367">
        <f t="shared" si="2"/>
        <v>12</v>
      </c>
      <c r="N22" s="148">
        <f t="shared" si="3"/>
        <v>0.8</v>
      </c>
      <c r="O22" s="150">
        <f t="shared" si="14"/>
        <v>4.6000000000000005</v>
      </c>
      <c r="P22" s="638">
        <f t="shared" si="4"/>
        <v>120</v>
      </c>
      <c r="Q22" s="476">
        <f t="shared" si="5"/>
        <v>1200</v>
      </c>
      <c r="R22" s="476">
        <f t="shared" si="15"/>
        <v>1560</v>
      </c>
      <c r="U22" s="509">
        <v>10</v>
      </c>
      <c r="V22" s="509">
        <v>4</v>
      </c>
      <c r="W22" s="509">
        <v>550</v>
      </c>
      <c r="X22" s="509">
        <f t="shared" si="6"/>
        <v>275</v>
      </c>
      <c r="Y22" s="532">
        <v>0.65</v>
      </c>
      <c r="Z22" s="329">
        <f t="shared" si="7"/>
        <v>1650</v>
      </c>
      <c r="AA22" s="509">
        <f>SUM(Z$13:Z22)</f>
        <v>5550</v>
      </c>
      <c r="AB22" s="541">
        <f>ROUND(((W22*Y22+(1-Y22)*X22)*基础经济系数!$C$5/2+AA23)/50,0)*50</f>
        <v>12350</v>
      </c>
      <c r="AC22" s="541">
        <f>(W22*Y22+(1-Y22)*X22)*基础经济系数!$C$5*2</f>
        <v>18150</v>
      </c>
      <c r="AD22" s="143">
        <f t="shared" si="8"/>
        <v>4550</v>
      </c>
    </row>
    <row r="23" spans="1:30" x14ac:dyDescent="0.35">
      <c r="B23" s="144">
        <v>11</v>
      </c>
      <c r="C23" s="228">
        <v>240</v>
      </c>
      <c r="D23" s="424">
        <f t="shared" si="9"/>
        <v>1560</v>
      </c>
      <c r="E23" s="228">
        <v>2</v>
      </c>
      <c r="F23" s="663">
        <f t="shared" si="10"/>
        <v>240</v>
      </c>
      <c r="G23" s="150">
        <f t="shared" si="11"/>
        <v>16</v>
      </c>
      <c r="H23" s="150">
        <f t="shared" si="12"/>
        <v>90.733333333333334</v>
      </c>
      <c r="I23" s="148">
        <f t="shared" si="0"/>
        <v>1.7142857142857144</v>
      </c>
      <c r="J23" s="148">
        <f t="shared" si="13"/>
        <v>9.764285714285716</v>
      </c>
      <c r="K23" s="228">
        <v>20</v>
      </c>
      <c r="L23" s="144">
        <f t="shared" si="1"/>
        <v>-18</v>
      </c>
      <c r="M23" s="367">
        <f t="shared" si="2"/>
        <v>12</v>
      </c>
      <c r="N23" s="148">
        <f t="shared" si="3"/>
        <v>0.8</v>
      </c>
      <c r="O23" s="150">
        <f t="shared" si="14"/>
        <v>5.4</v>
      </c>
      <c r="P23" s="638">
        <f t="shared" si="4"/>
        <v>120</v>
      </c>
      <c r="Q23" s="476">
        <f t="shared" si="5"/>
        <v>1440</v>
      </c>
      <c r="R23" s="476">
        <f t="shared" si="15"/>
        <v>1800</v>
      </c>
      <c r="U23" s="509">
        <v>11</v>
      </c>
      <c r="V23" s="509">
        <v>5</v>
      </c>
      <c r="W23" s="509">
        <v>600</v>
      </c>
      <c r="X23" s="509">
        <f t="shared" si="6"/>
        <v>300</v>
      </c>
      <c r="Y23" s="532">
        <v>0.63</v>
      </c>
      <c r="Z23" s="329">
        <f t="shared" si="7"/>
        <v>2250</v>
      </c>
      <c r="AA23" s="509">
        <f>SUM(Z$13:Z23)</f>
        <v>7800</v>
      </c>
      <c r="AB23" s="541">
        <f>ROUND(((W23*Y23+(1-Y23)*X23)*基础经济系数!$C$5/2+AA24)/50,0)*50</f>
        <v>15650</v>
      </c>
      <c r="AC23" s="541">
        <f>(W23*Y23+(1-Y23)*X23)*基础经济系数!$C$5*2</f>
        <v>19560</v>
      </c>
      <c r="AD23" s="143">
        <f t="shared" si="8"/>
        <v>4900</v>
      </c>
    </row>
    <row r="24" spans="1:30" x14ac:dyDescent="0.35">
      <c r="B24" s="144">
        <v>12</v>
      </c>
      <c r="C24" s="228">
        <v>240</v>
      </c>
      <c r="D24" s="424">
        <f t="shared" si="9"/>
        <v>1800</v>
      </c>
      <c r="E24" s="228">
        <v>2</v>
      </c>
      <c r="F24" s="663">
        <f t="shared" si="10"/>
        <v>240</v>
      </c>
      <c r="G24" s="150">
        <f t="shared" si="11"/>
        <v>16</v>
      </c>
      <c r="H24" s="150">
        <f t="shared" si="12"/>
        <v>106.73333333333333</v>
      </c>
      <c r="I24" s="148">
        <f t="shared" si="0"/>
        <v>1.7142857142857144</v>
      </c>
      <c r="J24" s="148">
        <f t="shared" si="13"/>
        <v>11.478571428571431</v>
      </c>
      <c r="K24" s="228">
        <v>20</v>
      </c>
      <c r="L24" s="144">
        <f t="shared" si="1"/>
        <v>-18</v>
      </c>
      <c r="M24" s="367">
        <f t="shared" si="2"/>
        <v>12</v>
      </c>
      <c r="N24" s="148">
        <f t="shared" si="3"/>
        <v>0.8</v>
      </c>
      <c r="O24" s="150">
        <f t="shared" si="14"/>
        <v>6.2</v>
      </c>
      <c r="P24" s="638">
        <f t="shared" si="4"/>
        <v>120</v>
      </c>
      <c r="Q24" s="476">
        <f t="shared" si="5"/>
        <v>1680</v>
      </c>
      <c r="R24" s="476">
        <f t="shared" si="15"/>
        <v>2040</v>
      </c>
      <c r="U24" s="509">
        <v>12</v>
      </c>
      <c r="V24" s="509">
        <v>6</v>
      </c>
      <c r="W24" s="509">
        <v>650</v>
      </c>
      <c r="X24" s="509">
        <f t="shared" si="6"/>
        <v>325</v>
      </c>
      <c r="Y24" s="532">
        <v>0.61</v>
      </c>
      <c r="Z24" s="329">
        <f t="shared" si="7"/>
        <v>2950</v>
      </c>
      <c r="AA24" s="509">
        <f>SUM(Z$13:Z24)</f>
        <v>10750</v>
      </c>
      <c r="AB24" s="541">
        <f>ROUND(((W24*Y24+(1-Y24)*X24)*基础经济系数!$C$5/2+AA25)/50,0)*50</f>
        <v>20200</v>
      </c>
      <c r="AC24" s="541">
        <f>(W24*Y24+(1-Y24)*X24)*基础经济系数!$C$5*2</f>
        <v>20930</v>
      </c>
      <c r="AD24" s="143">
        <f t="shared" si="8"/>
        <v>5250</v>
      </c>
    </row>
    <row r="25" spans="1:30" x14ac:dyDescent="0.35">
      <c r="B25" s="144">
        <v>13</v>
      </c>
      <c r="C25" s="228">
        <v>100</v>
      </c>
      <c r="D25" s="424">
        <f t="shared" si="9"/>
        <v>1900</v>
      </c>
      <c r="E25" s="228">
        <v>5</v>
      </c>
      <c r="F25" s="663">
        <f t="shared" si="10"/>
        <v>40</v>
      </c>
      <c r="G25" s="150">
        <f t="shared" si="11"/>
        <v>2.6666666666666665</v>
      </c>
      <c r="H25" s="150">
        <f t="shared" si="12"/>
        <v>109.4</v>
      </c>
      <c r="I25" s="148">
        <f t="shared" si="0"/>
        <v>0.2857142857142857</v>
      </c>
      <c r="J25" s="148">
        <f t="shared" si="13"/>
        <v>11.764285714285718</v>
      </c>
      <c r="K25" s="228">
        <v>20</v>
      </c>
      <c r="L25" s="144">
        <f t="shared" si="1"/>
        <v>-15</v>
      </c>
      <c r="M25" s="367">
        <f t="shared" si="2"/>
        <v>5</v>
      </c>
      <c r="N25" s="148">
        <f t="shared" si="3"/>
        <v>0.33333333333333331</v>
      </c>
      <c r="O25" s="150">
        <f t="shared" si="14"/>
        <v>6.5333333333333332</v>
      </c>
      <c r="P25" s="638">
        <f t="shared" si="4"/>
        <v>50</v>
      </c>
      <c r="Q25" s="476">
        <f t="shared" si="5"/>
        <v>1850</v>
      </c>
      <c r="R25" s="476">
        <f t="shared" si="15"/>
        <v>2000</v>
      </c>
      <c r="U25" s="509">
        <v>13</v>
      </c>
      <c r="V25" s="509">
        <v>8</v>
      </c>
      <c r="W25" s="509">
        <v>700</v>
      </c>
      <c r="X25" s="509">
        <f t="shared" si="6"/>
        <v>350</v>
      </c>
      <c r="Y25" s="532">
        <v>0.6</v>
      </c>
      <c r="Z25" s="329">
        <f t="shared" si="7"/>
        <v>4200</v>
      </c>
      <c r="AA25" s="509">
        <f>SUM(Z$13:Z25)</f>
        <v>14950</v>
      </c>
      <c r="AB25" s="541">
        <f>ROUND(((W25*Y25+(1-Y25)*X25)*基础经济系数!$C$5/2+AA26)/50,0)*50</f>
        <v>26150</v>
      </c>
      <c r="AC25" s="541">
        <f>(W25*Y25+(1-Y25)*X25)*基础经济系数!$C$5*2</f>
        <v>22400</v>
      </c>
      <c r="AD25" s="143">
        <f t="shared" si="8"/>
        <v>5600</v>
      </c>
    </row>
    <row r="26" spans="1:30" x14ac:dyDescent="0.35">
      <c r="B26" s="144">
        <v>14</v>
      </c>
      <c r="C26" s="228">
        <v>100</v>
      </c>
      <c r="D26" s="424">
        <f t="shared" si="9"/>
        <v>2000</v>
      </c>
      <c r="E26" s="228">
        <v>5</v>
      </c>
      <c r="F26" s="663">
        <f t="shared" si="10"/>
        <v>40</v>
      </c>
      <c r="G26" s="150">
        <f t="shared" si="11"/>
        <v>2.6666666666666665</v>
      </c>
      <c r="H26" s="150">
        <f t="shared" si="12"/>
        <v>112.06666666666668</v>
      </c>
      <c r="I26" s="148">
        <f t="shared" si="0"/>
        <v>0.2857142857142857</v>
      </c>
      <c r="J26" s="148">
        <f t="shared" si="13"/>
        <v>12.050000000000004</v>
      </c>
      <c r="K26" s="228">
        <v>20</v>
      </c>
      <c r="L26" s="144">
        <f t="shared" si="1"/>
        <v>-15</v>
      </c>
      <c r="M26" s="367">
        <f t="shared" si="2"/>
        <v>5</v>
      </c>
      <c r="N26" s="148">
        <f t="shared" si="3"/>
        <v>0.33333333333333331</v>
      </c>
      <c r="O26" s="150">
        <f t="shared" si="14"/>
        <v>6.8666666666666663</v>
      </c>
      <c r="P26" s="638">
        <f t="shared" si="4"/>
        <v>50</v>
      </c>
      <c r="Q26" s="476">
        <f t="shared" si="5"/>
        <v>1950</v>
      </c>
      <c r="R26" s="476">
        <f t="shared" si="15"/>
        <v>2100</v>
      </c>
      <c r="U26" s="509">
        <v>14</v>
      </c>
      <c r="V26" s="509">
        <v>10</v>
      </c>
      <c r="W26" s="509">
        <v>750</v>
      </c>
      <c r="X26" s="509">
        <f t="shared" si="6"/>
        <v>375</v>
      </c>
      <c r="Y26" s="532">
        <v>0.59</v>
      </c>
      <c r="Z26" s="329">
        <f t="shared" si="7"/>
        <v>5600</v>
      </c>
      <c r="AA26" s="509">
        <f>SUM(Z$13:Z26)</f>
        <v>20550</v>
      </c>
      <c r="AB26" s="541">
        <f>ROUND(((W26*Y26+(1-Y26)*X26)*基础经济系数!$C$5/2+AA27)/50,0)*50</f>
        <v>35450</v>
      </c>
      <c r="AC26" s="541">
        <f>(W26*Y26+(1-Y26)*X26)*基础经济系数!$C$5*2</f>
        <v>23850</v>
      </c>
      <c r="AD26" s="143">
        <f t="shared" si="8"/>
        <v>5950</v>
      </c>
    </row>
    <row r="27" spans="1:30" x14ac:dyDescent="0.35">
      <c r="B27" s="144">
        <v>15</v>
      </c>
      <c r="C27" s="228">
        <v>100</v>
      </c>
      <c r="D27" s="424">
        <f t="shared" si="9"/>
        <v>2100</v>
      </c>
      <c r="E27" s="228">
        <v>5</v>
      </c>
      <c r="F27" s="663">
        <f t="shared" si="10"/>
        <v>40</v>
      </c>
      <c r="G27" s="150">
        <f t="shared" si="11"/>
        <v>2.6666666666666665</v>
      </c>
      <c r="H27" s="150">
        <f t="shared" si="12"/>
        <v>114.73333333333335</v>
      </c>
      <c r="I27" s="148">
        <f t="shared" si="0"/>
        <v>0.2857142857142857</v>
      </c>
      <c r="J27" s="148">
        <f t="shared" si="13"/>
        <v>12.335714285714291</v>
      </c>
      <c r="K27" s="228">
        <v>20</v>
      </c>
      <c r="L27" s="144">
        <f t="shared" si="1"/>
        <v>-15</v>
      </c>
      <c r="M27" s="367">
        <f t="shared" si="2"/>
        <v>5</v>
      </c>
      <c r="N27" s="148">
        <f t="shared" si="3"/>
        <v>0.33333333333333331</v>
      </c>
      <c r="O27" s="150">
        <f t="shared" si="14"/>
        <v>7.1999999999999993</v>
      </c>
      <c r="P27" s="638">
        <f t="shared" si="4"/>
        <v>50</v>
      </c>
      <c r="Q27" s="476">
        <f t="shared" si="5"/>
        <v>2050</v>
      </c>
      <c r="R27" s="476">
        <f t="shared" si="15"/>
        <v>2200</v>
      </c>
      <c r="U27" s="509">
        <v>15</v>
      </c>
      <c r="V27" s="509">
        <v>15</v>
      </c>
      <c r="W27" s="509">
        <v>800</v>
      </c>
      <c r="X27" s="509">
        <f t="shared" si="6"/>
        <v>400</v>
      </c>
      <c r="Y27" s="532">
        <v>0.57999999999999996</v>
      </c>
      <c r="Z27" s="329">
        <f t="shared" si="7"/>
        <v>8950</v>
      </c>
      <c r="AA27" s="509">
        <f>SUM(Z$13:Z27)</f>
        <v>29500</v>
      </c>
      <c r="AB27" s="541">
        <f>ROUND(((W27*Y27+(1-Y27)*X27)*基础经济系数!$C$5/2+AA28)/50,0)*50</f>
        <v>45300</v>
      </c>
      <c r="AC27" s="541">
        <f>(W27*Y27+(1-Y27)*X27)*基础经济系数!$C$5*2</f>
        <v>25280</v>
      </c>
      <c r="AD27" s="143">
        <f t="shared" si="8"/>
        <v>6300</v>
      </c>
    </row>
    <row r="28" spans="1:30" x14ac:dyDescent="0.35">
      <c r="B28" s="144">
        <v>16</v>
      </c>
      <c r="C28" s="228">
        <v>100</v>
      </c>
      <c r="D28" s="424">
        <f t="shared" si="9"/>
        <v>2200</v>
      </c>
      <c r="E28" s="228">
        <v>5</v>
      </c>
      <c r="F28" s="663">
        <f t="shared" si="10"/>
        <v>40</v>
      </c>
      <c r="G28" s="150">
        <f t="shared" si="11"/>
        <v>2.6666666666666665</v>
      </c>
      <c r="H28" s="150">
        <f t="shared" si="12"/>
        <v>117.40000000000002</v>
      </c>
      <c r="I28" s="148">
        <f t="shared" si="0"/>
        <v>0.2857142857142857</v>
      </c>
      <c r="J28" s="148">
        <f t="shared" si="13"/>
        <v>12.621428571428577</v>
      </c>
      <c r="K28" s="228">
        <v>20</v>
      </c>
      <c r="L28" s="144">
        <f t="shared" si="1"/>
        <v>-15</v>
      </c>
      <c r="M28" s="367">
        <f t="shared" si="2"/>
        <v>5</v>
      </c>
      <c r="N28" s="148">
        <f t="shared" si="3"/>
        <v>0.33333333333333331</v>
      </c>
      <c r="O28" s="150">
        <f t="shared" si="14"/>
        <v>7.5333333333333323</v>
      </c>
      <c r="P28" s="638">
        <f t="shared" si="4"/>
        <v>50</v>
      </c>
      <c r="Q28" s="476">
        <f t="shared" si="5"/>
        <v>2150</v>
      </c>
      <c r="R28" s="476">
        <f t="shared" si="15"/>
        <v>2300</v>
      </c>
      <c r="U28" s="509">
        <v>16</v>
      </c>
      <c r="V28" s="509">
        <v>15</v>
      </c>
      <c r="W28" s="509">
        <v>850</v>
      </c>
      <c r="X28" s="509">
        <f t="shared" si="6"/>
        <v>425</v>
      </c>
      <c r="Y28" s="532">
        <v>0.56999999999999995</v>
      </c>
      <c r="Z28" s="329">
        <f t="shared" si="7"/>
        <v>9500</v>
      </c>
      <c r="AA28" s="509">
        <f>SUM(Z$13:Z28)</f>
        <v>39000</v>
      </c>
      <c r="AB28" s="541">
        <f>ROUND(((W28*Y28+(1-Y28)*X28)*基础经济系数!$C$5/2+AA29)/50,0)*50</f>
        <v>59000</v>
      </c>
      <c r="AC28" s="541">
        <f>(W28*Y28+(1-Y28)*X28)*基础经济系数!$C$5*2</f>
        <v>26690</v>
      </c>
      <c r="AD28" s="143">
        <f t="shared" si="8"/>
        <v>6650</v>
      </c>
    </row>
    <row r="29" spans="1:30" x14ac:dyDescent="0.35">
      <c r="B29" s="144">
        <v>17</v>
      </c>
      <c r="C29" s="228">
        <v>100</v>
      </c>
      <c r="D29" s="424">
        <f t="shared" si="9"/>
        <v>2300</v>
      </c>
      <c r="E29" s="228">
        <v>5</v>
      </c>
      <c r="F29" s="663">
        <f t="shared" si="10"/>
        <v>40</v>
      </c>
      <c r="G29" s="150">
        <f t="shared" si="11"/>
        <v>2.6666666666666665</v>
      </c>
      <c r="H29" s="150">
        <f t="shared" si="12"/>
        <v>120.06666666666669</v>
      </c>
      <c r="I29" s="148">
        <f t="shared" si="0"/>
        <v>0.2857142857142857</v>
      </c>
      <c r="J29" s="148">
        <f t="shared" si="13"/>
        <v>12.907142857142864</v>
      </c>
      <c r="K29" s="228">
        <v>20</v>
      </c>
      <c r="L29" s="144">
        <f t="shared" si="1"/>
        <v>-15</v>
      </c>
      <c r="M29" s="367">
        <f t="shared" si="2"/>
        <v>5</v>
      </c>
      <c r="N29" s="148">
        <f t="shared" si="3"/>
        <v>0.33333333333333331</v>
      </c>
      <c r="O29" s="150">
        <f t="shared" si="14"/>
        <v>7.8666666666666654</v>
      </c>
      <c r="P29" s="638">
        <f t="shared" si="4"/>
        <v>50</v>
      </c>
      <c r="Q29" s="476">
        <f t="shared" si="5"/>
        <v>2250</v>
      </c>
      <c r="R29" s="476">
        <f t="shared" si="15"/>
        <v>2400</v>
      </c>
      <c r="U29" s="509">
        <v>17</v>
      </c>
      <c r="V29" s="509">
        <v>20</v>
      </c>
      <c r="W29" s="509">
        <v>900</v>
      </c>
      <c r="X29" s="509">
        <f t="shared" si="6"/>
        <v>450</v>
      </c>
      <c r="Y29" s="532">
        <v>0.56000000000000005</v>
      </c>
      <c r="Z29" s="329">
        <f t="shared" si="7"/>
        <v>13350</v>
      </c>
      <c r="AA29" s="509">
        <f>SUM(Z$13:Z29)</f>
        <v>52350</v>
      </c>
      <c r="AB29" s="541">
        <f>ROUND(((W29*Y29+(1-Y29)*X29)*基础经济系数!$C$5/2+AA30)/50,0)*50</f>
        <v>76900</v>
      </c>
      <c r="AC29" s="541">
        <f>(W29*Y29+(1-Y29)*X29)*基础经济系数!$C$5*2</f>
        <v>28080</v>
      </c>
      <c r="AD29" s="143">
        <f t="shared" si="8"/>
        <v>7000</v>
      </c>
    </row>
    <row r="30" spans="1:30" x14ac:dyDescent="0.35">
      <c r="B30" s="144">
        <v>18</v>
      </c>
      <c r="C30" s="228">
        <v>100</v>
      </c>
      <c r="D30" s="424">
        <f t="shared" si="9"/>
        <v>2400</v>
      </c>
      <c r="E30" s="228">
        <v>5</v>
      </c>
      <c r="F30" s="663">
        <f t="shared" si="10"/>
        <v>40</v>
      </c>
      <c r="G30" s="150">
        <f t="shared" si="11"/>
        <v>2.6666666666666665</v>
      </c>
      <c r="H30" s="150">
        <f t="shared" si="12"/>
        <v>122.73333333333336</v>
      </c>
      <c r="I30" s="148">
        <f t="shared" si="0"/>
        <v>0.2857142857142857</v>
      </c>
      <c r="J30" s="148">
        <f t="shared" si="13"/>
        <v>13.19285714285715</v>
      </c>
      <c r="K30" s="228">
        <v>20</v>
      </c>
      <c r="L30" s="144">
        <f t="shared" si="1"/>
        <v>-15</v>
      </c>
      <c r="M30" s="367">
        <f t="shared" si="2"/>
        <v>5</v>
      </c>
      <c r="N30" s="148">
        <f t="shared" si="3"/>
        <v>0.33333333333333331</v>
      </c>
      <c r="O30" s="150">
        <f t="shared" si="14"/>
        <v>8.1999999999999993</v>
      </c>
      <c r="P30" s="638">
        <f t="shared" si="4"/>
        <v>50</v>
      </c>
      <c r="Q30" s="476">
        <f t="shared" si="5"/>
        <v>2350</v>
      </c>
      <c r="R30" s="476">
        <f t="shared" si="15"/>
        <v>2500</v>
      </c>
      <c r="U30" s="509">
        <v>18</v>
      </c>
      <c r="V30" s="509">
        <v>25</v>
      </c>
      <c r="W30" s="509">
        <v>950</v>
      </c>
      <c r="X30" s="509">
        <f t="shared" si="6"/>
        <v>475</v>
      </c>
      <c r="Y30" s="532">
        <v>0.55000000000000004</v>
      </c>
      <c r="Z30" s="329">
        <f t="shared" si="7"/>
        <v>17550</v>
      </c>
      <c r="AA30" s="509">
        <f>SUM(Z$13:Z30)</f>
        <v>69900</v>
      </c>
      <c r="AB30" s="541">
        <f>ROUND(((W30*Y30+(1-Y30)*X30)*基础经济系数!$C$5/2+AA31)/50,0)*50</f>
        <v>99350</v>
      </c>
      <c r="AC30" s="541">
        <f>(W30*Y30+(1-Y30)*X30)*基础经济系数!$C$5*2</f>
        <v>29450</v>
      </c>
      <c r="AD30" s="143">
        <f t="shared" si="8"/>
        <v>7350</v>
      </c>
    </row>
    <row r="31" spans="1:30" x14ac:dyDescent="0.35">
      <c r="B31" s="144">
        <v>19</v>
      </c>
      <c r="C31" s="228">
        <v>150</v>
      </c>
      <c r="D31" s="424">
        <f t="shared" si="9"/>
        <v>2550</v>
      </c>
      <c r="E31" s="228">
        <v>5</v>
      </c>
      <c r="F31" s="663">
        <f t="shared" si="10"/>
        <v>60</v>
      </c>
      <c r="G31" s="150">
        <f t="shared" si="11"/>
        <v>4</v>
      </c>
      <c r="H31" s="150">
        <f t="shared" si="12"/>
        <v>126.73333333333336</v>
      </c>
      <c r="I31" s="148">
        <f t="shared" si="0"/>
        <v>0.42857142857142866</v>
      </c>
      <c r="J31" s="148">
        <f t="shared" si="13"/>
        <v>13.621428571428579</v>
      </c>
      <c r="K31" s="228">
        <v>20</v>
      </c>
      <c r="L31" s="144">
        <f t="shared" si="1"/>
        <v>-15</v>
      </c>
      <c r="M31" s="367">
        <f t="shared" si="2"/>
        <v>7.5</v>
      </c>
      <c r="N31" s="148">
        <f t="shared" si="3"/>
        <v>0.5</v>
      </c>
      <c r="O31" s="150">
        <f t="shared" si="14"/>
        <v>8.6999999999999993</v>
      </c>
      <c r="P31" s="638">
        <f t="shared" si="4"/>
        <v>75</v>
      </c>
      <c r="Q31" s="476">
        <f t="shared" si="5"/>
        <v>2475</v>
      </c>
      <c r="R31" s="476">
        <f t="shared" si="15"/>
        <v>2700</v>
      </c>
      <c r="U31" s="509">
        <v>19</v>
      </c>
      <c r="V31" s="509">
        <v>30</v>
      </c>
      <c r="W31" s="509">
        <v>1000</v>
      </c>
      <c r="X31" s="509">
        <f t="shared" si="6"/>
        <v>500</v>
      </c>
      <c r="Y31" s="532">
        <v>0.54</v>
      </c>
      <c r="Z31" s="329">
        <f t="shared" si="7"/>
        <v>22100</v>
      </c>
      <c r="AA31" s="509">
        <f>SUM(Z$13:Z31)</f>
        <v>92000</v>
      </c>
      <c r="AB31" s="541">
        <f>ROUND(((W31*Y31+(1-Y31)*X31)*基础经济系数!$C$5/2+AA32)/50,0)*50</f>
        <v>130500</v>
      </c>
      <c r="AC31" s="541">
        <f>(W31*Y31+(1-Y31)*X31)*基础经济系数!$C$5*2</f>
        <v>30800</v>
      </c>
      <c r="AD31" s="143">
        <f t="shared" si="8"/>
        <v>7700</v>
      </c>
    </row>
    <row r="32" spans="1:30" x14ac:dyDescent="0.35">
      <c r="B32" s="144">
        <v>20</v>
      </c>
      <c r="C32" s="228">
        <v>150</v>
      </c>
      <c r="D32" s="424">
        <f t="shared" si="9"/>
        <v>2700</v>
      </c>
      <c r="E32" s="228">
        <v>5</v>
      </c>
      <c r="F32" s="663">
        <f t="shared" si="10"/>
        <v>60</v>
      </c>
      <c r="G32" s="150">
        <f t="shared" si="11"/>
        <v>4</v>
      </c>
      <c r="H32" s="150">
        <f t="shared" si="12"/>
        <v>130.73333333333335</v>
      </c>
      <c r="I32" s="148">
        <f t="shared" si="0"/>
        <v>0.42857142857142866</v>
      </c>
      <c r="J32" s="148">
        <f t="shared" si="13"/>
        <v>14.050000000000008</v>
      </c>
      <c r="K32" s="228">
        <v>20</v>
      </c>
      <c r="L32" s="144">
        <f t="shared" si="1"/>
        <v>-15</v>
      </c>
      <c r="M32" s="367">
        <f t="shared" si="2"/>
        <v>7.5</v>
      </c>
      <c r="N32" s="148">
        <f t="shared" si="3"/>
        <v>0.5</v>
      </c>
      <c r="O32" s="150">
        <f t="shared" si="14"/>
        <v>9.1999999999999993</v>
      </c>
      <c r="P32" s="638">
        <f t="shared" si="4"/>
        <v>75</v>
      </c>
      <c r="Q32" s="476">
        <f t="shared" si="5"/>
        <v>2625</v>
      </c>
      <c r="R32" s="476">
        <f t="shared" si="15"/>
        <v>2850</v>
      </c>
      <c r="U32" s="509">
        <v>20</v>
      </c>
      <c r="V32" s="509">
        <v>40</v>
      </c>
      <c r="W32" s="509">
        <v>1050</v>
      </c>
      <c r="X32" s="509">
        <f t="shared" si="6"/>
        <v>525</v>
      </c>
      <c r="Y32" s="532">
        <v>0.54</v>
      </c>
      <c r="Z32" s="329">
        <f t="shared" si="7"/>
        <v>30800</v>
      </c>
      <c r="AA32" s="509">
        <f>SUM(Z$13:Z32)</f>
        <v>122800</v>
      </c>
      <c r="AB32" s="541">
        <f>ROUND(((W32*Y32+(1-Y32)*X32)*基础经济系数!$C$5/2+AA33)/50,0)*50</f>
        <v>171350</v>
      </c>
      <c r="AC32" s="541">
        <f>(W32*Y32+(1-Y32)*X32)*基础经济系数!$C$5*2</f>
        <v>32340</v>
      </c>
      <c r="AD32" s="143">
        <f t="shared" si="8"/>
        <v>8100</v>
      </c>
    </row>
    <row r="33" spans="2:30" x14ac:dyDescent="0.35">
      <c r="B33" s="144">
        <v>21</v>
      </c>
      <c r="C33" s="228">
        <v>150</v>
      </c>
      <c r="D33" s="424">
        <f t="shared" si="9"/>
        <v>2850</v>
      </c>
      <c r="E33" s="228">
        <v>5</v>
      </c>
      <c r="F33" s="663">
        <f t="shared" si="10"/>
        <v>60</v>
      </c>
      <c r="G33" s="150">
        <f t="shared" si="11"/>
        <v>4</v>
      </c>
      <c r="H33" s="150">
        <f t="shared" si="12"/>
        <v>134.73333333333335</v>
      </c>
      <c r="I33" s="148">
        <f t="shared" si="0"/>
        <v>0.42857142857142866</v>
      </c>
      <c r="J33" s="148">
        <f t="shared" si="13"/>
        <v>14.478571428571437</v>
      </c>
      <c r="K33" s="228">
        <v>20</v>
      </c>
      <c r="L33" s="144">
        <f t="shared" si="1"/>
        <v>-15</v>
      </c>
      <c r="M33" s="367">
        <f t="shared" si="2"/>
        <v>7.5</v>
      </c>
      <c r="N33" s="148">
        <f t="shared" si="3"/>
        <v>0.5</v>
      </c>
      <c r="O33" s="150">
        <f t="shared" si="14"/>
        <v>9.6999999999999993</v>
      </c>
      <c r="P33" s="638">
        <f t="shared" si="4"/>
        <v>75</v>
      </c>
      <c r="Q33" s="476">
        <f t="shared" si="5"/>
        <v>2775</v>
      </c>
      <c r="R33" s="476">
        <f t="shared" si="15"/>
        <v>3000</v>
      </c>
      <c r="U33" s="509">
        <v>21</v>
      </c>
      <c r="V33" s="509">
        <v>50</v>
      </c>
      <c r="W33" s="509">
        <v>1100</v>
      </c>
      <c r="X33" s="509">
        <f t="shared" si="6"/>
        <v>550</v>
      </c>
      <c r="Y33" s="532">
        <v>0.53</v>
      </c>
      <c r="Z33" s="329">
        <f t="shared" si="7"/>
        <v>40450</v>
      </c>
      <c r="AA33" s="509">
        <f>SUM(Z$13:Z33)</f>
        <v>163250</v>
      </c>
      <c r="AB33" s="541">
        <f>ROUND(((W33*Y33+(1-Y33)*X33)*基础经济系数!$C$5/2+AA34)/50,0)*50</f>
        <v>226350</v>
      </c>
      <c r="AC33" s="541">
        <f>(W33*Y33+(1-Y33)*X33)*基础经济系数!$C$5*2</f>
        <v>33660</v>
      </c>
      <c r="AD33" s="143">
        <f t="shared" si="8"/>
        <v>8400</v>
      </c>
    </row>
    <row r="34" spans="2:30" x14ac:dyDescent="0.35">
      <c r="B34" s="144">
        <v>22</v>
      </c>
      <c r="C34" s="228">
        <v>200</v>
      </c>
      <c r="D34" s="424">
        <f t="shared" si="9"/>
        <v>3050</v>
      </c>
      <c r="E34" s="228">
        <v>5</v>
      </c>
      <c r="F34" s="663">
        <f t="shared" si="10"/>
        <v>80</v>
      </c>
      <c r="G34" s="150">
        <f t="shared" si="11"/>
        <v>5.333333333333333</v>
      </c>
      <c r="H34" s="150">
        <f t="shared" si="12"/>
        <v>140.06666666666669</v>
      </c>
      <c r="I34" s="148">
        <f t="shared" si="0"/>
        <v>0.5714285714285714</v>
      </c>
      <c r="J34" s="148">
        <f t="shared" si="13"/>
        <v>15.050000000000008</v>
      </c>
      <c r="K34" s="228">
        <v>20</v>
      </c>
      <c r="L34" s="144">
        <f t="shared" si="1"/>
        <v>-15</v>
      </c>
      <c r="M34" s="367">
        <f t="shared" si="2"/>
        <v>10</v>
      </c>
      <c r="N34" s="148">
        <f t="shared" si="3"/>
        <v>0.66666666666666663</v>
      </c>
      <c r="O34" s="150">
        <f t="shared" si="14"/>
        <v>10.366666666666665</v>
      </c>
      <c r="P34" s="638">
        <f t="shared" si="4"/>
        <v>100</v>
      </c>
      <c r="Q34" s="476">
        <f t="shared" si="5"/>
        <v>2950</v>
      </c>
      <c r="R34" s="476">
        <f t="shared" si="15"/>
        <v>3250</v>
      </c>
      <c r="U34" s="509">
        <v>22</v>
      </c>
      <c r="V34" s="509">
        <v>65</v>
      </c>
      <c r="W34" s="509">
        <v>1150</v>
      </c>
      <c r="X34" s="509">
        <f t="shared" si="6"/>
        <v>575</v>
      </c>
      <c r="Y34" s="532">
        <v>0.53</v>
      </c>
      <c r="Z34" s="329">
        <f t="shared" si="7"/>
        <v>54700</v>
      </c>
      <c r="AA34" s="509">
        <f>SUM(Z$13:Z34)</f>
        <v>217950</v>
      </c>
      <c r="AB34" s="541">
        <f>ROUND(((W34*Y34+(1-Y34)*X34)*基础经济系数!$C$5/2+AA35)/50,0)*50</f>
        <v>297150</v>
      </c>
      <c r="AC34" s="541">
        <f>(W34*Y34+(1-Y34)*X34)*基础经济系数!$C$5*2</f>
        <v>35190</v>
      </c>
      <c r="AD34" s="143">
        <f t="shared" si="8"/>
        <v>8800</v>
      </c>
    </row>
    <row r="35" spans="2:30" x14ac:dyDescent="0.35">
      <c r="B35" s="144">
        <v>23</v>
      </c>
      <c r="C35" s="228">
        <v>200</v>
      </c>
      <c r="D35" s="424">
        <f t="shared" si="9"/>
        <v>3250</v>
      </c>
      <c r="E35" s="228">
        <v>5</v>
      </c>
      <c r="F35" s="663">
        <f t="shared" si="10"/>
        <v>80</v>
      </c>
      <c r="G35" s="150">
        <f t="shared" si="11"/>
        <v>5.333333333333333</v>
      </c>
      <c r="H35" s="150">
        <f t="shared" si="12"/>
        <v>145.40000000000003</v>
      </c>
      <c r="I35" s="148">
        <f t="shared" si="0"/>
        <v>0.5714285714285714</v>
      </c>
      <c r="J35" s="148">
        <f t="shared" si="13"/>
        <v>15.621428571428579</v>
      </c>
      <c r="K35" s="228">
        <v>20</v>
      </c>
      <c r="L35" s="144">
        <f t="shared" si="1"/>
        <v>-15</v>
      </c>
      <c r="M35" s="367">
        <f t="shared" si="2"/>
        <v>10</v>
      </c>
      <c r="N35" s="148">
        <f t="shared" si="3"/>
        <v>0.66666666666666663</v>
      </c>
      <c r="O35" s="150">
        <f t="shared" si="14"/>
        <v>11.033333333333331</v>
      </c>
      <c r="P35" s="638">
        <f t="shared" si="4"/>
        <v>100</v>
      </c>
      <c r="Q35" s="476">
        <f t="shared" si="5"/>
        <v>3150</v>
      </c>
      <c r="R35" s="476">
        <f t="shared" si="15"/>
        <v>3450</v>
      </c>
      <c r="U35" s="509">
        <v>23</v>
      </c>
      <c r="V35" s="509">
        <v>80</v>
      </c>
      <c r="W35" s="509">
        <v>1200</v>
      </c>
      <c r="X35" s="509">
        <f t="shared" si="6"/>
        <v>600</v>
      </c>
      <c r="Y35" s="532">
        <v>0.53</v>
      </c>
      <c r="Z35" s="329">
        <f t="shared" si="7"/>
        <v>70400</v>
      </c>
      <c r="AA35" s="509">
        <f>SUM(Z$13:Z35)</f>
        <v>288350</v>
      </c>
      <c r="AB35" s="541">
        <f>ROUND(((W35*Y35+(1-Y35)*X35)*基础经济系数!$C$5/2+AA36)/50,0)*50</f>
        <v>393950</v>
      </c>
      <c r="AC35" s="541">
        <f>(W35*Y35+(1-Y35)*X35)*基础经济系数!$C$5*2</f>
        <v>36720</v>
      </c>
      <c r="AD35" s="143">
        <f t="shared" si="8"/>
        <v>9200</v>
      </c>
    </row>
    <row r="36" spans="2:30" x14ac:dyDescent="0.35">
      <c r="B36" s="144">
        <v>24</v>
      </c>
      <c r="C36" s="228">
        <v>200</v>
      </c>
      <c r="D36" s="424">
        <f t="shared" si="9"/>
        <v>3450</v>
      </c>
      <c r="E36" s="228">
        <v>5</v>
      </c>
      <c r="F36" s="663">
        <f t="shared" si="10"/>
        <v>80</v>
      </c>
      <c r="G36" s="150">
        <f t="shared" si="11"/>
        <v>5.333333333333333</v>
      </c>
      <c r="H36" s="150">
        <f t="shared" si="12"/>
        <v>150.73333333333338</v>
      </c>
      <c r="I36" s="148">
        <f t="shared" si="0"/>
        <v>0.5714285714285714</v>
      </c>
      <c r="J36" s="148">
        <f t="shared" si="13"/>
        <v>16.19285714285715</v>
      </c>
      <c r="K36" s="228">
        <v>20</v>
      </c>
      <c r="L36" s="144">
        <f t="shared" si="1"/>
        <v>-15</v>
      </c>
      <c r="M36" s="367">
        <f t="shared" si="2"/>
        <v>10</v>
      </c>
      <c r="N36" s="148">
        <f t="shared" si="3"/>
        <v>0.66666666666666663</v>
      </c>
      <c r="O36" s="150">
        <f t="shared" si="14"/>
        <v>11.699999999999998</v>
      </c>
      <c r="P36" s="638">
        <f t="shared" si="4"/>
        <v>100</v>
      </c>
      <c r="Q36" s="476">
        <f t="shared" si="5"/>
        <v>3350</v>
      </c>
      <c r="R36" s="476">
        <f t="shared" si="15"/>
        <v>3650</v>
      </c>
      <c r="U36" s="509">
        <v>24</v>
      </c>
      <c r="V36" s="509">
        <v>105</v>
      </c>
      <c r="W36" s="509">
        <v>1250</v>
      </c>
      <c r="X36" s="509">
        <f t="shared" si="6"/>
        <v>625</v>
      </c>
      <c r="Y36" s="532">
        <v>0.52</v>
      </c>
      <c r="Z36" s="329">
        <f t="shared" si="7"/>
        <v>96400</v>
      </c>
      <c r="AA36" s="509">
        <f>SUM(Z$13:Z36)</f>
        <v>384750</v>
      </c>
      <c r="AB36" s="541">
        <f>ROUND(((W36*Y36+(1-Y36)*X36)*基础经济系数!$C$5/2+AA37)/50,0)*50</f>
        <v>517750</v>
      </c>
      <c r="AC36" s="541">
        <f>(W36*Y36+(1-Y36)*X36)*基础经济系数!$C$5*2</f>
        <v>38000</v>
      </c>
      <c r="AD36" s="143">
        <f t="shared" si="8"/>
        <v>9500</v>
      </c>
    </row>
    <row r="37" spans="2:30" x14ac:dyDescent="0.35">
      <c r="B37" s="146"/>
      <c r="C37" s="146"/>
      <c r="D37" s="146"/>
      <c r="E37" s="146"/>
      <c r="F37" s="146"/>
      <c r="G37" s="146"/>
      <c r="H37" s="146"/>
      <c r="I37" s="327"/>
      <c r="J37" s="327"/>
      <c r="K37" s="146"/>
      <c r="L37" s="146"/>
      <c r="M37" s="169"/>
      <c r="N37" s="328"/>
      <c r="O37" s="328"/>
      <c r="P37" s="146"/>
      <c r="Q37" s="146"/>
      <c r="R37" s="146"/>
      <c r="S37" s="327"/>
      <c r="T37" s="328"/>
      <c r="U37" s="509">
        <v>25</v>
      </c>
      <c r="V37" s="509">
        <v>130</v>
      </c>
      <c r="W37" s="509">
        <v>1300</v>
      </c>
      <c r="X37" s="509">
        <f t="shared" si="6"/>
        <v>650</v>
      </c>
      <c r="Y37" s="532">
        <v>0.52</v>
      </c>
      <c r="Z37" s="329">
        <f t="shared" si="7"/>
        <v>123500</v>
      </c>
      <c r="AA37" s="509">
        <f>SUM(Z$13:Z37)</f>
        <v>508250</v>
      </c>
      <c r="AB37" s="541">
        <f>ROUND(((W37*Y37+(1-Y37)*X37)*基础经济系数!$C$5/2+AA38)/50,0)*50</f>
        <v>681150</v>
      </c>
      <c r="AC37" s="541">
        <f>(W37*Y37+(1-Y37)*X37)*基础经济系数!$C$5*2</f>
        <v>39520</v>
      </c>
      <c r="AD37" s="143">
        <f t="shared" si="8"/>
        <v>9900</v>
      </c>
    </row>
    <row r="38" spans="2:30" x14ac:dyDescent="0.35">
      <c r="B38" s="146"/>
      <c r="C38" s="146"/>
      <c r="D38" s="146"/>
      <c r="E38" s="146"/>
      <c r="F38" s="146"/>
      <c r="G38" s="146"/>
      <c r="H38" s="146"/>
      <c r="I38" s="327"/>
      <c r="J38" s="327"/>
      <c r="K38" s="146"/>
      <c r="L38" s="146"/>
      <c r="M38" s="169"/>
      <c r="N38" s="328"/>
      <c r="O38" s="328"/>
      <c r="P38" s="146"/>
      <c r="Q38" s="146"/>
      <c r="R38" s="146"/>
      <c r="S38" s="327"/>
      <c r="T38" s="328"/>
      <c r="U38" s="509">
        <v>26</v>
      </c>
      <c r="V38" s="509">
        <v>165</v>
      </c>
      <c r="W38" s="509">
        <v>1350</v>
      </c>
      <c r="X38" s="509">
        <f t="shared" si="6"/>
        <v>675</v>
      </c>
      <c r="Y38" s="532">
        <v>0.52</v>
      </c>
      <c r="Z38" s="329">
        <f t="shared" si="7"/>
        <v>163000</v>
      </c>
      <c r="AA38" s="509">
        <f>SUM(Z$13:Z38)</f>
        <v>671250</v>
      </c>
      <c r="AB38" s="541">
        <f>ROUND(((W38*Y38+(1-Y38)*X38)*基础经济系数!$C$5/2+AA39)/50,0)*50</f>
        <v>891850</v>
      </c>
      <c r="AC38" s="541">
        <f>(W38*Y38+(1-Y38)*X38)*基础经济系数!$C$5*2</f>
        <v>41040</v>
      </c>
      <c r="AD38" s="143">
        <f t="shared" si="8"/>
        <v>10250</v>
      </c>
    </row>
    <row r="39" spans="2:30" x14ac:dyDescent="0.35">
      <c r="B39" s="320" t="s">
        <v>597</v>
      </c>
      <c r="C39" s="325" t="s">
        <v>1669</v>
      </c>
      <c r="D39" s="325" t="s">
        <v>1670</v>
      </c>
      <c r="E39" s="320" t="s">
        <v>829</v>
      </c>
      <c r="F39" s="320" t="s">
        <v>830</v>
      </c>
      <c r="G39" s="320" t="s">
        <v>597</v>
      </c>
      <c r="H39" s="337" t="s">
        <v>1685</v>
      </c>
      <c r="I39" s="570" t="s">
        <v>2572</v>
      </c>
      <c r="J39" s="387" t="s">
        <v>1809</v>
      </c>
      <c r="U39" s="509">
        <v>27</v>
      </c>
      <c r="V39" s="509">
        <v>205</v>
      </c>
      <c r="W39" s="509">
        <v>1400</v>
      </c>
      <c r="X39" s="509">
        <f t="shared" si="6"/>
        <v>700</v>
      </c>
      <c r="Y39" s="532">
        <v>0.51</v>
      </c>
      <c r="Z39" s="329">
        <f t="shared" si="7"/>
        <v>210350</v>
      </c>
      <c r="AA39" s="509">
        <f>SUM(Z$13:Z39)</f>
        <v>881600</v>
      </c>
      <c r="AB39" s="541">
        <f>ROUND(((W39*Y39+(1-Y39)*X39)*基础经济系数!$C$5/2+AA40)/50,0)*50</f>
        <v>1166950</v>
      </c>
      <c r="AC39" s="541">
        <f>(W39*Y39+(1-Y39)*X39)*基础经济系数!$C$5*2</f>
        <v>42280</v>
      </c>
      <c r="AD39" s="143">
        <f t="shared" si="8"/>
        <v>10550</v>
      </c>
    </row>
    <row r="40" spans="2:30" x14ac:dyDescent="0.35">
      <c r="B40" s="320">
        <v>1</v>
      </c>
      <c r="C40" s="320">
        <v>0</v>
      </c>
      <c r="D40" s="320">
        <f>C41-C40</f>
        <v>60</v>
      </c>
      <c r="E40" s="320">
        <f>K13</f>
        <v>10</v>
      </c>
      <c r="F40" s="320">
        <f>L13</f>
        <v>0</v>
      </c>
      <c r="G40" s="320">
        <v>1</v>
      </c>
      <c r="H40" s="329">
        <f ca="1">ROUND(I40*J40/50,0)*50</f>
        <v>850</v>
      </c>
      <c r="I40" s="329">
        <f ca="1">ROUND(VLOOKUP(B40,战斗力计算!$G$73:$O$97,MATCH(I$39,战斗力计算!$G$73:$O$73,0),FALSE),0)</f>
        <v>2556</v>
      </c>
      <c r="J40" s="367">
        <v>0.34</v>
      </c>
      <c r="K40" s="143">
        <f ca="1">ROUND(AVERAGE(战斗力计算!D74,战斗力计算!D84,战斗力计算!D94),0)</f>
        <v>1319</v>
      </c>
      <c r="P40" s="143">
        <f ca="1">ROUND(AVERAGE(战斗力计算!D74,战斗力计算!D84,战斗力计算!D94),0)</f>
        <v>1319</v>
      </c>
      <c r="Q40" s="143">
        <f ca="1">I40-P40</f>
        <v>1237</v>
      </c>
      <c r="R40" s="143">
        <f ca="1">ROUND(1-Q40/I40*1.5,2)</f>
        <v>0.27</v>
      </c>
      <c r="U40" s="509">
        <v>28</v>
      </c>
      <c r="V40" s="509">
        <v>260</v>
      </c>
      <c r="W40" s="509">
        <v>1450</v>
      </c>
      <c r="X40" s="509">
        <f t="shared" si="6"/>
        <v>725</v>
      </c>
      <c r="Y40" s="532">
        <v>0.51</v>
      </c>
      <c r="Z40" s="329">
        <f t="shared" si="7"/>
        <v>274800</v>
      </c>
      <c r="AA40" s="509">
        <f>SUM(Z$13:Z40)</f>
        <v>1156400</v>
      </c>
      <c r="AB40" s="541">
        <f>ROUND(((W40*Y40+(1-Y40)*X40)*基础经济系数!$C$5/2+AA41)/50,0)*50</f>
        <v>1528600</v>
      </c>
      <c r="AC40" s="541">
        <f>(W40*Y40+(1-Y40)*X40)*基础经济系数!$C$5*2</f>
        <v>43790</v>
      </c>
      <c r="AD40" s="143">
        <f t="shared" si="8"/>
        <v>10950</v>
      </c>
    </row>
    <row r="41" spans="2:30" x14ac:dyDescent="0.35">
      <c r="B41" s="320">
        <v>2</v>
      </c>
      <c r="C41" s="367">
        <f>D13</f>
        <v>60</v>
      </c>
      <c r="D41" s="476">
        <f t="shared" ref="D41:D63" si="16">C42-C41</f>
        <v>60</v>
      </c>
      <c r="E41" s="400">
        <f t="shared" ref="E41:E63" si="17">K14</f>
        <v>20</v>
      </c>
      <c r="F41" s="400">
        <f t="shared" ref="F41:F63" si="18">L14</f>
        <v>-12</v>
      </c>
      <c r="G41" s="320">
        <v>2</v>
      </c>
      <c r="H41" s="329">
        <f ca="1">ROUND(I41*J41/50,0)*50</f>
        <v>1450</v>
      </c>
      <c r="I41" s="329">
        <f ca="1">ROUND(VLOOKUP(B41,战斗力计算!$G$73:$O$97,MATCH(I$39,战斗力计算!$G$73:$O$73,0),FALSE),0)</f>
        <v>3841</v>
      </c>
      <c r="J41" s="367">
        <v>0.38</v>
      </c>
      <c r="K41" s="143">
        <f ca="1">ROUND(AVERAGE(战斗力计算!D75,战斗力计算!D85,战斗力计算!D95),0)</f>
        <v>1485</v>
      </c>
      <c r="L41" s="143">
        <f ca="1">I41-(I41-K41)*3</f>
        <v>-3227</v>
      </c>
      <c r="M41" s="143">
        <f ca="1">ROUND(L41/I41,2)</f>
        <v>-0.84</v>
      </c>
      <c r="N41" s="143">
        <f ca="1">IF(M41&gt;0.85,0.85,M41)</f>
        <v>-0.84</v>
      </c>
      <c r="P41" s="143">
        <f ca="1">ROUND(战斗力计算!O74,0)</f>
        <v>2556</v>
      </c>
      <c r="Q41" s="143">
        <f t="shared" ref="Q41:Q63" ca="1" si="19">I41-P41</f>
        <v>1285</v>
      </c>
      <c r="R41" s="143">
        <f t="shared" ref="R41:R63" ca="1" si="20">ROUND(1-Q41/I41*1.5,2)</f>
        <v>0.5</v>
      </c>
      <c r="U41" s="509">
        <v>29</v>
      </c>
      <c r="V41" s="509">
        <v>330</v>
      </c>
      <c r="W41" s="509">
        <v>1500</v>
      </c>
      <c r="X41" s="509">
        <f t="shared" si="6"/>
        <v>750</v>
      </c>
      <c r="Y41" s="532">
        <v>0.51</v>
      </c>
      <c r="Z41" s="329">
        <f t="shared" si="7"/>
        <v>361250</v>
      </c>
      <c r="AA41" s="509">
        <f>SUM(Z$13:Z41)</f>
        <v>1517650</v>
      </c>
      <c r="AB41" s="541">
        <f>ROUND(((W41*Y41+(1-Y41)*X41)*基础经济系数!$C$5/2+AA42)/50,0)*50</f>
        <v>2004650</v>
      </c>
      <c r="AC41" s="541">
        <f>(W41*Y41+(1-Y41)*X41)*基础经济系数!$C$5*2</f>
        <v>45300</v>
      </c>
      <c r="AD41" s="143">
        <f t="shared" si="8"/>
        <v>11350</v>
      </c>
    </row>
    <row r="42" spans="2:30" x14ac:dyDescent="0.35">
      <c r="B42" s="320">
        <v>3</v>
      </c>
      <c r="C42" s="476">
        <f t="shared" ref="C42:C63" si="21">D14</f>
        <v>120</v>
      </c>
      <c r="D42" s="476">
        <f t="shared" si="16"/>
        <v>60</v>
      </c>
      <c r="E42" s="400">
        <f t="shared" si="17"/>
        <v>20</v>
      </c>
      <c r="F42" s="400">
        <f t="shared" si="18"/>
        <v>-14</v>
      </c>
      <c r="G42" s="320">
        <v>3</v>
      </c>
      <c r="H42" s="329">
        <f t="shared" ref="H42:H63" ca="1" si="22">ROUND(I42*J42/50,0)*50</f>
        <v>2450</v>
      </c>
      <c r="I42" s="329">
        <f ca="1">ROUND(VLOOKUP(B42,战斗力计算!$G$73:$O$97,MATCH(I$39,战斗力计算!$G$73:$O$73,0),FALSE),0)</f>
        <v>5040</v>
      </c>
      <c r="J42" s="476">
        <v>0.49</v>
      </c>
      <c r="K42" s="143">
        <f ca="1">ROUND(AVERAGE(战斗力计算!D76,战斗力计算!D86,战斗力计算!D96),0)</f>
        <v>1299</v>
      </c>
      <c r="L42" s="143">
        <f t="shared" ref="L42:L63" ca="1" si="23">I42-(I42-K42)*3</f>
        <v>-6183</v>
      </c>
      <c r="M42" s="143">
        <f t="shared" ref="M42:M63" ca="1" si="24">ROUND(L42/I42,2)</f>
        <v>-1.23</v>
      </c>
      <c r="N42" s="143">
        <f t="shared" ref="N42:N63" ca="1" si="25">IF(M42&gt;0.85,0.85,M42)</f>
        <v>-1.23</v>
      </c>
      <c r="P42" s="143">
        <f ca="1">ROUND(战斗力计算!O75,0)</f>
        <v>3841</v>
      </c>
      <c r="Q42" s="143">
        <f t="shared" ca="1" si="19"/>
        <v>1199</v>
      </c>
      <c r="R42" s="143">
        <f t="shared" ca="1" si="20"/>
        <v>0.64</v>
      </c>
      <c r="U42" s="509">
        <v>30</v>
      </c>
      <c r="V42" s="509">
        <v>420</v>
      </c>
      <c r="W42" s="509">
        <v>1550</v>
      </c>
      <c r="X42" s="509">
        <f t="shared" si="6"/>
        <v>775</v>
      </c>
      <c r="Y42" s="532">
        <v>0.51</v>
      </c>
      <c r="Z42" s="329">
        <f t="shared" si="7"/>
        <v>475650</v>
      </c>
      <c r="AA42" s="509">
        <f>SUM(Z$13:Z42)</f>
        <v>1993300</v>
      </c>
      <c r="AB42" s="541">
        <f>ROUND(((W42*Y42+(1-Y42)*X42)*基础经济系数!$C$5/2+AA43)/50,0)*50</f>
        <v>11700</v>
      </c>
      <c r="AC42" s="541">
        <f>(W42*Y42+(1-Y42)*X42)*基础经济系数!$C$5*2</f>
        <v>46810</v>
      </c>
      <c r="AD42" s="143">
        <f t="shared" si="8"/>
        <v>11700</v>
      </c>
    </row>
    <row r="43" spans="2:30" x14ac:dyDescent="0.35">
      <c r="B43" s="320">
        <v>4</v>
      </c>
      <c r="C43" s="476">
        <f t="shared" si="21"/>
        <v>180</v>
      </c>
      <c r="D43" s="476">
        <f t="shared" si="16"/>
        <v>120</v>
      </c>
      <c r="E43" s="400">
        <f t="shared" si="17"/>
        <v>20</v>
      </c>
      <c r="F43" s="400">
        <f t="shared" si="18"/>
        <v>-16</v>
      </c>
      <c r="G43" s="320">
        <v>4</v>
      </c>
      <c r="H43" s="329">
        <f t="shared" ca="1" si="22"/>
        <v>3450</v>
      </c>
      <c r="I43" s="329">
        <f ca="1">ROUND(VLOOKUP(B43,战斗力计算!$G$73:$O$97,MATCH(I$39,战斗力计算!$G$73:$O$73,0),FALSE),0)</f>
        <v>6151</v>
      </c>
      <c r="J43" s="476">
        <v>0.56000000000000005</v>
      </c>
      <c r="K43" s="143">
        <f ca="1">ROUND(AVERAGE(战斗力计算!D77,战斗力计算!D87,战斗力计算!D97),0)</f>
        <v>1882</v>
      </c>
      <c r="L43" s="143">
        <f t="shared" ca="1" si="23"/>
        <v>-6656</v>
      </c>
      <c r="M43" s="143">
        <f t="shared" ca="1" si="24"/>
        <v>-1.08</v>
      </c>
      <c r="N43" s="143">
        <f t="shared" ca="1" si="25"/>
        <v>-1.08</v>
      </c>
      <c r="P43" s="143">
        <f ca="1">ROUND(战斗力计算!O76,0)</f>
        <v>5040</v>
      </c>
      <c r="Q43" s="143">
        <f t="shared" ca="1" si="19"/>
        <v>1111</v>
      </c>
      <c r="R43" s="143">
        <f t="shared" ca="1" si="20"/>
        <v>0.73</v>
      </c>
    </row>
    <row r="44" spans="2:30" x14ac:dyDescent="0.35">
      <c r="B44" s="320">
        <v>5</v>
      </c>
      <c r="C44" s="476">
        <f t="shared" si="21"/>
        <v>300</v>
      </c>
      <c r="D44" s="476">
        <f t="shared" si="16"/>
        <v>120</v>
      </c>
      <c r="E44" s="400">
        <f t="shared" si="17"/>
        <v>20</v>
      </c>
      <c r="F44" s="400">
        <f t="shared" si="18"/>
        <v>-18</v>
      </c>
      <c r="G44" s="320">
        <v>5</v>
      </c>
      <c r="H44" s="329">
        <f t="shared" ca="1" si="22"/>
        <v>4400</v>
      </c>
      <c r="I44" s="329">
        <f ca="1">ROUND(VLOOKUP(B44,战斗力计算!$G$73:$O$97,MATCH(I$39,战斗力计算!$G$73:$O$73,0),FALSE),0)</f>
        <v>7174</v>
      </c>
      <c r="J44" s="476">
        <v>0.61</v>
      </c>
      <c r="K44" s="143">
        <f ca="1">ROUND(AVERAGE(战斗力计算!D78,战斗力计算!D88,战斗力计算!D98),0)</f>
        <v>1579</v>
      </c>
      <c r="L44" s="143">
        <f t="shared" ca="1" si="23"/>
        <v>-9611</v>
      </c>
      <c r="M44" s="143">
        <f t="shared" ca="1" si="24"/>
        <v>-1.34</v>
      </c>
      <c r="N44" s="143">
        <f t="shared" ca="1" si="25"/>
        <v>-1.34</v>
      </c>
      <c r="P44" s="143">
        <f ca="1">ROUND(战斗力计算!O77,0)</f>
        <v>6151</v>
      </c>
      <c r="Q44" s="143">
        <f t="shared" ca="1" si="19"/>
        <v>1023</v>
      </c>
      <c r="R44" s="143">
        <f t="shared" ca="1" si="20"/>
        <v>0.79</v>
      </c>
    </row>
    <row r="45" spans="2:30" x14ac:dyDescent="0.35">
      <c r="B45" s="320">
        <v>6</v>
      </c>
      <c r="C45" s="476">
        <f t="shared" si="21"/>
        <v>420</v>
      </c>
      <c r="D45" s="476">
        <f t="shared" si="16"/>
        <v>120</v>
      </c>
      <c r="E45" s="400">
        <f t="shared" si="17"/>
        <v>20</v>
      </c>
      <c r="F45" s="400">
        <f t="shared" si="18"/>
        <v>-18</v>
      </c>
      <c r="G45" s="320">
        <v>6</v>
      </c>
      <c r="H45" s="329">
        <f t="shared" ca="1" si="22"/>
        <v>5250</v>
      </c>
      <c r="I45" s="329">
        <f ca="1">ROUND(VLOOKUP(B45,战斗力计算!$G$73:$O$97,MATCH(I$39,战斗力计算!$G$73:$O$73,0),FALSE),0)</f>
        <v>8112</v>
      </c>
      <c r="J45" s="476">
        <v>0.65</v>
      </c>
      <c r="K45" s="143">
        <f ca="1">ROUND(AVERAGE(战斗力计算!D79,战斗力计算!D89,战斗力计算!D99),0)</f>
        <v>1732</v>
      </c>
      <c r="L45" s="143">
        <f t="shared" ca="1" si="23"/>
        <v>-11028</v>
      </c>
      <c r="M45" s="143">
        <f t="shared" ca="1" si="24"/>
        <v>-1.36</v>
      </c>
      <c r="N45" s="143">
        <f t="shared" ca="1" si="25"/>
        <v>-1.36</v>
      </c>
      <c r="P45" s="143">
        <f ca="1">ROUND(战斗力计算!O78,0)</f>
        <v>7174</v>
      </c>
      <c r="Q45" s="143">
        <f t="shared" ca="1" si="19"/>
        <v>938</v>
      </c>
      <c r="R45" s="143">
        <f t="shared" ca="1" si="20"/>
        <v>0.83</v>
      </c>
    </row>
    <row r="46" spans="2:30" x14ac:dyDescent="0.35">
      <c r="B46" s="320">
        <v>7</v>
      </c>
      <c r="C46" s="476">
        <f t="shared" si="21"/>
        <v>540</v>
      </c>
      <c r="D46" s="476">
        <f t="shared" si="16"/>
        <v>180</v>
      </c>
      <c r="E46" s="400">
        <f t="shared" si="17"/>
        <v>20</v>
      </c>
      <c r="F46" s="400">
        <f t="shared" si="18"/>
        <v>-18</v>
      </c>
      <c r="G46" s="320">
        <v>7</v>
      </c>
      <c r="H46" s="329">
        <f t="shared" ca="1" si="22"/>
        <v>6100</v>
      </c>
      <c r="I46" s="329">
        <f ca="1">ROUND(VLOOKUP(B46,战斗力计算!$G$73:$O$97,MATCH(I$39,战斗力计算!$G$73:$O$73,0),FALSE),0)</f>
        <v>8965</v>
      </c>
      <c r="J46" s="476">
        <v>0.68</v>
      </c>
      <c r="K46" s="143">
        <f ca="1">ROUND(AVERAGE(战斗力计算!D80,战斗力计算!D90,战斗力计算!D100),0)</f>
        <v>2408</v>
      </c>
      <c r="L46" s="143">
        <f t="shared" ca="1" si="23"/>
        <v>-10706</v>
      </c>
      <c r="M46" s="143">
        <f t="shared" ca="1" si="24"/>
        <v>-1.19</v>
      </c>
      <c r="N46" s="143">
        <f t="shared" ca="1" si="25"/>
        <v>-1.19</v>
      </c>
      <c r="P46" s="143">
        <f ca="1">ROUND(战斗力计算!O79,0)</f>
        <v>8112</v>
      </c>
      <c r="Q46" s="143">
        <f t="shared" ca="1" si="19"/>
        <v>853</v>
      </c>
      <c r="R46" s="143">
        <f t="shared" ca="1" si="20"/>
        <v>0.86</v>
      </c>
    </row>
    <row r="47" spans="2:30" x14ac:dyDescent="0.35">
      <c r="B47" s="320">
        <v>8</v>
      </c>
      <c r="C47" s="476">
        <f t="shared" si="21"/>
        <v>720</v>
      </c>
      <c r="D47" s="476">
        <f t="shared" si="16"/>
        <v>180</v>
      </c>
      <c r="E47" s="400">
        <f t="shared" si="17"/>
        <v>20</v>
      </c>
      <c r="F47" s="400">
        <f t="shared" si="18"/>
        <v>-18</v>
      </c>
      <c r="G47" s="320">
        <v>8</v>
      </c>
      <c r="H47" s="329">
        <f t="shared" ca="1" si="22"/>
        <v>6900</v>
      </c>
      <c r="I47" s="329">
        <f ca="1">ROUND(VLOOKUP(B47,战斗力计算!$G$73:$O$97,MATCH(I$39,战斗力计算!$G$73:$O$73,0),FALSE),0)</f>
        <v>9735</v>
      </c>
      <c r="J47" s="476">
        <v>0.71</v>
      </c>
      <c r="K47" s="143">
        <f ca="1">ROUND(AVERAGE(战斗力计算!D81,战斗力计算!D91,战斗力计算!D101),0)</f>
        <v>2055</v>
      </c>
      <c r="L47" s="143">
        <f t="shared" ca="1" si="23"/>
        <v>-13305</v>
      </c>
      <c r="M47" s="143">
        <f t="shared" ca="1" si="24"/>
        <v>-1.37</v>
      </c>
      <c r="N47" s="143">
        <f t="shared" ca="1" si="25"/>
        <v>-1.37</v>
      </c>
      <c r="P47" s="143">
        <f ca="1">ROUND(战斗力计算!O80,0)</f>
        <v>8965</v>
      </c>
      <c r="Q47" s="143">
        <f t="shared" ca="1" si="19"/>
        <v>770</v>
      </c>
      <c r="R47" s="143">
        <f t="shared" ca="1" si="20"/>
        <v>0.88</v>
      </c>
    </row>
    <row r="48" spans="2:30" x14ac:dyDescent="0.35">
      <c r="B48" s="320">
        <v>9</v>
      </c>
      <c r="C48" s="476">
        <f t="shared" si="21"/>
        <v>900</v>
      </c>
      <c r="D48" s="476">
        <f t="shared" si="16"/>
        <v>180</v>
      </c>
      <c r="E48" s="400">
        <f t="shared" si="17"/>
        <v>20</v>
      </c>
      <c r="F48" s="400">
        <f t="shared" si="18"/>
        <v>-18</v>
      </c>
      <c r="G48" s="320">
        <v>9</v>
      </c>
      <c r="H48" s="329">
        <f t="shared" ca="1" si="22"/>
        <v>7700</v>
      </c>
      <c r="I48" s="329">
        <f ca="1">ROUND(VLOOKUP(B48,战斗力计算!$G$73:$O$97,MATCH(I$39,战斗力计算!$G$73:$O$73,0),FALSE),0)</f>
        <v>10424</v>
      </c>
      <c r="J48" s="476">
        <v>0.74</v>
      </c>
      <c r="K48" s="143">
        <f ca="1">ROUND(AVERAGE(战斗力计算!D82,战斗力计算!D92,战斗力计算!D102),0)</f>
        <v>2257</v>
      </c>
      <c r="L48" s="143">
        <f t="shared" ca="1" si="23"/>
        <v>-14077</v>
      </c>
      <c r="M48" s="143">
        <f t="shared" ca="1" si="24"/>
        <v>-1.35</v>
      </c>
      <c r="N48" s="143">
        <f t="shared" ca="1" si="25"/>
        <v>-1.35</v>
      </c>
      <c r="P48" s="143">
        <f ca="1">ROUND(战斗力计算!O81,0)</f>
        <v>9735</v>
      </c>
      <c r="Q48" s="143">
        <f t="shared" ca="1" si="19"/>
        <v>689</v>
      </c>
      <c r="R48" s="143">
        <f t="shared" ca="1" si="20"/>
        <v>0.9</v>
      </c>
    </row>
    <row r="49" spans="2:18" x14ac:dyDescent="0.35">
      <c r="B49" s="320">
        <v>10</v>
      </c>
      <c r="C49" s="476">
        <f t="shared" si="21"/>
        <v>1080</v>
      </c>
      <c r="D49" s="476">
        <f t="shared" si="16"/>
        <v>240</v>
      </c>
      <c r="E49" s="400">
        <f t="shared" si="17"/>
        <v>20</v>
      </c>
      <c r="F49" s="400">
        <f t="shared" si="18"/>
        <v>-18</v>
      </c>
      <c r="G49" s="320">
        <v>10</v>
      </c>
      <c r="H49" s="329">
        <f t="shared" ca="1" si="22"/>
        <v>8400</v>
      </c>
      <c r="I49" s="329">
        <f ca="1">ROUND(VLOOKUP(B49,战斗力计算!$G$73:$O$97,MATCH(I$39,战斗力计算!$G$73:$O$73,0),FALSE),0)</f>
        <v>11033</v>
      </c>
      <c r="J49" s="476">
        <v>0.76</v>
      </c>
      <c r="K49" s="143">
        <f ca="1">ROUND(AVERAGE(战斗力计算!D83,战斗力计算!D93,战斗力计算!D103),0)</f>
        <v>3094</v>
      </c>
      <c r="L49" s="143">
        <f t="shared" ca="1" si="23"/>
        <v>-12784</v>
      </c>
      <c r="M49" s="143">
        <f t="shared" ca="1" si="24"/>
        <v>-1.1599999999999999</v>
      </c>
      <c r="N49" s="143">
        <f t="shared" ca="1" si="25"/>
        <v>-1.1599999999999999</v>
      </c>
      <c r="P49" s="143">
        <f ca="1">ROUND(战斗力计算!O82,0)</f>
        <v>10424</v>
      </c>
      <c r="Q49" s="143">
        <f t="shared" ca="1" si="19"/>
        <v>609</v>
      </c>
      <c r="R49" s="143">
        <f t="shared" ca="1" si="20"/>
        <v>0.92</v>
      </c>
    </row>
    <row r="50" spans="2:18" x14ac:dyDescent="0.35">
      <c r="B50" s="320">
        <v>11</v>
      </c>
      <c r="C50" s="476">
        <f t="shared" si="21"/>
        <v>1320</v>
      </c>
      <c r="D50" s="476">
        <f t="shared" si="16"/>
        <v>240</v>
      </c>
      <c r="E50" s="400">
        <f t="shared" si="17"/>
        <v>20</v>
      </c>
      <c r="F50" s="400">
        <f t="shared" si="18"/>
        <v>-18</v>
      </c>
      <c r="G50" s="320">
        <v>11</v>
      </c>
      <c r="H50" s="329">
        <f t="shared" ca="1" si="22"/>
        <v>9000</v>
      </c>
      <c r="I50" s="329">
        <f ca="1">ROUND(VLOOKUP(B50,战斗力计算!$G$73:$O$97,MATCH(I$39,战斗力计算!$G$73:$O$73,0),FALSE),0)</f>
        <v>11565</v>
      </c>
      <c r="J50" s="476">
        <v>0.78</v>
      </c>
      <c r="K50" s="143">
        <f ca="1">ROUND((K$63-K$49)/(B$63-B$49)+K49,0)</f>
        <v>3750</v>
      </c>
      <c r="L50" s="143">
        <f t="shared" ca="1" si="23"/>
        <v>-11880</v>
      </c>
      <c r="M50" s="143">
        <f t="shared" ca="1" si="24"/>
        <v>-1.03</v>
      </c>
      <c r="N50" s="143">
        <f t="shared" ca="1" si="25"/>
        <v>-1.03</v>
      </c>
      <c r="P50" s="143">
        <f ca="1">ROUND(战斗力计算!O83,0)</f>
        <v>11033</v>
      </c>
      <c r="Q50" s="143">
        <f t="shared" ca="1" si="19"/>
        <v>532</v>
      </c>
      <c r="R50" s="143">
        <f t="shared" ca="1" si="20"/>
        <v>0.93</v>
      </c>
    </row>
    <row r="51" spans="2:18" x14ac:dyDescent="0.35">
      <c r="B51" s="320">
        <v>12</v>
      </c>
      <c r="C51" s="476">
        <f t="shared" si="21"/>
        <v>1560</v>
      </c>
      <c r="D51" s="476">
        <f t="shared" si="16"/>
        <v>240</v>
      </c>
      <c r="E51" s="400">
        <f t="shared" si="17"/>
        <v>20</v>
      </c>
      <c r="F51" s="400">
        <f t="shared" si="18"/>
        <v>-18</v>
      </c>
      <c r="G51" s="320">
        <v>12</v>
      </c>
      <c r="H51" s="329">
        <f t="shared" ca="1" si="22"/>
        <v>9600</v>
      </c>
      <c r="I51" s="329">
        <f ca="1">ROUND(VLOOKUP(B51,战斗力计算!$G$73:$O$97,MATCH(I$39,战斗力计算!$G$73:$O$73,0),FALSE),0)</f>
        <v>12023</v>
      </c>
      <c r="J51" s="476">
        <v>0.8</v>
      </c>
      <c r="K51" s="143">
        <f t="shared" ref="K51:K62" ca="1" si="26">ROUND((K$63-K$49)/(B$63-B$49)+K50,0)</f>
        <v>4406</v>
      </c>
      <c r="L51" s="143">
        <f t="shared" ca="1" si="23"/>
        <v>-10828</v>
      </c>
      <c r="M51" s="143">
        <f t="shared" ca="1" si="24"/>
        <v>-0.9</v>
      </c>
      <c r="N51" s="143">
        <f t="shared" ca="1" si="25"/>
        <v>-0.9</v>
      </c>
      <c r="P51" s="143">
        <f ca="1">ROUND(战斗力计算!O84,0)</f>
        <v>11565</v>
      </c>
      <c r="Q51" s="143">
        <f t="shared" ca="1" si="19"/>
        <v>458</v>
      </c>
      <c r="R51" s="143">
        <f t="shared" ca="1" si="20"/>
        <v>0.94</v>
      </c>
    </row>
    <row r="52" spans="2:18" x14ac:dyDescent="0.35">
      <c r="B52" s="392">
        <v>13</v>
      </c>
      <c r="C52" s="476">
        <f t="shared" si="21"/>
        <v>1800</v>
      </c>
      <c r="D52" s="476">
        <f t="shared" si="16"/>
        <v>100</v>
      </c>
      <c r="E52" s="400">
        <f t="shared" si="17"/>
        <v>20</v>
      </c>
      <c r="F52" s="400">
        <f t="shared" si="18"/>
        <v>-15</v>
      </c>
      <c r="G52" s="392">
        <v>13</v>
      </c>
      <c r="H52" s="329">
        <f t="shared" ca="1" si="22"/>
        <v>10300</v>
      </c>
      <c r="I52" s="329">
        <f ca="1">ROUND(VLOOKUP(B52,战斗力计算!$G$73:$O$97,MATCH(I$39,战斗力计算!$G$73:$O$73,0),FALSE),0)</f>
        <v>12408</v>
      </c>
      <c r="J52" s="476">
        <v>0.83</v>
      </c>
      <c r="K52" s="143">
        <f t="shared" ca="1" si="26"/>
        <v>5062</v>
      </c>
      <c r="L52" s="143">
        <f t="shared" ca="1" si="23"/>
        <v>-9630</v>
      </c>
      <c r="M52" s="143">
        <f t="shared" ca="1" si="24"/>
        <v>-0.78</v>
      </c>
      <c r="N52" s="143">
        <f t="shared" ca="1" si="25"/>
        <v>-0.78</v>
      </c>
      <c r="P52" s="143">
        <f ca="1">ROUND(战斗力计算!O85,0)</f>
        <v>12023</v>
      </c>
      <c r="Q52" s="143">
        <f t="shared" ca="1" si="19"/>
        <v>385</v>
      </c>
      <c r="R52" s="143">
        <f t="shared" ca="1" si="20"/>
        <v>0.95</v>
      </c>
    </row>
    <row r="53" spans="2:18" x14ac:dyDescent="0.35">
      <c r="B53" s="392">
        <v>14</v>
      </c>
      <c r="C53" s="476">
        <f t="shared" si="21"/>
        <v>1900</v>
      </c>
      <c r="D53" s="476">
        <f t="shared" si="16"/>
        <v>100</v>
      </c>
      <c r="E53" s="400">
        <f t="shared" si="17"/>
        <v>20</v>
      </c>
      <c r="F53" s="400">
        <f t="shared" si="18"/>
        <v>-15</v>
      </c>
      <c r="G53" s="392">
        <v>14</v>
      </c>
      <c r="H53" s="329">
        <f t="shared" ca="1" si="22"/>
        <v>10800</v>
      </c>
      <c r="I53" s="329">
        <f ca="1">ROUND(VLOOKUP(B53,战斗力计算!$G$73:$O$97,MATCH(I$39,战斗力计算!$G$73:$O$73,0),FALSE),0)</f>
        <v>12725</v>
      </c>
      <c r="J53" s="476">
        <v>0.85</v>
      </c>
      <c r="K53" s="143">
        <f t="shared" ca="1" si="26"/>
        <v>5718</v>
      </c>
      <c r="L53" s="143">
        <f t="shared" ca="1" si="23"/>
        <v>-8296</v>
      </c>
      <c r="M53" s="143">
        <f t="shared" ca="1" si="24"/>
        <v>-0.65</v>
      </c>
      <c r="N53" s="143">
        <f t="shared" ca="1" si="25"/>
        <v>-0.65</v>
      </c>
      <c r="P53" s="143">
        <f ca="1">ROUND(战斗力计算!O86,0)</f>
        <v>12408</v>
      </c>
      <c r="Q53" s="143">
        <f t="shared" ca="1" si="19"/>
        <v>317</v>
      </c>
      <c r="R53" s="143">
        <f t="shared" ca="1" si="20"/>
        <v>0.96</v>
      </c>
    </row>
    <row r="54" spans="2:18" x14ac:dyDescent="0.35">
      <c r="B54" s="476">
        <v>15</v>
      </c>
      <c r="C54" s="476">
        <f>D26</f>
        <v>2000</v>
      </c>
      <c r="D54" s="476">
        <f>C55-C54</f>
        <v>100</v>
      </c>
      <c r="E54" s="476">
        <f t="shared" si="17"/>
        <v>20</v>
      </c>
      <c r="F54" s="476">
        <f t="shared" si="18"/>
        <v>-15</v>
      </c>
      <c r="G54" s="476">
        <v>14</v>
      </c>
      <c r="H54" s="329">
        <f t="shared" ca="1" si="22"/>
        <v>11050</v>
      </c>
      <c r="I54" s="329">
        <f ca="1">ROUND(VLOOKUP(B54,战斗力计算!$G$73:$O$97,MATCH(I$39,战斗力计算!$G$73:$O$73,0),FALSE),0)</f>
        <v>12975</v>
      </c>
      <c r="J54" s="562">
        <v>0.85</v>
      </c>
      <c r="K54" s="143">
        <f t="shared" ca="1" si="26"/>
        <v>6374</v>
      </c>
      <c r="L54" s="143">
        <f t="shared" ca="1" si="23"/>
        <v>-6828</v>
      </c>
      <c r="M54" s="143">
        <f t="shared" ca="1" si="24"/>
        <v>-0.53</v>
      </c>
      <c r="N54" s="143">
        <f t="shared" ca="1" si="25"/>
        <v>-0.53</v>
      </c>
      <c r="P54" s="143">
        <f ca="1">ROUND(战斗力计算!O87,0)</f>
        <v>12725</v>
      </c>
      <c r="Q54" s="143">
        <f t="shared" ca="1" si="19"/>
        <v>250</v>
      </c>
      <c r="R54" s="143">
        <f t="shared" ca="1" si="20"/>
        <v>0.97</v>
      </c>
    </row>
    <row r="55" spans="2:18" x14ac:dyDescent="0.35">
      <c r="B55" s="476">
        <v>16</v>
      </c>
      <c r="C55" s="476">
        <f t="shared" si="21"/>
        <v>2100</v>
      </c>
      <c r="D55" s="476">
        <f t="shared" si="16"/>
        <v>100</v>
      </c>
      <c r="E55" s="476">
        <f t="shared" si="17"/>
        <v>20</v>
      </c>
      <c r="F55" s="476">
        <f t="shared" si="18"/>
        <v>-15</v>
      </c>
      <c r="G55" s="476">
        <v>14</v>
      </c>
      <c r="H55" s="329">
        <f t="shared" ca="1" si="22"/>
        <v>11200</v>
      </c>
      <c r="I55" s="329">
        <f ca="1">ROUND(VLOOKUP(B55,战斗力计算!$G$73:$O$97,MATCH(I$39,战斗力计算!$G$73:$O$73,0),FALSE),0)</f>
        <v>13162</v>
      </c>
      <c r="J55" s="562">
        <v>0.85</v>
      </c>
      <c r="K55" s="143">
        <f t="shared" ca="1" si="26"/>
        <v>7030</v>
      </c>
      <c r="L55" s="143">
        <f t="shared" ca="1" si="23"/>
        <v>-5234</v>
      </c>
      <c r="M55" s="143">
        <f t="shared" ca="1" si="24"/>
        <v>-0.4</v>
      </c>
      <c r="N55" s="143">
        <f t="shared" ca="1" si="25"/>
        <v>-0.4</v>
      </c>
      <c r="P55" s="143">
        <f ca="1">ROUND(战斗力计算!O88,0)</f>
        <v>12975</v>
      </c>
      <c r="Q55" s="143">
        <f t="shared" ca="1" si="19"/>
        <v>187</v>
      </c>
      <c r="R55" s="143">
        <f t="shared" ca="1" si="20"/>
        <v>0.98</v>
      </c>
    </row>
    <row r="56" spans="2:18" x14ac:dyDescent="0.35">
      <c r="B56" s="476">
        <v>17</v>
      </c>
      <c r="C56" s="476">
        <f t="shared" si="21"/>
        <v>2200</v>
      </c>
      <c r="D56" s="476">
        <f t="shared" si="16"/>
        <v>100</v>
      </c>
      <c r="E56" s="476">
        <f t="shared" si="17"/>
        <v>20</v>
      </c>
      <c r="F56" s="476">
        <f t="shared" si="18"/>
        <v>-15</v>
      </c>
      <c r="G56" s="476">
        <v>14</v>
      </c>
      <c r="H56" s="329">
        <f t="shared" ca="1" si="22"/>
        <v>11300</v>
      </c>
      <c r="I56" s="329">
        <f ca="1">ROUND(VLOOKUP(B56,战斗力计算!$G$73:$O$97,MATCH(I$39,战斗力计算!$G$73:$O$73,0),FALSE),0)</f>
        <v>13288</v>
      </c>
      <c r="J56" s="562">
        <v>0.85</v>
      </c>
      <c r="K56" s="143">
        <f t="shared" ca="1" si="26"/>
        <v>7686</v>
      </c>
      <c r="L56" s="143">
        <f t="shared" ca="1" si="23"/>
        <v>-3518</v>
      </c>
      <c r="M56" s="143">
        <f t="shared" ca="1" si="24"/>
        <v>-0.26</v>
      </c>
      <c r="N56" s="143">
        <f t="shared" ca="1" si="25"/>
        <v>-0.26</v>
      </c>
      <c r="P56" s="143">
        <f ca="1">ROUND(战斗力计算!O89,0)</f>
        <v>13162</v>
      </c>
      <c r="Q56" s="143">
        <f t="shared" ca="1" si="19"/>
        <v>126</v>
      </c>
      <c r="R56" s="143">
        <f t="shared" ca="1" si="20"/>
        <v>0.99</v>
      </c>
    </row>
    <row r="57" spans="2:18" x14ac:dyDescent="0.35">
      <c r="B57" s="476">
        <v>18</v>
      </c>
      <c r="C57" s="476">
        <f t="shared" si="21"/>
        <v>2300</v>
      </c>
      <c r="D57" s="476">
        <f t="shared" si="16"/>
        <v>100</v>
      </c>
      <c r="E57" s="476">
        <f t="shared" si="17"/>
        <v>20</v>
      </c>
      <c r="F57" s="476">
        <f t="shared" si="18"/>
        <v>-15</v>
      </c>
      <c r="G57" s="476">
        <v>14</v>
      </c>
      <c r="H57" s="329">
        <f t="shared" ca="1" si="22"/>
        <v>11350</v>
      </c>
      <c r="I57" s="329">
        <f ca="1">ROUND(VLOOKUP(B57,战斗力计算!$G$73:$O$97,MATCH(I$39,战斗力计算!$G$73:$O$73,0),FALSE),0)</f>
        <v>13357</v>
      </c>
      <c r="J57" s="562">
        <v>0.85</v>
      </c>
      <c r="K57" s="143">
        <f t="shared" ca="1" si="26"/>
        <v>8342</v>
      </c>
      <c r="L57" s="143">
        <f t="shared" ca="1" si="23"/>
        <v>-1688</v>
      </c>
      <c r="M57" s="143">
        <f t="shared" ca="1" si="24"/>
        <v>-0.13</v>
      </c>
      <c r="N57" s="143">
        <f t="shared" ca="1" si="25"/>
        <v>-0.13</v>
      </c>
      <c r="P57" s="143">
        <f ca="1">ROUND(战斗力计算!O90,0)</f>
        <v>13288</v>
      </c>
      <c r="Q57" s="143">
        <f t="shared" ca="1" si="19"/>
        <v>69</v>
      </c>
      <c r="R57" s="143">
        <f t="shared" ca="1" si="20"/>
        <v>0.99</v>
      </c>
    </row>
    <row r="58" spans="2:18" x14ac:dyDescent="0.35">
      <c r="B58" s="476">
        <v>19</v>
      </c>
      <c r="C58" s="476">
        <f t="shared" si="21"/>
        <v>2400</v>
      </c>
      <c r="D58" s="476">
        <f t="shared" si="16"/>
        <v>150</v>
      </c>
      <c r="E58" s="476">
        <f t="shared" si="17"/>
        <v>20</v>
      </c>
      <c r="F58" s="476">
        <f t="shared" si="18"/>
        <v>-15</v>
      </c>
      <c r="G58" s="476">
        <v>14</v>
      </c>
      <c r="H58" s="329">
        <f t="shared" ca="1" si="22"/>
        <v>11350</v>
      </c>
      <c r="I58" s="329">
        <f ca="1">ROUND(VLOOKUP(B58,战斗力计算!$G$73:$O$97,MATCH(I$39,战斗力计算!$G$73:$O$73,0),FALSE),0)</f>
        <v>13371</v>
      </c>
      <c r="J58" s="562">
        <v>0.85</v>
      </c>
      <c r="K58" s="143">
        <f t="shared" ca="1" si="26"/>
        <v>8998</v>
      </c>
      <c r="L58" s="143">
        <f t="shared" ca="1" si="23"/>
        <v>252</v>
      </c>
      <c r="M58" s="143">
        <f t="shared" ca="1" si="24"/>
        <v>0.02</v>
      </c>
      <c r="N58" s="143">
        <f t="shared" ca="1" si="25"/>
        <v>0.02</v>
      </c>
      <c r="P58" s="143">
        <f ca="1">ROUND(战斗力计算!O91,0)</f>
        <v>13357</v>
      </c>
      <c r="Q58" s="143">
        <f t="shared" ca="1" si="19"/>
        <v>14</v>
      </c>
      <c r="R58" s="143">
        <f t="shared" ca="1" si="20"/>
        <v>1</v>
      </c>
    </row>
    <row r="59" spans="2:18" x14ac:dyDescent="0.35">
      <c r="B59" s="476">
        <v>20</v>
      </c>
      <c r="C59" s="476">
        <f t="shared" si="21"/>
        <v>2550</v>
      </c>
      <c r="D59" s="476">
        <f t="shared" si="16"/>
        <v>150</v>
      </c>
      <c r="E59" s="476">
        <f t="shared" si="17"/>
        <v>20</v>
      </c>
      <c r="F59" s="476">
        <f t="shared" si="18"/>
        <v>-15</v>
      </c>
      <c r="G59" s="476">
        <v>14</v>
      </c>
      <c r="H59" s="329">
        <f t="shared" ca="1" si="22"/>
        <v>11350</v>
      </c>
      <c r="I59" s="329">
        <f ca="1">ROUND(VLOOKUP(B59,战斗力计算!$G$73:$O$97,MATCH(I$39,战斗力计算!$G$73:$O$73,0),FALSE),0)</f>
        <v>13335</v>
      </c>
      <c r="J59" s="562">
        <v>0.85</v>
      </c>
      <c r="K59" s="143">
        <f t="shared" ca="1" si="26"/>
        <v>9654</v>
      </c>
      <c r="L59" s="143">
        <f t="shared" ca="1" si="23"/>
        <v>2292</v>
      </c>
      <c r="M59" s="143">
        <f t="shared" ca="1" si="24"/>
        <v>0.17</v>
      </c>
      <c r="N59" s="143">
        <f t="shared" ca="1" si="25"/>
        <v>0.17</v>
      </c>
      <c r="P59" s="143">
        <f ca="1">ROUND(战斗力计算!O92,0)</f>
        <v>13371</v>
      </c>
      <c r="Q59" s="143">
        <f t="shared" ca="1" si="19"/>
        <v>-36</v>
      </c>
      <c r="R59" s="143">
        <f t="shared" ca="1" si="20"/>
        <v>1</v>
      </c>
    </row>
    <row r="60" spans="2:18" x14ac:dyDescent="0.35">
      <c r="B60" s="476">
        <v>21</v>
      </c>
      <c r="C60" s="476">
        <f t="shared" si="21"/>
        <v>2700</v>
      </c>
      <c r="D60" s="476">
        <f t="shared" si="16"/>
        <v>150</v>
      </c>
      <c r="E60" s="476">
        <f t="shared" si="17"/>
        <v>20</v>
      </c>
      <c r="F60" s="476">
        <f t="shared" si="18"/>
        <v>-15</v>
      </c>
      <c r="G60" s="476">
        <v>14</v>
      </c>
      <c r="H60" s="329">
        <f t="shared" ca="1" si="22"/>
        <v>11250</v>
      </c>
      <c r="I60" s="329">
        <f ca="1">ROUND(VLOOKUP(B60,战斗力计算!$G$73:$O$97,MATCH(I$39,战斗力计算!$G$73:$O$73,0),FALSE),0)</f>
        <v>13251</v>
      </c>
      <c r="J60" s="562">
        <v>0.85</v>
      </c>
      <c r="K60" s="143">
        <f t="shared" ca="1" si="26"/>
        <v>10310</v>
      </c>
      <c r="L60" s="143">
        <f t="shared" ca="1" si="23"/>
        <v>4428</v>
      </c>
      <c r="M60" s="143">
        <f t="shared" ca="1" si="24"/>
        <v>0.33</v>
      </c>
      <c r="N60" s="143">
        <f t="shared" ca="1" si="25"/>
        <v>0.33</v>
      </c>
      <c r="P60" s="143">
        <f ca="1">ROUND(战斗力计算!O93,0)</f>
        <v>13335</v>
      </c>
      <c r="Q60" s="143">
        <f t="shared" ca="1" si="19"/>
        <v>-84</v>
      </c>
      <c r="R60" s="143">
        <f t="shared" ca="1" si="20"/>
        <v>1.01</v>
      </c>
    </row>
    <row r="61" spans="2:18" x14ac:dyDescent="0.35">
      <c r="B61" s="476">
        <v>22</v>
      </c>
      <c r="C61" s="476">
        <f t="shared" si="21"/>
        <v>2850</v>
      </c>
      <c r="D61" s="476">
        <f t="shared" si="16"/>
        <v>200</v>
      </c>
      <c r="E61" s="476">
        <f t="shared" si="17"/>
        <v>20</v>
      </c>
      <c r="F61" s="476">
        <f t="shared" si="18"/>
        <v>-15</v>
      </c>
      <c r="G61" s="476">
        <v>14</v>
      </c>
      <c r="H61" s="329">
        <f t="shared" ca="1" si="22"/>
        <v>11150</v>
      </c>
      <c r="I61" s="329">
        <f ca="1">ROUND(VLOOKUP(B61,战斗力计算!$G$73:$O$97,MATCH(I$39,战斗力计算!$G$73:$O$73,0),FALSE),0)</f>
        <v>13123</v>
      </c>
      <c r="J61" s="562">
        <v>0.85</v>
      </c>
      <c r="K61" s="143">
        <f t="shared" ca="1" si="26"/>
        <v>10966</v>
      </c>
      <c r="L61" s="143">
        <f t="shared" ca="1" si="23"/>
        <v>6652</v>
      </c>
      <c r="M61" s="143">
        <f t="shared" ca="1" si="24"/>
        <v>0.51</v>
      </c>
      <c r="N61" s="143">
        <f t="shared" ca="1" si="25"/>
        <v>0.51</v>
      </c>
      <c r="P61" s="143">
        <f ca="1">ROUND(战斗力计算!O94,0)</f>
        <v>13251</v>
      </c>
      <c r="Q61" s="143">
        <f t="shared" ca="1" si="19"/>
        <v>-128</v>
      </c>
      <c r="R61" s="143">
        <f t="shared" ca="1" si="20"/>
        <v>1.01</v>
      </c>
    </row>
    <row r="62" spans="2:18" x14ac:dyDescent="0.35">
      <c r="B62" s="476">
        <v>23</v>
      </c>
      <c r="C62" s="476">
        <f t="shared" si="21"/>
        <v>3050</v>
      </c>
      <c r="D62" s="476">
        <f t="shared" si="16"/>
        <v>200</v>
      </c>
      <c r="E62" s="476">
        <f t="shared" si="17"/>
        <v>20</v>
      </c>
      <c r="F62" s="476">
        <f t="shared" si="18"/>
        <v>-15</v>
      </c>
      <c r="G62" s="476">
        <v>14</v>
      </c>
      <c r="H62" s="329">
        <f t="shared" ca="1" si="22"/>
        <v>11000</v>
      </c>
      <c r="I62" s="329">
        <f ca="1">ROUND(VLOOKUP(B62,战斗力计算!$G$73:$O$97,MATCH(I$39,战斗力计算!$G$73:$O$73,0),FALSE),0)</f>
        <v>12955</v>
      </c>
      <c r="J62" s="562">
        <v>0.85</v>
      </c>
      <c r="K62" s="143">
        <f t="shared" ca="1" si="26"/>
        <v>11622</v>
      </c>
      <c r="L62" s="143">
        <f t="shared" ca="1" si="23"/>
        <v>8956</v>
      </c>
      <c r="M62" s="143">
        <f t="shared" ca="1" si="24"/>
        <v>0.69</v>
      </c>
      <c r="N62" s="143">
        <f t="shared" ca="1" si="25"/>
        <v>0.69</v>
      </c>
      <c r="P62" s="143">
        <f ca="1">ROUND(战斗力计算!O95,0)</f>
        <v>13123</v>
      </c>
      <c r="Q62" s="143">
        <f t="shared" ca="1" si="19"/>
        <v>-168</v>
      </c>
      <c r="R62" s="143">
        <f t="shared" ca="1" si="20"/>
        <v>1.02</v>
      </c>
    </row>
    <row r="63" spans="2:18" x14ac:dyDescent="0.35">
      <c r="B63" s="476">
        <v>24</v>
      </c>
      <c r="C63" s="476">
        <f t="shared" si="21"/>
        <v>3250</v>
      </c>
      <c r="D63" s="476">
        <f t="shared" si="16"/>
        <v>-3250</v>
      </c>
      <c r="E63" s="476">
        <f t="shared" si="17"/>
        <v>20</v>
      </c>
      <c r="F63" s="476">
        <f t="shared" si="18"/>
        <v>-15</v>
      </c>
      <c r="G63" s="476">
        <v>14</v>
      </c>
      <c r="H63" s="329">
        <f t="shared" ca="1" si="22"/>
        <v>10850</v>
      </c>
      <c r="I63" s="329">
        <f ca="1">ROUND(VLOOKUP(B63,战斗力计算!$G$73:$O$97,MATCH(I$39,战斗力计算!$G$73:$O$73,0),FALSE),0)</f>
        <v>12750</v>
      </c>
      <c r="J63" s="562">
        <v>0.85</v>
      </c>
      <c r="K63" s="143">
        <f ca="1">ROUND(AVERAGE(战斗力计算!E83,战斗力计算!E93,战斗力计算!E103),0)</f>
        <v>12279</v>
      </c>
      <c r="L63" s="143">
        <f t="shared" ca="1" si="23"/>
        <v>11337</v>
      </c>
      <c r="M63" s="143">
        <f t="shared" ca="1" si="24"/>
        <v>0.89</v>
      </c>
      <c r="N63" s="143">
        <f t="shared" ca="1" si="25"/>
        <v>0.85</v>
      </c>
      <c r="P63" s="143">
        <f ca="1">ROUND(战斗力计算!O96,0)</f>
        <v>12955</v>
      </c>
      <c r="Q63" s="143">
        <f t="shared" ca="1" si="19"/>
        <v>-205</v>
      </c>
      <c r="R63" s="143">
        <f t="shared" ca="1" si="20"/>
        <v>1.02</v>
      </c>
    </row>
    <row r="64" spans="2:18" x14ac:dyDescent="0.35">
      <c r="B64" s="146"/>
      <c r="C64" s="146"/>
      <c r="D64" s="146"/>
      <c r="E64" s="146"/>
      <c r="F64" s="146"/>
      <c r="G64" s="146"/>
      <c r="H64" s="504"/>
      <c r="I64" s="504"/>
      <c r="J64" s="146"/>
    </row>
    <row r="65" spans="2:23" x14ac:dyDescent="0.35">
      <c r="B65" s="754" t="s">
        <v>1141</v>
      </c>
      <c r="C65" s="755"/>
      <c r="D65" s="756"/>
    </row>
    <row r="66" spans="2:23" x14ac:dyDescent="0.35">
      <c r="B66" s="222" t="s">
        <v>1127</v>
      </c>
      <c r="C66" s="222" t="s">
        <v>1128</v>
      </c>
      <c r="D66" s="222" t="s">
        <v>1140</v>
      </c>
    </row>
    <row r="67" spans="2:23" x14ac:dyDescent="0.35">
      <c r="B67" s="218" t="s">
        <v>1102</v>
      </c>
      <c r="C67" s="371">
        <f>ROUND(基础经济系数!F33/基础经济系数!$C$28,1)</f>
        <v>1</v>
      </c>
      <c r="D67" s="218">
        <f>ROUND(C67*(坦克升星消耗!J21+1),1)</f>
        <v>7</v>
      </c>
      <c r="V67" s="358"/>
    </row>
    <row r="68" spans="2:23" x14ac:dyDescent="0.35">
      <c r="B68" s="218" t="s">
        <v>1103</v>
      </c>
      <c r="C68" s="650">
        <f>ROUND(基础经济系数!F34/基础经济系数!$C$28,1)</f>
        <v>1.9</v>
      </c>
      <c r="D68" s="646">
        <f>ROUND(C68*(坦克升星消耗!J22+1),1)</f>
        <v>16.2</v>
      </c>
      <c r="V68" s="358"/>
      <c r="W68" s="358"/>
    </row>
    <row r="69" spans="2:23" x14ac:dyDescent="0.35">
      <c r="B69" s="218" t="s">
        <v>1104</v>
      </c>
      <c r="C69" s="650">
        <f>ROUND(基础经济系数!F35/基础经济系数!$C$28,1)</f>
        <v>2.7</v>
      </c>
      <c r="D69" s="646">
        <f>ROUND(C69*(坦克升星消耗!J23+1),1)</f>
        <v>48.6</v>
      </c>
      <c r="V69" s="358"/>
      <c r="W69" s="358"/>
    </row>
    <row r="70" spans="2:23" x14ac:dyDescent="0.35">
      <c r="B70" s="218" t="s">
        <v>1105</v>
      </c>
      <c r="C70" s="650">
        <f>ROUND(基础经济系数!F36/基础经济系数!$C$28,1)</f>
        <v>5.8</v>
      </c>
      <c r="D70" s="646">
        <f>ROUND(C70*(坦克升星消耗!J24+1),1)</f>
        <v>36.700000000000003</v>
      </c>
      <c r="V70" s="358"/>
      <c r="W70" s="358"/>
    </row>
    <row r="71" spans="2:23" x14ac:dyDescent="0.35">
      <c r="B71" s="218" t="s">
        <v>1106</v>
      </c>
      <c r="C71" s="650">
        <f>ROUND(基础经济系数!F37/基础经济系数!$C$28,1)</f>
        <v>7.2</v>
      </c>
      <c r="D71" s="646">
        <f>ROUND(C71*(坦克升星消耗!J25+1),1)</f>
        <v>110.4</v>
      </c>
      <c r="V71" s="358"/>
      <c r="W71" s="358"/>
    </row>
    <row r="72" spans="2:23" x14ac:dyDescent="0.35">
      <c r="B72" s="218" t="s">
        <v>1107</v>
      </c>
      <c r="C72" s="650">
        <f>ROUND(基础经济系数!F38/基础经济系数!$C$28,1)</f>
        <v>9.1999999999999993</v>
      </c>
      <c r="D72" s="646">
        <f>ROUND(C72*(坦克升星消耗!J26+1),1)</f>
        <v>133.4</v>
      </c>
      <c r="V72" s="358"/>
      <c r="W72" s="358"/>
    </row>
    <row r="73" spans="2:23" x14ac:dyDescent="0.35">
      <c r="B73" s="218" t="s">
        <v>1108</v>
      </c>
      <c r="C73" s="650">
        <f>ROUND(基础经济系数!F39/基础经济系数!$C$28,1)</f>
        <v>16.100000000000001</v>
      </c>
      <c r="D73" s="646">
        <f>ROUND(C73*(坦克升星消耗!J27+1),1)</f>
        <v>88.6</v>
      </c>
      <c r="V73" s="358"/>
      <c r="W73" s="358"/>
    </row>
    <row r="74" spans="2:23" x14ac:dyDescent="0.35">
      <c r="B74" s="218" t="s">
        <v>1109</v>
      </c>
      <c r="C74" s="650">
        <f>ROUND(基础经济系数!F40/基础经济系数!$C$28,1)</f>
        <v>20.100000000000001</v>
      </c>
      <c r="D74" s="646">
        <f>ROUND(C74*(坦克升星消耗!J28+1),1)</f>
        <v>217.1</v>
      </c>
      <c r="V74" s="358"/>
      <c r="W74" s="358"/>
    </row>
    <row r="75" spans="2:23" x14ac:dyDescent="0.35">
      <c r="B75" s="218" t="s">
        <v>1110</v>
      </c>
      <c r="C75" s="650">
        <f>ROUND(基础经济系数!F41/基础经济系数!$C$28,1)</f>
        <v>24.9</v>
      </c>
      <c r="D75" s="646">
        <f>ROUND(C75*(坦克升星消耗!J29+1),1)</f>
        <v>283.89999999999998</v>
      </c>
      <c r="V75" s="358"/>
      <c r="W75" s="358"/>
    </row>
    <row r="76" spans="2:23" x14ac:dyDescent="0.35">
      <c r="B76" s="218" t="s">
        <v>1111</v>
      </c>
      <c r="C76" s="650">
        <f>ROUND(基础经济系数!F42/基础经济系数!$C$28,1)</f>
        <v>43.7</v>
      </c>
      <c r="D76" s="646">
        <f>ROUND(C76*(坦克升星消耗!J30+1),1)</f>
        <v>207.6</v>
      </c>
      <c r="V76" s="358"/>
      <c r="W76" s="358"/>
    </row>
    <row r="77" spans="2:23" x14ac:dyDescent="0.35">
      <c r="B77" s="218" t="s">
        <v>1112</v>
      </c>
      <c r="C77" s="650">
        <f>ROUND(基础经济系数!F43/基础经济系数!$C$28,1)</f>
        <v>51.4</v>
      </c>
      <c r="D77" s="646">
        <f>ROUND(C77*(坦克升星消耗!J31+1),1)</f>
        <v>462.6</v>
      </c>
      <c r="V77" s="358"/>
      <c r="W77" s="358"/>
    </row>
    <row r="78" spans="2:23" x14ac:dyDescent="0.35">
      <c r="B78" s="218" t="s">
        <v>1113</v>
      </c>
      <c r="C78" s="650">
        <f>ROUND(基础经济系数!F44/基础经济系数!$C$28,1)</f>
        <v>63</v>
      </c>
      <c r="D78" s="646">
        <f>ROUND(C78*(坦克升星消耗!J32+1),1)</f>
        <v>622.1</v>
      </c>
      <c r="V78" s="358"/>
      <c r="W78" s="358"/>
    </row>
    <row r="79" spans="2:23" x14ac:dyDescent="0.35">
      <c r="V79" s="358"/>
      <c r="W79" s="358"/>
    </row>
    <row r="80" spans="2:23" x14ac:dyDescent="0.35">
      <c r="B80" s="757" t="s">
        <v>1132</v>
      </c>
      <c r="C80" s="745"/>
      <c r="D80" s="745"/>
      <c r="E80" s="745"/>
    </row>
    <row r="81" spans="2:10" x14ac:dyDescent="0.35">
      <c r="B81" s="222" t="s">
        <v>1131</v>
      </c>
      <c r="C81" s="222" t="s">
        <v>1130</v>
      </c>
      <c r="D81" s="222" t="s">
        <v>804</v>
      </c>
      <c r="E81" s="222" t="s">
        <v>805</v>
      </c>
    </row>
    <row r="82" spans="2:10" x14ac:dyDescent="0.35">
      <c r="B82" s="218">
        <v>0</v>
      </c>
      <c r="C82" s="218" t="s">
        <v>1102</v>
      </c>
      <c r="D82" s="218" t="s">
        <v>1102</v>
      </c>
      <c r="E82" s="218" t="s">
        <v>1102</v>
      </c>
      <c r="G82" s="143">
        <v>1</v>
      </c>
      <c r="H82" s="143" t="s">
        <v>1102</v>
      </c>
    </row>
    <row r="83" spans="2:10" x14ac:dyDescent="0.35">
      <c r="B83" s="218">
        <v>1</v>
      </c>
      <c r="C83" s="218" t="s">
        <v>1102</v>
      </c>
      <c r="D83" s="218" t="s">
        <v>1102</v>
      </c>
      <c r="E83" s="218" t="s">
        <v>1102</v>
      </c>
      <c r="G83" s="143">
        <v>2</v>
      </c>
      <c r="H83" s="143" t="s">
        <v>1103</v>
      </c>
    </row>
    <row r="84" spans="2:10" x14ac:dyDescent="0.35">
      <c r="B84" s="218">
        <v>2</v>
      </c>
      <c r="C84" s="367" t="s">
        <v>1103</v>
      </c>
      <c r="D84" s="218" t="s">
        <v>1102</v>
      </c>
      <c r="E84" s="380" t="s">
        <v>1102</v>
      </c>
      <c r="G84" s="143">
        <v>3</v>
      </c>
      <c r="H84" s="143" t="s">
        <v>1104</v>
      </c>
    </row>
    <row r="85" spans="2:10" x14ac:dyDescent="0.35">
      <c r="B85" s="218">
        <v>3</v>
      </c>
      <c r="C85" s="380" t="s">
        <v>1103</v>
      </c>
      <c r="D85" s="380" t="s">
        <v>1103</v>
      </c>
      <c r="E85" s="380" t="s">
        <v>1102</v>
      </c>
      <c r="G85" s="143">
        <v>4</v>
      </c>
    </row>
    <row r="86" spans="2:10" x14ac:dyDescent="0.35">
      <c r="B86" s="218">
        <v>4</v>
      </c>
      <c r="C86" s="367" t="s">
        <v>1103</v>
      </c>
      <c r="D86" s="380" t="s">
        <v>1103</v>
      </c>
      <c r="E86" s="380" t="s">
        <v>1103</v>
      </c>
      <c r="G86" s="143">
        <v>5</v>
      </c>
      <c r="H86" s="143" t="s">
        <v>1105</v>
      </c>
      <c r="I86" s="143" t="s">
        <v>1106</v>
      </c>
    </row>
    <row r="87" spans="2:10" x14ac:dyDescent="0.35">
      <c r="B87" s="218">
        <v>5</v>
      </c>
      <c r="C87" s="367" t="s">
        <v>1105</v>
      </c>
      <c r="D87" s="367" t="s">
        <v>1103</v>
      </c>
      <c r="E87" s="380" t="s">
        <v>1103</v>
      </c>
      <c r="G87" s="143">
        <v>6</v>
      </c>
    </row>
    <row r="88" spans="2:10" x14ac:dyDescent="0.35">
      <c r="B88" s="218">
        <v>6</v>
      </c>
      <c r="C88" s="380" t="s">
        <v>1105</v>
      </c>
      <c r="D88" s="380" t="s">
        <v>1105</v>
      </c>
      <c r="E88" s="380" t="s">
        <v>1103</v>
      </c>
      <c r="G88" s="143">
        <v>7</v>
      </c>
    </row>
    <row r="89" spans="2:10" x14ac:dyDescent="0.35">
      <c r="B89" s="218">
        <v>7</v>
      </c>
      <c r="C89" s="367" t="s">
        <v>1105</v>
      </c>
      <c r="D89" s="380" t="s">
        <v>1105</v>
      </c>
      <c r="E89" s="380" t="s">
        <v>1105</v>
      </c>
      <c r="G89" s="143">
        <v>8</v>
      </c>
      <c r="H89" s="143" t="s">
        <v>1108</v>
      </c>
      <c r="I89" s="143" t="s">
        <v>1109</v>
      </c>
      <c r="J89" s="143" t="s">
        <v>1110</v>
      </c>
    </row>
    <row r="90" spans="2:10" x14ac:dyDescent="0.35">
      <c r="B90" s="218">
        <v>8</v>
      </c>
      <c r="C90" s="367" t="s">
        <v>1108</v>
      </c>
      <c r="D90" s="367" t="s">
        <v>1105</v>
      </c>
      <c r="E90" s="380" t="s">
        <v>1105</v>
      </c>
      <c r="G90" s="143">
        <v>9</v>
      </c>
      <c r="H90" s="143" t="s">
        <v>1109</v>
      </c>
      <c r="I90" s="143" t="s">
        <v>1110</v>
      </c>
    </row>
    <row r="91" spans="2:10" x14ac:dyDescent="0.35">
      <c r="B91" s="218">
        <v>9</v>
      </c>
      <c r="C91" s="380" t="s">
        <v>1108</v>
      </c>
      <c r="D91" s="380" t="s">
        <v>1108</v>
      </c>
      <c r="E91" s="380" t="s">
        <v>1105</v>
      </c>
      <c r="G91" s="143">
        <v>10</v>
      </c>
      <c r="H91" s="143" t="s">
        <v>1109</v>
      </c>
      <c r="I91" s="143" t="s">
        <v>1110</v>
      </c>
    </row>
    <row r="92" spans="2:10" x14ac:dyDescent="0.35">
      <c r="B92" s="218">
        <v>10</v>
      </c>
      <c r="C92" s="367" t="s">
        <v>1108</v>
      </c>
      <c r="D92" s="380" t="s">
        <v>1108</v>
      </c>
      <c r="E92" s="367" t="s">
        <v>1108</v>
      </c>
    </row>
    <row r="93" spans="2:10" x14ac:dyDescent="0.35">
      <c r="B93" s="218">
        <v>11</v>
      </c>
      <c r="C93" s="367" t="s">
        <v>1111</v>
      </c>
      <c r="D93" s="367" t="s">
        <v>1108</v>
      </c>
      <c r="E93" s="380" t="s">
        <v>1108</v>
      </c>
    </row>
    <row r="94" spans="2:10" x14ac:dyDescent="0.35">
      <c r="B94" s="218">
        <v>12</v>
      </c>
      <c r="C94" s="367" t="s">
        <v>1111</v>
      </c>
      <c r="D94" s="367" t="s">
        <v>1111</v>
      </c>
      <c r="E94" s="367" t="s">
        <v>1108</v>
      </c>
    </row>
    <row r="96" spans="2:10" x14ac:dyDescent="0.35">
      <c r="B96" s="753" t="s">
        <v>1672</v>
      </c>
      <c r="C96" s="745"/>
      <c r="D96" s="745"/>
      <c r="E96" s="745"/>
      <c r="F96" s="745"/>
    </row>
    <row r="97" spans="2:13" x14ac:dyDescent="0.35">
      <c r="B97" s="325" t="s">
        <v>1664</v>
      </c>
      <c r="C97" s="325" t="s">
        <v>1665</v>
      </c>
      <c r="D97" s="325" t="s">
        <v>1666</v>
      </c>
      <c r="E97" s="325" t="s">
        <v>1667</v>
      </c>
      <c r="F97" s="325" t="s">
        <v>1668</v>
      </c>
      <c r="G97" s="354"/>
      <c r="H97" s="354"/>
    </row>
    <row r="98" spans="2:13" x14ac:dyDescent="0.35">
      <c r="B98" s="320">
        <v>1</v>
      </c>
      <c r="C98" s="320">
        <f t="shared" ref="C98:D108" si="27">C40</f>
        <v>0</v>
      </c>
      <c r="D98" s="320">
        <f t="shared" si="27"/>
        <v>60</v>
      </c>
      <c r="E98" s="320">
        <v>50</v>
      </c>
      <c r="F98" s="320">
        <f>D98/E98</f>
        <v>1.2</v>
      </c>
    </row>
    <row r="99" spans="2:13" x14ac:dyDescent="0.35">
      <c r="B99" s="320">
        <v>2</v>
      </c>
      <c r="C99" s="320">
        <f t="shared" si="27"/>
        <v>60</v>
      </c>
      <c r="D99" s="320">
        <f t="shared" si="27"/>
        <v>60</v>
      </c>
      <c r="E99" s="320">
        <v>100</v>
      </c>
      <c r="F99" s="320">
        <f t="shared" ref="F99:F108" si="28">D99/E99</f>
        <v>0.6</v>
      </c>
    </row>
    <row r="100" spans="2:13" x14ac:dyDescent="0.35">
      <c r="B100" s="320">
        <v>3</v>
      </c>
      <c r="C100" s="320">
        <f t="shared" si="27"/>
        <v>120</v>
      </c>
      <c r="D100" s="320">
        <f t="shared" si="27"/>
        <v>60</v>
      </c>
      <c r="E100" s="367">
        <v>100</v>
      </c>
      <c r="F100" s="320">
        <f t="shared" si="28"/>
        <v>0.6</v>
      </c>
    </row>
    <row r="101" spans="2:13" x14ac:dyDescent="0.35">
      <c r="B101" s="320">
        <v>4</v>
      </c>
      <c r="C101" s="320">
        <f t="shared" si="27"/>
        <v>180</v>
      </c>
      <c r="D101" s="320">
        <f t="shared" si="27"/>
        <v>120</v>
      </c>
      <c r="E101" s="367">
        <v>100</v>
      </c>
      <c r="F101" s="320">
        <f t="shared" si="28"/>
        <v>1.2</v>
      </c>
    </row>
    <row r="102" spans="2:13" x14ac:dyDescent="0.35">
      <c r="B102" s="320">
        <v>5</v>
      </c>
      <c r="C102" s="320">
        <f t="shared" si="27"/>
        <v>300</v>
      </c>
      <c r="D102" s="320">
        <f t="shared" si="27"/>
        <v>120</v>
      </c>
      <c r="E102" s="367">
        <v>100</v>
      </c>
      <c r="F102" s="320">
        <f t="shared" si="28"/>
        <v>1.2</v>
      </c>
    </row>
    <row r="103" spans="2:13" x14ac:dyDescent="0.35">
      <c r="B103" s="320">
        <v>6</v>
      </c>
      <c r="C103" s="320">
        <f t="shared" si="27"/>
        <v>420</v>
      </c>
      <c r="D103" s="320">
        <f t="shared" si="27"/>
        <v>120</v>
      </c>
      <c r="E103" s="367">
        <v>100</v>
      </c>
      <c r="F103" s="320">
        <f t="shared" si="28"/>
        <v>1.2</v>
      </c>
    </row>
    <row r="104" spans="2:13" x14ac:dyDescent="0.35">
      <c r="B104" s="320">
        <v>7</v>
      </c>
      <c r="C104" s="320">
        <f t="shared" si="27"/>
        <v>540</v>
      </c>
      <c r="D104" s="320">
        <f t="shared" si="27"/>
        <v>180</v>
      </c>
      <c r="E104" s="367">
        <v>100</v>
      </c>
      <c r="F104" s="320">
        <f t="shared" si="28"/>
        <v>1.8</v>
      </c>
    </row>
    <row r="105" spans="2:13" x14ac:dyDescent="0.35">
      <c r="B105" s="320">
        <v>8</v>
      </c>
      <c r="C105" s="320">
        <f t="shared" si="27"/>
        <v>720</v>
      </c>
      <c r="D105" s="320">
        <f t="shared" si="27"/>
        <v>180</v>
      </c>
      <c r="E105" s="367">
        <v>100</v>
      </c>
      <c r="F105" s="320">
        <f t="shared" si="28"/>
        <v>1.8</v>
      </c>
    </row>
    <row r="106" spans="2:13" x14ac:dyDescent="0.35">
      <c r="B106" s="320">
        <v>9</v>
      </c>
      <c r="C106" s="320">
        <f t="shared" si="27"/>
        <v>900</v>
      </c>
      <c r="D106" s="320">
        <f t="shared" si="27"/>
        <v>180</v>
      </c>
      <c r="E106" s="367">
        <v>100</v>
      </c>
      <c r="F106" s="320">
        <f t="shared" si="28"/>
        <v>1.8</v>
      </c>
    </row>
    <row r="107" spans="2:13" x14ac:dyDescent="0.35">
      <c r="B107" s="320">
        <v>10</v>
      </c>
      <c r="C107" s="320">
        <f t="shared" si="27"/>
        <v>1080</v>
      </c>
      <c r="D107" s="320">
        <f t="shared" si="27"/>
        <v>240</v>
      </c>
      <c r="E107" s="367">
        <v>100</v>
      </c>
      <c r="F107" s="320">
        <f t="shared" si="28"/>
        <v>2.4</v>
      </c>
    </row>
    <row r="108" spans="2:13" x14ac:dyDescent="0.35">
      <c r="B108" s="320">
        <v>11</v>
      </c>
      <c r="C108" s="320">
        <f t="shared" si="27"/>
        <v>1320</v>
      </c>
      <c r="D108" s="320">
        <f t="shared" si="27"/>
        <v>240</v>
      </c>
      <c r="E108" s="367">
        <v>100</v>
      </c>
      <c r="F108" s="320">
        <f t="shared" si="28"/>
        <v>2.4</v>
      </c>
    </row>
    <row r="110" spans="2:13" x14ac:dyDescent="0.35">
      <c r="B110" s="753" t="s">
        <v>1673</v>
      </c>
      <c r="C110" s="753"/>
      <c r="D110" s="753"/>
      <c r="E110" s="753"/>
      <c r="F110" s="753"/>
      <c r="G110" s="753"/>
      <c r="H110" s="753"/>
    </row>
    <row r="111" spans="2:13" x14ac:dyDescent="0.35">
      <c r="B111" s="325" t="s">
        <v>1662</v>
      </c>
      <c r="C111" s="325" t="s">
        <v>1663</v>
      </c>
      <c r="D111" s="325" t="s">
        <v>1671</v>
      </c>
      <c r="E111" s="325" t="s">
        <v>1674</v>
      </c>
      <c r="F111" s="325" t="s">
        <v>1675</v>
      </c>
      <c r="G111" s="355" t="s">
        <v>1753</v>
      </c>
      <c r="H111" s="368" t="s">
        <v>1662</v>
      </c>
    </row>
    <row r="112" spans="2:13" x14ac:dyDescent="0.35">
      <c r="B112" s="320">
        <v>1</v>
      </c>
      <c r="C112" s="320">
        <v>0</v>
      </c>
      <c r="D112" s="320">
        <f>C112</f>
        <v>0</v>
      </c>
      <c r="E112" s="320">
        <f>VLOOKUP(D112,$C$39:$G$53,5,TRUE)</f>
        <v>1</v>
      </c>
      <c r="F112" s="329">
        <v>4650</v>
      </c>
      <c r="G112" s="148">
        <f t="shared" ref="G112:G143" ca="1" si="29">(F112-VLOOKUP(E112,$B$39:$J$63,7,FALSE))/(VLOOKUP(E112,$B$39:$J$63,8,FALSE)-VLOOKUP(E112,$B$39:$J$63,7,FALSE))*AVERAGE(VLOOKUP(E112,$B$39:$J$63,4,FALSE),VLOOKUP(E112,$B$39:$J$63,5,FALSE))</f>
        <v>11.137162954279017</v>
      </c>
      <c r="H112" s="367">
        <v>1</v>
      </c>
      <c r="I112" s="143">
        <f ca="1">P40</f>
        <v>1319</v>
      </c>
      <c r="J112" s="143">
        <f ca="1">P40</f>
        <v>1319</v>
      </c>
      <c r="K112" s="143">
        <v>4660</v>
      </c>
      <c r="L112" s="143">
        <v>1</v>
      </c>
      <c r="M112" s="143">
        <f>ROUND(K112*L112/50,0)*50</f>
        <v>4650</v>
      </c>
    </row>
    <row r="113" spans="2:13" x14ac:dyDescent="0.35">
      <c r="B113" s="320">
        <v>2</v>
      </c>
      <c r="C113" s="320">
        <v>20</v>
      </c>
      <c r="D113" s="367">
        <f>C113+D112</f>
        <v>20</v>
      </c>
      <c r="E113" s="392">
        <f t="shared" ref="E113:E176" si="30">VLOOKUP(D113,$C$39:$G$53,5,TRUE)</f>
        <v>1</v>
      </c>
      <c r="F113" s="329">
        <v>6550</v>
      </c>
      <c r="G113" s="148">
        <f t="shared" ca="1" si="29"/>
        <v>16.705744431418523</v>
      </c>
      <c r="H113" s="367">
        <v>2</v>
      </c>
      <c r="K113" s="143">
        <v>5954</v>
      </c>
      <c r="L113" s="143">
        <v>1.1000000000000001</v>
      </c>
      <c r="M113" s="143">
        <f t="shared" ref="M113:M182" si="31">ROUND(K113*L113/50,0)*50</f>
        <v>6550</v>
      </c>
    </row>
    <row r="114" spans="2:13" x14ac:dyDescent="0.35">
      <c r="B114" s="320">
        <v>3</v>
      </c>
      <c r="C114" s="320">
        <v>20</v>
      </c>
      <c r="D114" s="424">
        <f t="shared" ref="D114:D177" si="32">C114+D113</f>
        <v>40</v>
      </c>
      <c r="E114" s="392">
        <f t="shared" si="30"/>
        <v>1</v>
      </c>
      <c r="F114" s="329">
        <v>7250</v>
      </c>
      <c r="G114" s="148">
        <f t="shared" ca="1" si="29"/>
        <v>18.757327080890974</v>
      </c>
      <c r="H114" s="367">
        <v>3</v>
      </c>
      <c r="I114" s="143">
        <f ca="1">VLOOKUP(E114,$B$39:$I$63,8,FALSE)</f>
        <v>2556</v>
      </c>
      <c r="J114" s="143">
        <f ca="1">P41</f>
        <v>2556</v>
      </c>
      <c r="K114" s="143">
        <v>7248</v>
      </c>
      <c r="L114" s="143">
        <v>1</v>
      </c>
      <c r="M114" s="143">
        <f t="shared" si="31"/>
        <v>7250</v>
      </c>
    </row>
    <row r="115" spans="2:13" x14ac:dyDescent="0.35">
      <c r="B115" s="320">
        <v>4</v>
      </c>
      <c r="C115" s="320">
        <v>20</v>
      </c>
      <c r="D115" s="424">
        <f t="shared" si="32"/>
        <v>60</v>
      </c>
      <c r="E115" s="392">
        <f t="shared" si="30"/>
        <v>2</v>
      </c>
      <c r="F115" s="329">
        <v>6400</v>
      </c>
      <c r="G115" s="148">
        <f t="shared" ca="1" si="29"/>
        <v>8.281053952321205</v>
      </c>
      <c r="H115" s="367">
        <v>4</v>
      </c>
      <c r="K115" s="143">
        <v>7976.6666666666661</v>
      </c>
      <c r="L115" s="143">
        <v>0.8</v>
      </c>
      <c r="M115" s="143">
        <f t="shared" si="31"/>
        <v>6400</v>
      </c>
    </row>
    <row r="116" spans="2:13" x14ac:dyDescent="0.35">
      <c r="B116" s="320">
        <v>5</v>
      </c>
      <c r="C116" s="320">
        <v>20</v>
      </c>
      <c r="D116" s="424">
        <f t="shared" si="32"/>
        <v>80</v>
      </c>
      <c r="E116" s="392">
        <f t="shared" si="30"/>
        <v>2</v>
      </c>
      <c r="F116" s="329">
        <v>7850</v>
      </c>
      <c r="G116" s="148">
        <f t="shared" ca="1" si="29"/>
        <v>10.706817231283981</v>
      </c>
      <c r="H116" s="367">
        <v>5</v>
      </c>
      <c r="K116" s="143">
        <v>8705.3333333333321</v>
      </c>
      <c r="L116" s="143">
        <v>0.9</v>
      </c>
      <c r="M116" s="143">
        <f t="shared" si="31"/>
        <v>7850</v>
      </c>
    </row>
    <row r="117" spans="2:13" x14ac:dyDescent="0.35">
      <c r="B117" s="320">
        <v>6</v>
      </c>
      <c r="C117" s="320">
        <v>20</v>
      </c>
      <c r="D117" s="424">
        <f t="shared" si="32"/>
        <v>100</v>
      </c>
      <c r="E117" s="392">
        <f t="shared" si="30"/>
        <v>2</v>
      </c>
      <c r="F117" s="329">
        <v>9450</v>
      </c>
      <c r="G117" s="148">
        <f t="shared" ca="1" si="29"/>
        <v>13.383521539104978</v>
      </c>
      <c r="H117" s="367">
        <v>6</v>
      </c>
      <c r="I117" s="143">
        <f ca="1">VLOOKUP(E117,$B$39:$I$63,8,FALSE)</f>
        <v>3841</v>
      </c>
      <c r="J117" s="143">
        <f ca="1">P42</f>
        <v>3841</v>
      </c>
      <c r="K117" s="143">
        <v>9434</v>
      </c>
      <c r="L117" s="143">
        <v>1</v>
      </c>
      <c r="M117" s="143">
        <f t="shared" si="31"/>
        <v>9450</v>
      </c>
    </row>
    <row r="118" spans="2:13" x14ac:dyDescent="0.35">
      <c r="B118" s="320">
        <v>7</v>
      </c>
      <c r="C118" s="320">
        <v>20</v>
      </c>
      <c r="D118" s="424">
        <f t="shared" si="32"/>
        <v>120</v>
      </c>
      <c r="E118" s="392">
        <f t="shared" si="30"/>
        <v>3</v>
      </c>
      <c r="F118" s="329">
        <v>9100</v>
      </c>
      <c r="G118" s="148">
        <f t="shared" ca="1" si="29"/>
        <v>7.7027027027027026</v>
      </c>
      <c r="H118" s="367">
        <v>7</v>
      </c>
      <c r="K118" s="143">
        <v>10132.333333333334</v>
      </c>
      <c r="L118" s="143">
        <v>0.9</v>
      </c>
      <c r="M118" s="143">
        <f t="shared" si="31"/>
        <v>9100</v>
      </c>
    </row>
    <row r="119" spans="2:13" x14ac:dyDescent="0.35">
      <c r="B119" s="320">
        <v>8</v>
      </c>
      <c r="C119" s="320">
        <v>20</v>
      </c>
      <c r="D119" s="424">
        <f t="shared" si="32"/>
        <v>140</v>
      </c>
      <c r="E119" s="392">
        <f t="shared" si="30"/>
        <v>3</v>
      </c>
      <c r="F119" s="329">
        <v>10300</v>
      </c>
      <c r="G119" s="148">
        <f t="shared" ca="1" si="29"/>
        <v>9.0926640926640925</v>
      </c>
      <c r="H119" s="367">
        <v>8</v>
      </c>
      <c r="K119" s="143">
        <v>10830.666666666668</v>
      </c>
      <c r="L119" s="143">
        <v>0.95</v>
      </c>
      <c r="M119" s="143">
        <f t="shared" si="31"/>
        <v>10300</v>
      </c>
    </row>
    <row r="120" spans="2:13" x14ac:dyDescent="0.35">
      <c r="B120" s="320">
        <v>9</v>
      </c>
      <c r="C120" s="320">
        <v>20</v>
      </c>
      <c r="D120" s="424">
        <f t="shared" si="32"/>
        <v>160</v>
      </c>
      <c r="E120" s="392">
        <f t="shared" si="30"/>
        <v>3</v>
      </c>
      <c r="F120" s="329">
        <v>11550</v>
      </c>
      <c r="G120" s="148">
        <f t="shared" ca="1" si="29"/>
        <v>10.54054054054054</v>
      </c>
      <c r="H120" s="367">
        <v>9</v>
      </c>
      <c r="I120" s="143">
        <f ca="1">VLOOKUP(E120,$B$39:$I$63,8,FALSE)</f>
        <v>5040</v>
      </c>
      <c r="J120" s="143">
        <f ca="1">P43</f>
        <v>5040</v>
      </c>
      <c r="K120" s="143">
        <v>11529</v>
      </c>
      <c r="L120" s="143">
        <v>1</v>
      </c>
      <c r="M120" s="143">
        <f t="shared" si="31"/>
        <v>11550</v>
      </c>
    </row>
    <row r="121" spans="2:13" x14ac:dyDescent="0.35">
      <c r="B121" s="320">
        <v>10</v>
      </c>
      <c r="C121" s="320">
        <v>20</v>
      </c>
      <c r="D121" s="424">
        <f t="shared" si="32"/>
        <v>180</v>
      </c>
      <c r="E121" s="392">
        <f t="shared" si="30"/>
        <v>4</v>
      </c>
      <c r="F121" s="329">
        <v>10100</v>
      </c>
      <c r="G121" s="148">
        <f t="shared" ca="1" si="29"/>
        <v>4.9241021843761565</v>
      </c>
      <c r="H121" s="367">
        <v>10</v>
      </c>
      <c r="K121" s="143">
        <v>11863</v>
      </c>
      <c r="L121" s="143">
        <v>0.85</v>
      </c>
      <c r="M121" s="143">
        <f t="shared" si="31"/>
        <v>10100</v>
      </c>
    </row>
    <row r="122" spans="2:13" x14ac:dyDescent="0.35">
      <c r="B122" s="320">
        <v>11</v>
      </c>
      <c r="C122" s="549">
        <v>20</v>
      </c>
      <c r="D122" s="424">
        <f t="shared" si="32"/>
        <v>200</v>
      </c>
      <c r="E122" s="392">
        <f t="shared" si="30"/>
        <v>4</v>
      </c>
      <c r="F122" s="329">
        <v>10750</v>
      </c>
      <c r="G122" s="148">
        <f t="shared" ca="1" si="29"/>
        <v>5.4054054054054053</v>
      </c>
      <c r="H122" s="367">
        <v>11</v>
      </c>
      <c r="K122" s="143">
        <v>12197</v>
      </c>
      <c r="L122" s="143">
        <v>0.88</v>
      </c>
      <c r="M122" s="143">
        <f t="shared" si="31"/>
        <v>10750</v>
      </c>
    </row>
    <row r="123" spans="2:13" x14ac:dyDescent="0.35">
      <c r="B123" s="320">
        <v>12</v>
      </c>
      <c r="C123" s="549">
        <v>20</v>
      </c>
      <c r="D123" s="424">
        <f t="shared" si="32"/>
        <v>220</v>
      </c>
      <c r="E123" s="392">
        <f t="shared" si="30"/>
        <v>4</v>
      </c>
      <c r="F123" s="329">
        <v>11400</v>
      </c>
      <c r="G123" s="148">
        <f t="shared" ca="1" si="29"/>
        <v>5.886708626434654</v>
      </c>
      <c r="H123" s="367">
        <v>12</v>
      </c>
      <c r="K123" s="143">
        <v>12531</v>
      </c>
      <c r="L123" s="143">
        <v>0.91</v>
      </c>
      <c r="M123" s="143">
        <f t="shared" si="31"/>
        <v>11400</v>
      </c>
    </row>
    <row r="124" spans="2:13" x14ac:dyDescent="0.35">
      <c r="B124" s="320">
        <v>13</v>
      </c>
      <c r="C124" s="549">
        <v>20</v>
      </c>
      <c r="D124" s="424">
        <f t="shared" si="32"/>
        <v>240</v>
      </c>
      <c r="E124" s="392">
        <f t="shared" si="30"/>
        <v>4</v>
      </c>
      <c r="F124" s="329">
        <v>12100</v>
      </c>
      <c r="G124" s="148">
        <f t="shared" ca="1" si="29"/>
        <v>6.4050351721584597</v>
      </c>
      <c r="H124" s="367">
        <v>13</v>
      </c>
      <c r="K124" s="143">
        <v>12865</v>
      </c>
      <c r="L124" s="143">
        <v>0.94</v>
      </c>
      <c r="M124" s="143">
        <f t="shared" si="31"/>
        <v>12100</v>
      </c>
    </row>
    <row r="125" spans="2:13" x14ac:dyDescent="0.35">
      <c r="B125" s="320">
        <v>14</v>
      </c>
      <c r="C125" s="549">
        <v>20</v>
      </c>
      <c r="D125" s="424">
        <f t="shared" si="32"/>
        <v>260</v>
      </c>
      <c r="E125" s="392">
        <f t="shared" si="30"/>
        <v>4</v>
      </c>
      <c r="F125" s="329">
        <v>12800</v>
      </c>
      <c r="G125" s="148">
        <f t="shared" ca="1" si="29"/>
        <v>6.9233617178822655</v>
      </c>
      <c r="H125" s="367">
        <v>14</v>
      </c>
      <c r="K125" s="143">
        <v>13199</v>
      </c>
      <c r="L125" s="143">
        <v>0.97</v>
      </c>
      <c r="M125" s="143">
        <f t="shared" si="31"/>
        <v>12800</v>
      </c>
    </row>
    <row r="126" spans="2:13" x14ac:dyDescent="0.35">
      <c r="B126" s="320">
        <v>15</v>
      </c>
      <c r="C126" s="549">
        <v>20</v>
      </c>
      <c r="D126" s="424">
        <f t="shared" si="32"/>
        <v>280</v>
      </c>
      <c r="E126" s="392">
        <f t="shared" si="30"/>
        <v>4</v>
      </c>
      <c r="F126" s="329">
        <v>13550</v>
      </c>
      <c r="G126" s="148">
        <f t="shared" ca="1" si="29"/>
        <v>7.4787115883006292</v>
      </c>
      <c r="H126" s="367">
        <v>15</v>
      </c>
      <c r="I126" s="143">
        <f ca="1">VLOOKUP(E126,$B$39:$I$63,8,FALSE)</f>
        <v>6151</v>
      </c>
      <c r="J126" s="143">
        <f ca="1">P44</f>
        <v>6151</v>
      </c>
      <c r="K126" s="143">
        <v>13533</v>
      </c>
      <c r="L126" s="143">
        <v>1</v>
      </c>
      <c r="M126" s="143">
        <f t="shared" si="31"/>
        <v>13550</v>
      </c>
    </row>
    <row r="127" spans="2:13" x14ac:dyDescent="0.35">
      <c r="B127" s="320">
        <v>16</v>
      </c>
      <c r="C127" s="549">
        <v>20</v>
      </c>
      <c r="D127" s="424">
        <f t="shared" si="32"/>
        <v>300</v>
      </c>
      <c r="E127" s="392">
        <f t="shared" si="30"/>
        <v>5</v>
      </c>
      <c r="F127" s="329">
        <v>11750</v>
      </c>
      <c r="G127" s="148">
        <f t="shared" ca="1" si="29"/>
        <v>2.6496034607065608</v>
      </c>
      <c r="H127" s="367">
        <v>16</v>
      </c>
      <c r="K127" s="143">
        <v>13851.333333333332</v>
      </c>
      <c r="L127" s="143">
        <v>0.85</v>
      </c>
      <c r="M127" s="143">
        <f t="shared" si="31"/>
        <v>11750</v>
      </c>
    </row>
    <row r="128" spans="2:13" x14ac:dyDescent="0.35">
      <c r="B128" s="320">
        <v>17</v>
      </c>
      <c r="C128" s="549">
        <v>20</v>
      </c>
      <c r="D128" s="424">
        <f t="shared" si="32"/>
        <v>320</v>
      </c>
      <c r="E128" s="392">
        <f t="shared" si="30"/>
        <v>5</v>
      </c>
      <c r="F128" s="329">
        <v>12450</v>
      </c>
      <c r="G128" s="148">
        <f t="shared" ca="1" si="29"/>
        <v>2.9019466474405191</v>
      </c>
      <c r="H128" s="367">
        <v>17</v>
      </c>
      <c r="K128" s="143">
        <v>14169.666666666666</v>
      </c>
      <c r="L128" s="143">
        <v>0.88</v>
      </c>
      <c r="M128" s="143">
        <f t="shared" si="31"/>
        <v>12450</v>
      </c>
    </row>
    <row r="129" spans="2:13" x14ac:dyDescent="0.35">
      <c r="B129" s="320">
        <v>18</v>
      </c>
      <c r="C129" s="549">
        <v>20</v>
      </c>
      <c r="D129" s="424">
        <f t="shared" si="32"/>
        <v>340</v>
      </c>
      <c r="E129" s="392">
        <f t="shared" si="30"/>
        <v>5</v>
      </c>
      <c r="F129" s="329">
        <v>13200</v>
      </c>
      <c r="G129" s="148">
        <f t="shared" ca="1" si="29"/>
        <v>3.172314347512617</v>
      </c>
      <c r="H129" s="367">
        <v>18</v>
      </c>
      <c r="K129" s="143">
        <v>14488</v>
      </c>
      <c r="L129" s="143">
        <v>0.91</v>
      </c>
      <c r="M129" s="143">
        <f t="shared" si="31"/>
        <v>13200</v>
      </c>
    </row>
    <row r="130" spans="2:13" x14ac:dyDescent="0.35">
      <c r="B130" s="320">
        <v>19</v>
      </c>
      <c r="C130" s="549">
        <v>20</v>
      </c>
      <c r="D130" s="424">
        <f t="shared" si="32"/>
        <v>360</v>
      </c>
      <c r="E130" s="392">
        <f t="shared" si="30"/>
        <v>5</v>
      </c>
      <c r="F130" s="329">
        <v>13900</v>
      </c>
      <c r="G130" s="148">
        <f t="shared" ca="1" si="29"/>
        <v>3.4246575342465753</v>
      </c>
      <c r="H130" s="367">
        <v>19</v>
      </c>
      <c r="K130" s="143">
        <v>14806.333333333332</v>
      </c>
      <c r="L130" s="143">
        <v>0.94</v>
      </c>
      <c r="M130" s="143">
        <f t="shared" si="31"/>
        <v>13900</v>
      </c>
    </row>
    <row r="131" spans="2:13" x14ac:dyDescent="0.35">
      <c r="B131" s="320">
        <v>20</v>
      </c>
      <c r="C131" s="549">
        <v>20</v>
      </c>
      <c r="D131" s="424">
        <f t="shared" si="32"/>
        <v>380</v>
      </c>
      <c r="E131" s="392">
        <f t="shared" si="30"/>
        <v>5</v>
      </c>
      <c r="F131" s="329">
        <v>14650</v>
      </c>
      <c r="G131" s="148">
        <f t="shared" ca="1" si="29"/>
        <v>3.6950252343186736</v>
      </c>
      <c r="H131" s="367">
        <v>20</v>
      </c>
      <c r="K131" s="143">
        <v>15124.666666666666</v>
      </c>
      <c r="L131" s="143">
        <v>0.97</v>
      </c>
      <c r="M131" s="143">
        <f t="shared" si="31"/>
        <v>14650</v>
      </c>
    </row>
    <row r="132" spans="2:13" x14ac:dyDescent="0.35">
      <c r="B132" s="320">
        <v>21</v>
      </c>
      <c r="C132" s="549">
        <v>20</v>
      </c>
      <c r="D132" s="424">
        <f t="shared" si="32"/>
        <v>400</v>
      </c>
      <c r="E132" s="392">
        <f t="shared" si="30"/>
        <v>5</v>
      </c>
      <c r="F132" s="329">
        <v>15450</v>
      </c>
      <c r="G132" s="148">
        <f t="shared" ca="1" si="29"/>
        <v>3.9834174477289115</v>
      </c>
      <c r="H132" s="367">
        <v>21</v>
      </c>
      <c r="I132" s="143">
        <f ca="1">VLOOKUP(E132,$B$39:$I$63,8,FALSE)</f>
        <v>7174</v>
      </c>
      <c r="J132" s="143">
        <f ca="1">P45</f>
        <v>7174</v>
      </c>
      <c r="K132" s="143">
        <v>15442.999999999998</v>
      </c>
      <c r="L132" s="143">
        <v>1</v>
      </c>
      <c r="M132" s="143">
        <f t="shared" si="31"/>
        <v>15450</v>
      </c>
    </row>
    <row r="133" spans="2:13" x14ac:dyDescent="0.35">
      <c r="B133" s="320">
        <v>22</v>
      </c>
      <c r="C133" s="549">
        <v>20</v>
      </c>
      <c r="D133" s="424">
        <f t="shared" si="32"/>
        <v>420</v>
      </c>
      <c r="E133" s="392">
        <f t="shared" si="30"/>
        <v>6</v>
      </c>
      <c r="F133" s="329">
        <v>13400</v>
      </c>
      <c r="G133" s="148">
        <f t="shared" ca="1" si="29"/>
        <v>2.8476589797344514</v>
      </c>
      <c r="H133" s="367">
        <v>22</v>
      </c>
      <c r="K133" s="143">
        <v>15746.166666666666</v>
      </c>
      <c r="L133" s="143">
        <v>0.85</v>
      </c>
      <c r="M133" s="143">
        <f t="shared" si="31"/>
        <v>13400</v>
      </c>
    </row>
    <row r="134" spans="2:13" x14ac:dyDescent="0.35">
      <c r="B134" s="320">
        <v>23</v>
      </c>
      <c r="C134" s="549">
        <v>20</v>
      </c>
      <c r="D134" s="424">
        <f t="shared" si="32"/>
        <v>440</v>
      </c>
      <c r="E134" s="392">
        <f t="shared" si="30"/>
        <v>6</v>
      </c>
      <c r="F134" s="329">
        <v>14100</v>
      </c>
      <c r="G134" s="148">
        <f t="shared" ca="1" si="29"/>
        <v>3.0922431865828091</v>
      </c>
      <c r="H134" s="367">
        <v>23</v>
      </c>
      <c r="K134" s="143">
        <v>16049.333333333332</v>
      </c>
      <c r="L134" s="143">
        <v>0.88</v>
      </c>
      <c r="M134" s="143">
        <f t="shared" si="31"/>
        <v>14100</v>
      </c>
    </row>
    <row r="135" spans="2:13" x14ac:dyDescent="0.35">
      <c r="B135" s="320">
        <v>24</v>
      </c>
      <c r="C135" s="549">
        <v>20</v>
      </c>
      <c r="D135" s="424">
        <f t="shared" si="32"/>
        <v>460</v>
      </c>
      <c r="E135" s="392">
        <f t="shared" si="30"/>
        <v>6</v>
      </c>
      <c r="F135" s="329">
        <v>14900</v>
      </c>
      <c r="G135" s="148">
        <f t="shared" ca="1" si="29"/>
        <v>3.3717679944095038</v>
      </c>
      <c r="H135" s="367">
        <v>24</v>
      </c>
      <c r="K135" s="143">
        <v>16352.5</v>
      </c>
      <c r="L135" s="143">
        <v>0.91</v>
      </c>
      <c r="M135" s="143">
        <f t="shared" si="31"/>
        <v>14900</v>
      </c>
    </row>
    <row r="136" spans="2:13" x14ac:dyDescent="0.35">
      <c r="B136" s="320">
        <v>25</v>
      </c>
      <c r="C136" s="549">
        <v>20</v>
      </c>
      <c r="D136" s="424">
        <f t="shared" si="32"/>
        <v>480</v>
      </c>
      <c r="E136" s="392">
        <f t="shared" si="30"/>
        <v>6</v>
      </c>
      <c r="F136" s="329">
        <v>15650</v>
      </c>
      <c r="G136" s="148">
        <f t="shared" ca="1" si="29"/>
        <v>3.63382250174703</v>
      </c>
      <c r="H136" s="367">
        <v>25</v>
      </c>
      <c r="K136" s="143">
        <v>16655.666666666664</v>
      </c>
      <c r="L136" s="143">
        <v>0.94</v>
      </c>
      <c r="M136" s="143">
        <f t="shared" si="31"/>
        <v>15650</v>
      </c>
    </row>
    <row r="137" spans="2:13" x14ac:dyDescent="0.35">
      <c r="B137" s="320">
        <v>26</v>
      </c>
      <c r="C137" s="549">
        <v>20</v>
      </c>
      <c r="D137" s="424">
        <f t="shared" si="32"/>
        <v>500</v>
      </c>
      <c r="E137" s="392">
        <f t="shared" si="30"/>
        <v>6</v>
      </c>
      <c r="F137" s="329">
        <v>16450</v>
      </c>
      <c r="G137" s="148">
        <f t="shared" ca="1" si="29"/>
        <v>3.9133473095737248</v>
      </c>
      <c r="H137" s="367">
        <v>26</v>
      </c>
      <c r="K137" s="143">
        <v>16958.833333333332</v>
      </c>
      <c r="L137" s="143">
        <v>0.97</v>
      </c>
      <c r="M137" s="143">
        <f t="shared" si="31"/>
        <v>16450</v>
      </c>
    </row>
    <row r="138" spans="2:13" x14ac:dyDescent="0.35">
      <c r="B138" s="320">
        <v>27</v>
      </c>
      <c r="C138" s="549">
        <v>20</v>
      </c>
      <c r="D138" s="424">
        <f t="shared" si="32"/>
        <v>520</v>
      </c>
      <c r="E138" s="392">
        <f t="shared" si="30"/>
        <v>6</v>
      </c>
      <c r="F138" s="329">
        <v>17250</v>
      </c>
      <c r="G138" s="148">
        <f t="shared" ca="1" si="29"/>
        <v>4.1928721174004195</v>
      </c>
      <c r="H138" s="367">
        <v>27</v>
      </c>
      <c r="I138" s="143">
        <f ca="1">VLOOKUP(E138,$B$39:$I$63,8,FALSE)</f>
        <v>8112</v>
      </c>
      <c r="J138" s="143">
        <f ca="1">P46</f>
        <v>8112</v>
      </c>
      <c r="K138" s="143">
        <v>17262</v>
      </c>
      <c r="L138" s="143">
        <v>1</v>
      </c>
      <c r="M138" s="143">
        <f t="shared" si="31"/>
        <v>17250</v>
      </c>
    </row>
    <row r="139" spans="2:13" x14ac:dyDescent="0.35">
      <c r="B139" s="320">
        <v>28</v>
      </c>
      <c r="C139" s="320">
        <v>30</v>
      </c>
      <c r="D139" s="424">
        <f t="shared" si="32"/>
        <v>550</v>
      </c>
      <c r="E139" s="392">
        <f t="shared" si="30"/>
        <v>7</v>
      </c>
      <c r="F139" s="329">
        <v>14900</v>
      </c>
      <c r="G139" s="148">
        <f t="shared" ca="1" si="29"/>
        <v>3.0715532286212914</v>
      </c>
      <c r="H139" s="367">
        <v>28</v>
      </c>
      <c r="K139" s="143">
        <v>17549.5</v>
      </c>
      <c r="L139" s="143">
        <v>0.85</v>
      </c>
      <c r="M139" s="143">
        <f t="shared" si="31"/>
        <v>14900</v>
      </c>
    </row>
    <row r="140" spans="2:13" x14ac:dyDescent="0.35">
      <c r="B140" s="320">
        <v>29</v>
      </c>
      <c r="C140" s="320">
        <v>30</v>
      </c>
      <c r="D140" s="424">
        <f t="shared" si="32"/>
        <v>580</v>
      </c>
      <c r="E140" s="392">
        <f t="shared" si="30"/>
        <v>7</v>
      </c>
      <c r="F140" s="329">
        <v>15700</v>
      </c>
      <c r="G140" s="148">
        <f t="shared" ca="1" si="29"/>
        <v>3.3507853403141361</v>
      </c>
      <c r="H140" s="367">
        <v>29</v>
      </c>
      <c r="K140" s="143">
        <v>17837</v>
      </c>
      <c r="L140" s="143">
        <v>0.88</v>
      </c>
      <c r="M140" s="143">
        <f t="shared" si="31"/>
        <v>15700</v>
      </c>
    </row>
    <row r="141" spans="2:13" x14ac:dyDescent="0.35">
      <c r="B141" s="320">
        <v>30</v>
      </c>
      <c r="C141" s="320">
        <v>30</v>
      </c>
      <c r="D141" s="424">
        <f t="shared" si="32"/>
        <v>610</v>
      </c>
      <c r="E141" s="392">
        <f t="shared" si="30"/>
        <v>7</v>
      </c>
      <c r="F141" s="329">
        <v>16500</v>
      </c>
      <c r="G141" s="148">
        <f t="shared" ca="1" si="29"/>
        <v>3.6300174520069808</v>
      </c>
      <c r="H141" s="367">
        <v>30</v>
      </c>
      <c r="K141" s="143">
        <v>18124.5</v>
      </c>
      <c r="L141" s="143">
        <v>0.91</v>
      </c>
      <c r="M141" s="143">
        <f t="shared" si="31"/>
        <v>16500</v>
      </c>
    </row>
    <row r="142" spans="2:13" x14ac:dyDescent="0.35">
      <c r="B142" s="320">
        <v>31</v>
      </c>
      <c r="C142" s="320">
        <v>30</v>
      </c>
      <c r="D142" s="424">
        <f t="shared" si="32"/>
        <v>640</v>
      </c>
      <c r="E142" s="392">
        <f t="shared" si="30"/>
        <v>7</v>
      </c>
      <c r="F142" s="329">
        <v>17300</v>
      </c>
      <c r="G142" s="148">
        <f t="shared" ca="1" si="29"/>
        <v>3.9092495636998255</v>
      </c>
      <c r="H142" s="367">
        <v>31</v>
      </c>
      <c r="K142" s="143">
        <v>18412</v>
      </c>
      <c r="L142" s="143">
        <v>0.94</v>
      </c>
      <c r="M142" s="143">
        <f t="shared" si="31"/>
        <v>17300</v>
      </c>
    </row>
    <row r="143" spans="2:13" x14ac:dyDescent="0.35">
      <c r="B143" s="320">
        <v>32</v>
      </c>
      <c r="C143" s="320">
        <v>30</v>
      </c>
      <c r="D143" s="424">
        <f t="shared" si="32"/>
        <v>670</v>
      </c>
      <c r="E143" s="392">
        <f t="shared" si="30"/>
        <v>7</v>
      </c>
      <c r="F143" s="329">
        <v>18150</v>
      </c>
      <c r="G143" s="148">
        <f t="shared" ca="1" si="29"/>
        <v>4.2059336823734732</v>
      </c>
      <c r="H143" s="367">
        <v>32</v>
      </c>
      <c r="K143" s="143">
        <v>18699.5</v>
      </c>
      <c r="L143" s="143">
        <v>0.97</v>
      </c>
      <c r="M143" s="143">
        <f t="shared" si="31"/>
        <v>18150</v>
      </c>
    </row>
    <row r="144" spans="2:13" x14ac:dyDescent="0.35">
      <c r="B144" s="320">
        <v>33</v>
      </c>
      <c r="C144" s="320">
        <v>30</v>
      </c>
      <c r="D144" s="424">
        <f t="shared" si="32"/>
        <v>700</v>
      </c>
      <c r="E144" s="392">
        <f t="shared" si="30"/>
        <v>7</v>
      </c>
      <c r="F144" s="329">
        <v>19000</v>
      </c>
      <c r="G144" s="148">
        <f t="shared" ref="G144:G175" ca="1" si="33">(F144-VLOOKUP(E144,$B$39:$J$63,7,FALSE))/(VLOOKUP(E144,$B$39:$J$63,8,FALSE)-VLOOKUP(E144,$B$39:$J$63,7,FALSE))*AVERAGE(VLOOKUP(E144,$B$39:$J$63,4,FALSE),VLOOKUP(E144,$B$39:$J$63,5,FALSE))</f>
        <v>4.5026178010471201</v>
      </c>
      <c r="H144" s="367">
        <v>33</v>
      </c>
      <c r="I144" s="143">
        <f ca="1">VLOOKUP(E144,$B$39:$I$63,8,FALSE)</f>
        <v>8965</v>
      </c>
      <c r="J144" s="143">
        <f ca="1">P47</f>
        <v>8965</v>
      </c>
      <c r="K144" s="143">
        <v>18987</v>
      </c>
      <c r="L144" s="143">
        <v>1</v>
      </c>
      <c r="M144" s="143">
        <f t="shared" si="31"/>
        <v>19000</v>
      </c>
    </row>
    <row r="145" spans="2:13" x14ac:dyDescent="0.35">
      <c r="B145" s="320">
        <v>34</v>
      </c>
      <c r="C145" s="320">
        <v>30</v>
      </c>
      <c r="D145" s="424">
        <f t="shared" si="32"/>
        <v>730</v>
      </c>
      <c r="E145" s="392">
        <f t="shared" si="30"/>
        <v>8</v>
      </c>
      <c r="F145" s="329">
        <v>16350</v>
      </c>
      <c r="G145" s="148">
        <f t="shared" ca="1" si="33"/>
        <v>3.3333333333333335</v>
      </c>
      <c r="H145" s="367">
        <v>34</v>
      </c>
      <c r="K145" s="143">
        <v>19259.5</v>
      </c>
      <c r="L145" s="143">
        <v>0.85</v>
      </c>
      <c r="M145" s="143">
        <f t="shared" si="31"/>
        <v>16350</v>
      </c>
    </row>
    <row r="146" spans="2:13" x14ac:dyDescent="0.35">
      <c r="B146" s="320">
        <v>35</v>
      </c>
      <c r="C146" s="320">
        <v>30</v>
      </c>
      <c r="D146" s="424">
        <f t="shared" si="32"/>
        <v>760</v>
      </c>
      <c r="E146" s="392">
        <f t="shared" si="30"/>
        <v>8</v>
      </c>
      <c r="F146" s="329">
        <v>17200</v>
      </c>
      <c r="G146" s="148">
        <f t="shared" ca="1" si="33"/>
        <v>3.6331569664902998</v>
      </c>
      <c r="H146" s="367">
        <v>35</v>
      </c>
      <c r="K146" s="143">
        <v>19532</v>
      </c>
      <c r="L146" s="143">
        <v>0.88</v>
      </c>
      <c r="M146" s="143">
        <f t="shared" si="31"/>
        <v>17200</v>
      </c>
    </row>
    <row r="147" spans="2:13" x14ac:dyDescent="0.35">
      <c r="B147" s="320">
        <v>36</v>
      </c>
      <c r="C147" s="320">
        <v>30</v>
      </c>
      <c r="D147" s="424">
        <f t="shared" si="32"/>
        <v>790</v>
      </c>
      <c r="E147" s="392">
        <f t="shared" si="30"/>
        <v>8</v>
      </c>
      <c r="F147" s="329">
        <v>18000</v>
      </c>
      <c r="G147" s="148">
        <f t="shared" ca="1" si="33"/>
        <v>3.9153439153439153</v>
      </c>
      <c r="H147" s="367">
        <v>36</v>
      </c>
      <c r="K147" s="143">
        <v>19804.5</v>
      </c>
      <c r="L147" s="143">
        <v>0.91</v>
      </c>
      <c r="M147" s="143">
        <f t="shared" si="31"/>
        <v>18000</v>
      </c>
    </row>
    <row r="148" spans="2:13" x14ac:dyDescent="0.35">
      <c r="B148" s="320">
        <v>37</v>
      </c>
      <c r="C148" s="320">
        <v>30</v>
      </c>
      <c r="D148" s="424">
        <f t="shared" si="32"/>
        <v>820</v>
      </c>
      <c r="E148" s="392">
        <f t="shared" si="30"/>
        <v>8</v>
      </c>
      <c r="F148" s="329">
        <v>18850</v>
      </c>
      <c r="G148" s="148">
        <f t="shared" ca="1" si="33"/>
        <v>4.2151675485008822</v>
      </c>
      <c r="H148" s="367">
        <v>37</v>
      </c>
      <c r="K148" s="143">
        <v>20077</v>
      </c>
      <c r="L148" s="143">
        <v>0.94</v>
      </c>
      <c r="M148" s="143">
        <f t="shared" si="31"/>
        <v>18850</v>
      </c>
    </row>
    <row r="149" spans="2:13" x14ac:dyDescent="0.35">
      <c r="B149" s="320">
        <v>38</v>
      </c>
      <c r="C149" s="320">
        <v>30</v>
      </c>
      <c r="D149" s="424">
        <f t="shared" si="32"/>
        <v>850</v>
      </c>
      <c r="E149" s="392">
        <f t="shared" si="30"/>
        <v>8</v>
      </c>
      <c r="F149" s="329">
        <v>19750</v>
      </c>
      <c r="G149" s="148">
        <f t="shared" ca="1" si="33"/>
        <v>4.5326278659611994</v>
      </c>
      <c r="H149" s="367">
        <v>38</v>
      </c>
      <c r="K149" s="143">
        <v>20349.5</v>
      </c>
      <c r="L149" s="143">
        <v>0.97</v>
      </c>
      <c r="M149" s="143">
        <f t="shared" si="31"/>
        <v>19750</v>
      </c>
    </row>
    <row r="150" spans="2:13" x14ac:dyDescent="0.35">
      <c r="B150" s="320">
        <v>39</v>
      </c>
      <c r="C150" s="320">
        <v>30</v>
      </c>
      <c r="D150" s="424">
        <f t="shared" si="32"/>
        <v>880</v>
      </c>
      <c r="E150" s="392">
        <f t="shared" si="30"/>
        <v>8</v>
      </c>
      <c r="F150" s="329">
        <v>20600</v>
      </c>
      <c r="G150" s="148">
        <f t="shared" ca="1" si="33"/>
        <v>4.8324514991181662</v>
      </c>
      <c r="H150" s="367">
        <v>39</v>
      </c>
      <c r="I150" s="143">
        <f ca="1">VLOOKUP(E150,$B$39:$I$63,8,FALSE)</f>
        <v>9735</v>
      </c>
      <c r="J150" s="143">
        <f ca="1">P48</f>
        <v>9735</v>
      </c>
      <c r="K150" s="143">
        <v>20622</v>
      </c>
      <c r="L150" s="143">
        <v>1</v>
      </c>
      <c r="M150" s="143">
        <f t="shared" si="31"/>
        <v>20600</v>
      </c>
    </row>
    <row r="151" spans="2:13" x14ac:dyDescent="0.35">
      <c r="B151" s="320">
        <v>40</v>
      </c>
      <c r="C151" s="320">
        <v>30</v>
      </c>
      <c r="D151" s="424">
        <f t="shared" si="32"/>
        <v>910</v>
      </c>
      <c r="E151" s="392">
        <f t="shared" si="30"/>
        <v>9</v>
      </c>
      <c r="F151" s="329">
        <v>17750</v>
      </c>
      <c r="G151" s="148">
        <f t="shared" ca="1" si="33"/>
        <v>3.6894273127753303</v>
      </c>
      <c r="H151" s="367">
        <v>40</v>
      </c>
      <c r="K151" s="143">
        <v>20879.5</v>
      </c>
      <c r="L151" s="143">
        <v>0.85</v>
      </c>
      <c r="M151" s="143">
        <f t="shared" si="31"/>
        <v>17750</v>
      </c>
    </row>
    <row r="152" spans="2:13" x14ac:dyDescent="0.35">
      <c r="B152" s="320">
        <v>41</v>
      </c>
      <c r="C152" s="320">
        <v>30</v>
      </c>
      <c r="D152" s="424">
        <f t="shared" si="32"/>
        <v>940</v>
      </c>
      <c r="E152" s="392">
        <f t="shared" si="30"/>
        <v>9</v>
      </c>
      <c r="F152" s="329">
        <v>18600</v>
      </c>
      <c r="G152" s="148">
        <f t="shared" ca="1" si="33"/>
        <v>4.0014684287812043</v>
      </c>
      <c r="H152" s="367">
        <v>41</v>
      </c>
      <c r="K152" s="143">
        <v>21137</v>
      </c>
      <c r="L152" s="143">
        <v>0.88</v>
      </c>
      <c r="M152" s="143">
        <f t="shared" si="31"/>
        <v>18600</v>
      </c>
    </row>
    <row r="153" spans="2:13" x14ac:dyDescent="0.35">
      <c r="B153" s="320">
        <v>42</v>
      </c>
      <c r="C153" s="320">
        <v>30</v>
      </c>
      <c r="D153" s="424">
        <f t="shared" si="32"/>
        <v>970</v>
      </c>
      <c r="E153" s="392">
        <f t="shared" si="30"/>
        <v>9</v>
      </c>
      <c r="F153" s="329">
        <v>19450</v>
      </c>
      <c r="G153" s="148">
        <f t="shared" ca="1" si="33"/>
        <v>4.3135095447870775</v>
      </c>
      <c r="H153" s="367">
        <v>42</v>
      </c>
      <c r="K153" s="143">
        <v>21394.5</v>
      </c>
      <c r="L153" s="143">
        <v>0.91</v>
      </c>
      <c r="M153" s="143">
        <f t="shared" si="31"/>
        <v>19450</v>
      </c>
    </row>
    <row r="154" spans="2:13" x14ac:dyDescent="0.35">
      <c r="B154" s="320">
        <v>43</v>
      </c>
      <c r="C154" s="320">
        <v>30</v>
      </c>
      <c r="D154" s="424">
        <f t="shared" si="32"/>
        <v>1000</v>
      </c>
      <c r="E154" s="392">
        <f t="shared" si="30"/>
        <v>9</v>
      </c>
      <c r="F154" s="329">
        <v>20350</v>
      </c>
      <c r="G154" s="148">
        <f t="shared" ca="1" si="33"/>
        <v>4.6439060205580027</v>
      </c>
      <c r="H154" s="367">
        <v>43</v>
      </c>
      <c r="K154" s="143">
        <v>21652</v>
      </c>
      <c r="L154" s="143">
        <v>0.94</v>
      </c>
      <c r="M154" s="143">
        <f t="shared" si="31"/>
        <v>20350</v>
      </c>
    </row>
    <row r="155" spans="2:13" x14ac:dyDescent="0.35">
      <c r="B155" s="320">
        <v>44</v>
      </c>
      <c r="C155" s="320">
        <v>30</v>
      </c>
      <c r="D155" s="424">
        <f t="shared" si="32"/>
        <v>1030</v>
      </c>
      <c r="E155" s="392">
        <f t="shared" si="30"/>
        <v>9</v>
      </c>
      <c r="F155" s="329">
        <v>21250</v>
      </c>
      <c r="G155" s="148">
        <f t="shared" ca="1" si="33"/>
        <v>4.974302496328928</v>
      </c>
      <c r="H155" s="367">
        <v>44</v>
      </c>
      <c r="K155" s="143">
        <v>21909.5</v>
      </c>
      <c r="L155" s="143">
        <v>0.97</v>
      </c>
      <c r="M155" s="143">
        <f t="shared" si="31"/>
        <v>21250</v>
      </c>
    </row>
    <row r="156" spans="2:13" x14ac:dyDescent="0.35">
      <c r="B156" s="320">
        <v>45</v>
      </c>
      <c r="C156" s="320">
        <v>30</v>
      </c>
      <c r="D156" s="424">
        <f t="shared" si="32"/>
        <v>1060</v>
      </c>
      <c r="E156" s="392">
        <f t="shared" si="30"/>
        <v>9</v>
      </c>
      <c r="F156" s="329">
        <v>22150</v>
      </c>
      <c r="G156" s="148">
        <f t="shared" ca="1" si="33"/>
        <v>5.3046989720998532</v>
      </c>
      <c r="H156" s="367">
        <v>45</v>
      </c>
      <c r="I156" s="143">
        <f ca="1">VLOOKUP(E156,$B$39:$I$63,8,FALSE)</f>
        <v>10424</v>
      </c>
      <c r="J156" s="143">
        <f ca="1">P49</f>
        <v>10424</v>
      </c>
      <c r="K156" s="143">
        <v>22167</v>
      </c>
      <c r="L156" s="143">
        <v>1</v>
      </c>
      <c r="M156" s="143">
        <f t="shared" si="31"/>
        <v>22150</v>
      </c>
    </row>
    <row r="157" spans="2:13" x14ac:dyDescent="0.35">
      <c r="B157" s="320">
        <v>46</v>
      </c>
      <c r="C157" s="320">
        <v>30</v>
      </c>
      <c r="D157" s="424">
        <f t="shared" si="32"/>
        <v>1090</v>
      </c>
      <c r="E157" s="392">
        <f t="shared" si="30"/>
        <v>10</v>
      </c>
      <c r="F157" s="329">
        <v>19200</v>
      </c>
      <c r="G157" s="148">
        <f t="shared" ca="1" si="33"/>
        <v>4.1017850360805168</v>
      </c>
      <c r="H157" s="367">
        <v>46</v>
      </c>
      <c r="K157" s="143">
        <v>22349</v>
      </c>
      <c r="L157" s="143">
        <v>0.86</v>
      </c>
      <c r="M157" s="143">
        <f t="shared" si="31"/>
        <v>19200</v>
      </c>
    </row>
    <row r="158" spans="2:13" x14ac:dyDescent="0.35">
      <c r="B158" s="320">
        <v>47</v>
      </c>
      <c r="C158" s="320">
        <v>30</v>
      </c>
      <c r="D158" s="424">
        <f t="shared" si="32"/>
        <v>1120</v>
      </c>
      <c r="E158" s="392">
        <f t="shared" si="30"/>
        <v>10</v>
      </c>
      <c r="F158" s="329">
        <v>19850</v>
      </c>
      <c r="G158" s="148">
        <f t="shared" ca="1" si="33"/>
        <v>4.3486517280668435</v>
      </c>
      <c r="H158" s="367">
        <v>47</v>
      </c>
      <c r="K158" s="143">
        <v>22531</v>
      </c>
      <c r="L158" s="143">
        <v>0.88</v>
      </c>
      <c r="M158" s="143">
        <f t="shared" si="31"/>
        <v>19850</v>
      </c>
    </row>
    <row r="159" spans="2:13" x14ac:dyDescent="0.35">
      <c r="B159" s="320">
        <v>48</v>
      </c>
      <c r="C159" s="367">
        <v>30</v>
      </c>
      <c r="D159" s="424">
        <f t="shared" si="32"/>
        <v>1150</v>
      </c>
      <c r="E159" s="392">
        <f t="shared" si="30"/>
        <v>10</v>
      </c>
      <c r="F159" s="329">
        <v>20450</v>
      </c>
      <c r="G159" s="148">
        <f t="shared" ca="1" si="33"/>
        <v>4.5765286745157612</v>
      </c>
      <c r="H159" s="367">
        <v>48</v>
      </c>
      <c r="K159" s="143">
        <v>22713</v>
      </c>
      <c r="L159" s="143">
        <v>0.9</v>
      </c>
      <c r="M159" s="143">
        <f t="shared" si="31"/>
        <v>20450</v>
      </c>
    </row>
    <row r="160" spans="2:13" x14ac:dyDescent="0.35">
      <c r="B160" s="320">
        <v>49</v>
      </c>
      <c r="C160" s="367">
        <v>30</v>
      </c>
      <c r="D160" s="424">
        <f t="shared" si="32"/>
        <v>1180</v>
      </c>
      <c r="E160" s="392">
        <f t="shared" si="30"/>
        <v>10</v>
      </c>
      <c r="F160" s="329">
        <v>21050</v>
      </c>
      <c r="G160" s="148">
        <f t="shared" ca="1" si="33"/>
        <v>4.8044056209646788</v>
      </c>
      <c r="H160" s="367">
        <v>49</v>
      </c>
      <c r="K160" s="143">
        <v>22895</v>
      </c>
      <c r="L160" s="143">
        <v>0.92</v>
      </c>
      <c r="M160" s="143">
        <f t="shared" si="31"/>
        <v>21050</v>
      </c>
    </row>
    <row r="161" spans="2:13" x14ac:dyDescent="0.35">
      <c r="B161" s="320">
        <v>50</v>
      </c>
      <c r="C161" s="367">
        <v>30</v>
      </c>
      <c r="D161" s="424">
        <f t="shared" si="32"/>
        <v>1210</v>
      </c>
      <c r="E161" s="392">
        <f t="shared" si="30"/>
        <v>10</v>
      </c>
      <c r="F161" s="329">
        <v>21700</v>
      </c>
      <c r="G161" s="148">
        <f t="shared" ca="1" si="33"/>
        <v>5.0512723129510064</v>
      </c>
      <c r="H161" s="367">
        <v>50</v>
      </c>
      <c r="K161" s="143">
        <v>23077</v>
      </c>
      <c r="L161" s="143">
        <v>0.94</v>
      </c>
      <c r="M161" s="143">
        <f t="shared" si="31"/>
        <v>21700</v>
      </c>
    </row>
    <row r="162" spans="2:13" x14ac:dyDescent="0.35">
      <c r="B162" s="320">
        <v>51</v>
      </c>
      <c r="C162" s="367">
        <v>30</v>
      </c>
      <c r="D162" s="424">
        <f t="shared" si="32"/>
        <v>1240</v>
      </c>
      <c r="E162" s="392">
        <f t="shared" si="30"/>
        <v>10</v>
      </c>
      <c r="F162" s="329">
        <v>22350</v>
      </c>
      <c r="G162" s="148">
        <f t="shared" ca="1" si="33"/>
        <v>5.298139004937334</v>
      </c>
      <c r="H162" s="367">
        <v>51</v>
      </c>
      <c r="K162" s="143">
        <v>23259</v>
      </c>
      <c r="L162" s="143">
        <v>0.96</v>
      </c>
      <c r="M162" s="143">
        <f t="shared" si="31"/>
        <v>22350</v>
      </c>
    </row>
    <row r="163" spans="2:13" x14ac:dyDescent="0.35">
      <c r="B163" s="320">
        <v>52</v>
      </c>
      <c r="C163" s="367">
        <v>30</v>
      </c>
      <c r="D163" s="424">
        <f t="shared" si="32"/>
        <v>1270</v>
      </c>
      <c r="E163" s="392">
        <f t="shared" si="30"/>
        <v>10</v>
      </c>
      <c r="F163" s="329">
        <v>22950</v>
      </c>
      <c r="G163" s="148">
        <f t="shared" ca="1" si="33"/>
        <v>5.5260159513862517</v>
      </c>
      <c r="H163" s="367">
        <v>52</v>
      </c>
      <c r="K163" s="143">
        <v>23441</v>
      </c>
      <c r="L163" s="143">
        <v>0.98</v>
      </c>
      <c r="M163" s="143">
        <f t="shared" si="31"/>
        <v>22950</v>
      </c>
    </row>
    <row r="164" spans="2:13" x14ac:dyDescent="0.35">
      <c r="B164" s="320">
        <v>53</v>
      </c>
      <c r="C164" s="367">
        <v>30</v>
      </c>
      <c r="D164" s="424">
        <f t="shared" si="32"/>
        <v>1300</v>
      </c>
      <c r="E164" s="392">
        <f t="shared" si="30"/>
        <v>10</v>
      </c>
      <c r="F164" s="329">
        <v>23600</v>
      </c>
      <c r="G164" s="148">
        <f t="shared" ca="1" si="33"/>
        <v>5.7728826433725784</v>
      </c>
      <c r="H164" s="367">
        <v>53</v>
      </c>
      <c r="I164" s="143">
        <f ca="1">VLOOKUP(E164,$B$39:$I$63,8,FALSE)</f>
        <v>11033</v>
      </c>
      <c r="J164" s="143">
        <f ca="1">P50</f>
        <v>11033</v>
      </c>
      <c r="K164" s="143">
        <v>23623</v>
      </c>
      <c r="L164" s="143">
        <v>1</v>
      </c>
      <c r="M164" s="143">
        <f t="shared" si="31"/>
        <v>23600</v>
      </c>
    </row>
    <row r="165" spans="2:13" x14ac:dyDescent="0.35">
      <c r="B165" s="320">
        <v>54</v>
      </c>
      <c r="C165" s="367">
        <v>30</v>
      </c>
      <c r="D165" s="424">
        <f t="shared" si="32"/>
        <v>1330</v>
      </c>
      <c r="E165" s="392">
        <f t="shared" si="30"/>
        <v>11</v>
      </c>
      <c r="F165" s="329">
        <v>20450</v>
      </c>
      <c r="G165" s="148">
        <f t="shared" ca="1" si="33"/>
        <v>4.4639376218323585</v>
      </c>
      <c r="H165" s="367">
        <v>54</v>
      </c>
      <c r="K165" s="143">
        <v>23794</v>
      </c>
      <c r="L165" s="143">
        <v>0.86</v>
      </c>
      <c r="M165" s="143">
        <f t="shared" si="31"/>
        <v>20450</v>
      </c>
    </row>
    <row r="166" spans="2:13" x14ac:dyDescent="0.35">
      <c r="B166" s="320">
        <v>55</v>
      </c>
      <c r="C166" s="367">
        <v>30</v>
      </c>
      <c r="D166" s="424">
        <f t="shared" si="32"/>
        <v>1360</v>
      </c>
      <c r="E166" s="392">
        <f t="shared" si="30"/>
        <v>11</v>
      </c>
      <c r="F166" s="329">
        <v>21100</v>
      </c>
      <c r="G166" s="148">
        <f t="shared" ca="1" si="33"/>
        <v>4.7173489278752436</v>
      </c>
      <c r="H166" s="392">
        <v>55</v>
      </c>
      <c r="K166" s="143">
        <v>23965</v>
      </c>
      <c r="L166" s="143">
        <v>0.88</v>
      </c>
      <c r="M166" s="143">
        <f t="shared" si="31"/>
        <v>21100</v>
      </c>
    </row>
    <row r="167" spans="2:13" x14ac:dyDescent="0.35">
      <c r="B167" s="392">
        <v>56</v>
      </c>
      <c r="C167" s="392">
        <v>30</v>
      </c>
      <c r="D167" s="424">
        <f t="shared" si="32"/>
        <v>1390</v>
      </c>
      <c r="E167" s="392">
        <f t="shared" si="30"/>
        <v>11</v>
      </c>
      <c r="F167" s="392">
        <v>21700</v>
      </c>
      <c r="G167" s="148">
        <f t="shared" ca="1" si="33"/>
        <v>4.9512670565302148</v>
      </c>
      <c r="H167" s="392">
        <v>56</v>
      </c>
      <c r="K167" s="143">
        <v>24136</v>
      </c>
      <c r="L167" s="143">
        <v>0.9</v>
      </c>
      <c r="M167" s="143">
        <f t="shared" si="31"/>
        <v>21700</v>
      </c>
    </row>
    <row r="168" spans="2:13" x14ac:dyDescent="0.35">
      <c r="B168" s="392">
        <v>57</v>
      </c>
      <c r="C168" s="392">
        <v>30</v>
      </c>
      <c r="D168" s="424">
        <f t="shared" si="32"/>
        <v>1420</v>
      </c>
      <c r="E168" s="392">
        <f t="shared" si="30"/>
        <v>11</v>
      </c>
      <c r="F168" s="392">
        <v>22350</v>
      </c>
      <c r="G168" s="148">
        <f t="shared" ca="1" si="33"/>
        <v>5.204678362573099</v>
      </c>
      <c r="H168" s="392">
        <v>57</v>
      </c>
      <c r="K168" s="143">
        <v>24307</v>
      </c>
      <c r="L168" s="143">
        <v>0.92</v>
      </c>
      <c r="M168" s="143">
        <f t="shared" si="31"/>
        <v>22350</v>
      </c>
    </row>
    <row r="169" spans="2:13" x14ac:dyDescent="0.35">
      <c r="B169" s="392">
        <v>58</v>
      </c>
      <c r="C169" s="392">
        <v>30</v>
      </c>
      <c r="D169" s="424">
        <f t="shared" si="32"/>
        <v>1450</v>
      </c>
      <c r="E169" s="392">
        <f t="shared" si="30"/>
        <v>11</v>
      </c>
      <c r="F169" s="392">
        <v>23000</v>
      </c>
      <c r="G169" s="148">
        <f t="shared" ca="1" si="33"/>
        <v>5.4580896686159841</v>
      </c>
      <c r="H169" s="392">
        <v>58</v>
      </c>
      <c r="K169" s="143">
        <v>24478</v>
      </c>
      <c r="L169" s="143">
        <v>0.94</v>
      </c>
      <c r="M169" s="143">
        <f t="shared" si="31"/>
        <v>23000</v>
      </c>
    </row>
    <row r="170" spans="2:13" x14ac:dyDescent="0.35">
      <c r="B170" s="392">
        <v>59</v>
      </c>
      <c r="C170" s="392">
        <v>30</v>
      </c>
      <c r="D170" s="424">
        <f t="shared" si="32"/>
        <v>1480</v>
      </c>
      <c r="E170" s="392">
        <f t="shared" si="30"/>
        <v>11</v>
      </c>
      <c r="F170" s="392">
        <v>23650</v>
      </c>
      <c r="G170" s="148">
        <f t="shared" ca="1" si="33"/>
        <v>5.7115009746588692</v>
      </c>
      <c r="H170" s="392">
        <v>59</v>
      </c>
      <c r="K170" s="143">
        <v>24649</v>
      </c>
      <c r="L170" s="143">
        <v>0.96</v>
      </c>
      <c r="M170" s="143">
        <f t="shared" si="31"/>
        <v>23650</v>
      </c>
    </row>
    <row r="171" spans="2:13" x14ac:dyDescent="0.35">
      <c r="B171" s="392">
        <v>60</v>
      </c>
      <c r="C171" s="392">
        <v>30</v>
      </c>
      <c r="D171" s="424">
        <f t="shared" si="32"/>
        <v>1510</v>
      </c>
      <c r="E171" s="392">
        <f t="shared" si="30"/>
        <v>11</v>
      </c>
      <c r="F171" s="392">
        <v>24300</v>
      </c>
      <c r="G171" s="148">
        <f t="shared" ca="1" si="33"/>
        <v>5.9649122807017543</v>
      </c>
      <c r="H171" s="392">
        <v>60</v>
      </c>
      <c r="K171" s="143">
        <v>24820</v>
      </c>
      <c r="L171" s="143">
        <v>0.98</v>
      </c>
      <c r="M171" s="143">
        <f t="shared" si="31"/>
        <v>24300</v>
      </c>
    </row>
    <row r="172" spans="2:13" x14ac:dyDescent="0.35">
      <c r="B172" s="392">
        <v>61</v>
      </c>
      <c r="C172" s="392">
        <v>30</v>
      </c>
      <c r="D172" s="424">
        <f t="shared" si="32"/>
        <v>1540</v>
      </c>
      <c r="E172" s="392">
        <f t="shared" si="30"/>
        <v>11</v>
      </c>
      <c r="F172" s="392">
        <v>25000</v>
      </c>
      <c r="G172" s="148">
        <f t="shared" ca="1" si="33"/>
        <v>6.2378167641325533</v>
      </c>
      <c r="H172" s="392">
        <v>61</v>
      </c>
      <c r="I172" s="143">
        <f ca="1">VLOOKUP(E172,$B$39:$I$63,8,FALSE)</f>
        <v>11565</v>
      </c>
      <c r="J172" s="143">
        <f ca="1">P51</f>
        <v>11565</v>
      </c>
      <c r="K172" s="143">
        <v>24991</v>
      </c>
      <c r="L172" s="143">
        <v>1</v>
      </c>
      <c r="M172" s="143">
        <f t="shared" si="31"/>
        <v>25000</v>
      </c>
    </row>
    <row r="173" spans="2:13" x14ac:dyDescent="0.35">
      <c r="B173" s="392">
        <v>62</v>
      </c>
      <c r="C173" s="392">
        <v>30</v>
      </c>
      <c r="D173" s="424">
        <f t="shared" si="32"/>
        <v>1570</v>
      </c>
      <c r="E173" s="392">
        <f t="shared" si="30"/>
        <v>12</v>
      </c>
      <c r="F173" s="392">
        <v>21600</v>
      </c>
      <c r="G173" s="148">
        <f t="shared" ca="1" si="33"/>
        <v>4.9525381758151052</v>
      </c>
      <c r="H173" s="392">
        <v>62</v>
      </c>
      <c r="K173" s="143">
        <v>25089.692307692309</v>
      </c>
      <c r="L173" s="143">
        <v>0.86</v>
      </c>
      <c r="M173" s="143">
        <f t="shared" si="31"/>
        <v>21600</v>
      </c>
    </row>
    <row r="174" spans="2:13" x14ac:dyDescent="0.35">
      <c r="B174" s="392">
        <v>63</v>
      </c>
      <c r="C174" s="392">
        <v>30</v>
      </c>
      <c r="D174" s="424">
        <f t="shared" si="32"/>
        <v>1600</v>
      </c>
      <c r="E174" s="392">
        <f t="shared" si="30"/>
        <v>12</v>
      </c>
      <c r="F174" s="392">
        <v>22150</v>
      </c>
      <c r="G174" s="148">
        <f t="shared" ca="1" si="33"/>
        <v>5.1795295088732978</v>
      </c>
      <c r="H174" s="392">
        <v>63</v>
      </c>
      <c r="K174" s="143">
        <v>25188.384615384613</v>
      </c>
      <c r="L174" s="143">
        <v>0.88</v>
      </c>
      <c r="M174" s="143">
        <f t="shared" si="31"/>
        <v>22150</v>
      </c>
    </row>
    <row r="175" spans="2:13" x14ac:dyDescent="0.35">
      <c r="B175" s="392">
        <v>64</v>
      </c>
      <c r="C175" s="392">
        <v>30</v>
      </c>
      <c r="D175" s="424">
        <f t="shared" si="32"/>
        <v>1630</v>
      </c>
      <c r="E175" s="392">
        <f t="shared" si="30"/>
        <v>12</v>
      </c>
      <c r="F175" s="392">
        <v>22750</v>
      </c>
      <c r="G175" s="148">
        <f t="shared" ca="1" si="33"/>
        <v>5.4271564176640528</v>
      </c>
      <c r="H175" s="392">
        <v>64</v>
      </c>
      <c r="K175" s="143">
        <v>25287.076923076922</v>
      </c>
      <c r="L175" s="143">
        <v>0.9</v>
      </c>
      <c r="M175" s="143">
        <f t="shared" si="31"/>
        <v>22750</v>
      </c>
    </row>
    <row r="176" spans="2:13" x14ac:dyDescent="0.35">
      <c r="B176" s="392">
        <v>65</v>
      </c>
      <c r="C176" s="392">
        <v>10</v>
      </c>
      <c r="D176" s="424">
        <f t="shared" si="32"/>
        <v>1640</v>
      </c>
      <c r="E176" s="392">
        <f t="shared" si="30"/>
        <v>12</v>
      </c>
      <c r="F176" s="392">
        <v>23350</v>
      </c>
      <c r="G176" s="148">
        <f t="shared" ref="G176:G185" ca="1" si="34">(F176-VLOOKUP(E176,$B$39:$J$63,7,FALSE))/(VLOOKUP(E176,$B$39:$J$63,8,FALSE)-VLOOKUP(E176,$B$39:$J$63,7,FALSE))*AVERAGE(VLOOKUP(E176,$B$39:$J$63,4,FALSE),VLOOKUP(E176,$B$39:$J$63,5,FALSE))</f>
        <v>5.6747833264548078</v>
      </c>
      <c r="H176" s="392">
        <v>65</v>
      </c>
      <c r="K176" s="143">
        <v>25385.76923076923</v>
      </c>
      <c r="L176" s="143">
        <v>0.92</v>
      </c>
      <c r="M176" s="143">
        <f t="shared" si="31"/>
        <v>23350</v>
      </c>
    </row>
    <row r="177" spans="2:13" x14ac:dyDescent="0.35">
      <c r="B177" s="392">
        <v>66</v>
      </c>
      <c r="C177" s="392">
        <v>10</v>
      </c>
      <c r="D177" s="424">
        <f t="shared" si="32"/>
        <v>1650</v>
      </c>
      <c r="E177" s="392">
        <f t="shared" ref="E177:E185" si="35">VLOOKUP(D177,$C$39:$G$53,5,TRUE)</f>
        <v>12</v>
      </c>
      <c r="F177" s="392">
        <v>23950</v>
      </c>
      <c r="G177" s="148">
        <f t="shared" ca="1" si="34"/>
        <v>5.9224102352455636</v>
      </c>
      <c r="H177" s="392">
        <v>66</v>
      </c>
      <c r="K177" s="143">
        <v>25484.461538461539</v>
      </c>
      <c r="L177" s="143">
        <v>0.94</v>
      </c>
      <c r="M177" s="143">
        <f t="shared" si="31"/>
        <v>23950</v>
      </c>
    </row>
    <row r="178" spans="2:13" x14ac:dyDescent="0.35">
      <c r="B178" s="392">
        <v>67</v>
      </c>
      <c r="C178" s="392">
        <v>10</v>
      </c>
      <c r="D178" s="424">
        <f t="shared" ref="D178:D185" si="36">C178+D177</f>
        <v>1660</v>
      </c>
      <c r="E178" s="392">
        <f t="shared" si="35"/>
        <v>12</v>
      </c>
      <c r="F178" s="392">
        <v>24550</v>
      </c>
      <c r="G178" s="148">
        <f t="shared" ca="1" si="34"/>
        <v>6.1700371440363186</v>
      </c>
      <c r="H178" s="392">
        <v>67</v>
      </c>
      <c r="K178" s="143">
        <v>25583.153846153844</v>
      </c>
      <c r="L178" s="143">
        <v>0.96</v>
      </c>
      <c r="M178" s="143">
        <f t="shared" si="31"/>
        <v>24550</v>
      </c>
    </row>
    <row r="179" spans="2:13" x14ac:dyDescent="0.35">
      <c r="B179" s="392">
        <v>68</v>
      </c>
      <c r="C179" s="392">
        <v>10</v>
      </c>
      <c r="D179" s="424">
        <f t="shared" si="36"/>
        <v>1670</v>
      </c>
      <c r="E179" s="392">
        <f t="shared" si="35"/>
        <v>12</v>
      </c>
      <c r="F179" s="392">
        <v>25150</v>
      </c>
      <c r="G179" s="148">
        <f t="shared" ca="1" si="34"/>
        <v>6.4176640528270736</v>
      </c>
      <c r="H179" s="392">
        <v>68</v>
      </c>
      <c r="K179" s="143">
        <v>25681.846153846152</v>
      </c>
      <c r="L179" s="143">
        <v>0.98</v>
      </c>
      <c r="M179" s="143">
        <f t="shared" si="31"/>
        <v>25150</v>
      </c>
    </row>
    <row r="180" spans="2:13" x14ac:dyDescent="0.35">
      <c r="B180" s="392">
        <v>69</v>
      </c>
      <c r="C180" s="392">
        <v>10</v>
      </c>
      <c r="D180" s="424">
        <f t="shared" si="36"/>
        <v>1680</v>
      </c>
      <c r="E180" s="392">
        <f t="shared" si="35"/>
        <v>12</v>
      </c>
      <c r="F180" s="392">
        <v>25800</v>
      </c>
      <c r="G180" s="148">
        <f t="shared" ca="1" si="34"/>
        <v>6.685926537350392</v>
      </c>
      <c r="H180" s="392">
        <v>69</v>
      </c>
      <c r="K180" s="143">
        <v>25780.538461538461</v>
      </c>
      <c r="L180" s="143">
        <v>1</v>
      </c>
      <c r="M180" s="143">
        <f t="shared" si="31"/>
        <v>25800</v>
      </c>
    </row>
    <row r="181" spans="2:13" x14ac:dyDescent="0.35">
      <c r="B181" s="392">
        <v>70</v>
      </c>
      <c r="C181" s="392">
        <v>10</v>
      </c>
      <c r="D181" s="424">
        <f t="shared" si="36"/>
        <v>1690</v>
      </c>
      <c r="E181" s="392">
        <f t="shared" si="35"/>
        <v>12</v>
      </c>
      <c r="F181" s="524">
        <v>21750</v>
      </c>
      <c r="G181" s="148">
        <f t="shared" ca="1" si="34"/>
        <v>5.0144449030127944</v>
      </c>
      <c r="H181" s="392">
        <v>70</v>
      </c>
      <c r="K181" s="143">
        <v>25879.23076923077</v>
      </c>
      <c r="L181" s="143">
        <v>0.84</v>
      </c>
      <c r="M181" s="143">
        <f t="shared" si="31"/>
        <v>21750</v>
      </c>
    </row>
    <row r="182" spans="2:13" x14ac:dyDescent="0.35">
      <c r="B182" s="392">
        <v>71</v>
      </c>
      <c r="C182" s="392">
        <v>10</v>
      </c>
      <c r="D182" s="424">
        <f t="shared" si="36"/>
        <v>1700</v>
      </c>
      <c r="E182" s="392">
        <f t="shared" si="35"/>
        <v>12</v>
      </c>
      <c r="F182" s="524">
        <v>22850</v>
      </c>
      <c r="G182" s="148">
        <f t="shared" ca="1" si="34"/>
        <v>5.4684275691291786</v>
      </c>
      <c r="H182" s="392">
        <v>71</v>
      </c>
      <c r="K182" s="143">
        <v>25977.923076923074</v>
      </c>
      <c r="L182" s="143">
        <v>0.88</v>
      </c>
      <c r="M182" s="143">
        <f t="shared" si="31"/>
        <v>22850</v>
      </c>
    </row>
    <row r="183" spans="2:13" x14ac:dyDescent="0.35">
      <c r="B183" s="392">
        <v>72</v>
      </c>
      <c r="C183" s="392">
        <v>10</v>
      </c>
      <c r="D183" s="424">
        <f t="shared" si="36"/>
        <v>1710</v>
      </c>
      <c r="E183" s="392">
        <f t="shared" si="35"/>
        <v>12</v>
      </c>
      <c r="F183" s="524">
        <v>24000</v>
      </c>
      <c r="G183" s="148">
        <f t="shared" ca="1" si="34"/>
        <v>5.9430458109781261</v>
      </c>
      <c r="H183" s="392">
        <v>72</v>
      </c>
      <c r="K183" s="143">
        <v>26076.615384615383</v>
      </c>
      <c r="L183" s="143">
        <v>0.92</v>
      </c>
      <c r="M183" s="143">
        <f>ROUND(K183*L183/50,0)*50</f>
        <v>24000</v>
      </c>
    </row>
    <row r="184" spans="2:13" x14ac:dyDescent="0.35">
      <c r="B184" s="392">
        <v>73</v>
      </c>
      <c r="C184" s="392">
        <v>10</v>
      </c>
      <c r="D184" s="424">
        <f t="shared" si="36"/>
        <v>1720</v>
      </c>
      <c r="E184" s="392">
        <f t="shared" si="35"/>
        <v>12</v>
      </c>
      <c r="F184" s="524">
        <v>25150</v>
      </c>
      <c r="G184" s="148">
        <f t="shared" ca="1" si="34"/>
        <v>6.4176640528270736</v>
      </c>
      <c r="H184" s="392">
        <v>73</v>
      </c>
      <c r="K184" s="143">
        <v>26175.307692307691</v>
      </c>
      <c r="L184" s="143">
        <v>0.96</v>
      </c>
      <c r="M184" s="143">
        <f>ROUND(K184*L184/50,0)*50</f>
        <v>25150</v>
      </c>
    </row>
    <row r="185" spans="2:13" x14ac:dyDescent="0.35">
      <c r="B185" s="392">
        <v>74</v>
      </c>
      <c r="C185" s="392">
        <v>10</v>
      </c>
      <c r="D185" s="424">
        <f t="shared" si="36"/>
        <v>1730</v>
      </c>
      <c r="E185" s="392">
        <f t="shared" si="35"/>
        <v>12</v>
      </c>
      <c r="F185" s="524">
        <v>26250</v>
      </c>
      <c r="G185" s="148">
        <f t="shared" ca="1" si="34"/>
        <v>6.8716467189434587</v>
      </c>
      <c r="H185" s="392">
        <v>74</v>
      </c>
      <c r="I185" s="143">
        <f ca="1">VLOOKUP(E185,$B$39:$I$63,8,FALSE)</f>
        <v>12023</v>
      </c>
      <c r="J185" s="143">
        <f ca="1">P52</f>
        <v>12023</v>
      </c>
      <c r="K185" s="143">
        <v>26274</v>
      </c>
      <c r="L185" s="143">
        <v>1</v>
      </c>
      <c r="M185" s="143">
        <f>ROUND(K185*L185/50,0)*50</f>
        <v>26250</v>
      </c>
    </row>
  </sheetData>
  <sortState xmlns:xlrd2="http://schemas.microsoft.com/office/spreadsheetml/2017/richdata2" ref="AB14:AB42">
    <sortCondition ref="AB14"/>
  </sortState>
  <mergeCells count="7">
    <mergeCell ref="U11:AC11"/>
    <mergeCell ref="B110:H110"/>
    <mergeCell ref="B65:D65"/>
    <mergeCell ref="B2:C2"/>
    <mergeCell ref="B80:E80"/>
    <mergeCell ref="B96:F96"/>
    <mergeCell ref="B11:R11"/>
  </mergeCells>
  <phoneticPr fontId="10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3:BY277"/>
  <sheetViews>
    <sheetView workbookViewId="0">
      <selection activeCell="H79" sqref="H79"/>
    </sheetView>
  </sheetViews>
  <sheetFormatPr defaultColWidth="9" defaultRowHeight="13" x14ac:dyDescent="0.35"/>
  <cols>
    <col min="1" max="16384" width="9" style="361"/>
  </cols>
  <sheetData>
    <row r="3" spans="2:77" x14ac:dyDescent="0.35">
      <c r="B3" s="529" t="s">
        <v>2423</v>
      </c>
      <c r="C3" s="529" t="s">
        <v>2429</v>
      </c>
      <c r="H3" s="374" t="s">
        <v>1774</v>
      </c>
      <c r="I3" s="374" t="s">
        <v>1771</v>
      </c>
      <c r="J3" s="373"/>
      <c r="K3" s="374" t="s">
        <v>1776</v>
      </c>
      <c r="L3" s="374" t="s">
        <v>1777</v>
      </c>
      <c r="M3" s="84"/>
      <c r="N3" s="84"/>
      <c r="O3" s="374" t="s">
        <v>1769</v>
      </c>
      <c r="P3" s="374" t="s">
        <v>1781</v>
      </c>
      <c r="Q3" s="374" t="s">
        <v>1782</v>
      </c>
      <c r="R3" s="374" t="s">
        <v>1775</v>
      </c>
      <c r="S3" s="374" t="s">
        <v>1783</v>
      </c>
      <c r="T3" s="374" t="s">
        <v>1795</v>
      </c>
      <c r="U3" s="374" t="s">
        <v>1798</v>
      </c>
      <c r="V3" s="374" t="s">
        <v>1786</v>
      </c>
      <c r="W3" s="374" t="s">
        <v>1799</v>
      </c>
      <c r="X3" s="374" t="s">
        <v>1801</v>
      </c>
      <c r="Y3" s="374" t="s">
        <v>1800</v>
      </c>
      <c r="Z3" s="374" t="s">
        <v>1807</v>
      </c>
      <c r="AA3" s="374" t="s">
        <v>1770</v>
      </c>
      <c r="AB3" s="557" t="s">
        <v>2549</v>
      </c>
      <c r="AC3" s="550" t="s">
        <v>2545</v>
      </c>
      <c r="AD3" s="550" t="s">
        <v>2548</v>
      </c>
      <c r="AE3" s="550" t="s">
        <v>2440</v>
      </c>
      <c r="AF3" s="550" t="s">
        <v>2547</v>
      </c>
      <c r="AG3" s="374" t="s">
        <v>1802</v>
      </c>
      <c r="AH3" s="374" t="s">
        <v>1803</v>
      </c>
      <c r="AI3" s="374" t="s">
        <v>1804</v>
      </c>
      <c r="AK3" s="364" t="s">
        <v>571</v>
      </c>
      <c r="AL3" s="364" t="s">
        <v>644</v>
      </c>
      <c r="AM3" s="550" t="s">
        <v>2535</v>
      </c>
      <c r="AN3" s="550" t="s">
        <v>2538</v>
      </c>
      <c r="AO3" s="364" t="s">
        <v>1660</v>
      </c>
      <c r="AP3" s="364" t="s">
        <v>438</v>
      </c>
      <c r="AQ3" s="550" t="s">
        <v>2536</v>
      </c>
      <c r="AR3" s="364" t="s">
        <v>435</v>
      </c>
      <c r="AS3" s="364" t="s">
        <v>436</v>
      </c>
      <c r="AT3" s="550" t="s">
        <v>2537</v>
      </c>
      <c r="AU3" s="550" t="s">
        <v>2541</v>
      </c>
      <c r="AV3" s="550" t="s">
        <v>2539</v>
      </c>
      <c r="AW3" s="550" t="s">
        <v>2540</v>
      </c>
      <c r="AX3" s="364" t="s">
        <v>46</v>
      </c>
      <c r="AY3" s="364" t="s">
        <v>704</v>
      </c>
      <c r="AZ3" s="364" t="s">
        <v>33</v>
      </c>
      <c r="BA3" s="364" t="s">
        <v>49</v>
      </c>
      <c r="BB3" s="364" t="s">
        <v>771</v>
      </c>
      <c r="BC3" s="399" t="s">
        <v>1844</v>
      </c>
      <c r="BD3" s="364" t="s">
        <v>1661</v>
      </c>
      <c r="BF3" s="364" t="s">
        <v>571</v>
      </c>
      <c r="BG3" s="364" t="s">
        <v>644</v>
      </c>
      <c r="BH3" s="550" t="s">
        <v>2408</v>
      </c>
      <c r="BI3" s="550" t="s">
        <v>2542</v>
      </c>
      <c r="BJ3" s="364" t="s">
        <v>1660</v>
      </c>
      <c r="BK3" s="364" t="s">
        <v>438</v>
      </c>
      <c r="BL3" s="550" t="s">
        <v>2543</v>
      </c>
      <c r="BM3" s="364" t="s">
        <v>435</v>
      </c>
      <c r="BN3" s="364" t="s">
        <v>436</v>
      </c>
      <c r="BO3" s="550" t="s">
        <v>2544</v>
      </c>
      <c r="BP3" s="550" t="s">
        <v>2541</v>
      </c>
      <c r="BQ3" s="550" t="s">
        <v>2539</v>
      </c>
      <c r="BR3" s="550" t="s">
        <v>2540</v>
      </c>
      <c r="BS3" s="364" t="s">
        <v>46</v>
      </c>
      <c r="BT3" s="364" t="s">
        <v>704</v>
      </c>
      <c r="BU3" s="364" t="s">
        <v>33</v>
      </c>
      <c r="BV3" s="364" t="s">
        <v>49</v>
      </c>
      <c r="BW3" s="364" t="s">
        <v>771</v>
      </c>
      <c r="BX3" s="399" t="s">
        <v>1844</v>
      </c>
      <c r="BY3" s="372" t="s">
        <v>1661</v>
      </c>
    </row>
    <row r="4" spans="2:77" x14ac:dyDescent="0.35">
      <c r="B4" s="529" t="s">
        <v>2424</v>
      </c>
      <c r="C4" s="360">
        <f>SUM(基础经济系数!N13:N17)</f>
        <v>125.41666666666663</v>
      </c>
      <c r="H4" s="374" t="s">
        <v>1772</v>
      </c>
      <c r="I4" s="375">
        <f>(基础经济系数!L16+基础经济系数!L17)/基础经济系数!C3</f>
        <v>4.1666666666666664E-2</v>
      </c>
      <c r="K4" s="360">
        <v>1</v>
      </c>
      <c r="L4" s="360">
        <v>0.4</v>
      </c>
      <c r="M4" s="84"/>
      <c r="N4" s="84">
        <v>1</v>
      </c>
      <c r="O4" s="365">
        <v>1</v>
      </c>
      <c r="P4" s="360">
        <v>0</v>
      </c>
      <c r="Q4" s="360" t="e">
        <f ca="1">ROUND(MIN((BD4-VLOOKUP(R4,$B$22:$F$46,2,FALSE))/(VLOOKUP(R4,$B$22:$F$46,3,FALSE)-VLOOKUP(R4,$B$22:$F$46,2,FALSE)),1)*((VLOOKUP(R4,$B$22:$F$46,4,FALSE)*(AG4/(AG4+VLOOKUP(P4,$D$49:$F$123,3,TRUE)))+VLOOKUP(R4,$B$22:$F$46,5,FALSE)*(1-AG4/(AG4+VLOOKUP(P4,$D$49:$F$123,3,TRUE))))/2)*游戏时长规划!$C$4,0)</f>
        <v>#REF!</v>
      </c>
      <c r="R4" s="360">
        <f t="shared" ref="R4:R67" si="0">VLOOKUP(P4,$D$49:$E$112,2,TRUE)</f>
        <v>1</v>
      </c>
      <c r="S4" s="360" t="str">
        <f>VLOOKUP(R4,$H$16:$I$28,2,FALSE)</f>
        <v>T1低</v>
      </c>
      <c r="T4" s="360" t="str">
        <f>VLOOKUP(R4,$H$16:$J$28,3,FALSE)</f>
        <v>T1低</v>
      </c>
      <c r="U4" s="363" t="str">
        <f t="shared" ref="U4:U67" si="1">IF(AI3&gt;=AG3,IFERROR(VLOOKUP(W3,$H$79:$K$89,2,FALSE),"雷诺FT"),IF(O4=1,"雷诺FT",U3))</f>
        <v>雷诺FT</v>
      </c>
      <c r="V4" s="363" t="str">
        <f t="shared" ref="V4:V35" si="2">VLOOKUP(U4,$H$46:$L$76,5,FALSE)</f>
        <v>T1低</v>
      </c>
      <c r="W4" s="360" t="str">
        <f t="shared" ref="W4:W67" si="3">VLOOKUP(V4,$H$31:$J$43,3,FALSE)</f>
        <v>T2低</v>
      </c>
      <c r="X4" s="81">
        <f>IF(Y3&lt;&gt;"NULL",(IF(VLOOKUP(T4,$H$31:$I$43,2,FALSE)&lt;VLOOKUP(W4,$H$31:$I$43,2,FALSE),0,$E$12))+(IF(VLOOKUP(S4,$H$31:$I$43,2,FALSE)&lt;VLOOKUP(W4,$H$31:$I$43,2,FALSE),0,1))*$E$13*$L$4)</f>
        <v>0</v>
      </c>
      <c r="Y4" s="360" t="str">
        <f t="shared" ref="Y4:Y67" ca="1" si="4">IFERROR(VLOOKUP(X4,INDIRECT(W4&amp;"星级"),2,TRUE),"NULL")</f>
        <v>NULL</v>
      </c>
      <c r="Z4" s="375">
        <f>IF(O4=1,($E$13+$E$12)*$L$4,IF(V4=V3,IF(Y4="NULL",($E$13+$E$12)*$L$4+Z3,$E$13*$L$4+Z3),($E$13+$E$12)*$L$4+IF(ISNUMBER(X3),X3,0)))</f>
        <v>0.22313888888888889</v>
      </c>
      <c r="AA4" s="360">
        <f ca="1">IFERROR(VLOOKUP(IF(V4="T1低",游戏时长规划!$C$67+Z4,Z4),INDIRECT(V4&amp;"星级"),2,TRUE),0)</f>
        <v>0</v>
      </c>
      <c r="AB4" s="375" t="str">
        <f t="shared" ref="AB4:AB67" si="5">VLOOKUP(R4,$H$16:$K$28,4,FALSE)</f>
        <v>T1</v>
      </c>
      <c r="AC4" s="375">
        <f>($D$14+$D$17)*$L$4/坦克部件养成!$C$2</f>
        <v>11.833333333333334</v>
      </c>
      <c r="AD4" s="360" t="str">
        <f t="shared" ref="AD4:AD67" ca="1" si="6">IF(AB4="T1",IFERROR(VLOOKUP(AC4,T1部件升阶,5,TRUE),"T111"),"T"&amp;MAX(RIGHT(IFERROR(VLOOKUP(AC4-VLOOKUP(AD3,INDIRECT(LEFT(AD3,2)&amp;"部件升阶消耗"),2,FALSE),INDIRECT(AB4&amp;"部件升阶"),5,TRUE),"T000"),3)*1,RIGHT(VLOOKUP(AC4,INDIRECT(LEFT(AD3,2)&amp;"部件升阶"),5,TRUE),3)*1))</f>
        <v>T111</v>
      </c>
      <c r="AE4" s="375">
        <f>$D$15*$L$4/坦克部件养成!$C$2</f>
        <v>4.1805555555555545</v>
      </c>
      <c r="AF4" s="360" t="e">
        <f ca="1">MIN(VLOOKUP(AE4,INDIRECT(LEFT(AD4,2)&amp;"部件升级"),2,TRUE),VLOOKUP(LEFT(AD4,2),坦克部件养成!#REF!,6,FALSE))</f>
        <v>#REF!</v>
      </c>
      <c r="AG4" s="378" t="e">
        <f ca="1">MAX(BD$4:BD4)</f>
        <v>#REF!</v>
      </c>
      <c r="AH4" s="378" t="str">
        <f t="shared" ref="AH4:AH67" si="7">IFERROR(VLOOKUP(W4,$H$79:$K$89,MATCH(VLOOKUP(U4,$H$46:$M$76,2,FALSE),$H$79:$K$79,0),FALSE),"")</f>
        <v>二号</v>
      </c>
      <c r="AI4" s="378">
        <f ca="1">IF(Y4="NULL",0,MAX(BY$4:BY4))</f>
        <v>0</v>
      </c>
      <c r="AK4" s="364" t="str">
        <f t="shared" ref="AK4:AK67" si="8">U4</f>
        <v>雷诺FT</v>
      </c>
      <c r="AL4" s="364" t="str">
        <f>VLOOKUP(AK4,坦克个性化设定!$B$18:$F$48,5,FALSE)</f>
        <v>轻坦弹夹</v>
      </c>
      <c r="AM4" s="364" t="e">
        <f t="shared" ref="AM4:AM67" ca="1" si="9">AF4</f>
        <v>#REF!</v>
      </c>
      <c r="AN4" s="372" t="str">
        <f ca="1">AD4</f>
        <v>T111</v>
      </c>
      <c r="AO4" s="364">
        <f t="shared" ref="AO4:AO67" ca="1" si="10">AA4</f>
        <v>0</v>
      </c>
      <c r="AP4" s="364" t="e">
        <f ca="1">VLOOKUP($AK4&amp;$AO4,所有坦克升星属性,MATCH(AP$3,所有坦克升星属性标头,0),FALSE)+ROUND(AU4/VLOOKUP($AK4,坦克部件!#REF!,4,FALSE)*VLOOKUP($AK4&amp;0,所有坦克升星属性,MATCH(AP$3,所有坦克升星属性标头,0),FALSE),0)</f>
        <v>#REF!</v>
      </c>
      <c r="AQ4" s="372" t="e">
        <f ca="1">VLOOKUP($AK4&amp;$AO4,所有坦克升星属性,MATCH(AQ$3,所有坦克升星属性标头,0),FALSE)+ROUND(AV4/VLOOKUP($AK4,坦克部件!#REF!,4,FALSE)*VLOOKUP($AK4&amp;0,所有坦克升星属性,MATCH(AQ$3,所有坦克升星属性标头,0),FALSE),0)</f>
        <v>#REF!</v>
      </c>
      <c r="AR4" s="372">
        <f t="shared" ref="AR4:AS23" ca="1" si="11">VLOOKUP($AK4&amp;$AO4,所有坦克升星属性,MATCH(AR$3,所有坦克升星属性标头,0),FALSE)</f>
        <v>329</v>
      </c>
      <c r="AS4" s="372">
        <f t="shared" ca="1" si="11"/>
        <v>230</v>
      </c>
      <c r="AT4" s="372" t="e">
        <f ca="1">VLOOKUP($AK4&amp;$AO4,所有坦克升星属性,MATCH(AT$3,所有坦克升星属性标头,0),FALSE)+ROUND(AW4/VLOOKUP($AK4,坦克部件!#REF!,4,FALSE)*VLOOKUP($AK4&amp;0,所有坦克升星属性,MATCH(AT$3,所有坦克升星属性标头,0),FALSE),0)</f>
        <v>#REF!</v>
      </c>
      <c r="AU4" s="372" t="e">
        <f ca="1">(VLOOKUP($AM4,坦克部件!#REF!,MATCH("标准值",坦克部件!#REF!,0),FALSE)+VLOOKUP($AN4,坦克部件!#REF!,MATCH("标准值",坦克部件!#REF!,0),FALSE))*2</f>
        <v>#REF!</v>
      </c>
      <c r="AV4" s="372" t="e">
        <f ca="1">(VLOOKUP($AM4,坦克部件!#REF!,MATCH("标准值",坦克部件!#REF!,0),FALSE)+VLOOKUP($AN4,坦克部件!#REF!,MATCH("标准值",坦克部件!#REF!,0),FALSE))*2</f>
        <v>#REF!</v>
      </c>
      <c r="AW4" s="372" t="e">
        <f ca="1">(VLOOKUP($AM4,坦克部件!#REF!,MATCH("标准值",坦克部件!#REF!,0),FALSE)+VLOOKUP($AN4,坦克部件!#REF!,MATCH("标准值",坦克部件!#REF!,0),FALSE))*2</f>
        <v>#REF!</v>
      </c>
      <c r="AX4" s="364">
        <f>VLOOKUP($AK4,坦克属性统计!$B$3:$AY$33,MATCH(AX$3,坦克属性统计!$B$3:$AY$3,0),FALSE)</f>
        <v>18</v>
      </c>
      <c r="AY4" s="372">
        <f t="shared" ref="AY4:BA23" ca="1" si="12">VLOOKUP($AK4&amp;$AO4,所有坦克升星属性,MATCH(AY$3,所有坦克升星属性标头,0),FALSE)</f>
        <v>0.3</v>
      </c>
      <c r="AZ4" s="372">
        <f t="shared" ca="1" si="12"/>
        <v>0</v>
      </c>
      <c r="BA4" s="372">
        <f t="shared" ca="1" si="12"/>
        <v>7.6</v>
      </c>
      <c r="BB4" s="356">
        <f t="shared" ref="BB4:BB67" ca="1" si="13">IF(LEN(AL4)=5,(60-(AX4-1)*AY4)/AZ4+AX4,IF(RIGHT(AL4,2)="弹夹",((60-(AX4-1)*AY4)/(BA4+(AX4-1)*AY4)+1)*AX4,60/AZ4+AX4))</f>
        <v>95.811023622047244</v>
      </c>
      <c r="BC4" s="356" t="str">
        <f>VLOOKUP(AK4,坦克个性化设定!$B$18:$E$48,4,FALSE)</f>
        <v>T1</v>
      </c>
      <c r="BD4" s="357" t="e">
        <f ca="1">ROUND(SQRT(AP4*AQ4*BB4/2+AVERAGE(AR4,AS4)*AT4*100),0)</f>
        <v>#REF!</v>
      </c>
      <c r="BF4" s="357" t="str">
        <f t="shared" ref="BF4:BF67" si="14">AH4</f>
        <v>二号</v>
      </c>
      <c r="BG4" s="372" t="str">
        <f>IFERROR(VLOOKUP(BF4,坦克个性化设定!$B$18:$F$48,5,FALSE),"")</f>
        <v>轻坦弹夹</v>
      </c>
      <c r="BH4" s="364" t="e">
        <f ca="1">AM4</f>
        <v>#REF!</v>
      </c>
      <c r="BI4" s="372" t="str">
        <f ca="1">AN4</f>
        <v>T111</v>
      </c>
      <c r="BJ4" s="364" t="str">
        <f t="shared" ref="BJ4:BJ67" ca="1" si="15">Y4</f>
        <v>NULL</v>
      </c>
      <c r="BK4" s="372" t="e">
        <f ca="1">VLOOKUP($BF4&amp;IF($BJ4="NULL",0,$BJ4),所有坦克升星属性,MATCH(BK$3,所有坦克升星属性标头,0),FALSE)+ROUND(BP4/VLOOKUP($BF4,坦克部件!#REF!,4,FALSE)*VLOOKUP($BF4&amp;0,所有坦克升星属性,MATCH(BK$3,所有坦克升星属性标头,0),FALSE),0)</f>
        <v>#REF!</v>
      </c>
      <c r="BL4" s="372" t="e">
        <f ca="1">VLOOKUP($BF4&amp;IF($BJ4="NULL",0,$BJ4),所有坦克升星属性,MATCH(BL$3,所有坦克升星属性标头,0),FALSE)+ROUND(BQ4/VLOOKUP($BF4,坦克部件!#REF!,4,FALSE)*VLOOKUP($BF4&amp;0,所有坦克升星属性,MATCH(BL$3,所有坦克升星属性标头,0),FALSE),0)</f>
        <v>#REF!</v>
      </c>
      <c r="BM4" s="372">
        <f t="shared" ref="BM4:BN23" ca="1" si="16">VLOOKUP($BF4&amp;IF($BJ4="NULL",0,$BJ4),所有坦克升星属性,MATCH(BM$3,所有坦克升星属性标头,0),FALSE)</f>
        <v>394</v>
      </c>
      <c r="BN4" s="372">
        <f t="shared" ca="1" si="16"/>
        <v>276</v>
      </c>
      <c r="BO4" s="372" t="e">
        <f ca="1">VLOOKUP($BF4&amp;IF($BJ4="NULL",0,$BJ4),所有坦克升星属性,MATCH(BO$3,所有坦克升星属性标头,0),FALSE)+ROUND(BR4/VLOOKUP($BF4,坦克部件!#REF!,4,FALSE)*VLOOKUP($BF4&amp;0,所有坦克升星属性,MATCH(BO$3,所有坦克升星属性标头,0),FALSE),0)</f>
        <v>#REF!</v>
      </c>
      <c r="BP4" s="372" t="e">
        <f ca="1">(VLOOKUP($BH4,坦克部件!#REF!,MATCH("标准值",坦克部件!#REF!,0),FALSE)+VLOOKUP($BI4,坦克部件!#REF!,MATCH("标准值",坦克部件!#REF!,0),FALSE))*2</f>
        <v>#REF!</v>
      </c>
      <c r="BQ4" s="372" t="e">
        <f ca="1">(VLOOKUP($BH4,坦克部件!#REF!,MATCH("标准值",坦克部件!#REF!,0),FALSE)+VLOOKUP($BI4,坦克部件!#REF!,MATCH("标准值",坦克部件!#REF!,0),FALSE))*2</f>
        <v>#REF!</v>
      </c>
      <c r="BR4" s="372" t="e">
        <f ca="1">(VLOOKUP($BH4,坦克部件!#REF!,MATCH("标准值",坦克部件!#REF!,0),FALSE)+VLOOKUP($BI4,坦克部件!#REF!,MATCH("标准值",坦克部件!#REF!,0),FALSE))*2</f>
        <v>#REF!</v>
      </c>
      <c r="BS4" s="372">
        <f>VLOOKUP($BF4,坦克属性统计!$B$3:$AY$33,MATCH(BS$3,坦克属性统计!$B$3:$AY$3,0),FALSE)</f>
        <v>14.999999999999998</v>
      </c>
      <c r="BT4" s="372">
        <f t="shared" ref="BT4:BV23" ca="1" si="17">VLOOKUP($BF4&amp;IF($BJ4="NULL",0,$BJ4),所有坦克升星属性,MATCH(BT$3,所有坦克升星属性标头,0),FALSE)</f>
        <v>0.2</v>
      </c>
      <c r="BU4" s="372">
        <f t="shared" ca="1" si="17"/>
        <v>0</v>
      </c>
      <c r="BV4" s="372">
        <f t="shared" ca="1" si="17"/>
        <v>8.4</v>
      </c>
      <c r="BW4" s="356">
        <f t="shared" ref="BW4:BW67" ca="1" si="18">IFERROR(IF(LEN(BG4)=5,(60-(BS4-1)*BT4)/BU4+BS4,IF(RIGHT(BG4,2)="弹夹",((60-(BS4-1)*BT4)/(BV4+(BS4-1)*BT4)+1)*BS4,60/BU4+BS4)),0)</f>
        <v>91.607142857142847</v>
      </c>
      <c r="BX4" s="356" t="str">
        <f>VLOOKUP(BF4,坦克个性化设定!$B$18:$E$48,4,FALSE)</f>
        <v>T2</v>
      </c>
      <c r="BY4" s="357" t="e">
        <f ca="1">ROUND(SQRT(BK4*BL4*BW4/2+AVERAGE(BM4,BN4)*BO4*100),0)</f>
        <v>#REF!</v>
      </c>
    </row>
    <row r="5" spans="2:77" x14ac:dyDescent="0.35">
      <c r="B5" s="529" t="s">
        <v>2425</v>
      </c>
      <c r="C5" s="360">
        <f>基础经济系数!P14+基础经济系数!P16</f>
        <v>50</v>
      </c>
      <c r="H5" s="529" t="s">
        <v>2410</v>
      </c>
      <c r="I5" s="375">
        <f>SUM(基础经济系数!N13:O17)/基础经济系数!C3</f>
        <v>0.27569444444444435</v>
      </c>
      <c r="K5" s="360">
        <v>2</v>
      </c>
      <c r="L5" s="360">
        <v>0.3</v>
      </c>
      <c r="M5" s="84"/>
      <c r="N5" s="84">
        <v>2</v>
      </c>
      <c r="O5" s="360">
        <v>2</v>
      </c>
      <c r="P5" s="360" t="e">
        <f ca="1">P4+Q4</f>
        <v>#REF!</v>
      </c>
      <c r="Q5" s="360" t="e">
        <f ca="1">ROUND(MIN((BD5-VLOOKUP(R5,$B$22:$F$46,2,FALSE))/(VLOOKUP(R5,$B$22:$F$46,3,FALSE)-VLOOKUP(R5,$B$22:$F$46,2,FALSE)),1)*((VLOOKUP(R5,$B$22:$F$46,4,FALSE)*(AG5/(AG5+VLOOKUP(P5,$D$49:$F$123,3,TRUE)))+VLOOKUP(R5,$B$22:$F$46,5,FALSE)*(1-AG5/(AG5+VLOOKUP(P5,$D$49:$F$123,3,TRUE))))/2)*游戏时长规划!$C$4,0)</f>
        <v>#REF!</v>
      </c>
      <c r="R5" s="360" t="e">
        <f t="shared" ca="1" si="0"/>
        <v>#REF!</v>
      </c>
      <c r="S5" s="360" t="e">
        <f ca="1">VLOOKUP(R5,$H$16:$I$28,2,FALSE)</f>
        <v>#REF!</v>
      </c>
      <c r="T5" s="360" t="e">
        <f ca="1">VLOOKUP(R5,$H$16:$J$28,3,FALSE)</f>
        <v>#REF!</v>
      </c>
      <c r="U5" s="370" t="e">
        <f t="shared" ca="1" si="1"/>
        <v>#REF!</v>
      </c>
      <c r="V5" s="363" t="e">
        <f t="shared" ca="1" si="2"/>
        <v>#REF!</v>
      </c>
      <c r="W5" s="360" t="e">
        <f t="shared" ca="1" si="3"/>
        <v>#REF!</v>
      </c>
      <c r="X5" s="81" t="e">
        <f t="shared" ref="X5:X68" ca="1" si="19">IF(U5&lt;&gt;U4,IF(Y4&lt;&gt;"NULL",(IF(VLOOKUP(T5,$H$31:$I$43,2,FALSE)&lt;VLOOKUP(W5,$H$31:$I$43,2,FALSE),0,$E$12))+(IF(VLOOKUP(S5,$H$31:$I$43,2,FALSE)&lt;VLOOKUP(W5,$H$31:$I$43,2,FALSE),0,1))*$E$13*$L$4,(IF(VLOOKUP(T5,$H$31:$I$43,2,FALSE)&lt;VLOOKUP(W5,$H$31:$I$43,2,FALSE),0,$E$12))+(IF(VLOOKUP(S5,$H$31:$I$43,2,FALSE)&lt;VLOOKUP(W5,$H$31:$I$43,2,FALSE),0,1))*$E$13*$L$4),(IF(VLOOKUP(T5,$H$31:$I$43,2,FALSE)&lt;VLOOKUP(W5,$H$31:$I$43,2,FALSE),0,$E$12))+(IF(VLOOKUP(S5,$H$31:$I$43,2,FALSE)&lt;VLOOKUP(W5,$H$31:$I$43,2,FALSE),0,1))*$E$13*$L$4+X4)</f>
        <v>#REF!</v>
      </c>
      <c r="Y5" s="360" t="str">
        <f t="shared" ca="1" si="4"/>
        <v>NULL</v>
      </c>
      <c r="Z5" s="375" t="e">
        <f t="shared" ref="Z5:Z68" ca="1" si="20">IF(O5=1,($E$13+$E$12)*$L$4,IF(V5=V4,IF(Y5="NULL",($E$13+$E$12)*$L$4+Z4,$E$13*$L$4+Z4),($E$13+$E$12)*$L$4+IF(ISNUMBER(X4),X4,0)))</f>
        <v>#REF!</v>
      </c>
      <c r="AA5" s="360">
        <f ca="1">IFERROR(VLOOKUP(IF(V5="T1低",游戏时长规划!$C$67+Z5,Z5),INDIRECT(V5&amp;"星级"),2,TRUE),0)</f>
        <v>0</v>
      </c>
      <c r="AB5" s="375" t="e">
        <f t="shared" ca="1" si="5"/>
        <v>#REF!</v>
      </c>
      <c r="AC5" s="375">
        <f ca="1">($D$14+$D$17)*$L$4/坦克部件养成!$C$2+AC4-IFERROR(IF(RIGHT(AD4,3)*1&gt;RIGHT(VLOOKUP(AC4,INDIRECT(LEFT(AD3,2)&amp;"部件升阶"),5,TRUE),3)*1,VLOOKUP(AD3,INDIRECT(LEFT(AD3,2)&amp;"部件升阶消耗"),2,FALSE),0),0)</f>
        <v>23.666666666666668</v>
      </c>
      <c r="AD5" s="360" t="e">
        <f t="shared" ca="1" si="6"/>
        <v>#REF!</v>
      </c>
      <c r="AE5" s="375" t="e">
        <f ca="1">$D$15*$L$4/坦克部件养成!$C$2+AE4-IF(LEFT(AD5,2)&lt;&gt;LEFT(AD4,2),VLOOKUP(AF4,INDIRECT(LEFT(AD4,2)&amp;"部件升级消耗"),5,FALSE),0)</f>
        <v>#REF!</v>
      </c>
      <c r="AF5" s="360" t="e">
        <f ca="1">MIN(VLOOKUP(AE5,INDIRECT(LEFT(AD5,2)&amp;"部件升级"),2,TRUE),VLOOKUP(LEFT(AD5,2),坦克部件养成!#REF!,6,FALSE))</f>
        <v>#REF!</v>
      </c>
      <c r="AG5" s="378" t="e">
        <f ca="1">MAX(BD$4:BD5)</f>
        <v>#REF!</v>
      </c>
      <c r="AH5" s="378" t="str">
        <f t="shared" ca="1" si="7"/>
        <v/>
      </c>
      <c r="AI5" s="378">
        <f ca="1">IF(Y5="NULL",0,MAX(BY$4:BY5))</f>
        <v>0</v>
      </c>
      <c r="AK5" s="364" t="e">
        <f t="shared" ca="1" si="8"/>
        <v>#REF!</v>
      </c>
      <c r="AL5" s="364" t="e">
        <f ca="1">VLOOKUP(AK5,坦克个性化设定!$B$18:$F$48,5,FALSE)</f>
        <v>#REF!</v>
      </c>
      <c r="AM5" s="372" t="e">
        <f t="shared" ca="1" si="9"/>
        <v>#REF!</v>
      </c>
      <c r="AN5" s="372" t="e">
        <f t="shared" ref="AN5:AN68" ca="1" si="21">AD5</f>
        <v>#REF!</v>
      </c>
      <c r="AO5" s="364">
        <f t="shared" ca="1" si="10"/>
        <v>0</v>
      </c>
      <c r="AP5" s="372" t="e">
        <f ca="1">VLOOKUP($AK5&amp;$AO5,所有坦克升星属性,MATCH(AP$3,所有坦克升星属性标头,0),FALSE)+ROUND(AU5/VLOOKUP($AK5,坦克部件!#REF!,4,FALSE)*VLOOKUP($AK5&amp;0,所有坦克升星属性,MATCH(AP$3,所有坦克升星属性标头,0),FALSE),0)</f>
        <v>#REF!</v>
      </c>
      <c r="AQ5" s="372" t="e">
        <f ca="1">VLOOKUP($AK5&amp;$AO5,所有坦克升星属性,MATCH(AQ$3,所有坦克升星属性标头,0),FALSE)+ROUND(AV5/VLOOKUP($AK5,坦克部件!#REF!,4,FALSE)*VLOOKUP($AK5&amp;0,所有坦克升星属性,MATCH(AQ$3,所有坦克升星属性标头,0),FALSE),0)</f>
        <v>#REF!</v>
      </c>
      <c r="AR5" s="372" t="e">
        <f t="shared" ca="1" si="11"/>
        <v>#REF!</v>
      </c>
      <c r="AS5" s="372" t="e">
        <f t="shared" ca="1" si="11"/>
        <v>#REF!</v>
      </c>
      <c r="AT5" s="372" t="e">
        <f ca="1">VLOOKUP($AK5&amp;$AO5,所有坦克升星属性,MATCH(AT$3,所有坦克升星属性标头,0),FALSE)+ROUND(AW5/VLOOKUP($AK5,坦克部件!#REF!,4,FALSE)*VLOOKUP($AK5&amp;0,所有坦克升星属性,MATCH(AT$3,所有坦克升星属性标头,0),FALSE),0)</f>
        <v>#REF!</v>
      </c>
      <c r="AU5" s="372" t="e">
        <f ca="1">(VLOOKUP($AM5,坦克部件!#REF!,MATCH("标准值",坦克部件!#REF!,0),FALSE)+VLOOKUP($AN5,坦克部件!#REF!,MATCH("标准值",坦克部件!#REF!,0),FALSE))*2</f>
        <v>#REF!</v>
      </c>
      <c r="AV5" s="372" t="e">
        <f ca="1">(VLOOKUP($AM5,坦克部件!#REF!,MATCH("标准值",坦克部件!#REF!,0),FALSE)+VLOOKUP($AN5,坦克部件!#REF!,MATCH("标准值",坦克部件!#REF!,0),FALSE))*2</f>
        <v>#REF!</v>
      </c>
      <c r="AW5" s="372" t="e">
        <f ca="1">(VLOOKUP($AM5,坦克部件!#REF!,MATCH("标准值",坦克部件!#REF!,0),FALSE)+VLOOKUP($AN5,坦克部件!#REF!,MATCH("标准值",坦克部件!#REF!,0),FALSE))*2</f>
        <v>#REF!</v>
      </c>
      <c r="AX5" s="372" t="e">
        <f ca="1">VLOOKUP($AK5,坦克属性统计!$B$3:$AY$33,MATCH(AX$3,坦克属性统计!$B$3:$AY$3,0),FALSE)</f>
        <v>#REF!</v>
      </c>
      <c r="AY5" s="372" t="e">
        <f t="shared" ca="1" si="12"/>
        <v>#REF!</v>
      </c>
      <c r="AZ5" s="372" t="e">
        <f t="shared" ca="1" si="12"/>
        <v>#REF!</v>
      </c>
      <c r="BA5" s="372" t="e">
        <f t="shared" ca="1" si="12"/>
        <v>#REF!</v>
      </c>
      <c r="BB5" s="356" t="e">
        <f t="shared" ca="1" si="13"/>
        <v>#REF!</v>
      </c>
      <c r="BC5" s="356" t="e">
        <f ca="1">VLOOKUP(AK5,坦克个性化设定!$B$18:$E$48,4,FALSE)</f>
        <v>#REF!</v>
      </c>
      <c r="BD5" s="357" t="e">
        <f t="shared" ref="BD5:BD68" ca="1" si="22">ROUND(SQRT(AP5*AQ5*BB5/2+AVERAGE(AR5,AS5)*AT5*100),0)</f>
        <v>#REF!</v>
      </c>
      <c r="BF5" s="357" t="str">
        <f t="shared" ca="1" si="14"/>
        <v/>
      </c>
      <c r="BG5" s="372" t="str">
        <f ca="1">IFERROR(VLOOKUP(BF5,坦克个性化设定!$B$18:$F$48,5,FALSE),"")</f>
        <v/>
      </c>
      <c r="BH5" s="372" t="e">
        <f t="shared" ref="BH5:BH68" ca="1" si="23">AM5</f>
        <v>#REF!</v>
      </c>
      <c r="BI5" s="372" t="e">
        <f t="shared" ref="BI5:BI68" ca="1" si="24">AN5</f>
        <v>#REF!</v>
      </c>
      <c r="BJ5" s="364" t="str">
        <f t="shared" ca="1" si="15"/>
        <v>NULL</v>
      </c>
      <c r="BK5" s="372" t="e">
        <f ca="1">VLOOKUP($BF5&amp;IF($BJ5="NULL",0,$BJ5),所有坦克升星属性,MATCH(BK$3,所有坦克升星属性标头,0),FALSE)+ROUND(BP5/VLOOKUP($BF5,坦克部件!#REF!,4,FALSE)*VLOOKUP($BF5&amp;0,所有坦克升星属性,MATCH(BK$3,所有坦克升星属性标头,0),FALSE),0)</f>
        <v>#N/A</v>
      </c>
      <c r="BL5" s="372" t="e">
        <f ca="1">VLOOKUP($BF5&amp;IF($BJ5="NULL",0,$BJ5),所有坦克升星属性,MATCH(BL$3,所有坦克升星属性标头,0),FALSE)+ROUND(BQ5/VLOOKUP($BF5,坦克部件!#REF!,4,FALSE)*VLOOKUP($BF5&amp;0,所有坦克升星属性,MATCH(BL$3,所有坦克升星属性标头,0),FALSE),0)</f>
        <v>#N/A</v>
      </c>
      <c r="BM5" s="372" t="e">
        <f t="shared" ca="1" si="16"/>
        <v>#N/A</v>
      </c>
      <c r="BN5" s="372" t="e">
        <f t="shared" ca="1" si="16"/>
        <v>#N/A</v>
      </c>
      <c r="BO5" s="372" t="e">
        <f ca="1">VLOOKUP($BF5&amp;IF($BJ5="NULL",0,$BJ5),所有坦克升星属性,MATCH(BO$3,所有坦克升星属性标头,0),FALSE)+ROUND(BR5/VLOOKUP($BF5,坦克部件!#REF!,4,FALSE)*VLOOKUP($BF5&amp;0,所有坦克升星属性,MATCH(BO$3,所有坦克升星属性标头,0),FALSE),0)</f>
        <v>#N/A</v>
      </c>
      <c r="BP5" s="372" t="e">
        <f ca="1">(VLOOKUP($BH5,坦克部件!#REF!,MATCH("标准值",坦克部件!#REF!,0),FALSE)+VLOOKUP($BI5,坦克部件!#REF!,MATCH("标准值",坦克部件!#REF!,0),FALSE))*2</f>
        <v>#REF!</v>
      </c>
      <c r="BQ5" s="372" t="e">
        <f ca="1">(VLOOKUP($BH5,坦克部件!#REF!,MATCH("标准值",坦克部件!#REF!,0),FALSE)+VLOOKUP($BI5,坦克部件!#REF!,MATCH("标准值",坦克部件!#REF!,0),FALSE))*2</f>
        <v>#REF!</v>
      </c>
      <c r="BR5" s="372" t="e">
        <f ca="1">(VLOOKUP($BH5,坦克部件!#REF!,MATCH("标准值",坦克部件!#REF!,0),FALSE)+VLOOKUP($BI5,坦克部件!#REF!,MATCH("标准值",坦克部件!#REF!,0),FALSE))*2</f>
        <v>#REF!</v>
      </c>
      <c r="BS5" s="372" t="e">
        <f ca="1">VLOOKUP($BF5,坦克属性统计!$B$3:$AY$33,MATCH(BS$3,坦克属性统计!$B$3:$AY$3,0),FALSE)</f>
        <v>#N/A</v>
      </c>
      <c r="BT5" s="372" t="e">
        <f t="shared" ca="1" si="17"/>
        <v>#N/A</v>
      </c>
      <c r="BU5" s="372" t="e">
        <f t="shared" ca="1" si="17"/>
        <v>#N/A</v>
      </c>
      <c r="BV5" s="372" t="e">
        <f t="shared" ca="1" si="17"/>
        <v>#N/A</v>
      </c>
      <c r="BW5" s="356">
        <f t="shared" ca="1" si="18"/>
        <v>0</v>
      </c>
      <c r="BX5" s="356" t="e">
        <f ca="1">VLOOKUP(BF5,坦克个性化设定!$B$18:$E$48,4,FALSE)</f>
        <v>#N/A</v>
      </c>
      <c r="BY5" s="357" t="e">
        <f t="shared" ref="BY5:BY68" ca="1" si="25">ROUND(SQRT(BK5*BL5*BW5/2+AVERAGE(BM5,BN5)*BO5*100),0)</f>
        <v>#N/A</v>
      </c>
    </row>
    <row r="6" spans="2:77" x14ac:dyDescent="0.35">
      <c r="B6" s="529" t="s">
        <v>2426</v>
      </c>
      <c r="C6" s="360">
        <f>SUM(基础经济系数!L13:L17)</f>
        <v>30</v>
      </c>
      <c r="H6" s="529" t="s">
        <v>2411</v>
      </c>
      <c r="I6" s="375">
        <f>(基础经济系数!M17-基础经济系数!N17)/基础经济系数!$C$3</f>
        <v>0.26597222222222222</v>
      </c>
      <c r="K6" s="360">
        <v>3</v>
      </c>
      <c r="L6" s="360">
        <v>0.3</v>
      </c>
      <c r="M6" s="84"/>
      <c r="N6" s="84">
        <v>2</v>
      </c>
      <c r="O6" s="365">
        <v>3</v>
      </c>
      <c r="P6" s="360" t="e">
        <f ca="1">P5+Q5</f>
        <v>#REF!</v>
      </c>
      <c r="Q6" s="360" t="e">
        <f ca="1">ROUND(MIN((BD6-VLOOKUP(R6,$B$22:$F$46,2,FALSE))/(VLOOKUP(R6,$B$22:$F$46,3,FALSE)-VLOOKUP(R6,$B$22:$F$46,2,FALSE)),1)*((VLOOKUP(R6,$B$22:$F$46,4,FALSE)*(AG6/(AG6+VLOOKUP(P6,$D$49:$F$123,3,TRUE)))+VLOOKUP(R6,$B$22:$F$46,5,FALSE)*(1-AG6/(AG6+VLOOKUP(P6,$D$49:$F$123,3,TRUE))))/2)*游戏时长规划!$C$4,0)</f>
        <v>#REF!</v>
      </c>
      <c r="R6" s="360" t="e">
        <f t="shared" ca="1" si="0"/>
        <v>#REF!</v>
      </c>
      <c r="S6" s="360" t="e">
        <f ca="1">VLOOKUP(R6,$H$16:$I$28,2,FALSE)</f>
        <v>#REF!</v>
      </c>
      <c r="T6" s="360" t="e">
        <f ca="1">VLOOKUP(R6,$H$16:$J$28,3,FALSE)</f>
        <v>#REF!</v>
      </c>
      <c r="U6" s="370" t="e">
        <f t="shared" ca="1" si="1"/>
        <v>#REF!</v>
      </c>
      <c r="V6" s="363" t="e">
        <f t="shared" ca="1" si="2"/>
        <v>#REF!</v>
      </c>
      <c r="W6" s="360" t="e">
        <f t="shared" ca="1" si="3"/>
        <v>#REF!</v>
      </c>
      <c r="X6" s="81" t="e">
        <f t="shared" ca="1" si="19"/>
        <v>#REF!</v>
      </c>
      <c r="Y6" s="360" t="str">
        <f t="shared" ca="1" si="4"/>
        <v>NULL</v>
      </c>
      <c r="Z6" s="375" t="e">
        <f t="shared" ca="1" si="20"/>
        <v>#REF!</v>
      </c>
      <c r="AA6" s="360">
        <f ca="1">IFERROR(VLOOKUP(IF(V6="T1低",游戏时长规划!$C$67+Z6,Z6),INDIRECT(V6&amp;"星级"),2,TRUE),0)</f>
        <v>0</v>
      </c>
      <c r="AB6" s="375" t="e">
        <f t="shared" ca="1" si="5"/>
        <v>#REF!</v>
      </c>
      <c r="AC6" s="375">
        <f ca="1">($D$14+$D$17)*$L$4/坦克部件养成!$C$2+AC5-IFERROR(IF(RIGHT(AD5,3)*1&gt;RIGHT(VLOOKUP(AC5,INDIRECT(LEFT(AD4,2)&amp;"部件升阶"),5,TRUE),3)*1,VLOOKUP(AD4,INDIRECT(LEFT(AD4,2)&amp;"部件升阶消耗"),2,FALSE),0),0)</f>
        <v>35.5</v>
      </c>
      <c r="AD6" s="360" t="e">
        <f t="shared" ca="1" si="6"/>
        <v>#REF!</v>
      </c>
      <c r="AE6" s="375" t="e">
        <f ca="1">$D$15*$L$4/坦克部件养成!$C$2+AE5-IF(LEFT(AD6,2)&lt;&gt;LEFT(AD5,2),VLOOKUP(AF5,INDIRECT(LEFT(AD5,2)&amp;"部件升级消耗"),5,FALSE),0)</f>
        <v>#REF!</v>
      </c>
      <c r="AF6" s="360" t="e">
        <f ca="1">MIN(VLOOKUP(AE6,INDIRECT(LEFT(AD6,2)&amp;"部件升级"),2,TRUE),VLOOKUP(LEFT(AD6,2),坦克部件养成!#REF!,6,FALSE))</f>
        <v>#REF!</v>
      </c>
      <c r="AG6" s="378" t="e">
        <f ca="1">MAX(BD$4:BD6)</f>
        <v>#REF!</v>
      </c>
      <c r="AH6" s="378" t="str">
        <f t="shared" ca="1" si="7"/>
        <v/>
      </c>
      <c r="AI6" s="378">
        <f ca="1">IF(Y6="NULL",0,MAX(BY$4:BY6))</f>
        <v>0</v>
      </c>
      <c r="AK6" s="364" t="e">
        <f t="shared" ca="1" si="8"/>
        <v>#REF!</v>
      </c>
      <c r="AL6" s="364" t="e">
        <f ca="1">VLOOKUP(AK6,坦克个性化设定!$B$18:$F$48,5,FALSE)</f>
        <v>#REF!</v>
      </c>
      <c r="AM6" s="372" t="e">
        <f t="shared" ca="1" si="9"/>
        <v>#REF!</v>
      </c>
      <c r="AN6" s="372" t="e">
        <f t="shared" ca="1" si="21"/>
        <v>#REF!</v>
      </c>
      <c r="AO6" s="364">
        <f t="shared" ca="1" si="10"/>
        <v>0</v>
      </c>
      <c r="AP6" s="372" t="e">
        <f ca="1">VLOOKUP($AK6&amp;$AO6,所有坦克升星属性,MATCH(AP$3,所有坦克升星属性标头,0),FALSE)+ROUND(AU6/VLOOKUP($AK6,坦克部件!#REF!,4,FALSE)*VLOOKUP($AK6&amp;0,所有坦克升星属性,MATCH(AP$3,所有坦克升星属性标头,0),FALSE),0)</f>
        <v>#REF!</v>
      </c>
      <c r="AQ6" s="372" t="e">
        <f ca="1">VLOOKUP($AK6&amp;$AO6,所有坦克升星属性,MATCH(AQ$3,所有坦克升星属性标头,0),FALSE)+ROUND(AV6/VLOOKUP($AK6,坦克部件!#REF!,4,FALSE)*VLOOKUP($AK6&amp;0,所有坦克升星属性,MATCH(AQ$3,所有坦克升星属性标头,0),FALSE),0)</f>
        <v>#REF!</v>
      </c>
      <c r="AR6" s="372" t="e">
        <f t="shared" ca="1" si="11"/>
        <v>#REF!</v>
      </c>
      <c r="AS6" s="372" t="e">
        <f t="shared" ca="1" si="11"/>
        <v>#REF!</v>
      </c>
      <c r="AT6" s="372" t="e">
        <f ca="1">VLOOKUP($AK6&amp;$AO6,所有坦克升星属性,MATCH(AT$3,所有坦克升星属性标头,0),FALSE)+ROUND(AW6/VLOOKUP($AK6,坦克部件!#REF!,4,FALSE)*VLOOKUP($AK6&amp;0,所有坦克升星属性,MATCH(AT$3,所有坦克升星属性标头,0),FALSE),0)</f>
        <v>#REF!</v>
      </c>
      <c r="AU6" s="372" t="e">
        <f ca="1">(VLOOKUP($AM6,坦克部件!#REF!,MATCH("标准值",坦克部件!#REF!,0),FALSE)+VLOOKUP($AN6,坦克部件!#REF!,MATCH("标准值",坦克部件!#REF!,0),FALSE))*2</f>
        <v>#REF!</v>
      </c>
      <c r="AV6" s="372" t="e">
        <f ca="1">(VLOOKUP($AM6,坦克部件!#REF!,MATCH("标准值",坦克部件!#REF!,0),FALSE)+VLOOKUP($AN6,坦克部件!#REF!,MATCH("标准值",坦克部件!#REF!,0),FALSE))*2</f>
        <v>#REF!</v>
      </c>
      <c r="AW6" s="372" t="e">
        <f ca="1">(VLOOKUP($AM6,坦克部件!#REF!,MATCH("标准值",坦克部件!#REF!,0),FALSE)+VLOOKUP($AN6,坦克部件!#REF!,MATCH("标准值",坦克部件!#REF!,0),FALSE))*2</f>
        <v>#REF!</v>
      </c>
      <c r="AX6" s="372" t="e">
        <f ca="1">VLOOKUP($AK6,坦克属性统计!$B$3:$AY$33,MATCH(AX$3,坦克属性统计!$B$3:$AY$3,0),FALSE)</f>
        <v>#REF!</v>
      </c>
      <c r="AY6" s="372" t="e">
        <f t="shared" ca="1" si="12"/>
        <v>#REF!</v>
      </c>
      <c r="AZ6" s="372" t="e">
        <f t="shared" ca="1" si="12"/>
        <v>#REF!</v>
      </c>
      <c r="BA6" s="372" t="e">
        <f t="shared" ca="1" si="12"/>
        <v>#REF!</v>
      </c>
      <c r="BB6" s="356" t="e">
        <f t="shared" ca="1" si="13"/>
        <v>#REF!</v>
      </c>
      <c r="BC6" s="356" t="e">
        <f ca="1">VLOOKUP(AK6,坦克个性化设定!$B$18:$E$48,4,FALSE)</f>
        <v>#REF!</v>
      </c>
      <c r="BD6" s="357" t="e">
        <f t="shared" ca="1" si="22"/>
        <v>#REF!</v>
      </c>
      <c r="BF6" s="357" t="str">
        <f t="shared" ca="1" si="14"/>
        <v/>
      </c>
      <c r="BG6" s="372" t="str">
        <f ca="1">IFERROR(VLOOKUP(BF6,坦克个性化设定!$B$18:$F$48,5,FALSE),"")</f>
        <v/>
      </c>
      <c r="BH6" s="372" t="e">
        <f t="shared" ca="1" si="23"/>
        <v>#REF!</v>
      </c>
      <c r="BI6" s="372" t="e">
        <f t="shared" ca="1" si="24"/>
        <v>#REF!</v>
      </c>
      <c r="BJ6" s="364" t="str">
        <f t="shared" ca="1" si="15"/>
        <v>NULL</v>
      </c>
      <c r="BK6" s="372" t="e">
        <f ca="1">VLOOKUP($BF6&amp;IF($BJ6="NULL",0,$BJ6),所有坦克升星属性,MATCH(BK$3,所有坦克升星属性标头,0),FALSE)+ROUND(BP6/VLOOKUP($BF6,坦克部件!#REF!,4,FALSE)*VLOOKUP($BF6&amp;0,所有坦克升星属性,MATCH(BK$3,所有坦克升星属性标头,0),FALSE),0)</f>
        <v>#N/A</v>
      </c>
      <c r="BL6" s="372" t="e">
        <f ca="1">VLOOKUP($BF6&amp;IF($BJ6="NULL",0,$BJ6),所有坦克升星属性,MATCH(BL$3,所有坦克升星属性标头,0),FALSE)+ROUND(BQ6/VLOOKUP($BF6,坦克部件!#REF!,4,FALSE)*VLOOKUP($BF6&amp;0,所有坦克升星属性,MATCH(BL$3,所有坦克升星属性标头,0),FALSE),0)</f>
        <v>#N/A</v>
      </c>
      <c r="BM6" s="372" t="e">
        <f t="shared" ca="1" si="16"/>
        <v>#N/A</v>
      </c>
      <c r="BN6" s="372" t="e">
        <f t="shared" ca="1" si="16"/>
        <v>#N/A</v>
      </c>
      <c r="BO6" s="372" t="e">
        <f ca="1">VLOOKUP($BF6&amp;IF($BJ6="NULL",0,$BJ6),所有坦克升星属性,MATCH(BO$3,所有坦克升星属性标头,0),FALSE)+ROUND(BR6/VLOOKUP($BF6,坦克部件!#REF!,4,FALSE)*VLOOKUP($BF6&amp;0,所有坦克升星属性,MATCH(BO$3,所有坦克升星属性标头,0),FALSE),0)</f>
        <v>#N/A</v>
      </c>
      <c r="BP6" s="372" t="e">
        <f ca="1">(VLOOKUP($BH6,坦克部件!#REF!,MATCH("标准值",坦克部件!#REF!,0),FALSE)+VLOOKUP($BI6,坦克部件!#REF!,MATCH("标准值",坦克部件!#REF!,0),FALSE))*2</f>
        <v>#REF!</v>
      </c>
      <c r="BQ6" s="372" t="e">
        <f ca="1">(VLOOKUP($BH6,坦克部件!#REF!,MATCH("标准值",坦克部件!#REF!,0),FALSE)+VLOOKUP($BI6,坦克部件!#REF!,MATCH("标准值",坦克部件!#REF!,0),FALSE))*2</f>
        <v>#REF!</v>
      </c>
      <c r="BR6" s="372" t="e">
        <f ca="1">(VLOOKUP($BH6,坦克部件!#REF!,MATCH("标准值",坦克部件!#REF!,0),FALSE)+VLOOKUP($BI6,坦克部件!#REF!,MATCH("标准值",坦克部件!#REF!,0),FALSE))*2</f>
        <v>#REF!</v>
      </c>
      <c r="BS6" s="372" t="e">
        <f ca="1">VLOOKUP($BF6,坦克属性统计!$B$3:$AY$33,MATCH(BS$3,坦克属性统计!$B$3:$AY$3,0),FALSE)</f>
        <v>#N/A</v>
      </c>
      <c r="BT6" s="372" t="e">
        <f t="shared" ca="1" si="17"/>
        <v>#N/A</v>
      </c>
      <c r="BU6" s="372" t="e">
        <f t="shared" ca="1" si="17"/>
        <v>#N/A</v>
      </c>
      <c r="BV6" s="372" t="e">
        <f t="shared" ca="1" si="17"/>
        <v>#N/A</v>
      </c>
      <c r="BW6" s="356">
        <f t="shared" ca="1" si="18"/>
        <v>0</v>
      </c>
      <c r="BX6" s="356" t="e">
        <f ca="1">VLOOKUP(BF6,坦克个性化设定!$B$18:$E$48,4,FALSE)</f>
        <v>#N/A</v>
      </c>
      <c r="BY6" s="357" t="e">
        <f t="shared" ca="1" si="25"/>
        <v>#N/A</v>
      </c>
    </row>
    <row r="7" spans="2:77" x14ac:dyDescent="0.35">
      <c r="B7" s="529" t="s">
        <v>2427</v>
      </c>
      <c r="C7" s="360">
        <f>基础经济系数!M15-基础经济系数!N15</f>
        <v>235</v>
      </c>
      <c r="H7" s="374" t="s">
        <v>1773</v>
      </c>
      <c r="I7" s="375">
        <f>1-I4-I5-I6</f>
        <v>0.4166666666666668</v>
      </c>
      <c r="M7" s="84"/>
      <c r="N7" s="84">
        <v>2</v>
      </c>
      <c r="O7" s="365">
        <v>4</v>
      </c>
      <c r="P7" s="360" t="e">
        <f t="shared" ref="P7:P22" ca="1" si="26">P6+Q6</f>
        <v>#REF!</v>
      </c>
      <c r="Q7" s="360" t="e">
        <f ca="1">ROUND(MIN((BD7-VLOOKUP(R7,$B$22:$F$46,2,FALSE))/(VLOOKUP(R7,$B$22:$F$46,3,FALSE)-VLOOKUP(R7,$B$22:$F$46,2,FALSE)),1)*((VLOOKUP(R7,$B$22:$F$46,4,FALSE)*(AG7/(AG7+VLOOKUP(P7,$D$49:$F$123,3,TRUE)))+VLOOKUP(R7,$B$22:$F$46,5,FALSE)*(1-AG7/(AG7+VLOOKUP(P7,$D$49:$F$123,3,TRUE))))/2)*游戏时长规划!$C$4,0)</f>
        <v>#REF!</v>
      </c>
      <c r="R7" s="360" t="e">
        <f t="shared" ca="1" si="0"/>
        <v>#REF!</v>
      </c>
      <c r="S7" s="360" t="e">
        <f t="shared" ref="S7:S70" ca="1" si="27">VLOOKUP(R7,$H$16:$I$28,2,FALSE)</f>
        <v>#REF!</v>
      </c>
      <c r="T7" s="360" t="e">
        <f t="shared" ref="T7:T22" ca="1" si="28">VLOOKUP(R7,$H$16:$J$28,3,FALSE)</f>
        <v>#REF!</v>
      </c>
      <c r="U7" s="370" t="e">
        <f t="shared" ca="1" si="1"/>
        <v>#REF!</v>
      </c>
      <c r="V7" s="363" t="e">
        <f t="shared" ca="1" si="2"/>
        <v>#REF!</v>
      </c>
      <c r="W7" s="360" t="e">
        <f t="shared" ca="1" si="3"/>
        <v>#REF!</v>
      </c>
      <c r="X7" s="81" t="e">
        <f t="shared" ca="1" si="19"/>
        <v>#REF!</v>
      </c>
      <c r="Y7" s="360" t="str">
        <f t="shared" ca="1" si="4"/>
        <v>NULL</v>
      </c>
      <c r="Z7" s="375" t="e">
        <f t="shared" ca="1" si="20"/>
        <v>#REF!</v>
      </c>
      <c r="AA7" s="360">
        <f ca="1">IFERROR(VLOOKUP(IF(V7="T1低",游戏时长规划!$C$67+Z7,Z7),INDIRECT(V7&amp;"星级"),2,TRUE),0)</f>
        <v>0</v>
      </c>
      <c r="AB7" s="375" t="e">
        <f t="shared" ca="1" si="5"/>
        <v>#REF!</v>
      </c>
      <c r="AC7" s="375">
        <f ca="1">($D$14+$D$17)*$L$4/坦克部件养成!$C$2+AC6-IFERROR(IF(RIGHT(AD6,3)*1&gt;RIGHT(VLOOKUP(AC6,INDIRECT(LEFT(AD5,2)&amp;"部件升阶"),5,TRUE),3)*1,VLOOKUP(AD5,INDIRECT(LEFT(AD5,2)&amp;"部件升阶消耗"),2,FALSE),0),0)</f>
        <v>47.333333333333336</v>
      </c>
      <c r="AD7" s="360" t="e">
        <f t="shared" ca="1" si="6"/>
        <v>#REF!</v>
      </c>
      <c r="AE7" s="375" t="e">
        <f ca="1">$D$15*$L$4/坦克部件养成!$C$2+AE6-IF(LEFT(AD7,2)&lt;&gt;LEFT(AD6,2),VLOOKUP(AF6,INDIRECT(LEFT(AD6,2)&amp;"部件升级消耗"),5,FALSE),0)</f>
        <v>#REF!</v>
      </c>
      <c r="AF7" s="360" t="e">
        <f ca="1">MIN(VLOOKUP(AE7,INDIRECT(LEFT(AD7,2)&amp;"部件升级"),2,TRUE),VLOOKUP(LEFT(AD7,2),坦克部件养成!#REF!,6,FALSE))</f>
        <v>#REF!</v>
      </c>
      <c r="AG7" s="378" t="e">
        <f ca="1">MAX(BD$4:BD7)</f>
        <v>#REF!</v>
      </c>
      <c r="AH7" s="378" t="str">
        <f t="shared" ca="1" si="7"/>
        <v/>
      </c>
      <c r="AI7" s="378">
        <f ca="1">IF(Y7="NULL",0,MAX(BY$4:BY7))</f>
        <v>0</v>
      </c>
      <c r="AK7" s="364" t="e">
        <f t="shared" ca="1" si="8"/>
        <v>#REF!</v>
      </c>
      <c r="AL7" s="364" t="e">
        <f ca="1">VLOOKUP(AK7,坦克个性化设定!$B$18:$F$48,5,FALSE)</f>
        <v>#REF!</v>
      </c>
      <c r="AM7" s="372" t="e">
        <f t="shared" ca="1" si="9"/>
        <v>#REF!</v>
      </c>
      <c r="AN7" s="372" t="e">
        <f t="shared" ca="1" si="21"/>
        <v>#REF!</v>
      </c>
      <c r="AO7" s="364">
        <f t="shared" ca="1" si="10"/>
        <v>0</v>
      </c>
      <c r="AP7" s="372" t="e">
        <f ca="1">VLOOKUP($AK7&amp;$AO7,所有坦克升星属性,MATCH(AP$3,所有坦克升星属性标头,0),FALSE)+ROUND(AU7/VLOOKUP($AK7,坦克部件!#REF!,4,FALSE)*VLOOKUP($AK7&amp;0,所有坦克升星属性,MATCH(AP$3,所有坦克升星属性标头,0),FALSE),0)</f>
        <v>#REF!</v>
      </c>
      <c r="AQ7" s="372" t="e">
        <f ca="1">VLOOKUP($AK7&amp;$AO7,所有坦克升星属性,MATCH(AQ$3,所有坦克升星属性标头,0),FALSE)+ROUND(AV7/VLOOKUP($AK7,坦克部件!#REF!,4,FALSE)*VLOOKUP($AK7&amp;0,所有坦克升星属性,MATCH(AQ$3,所有坦克升星属性标头,0),FALSE),0)</f>
        <v>#REF!</v>
      </c>
      <c r="AR7" s="372" t="e">
        <f t="shared" ca="1" si="11"/>
        <v>#REF!</v>
      </c>
      <c r="AS7" s="372" t="e">
        <f t="shared" ca="1" si="11"/>
        <v>#REF!</v>
      </c>
      <c r="AT7" s="372" t="e">
        <f ca="1">VLOOKUP($AK7&amp;$AO7,所有坦克升星属性,MATCH(AT$3,所有坦克升星属性标头,0),FALSE)+ROUND(AW7/VLOOKUP($AK7,坦克部件!#REF!,4,FALSE)*VLOOKUP($AK7&amp;0,所有坦克升星属性,MATCH(AT$3,所有坦克升星属性标头,0),FALSE),0)</f>
        <v>#REF!</v>
      </c>
      <c r="AU7" s="372" t="e">
        <f ca="1">(VLOOKUP($AM7,坦克部件!#REF!,MATCH("标准值",坦克部件!#REF!,0),FALSE)+VLOOKUP($AN7,坦克部件!#REF!,MATCH("标准值",坦克部件!#REF!,0),FALSE))*2</f>
        <v>#REF!</v>
      </c>
      <c r="AV7" s="372" t="e">
        <f ca="1">(VLOOKUP($AM7,坦克部件!#REF!,MATCH("标准值",坦克部件!#REF!,0),FALSE)+VLOOKUP($AN7,坦克部件!#REF!,MATCH("标准值",坦克部件!#REF!,0),FALSE))*2</f>
        <v>#REF!</v>
      </c>
      <c r="AW7" s="372" t="e">
        <f ca="1">(VLOOKUP($AM7,坦克部件!#REF!,MATCH("标准值",坦克部件!#REF!,0),FALSE)+VLOOKUP($AN7,坦克部件!#REF!,MATCH("标准值",坦克部件!#REF!,0),FALSE))*2</f>
        <v>#REF!</v>
      </c>
      <c r="AX7" s="372" t="e">
        <f ca="1">VLOOKUP($AK7,坦克属性统计!$B$3:$AY$33,MATCH(AX$3,坦克属性统计!$B$3:$AY$3,0),FALSE)</f>
        <v>#REF!</v>
      </c>
      <c r="AY7" s="372" t="e">
        <f t="shared" ca="1" si="12"/>
        <v>#REF!</v>
      </c>
      <c r="AZ7" s="372" t="e">
        <f t="shared" ca="1" si="12"/>
        <v>#REF!</v>
      </c>
      <c r="BA7" s="372" t="e">
        <f t="shared" ca="1" si="12"/>
        <v>#REF!</v>
      </c>
      <c r="BB7" s="356" t="e">
        <f t="shared" ca="1" si="13"/>
        <v>#REF!</v>
      </c>
      <c r="BC7" s="356" t="e">
        <f ca="1">VLOOKUP(AK7,坦克个性化设定!$B$18:$E$48,4,FALSE)</f>
        <v>#REF!</v>
      </c>
      <c r="BD7" s="357" t="e">
        <f t="shared" ca="1" si="22"/>
        <v>#REF!</v>
      </c>
      <c r="BF7" s="357" t="str">
        <f t="shared" ca="1" si="14"/>
        <v/>
      </c>
      <c r="BG7" s="372" t="str">
        <f ca="1">IFERROR(VLOOKUP(BF7,坦克个性化设定!$B$18:$F$48,5,FALSE),"")</f>
        <v/>
      </c>
      <c r="BH7" s="372" t="e">
        <f t="shared" ca="1" si="23"/>
        <v>#REF!</v>
      </c>
      <c r="BI7" s="372" t="e">
        <f t="shared" ca="1" si="24"/>
        <v>#REF!</v>
      </c>
      <c r="BJ7" s="364" t="str">
        <f t="shared" ca="1" si="15"/>
        <v>NULL</v>
      </c>
      <c r="BK7" s="372" t="e">
        <f ca="1">VLOOKUP($BF7&amp;IF($BJ7="NULL",0,$BJ7),所有坦克升星属性,MATCH(BK$3,所有坦克升星属性标头,0),FALSE)+ROUND(BP7/VLOOKUP($BF7,坦克部件!#REF!,4,FALSE)*VLOOKUP($BF7&amp;0,所有坦克升星属性,MATCH(BK$3,所有坦克升星属性标头,0),FALSE),0)</f>
        <v>#N/A</v>
      </c>
      <c r="BL7" s="372" t="e">
        <f ca="1">VLOOKUP($BF7&amp;IF($BJ7="NULL",0,$BJ7),所有坦克升星属性,MATCH(BL$3,所有坦克升星属性标头,0),FALSE)+ROUND(BQ7/VLOOKUP($BF7,坦克部件!#REF!,4,FALSE)*VLOOKUP($BF7&amp;0,所有坦克升星属性,MATCH(BL$3,所有坦克升星属性标头,0),FALSE),0)</f>
        <v>#N/A</v>
      </c>
      <c r="BM7" s="372" t="e">
        <f t="shared" ca="1" si="16"/>
        <v>#N/A</v>
      </c>
      <c r="BN7" s="372" t="e">
        <f t="shared" ca="1" si="16"/>
        <v>#N/A</v>
      </c>
      <c r="BO7" s="372" t="e">
        <f ca="1">VLOOKUP($BF7&amp;IF($BJ7="NULL",0,$BJ7),所有坦克升星属性,MATCH(BO$3,所有坦克升星属性标头,0),FALSE)+ROUND(BR7/VLOOKUP($BF7,坦克部件!#REF!,4,FALSE)*VLOOKUP($BF7&amp;0,所有坦克升星属性,MATCH(BO$3,所有坦克升星属性标头,0),FALSE),0)</f>
        <v>#N/A</v>
      </c>
      <c r="BP7" s="372" t="e">
        <f ca="1">(VLOOKUP($BH7,坦克部件!#REF!,MATCH("标准值",坦克部件!#REF!,0),FALSE)+VLOOKUP($BI7,坦克部件!#REF!,MATCH("标准值",坦克部件!#REF!,0),FALSE))*2</f>
        <v>#REF!</v>
      </c>
      <c r="BQ7" s="372" t="e">
        <f ca="1">(VLOOKUP($BH7,坦克部件!#REF!,MATCH("标准值",坦克部件!#REF!,0),FALSE)+VLOOKUP($BI7,坦克部件!#REF!,MATCH("标准值",坦克部件!#REF!,0),FALSE))*2</f>
        <v>#REF!</v>
      </c>
      <c r="BR7" s="372" t="e">
        <f ca="1">(VLOOKUP($BH7,坦克部件!#REF!,MATCH("标准值",坦克部件!#REF!,0),FALSE)+VLOOKUP($BI7,坦克部件!#REF!,MATCH("标准值",坦克部件!#REF!,0),FALSE))*2</f>
        <v>#REF!</v>
      </c>
      <c r="BS7" s="372" t="e">
        <f ca="1">VLOOKUP($BF7,坦克属性统计!$B$3:$AY$33,MATCH(BS$3,坦克属性统计!$B$3:$AY$3,0),FALSE)</f>
        <v>#N/A</v>
      </c>
      <c r="BT7" s="372" t="e">
        <f t="shared" ca="1" si="17"/>
        <v>#N/A</v>
      </c>
      <c r="BU7" s="372" t="e">
        <f t="shared" ca="1" si="17"/>
        <v>#N/A</v>
      </c>
      <c r="BV7" s="372" t="e">
        <f t="shared" ca="1" si="17"/>
        <v>#N/A</v>
      </c>
      <c r="BW7" s="356">
        <f t="shared" ca="1" si="18"/>
        <v>0</v>
      </c>
      <c r="BX7" s="356" t="e">
        <f ca="1">VLOOKUP(BF7,坦克个性化设定!$B$18:$E$48,4,FALSE)</f>
        <v>#N/A</v>
      </c>
      <c r="BY7" s="357" t="e">
        <f t="shared" ca="1" si="25"/>
        <v>#N/A</v>
      </c>
    </row>
    <row r="8" spans="2:77" x14ac:dyDescent="0.35">
      <c r="B8" s="529" t="s">
        <v>2428</v>
      </c>
      <c r="C8" s="360">
        <f>基础经济系数!M17-基础经济系数!N17</f>
        <v>159.58333333333334</v>
      </c>
      <c r="K8" s="531" t="s">
        <v>2412</v>
      </c>
      <c r="L8" s="84"/>
      <c r="M8" s="84"/>
      <c r="N8" s="84">
        <v>2</v>
      </c>
      <c r="O8" s="365">
        <v>5</v>
      </c>
      <c r="P8" s="360" t="e">
        <f t="shared" ca="1" si="26"/>
        <v>#REF!</v>
      </c>
      <c r="Q8" s="360" t="e">
        <f ca="1">ROUND(MIN((BD8-VLOOKUP(R8,$B$22:$F$46,2,FALSE))/(VLOOKUP(R8,$B$22:$F$46,3,FALSE)-VLOOKUP(R8,$B$22:$F$46,2,FALSE)),1)*((VLOOKUP(R8,$B$22:$F$46,4,FALSE)*(AG8/(AG8+VLOOKUP(P8,$D$49:$F$123,3,TRUE)))+VLOOKUP(R8,$B$22:$F$46,5,FALSE)*(1-AG8/(AG8+VLOOKUP(P8,$D$49:$F$123,3,TRUE))))/2)*游戏时长规划!$C$4,0)</f>
        <v>#REF!</v>
      </c>
      <c r="R8" s="360" t="e">
        <f t="shared" ca="1" si="0"/>
        <v>#REF!</v>
      </c>
      <c r="S8" s="360" t="e">
        <f t="shared" ca="1" si="27"/>
        <v>#REF!</v>
      </c>
      <c r="T8" s="360" t="e">
        <f t="shared" ca="1" si="28"/>
        <v>#REF!</v>
      </c>
      <c r="U8" s="370" t="e">
        <f t="shared" ca="1" si="1"/>
        <v>#REF!</v>
      </c>
      <c r="V8" s="363" t="e">
        <f t="shared" ca="1" si="2"/>
        <v>#REF!</v>
      </c>
      <c r="W8" s="360" t="e">
        <f t="shared" ca="1" si="3"/>
        <v>#REF!</v>
      </c>
      <c r="X8" s="81" t="e">
        <f t="shared" ca="1" si="19"/>
        <v>#REF!</v>
      </c>
      <c r="Y8" s="360" t="str">
        <f t="shared" ca="1" si="4"/>
        <v>NULL</v>
      </c>
      <c r="Z8" s="375" t="e">
        <f t="shared" ca="1" si="20"/>
        <v>#REF!</v>
      </c>
      <c r="AA8" s="360">
        <f ca="1">IFERROR(VLOOKUP(IF(V8="T1低",游戏时长规划!$C$67+Z8,Z8),INDIRECT(V8&amp;"星级"),2,TRUE),0)</f>
        <v>0</v>
      </c>
      <c r="AB8" s="375" t="e">
        <f t="shared" ca="1" si="5"/>
        <v>#REF!</v>
      </c>
      <c r="AC8" s="375">
        <f ca="1">($D$14+$D$17)*$L$4/坦克部件养成!$C$2+AC7-IFERROR(IF(RIGHT(AD7,3)*1&gt;RIGHT(VLOOKUP(AC7,INDIRECT(LEFT(AD6,2)&amp;"部件升阶"),5,TRUE),3)*1,VLOOKUP(AD6,INDIRECT(LEFT(AD6,2)&amp;"部件升阶消耗"),2,FALSE),0),0)</f>
        <v>59.166666666666671</v>
      </c>
      <c r="AD8" s="360" t="e">
        <f t="shared" ca="1" si="6"/>
        <v>#REF!</v>
      </c>
      <c r="AE8" s="375" t="e">
        <f ca="1">$D$15*$L$4/坦克部件养成!$C$2+AE7-IF(LEFT(AD8,2)&lt;&gt;LEFT(AD7,2),VLOOKUP(AF7,INDIRECT(LEFT(AD7,2)&amp;"部件升级消耗"),5,FALSE),0)</f>
        <v>#REF!</v>
      </c>
      <c r="AF8" s="360" t="e">
        <f ca="1">MIN(VLOOKUP(AE8,INDIRECT(LEFT(AD8,2)&amp;"部件升级"),2,TRUE),VLOOKUP(LEFT(AD8,2),坦克部件养成!#REF!,6,FALSE))</f>
        <v>#REF!</v>
      </c>
      <c r="AG8" s="378" t="e">
        <f ca="1">MAX(BD$4:BD8)</f>
        <v>#REF!</v>
      </c>
      <c r="AH8" s="378" t="str">
        <f t="shared" ca="1" si="7"/>
        <v/>
      </c>
      <c r="AI8" s="378">
        <f ca="1">IF(Y8="NULL",0,MAX(BY$4:BY8))</f>
        <v>0</v>
      </c>
      <c r="AK8" s="364" t="e">
        <f t="shared" ca="1" si="8"/>
        <v>#REF!</v>
      </c>
      <c r="AL8" s="364" t="e">
        <f ca="1">VLOOKUP(AK8,坦克个性化设定!$B$18:$F$48,5,FALSE)</f>
        <v>#REF!</v>
      </c>
      <c r="AM8" s="372" t="e">
        <f t="shared" ca="1" si="9"/>
        <v>#REF!</v>
      </c>
      <c r="AN8" s="372" t="e">
        <f t="shared" ca="1" si="21"/>
        <v>#REF!</v>
      </c>
      <c r="AO8" s="364">
        <f t="shared" ca="1" si="10"/>
        <v>0</v>
      </c>
      <c r="AP8" s="372" t="e">
        <f ca="1">VLOOKUP($AK8&amp;$AO8,所有坦克升星属性,MATCH(AP$3,所有坦克升星属性标头,0),FALSE)+ROUND(AU8/VLOOKUP($AK8,坦克部件!#REF!,4,FALSE)*VLOOKUP($AK8&amp;0,所有坦克升星属性,MATCH(AP$3,所有坦克升星属性标头,0),FALSE),0)</f>
        <v>#REF!</v>
      </c>
      <c r="AQ8" s="372" t="e">
        <f ca="1">VLOOKUP($AK8&amp;$AO8,所有坦克升星属性,MATCH(AQ$3,所有坦克升星属性标头,0),FALSE)+ROUND(AV8/VLOOKUP($AK8,坦克部件!#REF!,4,FALSE)*VLOOKUP($AK8&amp;0,所有坦克升星属性,MATCH(AQ$3,所有坦克升星属性标头,0),FALSE),0)</f>
        <v>#REF!</v>
      </c>
      <c r="AR8" s="372" t="e">
        <f t="shared" ca="1" si="11"/>
        <v>#REF!</v>
      </c>
      <c r="AS8" s="372" t="e">
        <f t="shared" ca="1" si="11"/>
        <v>#REF!</v>
      </c>
      <c r="AT8" s="372" t="e">
        <f ca="1">VLOOKUP($AK8&amp;$AO8,所有坦克升星属性,MATCH(AT$3,所有坦克升星属性标头,0),FALSE)+ROUND(AW8/VLOOKUP($AK8,坦克部件!#REF!,4,FALSE)*VLOOKUP($AK8&amp;0,所有坦克升星属性,MATCH(AT$3,所有坦克升星属性标头,0),FALSE),0)</f>
        <v>#REF!</v>
      </c>
      <c r="AU8" s="372" t="e">
        <f ca="1">(VLOOKUP($AM8,坦克部件!#REF!,MATCH("标准值",坦克部件!#REF!,0),FALSE)+VLOOKUP($AN8,坦克部件!#REF!,MATCH("标准值",坦克部件!#REF!,0),FALSE))*2</f>
        <v>#REF!</v>
      </c>
      <c r="AV8" s="372" t="e">
        <f ca="1">(VLOOKUP($AM8,坦克部件!#REF!,MATCH("标准值",坦克部件!#REF!,0),FALSE)+VLOOKUP($AN8,坦克部件!#REF!,MATCH("标准值",坦克部件!#REF!,0),FALSE))*2</f>
        <v>#REF!</v>
      </c>
      <c r="AW8" s="372" t="e">
        <f ca="1">(VLOOKUP($AM8,坦克部件!#REF!,MATCH("标准值",坦克部件!#REF!,0),FALSE)+VLOOKUP($AN8,坦克部件!#REF!,MATCH("标准值",坦克部件!#REF!,0),FALSE))*2</f>
        <v>#REF!</v>
      </c>
      <c r="AX8" s="372" t="e">
        <f ca="1">VLOOKUP($AK8,坦克属性统计!$B$3:$AY$33,MATCH(AX$3,坦克属性统计!$B$3:$AY$3,0),FALSE)</f>
        <v>#REF!</v>
      </c>
      <c r="AY8" s="372" t="e">
        <f t="shared" ca="1" si="12"/>
        <v>#REF!</v>
      </c>
      <c r="AZ8" s="372" t="e">
        <f t="shared" ca="1" si="12"/>
        <v>#REF!</v>
      </c>
      <c r="BA8" s="372" t="e">
        <f t="shared" ca="1" si="12"/>
        <v>#REF!</v>
      </c>
      <c r="BB8" s="356" t="e">
        <f t="shared" ca="1" si="13"/>
        <v>#REF!</v>
      </c>
      <c r="BC8" s="356" t="e">
        <f ca="1">VLOOKUP(AK8,坦克个性化设定!$B$18:$E$48,4,FALSE)</f>
        <v>#REF!</v>
      </c>
      <c r="BD8" s="357" t="e">
        <f t="shared" ca="1" si="22"/>
        <v>#REF!</v>
      </c>
      <c r="BF8" s="357" t="str">
        <f t="shared" ca="1" si="14"/>
        <v/>
      </c>
      <c r="BG8" s="372" t="str">
        <f ca="1">IFERROR(VLOOKUP(BF8,坦克个性化设定!$B$18:$F$48,5,FALSE),"")</f>
        <v/>
      </c>
      <c r="BH8" s="372" t="e">
        <f t="shared" ca="1" si="23"/>
        <v>#REF!</v>
      </c>
      <c r="BI8" s="372" t="e">
        <f t="shared" ca="1" si="24"/>
        <v>#REF!</v>
      </c>
      <c r="BJ8" s="364" t="str">
        <f t="shared" ca="1" si="15"/>
        <v>NULL</v>
      </c>
      <c r="BK8" s="372" t="e">
        <f ca="1">VLOOKUP($BF8&amp;IF($BJ8="NULL",0,$BJ8),所有坦克升星属性,MATCH(BK$3,所有坦克升星属性标头,0),FALSE)+ROUND(BP8/VLOOKUP($BF8,坦克部件!#REF!,4,FALSE)*VLOOKUP($BF8&amp;0,所有坦克升星属性,MATCH(BK$3,所有坦克升星属性标头,0),FALSE),0)</f>
        <v>#N/A</v>
      </c>
      <c r="BL8" s="372" t="e">
        <f ca="1">VLOOKUP($BF8&amp;IF($BJ8="NULL",0,$BJ8),所有坦克升星属性,MATCH(BL$3,所有坦克升星属性标头,0),FALSE)+ROUND(BQ8/VLOOKUP($BF8,坦克部件!#REF!,4,FALSE)*VLOOKUP($BF8&amp;0,所有坦克升星属性,MATCH(BL$3,所有坦克升星属性标头,0),FALSE),0)</f>
        <v>#N/A</v>
      </c>
      <c r="BM8" s="372" t="e">
        <f t="shared" ca="1" si="16"/>
        <v>#N/A</v>
      </c>
      <c r="BN8" s="372" t="e">
        <f t="shared" ca="1" si="16"/>
        <v>#N/A</v>
      </c>
      <c r="BO8" s="372" t="e">
        <f ca="1">VLOOKUP($BF8&amp;IF($BJ8="NULL",0,$BJ8),所有坦克升星属性,MATCH(BO$3,所有坦克升星属性标头,0),FALSE)+ROUND(BR8/VLOOKUP($BF8,坦克部件!#REF!,4,FALSE)*VLOOKUP($BF8&amp;0,所有坦克升星属性,MATCH(BO$3,所有坦克升星属性标头,0),FALSE),0)</f>
        <v>#N/A</v>
      </c>
      <c r="BP8" s="372" t="e">
        <f ca="1">(VLOOKUP($BH8,坦克部件!#REF!,MATCH("标准值",坦克部件!#REF!,0),FALSE)+VLOOKUP($BI8,坦克部件!#REF!,MATCH("标准值",坦克部件!#REF!,0),FALSE))*2</f>
        <v>#REF!</v>
      </c>
      <c r="BQ8" s="372" t="e">
        <f ca="1">(VLOOKUP($BH8,坦克部件!#REF!,MATCH("标准值",坦克部件!#REF!,0),FALSE)+VLOOKUP($BI8,坦克部件!#REF!,MATCH("标准值",坦克部件!#REF!,0),FALSE))*2</f>
        <v>#REF!</v>
      </c>
      <c r="BR8" s="372" t="e">
        <f ca="1">(VLOOKUP($BH8,坦克部件!#REF!,MATCH("标准值",坦克部件!#REF!,0),FALSE)+VLOOKUP($BI8,坦克部件!#REF!,MATCH("标准值",坦克部件!#REF!,0),FALSE))*2</f>
        <v>#REF!</v>
      </c>
      <c r="BS8" s="372" t="e">
        <f ca="1">VLOOKUP($BF8,坦克属性统计!$B$3:$AY$33,MATCH(BS$3,坦克属性统计!$B$3:$AY$3,0),FALSE)</f>
        <v>#N/A</v>
      </c>
      <c r="BT8" s="372" t="e">
        <f t="shared" ca="1" si="17"/>
        <v>#N/A</v>
      </c>
      <c r="BU8" s="372" t="e">
        <f t="shared" ca="1" si="17"/>
        <v>#N/A</v>
      </c>
      <c r="BV8" s="372" t="e">
        <f t="shared" ca="1" si="17"/>
        <v>#N/A</v>
      </c>
      <c r="BW8" s="356">
        <f t="shared" ca="1" si="18"/>
        <v>0</v>
      </c>
      <c r="BX8" s="356" t="e">
        <f ca="1">VLOOKUP(BF8,坦克个性化设定!$B$18:$E$48,4,FALSE)</f>
        <v>#N/A</v>
      </c>
      <c r="BY8" s="357" t="e">
        <f t="shared" ca="1" si="25"/>
        <v>#N/A</v>
      </c>
    </row>
    <row r="9" spans="2:77" x14ac:dyDescent="0.35">
      <c r="K9" s="531" t="s">
        <v>2413</v>
      </c>
      <c r="N9" s="84">
        <v>3</v>
      </c>
      <c r="O9" s="365">
        <v>6</v>
      </c>
      <c r="P9" s="360" t="e">
        <f t="shared" ca="1" si="26"/>
        <v>#REF!</v>
      </c>
      <c r="Q9" s="360" t="e">
        <f ca="1">ROUND(MIN((BD9-VLOOKUP(R9,$B$22:$F$46,2,FALSE))/(VLOOKUP(R9,$B$22:$F$46,3,FALSE)-VLOOKUP(R9,$B$22:$F$46,2,FALSE)),1)*((VLOOKUP(R9,$B$22:$F$46,4,FALSE)*(AG9/(AG9+VLOOKUP(P9,$D$49:$F$123,3,TRUE)))+VLOOKUP(R9,$B$22:$F$46,5,FALSE)*(1-AG9/(AG9+VLOOKUP(P9,$D$49:$F$123,3,TRUE))))/2)*游戏时长规划!$C$4,0)</f>
        <v>#REF!</v>
      </c>
      <c r="R9" s="360" t="e">
        <f t="shared" ca="1" si="0"/>
        <v>#REF!</v>
      </c>
      <c r="S9" s="360" t="e">
        <f t="shared" ca="1" si="27"/>
        <v>#REF!</v>
      </c>
      <c r="T9" s="360" t="e">
        <f t="shared" ca="1" si="28"/>
        <v>#REF!</v>
      </c>
      <c r="U9" s="370" t="e">
        <f t="shared" ca="1" si="1"/>
        <v>#REF!</v>
      </c>
      <c r="V9" s="363" t="e">
        <f t="shared" ca="1" si="2"/>
        <v>#REF!</v>
      </c>
      <c r="W9" s="360" t="e">
        <f t="shared" ca="1" si="3"/>
        <v>#REF!</v>
      </c>
      <c r="X9" s="81" t="e">
        <f t="shared" ca="1" si="19"/>
        <v>#REF!</v>
      </c>
      <c r="Y9" s="360" t="str">
        <f t="shared" ca="1" si="4"/>
        <v>NULL</v>
      </c>
      <c r="Z9" s="375" t="e">
        <f t="shared" ca="1" si="20"/>
        <v>#REF!</v>
      </c>
      <c r="AA9" s="360">
        <f ca="1">IFERROR(VLOOKUP(IF(V9="T1低",游戏时长规划!$C$67+Z9,Z9),INDIRECT(V9&amp;"星级"),2,TRUE),0)</f>
        <v>0</v>
      </c>
      <c r="AB9" s="375" t="e">
        <f t="shared" ca="1" si="5"/>
        <v>#REF!</v>
      </c>
      <c r="AC9" s="375">
        <f ca="1">($D$14+$D$17)*$L$4/坦克部件养成!$C$2+AC8-IFERROR(IF(RIGHT(AD8,3)*1&gt;RIGHT(VLOOKUP(AC8,INDIRECT(LEFT(AD7,2)&amp;"部件升阶"),5,TRUE),3)*1,VLOOKUP(AD7,INDIRECT(LEFT(AD7,2)&amp;"部件升阶消耗"),2,FALSE),0),0)</f>
        <v>71</v>
      </c>
      <c r="AD9" s="360" t="e">
        <f t="shared" ca="1" si="6"/>
        <v>#REF!</v>
      </c>
      <c r="AE9" s="375" t="e">
        <f ca="1">$D$15*$L$4/坦克部件养成!$C$2+AE8-IF(LEFT(AD9,2)&lt;&gt;LEFT(AD8,2),VLOOKUP(AF8,INDIRECT(LEFT(AD8,2)&amp;"部件升级消耗"),5,FALSE),0)</f>
        <v>#REF!</v>
      </c>
      <c r="AF9" s="360" t="e">
        <f ca="1">MIN(VLOOKUP(AE9,INDIRECT(LEFT(AD9,2)&amp;"部件升级"),2,TRUE),VLOOKUP(LEFT(AD9,2),坦克部件养成!#REF!,6,FALSE))</f>
        <v>#REF!</v>
      </c>
      <c r="AG9" s="378" t="e">
        <f ca="1">MAX(BD$4:BD9)</f>
        <v>#REF!</v>
      </c>
      <c r="AH9" s="378" t="str">
        <f t="shared" ca="1" si="7"/>
        <v/>
      </c>
      <c r="AI9" s="378">
        <f ca="1">IF(Y9="NULL",0,MAX(BY$4:BY9))</f>
        <v>0</v>
      </c>
      <c r="AK9" s="364" t="e">
        <f t="shared" ca="1" si="8"/>
        <v>#REF!</v>
      </c>
      <c r="AL9" s="364" t="e">
        <f ca="1">VLOOKUP(AK9,坦克个性化设定!$B$18:$F$48,5,FALSE)</f>
        <v>#REF!</v>
      </c>
      <c r="AM9" s="372" t="e">
        <f t="shared" ca="1" si="9"/>
        <v>#REF!</v>
      </c>
      <c r="AN9" s="372" t="e">
        <f t="shared" ca="1" si="21"/>
        <v>#REF!</v>
      </c>
      <c r="AO9" s="364">
        <f t="shared" ca="1" si="10"/>
        <v>0</v>
      </c>
      <c r="AP9" s="372" t="e">
        <f ca="1">VLOOKUP($AK9&amp;$AO9,所有坦克升星属性,MATCH(AP$3,所有坦克升星属性标头,0),FALSE)+ROUND(AU9/VLOOKUP($AK9,坦克部件!#REF!,4,FALSE)*VLOOKUP($AK9&amp;0,所有坦克升星属性,MATCH(AP$3,所有坦克升星属性标头,0),FALSE),0)</f>
        <v>#REF!</v>
      </c>
      <c r="AQ9" s="372" t="e">
        <f ca="1">VLOOKUP($AK9&amp;$AO9,所有坦克升星属性,MATCH(AQ$3,所有坦克升星属性标头,0),FALSE)+ROUND(AV9/VLOOKUP($AK9,坦克部件!#REF!,4,FALSE)*VLOOKUP($AK9&amp;0,所有坦克升星属性,MATCH(AQ$3,所有坦克升星属性标头,0),FALSE),0)</f>
        <v>#REF!</v>
      </c>
      <c r="AR9" s="372" t="e">
        <f t="shared" ca="1" si="11"/>
        <v>#REF!</v>
      </c>
      <c r="AS9" s="372" t="e">
        <f t="shared" ca="1" si="11"/>
        <v>#REF!</v>
      </c>
      <c r="AT9" s="372" t="e">
        <f ca="1">VLOOKUP($AK9&amp;$AO9,所有坦克升星属性,MATCH(AT$3,所有坦克升星属性标头,0),FALSE)+ROUND(AW9/VLOOKUP($AK9,坦克部件!#REF!,4,FALSE)*VLOOKUP($AK9&amp;0,所有坦克升星属性,MATCH(AT$3,所有坦克升星属性标头,0),FALSE),0)</f>
        <v>#REF!</v>
      </c>
      <c r="AU9" s="372" t="e">
        <f ca="1">(VLOOKUP($AM9,坦克部件!#REF!,MATCH("标准值",坦克部件!#REF!,0),FALSE)+VLOOKUP($AN9,坦克部件!#REF!,MATCH("标准值",坦克部件!#REF!,0),FALSE))*2</f>
        <v>#REF!</v>
      </c>
      <c r="AV9" s="372" t="e">
        <f ca="1">(VLOOKUP($AM9,坦克部件!#REF!,MATCH("标准值",坦克部件!#REF!,0),FALSE)+VLOOKUP($AN9,坦克部件!#REF!,MATCH("标准值",坦克部件!#REF!,0),FALSE))*2</f>
        <v>#REF!</v>
      </c>
      <c r="AW9" s="372" t="e">
        <f ca="1">(VLOOKUP($AM9,坦克部件!#REF!,MATCH("标准值",坦克部件!#REF!,0),FALSE)+VLOOKUP($AN9,坦克部件!#REF!,MATCH("标准值",坦克部件!#REF!,0),FALSE))*2</f>
        <v>#REF!</v>
      </c>
      <c r="AX9" s="372" t="e">
        <f ca="1">VLOOKUP($AK9,坦克属性统计!$B$3:$AY$33,MATCH(AX$3,坦克属性统计!$B$3:$AY$3,0),FALSE)</f>
        <v>#REF!</v>
      </c>
      <c r="AY9" s="372" t="e">
        <f t="shared" ca="1" si="12"/>
        <v>#REF!</v>
      </c>
      <c r="AZ9" s="372" t="e">
        <f t="shared" ca="1" si="12"/>
        <v>#REF!</v>
      </c>
      <c r="BA9" s="372" t="e">
        <f t="shared" ca="1" si="12"/>
        <v>#REF!</v>
      </c>
      <c r="BB9" s="356" t="e">
        <f t="shared" ca="1" si="13"/>
        <v>#REF!</v>
      </c>
      <c r="BC9" s="356" t="e">
        <f ca="1">VLOOKUP(AK9,坦克个性化设定!$B$18:$E$48,4,FALSE)</f>
        <v>#REF!</v>
      </c>
      <c r="BD9" s="357" t="e">
        <f t="shared" ca="1" si="22"/>
        <v>#REF!</v>
      </c>
      <c r="BF9" s="357" t="str">
        <f t="shared" ca="1" si="14"/>
        <v/>
      </c>
      <c r="BG9" s="372" t="str">
        <f ca="1">IFERROR(VLOOKUP(BF9,坦克个性化设定!$B$18:$F$48,5,FALSE),"")</f>
        <v/>
      </c>
      <c r="BH9" s="372" t="e">
        <f t="shared" ca="1" si="23"/>
        <v>#REF!</v>
      </c>
      <c r="BI9" s="372" t="e">
        <f t="shared" ca="1" si="24"/>
        <v>#REF!</v>
      </c>
      <c r="BJ9" s="364" t="str">
        <f t="shared" ca="1" si="15"/>
        <v>NULL</v>
      </c>
      <c r="BK9" s="372" t="e">
        <f ca="1">VLOOKUP($BF9&amp;IF($BJ9="NULL",0,$BJ9),所有坦克升星属性,MATCH(BK$3,所有坦克升星属性标头,0),FALSE)+ROUND(BP9/VLOOKUP($BF9,坦克部件!#REF!,4,FALSE)*VLOOKUP($BF9&amp;0,所有坦克升星属性,MATCH(BK$3,所有坦克升星属性标头,0),FALSE),0)</f>
        <v>#N/A</v>
      </c>
      <c r="BL9" s="372" t="e">
        <f ca="1">VLOOKUP($BF9&amp;IF($BJ9="NULL",0,$BJ9),所有坦克升星属性,MATCH(BL$3,所有坦克升星属性标头,0),FALSE)+ROUND(BQ9/VLOOKUP($BF9,坦克部件!#REF!,4,FALSE)*VLOOKUP($BF9&amp;0,所有坦克升星属性,MATCH(BL$3,所有坦克升星属性标头,0),FALSE),0)</f>
        <v>#N/A</v>
      </c>
      <c r="BM9" s="372" t="e">
        <f t="shared" ca="1" si="16"/>
        <v>#N/A</v>
      </c>
      <c r="BN9" s="372" t="e">
        <f t="shared" ca="1" si="16"/>
        <v>#N/A</v>
      </c>
      <c r="BO9" s="372" t="e">
        <f ca="1">VLOOKUP($BF9&amp;IF($BJ9="NULL",0,$BJ9),所有坦克升星属性,MATCH(BO$3,所有坦克升星属性标头,0),FALSE)+ROUND(BR9/VLOOKUP($BF9,坦克部件!#REF!,4,FALSE)*VLOOKUP($BF9&amp;0,所有坦克升星属性,MATCH(BO$3,所有坦克升星属性标头,0),FALSE),0)</f>
        <v>#N/A</v>
      </c>
      <c r="BP9" s="372" t="e">
        <f ca="1">(VLOOKUP($BH9,坦克部件!#REF!,MATCH("标准值",坦克部件!#REF!,0),FALSE)+VLOOKUP($BI9,坦克部件!#REF!,MATCH("标准值",坦克部件!#REF!,0),FALSE))*2</f>
        <v>#REF!</v>
      </c>
      <c r="BQ9" s="372" t="e">
        <f ca="1">(VLOOKUP($BH9,坦克部件!#REF!,MATCH("标准值",坦克部件!#REF!,0),FALSE)+VLOOKUP($BI9,坦克部件!#REF!,MATCH("标准值",坦克部件!#REF!,0),FALSE))*2</f>
        <v>#REF!</v>
      </c>
      <c r="BR9" s="372" t="e">
        <f ca="1">(VLOOKUP($BH9,坦克部件!#REF!,MATCH("标准值",坦克部件!#REF!,0),FALSE)+VLOOKUP($BI9,坦克部件!#REF!,MATCH("标准值",坦克部件!#REF!,0),FALSE))*2</f>
        <v>#REF!</v>
      </c>
      <c r="BS9" s="372" t="e">
        <f ca="1">VLOOKUP($BF9,坦克属性统计!$B$3:$AY$33,MATCH(BS$3,坦克属性统计!$B$3:$AY$3,0),FALSE)</f>
        <v>#N/A</v>
      </c>
      <c r="BT9" s="372" t="e">
        <f t="shared" ca="1" si="17"/>
        <v>#N/A</v>
      </c>
      <c r="BU9" s="372" t="e">
        <f t="shared" ca="1" si="17"/>
        <v>#N/A</v>
      </c>
      <c r="BV9" s="372" t="e">
        <f t="shared" ca="1" si="17"/>
        <v>#N/A</v>
      </c>
      <c r="BW9" s="356">
        <f t="shared" ca="1" si="18"/>
        <v>0</v>
      </c>
      <c r="BX9" s="356" t="e">
        <f ca="1">VLOOKUP(BF9,坦克个性化设定!$B$18:$E$48,4,FALSE)</f>
        <v>#N/A</v>
      </c>
      <c r="BY9" s="357" t="e">
        <f t="shared" ca="1" si="25"/>
        <v>#N/A</v>
      </c>
    </row>
    <row r="10" spans="2:77" x14ac:dyDescent="0.35">
      <c r="K10" s="531" t="s">
        <v>2414</v>
      </c>
      <c r="N10" s="84">
        <v>3</v>
      </c>
      <c r="O10" s="365">
        <v>7</v>
      </c>
      <c r="P10" s="360" t="e">
        <f t="shared" ca="1" si="26"/>
        <v>#REF!</v>
      </c>
      <c r="Q10" s="360" t="e">
        <f ca="1">ROUND(MIN((BD10-VLOOKUP(R10,$B$22:$F$46,2,FALSE))/(VLOOKUP(R10,$B$22:$F$46,3,FALSE)-VLOOKUP(R10,$B$22:$F$46,2,FALSE)),1)*((VLOOKUP(R10,$B$22:$F$46,4,FALSE)*(AG10/(AG10+VLOOKUP(P10,$D$49:$F$123,3,TRUE)))+VLOOKUP(R10,$B$22:$F$46,5,FALSE)*(1-AG10/(AG10+VLOOKUP(P10,$D$49:$F$123,3,TRUE))))/2)*游戏时长规划!$C$4,0)</f>
        <v>#REF!</v>
      </c>
      <c r="R10" s="360" t="e">
        <f t="shared" ca="1" si="0"/>
        <v>#REF!</v>
      </c>
      <c r="S10" s="360" t="e">
        <f t="shared" ca="1" si="27"/>
        <v>#REF!</v>
      </c>
      <c r="T10" s="360" t="e">
        <f t="shared" ca="1" si="28"/>
        <v>#REF!</v>
      </c>
      <c r="U10" s="370" t="e">
        <f t="shared" ca="1" si="1"/>
        <v>#REF!</v>
      </c>
      <c r="V10" s="363" t="e">
        <f t="shared" ca="1" si="2"/>
        <v>#REF!</v>
      </c>
      <c r="W10" s="360" t="e">
        <f t="shared" ca="1" si="3"/>
        <v>#REF!</v>
      </c>
      <c r="X10" s="81" t="e">
        <f t="shared" ca="1" si="19"/>
        <v>#REF!</v>
      </c>
      <c r="Y10" s="360" t="str">
        <f t="shared" ca="1" si="4"/>
        <v>NULL</v>
      </c>
      <c r="Z10" s="375" t="e">
        <f t="shared" ca="1" si="20"/>
        <v>#REF!</v>
      </c>
      <c r="AA10" s="360">
        <f ca="1">IFERROR(VLOOKUP(IF(V10="T1低",游戏时长规划!$C$67+Z10,Z10),INDIRECT(V10&amp;"星级"),2,TRUE),0)</f>
        <v>0</v>
      </c>
      <c r="AB10" s="375" t="e">
        <f t="shared" ca="1" si="5"/>
        <v>#REF!</v>
      </c>
      <c r="AC10" s="375">
        <f ca="1">($D$14+$D$17)*$L$4/坦克部件养成!$C$2+AC9-IFERROR(IF(RIGHT(AD9,3)*1&gt;RIGHT(VLOOKUP(AC9,INDIRECT(LEFT(AD8,2)&amp;"部件升阶"),5,TRUE),3)*1,VLOOKUP(AD8,INDIRECT(LEFT(AD8,2)&amp;"部件升阶消耗"),2,FALSE),0),0)</f>
        <v>82.833333333333329</v>
      </c>
      <c r="AD10" s="360" t="e">
        <f t="shared" ca="1" si="6"/>
        <v>#REF!</v>
      </c>
      <c r="AE10" s="375" t="e">
        <f ca="1">$D$15*$L$4/坦克部件养成!$C$2+AE9-IF(LEFT(AD10,2)&lt;&gt;LEFT(AD9,2),VLOOKUP(AF9,INDIRECT(LEFT(AD9,2)&amp;"部件升级消耗"),5,FALSE),0)</f>
        <v>#REF!</v>
      </c>
      <c r="AF10" s="360" t="e">
        <f ca="1">MIN(VLOOKUP(AE10,INDIRECT(LEFT(AD10,2)&amp;"部件升级"),2,TRUE),VLOOKUP(LEFT(AD10,2),坦克部件养成!#REF!,6,FALSE))</f>
        <v>#REF!</v>
      </c>
      <c r="AG10" s="378" t="e">
        <f ca="1">MAX(BD$4:BD10)</f>
        <v>#REF!</v>
      </c>
      <c r="AH10" s="378" t="str">
        <f t="shared" ca="1" si="7"/>
        <v/>
      </c>
      <c r="AI10" s="378">
        <f ca="1">IF(Y10="NULL",0,MAX(BY$4:BY10))</f>
        <v>0</v>
      </c>
      <c r="AK10" s="364" t="e">
        <f t="shared" ca="1" si="8"/>
        <v>#REF!</v>
      </c>
      <c r="AL10" s="364" t="e">
        <f ca="1">VLOOKUP(AK10,坦克个性化设定!$B$18:$F$48,5,FALSE)</f>
        <v>#REF!</v>
      </c>
      <c r="AM10" s="372" t="e">
        <f t="shared" ca="1" si="9"/>
        <v>#REF!</v>
      </c>
      <c r="AN10" s="372" t="e">
        <f t="shared" ca="1" si="21"/>
        <v>#REF!</v>
      </c>
      <c r="AO10" s="364">
        <f t="shared" ca="1" si="10"/>
        <v>0</v>
      </c>
      <c r="AP10" s="372" t="e">
        <f ca="1">VLOOKUP($AK10&amp;$AO10,所有坦克升星属性,MATCH(AP$3,所有坦克升星属性标头,0),FALSE)+ROUND(AU10/VLOOKUP($AK10,坦克部件!#REF!,4,FALSE)*VLOOKUP($AK10&amp;0,所有坦克升星属性,MATCH(AP$3,所有坦克升星属性标头,0),FALSE),0)</f>
        <v>#REF!</v>
      </c>
      <c r="AQ10" s="372" t="e">
        <f ca="1">VLOOKUP($AK10&amp;$AO10,所有坦克升星属性,MATCH(AQ$3,所有坦克升星属性标头,0),FALSE)+ROUND(AV10/VLOOKUP($AK10,坦克部件!#REF!,4,FALSE)*VLOOKUP($AK10&amp;0,所有坦克升星属性,MATCH(AQ$3,所有坦克升星属性标头,0),FALSE),0)</f>
        <v>#REF!</v>
      </c>
      <c r="AR10" s="372" t="e">
        <f t="shared" ca="1" si="11"/>
        <v>#REF!</v>
      </c>
      <c r="AS10" s="372" t="e">
        <f t="shared" ca="1" si="11"/>
        <v>#REF!</v>
      </c>
      <c r="AT10" s="372" t="e">
        <f ca="1">VLOOKUP($AK10&amp;$AO10,所有坦克升星属性,MATCH(AT$3,所有坦克升星属性标头,0),FALSE)+ROUND(AW10/VLOOKUP($AK10,坦克部件!#REF!,4,FALSE)*VLOOKUP($AK10&amp;0,所有坦克升星属性,MATCH(AT$3,所有坦克升星属性标头,0),FALSE),0)</f>
        <v>#REF!</v>
      </c>
      <c r="AU10" s="372" t="e">
        <f ca="1">(VLOOKUP($AM10,坦克部件!#REF!,MATCH("标准值",坦克部件!#REF!,0),FALSE)+VLOOKUP($AN10,坦克部件!#REF!,MATCH("标准值",坦克部件!#REF!,0),FALSE))*2</f>
        <v>#REF!</v>
      </c>
      <c r="AV10" s="372" t="e">
        <f ca="1">(VLOOKUP($AM10,坦克部件!#REF!,MATCH("标准值",坦克部件!#REF!,0),FALSE)+VLOOKUP($AN10,坦克部件!#REF!,MATCH("标准值",坦克部件!#REF!,0),FALSE))*2</f>
        <v>#REF!</v>
      </c>
      <c r="AW10" s="372" t="e">
        <f ca="1">(VLOOKUP($AM10,坦克部件!#REF!,MATCH("标准值",坦克部件!#REF!,0),FALSE)+VLOOKUP($AN10,坦克部件!#REF!,MATCH("标准值",坦克部件!#REF!,0),FALSE))*2</f>
        <v>#REF!</v>
      </c>
      <c r="AX10" s="372" t="e">
        <f ca="1">VLOOKUP($AK10,坦克属性统计!$B$3:$AY$33,MATCH(AX$3,坦克属性统计!$B$3:$AY$3,0),FALSE)</f>
        <v>#REF!</v>
      </c>
      <c r="AY10" s="372" t="e">
        <f t="shared" ca="1" si="12"/>
        <v>#REF!</v>
      </c>
      <c r="AZ10" s="372" t="e">
        <f t="shared" ca="1" si="12"/>
        <v>#REF!</v>
      </c>
      <c r="BA10" s="372" t="e">
        <f t="shared" ca="1" si="12"/>
        <v>#REF!</v>
      </c>
      <c r="BB10" s="356" t="e">
        <f t="shared" ca="1" si="13"/>
        <v>#REF!</v>
      </c>
      <c r="BC10" s="356" t="e">
        <f ca="1">VLOOKUP(AK10,坦克个性化设定!$B$18:$E$48,4,FALSE)</f>
        <v>#REF!</v>
      </c>
      <c r="BD10" s="357" t="e">
        <f t="shared" ca="1" si="22"/>
        <v>#REF!</v>
      </c>
      <c r="BF10" s="357" t="str">
        <f t="shared" ca="1" si="14"/>
        <v/>
      </c>
      <c r="BG10" s="372" t="str">
        <f ca="1">IFERROR(VLOOKUP(BF10,坦克个性化设定!$B$18:$F$48,5,FALSE),"")</f>
        <v/>
      </c>
      <c r="BH10" s="372" t="e">
        <f t="shared" ca="1" si="23"/>
        <v>#REF!</v>
      </c>
      <c r="BI10" s="372" t="e">
        <f t="shared" ca="1" si="24"/>
        <v>#REF!</v>
      </c>
      <c r="BJ10" s="364" t="str">
        <f t="shared" ca="1" si="15"/>
        <v>NULL</v>
      </c>
      <c r="BK10" s="372" t="e">
        <f ca="1">VLOOKUP($BF10&amp;IF($BJ10="NULL",0,$BJ10),所有坦克升星属性,MATCH(BK$3,所有坦克升星属性标头,0),FALSE)+ROUND(BP10/VLOOKUP($BF10,坦克部件!#REF!,4,FALSE)*VLOOKUP($BF10&amp;0,所有坦克升星属性,MATCH(BK$3,所有坦克升星属性标头,0),FALSE),0)</f>
        <v>#N/A</v>
      </c>
      <c r="BL10" s="372" t="e">
        <f ca="1">VLOOKUP($BF10&amp;IF($BJ10="NULL",0,$BJ10),所有坦克升星属性,MATCH(BL$3,所有坦克升星属性标头,0),FALSE)+ROUND(BQ10/VLOOKUP($BF10,坦克部件!#REF!,4,FALSE)*VLOOKUP($BF10&amp;0,所有坦克升星属性,MATCH(BL$3,所有坦克升星属性标头,0),FALSE),0)</f>
        <v>#N/A</v>
      </c>
      <c r="BM10" s="372" t="e">
        <f t="shared" ca="1" si="16"/>
        <v>#N/A</v>
      </c>
      <c r="BN10" s="372" t="e">
        <f t="shared" ca="1" si="16"/>
        <v>#N/A</v>
      </c>
      <c r="BO10" s="372" t="e">
        <f ca="1">VLOOKUP($BF10&amp;IF($BJ10="NULL",0,$BJ10),所有坦克升星属性,MATCH(BO$3,所有坦克升星属性标头,0),FALSE)+ROUND(BR10/VLOOKUP($BF10,坦克部件!#REF!,4,FALSE)*VLOOKUP($BF10&amp;0,所有坦克升星属性,MATCH(BO$3,所有坦克升星属性标头,0),FALSE),0)</f>
        <v>#N/A</v>
      </c>
      <c r="BP10" s="372" t="e">
        <f ca="1">(VLOOKUP($BH10,坦克部件!#REF!,MATCH("标准值",坦克部件!#REF!,0),FALSE)+VLOOKUP($BI10,坦克部件!#REF!,MATCH("标准值",坦克部件!#REF!,0),FALSE))*2</f>
        <v>#REF!</v>
      </c>
      <c r="BQ10" s="372" t="e">
        <f ca="1">(VLOOKUP($BH10,坦克部件!#REF!,MATCH("标准值",坦克部件!#REF!,0),FALSE)+VLOOKUP($BI10,坦克部件!#REF!,MATCH("标准值",坦克部件!#REF!,0),FALSE))*2</f>
        <v>#REF!</v>
      </c>
      <c r="BR10" s="372" t="e">
        <f ca="1">(VLOOKUP($BH10,坦克部件!#REF!,MATCH("标准值",坦克部件!#REF!,0),FALSE)+VLOOKUP($BI10,坦克部件!#REF!,MATCH("标准值",坦克部件!#REF!,0),FALSE))*2</f>
        <v>#REF!</v>
      </c>
      <c r="BS10" s="372" t="e">
        <f ca="1">VLOOKUP($BF10,坦克属性统计!$B$3:$AY$33,MATCH(BS$3,坦克属性统计!$B$3:$AY$3,0),FALSE)</f>
        <v>#N/A</v>
      </c>
      <c r="BT10" s="372" t="e">
        <f t="shared" ca="1" si="17"/>
        <v>#N/A</v>
      </c>
      <c r="BU10" s="372" t="e">
        <f t="shared" ca="1" si="17"/>
        <v>#N/A</v>
      </c>
      <c r="BV10" s="372" t="e">
        <f t="shared" ca="1" si="17"/>
        <v>#N/A</v>
      </c>
      <c r="BW10" s="356">
        <f t="shared" ca="1" si="18"/>
        <v>0</v>
      </c>
      <c r="BX10" s="356" t="e">
        <f ca="1">VLOOKUP(BF10,坦克个性化设定!$B$18:$E$48,4,FALSE)</f>
        <v>#N/A</v>
      </c>
      <c r="BY10" s="357" t="e">
        <f t="shared" ca="1" si="25"/>
        <v>#N/A</v>
      </c>
    </row>
    <row r="11" spans="2:77" x14ac:dyDescent="0.35">
      <c r="B11" s="539" t="s">
        <v>2435</v>
      </c>
      <c r="C11" s="539" t="s">
        <v>2436</v>
      </c>
      <c r="D11" s="539" t="s">
        <v>2437</v>
      </c>
      <c r="E11" s="550" t="s">
        <v>2534</v>
      </c>
      <c r="N11" s="84">
        <v>3</v>
      </c>
      <c r="O11" s="365">
        <v>8</v>
      </c>
      <c r="P11" s="360" t="e">
        <f t="shared" ca="1" si="26"/>
        <v>#REF!</v>
      </c>
      <c r="Q11" s="360" t="e">
        <f ca="1">ROUND(MIN((BD11-VLOOKUP(R11,$B$22:$F$46,2,FALSE))/(VLOOKUP(R11,$B$22:$F$46,3,FALSE)-VLOOKUP(R11,$B$22:$F$46,2,FALSE)),1)*((VLOOKUP(R11,$B$22:$F$46,4,FALSE)*(AG11/(AG11+VLOOKUP(P11,$D$49:$F$123,3,TRUE)))+VLOOKUP(R11,$B$22:$F$46,5,FALSE)*(1-AG11/(AG11+VLOOKUP(P11,$D$49:$F$123,3,TRUE))))/2)*游戏时长规划!$C$4,0)</f>
        <v>#REF!</v>
      </c>
      <c r="R11" s="360" t="e">
        <f t="shared" ca="1" si="0"/>
        <v>#REF!</v>
      </c>
      <c r="S11" s="360" t="e">
        <f t="shared" ca="1" si="27"/>
        <v>#REF!</v>
      </c>
      <c r="T11" s="360" t="e">
        <f t="shared" ca="1" si="28"/>
        <v>#REF!</v>
      </c>
      <c r="U11" s="370" t="e">
        <f t="shared" ca="1" si="1"/>
        <v>#REF!</v>
      </c>
      <c r="V11" s="363" t="e">
        <f t="shared" ca="1" si="2"/>
        <v>#REF!</v>
      </c>
      <c r="W11" s="360" t="e">
        <f t="shared" ca="1" si="3"/>
        <v>#REF!</v>
      </c>
      <c r="X11" s="81" t="e">
        <f t="shared" ca="1" si="19"/>
        <v>#REF!</v>
      </c>
      <c r="Y11" s="360" t="str">
        <f t="shared" ca="1" si="4"/>
        <v>NULL</v>
      </c>
      <c r="Z11" s="375" t="e">
        <f t="shared" ca="1" si="20"/>
        <v>#REF!</v>
      </c>
      <c r="AA11" s="360">
        <f ca="1">IFERROR(VLOOKUP(IF(V11="T1低",游戏时长规划!$C$67+Z11,Z11),INDIRECT(V11&amp;"星级"),2,TRUE),0)</f>
        <v>0</v>
      </c>
      <c r="AB11" s="375" t="e">
        <f t="shared" ca="1" si="5"/>
        <v>#REF!</v>
      </c>
      <c r="AC11" s="375">
        <f ca="1">($D$14+$D$17)*$L$4/坦克部件养成!$C$2+AC10-IFERROR(IF(RIGHT(AD10,3)*1&gt;RIGHT(VLOOKUP(AC10,INDIRECT(LEFT(AD9,2)&amp;"部件升阶"),5,TRUE),3)*1,VLOOKUP(AD9,INDIRECT(LEFT(AD9,2)&amp;"部件升阶消耗"),2,FALSE),0),0)</f>
        <v>94.666666666666657</v>
      </c>
      <c r="AD11" s="360" t="e">
        <f t="shared" ca="1" si="6"/>
        <v>#REF!</v>
      </c>
      <c r="AE11" s="375" t="e">
        <f ca="1">$D$15*$L$4/坦克部件养成!$C$2+AE10-IF(LEFT(AD11,2)&lt;&gt;LEFT(AD10,2),VLOOKUP(AF10,INDIRECT(LEFT(AD10,2)&amp;"部件升级消耗"),5,FALSE),0)</f>
        <v>#REF!</v>
      </c>
      <c r="AF11" s="360" t="e">
        <f ca="1">MIN(VLOOKUP(AE11,INDIRECT(LEFT(AD11,2)&amp;"部件升级"),2,TRUE),VLOOKUP(LEFT(AD11,2),坦克部件养成!#REF!,6,FALSE))</f>
        <v>#REF!</v>
      </c>
      <c r="AG11" s="378" t="e">
        <f ca="1">MAX(BD$4:BD11)</f>
        <v>#REF!</v>
      </c>
      <c r="AH11" s="378" t="str">
        <f t="shared" ca="1" si="7"/>
        <v/>
      </c>
      <c r="AI11" s="378">
        <f ca="1">IF(Y11="NULL",0,MAX(BY$4:BY11))</f>
        <v>0</v>
      </c>
      <c r="AK11" s="364" t="e">
        <f t="shared" ca="1" si="8"/>
        <v>#REF!</v>
      </c>
      <c r="AL11" s="364" t="e">
        <f ca="1">VLOOKUP(AK11,坦克个性化设定!$B$18:$F$48,5,FALSE)</f>
        <v>#REF!</v>
      </c>
      <c r="AM11" s="372" t="e">
        <f t="shared" ca="1" si="9"/>
        <v>#REF!</v>
      </c>
      <c r="AN11" s="372" t="e">
        <f t="shared" ca="1" si="21"/>
        <v>#REF!</v>
      </c>
      <c r="AO11" s="364">
        <f t="shared" ca="1" si="10"/>
        <v>0</v>
      </c>
      <c r="AP11" s="372" t="e">
        <f ca="1">VLOOKUP($AK11&amp;$AO11,所有坦克升星属性,MATCH(AP$3,所有坦克升星属性标头,0),FALSE)+ROUND(AU11/VLOOKUP($AK11,坦克部件!#REF!,4,FALSE)*VLOOKUP($AK11&amp;0,所有坦克升星属性,MATCH(AP$3,所有坦克升星属性标头,0),FALSE),0)</f>
        <v>#REF!</v>
      </c>
      <c r="AQ11" s="372" t="e">
        <f ca="1">VLOOKUP($AK11&amp;$AO11,所有坦克升星属性,MATCH(AQ$3,所有坦克升星属性标头,0),FALSE)+ROUND(AV11/VLOOKUP($AK11,坦克部件!#REF!,4,FALSE)*VLOOKUP($AK11&amp;0,所有坦克升星属性,MATCH(AQ$3,所有坦克升星属性标头,0),FALSE),0)</f>
        <v>#REF!</v>
      </c>
      <c r="AR11" s="372" t="e">
        <f t="shared" ca="1" si="11"/>
        <v>#REF!</v>
      </c>
      <c r="AS11" s="372" t="e">
        <f t="shared" ca="1" si="11"/>
        <v>#REF!</v>
      </c>
      <c r="AT11" s="372" t="e">
        <f ca="1">VLOOKUP($AK11&amp;$AO11,所有坦克升星属性,MATCH(AT$3,所有坦克升星属性标头,0),FALSE)+ROUND(AW11/VLOOKUP($AK11,坦克部件!#REF!,4,FALSE)*VLOOKUP($AK11&amp;0,所有坦克升星属性,MATCH(AT$3,所有坦克升星属性标头,0),FALSE),0)</f>
        <v>#REF!</v>
      </c>
      <c r="AU11" s="372" t="e">
        <f ca="1">(VLOOKUP($AM11,坦克部件!#REF!,MATCH("标准值",坦克部件!#REF!,0),FALSE)+VLOOKUP($AN11,坦克部件!#REF!,MATCH("标准值",坦克部件!#REF!,0),FALSE))*2</f>
        <v>#REF!</v>
      </c>
      <c r="AV11" s="372" t="e">
        <f ca="1">(VLOOKUP($AM11,坦克部件!#REF!,MATCH("标准值",坦克部件!#REF!,0),FALSE)+VLOOKUP($AN11,坦克部件!#REF!,MATCH("标准值",坦克部件!#REF!,0),FALSE))*2</f>
        <v>#REF!</v>
      </c>
      <c r="AW11" s="372" t="e">
        <f ca="1">(VLOOKUP($AM11,坦克部件!#REF!,MATCH("标准值",坦克部件!#REF!,0),FALSE)+VLOOKUP($AN11,坦克部件!#REF!,MATCH("标准值",坦克部件!#REF!,0),FALSE))*2</f>
        <v>#REF!</v>
      </c>
      <c r="AX11" s="372" t="e">
        <f ca="1">VLOOKUP($AK11,坦克属性统计!$B$3:$AY$33,MATCH(AX$3,坦克属性统计!$B$3:$AY$3,0),FALSE)</f>
        <v>#REF!</v>
      </c>
      <c r="AY11" s="372" t="e">
        <f t="shared" ca="1" si="12"/>
        <v>#REF!</v>
      </c>
      <c r="AZ11" s="372" t="e">
        <f t="shared" ca="1" si="12"/>
        <v>#REF!</v>
      </c>
      <c r="BA11" s="372" t="e">
        <f t="shared" ca="1" si="12"/>
        <v>#REF!</v>
      </c>
      <c r="BB11" s="356" t="e">
        <f t="shared" ca="1" si="13"/>
        <v>#REF!</v>
      </c>
      <c r="BC11" s="356" t="e">
        <f ca="1">VLOOKUP(AK11,坦克个性化设定!$B$18:$E$48,4,FALSE)</f>
        <v>#REF!</v>
      </c>
      <c r="BD11" s="357" t="e">
        <f t="shared" ca="1" si="22"/>
        <v>#REF!</v>
      </c>
      <c r="BF11" s="357" t="str">
        <f t="shared" ca="1" si="14"/>
        <v/>
      </c>
      <c r="BG11" s="372" t="str">
        <f ca="1">IFERROR(VLOOKUP(BF11,坦克个性化设定!$B$18:$F$48,5,FALSE),"")</f>
        <v/>
      </c>
      <c r="BH11" s="372" t="e">
        <f t="shared" ca="1" si="23"/>
        <v>#REF!</v>
      </c>
      <c r="BI11" s="372" t="e">
        <f t="shared" ca="1" si="24"/>
        <v>#REF!</v>
      </c>
      <c r="BJ11" s="364" t="str">
        <f t="shared" ca="1" si="15"/>
        <v>NULL</v>
      </c>
      <c r="BK11" s="372" t="e">
        <f ca="1">VLOOKUP($BF11&amp;IF($BJ11="NULL",0,$BJ11),所有坦克升星属性,MATCH(BK$3,所有坦克升星属性标头,0),FALSE)+ROUND(BP11/VLOOKUP($BF11,坦克部件!#REF!,4,FALSE)*VLOOKUP($BF11&amp;0,所有坦克升星属性,MATCH(BK$3,所有坦克升星属性标头,0),FALSE),0)</f>
        <v>#N/A</v>
      </c>
      <c r="BL11" s="372" t="e">
        <f ca="1">VLOOKUP($BF11&amp;IF($BJ11="NULL",0,$BJ11),所有坦克升星属性,MATCH(BL$3,所有坦克升星属性标头,0),FALSE)+ROUND(BQ11/VLOOKUP($BF11,坦克部件!#REF!,4,FALSE)*VLOOKUP($BF11&amp;0,所有坦克升星属性,MATCH(BL$3,所有坦克升星属性标头,0),FALSE),0)</f>
        <v>#N/A</v>
      </c>
      <c r="BM11" s="372" t="e">
        <f t="shared" ca="1" si="16"/>
        <v>#N/A</v>
      </c>
      <c r="BN11" s="372" t="e">
        <f t="shared" ca="1" si="16"/>
        <v>#N/A</v>
      </c>
      <c r="BO11" s="372" t="e">
        <f ca="1">VLOOKUP($BF11&amp;IF($BJ11="NULL",0,$BJ11),所有坦克升星属性,MATCH(BO$3,所有坦克升星属性标头,0),FALSE)+ROUND(BR11/VLOOKUP($BF11,坦克部件!#REF!,4,FALSE)*VLOOKUP($BF11&amp;0,所有坦克升星属性,MATCH(BO$3,所有坦克升星属性标头,0),FALSE),0)</f>
        <v>#N/A</v>
      </c>
      <c r="BP11" s="372" t="e">
        <f ca="1">(VLOOKUP($BH11,坦克部件!#REF!,MATCH("标准值",坦克部件!#REF!,0),FALSE)+VLOOKUP($BI11,坦克部件!#REF!,MATCH("标准值",坦克部件!#REF!,0),FALSE))*2</f>
        <v>#REF!</v>
      </c>
      <c r="BQ11" s="372" t="e">
        <f ca="1">(VLOOKUP($BH11,坦克部件!#REF!,MATCH("标准值",坦克部件!#REF!,0),FALSE)+VLOOKUP($BI11,坦克部件!#REF!,MATCH("标准值",坦克部件!#REF!,0),FALSE))*2</f>
        <v>#REF!</v>
      </c>
      <c r="BR11" s="372" t="e">
        <f ca="1">(VLOOKUP($BH11,坦克部件!#REF!,MATCH("标准值",坦克部件!#REF!,0),FALSE)+VLOOKUP($BI11,坦克部件!#REF!,MATCH("标准值",坦克部件!#REF!,0),FALSE))*2</f>
        <v>#REF!</v>
      </c>
      <c r="BS11" s="372" t="e">
        <f ca="1">VLOOKUP($BF11,坦克属性统计!$B$3:$AY$33,MATCH(BS$3,坦克属性统计!$B$3:$AY$3,0),FALSE)</f>
        <v>#N/A</v>
      </c>
      <c r="BT11" s="372" t="e">
        <f t="shared" ca="1" si="17"/>
        <v>#N/A</v>
      </c>
      <c r="BU11" s="372" t="e">
        <f t="shared" ca="1" si="17"/>
        <v>#N/A</v>
      </c>
      <c r="BV11" s="372" t="e">
        <f t="shared" ca="1" si="17"/>
        <v>#N/A</v>
      </c>
      <c r="BW11" s="356">
        <f t="shared" ca="1" si="18"/>
        <v>0</v>
      </c>
      <c r="BX11" s="356" t="e">
        <f ca="1">VLOOKUP(BF11,坦克个性化设定!$B$18:$E$48,4,FALSE)</f>
        <v>#N/A</v>
      </c>
      <c r="BY11" s="357" t="e">
        <f t="shared" ca="1" si="25"/>
        <v>#N/A</v>
      </c>
    </row>
    <row r="12" spans="2:77" x14ac:dyDescent="0.35">
      <c r="B12" s="539" t="s">
        <v>2412</v>
      </c>
      <c r="C12" s="360">
        <v>0.5</v>
      </c>
      <c r="D12" s="360">
        <f>C12*$C$6</f>
        <v>15</v>
      </c>
      <c r="E12" s="553">
        <f>D12/基础经济系数!$C$3</f>
        <v>2.5000000000000001E-2</v>
      </c>
      <c r="N12" s="84">
        <v>3</v>
      </c>
      <c r="O12" s="365">
        <v>9</v>
      </c>
      <c r="P12" s="360" t="e">
        <f t="shared" ca="1" si="26"/>
        <v>#REF!</v>
      </c>
      <c r="Q12" s="360" t="e">
        <f ca="1">ROUND(MIN((BD12-VLOOKUP(R12,$B$22:$F$46,2,FALSE))/(VLOOKUP(R12,$B$22:$F$46,3,FALSE)-VLOOKUP(R12,$B$22:$F$46,2,FALSE)),1)*((VLOOKUP(R12,$B$22:$F$46,4,FALSE)*(AG12/(AG12+VLOOKUP(P12,$D$49:$F$123,3,TRUE)))+VLOOKUP(R12,$B$22:$F$46,5,FALSE)*(1-AG12/(AG12+VLOOKUP(P12,$D$49:$F$123,3,TRUE))))/2)*游戏时长规划!$C$4,0)</f>
        <v>#REF!</v>
      </c>
      <c r="R12" s="360" t="e">
        <f t="shared" ca="1" si="0"/>
        <v>#REF!</v>
      </c>
      <c r="S12" s="360" t="e">
        <f t="shared" ca="1" si="27"/>
        <v>#REF!</v>
      </c>
      <c r="T12" s="360" t="e">
        <f t="shared" ca="1" si="28"/>
        <v>#REF!</v>
      </c>
      <c r="U12" s="370" t="e">
        <f t="shared" ca="1" si="1"/>
        <v>#REF!</v>
      </c>
      <c r="V12" s="363" t="e">
        <f t="shared" ca="1" si="2"/>
        <v>#REF!</v>
      </c>
      <c r="W12" s="360" t="e">
        <f t="shared" ca="1" si="3"/>
        <v>#REF!</v>
      </c>
      <c r="X12" s="81" t="e">
        <f t="shared" ca="1" si="19"/>
        <v>#REF!</v>
      </c>
      <c r="Y12" s="360" t="str">
        <f t="shared" ca="1" si="4"/>
        <v>NULL</v>
      </c>
      <c r="Z12" s="375" t="e">
        <f t="shared" ca="1" si="20"/>
        <v>#REF!</v>
      </c>
      <c r="AA12" s="360">
        <f ca="1">IFERROR(VLOOKUP(IF(V12="T1低",游戏时长规划!$C$67+Z12,Z12),INDIRECT(V12&amp;"星级"),2,TRUE),0)</f>
        <v>0</v>
      </c>
      <c r="AB12" s="375" t="e">
        <f t="shared" ca="1" si="5"/>
        <v>#REF!</v>
      </c>
      <c r="AC12" s="375">
        <f ca="1">($D$14+$D$17)*$L$4/坦克部件养成!$C$2+AC11-IFERROR(IF(RIGHT(AD11,3)*1&gt;RIGHT(VLOOKUP(AC11,INDIRECT(LEFT(AD10,2)&amp;"部件升阶"),5,TRUE),3)*1,VLOOKUP(AD10,INDIRECT(LEFT(AD10,2)&amp;"部件升阶消耗"),2,FALSE),0),0)</f>
        <v>106.49999999999999</v>
      </c>
      <c r="AD12" s="360" t="e">
        <f t="shared" ca="1" si="6"/>
        <v>#REF!</v>
      </c>
      <c r="AE12" s="375" t="e">
        <f ca="1">$D$15*$L$4/坦克部件养成!$C$2+AE11-IF(LEFT(AD12,2)&lt;&gt;LEFT(AD11,2),VLOOKUP(AF11,INDIRECT(LEFT(AD11,2)&amp;"部件升级消耗"),5,FALSE),0)</f>
        <v>#REF!</v>
      </c>
      <c r="AF12" s="360" t="e">
        <f ca="1">MIN(VLOOKUP(AE12,INDIRECT(LEFT(AD12,2)&amp;"部件升级"),2,TRUE),VLOOKUP(LEFT(AD12,2),坦克部件养成!#REF!,6,FALSE))</f>
        <v>#REF!</v>
      </c>
      <c r="AG12" s="378" t="e">
        <f ca="1">MAX(BD$4:BD12)</f>
        <v>#REF!</v>
      </c>
      <c r="AH12" s="378" t="str">
        <f t="shared" ca="1" si="7"/>
        <v/>
      </c>
      <c r="AI12" s="378">
        <f ca="1">IF(Y12="NULL",0,MAX(BY$4:BY12))</f>
        <v>0</v>
      </c>
      <c r="AK12" s="364" t="e">
        <f t="shared" ca="1" si="8"/>
        <v>#REF!</v>
      </c>
      <c r="AL12" s="364" t="e">
        <f ca="1">VLOOKUP(AK12,坦克个性化设定!$B$18:$F$48,5,FALSE)</f>
        <v>#REF!</v>
      </c>
      <c r="AM12" s="372" t="e">
        <f t="shared" ca="1" si="9"/>
        <v>#REF!</v>
      </c>
      <c r="AN12" s="372" t="e">
        <f t="shared" ca="1" si="21"/>
        <v>#REF!</v>
      </c>
      <c r="AO12" s="364">
        <f t="shared" ca="1" si="10"/>
        <v>0</v>
      </c>
      <c r="AP12" s="372" t="e">
        <f ca="1">VLOOKUP($AK12&amp;$AO12,所有坦克升星属性,MATCH(AP$3,所有坦克升星属性标头,0),FALSE)+ROUND(AU12/VLOOKUP($AK12,坦克部件!#REF!,4,FALSE)*VLOOKUP($AK12&amp;0,所有坦克升星属性,MATCH(AP$3,所有坦克升星属性标头,0),FALSE),0)</f>
        <v>#REF!</v>
      </c>
      <c r="AQ12" s="372" t="e">
        <f ca="1">VLOOKUP($AK12&amp;$AO12,所有坦克升星属性,MATCH(AQ$3,所有坦克升星属性标头,0),FALSE)+ROUND(AV12/VLOOKUP($AK12,坦克部件!#REF!,4,FALSE)*VLOOKUP($AK12&amp;0,所有坦克升星属性,MATCH(AQ$3,所有坦克升星属性标头,0),FALSE),0)</f>
        <v>#REF!</v>
      </c>
      <c r="AR12" s="372" t="e">
        <f t="shared" ca="1" si="11"/>
        <v>#REF!</v>
      </c>
      <c r="AS12" s="372" t="e">
        <f t="shared" ca="1" si="11"/>
        <v>#REF!</v>
      </c>
      <c r="AT12" s="372" t="e">
        <f ca="1">VLOOKUP($AK12&amp;$AO12,所有坦克升星属性,MATCH(AT$3,所有坦克升星属性标头,0),FALSE)+ROUND(AW12/VLOOKUP($AK12,坦克部件!#REF!,4,FALSE)*VLOOKUP($AK12&amp;0,所有坦克升星属性,MATCH(AT$3,所有坦克升星属性标头,0),FALSE),0)</f>
        <v>#REF!</v>
      </c>
      <c r="AU12" s="372" t="e">
        <f ca="1">(VLOOKUP($AM12,坦克部件!#REF!,MATCH("标准值",坦克部件!#REF!,0),FALSE)+VLOOKUP($AN12,坦克部件!#REF!,MATCH("标准值",坦克部件!#REF!,0),FALSE))*2</f>
        <v>#REF!</v>
      </c>
      <c r="AV12" s="372" t="e">
        <f ca="1">(VLOOKUP($AM12,坦克部件!#REF!,MATCH("标准值",坦克部件!#REF!,0),FALSE)+VLOOKUP($AN12,坦克部件!#REF!,MATCH("标准值",坦克部件!#REF!,0),FALSE))*2</f>
        <v>#REF!</v>
      </c>
      <c r="AW12" s="372" t="e">
        <f ca="1">(VLOOKUP($AM12,坦克部件!#REF!,MATCH("标准值",坦克部件!#REF!,0),FALSE)+VLOOKUP($AN12,坦克部件!#REF!,MATCH("标准值",坦克部件!#REF!,0),FALSE))*2</f>
        <v>#REF!</v>
      </c>
      <c r="AX12" s="372" t="e">
        <f ca="1">VLOOKUP($AK12,坦克属性统计!$B$3:$AY$33,MATCH(AX$3,坦克属性统计!$B$3:$AY$3,0),FALSE)</f>
        <v>#REF!</v>
      </c>
      <c r="AY12" s="372" t="e">
        <f t="shared" ca="1" si="12"/>
        <v>#REF!</v>
      </c>
      <c r="AZ12" s="372" t="e">
        <f t="shared" ca="1" si="12"/>
        <v>#REF!</v>
      </c>
      <c r="BA12" s="372" t="e">
        <f t="shared" ca="1" si="12"/>
        <v>#REF!</v>
      </c>
      <c r="BB12" s="356" t="e">
        <f t="shared" ca="1" si="13"/>
        <v>#REF!</v>
      </c>
      <c r="BC12" s="356" t="e">
        <f ca="1">VLOOKUP(AK12,坦克个性化设定!$B$18:$E$48,4,FALSE)</f>
        <v>#REF!</v>
      </c>
      <c r="BD12" s="357" t="e">
        <f t="shared" ca="1" si="22"/>
        <v>#REF!</v>
      </c>
      <c r="BF12" s="357" t="str">
        <f t="shared" ca="1" si="14"/>
        <v/>
      </c>
      <c r="BG12" s="372" t="str">
        <f ca="1">IFERROR(VLOOKUP(BF12,坦克个性化设定!$B$18:$F$48,5,FALSE),"")</f>
        <v/>
      </c>
      <c r="BH12" s="372" t="e">
        <f t="shared" ca="1" si="23"/>
        <v>#REF!</v>
      </c>
      <c r="BI12" s="372" t="e">
        <f t="shared" ca="1" si="24"/>
        <v>#REF!</v>
      </c>
      <c r="BJ12" s="364" t="str">
        <f t="shared" ca="1" si="15"/>
        <v>NULL</v>
      </c>
      <c r="BK12" s="372" t="e">
        <f ca="1">VLOOKUP($BF12&amp;IF($BJ12="NULL",0,$BJ12),所有坦克升星属性,MATCH(BK$3,所有坦克升星属性标头,0),FALSE)+ROUND(BP12/VLOOKUP($BF12,坦克部件!#REF!,4,FALSE)*VLOOKUP($BF12&amp;0,所有坦克升星属性,MATCH(BK$3,所有坦克升星属性标头,0),FALSE),0)</f>
        <v>#N/A</v>
      </c>
      <c r="BL12" s="372" t="e">
        <f ca="1">VLOOKUP($BF12&amp;IF($BJ12="NULL",0,$BJ12),所有坦克升星属性,MATCH(BL$3,所有坦克升星属性标头,0),FALSE)+ROUND(BQ12/VLOOKUP($BF12,坦克部件!#REF!,4,FALSE)*VLOOKUP($BF12&amp;0,所有坦克升星属性,MATCH(BL$3,所有坦克升星属性标头,0),FALSE),0)</f>
        <v>#N/A</v>
      </c>
      <c r="BM12" s="372" t="e">
        <f t="shared" ca="1" si="16"/>
        <v>#N/A</v>
      </c>
      <c r="BN12" s="372" t="e">
        <f t="shared" ca="1" si="16"/>
        <v>#N/A</v>
      </c>
      <c r="BO12" s="372" t="e">
        <f ca="1">VLOOKUP($BF12&amp;IF($BJ12="NULL",0,$BJ12),所有坦克升星属性,MATCH(BO$3,所有坦克升星属性标头,0),FALSE)+ROUND(BR12/VLOOKUP($BF12,坦克部件!#REF!,4,FALSE)*VLOOKUP($BF12&amp;0,所有坦克升星属性,MATCH(BO$3,所有坦克升星属性标头,0),FALSE),0)</f>
        <v>#N/A</v>
      </c>
      <c r="BP12" s="372" t="e">
        <f ca="1">(VLOOKUP($BH12,坦克部件!#REF!,MATCH("标准值",坦克部件!#REF!,0),FALSE)+VLOOKUP($BI12,坦克部件!#REF!,MATCH("标准值",坦克部件!#REF!,0),FALSE))*2</f>
        <v>#REF!</v>
      </c>
      <c r="BQ12" s="372" t="e">
        <f ca="1">(VLOOKUP($BH12,坦克部件!#REF!,MATCH("标准值",坦克部件!#REF!,0),FALSE)+VLOOKUP($BI12,坦克部件!#REF!,MATCH("标准值",坦克部件!#REF!,0),FALSE))*2</f>
        <v>#REF!</v>
      </c>
      <c r="BR12" s="372" t="e">
        <f ca="1">(VLOOKUP($BH12,坦克部件!#REF!,MATCH("标准值",坦克部件!#REF!,0),FALSE)+VLOOKUP($BI12,坦克部件!#REF!,MATCH("标准值",坦克部件!#REF!,0),FALSE))*2</f>
        <v>#REF!</v>
      </c>
      <c r="BS12" s="372" t="e">
        <f ca="1">VLOOKUP($BF12,坦克属性统计!$B$3:$AY$33,MATCH(BS$3,坦克属性统计!$B$3:$AY$3,0),FALSE)</f>
        <v>#N/A</v>
      </c>
      <c r="BT12" s="372" t="e">
        <f t="shared" ca="1" si="17"/>
        <v>#N/A</v>
      </c>
      <c r="BU12" s="372" t="e">
        <f t="shared" ca="1" si="17"/>
        <v>#N/A</v>
      </c>
      <c r="BV12" s="372" t="e">
        <f t="shared" ca="1" si="17"/>
        <v>#N/A</v>
      </c>
      <c r="BW12" s="356">
        <f t="shared" ca="1" si="18"/>
        <v>0</v>
      </c>
      <c r="BX12" s="356" t="e">
        <f ca="1">VLOOKUP(BF12,坦克个性化设定!$B$18:$E$48,4,FALSE)</f>
        <v>#N/A</v>
      </c>
      <c r="BY12" s="357" t="e">
        <f t="shared" ca="1" si="25"/>
        <v>#N/A</v>
      </c>
    </row>
    <row r="13" spans="2:77" x14ac:dyDescent="0.35">
      <c r="B13" s="539" t="s">
        <v>2438</v>
      </c>
      <c r="C13" s="360">
        <v>1</v>
      </c>
      <c r="D13" s="360">
        <f>(C7+C5)*宝箱设定!K4*C13+C8*AVERAGE(宝箱设定!K5:K8)*C13+C6*(1-C12)*AVERAGE(宝箱设定!K9:K11)*C13</f>
        <v>319.70833333333331</v>
      </c>
      <c r="E13" s="553">
        <f>D13/基础经济系数!$C$3</f>
        <v>0.53284722222222214</v>
      </c>
      <c r="N13" s="84">
        <v>3</v>
      </c>
      <c r="O13" s="365">
        <v>10</v>
      </c>
      <c r="P13" s="360" t="e">
        <f t="shared" ca="1" si="26"/>
        <v>#REF!</v>
      </c>
      <c r="Q13" s="360" t="e">
        <f ca="1">ROUND(MIN((BD13-VLOOKUP(R13,$B$22:$F$46,2,FALSE))/(VLOOKUP(R13,$B$22:$F$46,3,FALSE)-VLOOKUP(R13,$B$22:$F$46,2,FALSE)),1)*((VLOOKUP(R13,$B$22:$F$46,4,FALSE)*(AG13/(AG13+VLOOKUP(P13,$D$49:$F$123,3,TRUE)))+VLOOKUP(R13,$B$22:$F$46,5,FALSE)*(1-AG13/(AG13+VLOOKUP(P13,$D$49:$F$123,3,TRUE))))/2)*游戏时长规划!$C$4,0)</f>
        <v>#REF!</v>
      </c>
      <c r="R13" s="360" t="e">
        <f t="shared" ca="1" si="0"/>
        <v>#REF!</v>
      </c>
      <c r="S13" s="360" t="e">
        <f t="shared" ca="1" si="27"/>
        <v>#REF!</v>
      </c>
      <c r="T13" s="360" t="e">
        <f t="shared" ca="1" si="28"/>
        <v>#REF!</v>
      </c>
      <c r="U13" s="370" t="e">
        <f t="shared" ca="1" si="1"/>
        <v>#REF!</v>
      </c>
      <c r="V13" s="363" t="e">
        <f t="shared" ca="1" si="2"/>
        <v>#REF!</v>
      </c>
      <c r="W13" s="360" t="e">
        <f t="shared" ca="1" si="3"/>
        <v>#REF!</v>
      </c>
      <c r="X13" s="81" t="e">
        <f t="shared" ca="1" si="19"/>
        <v>#REF!</v>
      </c>
      <c r="Y13" s="360" t="str">
        <f t="shared" ca="1" si="4"/>
        <v>NULL</v>
      </c>
      <c r="Z13" s="375" t="e">
        <f t="shared" ca="1" si="20"/>
        <v>#REF!</v>
      </c>
      <c r="AA13" s="360">
        <f ca="1">IFERROR(VLOOKUP(IF(V13="T1低",游戏时长规划!$C$67+Z13,Z13),INDIRECT(V13&amp;"星级"),2,TRUE),0)</f>
        <v>0</v>
      </c>
      <c r="AB13" s="375" t="e">
        <f t="shared" ca="1" si="5"/>
        <v>#REF!</v>
      </c>
      <c r="AC13" s="375">
        <f ca="1">($D$14+$D$17)*$L$4/坦克部件养成!$C$2+AC12-IFERROR(IF(RIGHT(AD12,3)*1&gt;RIGHT(VLOOKUP(AC12,INDIRECT(LEFT(AD11,2)&amp;"部件升阶"),5,TRUE),3)*1,VLOOKUP(AD11,INDIRECT(LEFT(AD11,2)&amp;"部件升阶消耗"),2,FALSE),0),0)</f>
        <v>118.33333333333331</v>
      </c>
      <c r="AD13" s="360" t="e">
        <f t="shared" ca="1" si="6"/>
        <v>#REF!</v>
      </c>
      <c r="AE13" s="375" t="e">
        <f ca="1">$D$15*$L$4/坦克部件养成!$C$2+AE12-IF(LEFT(AD13,2)&lt;&gt;LEFT(AD12,2),VLOOKUP(AF12,INDIRECT(LEFT(AD12,2)&amp;"部件升级消耗"),5,FALSE),0)</f>
        <v>#REF!</v>
      </c>
      <c r="AF13" s="360" t="e">
        <f ca="1">MIN(VLOOKUP(AE13,INDIRECT(LEFT(AD13,2)&amp;"部件升级"),2,TRUE),VLOOKUP(LEFT(AD13,2),坦克部件养成!#REF!,6,FALSE))</f>
        <v>#REF!</v>
      </c>
      <c r="AG13" s="378" t="e">
        <f ca="1">MAX(BD$4:BD13)</f>
        <v>#REF!</v>
      </c>
      <c r="AH13" s="378" t="str">
        <f t="shared" ca="1" si="7"/>
        <v/>
      </c>
      <c r="AI13" s="378">
        <f ca="1">IF(Y13="NULL",0,MAX(BY$4:BY13))</f>
        <v>0</v>
      </c>
      <c r="AK13" s="364" t="e">
        <f t="shared" ca="1" si="8"/>
        <v>#REF!</v>
      </c>
      <c r="AL13" s="364" t="e">
        <f ca="1">VLOOKUP(AK13,坦克个性化设定!$B$18:$F$48,5,FALSE)</f>
        <v>#REF!</v>
      </c>
      <c r="AM13" s="372" t="e">
        <f t="shared" ca="1" si="9"/>
        <v>#REF!</v>
      </c>
      <c r="AN13" s="372" t="e">
        <f t="shared" ca="1" si="21"/>
        <v>#REF!</v>
      </c>
      <c r="AO13" s="364">
        <f t="shared" ca="1" si="10"/>
        <v>0</v>
      </c>
      <c r="AP13" s="372" t="e">
        <f ca="1">VLOOKUP($AK13&amp;$AO13,所有坦克升星属性,MATCH(AP$3,所有坦克升星属性标头,0),FALSE)+ROUND(AU13/VLOOKUP($AK13,坦克部件!#REF!,4,FALSE)*VLOOKUP($AK13&amp;0,所有坦克升星属性,MATCH(AP$3,所有坦克升星属性标头,0),FALSE),0)</f>
        <v>#REF!</v>
      </c>
      <c r="AQ13" s="372" t="e">
        <f ca="1">VLOOKUP($AK13&amp;$AO13,所有坦克升星属性,MATCH(AQ$3,所有坦克升星属性标头,0),FALSE)+ROUND(AV13/VLOOKUP($AK13,坦克部件!#REF!,4,FALSE)*VLOOKUP($AK13&amp;0,所有坦克升星属性,MATCH(AQ$3,所有坦克升星属性标头,0),FALSE),0)</f>
        <v>#REF!</v>
      </c>
      <c r="AR13" s="372" t="e">
        <f t="shared" ca="1" si="11"/>
        <v>#REF!</v>
      </c>
      <c r="AS13" s="372" t="e">
        <f t="shared" ca="1" si="11"/>
        <v>#REF!</v>
      </c>
      <c r="AT13" s="372" t="e">
        <f ca="1">VLOOKUP($AK13&amp;$AO13,所有坦克升星属性,MATCH(AT$3,所有坦克升星属性标头,0),FALSE)+ROUND(AW13/VLOOKUP($AK13,坦克部件!#REF!,4,FALSE)*VLOOKUP($AK13&amp;0,所有坦克升星属性,MATCH(AT$3,所有坦克升星属性标头,0),FALSE),0)</f>
        <v>#REF!</v>
      </c>
      <c r="AU13" s="372" t="e">
        <f ca="1">(VLOOKUP($AM13,坦克部件!#REF!,MATCH("标准值",坦克部件!#REF!,0),FALSE)+VLOOKUP($AN13,坦克部件!#REF!,MATCH("标准值",坦克部件!#REF!,0),FALSE))*2</f>
        <v>#REF!</v>
      </c>
      <c r="AV13" s="372" t="e">
        <f ca="1">(VLOOKUP($AM13,坦克部件!#REF!,MATCH("标准值",坦克部件!#REF!,0),FALSE)+VLOOKUP($AN13,坦克部件!#REF!,MATCH("标准值",坦克部件!#REF!,0),FALSE))*2</f>
        <v>#REF!</v>
      </c>
      <c r="AW13" s="372" t="e">
        <f ca="1">(VLOOKUP($AM13,坦克部件!#REF!,MATCH("标准值",坦克部件!#REF!,0),FALSE)+VLOOKUP($AN13,坦克部件!#REF!,MATCH("标准值",坦克部件!#REF!,0),FALSE))*2</f>
        <v>#REF!</v>
      </c>
      <c r="AX13" s="372" t="e">
        <f ca="1">VLOOKUP($AK13,坦克属性统计!$B$3:$AY$33,MATCH(AX$3,坦克属性统计!$B$3:$AY$3,0),FALSE)</f>
        <v>#REF!</v>
      </c>
      <c r="AY13" s="372" t="e">
        <f t="shared" ca="1" si="12"/>
        <v>#REF!</v>
      </c>
      <c r="AZ13" s="372" t="e">
        <f t="shared" ca="1" si="12"/>
        <v>#REF!</v>
      </c>
      <c r="BA13" s="372" t="e">
        <f t="shared" ca="1" si="12"/>
        <v>#REF!</v>
      </c>
      <c r="BB13" s="356" t="e">
        <f t="shared" ca="1" si="13"/>
        <v>#REF!</v>
      </c>
      <c r="BC13" s="356" t="e">
        <f ca="1">VLOOKUP(AK13,坦克个性化设定!$B$18:$E$48,4,FALSE)</f>
        <v>#REF!</v>
      </c>
      <c r="BD13" s="357" t="e">
        <f t="shared" ca="1" si="22"/>
        <v>#REF!</v>
      </c>
      <c r="BF13" s="357" t="str">
        <f t="shared" ca="1" si="14"/>
        <v/>
      </c>
      <c r="BG13" s="372" t="str">
        <f ca="1">IFERROR(VLOOKUP(BF13,坦克个性化设定!$B$18:$F$48,5,FALSE),"")</f>
        <v/>
      </c>
      <c r="BH13" s="372" t="e">
        <f t="shared" ca="1" si="23"/>
        <v>#REF!</v>
      </c>
      <c r="BI13" s="372" t="e">
        <f t="shared" ca="1" si="24"/>
        <v>#REF!</v>
      </c>
      <c r="BJ13" s="364" t="str">
        <f t="shared" ca="1" si="15"/>
        <v>NULL</v>
      </c>
      <c r="BK13" s="372" t="e">
        <f ca="1">VLOOKUP($BF13&amp;IF($BJ13="NULL",0,$BJ13),所有坦克升星属性,MATCH(BK$3,所有坦克升星属性标头,0),FALSE)+ROUND(BP13/VLOOKUP($BF13,坦克部件!#REF!,4,FALSE)*VLOOKUP($BF13&amp;0,所有坦克升星属性,MATCH(BK$3,所有坦克升星属性标头,0),FALSE),0)</f>
        <v>#N/A</v>
      </c>
      <c r="BL13" s="372" t="e">
        <f ca="1">VLOOKUP($BF13&amp;IF($BJ13="NULL",0,$BJ13),所有坦克升星属性,MATCH(BL$3,所有坦克升星属性标头,0),FALSE)+ROUND(BQ13/VLOOKUP($BF13,坦克部件!#REF!,4,FALSE)*VLOOKUP($BF13&amp;0,所有坦克升星属性,MATCH(BL$3,所有坦克升星属性标头,0),FALSE),0)</f>
        <v>#N/A</v>
      </c>
      <c r="BM13" s="372" t="e">
        <f t="shared" ca="1" si="16"/>
        <v>#N/A</v>
      </c>
      <c r="BN13" s="372" t="e">
        <f t="shared" ca="1" si="16"/>
        <v>#N/A</v>
      </c>
      <c r="BO13" s="372" t="e">
        <f ca="1">VLOOKUP($BF13&amp;IF($BJ13="NULL",0,$BJ13),所有坦克升星属性,MATCH(BO$3,所有坦克升星属性标头,0),FALSE)+ROUND(BR13/VLOOKUP($BF13,坦克部件!#REF!,4,FALSE)*VLOOKUP($BF13&amp;0,所有坦克升星属性,MATCH(BO$3,所有坦克升星属性标头,0),FALSE),0)</f>
        <v>#N/A</v>
      </c>
      <c r="BP13" s="372" t="e">
        <f ca="1">(VLOOKUP($BH13,坦克部件!#REF!,MATCH("标准值",坦克部件!#REF!,0),FALSE)+VLOOKUP($BI13,坦克部件!#REF!,MATCH("标准值",坦克部件!#REF!,0),FALSE))*2</f>
        <v>#REF!</v>
      </c>
      <c r="BQ13" s="372" t="e">
        <f ca="1">(VLOOKUP($BH13,坦克部件!#REF!,MATCH("标准值",坦克部件!#REF!,0),FALSE)+VLOOKUP($BI13,坦克部件!#REF!,MATCH("标准值",坦克部件!#REF!,0),FALSE))*2</f>
        <v>#REF!</v>
      </c>
      <c r="BR13" s="372" t="e">
        <f ca="1">(VLOOKUP($BH13,坦克部件!#REF!,MATCH("标准值",坦克部件!#REF!,0),FALSE)+VLOOKUP($BI13,坦克部件!#REF!,MATCH("标准值",坦克部件!#REF!,0),FALSE))*2</f>
        <v>#REF!</v>
      </c>
      <c r="BS13" s="372" t="e">
        <f ca="1">VLOOKUP($BF13,坦克属性统计!$B$3:$AY$33,MATCH(BS$3,坦克属性统计!$B$3:$AY$3,0),FALSE)</f>
        <v>#N/A</v>
      </c>
      <c r="BT13" s="372" t="e">
        <f t="shared" ca="1" si="17"/>
        <v>#N/A</v>
      </c>
      <c r="BU13" s="372" t="e">
        <f t="shared" ca="1" si="17"/>
        <v>#N/A</v>
      </c>
      <c r="BV13" s="372" t="e">
        <f t="shared" ca="1" si="17"/>
        <v>#N/A</v>
      </c>
      <c r="BW13" s="356">
        <f t="shared" ca="1" si="18"/>
        <v>0</v>
      </c>
      <c r="BX13" s="356" t="e">
        <f ca="1">VLOOKUP(BF13,坦克个性化设定!$B$18:$E$48,4,FALSE)</f>
        <v>#N/A</v>
      </c>
      <c r="BY13" s="357" t="e">
        <f t="shared" ca="1" si="25"/>
        <v>#N/A</v>
      </c>
    </row>
    <row r="14" spans="2:77" x14ac:dyDescent="0.35">
      <c r="B14" s="539" t="s">
        <v>2439</v>
      </c>
      <c r="C14" s="360">
        <v>1</v>
      </c>
      <c r="D14" s="360">
        <f>(C7+C5)*宝箱设定!L4*C14+C8*AVERAGE(宝箱设定!L5:L8)*C14+C6*(1-C12)*AVERAGE(宝箱设定!L9:L11)*C14</f>
        <v>139.87500000000003</v>
      </c>
      <c r="E14" s="553">
        <f>D14/基础经济系数!$C$3</f>
        <v>0.23312500000000005</v>
      </c>
      <c r="N14" s="84">
        <v>3</v>
      </c>
      <c r="O14" s="365">
        <v>11</v>
      </c>
      <c r="P14" s="360" t="e">
        <f t="shared" ca="1" si="26"/>
        <v>#REF!</v>
      </c>
      <c r="Q14" s="360" t="e">
        <f ca="1">ROUND(MIN((BD14-VLOOKUP(R14,$B$22:$F$46,2,FALSE))/(VLOOKUP(R14,$B$22:$F$46,3,FALSE)-VLOOKUP(R14,$B$22:$F$46,2,FALSE)),1)*((VLOOKUP(R14,$B$22:$F$46,4,FALSE)*(AG14/(AG14+VLOOKUP(P14,$D$49:$F$123,3,TRUE)))+VLOOKUP(R14,$B$22:$F$46,5,FALSE)*(1-AG14/(AG14+VLOOKUP(P14,$D$49:$F$123,3,TRUE))))/2)*游戏时长规划!$C$4,0)</f>
        <v>#REF!</v>
      </c>
      <c r="R14" s="360" t="e">
        <f t="shared" ca="1" si="0"/>
        <v>#REF!</v>
      </c>
      <c r="S14" s="360" t="e">
        <f t="shared" ca="1" si="27"/>
        <v>#REF!</v>
      </c>
      <c r="T14" s="360" t="e">
        <f t="shared" ca="1" si="28"/>
        <v>#REF!</v>
      </c>
      <c r="U14" s="370" t="e">
        <f t="shared" ca="1" si="1"/>
        <v>#REF!</v>
      </c>
      <c r="V14" s="363" t="e">
        <f t="shared" ca="1" si="2"/>
        <v>#REF!</v>
      </c>
      <c r="W14" s="360" t="e">
        <f t="shared" ca="1" si="3"/>
        <v>#REF!</v>
      </c>
      <c r="X14" s="81" t="e">
        <f t="shared" ca="1" si="19"/>
        <v>#REF!</v>
      </c>
      <c r="Y14" s="360" t="str">
        <f t="shared" ca="1" si="4"/>
        <v>NULL</v>
      </c>
      <c r="Z14" s="375" t="e">
        <f t="shared" ca="1" si="20"/>
        <v>#REF!</v>
      </c>
      <c r="AA14" s="360">
        <f ca="1">IFERROR(VLOOKUP(IF(V14="T1低",游戏时长规划!$C$67+Z14,Z14),INDIRECT(V14&amp;"星级"),2,TRUE),0)</f>
        <v>0</v>
      </c>
      <c r="AB14" s="375" t="e">
        <f t="shared" ca="1" si="5"/>
        <v>#REF!</v>
      </c>
      <c r="AC14" s="375">
        <f ca="1">($D$14+$D$17)*$L$4/坦克部件养成!$C$2+AC13-IFERROR(IF(RIGHT(AD13,3)*1&gt;RIGHT(VLOOKUP(AC13,INDIRECT(LEFT(AD12,2)&amp;"部件升阶"),5,TRUE),3)*1,VLOOKUP(AD12,INDIRECT(LEFT(AD12,2)&amp;"部件升阶消耗"),2,FALSE),0),0)</f>
        <v>130.16666666666666</v>
      </c>
      <c r="AD14" s="360" t="e">
        <f t="shared" ca="1" si="6"/>
        <v>#REF!</v>
      </c>
      <c r="AE14" s="375" t="e">
        <f ca="1">$D$15*$L$4/坦克部件养成!$C$2+AE13-IF(LEFT(AD14,2)&lt;&gt;LEFT(AD13,2),VLOOKUP(AF13,INDIRECT(LEFT(AD13,2)&amp;"部件升级消耗"),5,FALSE),0)</f>
        <v>#REF!</v>
      </c>
      <c r="AF14" s="360" t="e">
        <f ca="1">MIN(VLOOKUP(AE14,INDIRECT(LEFT(AD14,2)&amp;"部件升级"),2,TRUE),VLOOKUP(LEFT(AD14,2),坦克部件养成!#REF!,6,FALSE))</f>
        <v>#REF!</v>
      </c>
      <c r="AG14" s="378" t="e">
        <f ca="1">MAX(BD$4:BD14)</f>
        <v>#REF!</v>
      </c>
      <c r="AH14" s="378" t="str">
        <f t="shared" ca="1" si="7"/>
        <v/>
      </c>
      <c r="AI14" s="378">
        <f ca="1">IF(Y14="NULL",0,MAX(BY$4:BY14))</f>
        <v>0</v>
      </c>
      <c r="AK14" s="364" t="e">
        <f t="shared" ca="1" si="8"/>
        <v>#REF!</v>
      </c>
      <c r="AL14" s="364" t="e">
        <f ca="1">VLOOKUP(AK14,坦克个性化设定!$B$18:$F$48,5,FALSE)</f>
        <v>#REF!</v>
      </c>
      <c r="AM14" s="372" t="e">
        <f t="shared" ca="1" si="9"/>
        <v>#REF!</v>
      </c>
      <c r="AN14" s="372" t="e">
        <f t="shared" ca="1" si="21"/>
        <v>#REF!</v>
      </c>
      <c r="AO14" s="364">
        <f t="shared" ca="1" si="10"/>
        <v>0</v>
      </c>
      <c r="AP14" s="372" t="e">
        <f ca="1">VLOOKUP($AK14&amp;$AO14,所有坦克升星属性,MATCH(AP$3,所有坦克升星属性标头,0),FALSE)+ROUND(AU14/VLOOKUP($AK14,坦克部件!#REF!,4,FALSE)*VLOOKUP($AK14&amp;0,所有坦克升星属性,MATCH(AP$3,所有坦克升星属性标头,0),FALSE),0)</f>
        <v>#REF!</v>
      </c>
      <c r="AQ14" s="372" t="e">
        <f ca="1">VLOOKUP($AK14&amp;$AO14,所有坦克升星属性,MATCH(AQ$3,所有坦克升星属性标头,0),FALSE)+ROUND(AV14/VLOOKUP($AK14,坦克部件!#REF!,4,FALSE)*VLOOKUP($AK14&amp;0,所有坦克升星属性,MATCH(AQ$3,所有坦克升星属性标头,0),FALSE),0)</f>
        <v>#REF!</v>
      </c>
      <c r="AR14" s="372" t="e">
        <f t="shared" ca="1" si="11"/>
        <v>#REF!</v>
      </c>
      <c r="AS14" s="372" t="e">
        <f t="shared" ca="1" si="11"/>
        <v>#REF!</v>
      </c>
      <c r="AT14" s="372" t="e">
        <f ca="1">VLOOKUP($AK14&amp;$AO14,所有坦克升星属性,MATCH(AT$3,所有坦克升星属性标头,0),FALSE)+ROUND(AW14/VLOOKUP($AK14,坦克部件!#REF!,4,FALSE)*VLOOKUP($AK14&amp;0,所有坦克升星属性,MATCH(AT$3,所有坦克升星属性标头,0),FALSE),0)</f>
        <v>#REF!</v>
      </c>
      <c r="AU14" s="372" t="e">
        <f ca="1">(VLOOKUP($AM14,坦克部件!#REF!,MATCH("标准值",坦克部件!#REF!,0),FALSE)+VLOOKUP($AN14,坦克部件!#REF!,MATCH("标准值",坦克部件!#REF!,0),FALSE))*2</f>
        <v>#REF!</v>
      </c>
      <c r="AV14" s="372" t="e">
        <f ca="1">(VLOOKUP($AM14,坦克部件!#REF!,MATCH("标准值",坦克部件!#REF!,0),FALSE)+VLOOKUP($AN14,坦克部件!#REF!,MATCH("标准值",坦克部件!#REF!,0),FALSE))*2</f>
        <v>#REF!</v>
      </c>
      <c r="AW14" s="372" t="e">
        <f ca="1">(VLOOKUP($AM14,坦克部件!#REF!,MATCH("标准值",坦克部件!#REF!,0),FALSE)+VLOOKUP($AN14,坦克部件!#REF!,MATCH("标准值",坦克部件!#REF!,0),FALSE))*2</f>
        <v>#REF!</v>
      </c>
      <c r="AX14" s="372" t="e">
        <f ca="1">VLOOKUP($AK14,坦克属性统计!$B$3:$AY$33,MATCH(AX$3,坦克属性统计!$B$3:$AY$3,0),FALSE)</f>
        <v>#REF!</v>
      </c>
      <c r="AY14" s="372" t="e">
        <f t="shared" ca="1" si="12"/>
        <v>#REF!</v>
      </c>
      <c r="AZ14" s="372" t="e">
        <f t="shared" ca="1" si="12"/>
        <v>#REF!</v>
      </c>
      <c r="BA14" s="372" t="e">
        <f t="shared" ca="1" si="12"/>
        <v>#REF!</v>
      </c>
      <c r="BB14" s="356" t="e">
        <f t="shared" ca="1" si="13"/>
        <v>#REF!</v>
      </c>
      <c r="BC14" s="356" t="e">
        <f ca="1">VLOOKUP(AK14,坦克个性化设定!$B$18:$E$48,4,FALSE)</f>
        <v>#REF!</v>
      </c>
      <c r="BD14" s="357" t="e">
        <f t="shared" ca="1" si="22"/>
        <v>#REF!</v>
      </c>
      <c r="BF14" s="357" t="str">
        <f t="shared" ca="1" si="14"/>
        <v/>
      </c>
      <c r="BG14" s="372" t="str">
        <f ca="1">IFERROR(VLOOKUP(BF14,坦克个性化设定!$B$18:$F$48,5,FALSE),"")</f>
        <v/>
      </c>
      <c r="BH14" s="372" t="e">
        <f t="shared" ca="1" si="23"/>
        <v>#REF!</v>
      </c>
      <c r="BI14" s="372" t="e">
        <f t="shared" ca="1" si="24"/>
        <v>#REF!</v>
      </c>
      <c r="BJ14" s="364" t="str">
        <f t="shared" ca="1" si="15"/>
        <v>NULL</v>
      </c>
      <c r="BK14" s="372" t="e">
        <f ca="1">VLOOKUP($BF14&amp;IF($BJ14="NULL",0,$BJ14),所有坦克升星属性,MATCH(BK$3,所有坦克升星属性标头,0),FALSE)+ROUND(BP14/VLOOKUP($BF14,坦克部件!#REF!,4,FALSE)*VLOOKUP($BF14&amp;0,所有坦克升星属性,MATCH(BK$3,所有坦克升星属性标头,0),FALSE),0)</f>
        <v>#N/A</v>
      </c>
      <c r="BL14" s="372" t="e">
        <f ca="1">VLOOKUP($BF14&amp;IF($BJ14="NULL",0,$BJ14),所有坦克升星属性,MATCH(BL$3,所有坦克升星属性标头,0),FALSE)+ROUND(BQ14/VLOOKUP($BF14,坦克部件!#REF!,4,FALSE)*VLOOKUP($BF14&amp;0,所有坦克升星属性,MATCH(BL$3,所有坦克升星属性标头,0),FALSE),0)</f>
        <v>#N/A</v>
      </c>
      <c r="BM14" s="372" t="e">
        <f t="shared" ca="1" si="16"/>
        <v>#N/A</v>
      </c>
      <c r="BN14" s="372" t="e">
        <f t="shared" ca="1" si="16"/>
        <v>#N/A</v>
      </c>
      <c r="BO14" s="372" t="e">
        <f ca="1">VLOOKUP($BF14&amp;IF($BJ14="NULL",0,$BJ14),所有坦克升星属性,MATCH(BO$3,所有坦克升星属性标头,0),FALSE)+ROUND(BR14/VLOOKUP($BF14,坦克部件!#REF!,4,FALSE)*VLOOKUP($BF14&amp;0,所有坦克升星属性,MATCH(BO$3,所有坦克升星属性标头,0),FALSE),0)</f>
        <v>#N/A</v>
      </c>
      <c r="BP14" s="372" t="e">
        <f ca="1">(VLOOKUP($BH14,坦克部件!#REF!,MATCH("标准值",坦克部件!#REF!,0),FALSE)+VLOOKUP($BI14,坦克部件!#REF!,MATCH("标准值",坦克部件!#REF!,0),FALSE))*2</f>
        <v>#REF!</v>
      </c>
      <c r="BQ14" s="372" t="e">
        <f ca="1">(VLOOKUP($BH14,坦克部件!#REF!,MATCH("标准值",坦克部件!#REF!,0),FALSE)+VLOOKUP($BI14,坦克部件!#REF!,MATCH("标准值",坦克部件!#REF!,0),FALSE))*2</f>
        <v>#REF!</v>
      </c>
      <c r="BR14" s="372" t="e">
        <f ca="1">(VLOOKUP($BH14,坦克部件!#REF!,MATCH("标准值",坦克部件!#REF!,0),FALSE)+VLOOKUP($BI14,坦克部件!#REF!,MATCH("标准值",坦克部件!#REF!,0),FALSE))*2</f>
        <v>#REF!</v>
      </c>
      <c r="BS14" s="372" t="e">
        <f ca="1">VLOOKUP($BF14,坦克属性统计!$B$3:$AY$33,MATCH(BS$3,坦克属性统计!$B$3:$AY$3,0),FALSE)</f>
        <v>#N/A</v>
      </c>
      <c r="BT14" s="372" t="e">
        <f t="shared" ca="1" si="17"/>
        <v>#N/A</v>
      </c>
      <c r="BU14" s="372" t="e">
        <f t="shared" ca="1" si="17"/>
        <v>#N/A</v>
      </c>
      <c r="BV14" s="372" t="e">
        <f t="shared" ca="1" si="17"/>
        <v>#N/A</v>
      </c>
      <c r="BW14" s="356">
        <f t="shared" ca="1" si="18"/>
        <v>0</v>
      </c>
      <c r="BX14" s="356" t="e">
        <f ca="1">VLOOKUP(BF14,坦克个性化设定!$B$18:$E$48,4,FALSE)</f>
        <v>#N/A</v>
      </c>
      <c r="BY14" s="357" t="e">
        <f t="shared" ca="1" si="25"/>
        <v>#N/A</v>
      </c>
    </row>
    <row r="15" spans="2:77" x14ac:dyDescent="0.35">
      <c r="B15" s="539" t="s">
        <v>2440</v>
      </c>
      <c r="C15" s="360">
        <v>0.5</v>
      </c>
      <c r="D15" s="360">
        <f>$C$4*C15</f>
        <v>62.708333333333314</v>
      </c>
      <c r="E15" s="553">
        <f>D15/基础经济系数!$C$3</f>
        <v>0.10451388888888885</v>
      </c>
      <c r="N15" s="84">
        <v>3</v>
      </c>
      <c r="O15" s="365">
        <v>12</v>
      </c>
      <c r="P15" s="360" t="e">
        <f t="shared" ca="1" si="26"/>
        <v>#REF!</v>
      </c>
      <c r="Q15" s="360" t="e">
        <f ca="1">ROUND(MIN((BD15-VLOOKUP(R15,$B$22:$F$46,2,FALSE))/(VLOOKUP(R15,$B$22:$F$46,3,FALSE)-VLOOKUP(R15,$B$22:$F$46,2,FALSE)),1)*((VLOOKUP(R15,$B$22:$F$46,4,FALSE)*(AG15/(AG15+VLOOKUP(P15,$D$49:$F$123,3,TRUE)))+VLOOKUP(R15,$B$22:$F$46,5,FALSE)*(1-AG15/(AG15+VLOOKUP(P15,$D$49:$F$123,3,TRUE))))/2)*游戏时长规划!$C$4,0)</f>
        <v>#REF!</v>
      </c>
      <c r="R15" s="360" t="e">
        <f t="shared" ca="1" si="0"/>
        <v>#REF!</v>
      </c>
      <c r="S15" s="360" t="e">
        <f t="shared" ca="1" si="27"/>
        <v>#REF!</v>
      </c>
      <c r="T15" s="360" t="e">
        <f t="shared" ca="1" si="28"/>
        <v>#REF!</v>
      </c>
      <c r="U15" s="370" t="e">
        <f t="shared" ca="1" si="1"/>
        <v>#REF!</v>
      </c>
      <c r="V15" s="363" t="e">
        <f t="shared" ca="1" si="2"/>
        <v>#REF!</v>
      </c>
      <c r="W15" s="360" t="e">
        <f t="shared" ca="1" si="3"/>
        <v>#REF!</v>
      </c>
      <c r="X15" s="81" t="e">
        <f t="shared" ca="1" si="19"/>
        <v>#REF!</v>
      </c>
      <c r="Y15" s="360" t="str">
        <f t="shared" ca="1" si="4"/>
        <v>NULL</v>
      </c>
      <c r="Z15" s="375" t="e">
        <f t="shared" ca="1" si="20"/>
        <v>#REF!</v>
      </c>
      <c r="AA15" s="360">
        <f ca="1">IFERROR(VLOOKUP(IF(V15="T1低",游戏时长规划!$C$67+Z15,Z15),INDIRECT(V15&amp;"星级"),2,TRUE),0)</f>
        <v>0</v>
      </c>
      <c r="AB15" s="375" t="e">
        <f t="shared" ca="1" si="5"/>
        <v>#REF!</v>
      </c>
      <c r="AC15" s="375">
        <f ca="1">($D$14+$D$17)*$L$4/坦克部件养成!$C$2+AC14-IFERROR(IF(RIGHT(AD14,3)*1&gt;RIGHT(VLOOKUP(AC14,INDIRECT(LEFT(AD13,2)&amp;"部件升阶"),5,TRUE),3)*1,VLOOKUP(AD13,INDIRECT(LEFT(AD13,2)&amp;"部件升阶消耗"),2,FALSE),0),0)</f>
        <v>142</v>
      </c>
      <c r="AD15" s="360" t="e">
        <f t="shared" ca="1" si="6"/>
        <v>#REF!</v>
      </c>
      <c r="AE15" s="375" t="e">
        <f ca="1">$D$15*$L$4/坦克部件养成!$C$2+AE14-IF(LEFT(AD15,2)&lt;&gt;LEFT(AD14,2),VLOOKUP(AF14,INDIRECT(LEFT(AD14,2)&amp;"部件升级消耗"),5,FALSE),0)</f>
        <v>#REF!</v>
      </c>
      <c r="AF15" s="360" t="e">
        <f ca="1">MIN(VLOOKUP(AE15,INDIRECT(LEFT(AD15,2)&amp;"部件升级"),2,TRUE),VLOOKUP(LEFT(AD15,2),坦克部件养成!#REF!,6,FALSE))</f>
        <v>#REF!</v>
      </c>
      <c r="AG15" s="378" t="e">
        <f ca="1">MAX(BD$4:BD15)</f>
        <v>#REF!</v>
      </c>
      <c r="AH15" s="378" t="str">
        <f t="shared" ca="1" si="7"/>
        <v/>
      </c>
      <c r="AI15" s="378">
        <f ca="1">IF(Y15="NULL",0,MAX(BY$4:BY15))</f>
        <v>0</v>
      </c>
      <c r="AK15" s="364" t="e">
        <f t="shared" ca="1" si="8"/>
        <v>#REF!</v>
      </c>
      <c r="AL15" s="364" t="e">
        <f ca="1">VLOOKUP(AK15,坦克个性化设定!$B$18:$F$48,5,FALSE)</f>
        <v>#REF!</v>
      </c>
      <c r="AM15" s="372" t="e">
        <f t="shared" ca="1" si="9"/>
        <v>#REF!</v>
      </c>
      <c r="AN15" s="372" t="e">
        <f t="shared" ca="1" si="21"/>
        <v>#REF!</v>
      </c>
      <c r="AO15" s="364">
        <f t="shared" ca="1" si="10"/>
        <v>0</v>
      </c>
      <c r="AP15" s="372" t="e">
        <f ca="1">VLOOKUP($AK15&amp;$AO15,所有坦克升星属性,MATCH(AP$3,所有坦克升星属性标头,0),FALSE)+ROUND(AU15/VLOOKUP($AK15,坦克部件!#REF!,4,FALSE)*VLOOKUP($AK15&amp;0,所有坦克升星属性,MATCH(AP$3,所有坦克升星属性标头,0),FALSE),0)</f>
        <v>#REF!</v>
      </c>
      <c r="AQ15" s="372" t="e">
        <f ca="1">VLOOKUP($AK15&amp;$AO15,所有坦克升星属性,MATCH(AQ$3,所有坦克升星属性标头,0),FALSE)+ROUND(AV15/VLOOKUP($AK15,坦克部件!#REF!,4,FALSE)*VLOOKUP($AK15&amp;0,所有坦克升星属性,MATCH(AQ$3,所有坦克升星属性标头,0),FALSE),0)</f>
        <v>#REF!</v>
      </c>
      <c r="AR15" s="372" t="e">
        <f t="shared" ca="1" si="11"/>
        <v>#REF!</v>
      </c>
      <c r="AS15" s="372" t="e">
        <f t="shared" ca="1" si="11"/>
        <v>#REF!</v>
      </c>
      <c r="AT15" s="372" t="e">
        <f ca="1">VLOOKUP($AK15&amp;$AO15,所有坦克升星属性,MATCH(AT$3,所有坦克升星属性标头,0),FALSE)+ROUND(AW15/VLOOKUP($AK15,坦克部件!#REF!,4,FALSE)*VLOOKUP($AK15&amp;0,所有坦克升星属性,MATCH(AT$3,所有坦克升星属性标头,0),FALSE),0)</f>
        <v>#REF!</v>
      </c>
      <c r="AU15" s="372" t="e">
        <f ca="1">(VLOOKUP($AM15,坦克部件!#REF!,MATCH("标准值",坦克部件!#REF!,0),FALSE)+VLOOKUP($AN15,坦克部件!#REF!,MATCH("标准值",坦克部件!#REF!,0),FALSE))*2</f>
        <v>#REF!</v>
      </c>
      <c r="AV15" s="372" t="e">
        <f ca="1">(VLOOKUP($AM15,坦克部件!#REF!,MATCH("标准值",坦克部件!#REF!,0),FALSE)+VLOOKUP($AN15,坦克部件!#REF!,MATCH("标准值",坦克部件!#REF!,0),FALSE))*2</f>
        <v>#REF!</v>
      </c>
      <c r="AW15" s="372" t="e">
        <f ca="1">(VLOOKUP($AM15,坦克部件!#REF!,MATCH("标准值",坦克部件!#REF!,0),FALSE)+VLOOKUP($AN15,坦克部件!#REF!,MATCH("标准值",坦克部件!#REF!,0),FALSE))*2</f>
        <v>#REF!</v>
      </c>
      <c r="AX15" s="372" t="e">
        <f ca="1">VLOOKUP($AK15,坦克属性统计!$B$3:$AY$33,MATCH(AX$3,坦克属性统计!$B$3:$AY$3,0),FALSE)</f>
        <v>#REF!</v>
      </c>
      <c r="AY15" s="372" t="e">
        <f t="shared" ca="1" si="12"/>
        <v>#REF!</v>
      </c>
      <c r="AZ15" s="372" t="e">
        <f t="shared" ca="1" si="12"/>
        <v>#REF!</v>
      </c>
      <c r="BA15" s="372" t="e">
        <f t="shared" ca="1" si="12"/>
        <v>#REF!</v>
      </c>
      <c r="BB15" s="356" t="e">
        <f t="shared" ca="1" si="13"/>
        <v>#REF!</v>
      </c>
      <c r="BC15" s="356" t="e">
        <f ca="1">VLOOKUP(AK15,坦克个性化设定!$B$18:$E$48,4,FALSE)</f>
        <v>#REF!</v>
      </c>
      <c r="BD15" s="357" t="e">
        <f t="shared" ca="1" si="22"/>
        <v>#REF!</v>
      </c>
      <c r="BF15" s="357" t="str">
        <f t="shared" ca="1" si="14"/>
        <v/>
      </c>
      <c r="BG15" s="372" t="str">
        <f ca="1">IFERROR(VLOOKUP(BF15,坦克个性化设定!$B$18:$F$48,5,FALSE),"")</f>
        <v/>
      </c>
      <c r="BH15" s="372" t="e">
        <f t="shared" ca="1" si="23"/>
        <v>#REF!</v>
      </c>
      <c r="BI15" s="372" t="e">
        <f t="shared" ca="1" si="24"/>
        <v>#REF!</v>
      </c>
      <c r="BJ15" s="364" t="str">
        <f t="shared" ca="1" si="15"/>
        <v>NULL</v>
      </c>
      <c r="BK15" s="372" t="e">
        <f ca="1">VLOOKUP($BF15&amp;IF($BJ15="NULL",0,$BJ15),所有坦克升星属性,MATCH(BK$3,所有坦克升星属性标头,0),FALSE)+ROUND(BP15/VLOOKUP($BF15,坦克部件!#REF!,4,FALSE)*VLOOKUP($BF15&amp;0,所有坦克升星属性,MATCH(BK$3,所有坦克升星属性标头,0),FALSE),0)</f>
        <v>#N/A</v>
      </c>
      <c r="BL15" s="372" t="e">
        <f ca="1">VLOOKUP($BF15&amp;IF($BJ15="NULL",0,$BJ15),所有坦克升星属性,MATCH(BL$3,所有坦克升星属性标头,0),FALSE)+ROUND(BQ15/VLOOKUP($BF15,坦克部件!#REF!,4,FALSE)*VLOOKUP($BF15&amp;0,所有坦克升星属性,MATCH(BL$3,所有坦克升星属性标头,0),FALSE),0)</f>
        <v>#N/A</v>
      </c>
      <c r="BM15" s="372" t="e">
        <f t="shared" ca="1" si="16"/>
        <v>#N/A</v>
      </c>
      <c r="BN15" s="372" t="e">
        <f t="shared" ca="1" si="16"/>
        <v>#N/A</v>
      </c>
      <c r="BO15" s="372" t="e">
        <f ca="1">VLOOKUP($BF15&amp;IF($BJ15="NULL",0,$BJ15),所有坦克升星属性,MATCH(BO$3,所有坦克升星属性标头,0),FALSE)+ROUND(BR15/VLOOKUP($BF15,坦克部件!#REF!,4,FALSE)*VLOOKUP($BF15&amp;0,所有坦克升星属性,MATCH(BO$3,所有坦克升星属性标头,0),FALSE),0)</f>
        <v>#N/A</v>
      </c>
      <c r="BP15" s="372" t="e">
        <f ca="1">(VLOOKUP($BH15,坦克部件!#REF!,MATCH("标准值",坦克部件!#REF!,0),FALSE)+VLOOKUP($BI15,坦克部件!#REF!,MATCH("标准值",坦克部件!#REF!,0),FALSE))*2</f>
        <v>#REF!</v>
      </c>
      <c r="BQ15" s="372" t="e">
        <f ca="1">(VLOOKUP($BH15,坦克部件!#REF!,MATCH("标准值",坦克部件!#REF!,0),FALSE)+VLOOKUP($BI15,坦克部件!#REF!,MATCH("标准值",坦克部件!#REF!,0),FALSE))*2</f>
        <v>#REF!</v>
      </c>
      <c r="BR15" s="372" t="e">
        <f ca="1">(VLOOKUP($BH15,坦克部件!#REF!,MATCH("标准值",坦克部件!#REF!,0),FALSE)+VLOOKUP($BI15,坦克部件!#REF!,MATCH("标准值",坦克部件!#REF!,0),FALSE))*2</f>
        <v>#REF!</v>
      </c>
      <c r="BS15" s="372" t="e">
        <f ca="1">VLOOKUP($BF15,坦克属性统计!$B$3:$AY$33,MATCH(BS$3,坦克属性统计!$B$3:$AY$3,0),FALSE)</f>
        <v>#N/A</v>
      </c>
      <c r="BT15" s="372" t="e">
        <f t="shared" ca="1" si="17"/>
        <v>#N/A</v>
      </c>
      <c r="BU15" s="372" t="e">
        <f t="shared" ca="1" si="17"/>
        <v>#N/A</v>
      </c>
      <c r="BV15" s="372" t="e">
        <f t="shared" ca="1" si="17"/>
        <v>#N/A</v>
      </c>
      <c r="BW15" s="356">
        <f t="shared" ca="1" si="18"/>
        <v>0</v>
      </c>
      <c r="BX15" s="356" t="e">
        <f ca="1">VLOOKUP(BF15,坦克个性化设定!$B$18:$E$48,4,FALSE)</f>
        <v>#N/A</v>
      </c>
      <c r="BY15" s="357" t="e">
        <f t="shared" ca="1" si="25"/>
        <v>#N/A</v>
      </c>
    </row>
    <row r="16" spans="2:77" x14ac:dyDescent="0.35">
      <c r="B16" s="550" t="s">
        <v>2532</v>
      </c>
      <c r="C16" s="360">
        <v>0.2</v>
      </c>
      <c r="D16" s="360">
        <f>$C$4*C16</f>
        <v>25.083333333333329</v>
      </c>
      <c r="E16" s="553">
        <f>D16/基础经济系数!$C$3</f>
        <v>4.1805555555555547E-2</v>
      </c>
      <c r="H16" s="374" t="s">
        <v>1793</v>
      </c>
      <c r="I16" s="374" t="s">
        <v>1784</v>
      </c>
      <c r="J16" s="374" t="s">
        <v>1794</v>
      </c>
      <c r="K16" s="550" t="s">
        <v>2546</v>
      </c>
      <c r="N16" s="84">
        <v>3</v>
      </c>
      <c r="O16" s="365">
        <v>13</v>
      </c>
      <c r="P16" s="360" t="e">
        <f t="shared" ca="1" si="26"/>
        <v>#REF!</v>
      </c>
      <c r="Q16" s="360" t="e">
        <f ca="1">ROUND(MIN((BD16-VLOOKUP(R16,$B$22:$F$46,2,FALSE))/(VLOOKUP(R16,$B$22:$F$46,3,FALSE)-VLOOKUP(R16,$B$22:$F$46,2,FALSE)),1)*((VLOOKUP(R16,$B$22:$F$46,4,FALSE)*(AG16/(AG16+VLOOKUP(P16,$D$49:$F$123,3,TRUE)))+VLOOKUP(R16,$B$22:$F$46,5,FALSE)*(1-AG16/(AG16+VLOOKUP(P16,$D$49:$F$123,3,TRUE))))/2)*游戏时长规划!$C$4,0)</f>
        <v>#REF!</v>
      </c>
      <c r="R16" s="360" t="e">
        <f t="shared" ca="1" si="0"/>
        <v>#REF!</v>
      </c>
      <c r="S16" s="360" t="e">
        <f t="shared" ca="1" si="27"/>
        <v>#REF!</v>
      </c>
      <c r="T16" s="360" t="e">
        <f t="shared" ca="1" si="28"/>
        <v>#REF!</v>
      </c>
      <c r="U16" s="370" t="e">
        <f t="shared" ca="1" si="1"/>
        <v>#REF!</v>
      </c>
      <c r="V16" s="363" t="e">
        <f t="shared" ca="1" si="2"/>
        <v>#REF!</v>
      </c>
      <c r="W16" s="360" t="e">
        <f t="shared" ca="1" si="3"/>
        <v>#REF!</v>
      </c>
      <c r="X16" s="81" t="e">
        <f t="shared" ca="1" si="19"/>
        <v>#REF!</v>
      </c>
      <c r="Y16" s="360" t="str">
        <f t="shared" ca="1" si="4"/>
        <v>NULL</v>
      </c>
      <c r="Z16" s="375" t="e">
        <f t="shared" ca="1" si="20"/>
        <v>#REF!</v>
      </c>
      <c r="AA16" s="360">
        <f ca="1">IFERROR(VLOOKUP(IF(V16="T1低",游戏时长规划!$C$67+Z16,Z16),INDIRECT(V16&amp;"星级"),2,TRUE),0)</f>
        <v>0</v>
      </c>
      <c r="AB16" s="375" t="e">
        <f t="shared" ca="1" si="5"/>
        <v>#REF!</v>
      </c>
      <c r="AC16" s="375">
        <f ca="1">($D$14+$D$17)*$L$4/坦克部件养成!$C$2+AC15-IFERROR(IF(RIGHT(AD15,3)*1&gt;RIGHT(VLOOKUP(AC15,INDIRECT(LEFT(AD14,2)&amp;"部件升阶"),5,TRUE),3)*1,VLOOKUP(AD14,INDIRECT(LEFT(AD14,2)&amp;"部件升阶消耗"),2,FALSE),0),0)</f>
        <v>153.83333333333334</v>
      </c>
      <c r="AD16" s="360" t="e">
        <f t="shared" ca="1" si="6"/>
        <v>#REF!</v>
      </c>
      <c r="AE16" s="375" t="e">
        <f ca="1">$D$15*$L$4/坦克部件养成!$C$2+AE15-IF(LEFT(AD16,2)&lt;&gt;LEFT(AD15,2),VLOOKUP(AF15,INDIRECT(LEFT(AD15,2)&amp;"部件升级消耗"),5,FALSE),0)</f>
        <v>#REF!</v>
      </c>
      <c r="AF16" s="360" t="e">
        <f ca="1">MIN(VLOOKUP(AE16,INDIRECT(LEFT(AD16,2)&amp;"部件升级"),2,TRUE),VLOOKUP(LEFT(AD16,2),坦克部件养成!#REF!,6,FALSE))</f>
        <v>#REF!</v>
      </c>
      <c r="AG16" s="378" t="e">
        <f ca="1">MAX(BD$4:BD16)</f>
        <v>#REF!</v>
      </c>
      <c r="AH16" s="378" t="str">
        <f t="shared" ca="1" si="7"/>
        <v/>
      </c>
      <c r="AI16" s="378">
        <f ca="1">IF(Y16="NULL",0,MAX(BY$4:BY16))</f>
        <v>0</v>
      </c>
      <c r="AK16" s="364" t="e">
        <f t="shared" ca="1" si="8"/>
        <v>#REF!</v>
      </c>
      <c r="AL16" s="364" t="e">
        <f ca="1">VLOOKUP(AK16,坦克个性化设定!$B$18:$F$48,5,FALSE)</f>
        <v>#REF!</v>
      </c>
      <c r="AM16" s="372" t="e">
        <f t="shared" ca="1" si="9"/>
        <v>#REF!</v>
      </c>
      <c r="AN16" s="372" t="e">
        <f t="shared" ca="1" si="21"/>
        <v>#REF!</v>
      </c>
      <c r="AO16" s="364">
        <f t="shared" ca="1" si="10"/>
        <v>0</v>
      </c>
      <c r="AP16" s="372" t="e">
        <f ca="1">VLOOKUP($AK16&amp;$AO16,所有坦克升星属性,MATCH(AP$3,所有坦克升星属性标头,0),FALSE)+ROUND(AU16/VLOOKUP($AK16,坦克部件!#REF!,4,FALSE)*VLOOKUP($AK16&amp;0,所有坦克升星属性,MATCH(AP$3,所有坦克升星属性标头,0),FALSE),0)</f>
        <v>#REF!</v>
      </c>
      <c r="AQ16" s="372" t="e">
        <f ca="1">VLOOKUP($AK16&amp;$AO16,所有坦克升星属性,MATCH(AQ$3,所有坦克升星属性标头,0),FALSE)+ROUND(AV16/VLOOKUP($AK16,坦克部件!#REF!,4,FALSE)*VLOOKUP($AK16&amp;0,所有坦克升星属性,MATCH(AQ$3,所有坦克升星属性标头,0),FALSE),0)</f>
        <v>#REF!</v>
      </c>
      <c r="AR16" s="372" t="e">
        <f t="shared" ca="1" si="11"/>
        <v>#REF!</v>
      </c>
      <c r="AS16" s="372" t="e">
        <f t="shared" ca="1" si="11"/>
        <v>#REF!</v>
      </c>
      <c r="AT16" s="372" t="e">
        <f ca="1">VLOOKUP($AK16&amp;$AO16,所有坦克升星属性,MATCH(AT$3,所有坦克升星属性标头,0),FALSE)+ROUND(AW16/VLOOKUP($AK16,坦克部件!#REF!,4,FALSE)*VLOOKUP($AK16&amp;0,所有坦克升星属性,MATCH(AT$3,所有坦克升星属性标头,0),FALSE),0)</f>
        <v>#REF!</v>
      </c>
      <c r="AU16" s="372" t="e">
        <f ca="1">(VLOOKUP($AM16,坦克部件!#REF!,MATCH("标准值",坦克部件!#REF!,0),FALSE)+VLOOKUP($AN16,坦克部件!#REF!,MATCH("标准值",坦克部件!#REF!,0),FALSE))*2</f>
        <v>#REF!</v>
      </c>
      <c r="AV16" s="372" t="e">
        <f ca="1">(VLOOKUP($AM16,坦克部件!#REF!,MATCH("标准值",坦克部件!#REF!,0),FALSE)+VLOOKUP($AN16,坦克部件!#REF!,MATCH("标准值",坦克部件!#REF!,0),FALSE))*2</f>
        <v>#REF!</v>
      </c>
      <c r="AW16" s="372" t="e">
        <f ca="1">(VLOOKUP($AM16,坦克部件!#REF!,MATCH("标准值",坦克部件!#REF!,0),FALSE)+VLOOKUP($AN16,坦克部件!#REF!,MATCH("标准值",坦克部件!#REF!,0),FALSE))*2</f>
        <v>#REF!</v>
      </c>
      <c r="AX16" s="372" t="e">
        <f ca="1">VLOOKUP($AK16,坦克属性统计!$B$3:$AY$33,MATCH(AX$3,坦克属性统计!$B$3:$AY$3,0),FALSE)</f>
        <v>#REF!</v>
      </c>
      <c r="AY16" s="372" t="e">
        <f t="shared" ca="1" si="12"/>
        <v>#REF!</v>
      </c>
      <c r="AZ16" s="372" t="e">
        <f t="shared" ca="1" si="12"/>
        <v>#REF!</v>
      </c>
      <c r="BA16" s="372" t="e">
        <f t="shared" ca="1" si="12"/>
        <v>#REF!</v>
      </c>
      <c r="BB16" s="356" t="e">
        <f t="shared" ca="1" si="13"/>
        <v>#REF!</v>
      </c>
      <c r="BC16" s="356" t="e">
        <f ca="1">VLOOKUP(AK16,坦克个性化设定!$B$18:$E$48,4,FALSE)</f>
        <v>#REF!</v>
      </c>
      <c r="BD16" s="357" t="e">
        <f t="shared" ca="1" si="22"/>
        <v>#REF!</v>
      </c>
      <c r="BF16" s="357" t="str">
        <f t="shared" ca="1" si="14"/>
        <v/>
      </c>
      <c r="BG16" s="372" t="str">
        <f ca="1">IFERROR(VLOOKUP(BF16,坦克个性化设定!$B$18:$F$48,5,FALSE),"")</f>
        <v/>
      </c>
      <c r="BH16" s="372" t="e">
        <f t="shared" ca="1" si="23"/>
        <v>#REF!</v>
      </c>
      <c r="BI16" s="372" t="e">
        <f t="shared" ca="1" si="24"/>
        <v>#REF!</v>
      </c>
      <c r="BJ16" s="364" t="str">
        <f t="shared" ca="1" si="15"/>
        <v>NULL</v>
      </c>
      <c r="BK16" s="372" t="e">
        <f ca="1">VLOOKUP($BF16&amp;IF($BJ16="NULL",0,$BJ16),所有坦克升星属性,MATCH(BK$3,所有坦克升星属性标头,0),FALSE)+ROUND(BP16/VLOOKUP($BF16,坦克部件!#REF!,4,FALSE)*VLOOKUP($BF16&amp;0,所有坦克升星属性,MATCH(BK$3,所有坦克升星属性标头,0),FALSE),0)</f>
        <v>#N/A</v>
      </c>
      <c r="BL16" s="372" t="e">
        <f ca="1">VLOOKUP($BF16&amp;IF($BJ16="NULL",0,$BJ16),所有坦克升星属性,MATCH(BL$3,所有坦克升星属性标头,0),FALSE)+ROUND(BQ16/VLOOKUP($BF16,坦克部件!#REF!,4,FALSE)*VLOOKUP($BF16&amp;0,所有坦克升星属性,MATCH(BL$3,所有坦克升星属性标头,0),FALSE),0)</f>
        <v>#N/A</v>
      </c>
      <c r="BM16" s="372" t="e">
        <f t="shared" ca="1" si="16"/>
        <v>#N/A</v>
      </c>
      <c r="BN16" s="372" t="e">
        <f t="shared" ca="1" si="16"/>
        <v>#N/A</v>
      </c>
      <c r="BO16" s="372" t="e">
        <f ca="1">VLOOKUP($BF16&amp;IF($BJ16="NULL",0,$BJ16),所有坦克升星属性,MATCH(BO$3,所有坦克升星属性标头,0),FALSE)+ROUND(BR16/VLOOKUP($BF16,坦克部件!#REF!,4,FALSE)*VLOOKUP($BF16&amp;0,所有坦克升星属性,MATCH(BO$3,所有坦克升星属性标头,0),FALSE),0)</f>
        <v>#N/A</v>
      </c>
      <c r="BP16" s="372" t="e">
        <f ca="1">(VLOOKUP($BH16,坦克部件!#REF!,MATCH("标准值",坦克部件!#REF!,0),FALSE)+VLOOKUP($BI16,坦克部件!#REF!,MATCH("标准值",坦克部件!#REF!,0),FALSE))*2</f>
        <v>#REF!</v>
      </c>
      <c r="BQ16" s="372" t="e">
        <f ca="1">(VLOOKUP($BH16,坦克部件!#REF!,MATCH("标准值",坦克部件!#REF!,0),FALSE)+VLOOKUP($BI16,坦克部件!#REF!,MATCH("标准值",坦克部件!#REF!,0),FALSE))*2</f>
        <v>#REF!</v>
      </c>
      <c r="BR16" s="372" t="e">
        <f ca="1">(VLOOKUP($BH16,坦克部件!#REF!,MATCH("标准值",坦克部件!#REF!,0),FALSE)+VLOOKUP($BI16,坦克部件!#REF!,MATCH("标准值",坦克部件!#REF!,0),FALSE))*2</f>
        <v>#REF!</v>
      </c>
      <c r="BS16" s="372" t="e">
        <f ca="1">VLOOKUP($BF16,坦克属性统计!$B$3:$AY$33,MATCH(BS$3,坦克属性统计!$B$3:$AY$3,0),FALSE)</f>
        <v>#N/A</v>
      </c>
      <c r="BT16" s="372" t="e">
        <f t="shared" ca="1" si="17"/>
        <v>#N/A</v>
      </c>
      <c r="BU16" s="372" t="e">
        <f t="shared" ca="1" si="17"/>
        <v>#N/A</v>
      </c>
      <c r="BV16" s="372" t="e">
        <f t="shared" ca="1" si="17"/>
        <v>#N/A</v>
      </c>
      <c r="BW16" s="356">
        <f t="shared" ca="1" si="18"/>
        <v>0</v>
      </c>
      <c r="BX16" s="356" t="e">
        <f ca="1">VLOOKUP(BF16,坦克个性化设定!$B$18:$E$48,4,FALSE)</f>
        <v>#N/A</v>
      </c>
      <c r="BY16" s="357" t="e">
        <f t="shared" ca="1" si="25"/>
        <v>#N/A</v>
      </c>
    </row>
    <row r="17" spans="2:77" x14ac:dyDescent="0.35">
      <c r="B17" s="550" t="s">
        <v>2533</v>
      </c>
      <c r="C17" s="360">
        <v>0.3</v>
      </c>
      <c r="D17" s="360">
        <f>$C$4*C17</f>
        <v>37.624999999999986</v>
      </c>
      <c r="E17" s="553">
        <f>D17/基础经济系数!$C$3</f>
        <v>6.270833333333331E-2</v>
      </c>
      <c r="H17" s="362">
        <v>1</v>
      </c>
      <c r="I17" s="360" t="s">
        <v>1102</v>
      </c>
      <c r="J17" s="360" t="s">
        <v>1102</v>
      </c>
      <c r="K17" s="557" t="s">
        <v>2550</v>
      </c>
      <c r="N17" s="84">
        <v>3</v>
      </c>
      <c r="O17" s="365">
        <v>14</v>
      </c>
      <c r="P17" s="360" t="e">
        <f t="shared" ca="1" si="26"/>
        <v>#REF!</v>
      </c>
      <c r="Q17" s="360" t="e">
        <f ca="1">ROUND(MIN((BD17-VLOOKUP(R17,$B$22:$F$46,2,FALSE))/(VLOOKUP(R17,$B$22:$F$46,3,FALSE)-VLOOKUP(R17,$B$22:$F$46,2,FALSE)),1)*((VLOOKUP(R17,$B$22:$F$46,4,FALSE)*(AG17/(AG17+VLOOKUP(P17,$D$49:$F$123,3,TRUE)))+VLOOKUP(R17,$B$22:$F$46,5,FALSE)*(1-AG17/(AG17+VLOOKUP(P17,$D$49:$F$123,3,TRUE))))/2)*游戏时长规划!$C$4,0)</f>
        <v>#REF!</v>
      </c>
      <c r="R17" s="360" t="e">
        <f t="shared" ca="1" si="0"/>
        <v>#REF!</v>
      </c>
      <c r="S17" s="360" t="e">
        <f t="shared" ca="1" si="27"/>
        <v>#REF!</v>
      </c>
      <c r="T17" s="360" t="e">
        <f t="shared" ca="1" si="28"/>
        <v>#REF!</v>
      </c>
      <c r="U17" s="370" t="e">
        <f t="shared" ca="1" si="1"/>
        <v>#REF!</v>
      </c>
      <c r="V17" s="363" t="e">
        <f t="shared" ca="1" si="2"/>
        <v>#REF!</v>
      </c>
      <c r="W17" s="360" t="e">
        <f t="shared" ca="1" si="3"/>
        <v>#REF!</v>
      </c>
      <c r="X17" s="81" t="e">
        <f t="shared" ca="1" si="19"/>
        <v>#REF!</v>
      </c>
      <c r="Y17" s="360" t="str">
        <f t="shared" ca="1" si="4"/>
        <v>NULL</v>
      </c>
      <c r="Z17" s="375" t="e">
        <f t="shared" ca="1" si="20"/>
        <v>#REF!</v>
      </c>
      <c r="AA17" s="360">
        <f ca="1">IFERROR(VLOOKUP(IF(V17="T1低",游戏时长规划!$C$67+Z17,Z17),INDIRECT(V17&amp;"星级"),2,TRUE),0)</f>
        <v>0</v>
      </c>
      <c r="AB17" s="375" t="e">
        <f t="shared" ca="1" si="5"/>
        <v>#REF!</v>
      </c>
      <c r="AC17" s="375">
        <f ca="1">($D$14+$D$17)*$L$4/坦克部件养成!$C$2+AC16-IFERROR(IF(RIGHT(AD16,3)*1&gt;RIGHT(VLOOKUP(AC16,INDIRECT(LEFT(AD15,2)&amp;"部件升阶"),5,TRUE),3)*1,VLOOKUP(AD15,INDIRECT(LEFT(AD15,2)&amp;"部件升阶消耗"),2,FALSE),0),0)</f>
        <v>165.66666666666669</v>
      </c>
      <c r="AD17" s="360" t="e">
        <f t="shared" ca="1" si="6"/>
        <v>#REF!</v>
      </c>
      <c r="AE17" s="375" t="e">
        <f ca="1">$D$15*$L$4/坦克部件养成!$C$2+AE16-IF(LEFT(AD17,2)&lt;&gt;LEFT(AD16,2),VLOOKUP(AF16,INDIRECT(LEFT(AD16,2)&amp;"部件升级消耗"),5,FALSE),0)</f>
        <v>#REF!</v>
      </c>
      <c r="AF17" s="360" t="e">
        <f ca="1">MIN(VLOOKUP(AE17,INDIRECT(LEFT(AD17,2)&amp;"部件升级"),2,TRUE),VLOOKUP(LEFT(AD17,2),坦克部件养成!#REF!,6,FALSE))</f>
        <v>#REF!</v>
      </c>
      <c r="AG17" s="378" t="e">
        <f ca="1">MAX(BD$4:BD17)</f>
        <v>#REF!</v>
      </c>
      <c r="AH17" s="378" t="str">
        <f t="shared" ca="1" si="7"/>
        <v/>
      </c>
      <c r="AI17" s="378">
        <f ca="1">IF(Y17="NULL",0,MAX(BY$4:BY17))</f>
        <v>0</v>
      </c>
      <c r="AK17" s="364" t="e">
        <f t="shared" ca="1" si="8"/>
        <v>#REF!</v>
      </c>
      <c r="AL17" s="364" t="e">
        <f ca="1">VLOOKUP(AK17,坦克个性化设定!$B$18:$F$48,5,FALSE)</f>
        <v>#REF!</v>
      </c>
      <c r="AM17" s="372" t="e">
        <f t="shared" ca="1" si="9"/>
        <v>#REF!</v>
      </c>
      <c r="AN17" s="372" t="e">
        <f t="shared" ca="1" si="21"/>
        <v>#REF!</v>
      </c>
      <c r="AO17" s="364">
        <f t="shared" ca="1" si="10"/>
        <v>0</v>
      </c>
      <c r="AP17" s="372" t="e">
        <f ca="1">VLOOKUP($AK17&amp;$AO17,所有坦克升星属性,MATCH(AP$3,所有坦克升星属性标头,0),FALSE)+ROUND(AU17/VLOOKUP($AK17,坦克部件!#REF!,4,FALSE)*VLOOKUP($AK17&amp;0,所有坦克升星属性,MATCH(AP$3,所有坦克升星属性标头,0),FALSE),0)</f>
        <v>#REF!</v>
      </c>
      <c r="AQ17" s="372" t="e">
        <f ca="1">VLOOKUP($AK17&amp;$AO17,所有坦克升星属性,MATCH(AQ$3,所有坦克升星属性标头,0),FALSE)+ROUND(AV17/VLOOKUP($AK17,坦克部件!#REF!,4,FALSE)*VLOOKUP($AK17&amp;0,所有坦克升星属性,MATCH(AQ$3,所有坦克升星属性标头,0),FALSE),0)</f>
        <v>#REF!</v>
      </c>
      <c r="AR17" s="372" t="e">
        <f t="shared" ca="1" si="11"/>
        <v>#REF!</v>
      </c>
      <c r="AS17" s="372" t="e">
        <f t="shared" ca="1" si="11"/>
        <v>#REF!</v>
      </c>
      <c r="AT17" s="372" t="e">
        <f ca="1">VLOOKUP($AK17&amp;$AO17,所有坦克升星属性,MATCH(AT$3,所有坦克升星属性标头,0),FALSE)+ROUND(AW17/VLOOKUP($AK17,坦克部件!#REF!,4,FALSE)*VLOOKUP($AK17&amp;0,所有坦克升星属性,MATCH(AT$3,所有坦克升星属性标头,0),FALSE),0)</f>
        <v>#REF!</v>
      </c>
      <c r="AU17" s="372" t="e">
        <f ca="1">(VLOOKUP($AM17,坦克部件!#REF!,MATCH("标准值",坦克部件!#REF!,0),FALSE)+VLOOKUP($AN17,坦克部件!#REF!,MATCH("标准值",坦克部件!#REF!,0),FALSE))*2</f>
        <v>#REF!</v>
      </c>
      <c r="AV17" s="372" t="e">
        <f ca="1">(VLOOKUP($AM17,坦克部件!#REF!,MATCH("标准值",坦克部件!#REF!,0),FALSE)+VLOOKUP($AN17,坦克部件!#REF!,MATCH("标准值",坦克部件!#REF!,0),FALSE))*2</f>
        <v>#REF!</v>
      </c>
      <c r="AW17" s="372" t="e">
        <f ca="1">(VLOOKUP($AM17,坦克部件!#REF!,MATCH("标准值",坦克部件!#REF!,0),FALSE)+VLOOKUP($AN17,坦克部件!#REF!,MATCH("标准值",坦克部件!#REF!,0),FALSE))*2</f>
        <v>#REF!</v>
      </c>
      <c r="AX17" s="372" t="e">
        <f ca="1">VLOOKUP($AK17,坦克属性统计!$B$3:$AY$33,MATCH(AX$3,坦克属性统计!$B$3:$AY$3,0),FALSE)</f>
        <v>#REF!</v>
      </c>
      <c r="AY17" s="372" t="e">
        <f t="shared" ca="1" si="12"/>
        <v>#REF!</v>
      </c>
      <c r="AZ17" s="372" t="e">
        <f t="shared" ca="1" si="12"/>
        <v>#REF!</v>
      </c>
      <c r="BA17" s="372" t="e">
        <f t="shared" ca="1" si="12"/>
        <v>#REF!</v>
      </c>
      <c r="BB17" s="356" t="e">
        <f t="shared" ca="1" si="13"/>
        <v>#REF!</v>
      </c>
      <c r="BC17" s="356" t="e">
        <f ca="1">VLOOKUP(AK17,坦克个性化设定!$B$18:$E$48,4,FALSE)</f>
        <v>#REF!</v>
      </c>
      <c r="BD17" s="357" t="e">
        <f t="shared" ca="1" si="22"/>
        <v>#REF!</v>
      </c>
      <c r="BF17" s="357" t="str">
        <f t="shared" ca="1" si="14"/>
        <v/>
      </c>
      <c r="BG17" s="372" t="str">
        <f ca="1">IFERROR(VLOOKUP(BF17,坦克个性化设定!$B$18:$F$48,5,FALSE),"")</f>
        <v/>
      </c>
      <c r="BH17" s="372" t="e">
        <f t="shared" ca="1" si="23"/>
        <v>#REF!</v>
      </c>
      <c r="BI17" s="372" t="e">
        <f t="shared" ca="1" si="24"/>
        <v>#REF!</v>
      </c>
      <c r="BJ17" s="364" t="str">
        <f t="shared" ca="1" si="15"/>
        <v>NULL</v>
      </c>
      <c r="BK17" s="372" t="e">
        <f ca="1">VLOOKUP($BF17&amp;IF($BJ17="NULL",0,$BJ17),所有坦克升星属性,MATCH(BK$3,所有坦克升星属性标头,0),FALSE)+ROUND(BP17/VLOOKUP($BF17,坦克部件!#REF!,4,FALSE)*VLOOKUP($BF17&amp;0,所有坦克升星属性,MATCH(BK$3,所有坦克升星属性标头,0),FALSE),0)</f>
        <v>#N/A</v>
      </c>
      <c r="BL17" s="372" t="e">
        <f ca="1">VLOOKUP($BF17&amp;IF($BJ17="NULL",0,$BJ17),所有坦克升星属性,MATCH(BL$3,所有坦克升星属性标头,0),FALSE)+ROUND(BQ17/VLOOKUP($BF17,坦克部件!#REF!,4,FALSE)*VLOOKUP($BF17&amp;0,所有坦克升星属性,MATCH(BL$3,所有坦克升星属性标头,0),FALSE),0)</f>
        <v>#N/A</v>
      </c>
      <c r="BM17" s="372" t="e">
        <f t="shared" ca="1" si="16"/>
        <v>#N/A</v>
      </c>
      <c r="BN17" s="372" t="e">
        <f t="shared" ca="1" si="16"/>
        <v>#N/A</v>
      </c>
      <c r="BO17" s="372" t="e">
        <f ca="1">VLOOKUP($BF17&amp;IF($BJ17="NULL",0,$BJ17),所有坦克升星属性,MATCH(BO$3,所有坦克升星属性标头,0),FALSE)+ROUND(BR17/VLOOKUP($BF17,坦克部件!#REF!,4,FALSE)*VLOOKUP($BF17&amp;0,所有坦克升星属性,MATCH(BO$3,所有坦克升星属性标头,0),FALSE),0)</f>
        <v>#N/A</v>
      </c>
      <c r="BP17" s="372" t="e">
        <f ca="1">(VLOOKUP($BH17,坦克部件!#REF!,MATCH("标准值",坦克部件!#REF!,0),FALSE)+VLOOKUP($BI17,坦克部件!#REF!,MATCH("标准值",坦克部件!#REF!,0),FALSE))*2</f>
        <v>#REF!</v>
      </c>
      <c r="BQ17" s="372" t="e">
        <f ca="1">(VLOOKUP($BH17,坦克部件!#REF!,MATCH("标准值",坦克部件!#REF!,0),FALSE)+VLOOKUP($BI17,坦克部件!#REF!,MATCH("标准值",坦克部件!#REF!,0),FALSE))*2</f>
        <v>#REF!</v>
      </c>
      <c r="BR17" s="372" t="e">
        <f ca="1">(VLOOKUP($BH17,坦克部件!#REF!,MATCH("标准值",坦克部件!#REF!,0),FALSE)+VLOOKUP($BI17,坦克部件!#REF!,MATCH("标准值",坦克部件!#REF!,0),FALSE))*2</f>
        <v>#REF!</v>
      </c>
      <c r="BS17" s="372" t="e">
        <f ca="1">VLOOKUP($BF17,坦克属性统计!$B$3:$AY$33,MATCH(BS$3,坦克属性统计!$B$3:$AY$3,0),FALSE)</f>
        <v>#N/A</v>
      </c>
      <c r="BT17" s="372" t="e">
        <f t="shared" ca="1" si="17"/>
        <v>#N/A</v>
      </c>
      <c r="BU17" s="372" t="e">
        <f t="shared" ca="1" si="17"/>
        <v>#N/A</v>
      </c>
      <c r="BV17" s="372" t="e">
        <f t="shared" ca="1" si="17"/>
        <v>#N/A</v>
      </c>
      <c r="BW17" s="356">
        <f t="shared" ca="1" si="18"/>
        <v>0</v>
      </c>
      <c r="BX17" s="356" t="e">
        <f ca="1">VLOOKUP(BF17,坦克个性化设定!$B$18:$E$48,4,FALSE)</f>
        <v>#N/A</v>
      </c>
      <c r="BY17" s="357" t="e">
        <f t="shared" ca="1" si="25"/>
        <v>#N/A</v>
      </c>
    </row>
    <row r="18" spans="2:77" x14ac:dyDescent="0.35">
      <c r="H18" s="362">
        <v>2</v>
      </c>
      <c r="I18" s="360" t="s">
        <v>1103</v>
      </c>
      <c r="J18" s="360" t="s">
        <v>1103</v>
      </c>
      <c r="K18" s="557" t="s">
        <v>2551</v>
      </c>
      <c r="O18" s="365">
        <v>15</v>
      </c>
      <c r="P18" s="360" t="e">
        <f t="shared" ca="1" si="26"/>
        <v>#REF!</v>
      </c>
      <c r="Q18" s="360" t="e">
        <f ca="1">ROUND(MIN((BD18-VLOOKUP(R18,$B$22:$F$46,2,FALSE))/(VLOOKUP(R18,$B$22:$F$46,3,FALSE)-VLOOKUP(R18,$B$22:$F$46,2,FALSE)),1)*((VLOOKUP(R18,$B$22:$F$46,4,FALSE)*(AG18/(AG18+VLOOKUP(P18,$D$49:$F$123,3,TRUE)))+VLOOKUP(R18,$B$22:$F$46,5,FALSE)*(1-AG18/(AG18+VLOOKUP(P18,$D$49:$F$123,3,TRUE))))/2)*游戏时长规划!$C$4,0)</f>
        <v>#REF!</v>
      </c>
      <c r="R18" s="360" t="e">
        <f t="shared" ca="1" si="0"/>
        <v>#REF!</v>
      </c>
      <c r="S18" s="360" t="e">
        <f t="shared" ca="1" si="27"/>
        <v>#REF!</v>
      </c>
      <c r="T18" s="360" t="e">
        <f t="shared" ca="1" si="28"/>
        <v>#REF!</v>
      </c>
      <c r="U18" s="370" t="e">
        <f t="shared" ca="1" si="1"/>
        <v>#REF!</v>
      </c>
      <c r="V18" s="363" t="e">
        <f t="shared" ca="1" si="2"/>
        <v>#REF!</v>
      </c>
      <c r="W18" s="360" t="e">
        <f t="shared" ca="1" si="3"/>
        <v>#REF!</v>
      </c>
      <c r="X18" s="81" t="e">
        <f t="shared" ca="1" si="19"/>
        <v>#REF!</v>
      </c>
      <c r="Y18" s="360" t="str">
        <f t="shared" ca="1" si="4"/>
        <v>NULL</v>
      </c>
      <c r="Z18" s="375" t="e">
        <f t="shared" ca="1" si="20"/>
        <v>#REF!</v>
      </c>
      <c r="AA18" s="360">
        <f ca="1">IFERROR(VLOOKUP(IF(V18="T1低",游戏时长规划!$C$67+Z18,Z18),INDIRECT(V18&amp;"星级"),2,TRUE),0)</f>
        <v>0</v>
      </c>
      <c r="AB18" s="375" t="e">
        <f t="shared" ca="1" si="5"/>
        <v>#REF!</v>
      </c>
      <c r="AC18" s="375">
        <f ca="1">($D$14+$D$17)*$L$4/坦克部件养成!$C$2+AC17-IFERROR(IF(RIGHT(AD17,3)*1&gt;RIGHT(VLOOKUP(AC17,INDIRECT(LEFT(AD16,2)&amp;"部件升阶"),5,TRUE),3)*1,VLOOKUP(AD16,INDIRECT(LEFT(AD16,2)&amp;"部件升阶消耗"),2,FALSE),0),0)</f>
        <v>177.50000000000003</v>
      </c>
      <c r="AD18" s="360" t="e">
        <f t="shared" ca="1" si="6"/>
        <v>#REF!</v>
      </c>
      <c r="AE18" s="375" t="e">
        <f ca="1">$D$15*$L$4/坦克部件养成!$C$2+AE17-IF(LEFT(AD18,2)&lt;&gt;LEFT(AD17,2),VLOOKUP(AF17,INDIRECT(LEFT(AD17,2)&amp;"部件升级消耗"),5,FALSE),0)</f>
        <v>#REF!</v>
      </c>
      <c r="AF18" s="360" t="e">
        <f ca="1">MIN(VLOOKUP(AE18,INDIRECT(LEFT(AD18,2)&amp;"部件升级"),2,TRUE),VLOOKUP(LEFT(AD18,2),坦克部件养成!#REF!,6,FALSE))</f>
        <v>#REF!</v>
      </c>
      <c r="AG18" s="378" t="e">
        <f ca="1">MAX(BD$4:BD18)</f>
        <v>#REF!</v>
      </c>
      <c r="AH18" s="378" t="str">
        <f t="shared" ca="1" si="7"/>
        <v/>
      </c>
      <c r="AI18" s="378">
        <f ca="1">IF(Y18="NULL",0,MAX(BY$4:BY18))</f>
        <v>0</v>
      </c>
      <c r="AK18" s="364" t="e">
        <f t="shared" ca="1" si="8"/>
        <v>#REF!</v>
      </c>
      <c r="AL18" s="364" t="e">
        <f ca="1">VLOOKUP(AK18,坦克个性化设定!$B$18:$F$48,5,FALSE)</f>
        <v>#REF!</v>
      </c>
      <c r="AM18" s="372" t="e">
        <f t="shared" ca="1" si="9"/>
        <v>#REF!</v>
      </c>
      <c r="AN18" s="372" t="e">
        <f t="shared" ca="1" si="21"/>
        <v>#REF!</v>
      </c>
      <c r="AO18" s="364">
        <f t="shared" ca="1" si="10"/>
        <v>0</v>
      </c>
      <c r="AP18" s="372" t="e">
        <f ca="1">VLOOKUP($AK18&amp;$AO18,所有坦克升星属性,MATCH(AP$3,所有坦克升星属性标头,0),FALSE)+ROUND(AU18/VLOOKUP($AK18,坦克部件!#REF!,4,FALSE)*VLOOKUP($AK18&amp;0,所有坦克升星属性,MATCH(AP$3,所有坦克升星属性标头,0),FALSE),0)</f>
        <v>#REF!</v>
      </c>
      <c r="AQ18" s="372" t="e">
        <f ca="1">VLOOKUP($AK18&amp;$AO18,所有坦克升星属性,MATCH(AQ$3,所有坦克升星属性标头,0),FALSE)+ROUND(AV18/VLOOKUP($AK18,坦克部件!#REF!,4,FALSE)*VLOOKUP($AK18&amp;0,所有坦克升星属性,MATCH(AQ$3,所有坦克升星属性标头,0),FALSE),0)</f>
        <v>#REF!</v>
      </c>
      <c r="AR18" s="372" t="e">
        <f t="shared" ca="1" si="11"/>
        <v>#REF!</v>
      </c>
      <c r="AS18" s="372" t="e">
        <f t="shared" ca="1" si="11"/>
        <v>#REF!</v>
      </c>
      <c r="AT18" s="372" t="e">
        <f ca="1">VLOOKUP($AK18&amp;$AO18,所有坦克升星属性,MATCH(AT$3,所有坦克升星属性标头,0),FALSE)+ROUND(AW18/VLOOKUP($AK18,坦克部件!#REF!,4,FALSE)*VLOOKUP($AK18&amp;0,所有坦克升星属性,MATCH(AT$3,所有坦克升星属性标头,0),FALSE),0)</f>
        <v>#REF!</v>
      </c>
      <c r="AU18" s="372" t="e">
        <f ca="1">(VLOOKUP($AM18,坦克部件!#REF!,MATCH("标准值",坦克部件!#REF!,0),FALSE)+VLOOKUP($AN18,坦克部件!#REF!,MATCH("标准值",坦克部件!#REF!,0),FALSE))*2</f>
        <v>#REF!</v>
      </c>
      <c r="AV18" s="372" t="e">
        <f ca="1">(VLOOKUP($AM18,坦克部件!#REF!,MATCH("标准值",坦克部件!#REF!,0),FALSE)+VLOOKUP($AN18,坦克部件!#REF!,MATCH("标准值",坦克部件!#REF!,0),FALSE))*2</f>
        <v>#REF!</v>
      </c>
      <c r="AW18" s="372" t="e">
        <f ca="1">(VLOOKUP($AM18,坦克部件!#REF!,MATCH("标准值",坦克部件!#REF!,0),FALSE)+VLOOKUP($AN18,坦克部件!#REF!,MATCH("标准值",坦克部件!#REF!,0),FALSE))*2</f>
        <v>#REF!</v>
      </c>
      <c r="AX18" s="372" t="e">
        <f ca="1">VLOOKUP($AK18,坦克属性统计!$B$3:$AY$33,MATCH(AX$3,坦克属性统计!$B$3:$AY$3,0),FALSE)</f>
        <v>#REF!</v>
      </c>
      <c r="AY18" s="372" t="e">
        <f t="shared" ca="1" si="12"/>
        <v>#REF!</v>
      </c>
      <c r="AZ18" s="372" t="e">
        <f t="shared" ca="1" si="12"/>
        <v>#REF!</v>
      </c>
      <c r="BA18" s="372" t="e">
        <f t="shared" ca="1" si="12"/>
        <v>#REF!</v>
      </c>
      <c r="BB18" s="356" t="e">
        <f t="shared" ca="1" si="13"/>
        <v>#REF!</v>
      </c>
      <c r="BC18" s="356" t="e">
        <f ca="1">VLOOKUP(AK18,坦克个性化设定!$B$18:$E$48,4,FALSE)</f>
        <v>#REF!</v>
      </c>
      <c r="BD18" s="357" t="e">
        <f t="shared" ca="1" si="22"/>
        <v>#REF!</v>
      </c>
      <c r="BF18" s="357" t="str">
        <f t="shared" ca="1" si="14"/>
        <v/>
      </c>
      <c r="BG18" s="372" t="str">
        <f ca="1">IFERROR(VLOOKUP(BF18,坦克个性化设定!$B$18:$F$48,5,FALSE),"")</f>
        <v/>
      </c>
      <c r="BH18" s="372" t="e">
        <f t="shared" ca="1" si="23"/>
        <v>#REF!</v>
      </c>
      <c r="BI18" s="372" t="e">
        <f t="shared" ca="1" si="24"/>
        <v>#REF!</v>
      </c>
      <c r="BJ18" s="364" t="str">
        <f t="shared" ca="1" si="15"/>
        <v>NULL</v>
      </c>
      <c r="BK18" s="372" t="e">
        <f ca="1">VLOOKUP($BF18&amp;IF($BJ18="NULL",0,$BJ18),所有坦克升星属性,MATCH(BK$3,所有坦克升星属性标头,0),FALSE)+ROUND(BP18/VLOOKUP($BF18,坦克部件!#REF!,4,FALSE)*VLOOKUP($BF18&amp;0,所有坦克升星属性,MATCH(BK$3,所有坦克升星属性标头,0),FALSE),0)</f>
        <v>#N/A</v>
      </c>
      <c r="BL18" s="372" t="e">
        <f ca="1">VLOOKUP($BF18&amp;IF($BJ18="NULL",0,$BJ18),所有坦克升星属性,MATCH(BL$3,所有坦克升星属性标头,0),FALSE)+ROUND(BQ18/VLOOKUP($BF18,坦克部件!#REF!,4,FALSE)*VLOOKUP($BF18&amp;0,所有坦克升星属性,MATCH(BL$3,所有坦克升星属性标头,0),FALSE),0)</f>
        <v>#N/A</v>
      </c>
      <c r="BM18" s="372" t="e">
        <f t="shared" ca="1" si="16"/>
        <v>#N/A</v>
      </c>
      <c r="BN18" s="372" t="e">
        <f t="shared" ca="1" si="16"/>
        <v>#N/A</v>
      </c>
      <c r="BO18" s="372" t="e">
        <f ca="1">VLOOKUP($BF18&amp;IF($BJ18="NULL",0,$BJ18),所有坦克升星属性,MATCH(BO$3,所有坦克升星属性标头,0),FALSE)+ROUND(BR18/VLOOKUP($BF18,坦克部件!#REF!,4,FALSE)*VLOOKUP($BF18&amp;0,所有坦克升星属性,MATCH(BO$3,所有坦克升星属性标头,0),FALSE),0)</f>
        <v>#N/A</v>
      </c>
      <c r="BP18" s="372" t="e">
        <f ca="1">(VLOOKUP($BH18,坦克部件!#REF!,MATCH("标准值",坦克部件!#REF!,0),FALSE)+VLOOKUP($BI18,坦克部件!#REF!,MATCH("标准值",坦克部件!#REF!,0),FALSE))*2</f>
        <v>#REF!</v>
      </c>
      <c r="BQ18" s="372" t="e">
        <f ca="1">(VLOOKUP($BH18,坦克部件!#REF!,MATCH("标准值",坦克部件!#REF!,0),FALSE)+VLOOKUP($BI18,坦克部件!#REF!,MATCH("标准值",坦克部件!#REF!,0),FALSE))*2</f>
        <v>#REF!</v>
      </c>
      <c r="BR18" s="372" t="e">
        <f ca="1">(VLOOKUP($BH18,坦克部件!#REF!,MATCH("标准值",坦克部件!#REF!,0),FALSE)+VLOOKUP($BI18,坦克部件!#REF!,MATCH("标准值",坦克部件!#REF!,0),FALSE))*2</f>
        <v>#REF!</v>
      </c>
      <c r="BS18" s="372" t="e">
        <f ca="1">VLOOKUP($BF18,坦克属性统计!$B$3:$AY$33,MATCH(BS$3,坦克属性统计!$B$3:$AY$3,0),FALSE)</f>
        <v>#N/A</v>
      </c>
      <c r="BT18" s="372" t="e">
        <f t="shared" ca="1" si="17"/>
        <v>#N/A</v>
      </c>
      <c r="BU18" s="372" t="e">
        <f t="shared" ca="1" si="17"/>
        <v>#N/A</v>
      </c>
      <c r="BV18" s="372" t="e">
        <f t="shared" ca="1" si="17"/>
        <v>#N/A</v>
      </c>
      <c r="BW18" s="356">
        <f t="shared" ca="1" si="18"/>
        <v>0</v>
      </c>
      <c r="BX18" s="356" t="e">
        <f ca="1">VLOOKUP(BF18,坦克个性化设定!$B$18:$E$48,4,FALSE)</f>
        <v>#N/A</v>
      </c>
      <c r="BY18" s="357" t="e">
        <f t="shared" ca="1" si="25"/>
        <v>#N/A</v>
      </c>
    </row>
    <row r="19" spans="2:77" x14ac:dyDescent="0.35">
      <c r="H19" s="362">
        <v>3</v>
      </c>
      <c r="I19" s="360" t="s">
        <v>1104</v>
      </c>
      <c r="J19" s="360" t="s">
        <v>1103</v>
      </c>
      <c r="K19" s="557" t="s">
        <v>2552</v>
      </c>
      <c r="O19" s="365">
        <v>16</v>
      </c>
      <c r="P19" s="360" t="e">
        <f t="shared" ca="1" si="26"/>
        <v>#REF!</v>
      </c>
      <c r="Q19" s="360" t="e">
        <f ca="1">ROUND(MIN((BD19-VLOOKUP(R19,$B$22:$F$46,2,FALSE))/(VLOOKUP(R19,$B$22:$F$46,3,FALSE)-VLOOKUP(R19,$B$22:$F$46,2,FALSE)),1)*((VLOOKUP(R19,$B$22:$F$46,4,FALSE)*(AG19/(AG19+VLOOKUP(P19,$D$49:$F$123,3,TRUE)))+VLOOKUP(R19,$B$22:$F$46,5,FALSE)*(1-AG19/(AG19+VLOOKUP(P19,$D$49:$F$123,3,TRUE))))/2)*游戏时长规划!$C$4,0)</f>
        <v>#REF!</v>
      </c>
      <c r="R19" s="360" t="e">
        <f t="shared" ca="1" si="0"/>
        <v>#REF!</v>
      </c>
      <c r="S19" s="360" t="e">
        <f t="shared" ca="1" si="27"/>
        <v>#REF!</v>
      </c>
      <c r="T19" s="360" t="e">
        <f t="shared" ca="1" si="28"/>
        <v>#REF!</v>
      </c>
      <c r="U19" s="370" t="e">
        <f t="shared" ca="1" si="1"/>
        <v>#REF!</v>
      </c>
      <c r="V19" s="363" t="e">
        <f t="shared" ca="1" si="2"/>
        <v>#REF!</v>
      </c>
      <c r="W19" s="360" t="e">
        <f t="shared" ca="1" si="3"/>
        <v>#REF!</v>
      </c>
      <c r="X19" s="81" t="e">
        <f t="shared" ca="1" si="19"/>
        <v>#REF!</v>
      </c>
      <c r="Y19" s="360" t="str">
        <f t="shared" ca="1" si="4"/>
        <v>NULL</v>
      </c>
      <c r="Z19" s="375" t="e">
        <f t="shared" ca="1" si="20"/>
        <v>#REF!</v>
      </c>
      <c r="AA19" s="360">
        <f ca="1">IFERROR(VLOOKUP(IF(V19="T1低",游戏时长规划!$C$67+Z19,Z19),INDIRECT(V19&amp;"星级"),2,TRUE),0)</f>
        <v>0</v>
      </c>
      <c r="AB19" s="375" t="e">
        <f t="shared" ca="1" si="5"/>
        <v>#REF!</v>
      </c>
      <c r="AC19" s="375">
        <f ca="1">($D$14+$D$17)*$L$4/坦克部件养成!$C$2+AC18-IFERROR(IF(RIGHT(AD18,3)*1&gt;RIGHT(VLOOKUP(AC18,INDIRECT(LEFT(AD17,2)&amp;"部件升阶"),5,TRUE),3)*1,VLOOKUP(AD17,INDIRECT(LEFT(AD17,2)&amp;"部件升阶消耗"),2,FALSE),0),0)</f>
        <v>189.33333333333337</v>
      </c>
      <c r="AD19" s="360" t="e">
        <f t="shared" ca="1" si="6"/>
        <v>#REF!</v>
      </c>
      <c r="AE19" s="375" t="e">
        <f ca="1">$D$15*$L$4/坦克部件养成!$C$2+AE18-IF(LEFT(AD19,2)&lt;&gt;LEFT(AD18,2),VLOOKUP(AF18,INDIRECT(LEFT(AD18,2)&amp;"部件升级消耗"),5,FALSE),0)</f>
        <v>#REF!</v>
      </c>
      <c r="AF19" s="360" t="e">
        <f ca="1">MIN(VLOOKUP(AE19,INDIRECT(LEFT(AD19,2)&amp;"部件升级"),2,TRUE),VLOOKUP(LEFT(AD19,2),坦克部件养成!#REF!,6,FALSE))</f>
        <v>#REF!</v>
      </c>
      <c r="AG19" s="378" t="e">
        <f ca="1">MAX(BD$4:BD19)</f>
        <v>#REF!</v>
      </c>
      <c r="AH19" s="378" t="str">
        <f t="shared" ca="1" si="7"/>
        <v/>
      </c>
      <c r="AI19" s="378">
        <f ca="1">IF(Y19="NULL",0,MAX(BY$4:BY19))</f>
        <v>0</v>
      </c>
      <c r="AK19" s="364" t="e">
        <f t="shared" ca="1" si="8"/>
        <v>#REF!</v>
      </c>
      <c r="AL19" s="364" t="e">
        <f ca="1">VLOOKUP(AK19,坦克个性化设定!$B$18:$F$48,5,FALSE)</f>
        <v>#REF!</v>
      </c>
      <c r="AM19" s="372" t="e">
        <f t="shared" ca="1" si="9"/>
        <v>#REF!</v>
      </c>
      <c r="AN19" s="372" t="e">
        <f t="shared" ca="1" si="21"/>
        <v>#REF!</v>
      </c>
      <c r="AO19" s="364">
        <f t="shared" ca="1" si="10"/>
        <v>0</v>
      </c>
      <c r="AP19" s="372" t="e">
        <f ca="1">VLOOKUP($AK19&amp;$AO19,所有坦克升星属性,MATCH(AP$3,所有坦克升星属性标头,0),FALSE)+ROUND(AU19/VLOOKUP($AK19,坦克部件!#REF!,4,FALSE)*VLOOKUP($AK19&amp;0,所有坦克升星属性,MATCH(AP$3,所有坦克升星属性标头,0),FALSE),0)</f>
        <v>#REF!</v>
      </c>
      <c r="AQ19" s="372" t="e">
        <f ca="1">VLOOKUP($AK19&amp;$AO19,所有坦克升星属性,MATCH(AQ$3,所有坦克升星属性标头,0),FALSE)+ROUND(AV19/VLOOKUP($AK19,坦克部件!#REF!,4,FALSE)*VLOOKUP($AK19&amp;0,所有坦克升星属性,MATCH(AQ$3,所有坦克升星属性标头,0),FALSE),0)</f>
        <v>#REF!</v>
      </c>
      <c r="AR19" s="372" t="e">
        <f t="shared" ca="1" si="11"/>
        <v>#REF!</v>
      </c>
      <c r="AS19" s="372" t="e">
        <f t="shared" ca="1" si="11"/>
        <v>#REF!</v>
      </c>
      <c r="AT19" s="372" t="e">
        <f ca="1">VLOOKUP($AK19&amp;$AO19,所有坦克升星属性,MATCH(AT$3,所有坦克升星属性标头,0),FALSE)+ROUND(AW19/VLOOKUP($AK19,坦克部件!#REF!,4,FALSE)*VLOOKUP($AK19&amp;0,所有坦克升星属性,MATCH(AT$3,所有坦克升星属性标头,0),FALSE),0)</f>
        <v>#REF!</v>
      </c>
      <c r="AU19" s="372" t="e">
        <f ca="1">(VLOOKUP($AM19,坦克部件!#REF!,MATCH("标准值",坦克部件!#REF!,0),FALSE)+VLOOKUP($AN19,坦克部件!#REF!,MATCH("标准值",坦克部件!#REF!,0),FALSE))*2</f>
        <v>#REF!</v>
      </c>
      <c r="AV19" s="372" t="e">
        <f ca="1">(VLOOKUP($AM19,坦克部件!#REF!,MATCH("标准值",坦克部件!#REF!,0),FALSE)+VLOOKUP($AN19,坦克部件!#REF!,MATCH("标准值",坦克部件!#REF!,0),FALSE))*2</f>
        <v>#REF!</v>
      </c>
      <c r="AW19" s="372" t="e">
        <f ca="1">(VLOOKUP($AM19,坦克部件!#REF!,MATCH("标准值",坦克部件!#REF!,0),FALSE)+VLOOKUP($AN19,坦克部件!#REF!,MATCH("标准值",坦克部件!#REF!,0),FALSE))*2</f>
        <v>#REF!</v>
      </c>
      <c r="AX19" s="372" t="e">
        <f ca="1">VLOOKUP($AK19,坦克属性统计!$B$3:$AY$33,MATCH(AX$3,坦克属性统计!$B$3:$AY$3,0),FALSE)</f>
        <v>#REF!</v>
      </c>
      <c r="AY19" s="372" t="e">
        <f t="shared" ca="1" si="12"/>
        <v>#REF!</v>
      </c>
      <c r="AZ19" s="372" t="e">
        <f t="shared" ca="1" si="12"/>
        <v>#REF!</v>
      </c>
      <c r="BA19" s="372" t="e">
        <f t="shared" ca="1" si="12"/>
        <v>#REF!</v>
      </c>
      <c r="BB19" s="356" t="e">
        <f t="shared" ca="1" si="13"/>
        <v>#REF!</v>
      </c>
      <c r="BC19" s="356" t="e">
        <f ca="1">VLOOKUP(AK19,坦克个性化设定!$B$18:$E$48,4,FALSE)</f>
        <v>#REF!</v>
      </c>
      <c r="BD19" s="357" t="e">
        <f t="shared" ca="1" si="22"/>
        <v>#REF!</v>
      </c>
      <c r="BF19" s="357" t="str">
        <f t="shared" ca="1" si="14"/>
        <v/>
      </c>
      <c r="BG19" s="372" t="str">
        <f ca="1">IFERROR(VLOOKUP(BF19,坦克个性化设定!$B$18:$F$48,5,FALSE),"")</f>
        <v/>
      </c>
      <c r="BH19" s="372" t="e">
        <f t="shared" ca="1" si="23"/>
        <v>#REF!</v>
      </c>
      <c r="BI19" s="372" t="e">
        <f t="shared" ca="1" si="24"/>
        <v>#REF!</v>
      </c>
      <c r="BJ19" s="364" t="str">
        <f t="shared" ca="1" si="15"/>
        <v>NULL</v>
      </c>
      <c r="BK19" s="372" t="e">
        <f ca="1">VLOOKUP($BF19&amp;IF($BJ19="NULL",0,$BJ19),所有坦克升星属性,MATCH(BK$3,所有坦克升星属性标头,0),FALSE)+ROUND(BP19/VLOOKUP($BF19,坦克部件!#REF!,4,FALSE)*VLOOKUP($BF19&amp;0,所有坦克升星属性,MATCH(BK$3,所有坦克升星属性标头,0),FALSE),0)</f>
        <v>#N/A</v>
      </c>
      <c r="BL19" s="372" t="e">
        <f ca="1">VLOOKUP($BF19&amp;IF($BJ19="NULL",0,$BJ19),所有坦克升星属性,MATCH(BL$3,所有坦克升星属性标头,0),FALSE)+ROUND(BQ19/VLOOKUP($BF19,坦克部件!#REF!,4,FALSE)*VLOOKUP($BF19&amp;0,所有坦克升星属性,MATCH(BL$3,所有坦克升星属性标头,0),FALSE),0)</f>
        <v>#N/A</v>
      </c>
      <c r="BM19" s="372" t="e">
        <f t="shared" ca="1" si="16"/>
        <v>#N/A</v>
      </c>
      <c r="BN19" s="372" t="e">
        <f t="shared" ca="1" si="16"/>
        <v>#N/A</v>
      </c>
      <c r="BO19" s="372" t="e">
        <f ca="1">VLOOKUP($BF19&amp;IF($BJ19="NULL",0,$BJ19),所有坦克升星属性,MATCH(BO$3,所有坦克升星属性标头,0),FALSE)+ROUND(BR19/VLOOKUP($BF19,坦克部件!#REF!,4,FALSE)*VLOOKUP($BF19&amp;0,所有坦克升星属性,MATCH(BO$3,所有坦克升星属性标头,0),FALSE),0)</f>
        <v>#N/A</v>
      </c>
      <c r="BP19" s="372" t="e">
        <f ca="1">(VLOOKUP($BH19,坦克部件!#REF!,MATCH("标准值",坦克部件!#REF!,0),FALSE)+VLOOKUP($BI19,坦克部件!#REF!,MATCH("标准值",坦克部件!#REF!,0),FALSE))*2</f>
        <v>#REF!</v>
      </c>
      <c r="BQ19" s="372" t="e">
        <f ca="1">(VLOOKUP($BH19,坦克部件!#REF!,MATCH("标准值",坦克部件!#REF!,0),FALSE)+VLOOKUP($BI19,坦克部件!#REF!,MATCH("标准值",坦克部件!#REF!,0),FALSE))*2</f>
        <v>#REF!</v>
      </c>
      <c r="BR19" s="372" t="e">
        <f ca="1">(VLOOKUP($BH19,坦克部件!#REF!,MATCH("标准值",坦克部件!#REF!,0),FALSE)+VLOOKUP($BI19,坦克部件!#REF!,MATCH("标准值",坦克部件!#REF!,0),FALSE))*2</f>
        <v>#REF!</v>
      </c>
      <c r="BS19" s="372" t="e">
        <f ca="1">VLOOKUP($BF19,坦克属性统计!$B$3:$AY$33,MATCH(BS$3,坦克属性统计!$B$3:$AY$3,0),FALSE)</f>
        <v>#N/A</v>
      </c>
      <c r="BT19" s="372" t="e">
        <f t="shared" ca="1" si="17"/>
        <v>#N/A</v>
      </c>
      <c r="BU19" s="372" t="e">
        <f t="shared" ca="1" si="17"/>
        <v>#N/A</v>
      </c>
      <c r="BV19" s="372" t="e">
        <f t="shared" ca="1" si="17"/>
        <v>#N/A</v>
      </c>
      <c r="BW19" s="356">
        <f t="shared" ca="1" si="18"/>
        <v>0</v>
      </c>
      <c r="BX19" s="356" t="e">
        <f ca="1">VLOOKUP(BF19,坦克个性化设定!$B$18:$E$48,4,FALSE)</f>
        <v>#N/A</v>
      </c>
      <c r="BY19" s="357" t="e">
        <f t="shared" ca="1" si="25"/>
        <v>#N/A</v>
      </c>
    </row>
    <row r="20" spans="2:77" x14ac:dyDescent="0.35">
      <c r="H20" s="362">
        <v>4</v>
      </c>
      <c r="I20" s="360" t="s">
        <v>1104</v>
      </c>
      <c r="J20" s="360" t="s">
        <v>1103</v>
      </c>
      <c r="K20" s="557" t="s">
        <v>2553</v>
      </c>
      <c r="O20" s="365">
        <v>17</v>
      </c>
      <c r="P20" s="360" t="e">
        <f t="shared" ca="1" si="26"/>
        <v>#REF!</v>
      </c>
      <c r="Q20" s="360" t="e">
        <f ca="1">ROUND(MIN((BD20-VLOOKUP(R20,$B$22:$F$46,2,FALSE))/(VLOOKUP(R20,$B$22:$F$46,3,FALSE)-VLOOKUP(R20,$B$22:$F$46,2,FALSE)),1)*((VLOOKUP(R20,$B$22:$F$46,4,FALSE)*(AG20/(AG20+VLOOKUP(P20,$D$49:$F$123,3,TRUE)))+VLOOKUP(R20,$B$22:$F$46,5,FALSE)*(1-AG20/(AG20+VLOOKUP(P20,$D$49:$F$123,3,TRUE))))/2)*游戏时长规划!$C$4,0)</f>
        <v>#REF!</v>
      </c>
      <c r="R20" s="360" t="e">
        <f t="shared" ca="1" si="0"/>
        <v>#REF!</v>
      </c>
      <c r="S20" s="360" t="e">
        <f t="shared" ca="1" si="27"/>
        <v>#REF!</v>
      </c>
      <c r="T20" s="360" t="e">
        <f t="shared" ca="1" si="28"/>
        <v>#REF!</v>
      </c>
      <c r="U20" s="370" t="e">
        <f t="shared" ca="1" si="1"/>
        <v>#REF!</v>
      </c>
      <c r="V20" s="363" t="e">
        <f t="shared" ca="1" si="2"/>
        <v>#REF!</v>
      </c>
      <c r="W20" s="360" t="e">
        <f t="shared" ca="1" si="3"/>
        <v>#REF!</v>
      </c>
      <c r="X20" s="81" t="e">
        <f t="shared" ca="1" si="19"/>
        <v>#REF!</v>
      </c>
      <c r="Y20" s="360" t="str">
        <f t="shared" ca="1" si="4"/>
        <v>NULL</v>
      </c>
      <c r="Z20" s="375" t="e">
        <f t="shared" ca="1" si="20"/>
        <v>#REF!</v>
      </c>
      <c r="AA20" s="360">
        <f ca="1">IFERROR(VLOOKUP(IF(V20="T1低",游戏时长规划!$C$67+Z20,Z20),INDIRECT(V20&amp;"星级"),2,TRUE),0)</f>
        <v>0</v>
      </c>
      <c r="AB20" s="375" t="e">
        <f t="shared" ca="1" si="5"/>
        <v>#REF!</v>
      </c>
      <c r="AC20" s="375">
        <f ca="1">($D$14+$D$17)*$L$4/坦克部件养成!$C$2+AC19-IFERROR(IF(RIGHT(AD19,3)*1&gt;RIGHT(VLOOKUP(AC19,INDIRECT(LEFT(AD18,2)&amp;"部件升阶"),5,TRUE),3)*1,VLOOKUP(AD18,INDIRECT(LEFT(AD18,2)&amp;"部件升阶消耗"),2,FALSE),0),0)</f>
        <v>201.16666666666671</v>
      </c>
      <c r="AD20" s="360" t="e">
        <f t="shared" ca="1" si="6"/>
        <v>#REF!</v>
      </c>
      <c r="AE20" s="375" t="e">
        <f ca="1">$D$15*$L$4/坦克部件养成!$C$2+AE19-IF(LEFT(AD20,2)&lt;&gt;LEFT(AD19,2),VLOOKUP(AF19,INDIRECT(LEFT(AD19,2)&amp;"部件升级消耗"),5,FALSE),0)</f>
        <v>#REF!</v>
      </c>
      <c r="AF20" s="360" t="e">
        <f ca="1">MIN(VLOOKUP(AE20,INDIRECT(LEFT(AD20,2)&amp;"部件升级"),2,TRUE),VLOOKUP(LEFT(AD20,2),坦克部件养成!#REF!,6,FALSE))</f>
        <v>#REF!</v>
      </c>
      <c r="AG20" s="378" t="e">
        <f ca="1">MAX(BD$4:BD20)</f>
        <v>#REF!</v>
      </c>
      <c r="AH20" s="378" t="str">
        <f t="shared" ca="1" si="7"/>
        <v/>
      </c>
      <c r="AI20" s="378">
        <f ca="1">IF(Y20="NULL",0,MAX(BY$4:BY20))</f>
        <v>0</v>
      </c>
      <c r="AK20" s="364" t="e">
        <f t="shared" ca="1" si="8"/>
        <v>#REF!</v>
      </c>
      <c r="AL20" s="364" t="e">
        <f ca="1">VLOOKUP(AK20,坦克个性化设定!$B$18:$F$48,5,FALSE)</f>
        <v>#REF!</v>
      </c>
      <c r="AM20" s="372" t="e">
        <f t="shared" ca="1" si="9"/>
        <v>#REF!</v>
      </c>
      <c r="AN20" s="372" t="e">
        <f t="shared" ca="1" si="21"/>
        <v>#REF!</v>
      </c>
      <c r="AO20" s="364">
        <f t="shared" ca="1" si="10"/>
        <v>0</v>
      </c>
      <c r="AP20" s="372" t="e">
        <f ca="1">VLOOKUP($AK20&amp;$AO20,所有坦克升星属性,MATCH(AP$3,所有坦克升星属性标头,0),FALSE)+ROUND(AU20/VLOOKUP($AK20,坦克部件!#REF!,4,FALSE)*VLOOKUP($AK20&amp;0,所有坦克升星属性,MATCH(AP$3,所有坦克升星属性标头,0),FALSE),0)</f>
        <v>#REF!</v>
      </c>
      <c r="AQ20" s="372" t="e">
        <f ca="1">VLOOKUP($AK20&amp;$AO20,所有坦克升星属性,MATCH(AQ$3,所有坦克升星属性标头,0),FALSE)+ROUND(AV20/VLOOKUP($AK20,坦克部件!#REF!,4,FALSE)*VLOOKUP($AK20&amp;0,所有坦克升星属性,MATCH(AQ$3,所有坦克升星属性标头,0),FALSE),0)</f>
        <v>#REF!</v>
      </c>
      <c r="AR20" s="372" t="e">
        <f t="shared" ca="1" si="11"/>
        <v>#REF!</v>
      </c>
      <c r="AS20" s="372" t="e">
        <f t="shared" ca="1" si="11"/>
        <v>#REF!</v>
      </c>
      <c r="AT20" s="372" t="e">
        <f ca="1">VLOOKUP($AK20&amp;$AO20,所有坦克升星属性,MATCH(AT$3,所有坦克升星属性标头,0),FALSE)+ROUND(AW20/VLOOKUP($AK20,坦克部件!#REF!,4,FALSE)*VLOOKUP($AK20&amp;0,所有坦克升星属性,MATCH(AT$3,所有坦克升星属性标头,0),FALSE),0)</f>
        <v>#REF!</v>
      </c>
      <c r="AU20" s="372" t="e">
        <f ca="1">(VLOOKUP($AM20,坦克部件!#REF!,MATCH("标准值",坦克部件!#REF!,0),FALSE)+VLOOKUP($AN20,坦克部件!#REF!,MATCH("标准值",坦克部件!#REF!,0),FALSE))*2</f>
        <v>#REF!</v>
      </c>
      <c r="AV20" s="372" t="e">
        <f ca="1">(VLOOKUP($AM20,坦克部件!#REF!,MATCH("标准值",坦克部件!#REF!,0),FALSE)+VLOOKUP($AN20,坦克部件!#REF!,MATCH("标准值",坦克部件!#REF!,0),FALSE))*2</f>
        <v>#REF!</v>
      </c>
      <c r="AW20" s="372" t="e">
        <f ca="1">(VLOOKUP($AM20,坦克部件!#REF!,MATCH("标准值",坦克部件!#REF!,0),FALSE)+VLOOKUP($AN20,坦克部件!#REF!,MATCH("标准值",坦克部件!#REF!,0),FALSE))*2</f>
        <v>#REF!</v>
      </c>
      <c r="AX20" s="372" t="e">
        <f ca="1">VLOOKUP($AK20,坦克属性统计!$B$3:$AY$33,MATCH(AX$3,坦克属性统计!$B$3:$AY$3,0),FALSE)</f>
        <v>#REF!</v>
      </c>
      <c r="AY20" s="372" t="e">
        <f t="shared" ca="1" si="12"/>
        <v>#REF!</v>
      </c>
      <c r="AZ20" s="372" t="e">
        <f t="shared" ca="1" si="12"/>
        <v>#REF!</v>
      </c>
      <c r="BA20" s="372" t="e">
        <f t="shared" ca="1" si="12"/>
        <v>#REF!</v>
      </c>
      <c r="BB20" s="356" t="e">
        <f t="shared" ca="1" si="13"/>
        <v>#REF!</v>
      </c>
      <c r="BC20" s="356" t="e">
        <f ca="1">VLOOKUP(AK20,坦克个性化设定!$B$18:$E$48,4,FALSE)</f>
        <v>#REF!</v>
      </c>
      <c r="BD20" s="357" t="e">
        <f t="shared" ca="1" si="22"/>
        <v>#REF!</v>
      </c>
      <c r="BF20" s="357" t="str">
        <f t="shared" ca="1" si="14"/>
        <v/>
      </c>
      <c r="BG20" s="372" t="str">
        <f ca="1">IFERROR(VLOOKUP(BF20,坦克个性化设定!$B$18:$F$48,5,FALSE),"")</f>
        <v/>
      </c>
      <c r="BH20" s="372" t="e">
        <f t="shared" ca="1" si="23"/>
        <v>#REF!</v>
      </c>
      <c r="BI20" s="372" t="e">
        <f t="shared" ca="1" si="24"/>
        <v>#REF!</v>
      </c>
      <c r="BJ20" s="364" t="str">
        <f t="shared" ca="1" si="15"/>
        <v>NULL</v>
      </c>
      <c r="BK20" s="372" t="e">
        <f ca="1">VLOOKUP($BF20&amp;IF($BJ20="NULL",0,$BJ20),所有坦克升星属性,MATCH(BK$3,所有坦克升星属性标头,0),FALSE)+ROUND(BP20/VLOOKUP($BF20,坦克部件!#REF!,4,FALSE)*VLOOKUP($BF20&amp;0,所有坦克升星属性,MATCH(BK$3,所有坦克升星属性标头,0),FALSE),0)</f>
        <v>#N/A</v>
      </c>
      <c r="BL20" s="372" t="e">
        <f ca="1">VLOOKUP($BF20&amp;IF($BJ20="NULL",0,$BJ20),所有坦克升星属性,MATCH(BL$3,所有坦克升星属性标头,0),FALSE)+ROUND(BQ20/VLOOKUP($BF20,坦克部件!#REF!,4,FALSE)*VLOOKUP($BF20&amp;0,所有坦克升星属性,MATCH(BL$3,所有坦克升星属性标头,0),FALSE),0)</f>
        <v>#N/A</v>
      </c>
      <c r="BM20" s="372" t="e">
        <f t="shared" ca="1" si="16"/>
        <v>#N/A</v>
      </c>
      <c r="BN20" s="372" t="e">
        <f t="shared" ca="1" si="16"/>
        <v>#N/A</v>
      </c>
      <c r="BO20" s="372" t="e">
        <f ca="1">VLOOKUP($BF20&amp;IF($BJ20="NULL",0,$BJ20),所有坦克升星属性,MATCH(BO$3,所有坦克升星属性标头,0),FALSE)+ROUND(BR20/VLOOKUP($BF20,坦克部件!#REF!,4,FALSE)*VLOOKUP($BF20&amp;0,所有坦克升星属性,MATCH(BO$3,所有坦克升星属性标头,0),FALSE),0)</f>
        <v>#N/A</v>
      </c>
      <c r="BP20" s="372" t="e">
        <f ca="1">(VLOOKUP($BH20,坦克部件!#REF!,MATCH("标准值",坦克部件!#REF!,0),FALSE)+VLOOKUP($BI20,坦克部件!#REF!,MATCH("标准值",坦克部件!#REF!,0),FALSE))*2</f>
        <v>#REF!</v>
      </c>
      <c r="BQ20" s="372" t="e">
        <f ca="1">(VLOOKUP($BH20,坦克部件!#REF!,MATCH("标准值",坦克部件!#REF!,0),FALSE)+VLOOKUP($BI20,坦克部件!#REF!,MATCH("标准值",坦克部件!#REF!,0),FALSE))*2</f>
        <v>#REF!</v>
      </c>
      <c r="BR20" s="372" t="e">
        <f ca="1">(VLOOKUP($BH20,坦克部件!#REF!,MATCH("标准值",坦克部件!#REF!,0),FALSE)+VLOOKUP($BI20,坦克部件!#REF!,MATCH("标准值",坦克部件!#REF!,0),FALSE))*2</f>
        <v>#REF!</v>
      </c>
      <c r="BS20" s="372" t="e">
        <f ca="1">VLOOKUP($BF20,坦克属性统计!$B$3:$AY$33,MATCH(BS$3,坦克属性统计!$B$3:$AY$3,0),FALSE)</f>
        <v>#N/A</v>
      </c>
      <c r="BT20" s="372" t="e">
        <f t="shared" ca="1" si="17"/>
        <v>#N/A</v>
      </c>
      <c r="BU20" s="372" t="e">
        <f t="shared" ca="1" si="17"/>
        <v>#N/A</v>
      </c>
      <c r="BV20" s="372" t="e">
        <f t="shared" ca="1" si="17"/>
        <v>#N/A</v>
      </c>
      <c r="BW20" s="356">
        <f t="shared" ca="1" si="18"/>
        <v>0</v>
      </c>
      <c r="BX20" s="356" t="e">
        <f ca="1">VLOOKUP(BF20,坦克个性化设定!$B$18:$E$48,4,FALSE)</f>
        <v>#N/A</v>
      </c>
      <c r="BY20" s="357" t="e">
        <f t="shared" ca="1" si="25"/>
        <v>#N/A</v>
      </c>
    </row>
    <row r="21" spans="2:77" x14ac:dyDescent="0.35">
      <c r="H21" s="362">
        <v>5</v>
      </c>
      <c r="I21" s="360" t="s">
        <v>1105</v>
      </c>
      <c r="J21" s="360" t="s">
        <v>1105</v>
      </c>
      <c r="K21" s="557" t="s">
        <v>2554</v>
      </c>
      <c r="O21" s="365">
        <v>18</v>
      </c>
      <c r="P21" s="360" t="e">
        <f t="shared" ca="1" si="26"/>
        <v>#REF!</v>
      </c>
      <c r="Q21" s="360" t="e">
        <f ca="1">ROUND(MIN((BD21-VLOOKUP(R21,$B$22:$F$46,2,FALSE))/(VLOOKUP(R21,$B$22:$F$46,3,FALSE)-VLOOKUP(R21,$B$22:$F$46,2,FALSE)),1)*((VLOOKUP(R21,$B$22:$F$46,4,FALSE)*(AG21/(AG21+VLOOKUP(P21,$D$49:$F$123,3,TRUE)))+VLOOKUP(R21,$B$22:$F$46,5,FALSE)*(1-AG21/(AG21+VLOOKUP(P21,$D$49:$F$123,3,TRUE))))/2)*游戏时长规划!$C$4,0)</f>
        <v>#REF!</v>
      </c>
      <c r="R21" s="360" t="e">
        <f t="shared" ca="1" si="0"/>
        <v>#REF!</v>
      </c>
      <c r="S21" s="360" t="e">
        <f t="shared" ca="1" si="27"/>
        <v>#REF!</v>
      </c>
      <c r="T21" s="360" t="e">
        <f t="shared" ca="1" si="28"/>
        <v>#REF!</v>
      </c>
      <c r="U21" s="370" t="e">
        <f t="shared" ca="1" si="1"/>
        <v>#REF!</v>
      </c>
      <c r="V21" s="363" t="e">
        <f t="shared" ca="1" si="2"/>
        <v>#REF!</v>
      </c>
      <c r="W21" s="360" t="e">
        <f t="shared" ca="1" si="3"/>
        <v>#REF!</v>
      </c>
      <c r="X21" s="81" t="e">
        <f t="shared" ca="1" si="19"/>
        <v>#REF!</v>
      </c>
      <c r="Y21" s="360" t="str">
        <f t="shared" ca="1" si="4"/>
        <v>NULL</v>
      </c>
      <c r="Z21" s="375" t="e">
        <f t="shared" ca="1" si="20"/>
        <v>#REF!</v>
      </c>
      <c r="AA21" s="360">
        <f ca="1">IFERROR(VLOOKUP(IF(V21="T1低",游戏时长规划!$C$67+Z21,Z21),INDIRECT(V21&amp;"星级"),2,TRUE),0)</f>
        <v>0</v>
      </c>
      <c r="AB21" s="375" t="e">
        <f t="shared" ca="1" si="5"/>
        <v>#REF!</v>
      </c>
      <c r="AC21" s="375">
        <f ca="1">($D$14+$D$17)*$L$4/坦克部件养成!$C$2+AC20-IFERROR(IF(RIGHT(AD20,3)*1&gt;RIGHT(VLOOKUP(AC20,INDIRECT(LEFT(AD19,2)&amp;"部件升阶"),5,TRUE),3)*1,VLOOKUP(AD19,INDIRECT(LEFT(AD19,2)&amp;"部件升阶消耗"),2,FALSE),0),0)</f>
        <v>213.00000000000006</v>
      </c>
      <c r="AD21" s="360" t="e">
        <f t="shared" ca="1" si="6"/>
        <v>#REF!</v>
      </c>
      <c r="AE21" s="375" t="e">
        <f ca="1">$D$15*$L$4/坦克部件养成!$C$2+AE20-IF(LEFT(AD21,2)&lt;&gt;LEFT(AD20,2),VLOOKUP(AF20,INDIRECT(LEFT(AD20,2)&amp;"部件升级消耗"),5,FALSE),0)</f>
        <v>#REF!</v>
      </c>
      <c r="AF21" s="360" t="e">
        <f ca="1">MIN(VLOOKUP(AE21,INDIRECT(LEFT(AD21,2)&amp;"部件升级"),2,TRUE),VLOOKUP(LEFT(AD21,2),坦克部件养成!#REF!,6,FALSE))</f>
        <v>#REF!</v>
      </c>
      <c r="AG21" s="378" t="e">
        <f ca="1">MAX(BD$4:BD21)</f>
        <v>#REF!</v>
      </c>
      <c r="AH21" s="378" t="str">
        <f t="shared" ca="1" si="7"/>
        <v/>
      </c>
      <c r="AI21" s="378">
        <f ca="1">IF(Y21="NULL",0,MAX(BY$4:BY21))</f>
        <v>0</v>
      </c>
      <c r="AK21" s="364" t="e">
        <f t="shared" ca="1" si="8"/>
        <v>#REF!</v>
      </c>
      <c r="AL21" s="364" t="e">
        <f ca="1">VLOOKUP(AK21,坦克个性化设定!$B$18:$F$48,5,FALSE)</f>
        <v>#REF!</v>
      </c>
      <c r="AM21" s="372" t="e">
        <f t="shared" ca="1" si="9"/>
        <v>#REF!</v>
      </c>
      <c r="AN21" s="372" t="e">
        <f t="shared" ca="1" si="21"/>
        <v>#REF!</v>
      </c>
      <c r="AO21" s="364">
        <f t="shared" ca="1" si="10"/>
        <v>0</v>
      </c>
      <c r="AP21" s="372" t="e">
        <f ca="1">VLOOKUP($AK21&amp;$AO21,所有坦克升星属性,MATCH(AP$3,所有坦克升星属性标头,0),FALSE)+ROUND(AU21/VLOOKUP($AK21,坦克部件!#REF!,4,FALSE)*VLOOKUP($AK21&amp;0,所有坦克升星属性,MATCH(AP$3,所有坦克升星属性标头,0),FALSE),0)</f>
        <v>#REF!</v>
      </c>
      <c r="AQ21" s="372" t="e">
        <f ca="1">VLOOKUP($AK21&amp;$AO21,所有坦克升星属性,MATCH(AQ$3,所有坦克升星属性标头,0),FALSE)+ROUND(AV21/VLOOKUP($AK21,坦克部件!#REF!,4,FALSE)*VLOOKUP($AK21&amp;0,所有坦克升星属性,MATCH(AQ$3,所有坦克升星属性标头,0),FALSE),0)</f>
        <v>#REF!</v>
      </c>
      <c r="AR21" s="372" t="e">
        <f t="shared" ca="1" si="11"/>
        <v>#REF!</v>
      </c>
      <c r="AS21" s="372" t="e">
        <f t="shared" ca="1" si="11"/>
        <v>#REF!</v>
      </c>
      <c r="AT21" s="372" t="e">
        <f ca="1">VLOOKUP($AK21&amp;$AO21,所有坦克升星属性,MATCH(AT$3,所有坦克升星属性标头,0),FALSE)+ROUND(AW21/VLOOKUP($AK21,坦克部件!#REF!,4,FALSE)*VLOOKUP($AK21&amp;0,所有坦克升星属性,MATCH(AT$3,所有坦克升星属性标头,0),FALSE),0)</f>
        <v>#REF!</v>
      </c>
      <c r="AU21" s="372" t="e">
        <f ca="1">(VLOOKUP($AM21,坦克部件!#REF!,MATCH("标准值",坦克部件!#REF!,0),FALSE)+VLOOKUP($AN21,坦克部件!#REF!,MATCH("标准值",坦克部件!#REF!,0),FALSE))*2</f>
        <v>#REF!</v>
      </c>
      <c r="AV21" s="372" t="e">
        <f ca="1">(VLOOKUP($AM21,坦克部件!#REF!,MATCH("标准值",坦克部件!#REF!,0),FALSE)+VLOOKUP($AN21,坦克部件!#REF!,MATCH("标准值",坦克部件!#REF!,0),FALSE))*2</f>
        <v>#REF!</v>
      </c>
      <c r="AW21" s="372" t="e">
        <f ca="1">(VLOOKUP($AM21,坦克部件!#REF!,MATCH("标准值",坦克部件!#REF!,0),FALSE)+VLOOKUP($AN21,坦克部件!#REF!,MATCH("标准值",坦克部件!#REF!,0),FALSE))*2</f>
        <v>#REF!</v>
      </c>
      <c r="AX21" s="372" t="e">
        <f ca="1">VLOOKUP($AK21,坦克属性统计!$B$3:$AY$33,MATCH(AX$3,坦克属性统计!$B$3:$AY$3,0),FALSE)</f>
        <v>#REF!</v>
      </c>
      <c r="AY21" s="372" t="e">
        <f t="shared" ca="1" si="12"/>
        <v>#REF!</v>
      </c>
      <c r="AZ21" s="372" t="e">
        <f t="shared" ca="1" si="12"/>
        <v>#REF!</v>
      </c>
      <c r="BA21" s="372" t="e">
        <f t="shared" ca="1" si="12"/>
        <v>#REF!</v>
      </c>
      <c r="BB21" s="356" t="e">
        <f t="shared" ca="1" si="13"/>
        <v>#REF!</v>
      </c>
      <c r="BC21" s="356" t="e">
        <f ca="1">VLOOKUP(AK21,坦克个性化设定!$B$18:$E$48,4,FALSE)</f>
        <v>#REF!</v>
      </c>
      <c r="BD21" s="357" t="e">
        <f t="shared" ca="1" si="22"/>
        <v>#REF!</v>
      </c>
      <c r="BF21" s="357" t="str">
        <f t="shared" ca="1" si="14"/>
        <v/>
      </c>
      <c r="BG21" s="372" t="str">
        <f ca="1">IFERROR(VLOOKUP(BF21,坦克个性化设定!$B$18:$F$48,5,FALSE),"")</f>
        <v/>
      </c>
      <c r="BH21" s="372" t="e">
        <f t="shared" ca="1" si="23"/>
        <v>#REF!</v>
      </c>
      <c r="BI21" s="372" t="e">
        <f t="shared" ca="1" si="24"/>
        <v>#REF!</v>
      </c>
      <c r="BJ21" s="364" t="str">
        <f t="shared" ca="1" si="15"/>
        <v>NULL</v>
      </c>
      <c r="BK21" s="372" t="e">
        <f ca="1">VLOOKUP($BF21&amp;IF($BJ21="NULL",0,$BJ21),所有坦克升星属性,MATCH(BK$3,所有坦克升星属性标头,0),FALSE)+ROUND(BP21/VLOOKUP($BF21,坦克部件!#REF!,4,FALSE)*VLOOKUP($BF21&amp;0,所有坦克升星属性,MATCH(BK$3,所有坦克升星属性标头,0),FALSE),0)</f>
        <v>#N/A</v>
      </c>
      <c r="BL21" s="372" t="e">
        <f ca="1">VLOOKUP($BF21&amp;IF($BJ21="NULL",0,$BJ21),所有坦克升星属性,MATCH(BL$3,所有坦克升星属性标头,0),FALSE)+ROUND(BQ21/VLOOKUP($BF21,坦克部件!#REF!,4,FALSE)*VLOOKUP($BF21&amp;0,所有坦克升星属性,MATCH(BL$3,所有坦克升星属性标头,0),FALSE),0)</f>
        <v>#N/A</v>
      </c>
      <c r="BM21" s="372" t="e">
        <f t="shared" ca="1" si="16"/>
        <v>#N/A</v>
      </c>
      <c r="BN21" s="372" t="e">
        <f t="shared" ca="1" si="16"/>
        <v>#N/A</v>
      </c>
      <c r="BO21" s="372" t="e">
        <f ca="1">VLOOKUP($BF21&amp;IF($BJ21="NULL",0,$BJ21),所有坦克升星属性,MATCH(BO$3,所有坦克升星属性标头,0),FALSE)+ROUND(BR21/VLOOKUP($BF21,坦克部件!#REF!,4,FALSE)*VLOOKUP($BF21&amp;0,所有坦克升星属性,MATCH(BO$3,所有坦克升星属性标头,0),FALSE),0)</f>
        <v>#N/A</v>
      </c>
      <c r="BP21" s="372" t="e">
        <f ca="1">(VLOOKUP($BH21,坦克部件!#REF!,MATCH("标准值",坦克部件!#REF!,0),FALSE)+VLOOKUP($BI21,坦克部件!#REF!,MATCH("标准值",坦克部件!#REF!,0),FALSE))*2</f>
        <v>#REF!</v>
      </c>
      <c r="BQ21" s="372" t="e">
        <f ca="1">(VLOOKUP($BH21,坦克部件!#REF!,MATCH("标准值",坦克部件!#REF!,0),FALSE)+VLOOKUP($BI21,坦克部件!#REF!,MATCH("标准值",坦克部件!#REF!,0),FALSE))*2</f>
        <v>#REF!</v>
      </c>
      <c r="BR21" s="372" t="e">
        <f ca="1">(VLOOKUP($BH21,坦克部件!#REF!,MATCH("标准值",坦克部件!#REF!,0),FALSE)+VLOOKUP($BI21,坦克部件!#REF!,MATCH("标准值",坦克部件!#REF!,0),FALSE))*2</f>
        <v>#REF!</v>
      </c>
      <c r="BS21" s="372" t="e">
        <f ca="1">VLOOKUP($BF21,坦克属性统计!$B$3:$AY$33,MATCH(BS$3,坦克属性统计!$B$3:$AY$3,0),FALSE)</f>
        <v>#N/A</v>
      </c>
      <c r="BT21" s="372" t="e">
        <f t="shared" ca="1" si="17"/>
        <v>#N/A</v>
      </c>
      <c r="BU21" s="372" t="e">
        <f t="shared" ca="1" si="17"/>
        <v>#N/A</v>
      </c>
      <c r="BV21" s="372" t="e">
        <f t="shared" ca="1" si="17"/>
        <v>#N/A</v>
      </c>
      <c r="BW21" s="356">
        <f t="shared" ca="1" si="18"/>
        <v>0</v>
      </c>
      <c r="BX21" s="356" t="e">
        <f ca="1">VLOOKUP(BF21,坦克个性化设定!$B$18:$E$48,4,FALSE)</f>
        <v>#N/A</v>
      </c>
      <c r="BY21" s="357" t="e">
        <f t="shared" ca="1" si="25"/>
        <v>#N/A</v>
      </c>
    </row>
    <row r="22" spans="2:77" x14ac:dyDescent="0.35">
      <c r="B22" s="360" t="s">
        <v>1755</v>
      </c>
      <c r="C22" s="360" t="s">
        <v>1756</v>
      </c>
      <c r="D22" s="360" t="s">
        <v>1757</v>
      </c>
      <c r="E22" s="360" t="s">
        <v>1758</v>
      </c>
      <c r="F22" s="360" t="s">
        <v>1759</v>
      </c>
      <c r="H22" s="362">
        <v>6</v>
      </c>
      <c r="I22" s="360" t="s">
        <v>1106</v>
      </c>
      <c r="J22" s="360" t="s">
        <v>1105</v>
      </c>
      <c r="K22" s="557" t="s">
        <v>2555</v>
      </c>
      <c r="L22" s="84"/>
      <c r="N22" s="84"/>
      <c r="O22" s="365">
        <v>19</v>
      </c>
      <c r="P22" s="360" t="e">
        <f t="shared" ca="1" si="26"/>
        <v>#REF!</v>
      </c>
      <c r="Q22" s="360" t="e">
        <f ca="1">ROUND(MIN((BD22-VLOOKUP(R22,$B$22:$F$46,2,FALSE))/(VLOOKUP(R22,$B$22:$F$46,3,FALSE)-VLOOKUP(R22,$B$22:$F$46,2,FALSE)),1)*((VLOOKUP(R22,$B$22:$F$46,4,FALSE)*(AG22/(AG22+VLOOKUP(P22,$D$49:$F$123,3,TRUE)))+VLOOKUP(R22,$B$22:$F$46,5,FALSE)*(1-AG22/(AG22+VLOOKUP(P22,$D$49:$F$123,3,TRUE))))/2)*游戏时长规划!$C$4,0)</f>
        <v>#REF!</v>
      </c>
      <c r="R22" s="360" t="e">
        <f t="shared" ca="1" si="0"/>
        <v>#REF!</v>
      </c>
      <c r="S22" s="360" t="e">
        <f t="shared" ca="1" si="27"/>
        <v>#REF!</v>
      </c>
      <c r="T22" s="360" t="e">
        <f t="shared" ca="1" si="28"/>
        <v>#REF!</v>
      </c>
      <c r="U22" s="370" t="e">
        <f t="shared" ca="1" si="1"/>
        <v>#REF!</v>
      </c>
      <c r="V22" s="363" t="e">
        <f t="shared" ca="1" si="2"/>
        <v>#REF!</v>
      </c>
      <c r="W22" s="360" t="e">
        <f t="shared" ca="1" si="3"/>
        <v>#REF!</v>
      </c>
      <c r="X22" s="81" t="e">
        <f t="shared" ca="1" si="19"/>
        <v>#REF!</v>
      </c>
      <c r="Y22" s="360" t="str">
        <f t="shared" ca="1" si="4"/>
        <v>NULL</v>
      </c>
      <c r="Z22" s="375" t="e">
        <f t="shared" ca="1" si="20"/>
        <v>#REF!</v>
      </c>
      <c r="AA22" s="360">
        <f ca="1">IFERROR(VLOOKUP(IF(V22="T1低",游戏时长规划!$C$67+Z22,Z22),INDIRECT(V22&amp;"星级"),2,TRUE),0)</f>
        <v>0</v>
      </c>
      <c r="AB22" s="375" t="e">
        <f t="shared" ca="1" si="5"/>
        <v>#REF!</v>
      </c>
      <c r="AC22" s="375">
        <f ca="1">($D$14+$D$17)*$L$4/坦克部件养成!$C$2+AC21-IFERROR(IF(RIGHT(AD21,3)*1&gt;RIGHT(VLOOKUP(AC21,INDIRECT(LEFT(AD20,2)&amp;"部件升阶"),5,TRUE),3)*1,VLOOKUP(AD20,INDIRECT(LEFT(AD20,2)&amp;"部件升阶消耗"),2,FALSE),0),0)</f>
        <v>224.8333333333334</v>
      </c>
      <c r="AD22" s="360" t="e">
        <f t="shared" ca="1" si="6"/>
        <v>#REF!</v>
      </c>
      <c r="AE22" s="375" t="e">
        <f ca="1">$D$15*$L$4/坦克部件养成!$C$2+AE21-IF(LEFT(AD22,2)&lt;&gt;LEFT(AD21,2),VLOOKUP(AF21,INDIRECT(LEFT(AD21,2)&amp;"部件升级消耗"),5,FALSE),0)</f>
        <v>#REF!</v>
      </c>
      <c r="AF22" s="360" t="e">
        <f ca="1">MIN(VLOOKUP(AE22,INDIRECT(LEFT(AD22,2)&amp;"部件升级"),2,TRUE),VLOOKUP(LEFT(AD22,2),坦克部件养成!#REF!,6,FALSE))</f>
        <v>#REF!</v>
      </c>
      <c r="AG22" s="378" t="e">
        <f ca="1">MAX(BD$4:BD22)</f>
        <v>#REF!</v>
      </c>
      <c r="AH22" s="378" t="str">
        <f t="shared" ca="1" si="7"/>
        <v/>
      </c>
      <c r="AI22" s="378">
        <f ca="1">IF(Y22="NULL",0,MAX(BY$4:BY22))</f>
        <v>0</v>
      </c>
      <c r="AK22" s="364" t="e">
        <f t="shared" ca="1" si="8"/>
        <v>#REF!</v>
      </c>
      <c r="AL22" s="364" t="e">
        <f ca="1">VLOOKUP(AK22,坦克个性化设定!$B$18:$F$48,5,FALSE)</f>
        <v>#REF!</v>
      </c>
      <c r="AM22" s="372" t="e">
        <f t="shared" ca="1" si="9"/>
        <v>#REF!</v>
      </c>
      <c r="AN22" s="372" t="e">
        <f t="shared" ca="1" si="21"/>
        <v>#REF!</v>
      </c>
      <c r="AO22" s="364">
        <f t="shared" ca="1" si="10"/>
        <v>0</v>
      </c>
      <c r="AP22" s="372" t="e">
        <f ca="1">VLOOKUP($AK22&amp;$AO22,所有坦克升星属性,MATCH(AP$3,所有坦克升星属性标头,0),FALSE)+ROUND(AU22/VLOOKUP($AK22,坦克部件!#REF!,4,FALSE)*VLOOKUP($AK22&amp;0,所有坦克升星属性,MATCH(AP$3,所有坦克升星属性标头,0),FALSE),0)</f>
        <v>#REF!</v>
      </c>
      <c r="AQ22" s="372" t="e">
        <f ca="1">VLOOKUP($AK22&amp;$AO22,所有坦克升星属性,MATCH(AQ$3,所有坦克升星属性标头,0),FALSE)+ROUND(AV22/VLOOKUP($AK22,坦克部件!#REF!,4,FALSE)*VLOOKUP($AK22&amp;0,所有坦克升星属性,MATCH(AQ$3,所有坦克升星属性标头,0),FALSE),0)</f>
        <v>#REF!</v>
      </c>
      <c r="AR22" s="372" t="e">
        <f t="shared" ca="1" si="11"/>
        <v>#REF!</v>
      </c>
      <c r="AS22" s="372" t="e">
        <f t="shared" ca="1" si="11"/>
        <v>#REF!</v>
      </c>
      <c r="AT22" s="372" t="e">
        <f ca="1">VLOOKUP($AK22&amp;$AO22,所有坦克升星属性,MATCH(AT$3,所有坦克升星属性标头,0),FALSE)+ROUND(AW22/VLOOKUP($AK22,坦克部件!#REF!,4,FALSE)*VLOOKUP($AK22&amp;0,所有坦克升星属性,MATCH(AT$3,所有坦克升星属性标头,0),FALSE),0)</f>
        <v>#REF!</v>
      </c>
      <c r="AU22" s="372" t="e">
        <f ca="1">(VLOOKUP($AM22,坦克部件!#REF!,MATCH("标准值",坦克部件!#REF!,0),FALSE)+VLOOKUP($AN22,坦克部件!#REF!,MATCH("标准值",坦克部件!#REF!,0),FALSE))*2</f>
        <v>#REF!</v>
      </c>
      <c r="AV22" s="372" t="e">
        <f ca="1">(VLOOKUP($AM22,坦克部件!#REF!,MATCH("标准值",坦克部件!#REF!,0),FALSE)+VLOOKUP($AN22,坦克部件!#REF!,MATCH("标准值",坦克部件!#REF!,0),FALSE))*2</f>
        <v>#REF!</v>
      </c>
      <c r="AW22" s="372" t="e">
        <f ca="1">(VLOOKUP($AM22,坦克部件!#REF!,MATCH("标准值",坦克部件!#REF!,0),FALSE)+VLOOKUP($AN22,坦克部件!#REF!,MATCH("标准值",坦克部件!#REF!,0),FALSE))*2</f>
        <v>#REF!</v>
      </c>
      <c r="AX22" s="372" t="e">
        <f ca="1">VLOOKUP($AK22,坦克属性统计!$B$3:$AY$33,MATCH(AX$3,坦克属性统计!$B$3:$AY$3,0),FALSE)</f>
        <v>#REF!</v>
      </c>
      <c r="AY22" s="372" t="e">
        <f t="shared" ca="1" si="12"/>
        <v>#REF!</v>
      </c>
      <c r="AZ22" s="372" t="e">
        <f t="shared" ca="1" si="12"/>
        <v>#REF!</v>
      </c>
      <c r="BA22" s="372" t="e">
        <f t="shared" ca="1" si="12"/>
        <v>#REF!</v>
      </c>
      <c r="BB22" s="356" t="e">
        <f t="shared" ca="1" si="13"/>
        <v>#REF!</v>
      </c>
      <c r="BC22" s="356" t="e">
        <f ca="1">VLOOKUP(AK22,坦克个性化设定!$B$18:$E$48,4,FALSE)</f>
        <v>#REF!</v>
      </c>
      <c r="BD22" s="357" t="e">
        <f t="shared" ca="1" si="22"/>
        <v>#REF!</v>
      </c>
      <c r="BF22" s="357" t="str">
        <f t="shared" ca="1" si="14"/>
        <v/>
      </c>
      <c r="BG22" s="372" t="str">
        <f ca="1">IFERROR(VLOOKUP(BF22,坦克个性化设定!$B$18:$F$48,5,FALSE),"")</f>
        <v/>
      </c>
      <c r="BH22" s="372" t="e">
        <f t="shared" ca="1" si="23"/>
        <v>#REF!</v>
      </c>
      <c r="BI22" s="372" t="e">
        <f t="shared" ca="1" si="24"/>
        <v>#REF!</v>
      </c>
      <c r="BJ22" s="364" t="str">
        <f t="shared" ca="1" si="15"/>
        <v>NULL</v>
      </c>
      <c r="BK22" s="372" t="e">
        <f ca="1">VLOOKUP($BF22&amp;IF($BJ22="NULL",0,$BJ22),所有坦克升星属性,MATCH(BK$3,所有坦克升星属性标头,0),FALSE)+ROUND(BP22/VLOOKUP($BF22,坦克部件!#REF!,4,FALSE)*VLOOKUP($BF22&amp;0,所有坦克升星属性,MATCH(BK$3,所有坦克升星属性标头,0),FALSE),0)</f>
        <v>#N/A</v>
      </c>
      <c r="BL22" s="372" t="e">
        <f ca="1">VLOOKUP($BF22&amp;IF($BJ22="NULL",0,$BJ22),所有坦克升星属性,MATCH(BL$3,所有坦克升星属性标头,0),FALSE)+ROUND(BQ22/VLOOKUP($BF22,坦克部件!#REF!,4,FALSE)*VLOOKUP($BF22&amp;0,所有坦克升星属性,MATCH(BL$3,所有坦克升星属性标头,0),FALSE),0)</f>
        <v>#N/A</v>
      </c>
      <c r="BM22" s="372" t="e">
        <f t="shared" ca="1" si="16"/>
        <v>#N/A</v>
      </c>
      <c r="BN22" s="372" t="e">
        <f t="shared" ca="1" si="16"/>
        <v>#N/A</v>
      </c>
      <c r="BO22" s="372" t="e">
        <f ca="1">VLOOKUP($BF22&amp;IF($BJ22="NULL",0,$BJ22),所有坦克升星属性,MATCH(BO$3,所有坦克升星属性标头,0),FALSE)+ROUND(BR22/VLOOKUP($BF22,坦克部件!#REF!,4,FALSE)*VLOOKUP($BF22&amp;0,所有坦克升星属性,MATCH(BO$3,所有坦克升星属性标头,0),FALSE),0)</f>
        <v>#N/A</v>
      </c>
      <c r="BP22" s="372" t="e">
        <f ca="1">(VLOOKUP($BH22,坦克部件!#REF!,MATCH("标准值",坦克部件!#REF!,0),FALSE)+VLOOKUP($BI22,坦克部件!#REF!,MATCH("标准值",坦克部件!#REF!,0),FALSE))*2</f>
        <v>#REF!</v>
      </c>
      <c r="BQ22" s="372" t="e">
        <f ca="1">(VLOOKUP($BH22,坦克部件!#REF!,MATCH("标准值",坦克部件!#REF!,0),FALSE)+VLOOKUP($BI22,坦克部件!#REF!,MATCH("标准值",坦克部件!#REF!,0),FALSE))*2</f>
        <v>#REF!</v>
      </c>
      <c r="BR22" s="372" t="e">
        <f ca="1">(VLOOKUP($BH22,坦克部件!#REF!,MATCH("标准值",坦克部件!#REF!,0),FALSE)+VLOOKUP($BI22,坦克部件!#REF!,MATCH("标准值",坦克部件!#REF!,0),FALSE))*2</f>
        <v>#REF!</v>
      </c>
      <c r="BS22" s="372" t="e">
        <f ca="1">VLOOKUP($BF22,坦克属性统计!$B$3:$AY$33,MATCH(BS$3,坦克属性统计!$B$3:$AY$3,0),FALSE)</f>
        <v>#N/A</v>
      </c>
      <c r="BT22" s="372" t="e">
        <f t="shared" ca="1" si="17"/>
        <v>#N/A</v>
      </c>
      <c r="BU22" s="372" t="e">
        <f t="shared" ca="1" si="17"/>
        <v>#N/A</v>
      </c>
      <c r="BV22" s="372" t="e">
        <f t="shared" ca="1" si="17"/>
        <v>#N/A</v>
      </c>
      <c r="BW22" s="356">
        <f t="shared" ca="1" si="18"/>
        <v>0</v>
      </c>
      <c r="BX22" s="356" t="e">
        <f ca="1">VLOOKUP(BF22,坦克个性化设定!$B$18:$E$48,4,FALSE)</f>
        <v>#N/A</v>
      </c>
      <c r="BY22" s="357" t="e">
        <f t="shared" ca="1" si="25"/>
        <v>#N/A</v>
      </c>
    </row>
    <row r="23" spans="2:77" x14ac:dyDescent="0.35">
      <c r="B23" s="352">
        <v>1</v>
      </c>
      <c r="C23" s="360">
        <f ca="1">游戏时长规划!H40</f>
        <v>850</v>
      </c>
      <c r="D23" s="360">
        <f ca="1">游戏时长规划!I40</f>
        <v>2556</v>
      </c>
      <c r="E23" s="360">
        <f>游戏时长规划!K13</f>
        <v>10</v>
      </c>
      <c r="F23" s="360">
        <f>游戏时长规划!L13</f>
        <v>0</v>
      </c>
      <c r="H23" s="362">
        <v>7</v>
      </c>
      <c r="I23" s="360" t="s">
        <v>1107</v>
      </c>
      <c r="J23" s="360" t="s">
        <v>1105</v>
      </c>
      <c r="K23" s="557" t="s">
        <v>2556</v>
      </c>
      <c r="L23" s="84"/>
      <c r="N23" s="84"/>
      <c r="O23" s="365">
        <v>20</v>
      </c>
      <c r="P23" s="360" t="e">
        <f t="shared" ref="P23:P74" ca="1" si="29">P22+Q22</f>
        <v>#REF!</v>
      </c>
      <c r="Q23" s="360" t="e">
        <f ca="1">ROUND(MIN((BD23-VLOOKUP(R23,$B$22:$F$46,2,FALSE))/(VLOOKUP(R23,$B$22:$F$46,3,FALSE)-VLOOKUP(R23,$B$22:$F$46,2,FALSE)),1)*((VLOOKUP(R23,$B$22:$F$46,4,FALSE)*(AG23/(AG23+VLOOKUP(P23,$D$49:$F$123,3,TRUE)))+VLOOKUP(R23,$B$22:$F$46,5,FALSE)*(1-AG23/(AG23+VLOOKUP(P23,$D$49:$F$123,3,TRUE))))/2)*游戏时长规划!$C$4,0)</f>
        <v>#REF!</v>
      </c>
      <c r="R23" s="360" t="e">
        <f t="shared" ca="1" si="0"/>
        <v>#REF!</v>
      </c>
      <c r="S23" s="360" t="e">
        <f t="shared" ca="1" si="27"/>
        <v>#REF!</v>
      </c>
      <c r="T23" s="360" t="e">
        <f t="shared" ref="T23:T74" ca="1" si="30">VLOOKUP(R23,$H$16:$J$28,3,FALSE)</f>
        <v>#REF!</v>
      </c>
      <c r="U23" s="370" t="e">
        <f t="shared" ca="1" si="1"/>
        <v>#REF!</v>
      </c>
      <c r="V23" s="363" t="e">
        <f t="shared" ca="1" si="2"/>
        <v>#REF!</v>
      </c>
      <c r="W23" s="360" t="e">
        <f t="shared" ca="1" si="3"/>
        <v>#REF!</v>
      </c>
      <c r="X23" s="81" t="e">
        <f t="shared" ca="1" si="19"/>
        <v>#REF!</v>
      </c>
      <c r="Y23" s="360" t="str">
        <f t="shared" ca="1" si="4"/>
        <v>NULL</v>
      </c>
      <c r="Z23" s="375" t="e">
        <f t="shared" ca="1" si="20"/>
        <v>#REF!</v>
      </c>
      <c r="AA23" s="360">
        <f ca="1">IFERROR(VLOOKUP(IF(V23="T1低",游戏时长规划!$C$67+Z23,Z23),INDIRECT(V23&amp;"星级"),2,TRUE),0)</f>
        <v>0</v>
      </c>
      <c r="AB23" s="375" t="e">
        <f t="shared" ca="1" si="5"/>
        <v>#REF!</v>
      </c>
      <c r="AC23" s="375">
        <f ca="1">($D$14+$D$17)*$L$4/坦克部件养成!$C$2+AC22-IFERROR(IF(RIGHT(AD22,3)*1&gt;RIGHT(VLOOKUP(AC22,INDIRECT(LEFT(AD21,2)&amp;"部件升阶"),5,TRUE),3)*1,VLOOKUP(AD21,INDIRECT(LEFT(AD21,2)&amp;"部件升阶消耗"),2,FALSE),0),0)</f>
        <v>236.66666666666674</v>
      </c>
      <c r="AD23" s="360" t="e">
        <f t="shared" ca="1" si="6"/>
        <v>#REF!</v>
      </c>
      <c r="AE23" s="375" t="e">
        <f ca="1">$D$15*$L$4/坦克部件养成!$C$2+AE22-IF(LEFT(AD23,2)&lt;&gt;LEFT(AD22,2),VLOOKUP(AF22,INDIRECT(LEFT(AD22,2)&amp;"部件升级消耗"),5,FALSE),0)</f>
        <v>#REF!</v>
      </c>
      <c r="AF23" s="360" t="e">
        <f ca="1">MIN(VLOOKUP(AE23,INDIRECT(LEFT(AD23,2)&amp;"部件升级"),2,TRUE),VLOOKUP(LEFT(AD23,2),坦克部件养成!#REF!,6,FALSE))</f>
        <v>#REF!</v>
      </c>
      <c r="AG23" s="378" t="e">
        <f ca="1">MAX(BD$4:BD23)</f>
        <v>#REF!</v>
      </c>
      <c r="AH23" s="378" t="str">
        <f t="shared" ca="1" si="7"/>
        <v/>
      </c>
      <c r="AI23" s="378">
        <f ca="1">IF(Y23="NULL",0,MAX(BY$4:BY23))</f>
        <v>0</v>
      </c>
      <c r="AK23" s="364" t="e">
        <f t="shared" ca="1" si="8"/>
        <v>#REF!</v>
      </c>
      <c r="AL23" s="364" t="e">
        <f ca="1">VLOOKUP(AK23,坦克个性化设定!$B$18:$F$48,5,FALSE)</f>
        <v>#REF!</v>
      </c>
      <c r="AM23" s="372" t="e">
        <f t="shared" ca="1" si="9"/>
        <v>#REF!</v>
      </c>
      <c r="AN23" s="372" t="e">
        <f t="shared" ca="1" si="21"/>
        <v>#REF!</v>
      </c>
      <c r="AO23" s="364">
        <f t="shared" ca="1" si="10"/>
        <v>0</v>
      </c>
      <c r="AP23" s="372" t="e">
        <f ca="1">VLOOKUP($AK23&amp;$AO23,所有坦克升星属性,MATCH(AP$3,所有坦克升星属性标头,0),FALSE)+ROUND(AU23/VLOOKUP($AK23,坦克部件!#REF!,4,FALSE)*VLOOKUP($AK23&amp;0,所有坦克升星属性,MATCH(AP$3,所有坦克升星属性标头,0),FALSE),0)</f>
        <v>#REF!</v>
      </c>
      <c r="AQ23" s="372" t="e">
        <f ca="1">VLOOKUP($AK23&amp;$AO23,所有坦克升星属性,MATCH(AQ$3,所有坦克升星属性标头,0),FALSE)+ROUND(AV23/VLOOKUP($AK23,坦克部件!#REF!,4,FALSE)*VLOOKUP($AK23&amp;0,所有坦克升星属性,MATCH(AQ$3,所有坦克升星属性标头,0),FALSE),0)</f>
        <v>#REF!</v>
      </c>
      <c r="AR23" s="372" t="e">
        <f t="shared" ca="1" si="11"/>
        <v>#REF!</v>
      </c>
      <c r="AS23" s="372" t="e">
        <f t="shared" ca="1" si="11"/>
        <v>#REF!</v>
      </c>
      <c r="AT23" s="372" t="e">
        <f ca="1">VLOOKUP($AK23&amp;$AO23,所有坦克升星属性,MATCH(AT$3,所有坦克升星属性标头,0),FALSE)+ROUND(AW23/VLOOKUP($AK23,坦克部件!#REF!,4,FALSE)*VLOOKUP($AK23&amp;0,所有坦克升星属性,MATCH(AT$3,所有坦克升星属性标头,0),FALSE),0)</f>
        <v>#REF!</v>
      </c>
      <c r="AU23" s="372" t="e">
        <f ca="1">(VLOOKUP($AM23,坦克部件!#REF!,MATCH("标准值",坦克部件!#REF!,0),FALSE)+VLOOKUP($AN23,坦克部件!#REF!,MATCH("标准值",坦克部件!#REF!,0),FALSE))*2</f>
        <v>#REF!</v>
      </c>
      <c r="AV23" s="372" t="e">
        <f ca="1">(VLOOKUP($AM23,坦克部件!#REF!,MATCH("标准值",坦克部件!#REF!,0),FALSE)+VLOOKUP($AN23,坦克部件!#REF!,MATCH("标准值",坦克部件!#REF!,0),FALSE))*2</f>
        <v>#REF!</v>
      </c>
      <c r="AW23" s="372" t="e">
        <f ca="1">(VLOOKUP($AM23,坦克部件!#REF!,MATCH("标准值",坦克部件!#REF!,0),FALSE)+VLOOKUP($AN23,坦克部件!#REF!,MATCH("标准值",坦克部件!#REF!,0),FALSE))*2</f>
        <v>#REF!</v>
      </c>
      <c r="AX23" s="372" t="e">
        <f ca="1">VLOOKUP($AK23,坦克属性统计!$B$3:$AY$33,MATCH(AX$3,坦克属性统计!$B$3:$AY$3,0),FALSE)</f>
        <v>#REF!</v>
      </c>
      <c r="AY23" s="372" t="e">
        <f t="shared" ca="1" si="12"/>
        <v>#REF!</v>
      </c>
      <c r="AZ23" s="372" t="e">
        <f t="shared" ca="1" si="12"/>
        <v>#REF!</v>
      </c>
      <c r="BA23" s="372" t="e">
        <f t="shared" ca="1" si="12"/>
        <v>#REF!</v>
      </c>
      <c r="BB23" s="356" t="e">
        <f t="shared" ca="1" si="13"/>
        <v>#REF!</v>
      </c>
      <c r="BC23" s="356" t="e">
        <f ca="1">VLOOKUP(AK23,坦克个性化设定!$B$18:$E$48,4,FALSE)</f>
        <v>#REF!</v>
      </c>
      <c r="BD23" s="357" t="e">
        <f t="shared" ca="1" si="22"/>
        <v>#REF!</v>
      </c>
      <c r="BF23" s="357" t="str">
        <f t="shared" ca="1" si="14"/>
        <v/>
      </c>
      <c r="BG23" s="372" t="str">
        <f ca="1">IFERROR(VLOOKUP(BF23,坦克个性化设定!$B$18:$F$48,5,FALSE),"")</f>
        <v/>
      </c>
      <c r="BH23" s="372" t="e">
        <f t="shared" ca="1" si="23"/>
        <v>#REF!</v>
      </c>
      <c r="BI23" s="372" t="e">
        <f t="shared" ca="1" si="24"/>
        <v>#REF!</v>
      </c>
      <c r="BJ23" s="364" t="str">
        <f t="shared" ca="1" si="15"/>
        <v>NULL</v>
      </c>
      <c r="BK23" s="372" t="e">
        <f ca="1">VLOOKUP($BF23&amp;IF($BJ23="NULL",0,$BJ23),所有坦克升星属性,MATCH(BK$3,所有坦克升星属性标头,0),FALSE)+ROUND(BP23/VLOOKUP($BF23,坦克部件!#REF!,4,FALSE)*VLOOKUP($BF23&amp;0,所有坦克升星属性,MATCH(BK$3,所有坦克升星属性标头,0),FALSE),0)</f>
        <v>#N/A</v>
      </c>
      <c r="BL23" s="372" t="e">
        <f ca="1">VLOOKUP($BF23&amp;IF($BJ23="NULL",0,$BJ23),所有坦克升星属性,MATCH(BL$3,所有坦克升星属性标头,0),FALSE)+ROUND(BQ23/VLOOKUP($BF23,坦克部件!#REF!,4,FALSE)*VLOOKUP($BF23&amp;0,所有坦克升星属性,MATCH(BL$3,所有坦克升星属性标头,0),FALSE),0)</f>
        <v>#N/A</v>
      </c>
      <c r="BM23" s="372" t="e">
        <f t="shared" ca="1" si="16"/>
        <v>#N/A</v>
      </c>
      <c r="BN23" s="372" t="e">
        <f t="shared" ca="1" si="16"/>
        <v>#N/A</v>
      </c>
      <c r="BO23" s="372" t="e">
        <f ca="1">VLOOKUP($BF23&amp;IF($BJ23="NULL",0,$BJ23),所有坦克升星属性,MATCH(BO$3,所有坦克升星属性标头,0),FALSE)+ROUND(BR23/VLOOKUP($BF23,坦克部件!#REF!,4,FALSE)*VLOOKUP($BF23&amp;0,所有坦克升星属性,MATCH(BO$3,所有坦克升星属性标头,0),FALSE),0)</f>
        <v>#N/A</v>
      </c>
      <c r="BP23" s="372" t="e">
        <f ca="1">(VLOOKUP($BH23,坦克部件!#REF!,MATCH("标准值",坦克部件!#REF!,0),FALSE)+VLOOKUP($BI23,坦克部件!#REF!,MATCH("标准值",坦克部件!#REF!,0),FALSE))*2</f>
        <v>#REF!</v>
      </c>
      <c r="BQ23" s="372" t="e">
        <f ca="1">(VLOOKUP($BH23,坦克部件!#REF!,MATCH("标准值",坦克部件!#REF!,0),FALSE)+VLOOKUP($BI23,坦克部件!#REF!,MATCH("标准值",坦克部件!#REF!,0),FALSE))*2</f>
        <v>#REF!</v>
      </c>
      <c r="BR23" s="372" t="e">
        <f ca="1">(VLOOKUP($BH23,坦克部件!#REF!,MATCH("标准值",坦克部件!#REF!,0),FALSE)+VLOOKUP($BI23,坦克部件!#REF!,MATCH("标准值",坦克部件!#REF!,0),FALSE))*2</f>
        <v>#REF!</v>
      </c>
      <c r="BS23" s="372" t="e">
        <f ca="1">VLOOKUP($BF23,坦克属性统计!$B$3:$AY$33,MATCH(BS$3,坦克属性统计!$B$3:$AY$3,0),FALSE)</f>
        <v>#N/A</v>
      </c>
      <c r="BT23" s="372" t="e">
        <f t="shared" ca="1" si="17"/>
        <v>#N/A</v>
      </c>
      <c r="BU23" s="372" t="e">
        <f t="shared" ca="1" si="17"/>
        <v>#N/A</v>
      </c>
      <c r="BV23" s="372" t="e">
        <f t="shared" ca="1" si="17"/>
        <v>#N/A</v>
      </c>
      <c r="BW23" s="356">
        <f t="shared" ca="1" si="18"/>
        <v>0</v>
      </c>
      <c r="BX23" s="356" t="e">
        <f ca="1">VLOOKUP(BF23,坦克个性化设定!$B$18:$E$48,4,FALSE)</f>
        <v>#N/A</v>
      </c>
      <c r="BY23" s="357" t="e">
        <f t="shared" ca="1" si="25"/>
        <v>#N/A</v>
      </c>
    </row>
    <row r="24" spans="2:77" x14ac:dyDescent="0.35">
      <c r="B24" s="352">
        <v>2</v>
      </c>
      <c r="C24" s="360">
        <f ca="1">游戏时长规划!H41</f>
        <v>1450</v>
      </c>
      <c r="D24" s="360">
        <f ca="1">游戏时长规划!I41</f>
        <v>3841</v>
      </c>
      <c r="E24" s="360">
        <f>游戏时长规划!K14</f>
        <v>20</v>
      </c>
      <c r="F24" s="360">
        <f>游戏时长规划!L14</f>
        <v>-12</v>
      </c>
      <c r="H24" s="362">
        <v>8</v>
      </c>
      <c r="I24" s="360" t="s">
        <v>1108</v>
      </c>
      <c r="J24" s="360" t="s">
        <v>1108</v>
      </c>
      <c r="K24" s="557" t="s">
        <v>2557</v>
      </c>
      <c r="L24" s="84"/>
      <c r="N24" s="84"/>
      <c r="O24" s="365">
        <v>21</v>
      </c>
      <c r="P24" s="360" t="e">
        <f t="shared" ca="1" si="29"/>
        <v>#REF!</v>
      </c>
      <c r="Q24" s="360" t="e">
        <f ca="1">ROUND(MIN((BD24-VLOOKUP(R24,$B$22:$F$46,2,FALSE))/(VLOOKUP(R24,$B$22:$F$46,3,FALSE)-VLOOKUP(R24,$B$22:$F$46,2,FALSE)),1)*((VLOOKUP(R24,$B$22:$F$46,4,FALSE)*(AG24/(AG24+VLOOKUP(P24,$D$49:$F$123,3,TRUE)))+VLOOKUP(R24,$B$22:$F$46,5,FALSE)*(1-AG24/(AG24+VLOOKUP(P24,$D$49:$F$123,3,TRUE))))/2)*游戏时长规划!$C$4,0)</f>
        <v>#REF!</v>
      </c>
      <c r="R24" s="360" t="e">
        <f t="shared" ca="1" si="0"/>
        <v>#REF!</v>
      </c>
      <c r="S24" s="360" t="e">
        <f t="shared" ca="1" si="27"/>
        <v>#REF!</v>
      </c>
      <c r="T24" s="360" t="e">
        <f t="shared" ca="1" si="30"/>
        <v>#REF!</v>
      </c>
      <c r="U24" s="370" t="e">
        <f t="shared" ca="1" si="1"/>
        <v>#REF!</v>
      </c>
      <c r="V24" s="363" t="e">
        <f t="shared" ca="1" si="2"/>
        <v>#REF!</v>
      </c>
      <c r="W24" s="360" t="e">
        <f t="shared" ca="1" si="3"/>
        <v>#REF!</v>
      </c>
      <c r="X24" s="81" t="e">
        <f t="shared" ca="1" si="19"/>
        <v>#REF!</v>
      </c>
      <c r="Y24" s="360" t="str">
        <f t="shared" ca="1" si="4"/>
        <v>NULL</v>
      </c>
      <c r="Z24" s="375" t="e">
        <f t="shared" ca="1" si="20"/>
        <v>#REF!</v>
      </c>
      <c r="AA24" s="360">
        <f ca="1">IFERROR(VLOOKUP(IF(V24="T1低",游戏时长规划!$C$67+Z24,Z24),INDIRECT(V24&amp;"星级"),2,TRUE),0)</f>
        <v>0</v>
      </c>
      <c r="AB24" s="375" t="e">
        <f t="shared" ca="1" si="5"/>
        <v>#REF!</v>
      </c>
      <c r="AC24" s="375">
        <f ca="1">($D$14+$D$17)*$L$4/坦克部件养成!$C$2+AC23-IFERROR(IF(RIGHT(AD23,3)*1&gt;RIGHT(VLOOKUP(AC23,INDIRECT(LEFT(AD22,2)&amp;"部件升阶"),5,TRUE),3)*1,VLOOKUP(AD22,INDIRECT(LEFT(AD22,2)&amp;"部件升阶消耗"),2,FALSE),0),0)</f>
        <v>248.50000000000009</v>
      </c>
      <c r="AD24" s="360" t="e">
        <f t="shared" ca="1" si="6"/>
        <v>#REF!</v>
      </c>
      <c r="AE24" s="375" t="e">
        <f ca="1">$D$15*$L$4/坦克部件养成!$C$2+AE23-IF(LEFT(AD24,2)&lt;&gt;LEFT(AD23,2),VLOOKUP(AF23,INDIRECT(LEFT(AD23,2)&amp;"部件升级消耗"),5,FALSE),0)</f>
        <v>#REF!</v>
      </c>
      <c r="AF24" s="360" t="e">
        <f ca="1">MIN(VLOOKUP(AE24,INDIRECT(LEFT(AD24,2)&amp;"部件升级"),2,TRUE),VLOOKUP(LEFT(AD24,2),坦克部件养成!#REF!,6,FALSE))</f>
        <v>#REF!</v>
      </c>
      <c r="AG24" s="378" t="e">
        <f ca="1">MAX(BD$4:BD24)</f>
        <v>#REF!</v>
      </c>
      <c r="AH24" s="378" t="str">
        <f t="shared" ca="1" si="7"/>
        <v/>
      </c>
      <c r="AI24" s="378">
        <f ca="1">IF(Y24="NULL",0,MAX(BY$4:BY24))</f>
        <v>0</v>
      </c>
      <c r="AK24" s="364" t="e">
        <f t="shared" ca="1" si="8"/>
        <v>#REF!</v>
      </c>
      <c r="AL24" s="364" t="e">
        <f ca="1">VLOOKUP(AK24,坦克个性化设定!$B$18:$F$48,5,FALSE)</f>
        <v>#REF!</v>
      </c>
      <c r="AM24" s="372" t="e">
        <f t="shared" ca="1" si="9"/>
        <v>#REF!</v>
      </c>
      <c r="AN24" s="372" t="e">
        <f t="shared" ca="1" si="21"/>
        <v>#REF!</v>
      </c>
      <c r="AO24" s="364">
        <f t="shared" ca="1" si="10"/>
        <v>0</v>
      </c>
      <c r="AP24" s="372" t="e">
        <f ca="1">VLOOKUP($AK24&amp;$AO24,所有坦克升星属性,MATCH(AP$3,所有坦克升星属性标头,0),FALSE)+ROUND(AU24/VLOOKUP($AK24,坦克部件!#REF!,4,FALSE)*VLOOKUP($AK24&amp;0,所有坦克升星属性,MATCH(AP$3,所有坦克升星属性标头,0),FALSE),0)</f>
        <v>#REF!</v>
      </c>
      <c r="AQ24" s="372" t="e">
        <f ca="1">VLOOKUP($AK24&amp;$AO24,所有坦克升星属性,MATCH(AQ$3,所有坦克升星属性标头,0),FALSE)+ROUND(AV24/VLOOKUP($AK24,坦克部件!#REF!,4,FALSE)*VLOOKUP($AK24&amp;0,所有坦克升星属性,MATCH(AQ$3,所有坦克升星属性标头,0),FALSE),0)</f>
        <v>#REF!</v>
      </c>
      <c r="AR24" s="372" t="e">
        <f t="shared" ref="AR24:AS43" ca="1" si="31">VLOOKUP($AK24&amp;$AO24,所有坦克升星属性,MATCH(AR$3,所有坦克升星属性标头,0),FALSE)</f>
        <v>#REF!</v>
      </c>
      <c r="AS24" s="372" t="e">
        <f t="shared" ca="1" si="31"/>
        <v>#REF!</v>
      </c>
      <c r="AT24" s="372" t="e">
        <f ca="1">VLOOKUP($AK24&amp;$AO24,所有坦克升星属性,MATCH(AT$3,所有坦克升星属性标头,0),FALSE)+ROUND(AW24/VLOOKUP($AK24,坦克部件!#REF!,4,FALSE)*VLOOKUP($AK24&amp;0,所有坦克升星属性,MATCH(AT$3,所有坦克升星属性标头,0),FALSE),0)</f>
        <v>#REF!</v>
      </c>
      <c r="AU24" s="372" t="e">
        <f ca="1">(VLOOKUP($AM24,坦克部件!#REF!,MATCH("标准值",坦克部件!#REF!,0),FALSE)+VLOOKUP($AN24,坦克部件!#REF!,MATCH("标准值",坦克部件!#REF!,0),FALSE))*2</f>
        <v>#REF!</v>
      </c>
      <c r="AV24" s="372" t="e">
        <f ca="1">(VLOOKUP($AM24,坦克部件!#REF!,MATCH("标准值",坦克部件!#REF!,0),FALSE)+VLOOKUP($AN24,坦克部件!#REF!,MATCH("标准值",坦克部件!#REF!,0),FALSE))*2</f>
        <v>#REF!</v>
      </c>
      <c r="AW24" s="372" t="e">
        <f ca="1">(VLOOKUP($AM24,坦克部件!#REF!,MATCH("标准值",坦克部件!#REF!,0),FALSE)+VLOOKUP($AN24,坦克部件!#REF!,MATCH("标准值",坦克部件!#REF!,0),FALSE))*2</f>
        <v>#REF!</v>
      </c>
      <c r="AX24" s="372" t="e">
        <f ca="1">VLOOKUP($AK24,坦克属性统计!$B$3:$AY$33,MATCH(AX$3,坦克属性统计!$B$3:$AY$3,0),FALSE)</f>
        <v>#REF!</v>
      </c>
      <c r="AY24" s="372" t="e">
        <f t="shared" ref="AY24:BA43" ca="1" si="32">VLOOKUP($AK24&amp;$AO24,所有坦克升星属性,MATCH(AY$3,所有坦克升星属性标头,0),FALSE)</f>
        <v>#REF!</v>
      </c>
      <c r="AZ24" s="372" t="e">
        <f t="shared" ca="1" si="32"/>
        <v>#REF!</v>
      </c>
      <c r="BA24" s="372" t="e">
        <f t="shared" ca="1" si="32"/>
        <v>#REF!</v>
      </c>
      <c r="BB24" s="356" t="e">
        <f t="shared" ca="1" si="13"/>
        <v>#REF!</v>
      </c>
      <c r="BC24" s="356" t="e">
        <f ca="1">VLOOKUP(AK24,坦克个性化设定!$B$18:$E$48,4,FALSE)</f>
        <v>#REF!</v>
      </c>
      <c r="BD24" s="357" t="e">
        <f t="shared" ca="1" si="22"/>
        <v>#REF!</v>
      </c>
      <c r="BF24" s="357" t="str">
        <f t="shared" ca="1" si="14"/>
        <v/>
      </c>
      <c r="BG24" s="372" t="str">
        <f ca="1">IFERROR(VLOOKUP(BF24,坦克个性化设定!$B$18:$F$48,5,FALSE),"")</f>
        <v/>
      </c>
      <c r="BH24" s="372" t="e">
        <f t="shared" ca="1" si="23"/>
        <v>#REF!</v>
      </c>
      <c r="BI24" s="372" t="e">
        <f t="shared" ca="1" si="24"/>
        <v>#REF!</v>
      </c>
      <c r="BJ24" s="364" t="str">
        <f t="shared" ca="1" si="15"/>
        <v>NULL</v>
      </c>
      <c r="BK24" s="372" t="e">
        <f ca="1">VLOOKUP($BF24&amp;IF($BJ24="NULL",0,$BJ24),所有坦克升星属性,MATCH(BK$3,所有坦克升星属性标头,0),FALSE)+ROUND(BP24/VLOOKUP($BF24,坦克部件!#REF!,4,FALSE)*VLOOKUP($BF24&amp;0,所有坦克升星属性,MATCH(BK$3,所有坦克升星属性标头,0),FALSE),0)</f>
        <v>#N/A</v>
      </c>
      <c r="BL24" s="372" t="e">
        <f ca="1">VLOOKUP($BF24&amp;IF($BJ24="NULL",0,$BJ24),所有坦克升星属性,MATCH(BL$3,所有坦克升星属性标头,0),FALSE)+ROUND(BQ24/VLOOKUP($BF24,坦克部件!#REF!,4,FALSE)*VLOOKUP($BF24&amp;0,所有坦克升星属性,MATCH(BL$3,所有坦克升星属性标头,0),FALSE),0)</f>
        <v>#N/A</v>
      </c>
      <c r="BM24" s="372" t="e">
        <f t="shared" ref="BM24:BN43" ca="1" si="33">VLOOKUP($BF24&amp;IF($BJ24="NULL",0,$BJ24),所有坦克升星属性,MATCH(BM$3,所有坦克升星属性标头,0),FALSE)</f>
        <v>#N/A</v>
      </c>
      <c r="BN24" s="372" t="e">
        <f t="shared" ca="1" si="33"/>
        <v>#N/A</v>
      </c>
      <c r="BO24" s="372" t="e">
        <f ca="1">VLOOKUP($BF24&amp;IF($BJ24="NULL",0,$BJ24),所有坦克升星属性,MATCH(BO$3,所有坦克升星属性标头,0),FALSE)+ROUND(BR24/VLOOKUP($BF24,坦克部件!#REF!,4,FALSE)*VLOOKUP($BF24&amp;0,所有坦克升星属性,MATCH(BO$3,所有坦克升星属性标头,0),FALSE),0)</f>
        <v>#N/A</v>
      </c>
      <c r="BP24" s="372" t="e">
        <f ca="1">(VLOOKUP($BH24,坦克部件!#REF!,MATCH("标准值",坦克部件!#REF!,0),FALSE)+VLOOKUP($BI24,坦克部件!#REF!,MATCH("标准值",坦克部件!#REF!,0),FALSE))*2</f>
        <v>#REF!</v>
      </c>
      <c r="BQ24" s="372" t="e">
        <f ca="1">(VLOOKUP($BH24,坦克部件!#REF!,MATCH("标准值",坦克部件!#REF!,0),FALSE)+VLOOKUP($BI24,坦克部件!#REF!,MATCH("标准值",坦克部件!#REF!,0),FALSE))*2</f>
        <v>#REF!</v>
      </c>
      <c r="BR24" s="372" t="e">
        <f ca="1">(VLOOKUP($BH24,坦克部件!#REF!,MATCH("标准值",坦克部件!#REF!,0),FALSE)+VLOOKUP($BI24,坦克部件!#REF!,MATCH("标准值",坦克部件!#REF!,0),FALSE))*2</f>
        <v>#REF!</v>
      </c>
      <c r="BS24" s="372" t="e">
        <f ca="1">VLOOKUP($BF24,坦克属性统计!$B$3:$AY$33,MATCH(BS$3,坦克属性统计!$B$3:$AY$3,0),FALSE)</f>
        <v>#N/A</v>
      </c>
      <c r="BT24" s="372" t="e">
        <f t="shared" ref="BT24:BV43" ca="1" si="34">VLOOKUP($BF24&amp;IF($BJ24="NULL",0,$BJ24),所有坦克升星属性,MATCH(BT$3,所有坦克升星属性标头,0),FALSE)</f>
        <v>#N/A</v>
      </c>
      <c r="BU24" s="372" t="e">
        <f t="shared" ca="1" si="34"/>
        <v>#N/A</v>
      </c>
      <c r="BV24" s="372" t="e">
        <f t="shared" ca="1" si="34"/>
        <v>#N/A</v>
      </c>
      <c r="BW24" s="356">
        <f t="shared" ca="1" si="18"/>
        <v>0</v>
      </c>
      <c r="BX24" s="356" t="e">
        <f ca="1">VLOOKUP(BF24,坦克个性化设定!$B$18:$E$48,4,FALSE)</f>
        <v>#N/A</v>
      </c>
      <c r="BY24" s="357" t="e">
        <f t="shared" ca="1" si="25"/>
        <v>#N/A</v>
      </c>
    </row>
    <row r="25" spans="2:77" x14ac:dyDescent="0.35">
      <c r="B25" s="352">
        <v>3</v>
      </c>
      <c r="C25" s="360">
        <f ca="1">游戏时长规划!H42</f>
        <v>2450</v>
      </c>
      <c r="D25" s="360">
        <f ca="1">游戏时长规划!I42</f>
        <v>5040</v>
      </c>
      <c r="E25" s="360">
        <f>游戏时长规划!K15</f>
        <v>20</v>
      </c>
      <c r="F25" s="360">
        <f>游戏时长规划!L15</f>
        <v>-14</v>
      </c>
      <c r="H25" s="362">
        <v>9</v>
      </c>
      <c r="I25" s="360" t="s">
        <v>1109</v>
      </c>
      <c r="J25" s="360" t="s">
        <v>1108</v>
      </c>
      <c r="K25" s="557" t="s">
        <v>2558</v>
      </c>
      <c r="L25" s="84"/>
      <c r="N25" s="84"/>
      <c r="O25" s="365">
        <v>22</v>
      </c>
      <c r="P25" s="360" t="e">
        <f t="shared" ca="1" si="29"/>
        <v>#REF!</v>
      </c>
      <c r="Q25" s="360" t="e">
        <f ca="1">ROUND(MIN((BD25-VLOOKUP(R25,$B$22:$F$46,2,FALSE))/(VLOOKUP(R25,$B$22:$F$46,3,FALSE)-VLOOKUP(R25,$B$22:$F$46,2,FALSE)),1)*((VLOOKUP(R25,$B$22:$F$46,4,FALSE)*(AG25/(AG25+VLOOKUP(P25,$D$49:$F$123,3,TRUE)))+VLOOKUP(R25,$B$22:$F$46,5,FALSE)*(1-AG25/(AG25+VLOOKUP(P25,$D$49:$F$123,3,TRUE))))/2)*游戏时长规划!$C$4,0)</f>
        <v>#REF!</v>
      </c>
      <c r="R25" s="360" t="e">
        <f t="shared" ca="1" si="0"/>
        <v>#REF!</v>
      </c>
      <c r="S25" s="360" t="e">
        <f t="shared" ca="1" si="27"/>
        <v>#REF!</v>
      </c>
      <c r="T25" s="360" t="e">
        <f t="shared" ca="1" si="30"/>
        <v>#REF!</v>
      </c>
      <c r="U25" s="370" t="e">
        <f t="shared" ca="1" si="1"/>
        <v>#REF!</v>
      </c>
      <c r="V25" s="363" t="e">
        <f t="shared" ca="1" si="2"/>
        <v>#REF!</v>
      </c>
      <c r="W25" s="360" t="e">
        <f t="shared" ca="1" si="3"/>
        <v>#REF!</v>
      </c>
      <c r="X25" s="81" t="e">
        <f t="shared" ca="1" si="19"/>
        <v>#REF!</v>
      </c>
      <c r="Y25" s="360" t="str">
        <f t="shared" ca="1" si="4"/>
        <v>NULL</v>
      </c>
      <c r="Z25" s="375" t="e">
        <f t="shared" ca="1" si="20"/>
        <v>#REF!</v>
      </c>
      <c r="AA25" s="360">
        <f ca="1">IFERROR(VLOOKUP(IF(V25="T1低",游戏时长规划!$C$67+Z25,Z25),INDIRECT(V25&amp;"星级"),2,TRUE),0)</f>
        <v>0</v>
      </c>
      <c r="AB25" s="375" t="e">
        <f t="shared" ca="1" si="5"/>
        <v>#REF!</v>
      </c>
      <c r="AC25" s="375">
        <f ca="1">($D$14+$D$17)*$L$4/坦克部件养成!$C$2+AC24-IFERROR(IF(RIGHT(AD24,3)*1&gt;RIGHT(VLOOKUP(AC24,INDIRECT(LEFT(AD23,2)&amp;"部件升阶"),5,TRUE),3)*1,VLOOKUP(AD23,INDIRECT(LEFT(AD23,2)&amp;"部件升阶消耗"),2,FALSE),0),0)</f>
        <v>260.33333333333343</v>
      </c>
      <c r="AD25" s="360" t="e">
        <f t="shared" ca="1" si="6"/>
        <v>#REF!</v>
      </c>
      <c r="AE25" s="375" t="e">
        <f ca="1">$D$15*$L$4/坦克部件养成!$C$2+AE24-IF(LEFT(AD25,2)&lt;&gt;LEFT(AD24,2),VLOOKUP(AF24,INDIRECT(LEFT(AD24,2)&amp;"部件升级消耗"),5,FALSE),0)</f>
        <v>#REF!</v>
      </c>
      <c r="AF25" s="360" t="e">
        <f ca="1">MIN(VLOOKUP(AE25,INDIRECT(LEFT(AD25,2)&amp;"部件升级"),2,TRUE),VLOOKUP(LEFT(AD25,2),坦克部件养成!#REF!,6,FALSE))</f>
        <v>#REF!</v>
      </c>
      <c r="AG25" s="378" t="e">
        <f ca="1">MAX(BD$4:BD25)</f>
        <v>#REF!</v>
      </c>
      <c r="AH25" s="378" t="str">
        <f t="shared" ca="1" si="7"/>
        <v/>
      </c>
      <c r="AI25" s="378">
        <f ca="1">IF(Y25="NULL",0,MAX(BY$4:BY25))</f>
        <v>0</v>
      </c>
      <c r="AK25" s="364" t="e">
        <f t="shared" ca="1" si="8"/>
        <v>#REF!</v>
      </c>
      <c r="AL25" s="364" t="e">
        <f ca="1">VLOOKUP(AK25,坦克个性化设定!$B$18:$F$48,5,FALSE)</f>
        <v>#REF!</v>
      </c>
      <c r="AM25" s="372" t="e">
        <f t="shared" ca="1" si="9"/>
        <v>#REF!</v>
      </c>
      <c r="AN25" s="372" t="e">
        <f t="shared" ca="1" si="21"/>
        <v>#REF!</v>
      </c>
      <c r="AO25" s="364">
        <f t="shared" ca="1" si="10"/>
        <v>0</v>
      </c>
      <c r="AP25" s="372" t="e">
        <f ca="1">VLOOKUP($AK25&amp;$AO25,所有坦克升星属性,MATCH(AP$3,所有坦克升星属性标头,0),FALSE)+ROUND(AU25/VLOOKUP($AK25,坦克部件!#REF!,4,FALSE)*VLOOKUP($AK25&amp;0,所有坦克升星属性,MATCH(AP$3,所有坦克升星属性标头,0),FALSE),0)</f>
        <v>#REF!</v>
      </c>
      <c r="AQ25" s="372" t="e">
        <f ca="1">VLOOKUP($AK25&amp;$AO25,所有坦克升星属性,MATCH(AQ$3,所有坦克升星属性标头,0),FALSE)+ROUND(AV25/VLOOKUP($AK25,坦克部件!#REF!,4,FALSE)*VLOOKUP($AK25&amp;0,所有坦克升星属性,MATCH(AQ$3,所有坦克升星属性标头,0),FALSE),0)</f>
        <v>#REF!</v>
      </c>
      <c r="AR25" s="372" t="e">
        <f t="shared" ca="1" si="31"/>
        <v>#REF!</v>
      </c>
      <c r="AS25" s="372" t="e">
        <f t="shared" ca="1" si="31"/>
        <v>#REF!</v>
      </c>
      <c r="AT25" s="372" t="e">
        <f ca="1">VLOOKUP($AK25&amp;$AO25,所有坦克升星属性,MATCH(AT$3,所有坦克升星属性标头,0),FALSE)+ROUND(AW25/VLOOKUP($AK25,坦克部件!#REF!,4,FALSE)*VLOOKUP($AK25&amp;0,所有坦克升星属性,MATCH(AT$3,所有坦克升星属性标头,0),FALSE),0)</f>
        <v>#REF!</v>
      </c>
      <c r="AU25" s="372" t="e">
        <f ca="1">(VLOOKUP($AM25,坦克部件!#REF!,MATCH("标准值",坦克部件!#REF!,0),FALSE)+VLOOKUP($AN25,坦克部件!#REF!,MATCH("标准值",坦克部件!#REF!,0),FALSE))*2</f>
        <v>#REF!</v>
      </c>
      <c r="AV25" s="372" t="e">
        <f ca="1">(VLOOKUP($AM25,坦克部件!#REF!,MATCH("标准值",坦克部件!#REF!,0),FALSE)+VLOOKUP($AN25,坦克部件!#REF!,MATCH("标准值",坦克部件!#REF!,0),FALSE))*2</f>
        <v>#REF!</v>
      </c>
      <c r="AW25" s="372" t="e">
        <f ca="1">(VLOOKUP($AM25,坦克部件!#REF!,MATCH("标准值",坦克部件!#REF!,0),FALSE)+VLOOKUP($AN25,坦克部件!#REF!,MATCH("标准值",坦克部件!#REF!,0),FALSE))*2</f>
        <v>#REF!</v>
      </c>
      <c r="AX25" s="372" t="e">
        <f ca="1">VLOOKUP($AK25,坦克属性统计!$B$3:$AY$33,MATCH(AX$3,坦克属性统计!$B$3:$AY$3,0),FALSE)</f>
        <v>#REF!</v>
      </c>
      <c r="AY25" s="372" t="e">
        <f t="shared" ca="1" si="32"/>
        <v>#REF!</v>
      </c>
      <c r="AZ25" s="372" t="e">
        <f t="shared" ca="1" si="32"/>
        <v>#REF!</v>
      </c>
      <c r="BA25" s="372" t="e">
        <f t="shared" ca="1" si="32"/>
        <v>#REF!</v>
      </c>
      <c r="BB25" s="356" t="e">
        <f t="shared" ca="1" si="13"/>
        <v>#REF!</v>
      </c>
      <c r="BC25" s="356" t="e">
        <f ca="1">VLOOKUP(AK25,坦克个性化设定!$B$18:$E$48,4,FALSE)</f>
        <v>#REF!</v>
      </c>
      <c r="BD25" s="357" t="e">
        <f t="shared" ca="1" si="22"/>
        <v>#REF!</v>
      </c>
      <c r="BF25" s="357" t="str">
        <f t="shared" ca="1" si="14"/>
        <v/>
      </c>
      <c r="BG25" s="372" t="str">
        <f ca="1">IFERROR(VLOOKUP(BF25,坦克个性化设定!$B$18:$F$48,5,FALSE),"")</f>
        <v/>
      </c>
      <c r="BH25" s="372" t="e">
        <f t="shared" ca="1" si="23"/>
        <v>#REF!</v>
      </c>
      <c r="BI25" s="372" t="e">
        <f t="shared" ca="1" si="24"/>
        <v>#REF!</v>
      </c>
      <c r="BJ25" s="364" t="str">
        <f t="shared" ca="1" si="15"/>
        <v>NULL</v>
      </c>
      <c r="BK25" s="372" t="e">
        <f ca="1">VLOOKUP($BF25&amp;IF($BJ25="NULL",0,$BJ25),所有坦克升星属性,MATCH(BK$3,所有坦克升星属性标头,0),FALSE)+ROUND(BP25/VLOOKUP($BF25,坦克部件!#REF!,4,FALSE)*VLOOKUP($BF25&amp;0,所有坦克升星属性,MATCH(BK$3,所有坦克升星属性标头,0),FALSE),0)</f>
        <v>#N/A</v>
      </c>
      <c r="BL25" s="372" t="e">
        <f ca="1">VLOOKUP($BF25&amp;IF($BJ25="NULL",0,$BJ25),所有坦克升星属性,MATCH(BL$3,所有坦克升星属性标头,0),FALSE)+ROUND(BQ25/VLOOKUP($BF25,坦克部件!#REF!,4,FALSE)*VLOOKUP($BF25&amp;0,所有坦克升星属性,MATCH(BL$3,所有坦克升星属性标头,0),FALSE),0)</f>
        <v>#N/A</v>
      </c>
      <c r="BM25" s="372" t="e">
        <f t="shared" ca="1" si="33"/>
        <v>#N/A</v>
      </c>
      <c r="BN25" s="372" t="e">
        <f t="shared" ca="1" si="33"/>
        <v>#N/A</v>
      </c>
      <c r="BO25" s="372" t="e">
        <f ca="1">VLOOKUP($BF25&amp;IF($BJ25="NULL",0,$BJ25),所有坦克升星属性,MATCH(BO$3,所有坦克升星属性标头,0),FALSE)+ROUND(BR25/VLOOKUP($BF25,坦克部件!#REF!,4,FALSE)*VLOOKUP($BF25&amp;0,所有坦克升星属性,MATCH(BO$3,所有坦克升星属性标头,0),FALSE),0)</f>
        <v>#N/A</v>
      </c>
      <c r="BP25" s="372" t="e">
        <f ca="1">(VLOOKUP($BH25,坦克部件!#REF!,MATCH("标准值",坦克部件!#REF!,0),FALSE)+VLOOKUP($BI25,坦克部件!#REF!,MATCH("标准值",坦克部件!#REF!,0),FALSE))*2</f>
        <v>#REF!</v>
      </c>
      <c r="BQ25" s="372" t="e">
        <f ca="1">(VLOOKUP($BH25,坦克部件!#REF!,MATCH("标准值",坦克部件!#REF!,0),FALSE)+VLOOKUP($BI25,坦克部件!#REF!,MATCH("标准值",坦克部件!#REF!,0),FALSE))*2</f>
        <v>#REF!</v>
      </c>
      <c r="BR25" s="372" t="e">
        <f ca="1">(VLOOKUP($BH25,坦克部件!#REF!,MATCH("标准值",坦克部件!#REF!,0),FALSE)+VLOOKUP($BI25,坦克部件!#REF!,MATCH("标准值",坦克部件!#REF!,0),FALSE))*2</f>
        <v>#REF!</v>
      </c>
      <c r="BS25" s="372" t="e">
        <f ca="1">VLOOKUP($BF25,坦克属性统计!$B$3:$AY$33,MATCH(BS$3,坦克属性统计!$B$3:$AY$3,0),FALSE)</f>
        <v>#N/A</v>
      </c>
      <c r="BT25" s="372" t="e">
        <f t="shared" ca="1" si="34"/>
        <v>#N/A</v>
      </c>
      <c r="BU25" s="372" t="e">
        <f t="shared" ca="1" si="34"/>
        <v>#N/A</v>
      </c>
      <c r="BV25" s="372" t="e">
        <f t="shared" ca="1" si="34"/>
        <v>#N/A</v>
      </c>
      <c r="BW25" s="356">
        <f t="shared" ca="1" si="18"/>
        <v>0</v>
      </c>
      <c r="BX25" s="356" t="e">
        <f ca="1">VLOOKUP(BF25,坦克个性化设定!$B$18:$E$48,4,FALSE)</f>
        <v>#N/A</v>
      </c>
      <c r="BY25" s="357" t="e">
        <f t="shared" ca="1" si="25"/>
        <v>#N/A</v>
      </c>
    </row>
    <row r="26" spans="2:77" x14ac:dyDescent="0.35">
      <c r="B26" s="352">
        <v>4</v>
      </c>
      <c r="C26" s="360">
        <f ca="1">游戏时长规划!H43</f>
        <v>3450</v>
      </c>
      <c r="D26" s="360">
        <f ca="1">游戏时长规划!I43</f>
        <v>6151</v>
      </c>
      <c r="E26" s="360">
        <f>游戏时长规划!K16</f>
        <v>20</v>
      </c>
      <c r="F26" s="360">
        <f>游戏时长规划!L16</f>
        <v>-16</v>
      </c>
      <c r="H26" s="362">
        <v>10</v>
      </c>
      <c r="I26" s="360" t="s">
        <v>1110</v>
      </c>
      <c r="J26" s="374" t="s">
        <v>1109</v>
      </c>
      <c r="K26" s="557" t="s">
        <v>2559</v>
      </c>
      <c r="L26" s="84"/>
      <c r="N26" s="84"/>
      <c r="O26" s="365">
        <v>23</v>
      </c>
      <c r="P26" s="360" t="e">
        <f t="shared" ca="1" si="29"/>
        <v>#REF!</v>
      </c>
      <c r="Q26" s="360" t="e">
        <f ca="1">ROUND(MIN((BD26-VLOOKUP(R26,$B$22:$F$46,2,FALSE))/(VLOOKUP(R26,$B$22:$F$46,3,FALSE)-VLOOKUP(R26,$B$22:$F$46,2,FALSE)),1)*((VLOOKUP(R26,$B$22:$F$46,4,FALSE)*(AG26/(AG26+VLOOKUP(P26,$D$49:$F$123,3,TRUE)))+VLOOKUP(R26,$B$22:$F$46,5,FALSE)*(1-AG26/(AG26+VLOOKUP(P26,$D$49:$F$123,3,TRUE))))/2)*游戏时长规划!$C$4,0)</f>
        <v>#REF!</v>
      </c>
      <c r="R26" s="360" t="e">
        <f t="shared" ca="1" si="0"/>
        <v>#REF!</v>
      </c>
      <c r="S26" s="360" t="e">
        <f t="shared" ca="1" si="27"/>
        <v>#REF!</v>
      </c>
      <c r="T26" s="360" t="e">
        <f t="shared" ca="1" si="30"/>
        <v>#REF!</v>
      </c>
      <c r="U26" s="370" t="e">
        <f t="shared" ca="1" si="1"/>
        <v>#REF!</v>
      </c>
      <c r="V26" s="363" t="e">
        <f t="shared" ca="1" si="2"/>
        <v>#REF!</v>
      </c>
      <c r="W26" s="360" t="e">
        <f t="shared" ca="1" si="3"/>
        <v>#REF!</v>
      </c>
      <c r="X26" s="81" t="e">
        <f t="shared" ca="1" si="19"/>
        <v>#REF!</v>
      </c>
      <c r="Y26" s="360" t="str">
        <f t="shared" ca="1" si="4"/>
        <v>NULL</v>
      </c>
      <c r="Z26" s="375" t="e">
        <f t="shared" ca="1" si="20"/>
        <v>#REF!</v>
      </c>
      <c r="AA26" s="360">
        <f ca="1">IFERROR(VLOOKUP(IF(V26="T1低",游戏时长规划!$C$67+Z26,Z26),INDIRECT(V26&amp;"星级"),2,TRUE),0)</f>
        <v>0</v>
      </c>
      <c r="AB26" s="375" t="e">
        <f t="shared" ca="1" si="5"/>
        <v>#REF!</v>
      </c>
      <c r="AC26" s="375">
        <f ca="1">($D$14+$D$17)*$L$4/坦克部件养成!$C$2+AC25-IFERROR(IF(RIGHT(AD25,3)*1&gt;RIGHT(VLOOKUP(AC25,INDIRECT(LEFT(AD24,2)&amp;"部件升阶"),5,TRUE),3)*1,VLOOKUP(AD24,INDIRECT(LEFT(AD24,2)&amp;"部件升阶消耗"),2,FALSE),0),0)</f>
        <v>272.16666666666674</v>
      </c>
      <c r="AD26" s="360" t="e">
        <f t="shared" ca="1" si="6"/>
        <v>#REF!</v>
      </c>
      <c r="AE26" s="375" t="e">
        <f ca="1">$D$15*$L$4/坦克部件养成!$C$2+AE25-IF(LEFT(AD26,2)&lt;&gt;LEFT(AD25,2),VLOOKUP(AF25,INDIRECT(LEFT(AD25,2)&amp;"部件升级消耗"),5,FALSE),0)</f>
        <v>#REF!</v>
      </c>
      <c r="AF26" s="360" t="e">
        <f ca="1">MIN(VLOOKUP(AE26,INDIRECT(LEFT(AD26,2)&amp;"部件升级"),2,TRUE),VLOOKUP(LEFT(AD26,2),坦克部件养成!#REF!,6,FALSE))</f>
        <v>#REF!</v>
      </c>
      <c r="AG26" s="378" t="e">
        <f ca="1">MAX(BD$4:BD26)</f>
        <v>#REF!</v>
      </c>
      <c r="AH26" s="378" t="str">
        <f t="shared" ca="1" si="7"/>
        <v/>
      </c>
      <c r="AI26" s="378">
        <f ca="1">IF(Y26="NULL",0,MAX(BY$4:BY26))</f>
        <v>0</v>
      </c>
      <c r="AK26" s="364" t="e">
        <f t="shared" ca="1" si="8"/>
        <v>#REF!</v>
      </c>
      <c r="AL26" s="364" t="e">
        <f ca="1">VLOOKUP(AK26,坦克个性化设定!$B$18:$F$48,5,FALSE)</f>
        <v>#REF!</v>
      </c>
      <c r="AM26" s="372" t="e">
        <f t="shared" ca="1" si="9"/>
        <v>#REF!</v>
      </c>
      <c r="AN26" s="372" t="e">
        <f t="shared" ca="1" si="21"/>
        <v>#REF!</v>
      </c>
      <c r="AO26" s="364">
        <f t="shared" ca="1" si="10"/>
        <v>0</v>
      </c>
      <c r="AP26" s="372" t="e">
        <f ca="1">VLOOKUP($AK26&amp;$AO26,所有坦克升星属性,MATCH(AP$3,所有坦克升星属性标头,0),FALSE)+ROUND(AU26/VLOOKUP($AK26,坦克部件!#REF!,4,FALSE)*VLOOKUP($AK26&amp;0,所有坦克升星属性,MATCH(AP$3,所有坦克升星属性标头,0),FALSE),0)</f>
        <v>#REF!</v>
      </c>
      <c r="AQ26" s="372" t="e">
        <f ca="1">VLOOKUP($AK26&amp;$AO26,所有坦克升星属性,MATCH(AQ$3,所有坦克升星属性标头,0),FALSE)+ROUND(AV26/VLOOKUP($AK26,坦克部件!#REF!,4,FALSE)*VLOOKUP($AK26&amp;0,所有坦克升星属性,MATCH(AQ$3,所有坦克升星属性标头,0),FALSE),0)</f>
        <v>#REF!</v>
      </c>
      <c r="AR26" s="372" t="e">
        <f t="shared" ca="1" si="31"/>
        <v>#REF!</v>
      </c>
      <c r="AS26" s="372" t="e">
        <f t="shared" ca="1" si="31"/>
        <v>#REF!</v>
      </c>
      <c r="AT26" s="372" t="e">
        <f ca="1">VLOOKUP($AK26&amp;$AO26,所有坦克升星属性,MATCH(AT$3,所有坦克升星属性标头,0),FALSE)+ROUND(AW26/VLOOKUP($AK26,坦克部件!#REF!,4,FALSE)*VLOOKUP($AK26&amp;0,所有坦克升星属性,MATCH(AT$3,所有坦克升星属性标头,0),FALSE),0)</f>
        <v>#REF!</v>
      </c>
      <c r="AU26" s="372" t="e">
        <f ca="1">(VLOOKUP($AM26,坦克部件!#REF!,MATCH("标准值",坦克部件!#REF!,0),FALSE)+VLOOKUP($AN26,坦克部件!#REF!,MATCH("标准值",坦克部件!#REF!,0),FALSE))*2</f>
        <v>#REF!</v>
      </c>
      <c r="AV26" s="372" t="e">
        <f ca="1">(VLOOKUP($AM26,坦克部件!#REF!,MATCH("标准值",坦克部件!#REF!,0),FALSE)+VLOOKUP($AN26,坦克部件!#REF!,MATCH("标准值",坦克部件!#REF!,0),FALSE))*2</f>
        <v>#REF!</v>
      </c>
      <c r="AW26" s="372" t="e">
        <f ca="1">(VLOOKUP($AM26,坦克部件!#REF!,MATCH("标准值",坦克部件!#REF!,0),FALSE)+VLOOKUP($AN26,坦克部件!#REF!,MATCH("标准值",坦克部件!#REF!,0),FALSE))*2</f>
        <v>#REF!</v>
      </c>
      <c r="AX26" s="372" t="e">
        <f ca="1">VLOOKUP($AK26,坦克属性统计!$B$3:$AY$33,MATCH(AX$3,坦克属性统计!$B$3:$AY$3,0),FALSE)</f>
        <v>#REF!</v>
      </c>
      <c r="AY26" s="372" t="e">
        <f t="shared" ca="1" si="32"/>
        <v>#REF!</v>
      </c>
      <c r="AZ26" s="372" t="e">
        <f t="shared" ca="1" si="32"/>
        <v>#REF!</v>
      </c>
      <c r="BA26" s="372" t="e">
        <f t="shared" ca="1" si="32"/>
        <v>#REF!</v>
      </c>
      <c r="BB26" s="356" t="e">
        <f t="shared" ca="1" si="13"/>
        <v>#REF!</v>
      </c>
      <c r="BC26" s="356" t="e">
        <f ca="1">VLOOKUP(AK26,坦克个性化设定!$B$18:$E$48,4,FALSE)</f>
        <v>#REF!</v>
      </c>
      <c r="BD26" s="357" t="e">
        <f t="shared" ca="1" si="22"/>
        <v>#REF!</v>
      </c>
      <c r="BF26" s="357" t="str">
        <f t="shared" ca="1" si="14"/>
        <v/>
      </c>
      <c r="BG26" s="372" t="str">
        <f ca="1">IFERROR(VLOOKUP(BF26,坦克个性化设定!$B$18:$F$48,5,FALSE),"")</f>
        <v/>
      </c>
      <c r="BH26" s="372" t="e">
        <f t="shared" ca="1" si="23"/>
        <v>#REF!</v>
      </c>
      <c r="BI26" s="372" t="e">
        <f t="shared" ca="1" si="24"/>
        <v>#REF!</v>
      </c>
      <c r="BJ26" s="364" t="str">
        <f t="shared" ca="1" si="15"/>
        <v>NULL</v>
      </c>
      <c r="BK26" s="372" t="e">
        <f ca="1">VLOOKUP($BF26&amp;IF($BJ26="NULL",0,$BJ26),所有坦克升星属性,MATCH(BK$3,所有坦克升星属性标头,0),FALSE)+ROUND(BP26/VLOOKUP($BF26,坦克部件!#REF!,4,FALSE)*VLOOKUP($BF26&amp;0,所有坦克升星属性,MATCH(BK$3,所有坦克升星属性标头,0),FALSE),0)</f>
        <v>#N/A</v>
      </c>
      <c r="BL26" s="372" t="e">
        <f ca="1">VLOOKUP($BF26&amp;IF($BJ26="NULL",0,$BJ26),所有坦克升星属性,MATCH(BL$3,所有坦克升星属性标头,0),FALSE)+ROUND(BQ26/VLOOKUP($BF26,坦克部件!#REF!,4,FALSE)*VLOOKUP($BF26&amp;0,所有坦克升星属性,MATCH(BL$3,所有坦克升星属性标头,0),FALSE),0)</f>
        <v>#N/A</v>
      </c>
      <c r="BM26" s="372" t="e">
        <f t="shared" ca="1" si="33"/>
        <v>#N/A</v>
      </c>
      <c r="BN26" s="372" t="e">
        <f t="shared" ca="1" si="33"/>
        <v>#N/A</v>
      </c>
      <c r="BO26" s="372" t="e">
        <f ca="1">VLOOKUP($BF26&amp;IF($BJ26="NULL",0,$BJ26),所有坦克升星属性,MATCH(BO$3,所有坦克升星属性标头,0),FALSE)+ROUND(BR26/VLOOKUP($BF26,坦克部件!#REF!,4,FALSE)*VLOOKUP($BF26&amp;0,所有坦克升星属性,MATCH(BO$3,所有坦克升星属性标头,0),FALSE),0)</f>
        <v>#N/A</v>
      </c>
      <c r="BP26" s="372" t="e">
        <f ca="1">(VLOOKUP($BH26,坦克部件!#REF!,MATCH("标准值",坦克部件!#REF!,0),FALSE)+VLOOKUP($BI26,坦克部件!#REF!,MATCH("标准值",坦克部件!#REF!,0),FALSE))*2</f>
        <v>#REF!</v>
      </c>
      <c r="BQ26" s="372" t="e">
        <f ca="1">(VLOOKUP($BH26,坦克部件!#REF!,MATCH("标准值",坦克部件!#REF!,0),FALSE)+VLOOKUP($BI26,坦克部件!#REF!,MATCH("标准值",坦克部件!#REF!,0),FALSE))*2</f>
        <v>#REF!</v>
      </c>
      <c r="BR26" s="372" t="e">
        <f ca="1">(VLOOKUP($BH26,坦克部件!#REF!,MATCH("标准值",坦克部件!#REF!,0),FALSE)+VLOOKUP($BI26,坦克部件!#REF!,MATCH("标准值",坦克部件!#REF!,0),FALSE))*2</f>
        <v>#REF!</v>
      </c>
      <c r="BS26" s="372" t="e">
        <f ca="1">VLOOKUP($BF26,坦克属性统计!$B$3:$AY$33,MATCH(BS$3,坦克属性统计!$B$3:$AY$3,0),FALSE)</f>
        <v>#N/A</v>
      </c>
      <c r="BT26" s="372" t="e">
        <f t="shared" ca="1" si="34"/>
        <v>#N/A</v>
      </c>
      <c r="BU26" s="372" t="e">
        <f t="shared" ca="1" si="34"/>
        <v>#N/A</v>
      </c>
      <c r="BV26" s="372" t="e">
        <f t="shared" ca="1" si="34"/>
        <v>#N/A</v>
      </c>
      <c r="BW26" s="356">
        <f t="shared" ca="1" si="18"/>
        <v>0</v>
      </c>
      <c r="BX26" s="356" t="e">
        <f ca="1">VLOOKUP(BF26,坦克个性化设定!$B$18:$E$48,4,FALSE)</f>
        <v>#N/A</v>
      </c>
      <c r="BY26" s="357" t="e">
        <f t="shared" ca="1" si="25"/>
        <v>#N/A</v>
      </c>
    </row>
    <row r="27" spans="2:77" x14ac:dyDescent="0.35">
      <c r="B27" s="352">
        <v>5</v>
      </c>
      <c r="C27" s="360">
        <f ca="1">游戏时长规划!H44</f>
        <v>4400</v>
      </c>
      <c r="D27" s="360">
        <f ca="1">游戏时长规划!I44</f>
        <v>7174</v>
      </c>
      <c r="E27" s="360">
        <f>游戏时长规划!K17</f>
        <v>20</v>
      </c>
      <c r="F27" s="360">
        <f>游戏时长规划!L17</f>
        <v>-18</v>
      </c>
      <c r="H27" s="362">
        <v>11</v>
      </c>
      <c r="I27" s="390" t="s">
        <v>1111</v>
      </c>
      <c r="J27" s="374" t="s">
        <v>1109</v>
      </c>
      <c r="K27" s="557" t="s">
        <v>2560</v>
      </c>
      <c r="L27" s="84"/>
      <c r="N27" s="84"/>
      <c r="O27" s="365">
        <v>24</v>
      </c>
      <c r="P27" s="360" t="e">
        <f t="shared" ca="1" si="29"/>
        <v>#REF!</v>
      </c>
      <c r="Q27" s="360" t="e">
        <f ca="1">ROUND(MIN((BD27-VLOOKUP(R27,$B$22:$F$46,2,FALSE))/(VLOOKUP(R27,$B$22:$F$46,3,FALSE)-VLOOKUP(R27,$B$22:$F$46,2,FALSE)),1)*((VLOOKUP(R27,$B$22:$F$46,4,FALSE)*(AG27/(AG27+VLOOKUP(P27,$D$49:$F$123,3,TRUE)))+VLOOKUP(R27,$B$22:$F$46,5,FALSE)*(1-AG27/(AG27+VLOOKUP(P27,$D$49:$F$123,3,TRUE))))/2)*游戏时长规划!$C$4,0)</f>
        <v>#REF!</v>
      </c>
      <c r="R27" s="360" t="e">
        <f t="shared" ca="1" si="0"/>
        <v>#REF!</v>
      </c>
      <c r="S27" s="360" t="e">
        <f t="shared" ca="1" si="27"/>
        <v>#REF!</v>
      </c>
      <c r="T27" s="360" t="e">
        <f t="shared" ca="1" si="30"/>
        <v>#REF!</v>
      </c>
      <c r="U27" s="370" t="e">
        <f t="shared" ca="1" si="1"/>
        <v>#REF!</v>
      </c>
      <c r="V27" s="363" t="e">
        <f t="shared" ca="1" si="2"/>
        <v>#REF!</v>
      </c>
      <c r="W27" s="360" t="e">
        <f t="shared" ca="1" si="3"/>
        <v>#REF!</v>
      </c>
      <c r="X27" s="81" t="e">
        <f t="shared" ca="1" si="19"/>
        <v>#REF!</v>
      </c>
      <c r="Y27" s="360" t="str">
        <f t="shared" ca="1" si="4"/>
        <v>NULL</v>
      </c>
      <c r="Z27" s="375" t="e">
        <f t="shared" ca="1" si="20"/>
        <v>#REF!</v>
      </c>
      <c r="AA27" s="360">
        <f ca="1">IFERROR(VLOOKUP(IF(V27="T1低",游戏时长规划!$C$67+Z27,Z27),INDIRECT(V27&amp;"星级"),2,TRUE),0)</f>
        <v>0</v>
      </c>
      <c r="AB27" s="375" t="e">
        <f t="shared" ca="1" si="5"/>
        <v>#REF!</v>
      </c>
      <c r="AC27" s="375">
        <f ca="1">($D$14+$D$17)*$L$4/坦克部件养成!$C$2+AC26-IFERROR(IF(RIGHT(AD26,3)*1&gt;RIGHT(VLOOKUP(AC26,INDIRECT(LEFT(AD25,2)&amp;"部件升阶"),5,TRUE),3)*1,VLOOKUP(AD25,INDIRECT(LEFT(AD25,2)&amp;"部件升阶消耗"),2,FALSE),0),0)</f>
        <v>284.00000000000006</v>
      </c>
      <c r="AD27" s="360" t="e">
        <f t="shared" ca="1" si="6"/>
        <v>#REF!</v>
      </c>
      <c r="AE27" s="375" t="e">
        <f ca="1">$D$15*$L$4/坦克部件养成!$C$2+AE26-IF(LEFT(AD27,2)&lt;&gt;LEFT(AD26,2),VLOOKUP(AF26,INDIRECT(LEFT(AD26,2)&amp;"部件升级消耗"),5,FALSE),0)</f>
        <v>#REF!</v>
      </c>
      <c r="AF27" s="360" t="e">
        <f ca="1">MIN(VLOOKUP(AE27,INDIRECT(LEFT(AD27,2)&amp;"部件升级"),2,TRUE),VLOOKUP(LEFT(AD27,2),坦克部件养成!#REF!,6,FALSE))</f>
        <v>#REF!</v>
      </c>
      <c r="AG27" s="378" t="e">
        <f ca="1">MAX(BD$4:BD27)</f>
        <v>#REF!</v>
      </c>
      <c r="AH27" s="378" t="str">
        <f t="shared" ca="1" si="7"/>
        <v/>
      </c>
      <c r="AI27" s="378">
        <f ca="1">IF(Y27="NULL",0,MAX(BY$4:BY27))</f>
        <v>0</v>
      </c>
      <c r="AK27" s="364" t="e">
        <f t="shared" ca="1" si="8"/>
        <v>#REF!</v>
      </c>
      <c r="AL27" s="364" t="e">
        <f ca="1">VLOOKUP(AK27,坦克个性化设定!$B$18:$F$48,5,FALSE)</f>
        <v>#REF!</v>
      </c>
      <c r="AM27" s="372" t="e">
        <f t="shared" ca="1" si="9"/>
        <v>#REF!</v>
      </c>
      <c r="AN27" s="372" t="e">
        <f t="shared" ca="1" si="21"/>
        <v>#REF!</v>
      </c>
      <c r="AO27" s="364">
        <f t="shared" ca="1" si="10"/>
        <v>0</v>
      </c>
      <c r="AP27" s="372" t="e">
        <f ca="1">VLOOKUP($AK27&amp;$AO27,所有坦克升星属性,MATCH(AP$3,所有坦克升星属性标头,0),FALSE)+ROUND(AU27/VLOOKUP($AK27,坦克部件!#REF!,4,FALSE)*VLOOKUP($AK27&amp;0,所有坦克升星属性,MATCH(AP$3,所有坦克升星属性标头,0),FALSE),0)</f>
        <v>#REF!</v>
      </c>
      <c r="AQ27" s="372" t="e">
        <f ca="1">VLOOKUP($AK27&amp;$AO27,所有坦克升星属性,MATCH(AQ$3,所有坦克升星属性标头,0),FALSE)+ROUND(AV27/VLOOKUP($AK27,坦克部件!#REF!,4,FALSE)*VLOOKUP($AK27&amp;0,所有坦克升星属性,MATCH(AQ$3,所有坦克升星属性标头,0),FALSE),0)</f>
        <v>#REF!</v>
      </c>
      <c r="AR27" s="372" t="e">
        <f t="shared" ca="1" si="31"/>
        <v>#REF!</v>
      </c>
      <c r="AS27" s="372" t="e">
        <f t="shared" ca="1" si="31"/>
        <v>#REF!</v>
      </c>
      <c r="AT27" s="372" t="e">
        <f ca="1">VLOOKUP($AK27&amp;$AO27,所有坦克升星属性,MATCH(AT$3,所有坦克升星属性标头,0),FALSE)+ROUND(AW27/VLOOKUP($AK27,坦克部件!#REF!,4,FALSE)*VLOOKUP($AK27&amp;0,所有坦克升星属性,MATCH(AT$3,所有坦克升星属性标头,0),FALSE),0)</f>
        <v>#REF!</v>
      </c>
      <c r="AU27" s="372" t="e">
        <f ca="1">(VLOOKUP($AM27,坦克部件!#REF!,MATCH("标准值",坦克部件!#REF!,0),FALSE)+VLOOKUP($AN27,坦克部件!#REF!,MATCH("标准值",坦克部件!#REF!,0),FALSE))*2</f>
        <v>#REF!</v>
      </c>
      <c r="AV27" s="372" t="e">
        <f ca="1">(VLOOKUP($AM27,坦克部件!#REF!,MATCH("标准值",坦克部件!#REF!,0),FALSE)+VLOOKUP($AN27,坦克部件!#REF!,MATCH("标准值",坦克部件!#REF!,0),FALSE))*2</f>
        <v>#REF!</v>
      </c>
      <c r="AW27" s="372" t="e">
        <f ca="1">(VLOOKUP($AM27,坦克部件!#REF!,MATCH("标准值",坦克部件!#REF!,0),FALSE)+VLOOKUP($AN27,坦克部件!#REF!,MATCH("标准值",坦克部件!#REF!,0),FALSE))*2</f>
        <v>#REF!</v>
      </c>
      <c r="AX27" s="372" t="e">
        <f ca="1">VLOOKUP($AK27,坦克属性统计!$B$3:$AY$33,MATCH(AX$3,坦克属性统计!$B$3:$AY$3,0),FALSE)</f>
        <v>#REF!</v>
      </c>
      <c r="AY27" s="372" t="e">
        <f t="shared" ca="1" si="32"/>
        <v>#REF!</v>
      </c>
      <c r="AZ27" s="372" t="e">
        <f t="shared" ca="1" si="32"/>
        <v>#REF!</v>
      </c>
      <c r="BA27" s="372" t="e">
        <f t="shared" ca="1" si="32"/>
        <v>#REF!</v>
      </c>
      <c r="BB27" s="356" t="e">
        <f t="shared" ca="1" si="13"/>
        <v>#REF!</v>
      </c>
      <c r="BC27" s="356" t="e">
        <f ca="1">VLOOKUP(AK27,坦克个性化设定!$B$18:$E$48,4,FALSE)</f>
        <v>#REF!</v>
      </c>
      <c r="BD27" s="357" t="e">
        <f t="shared" ca="1" si="22"/>
        <v>#REF!</v>
      </c>
      <c r="BF27" s="357" t="str">
        <f t="shared" ca="1" si="14"/>
        <v/>
      </c>
      <c r="BG27" s="372" t="str">
        <f ca="1">IFERROR(VLOOKUP(BF27,坦克个性化设定!$B$18:$F$48,5,FALSE),"")</f>
        <v/>
      </c>
      <c r="BH27" s="372" t="e">
        <f t="shared" ca="1" si="23"/>
        <v>#REF!</v>
      </c>
      <c r="BI27" s="372" t="e">
        <f t="shared" ca="1" si="24"/>
        <v>#REF!</v>
      </c>
      <c r="BJ27" s="364" t="str">
        <f t="shared" ca="1" si="15"/>
        <v>NULL</v>
      </c>
      <c r="BK27" s="372" t="e">
        <f ca="1">VLOOKUP($BF27&amp;IF($BJ27="NULL",0,$BJ27),所有坦克升星属性,MATCH(BK$3,所有坦克升星属性标头,0),FALSE)+ROUND(BP27/VLOOKUP($BF27,坦克部件!#REF!,4,FALSE)*VLOOKUP($BF27&amp;0,所有坦克升星属性,MATCH(BK$3,所有坦克升星属性标头,0),FALSE),0)</f>
        <v>#N/A</v>
      </c>
      <c r="BL27" s="372" t="e">
        <f ca="1">VLOOKUP($BF27&amp;IF($BJ27="NULL",0,$BJ27),所有坦克升星属性,MATCH(BL$3,所有坦克升星属性标头,0),FALSE)+ROUND(BQ27/VLOOKUP($BF27,坦克部件!#REF!,4,FALSE)*VLOOKUP($BF27&amp;0,所有坦克升星属性,MATCH(BL$3,所有坦克升星属性标头,0),FALSE),0)</f>
        <v>#N/A</v>
      </c>
      <c r="BM27" s="372" t="e">
        <f t="shared" ca="1" si="33"/>
        <v>#N/A</v>
      </c>
      <c r="BN27" s="372" t="e">
        <f t="shared" ca="1" si="33"/>
        <v>#N/A</v>
      </c>
      <c r="BO27" s="372" t="e">
        <f ca="1">VLOOKUP($BF27&amp;IF($BJ27="NULL",0,$BJ27),所有坦克升星属性,MATCH(BO$3,所有坦克升星属性标头,0),FALSE)+ROUND(BR27/VLOOKUP($BF27,坦克部件!#REF!,4,FALSE)*VLOOKUP($BF27&amp;0,所有坦克升星属性,MATCH(BO$3,所有坦克升星属性标头,0),FALSE),0)</f>
        <v>#N/A</v>
      </c>
      <c r="BP27" s="372" t="e">
        <f ca="1">(VLOOKUP($BH27,坦克部件!#REF!,MATCH("标准值",坦克部件!#REF!,0),FALSE)+VLOOKUP($BI27,坦克部件!#REF!,MATCH("标准值",坦克部件!#REF!,0),FALSE))*2</f>
        <v>#REF!</v>
      </c>
      <c r="BQ27" s="372" t="e">
        <f ca="1">(VLOOKUP($BH27,坦克部件!#REF!,MATCH("标准值",坦克部件!#REF!,0),FALSE)+VLOOKUP($BI27,坦克部件!#REF!,MATCH("标准值",坦克部件!#REF!,0),FALSE))*2</f>
        <v>#REF!</v>
      </c>
      <c r="BR27" s="372" t="e">
        <f ca="1">(VLOOKUP($BH27,坦克部件!#REF!,MATCH("标准值",坦克部件!#REF!,0),FALSE)+VLOOKUP($BI27,坦克部件!#REF!,MATCH("标准值",坦克部件!#REF!,0),FALSE))*2</f>
        <v>#REF!</v>
      </c>
      <c r="BS27" s="372" t="e">
        <f ca="1">VLOOKUP($BF27,坦克属性统计!$B$3:$AY$33,MATCH(BS$3,坦克属性统计!$B$3:$AY$3,0),FALSE)</f>
        <v>#N/A</v>
      </c>
      <c r="BT27" s="372" t="e">
        <f t="shared" ca="1" si="34"/>
        <v>#N/A</v>
      </c>
      <c r="BU27" s="372" t="e">
        <f t="shared" ca="1" si="34"/>
        <v>#N/A</v>
      </c>
      <c r="BV27" s="372" t="e">
        <f t="shared" ca="1" si="34"/>
        <v>#N/A</v>
      </c>
      <c r="BW27" s="356">
        <f t="shared" ca="1" si="18"/>
        <v>0</v>
      </c>
      <c r="BX27" s="356" t="e">
        <f ca="1">VLOOKUP(BF27,坦克个性化设定!$B$18:$E$48,4,FALSE)</f>
        <v>#N/A</v>
      </c>
      <c r="BY27" s="357" t="e">
        <f t="shared" ca="1" si="25"/>
        <v>#N/A</v>
      </c>
    </row>
    <row r="28" spans="2:77" x14ac:dyDescent="0.35">
      <c r="B28" s="352">
        <v>6</v>
      </c>
      <c r="C28" s="360">
        <f ca="1">游戏时长规划!H45</f>
        <v>5250</v>
      </c>
      <c r="D28" s="360">
        <f ca="1">游戏时长规划!I45</f>
        <v>8112</v>
      </c>
      <c r="E28" s="360">
        <f>游戏时长规划!K18</f>
        <v>20</v>
      </c>
      <c r="F28" s="360">
        <f>游戏时长规划!L18</f>
        <v>-18</v>
      </c>
      <c r="H28" s="362">
        <v>12</v>
      </c>
      <c r="I28" s="390" t="s">
        <v>1112</v>
      </c>
      <c r="J28" s="360" t="s">
        <v>1109</v>
      </c>
      <c r="K28" s="557" t="s">
        <v>2558</v>
      </c>
      <c r="L28" s="84"/>
      <c r="N28" s="84"/>
      <c r="O28" s="365">
        <v>25</v>
      </c>
      <c r="P28" s="360" t="e">
        <f t="shared" ca="1" si="29"/>
        <v>#REF!</v>
      </c>
      <c r="Q28" s="360" t="e">
        <f ca="1">ROUND(MIN((BD28-VLOOKUP(R28,$B$22:$F$46,2,FALSE))/(VLOOKUP(R28,$B$22:$F$46,3,FALSE)-VLOOKUP(R28,$B$22:$F$46,2,FALSE)),1)*((VLOOKUP(R28,$B$22:$F$46,4,FALSE)*(AG28/(AG28+VLOOKUP(P28,$D$49:$F$123,3,TRUE)))+VLOOKUP(R28,$B$22:$F$46,5,FALSE)*(1-AG28/(AG28+VLOOKUP(P28,$D$49:$F$123,3,TRUE))))/2)*游戏时长规划!$C$4,0)</f>
        <v>#REF!</v>
      </c>
      <c r="R28" s="360" t="e">
        <f t="shared" ca="1" si="0"/>
        <v>#REF!</v>
      </c>
      <c r="S28" s="360" t="e">
        <f t="shared" ca="1" si="27"/>
        <v>#REF!</v>
      </c>
      <c r="T28" s="360" t="e">
        <f t="shared" ca="1" si="30"/>
        <v>#REF!</v>
      </c>
      <c r="U28" s="370" t="e">
        <f t="shared" ca="1" si="1"/>
        <v>#REF!</v>
      </c>
      <c r="V28" s="363" t="e">
        <f t="shared" ca="1" si="2"/>
        <v>#REF!</v>
      </c>
      <c r="W28" s="360" t="e">
        <f t="shared" ca="1" si="3"/>
        <v>#REF!</v>
      </c>
      <c r="X28" s="81" t="e">
        <f t="shared" ca="1" si="19"/>
        <v>#REF!</v>
      </c>
      <c r="Y28" s="360" t="str">
        <f t="shared" ca="1" si="4"/>
        <v>NULL</v>
      </c>
      <c r="Z28" s="375" t="e">
        <f t="shared" ca="1" si="20"/>
        <v>#REF!</v>
      </c>
      <c r="AA28" s="360">
        <f ca="1">IFERROR(VLOOKUP(IF(V28="T1低",游戏时长规划!$C$67+Z28,Z28),INDIRECT(V28&amp;"星级"),2,TRUE),0)</f>
        <v>0</v>
      </c>
      <c r="AB28" s="375" t="e">
        <f t="shared" ca="1" si="5"/>
        <v>#REF!</v>
      </c>
      <c r="AC28" s="375">
        <f ca="1">($D$14+$D$17)*$L$4/坦克部件养成!$C$2+AC27-IFERROR(IF(RIGHT(AD27,3)*1&gt;RIGHT(VLOOKUP(AC27,INDIRECT(LEFT(AD26,2)&amp;"部件升阶"),5,TRUE),3)*1,VLOOKUP(AD26,INDIRECT(LEFT(AD26,2)&amp;"部件升阶消耗"),2,FALSE),0),0)</f>
        <v>295.83333333333337</v>
      </c>
      <c r="AD28" s="360" t="e">
        <f t="shared" ca="1" si="6"/>
        <v>#REF!</v>
      </c>
      <c r="AE28" s="375" t="e">
        <f ca="1">$D$15*$L$4/坦克部件养成!$C$2+AE27-IF(LEFT(AD28,2)&lt;&gt;LEFT(AD27,2),VLOOKUP(AF27,INDIRECT(LEFT(AD27,2)&amp;"部件升级消耗"),5,FALSE),0)</f>
        <v>#REF!</v>
      </c>
      <c r="AF28" s="360" t="e">
        <f ca="1">MIN(VLOOKUP(AE28,INDIRECT(LEFT(AD28,2)&amp;"部件升级"),2,TRUE),VLOOKUP(LEFT(AD28,2),坦克部件养成!#REF!,6,FALSE))</f>
        <v>#REF!</v>
      </c>
      <c r="AG28" s="378" t="e">
        <f ca="1">MAX(BD$4:BD28)</f>
        <v>#REF!</v>
      </c>
      <c r="AH28" s="378" t="str">
        <f t="shared" ca="1" si="7"/>
        <v/>
      </c>
      <c r="AI28" s="378">
        <f ca="1">IF(Y28="NULL",0,MAX(BY$4:BY28))</f>
        <v>0</v>
      </c>
      <c r="AK28" s="364" t="e">
        <f t="shared" ca="1" si="8"/>
        <v>#REF!</v>
      </c>
      <c r="AL28" s="364" t="e">
        <f ca="1">VLOOKUP(AK28,坦克个性化设定!$B$18:$F$48,5,FALSE)</f>
        <v>#REF!</v>
      </c>
      <c r="AM28" s="372" t="e">
        <f t="shared" ca="1" si="9"/>
        <v>#REF!</v>
      </c>
      <c r="AN28" s="372" t="e">
        <f t="shared" ca="1" si="21"/>
        <v>#REF!</v>
      </c>
      <c r="AO28" s="364">
        <f t="shared" ca="1" si="10"/>
        <v>0</v>
      </c>
      <c r="AP28" s="372" t="e">
        <f ca="1">VLOOKUP($AK28&amp;$AO28,所有坦克升星属性,MATCH(AP$3,所有坦克升星属性标头,0),FALSE)+ROUND(AU28/VLOOKUP($AK28,坦克部件!#REF!,4,FALSE)*VLOOKUP($AK28&amp;0,所有坦克升星属性,MATCH(AP$3,所有坦克升星属性标头,0),FALSE),0)</f>
        <v>#REF!</v>
      </c>
      <c r="AQ28" s="372" t="e">
        <f ca="1">VLOOKUP($AK28&amp;$AO28,所有坦克升星属性,MATCH(AQ$3,所有坦克升星属性标头,0),FALSE)+ROUND(AV28/VLOOKUP($AK28,坦克部件!#REF!,4,FALSE)*VLOOKUP($AK28&amp;0,所有坦克升星属性,MATCH(AQ$3,所有坦克升星属性标头,0),FALSE),0)</f>
        <v>#REF!</v>
      </c>
      <c r="AR28" s="372" t="e">
        <f t="shared" ca="1" si="31"/>
        <v>#REF!</v>
      </c>
      <c r="AS28" s="372" t="e">
        <f t="shared" ca="1" si="31"/>
        <v>#REF!</v>
      </c>
      <c r="AT28" s="372" t="e">
        <f ca="1">VLOOKUP($AK28&amp;$AO28,所有坦克升星属性,MATCH(AT$3,所有坦克升星属性标头,0),FALSE)+ROUND(AW28/VLOOKUP($AK28,坦克部件!#REF!,4,FALSE)*VLOOKUP($AK28&amp;0,所有坦克升星属性,MATCH(AT$3,所有坦克升星属性标头,0),FALSE),0)</f>
        <v>#REF!</v>
      </c>
      <c r="AU28" s="372" t="e">
        <f ca="1">(VLOOKUP($AM28,坦克部件!#REF!,MATCH("标准值",坦克部件!#REF!,0),FALSE)+VLOOKUP($AN28,坦克部件!#REF!,MATCH("标准值",坦克部件!#REF!,0),FALSE))*2</f>
        <v>#REF!</v>
      </c>
      <c r="AV28" s="372" t="e">
        <f ca="1">(VLOOKUP($AM28,坦克部件!#REF!,MATCH("标准值",坦克部件!#REF!,0),FALSE)+VLOOKUP($AN28,坦克部件!#REF!,MATCH("标准值",坦克部件!#REF!,0),FALSE))*2</f>
        <v>#REF!</v>
      </c>
      <c r="AW28" s="372" t="e">
        <f ca="1">(VLOOKUP($AM28,坦克部件!#REF!,MATCH("标准值",坦克部件!#REF!,0),FALSE)+VLOOKUP($AN28,坦克部件!#REF!,MATCH("标准值",坦克部件!#REF!,0),FALSE))*2</f>
        <v>#REF!</v>
      </c>
      <c r="AX28" s="372" t="e">
        <f ca="1">VLOOKUP($AK28,坦克属性统计!$B$3:$AY$33,MATCH(AX$3,坦克属性统计!$B$3:$AY$3,0),FALSE)</f>
        <v>#REF!</v>
      </c>
      <c r="AY28" s="372" t="e">
        <f t="shared" ca="1" si="32"/>
        <v>#REF!</v>
      </c>
      <c r="AZ28" s="372" t="e">
        <f t="shared" ca="1" si="32"/>
        <v>#REF!</v>
      </c>
      <c r="BA28" s="372" t="e">
        <f t="shared" ca="1" si="32"/>
        <v>#REF!</v>
      </c>
      <c r="BB28" s="356" t="e">
        <f t="shared" ca="1" si="13"/>
        <v>#REF!</v>
      </c>
      <c r="BC28" s="356" t="e">
        <f ca="1">VLOOKUP(AK28,坦克个性化设定!$B$18:$E$48,4,FALSE)</f>
        <v>#REF!</v>
      </c>
      <c r="BD28" s="357" t="e">
        <f t="shared" ca="1" si="22"/>
        <v>#REF!</v>
      </c>
      <c r="BF28" s="357" t="str">
        <f t="shared" ca="1" si="14"/>
        <v/>
      </c>
      <c r="BG28" s="372" t="str">
        <f ca="1">IFERROR(VLOOKUP(BF28,坦克个性化设定!$B$18:$F$48,5,FALSE),"")</f>
        <v/>
      </c>
      <c r="BH28" s="372" t="e">
        <f t="shared" ca="1" si="23"/>
        <v>#REF!</v>
      </c>
      <c r="BI28" s="372" t="e">
        <f t="shared" ca="1" si="24"/>
        <v>#REF!</v>
      </c>
      <c r="BJ28" s="364" t="str">
        <f t="shared" ca="1" si="15"/>
        <v>NULL</v>
      </c>
      <c r="BK28" s="372" t="e">
        <f ca="1">VLOOKUP($BF28&amp;IF($BJ28="NULL",0,$BJ28),所有坦克升星属性,MATCH(BK$3,所有坦克升星属性标头,0),FALSE)+ROUND(BP28/VLOOKUP($BF28,坦克部件!#REF!,4,FALSE)*VLOOKUP($BF28&amp;0,所有坦克升星属性,MATCH(BK$3,所有坦克升星属性标头,0),FALSE),0)</f>
        <v>#N/A</v>
      </c>
      <c r="BL28" s="372" t="e">
        <f ca="1">VLOOKUP($BF28&amp;IF($BJ28="NULL",0,$BJ28),所有坦克升星属性,MATCH(BL$3,所有坦克升星属性标头,0),FALSE)+ROUND(BQ28/VLOOKUP($BF28,坦克部件!#REF!,4,FALSE)*VLOOKUP($BF28&amp;0,所有坦克升星属性,MATCH(BL$3,所有坦克升星属性标头,0),FALSE),0)</f>
        <v>#N/A</v>
      </c>
      <c r="BM28" s="372" t="e">
        <f t="shared" ca="1" si="33"/>
        <v>#N/A</v>
      </c>
      <c r="BN28" s="372" t="e">
        <f t="shared" ca="1" si="33"/>
        <v>#N/A</v>
      </c>
      <c r="BO28" s="372" t="e">
        <f ca="1">VLOOKUP($BF28&amp;IF($BJ28="NULL",0,$BJ28),所有坦克升星属性,MATCH(BO$3,所有坦克升星属性标头,0),FALSE)+ROUND(BR28/VLOOKUP($BF28,坦克部件!#REF!,4,FALSE)*VLOOKUP($BF28&amp;0,所有坦克升星属性,MATCH(BO$3,所有坦克升星属性标头,0),FALSE),0)</f>
        <v>#N/A</v>
      </c>
      <c r="BP28" s="372" t="e">
        <f ca="1">(VLOOKUP($BH28,坦克部件!#REF!,MATCH("标准值",坦克部件!#REF!,0),FALSE)+VLOOKUP($BI28,坦克部件!#REF!,MATCH("标准值",坦克部件!#REF!,0),FALSE))*2</f>
        <v>#REF!</v>
      </c>
      <c r="BQ28" s="372" t="e">
        <f ca="1">(VLOOKUP($BH28,坦克部件!#REF!,MATCH("标准值",坦克部件!#REF!,0),FALSE)+VLOOKUP($BI28,坦克部件!#REF!,MATCH("标准值",坦克部件!#REF!,0),FALSE))*2</f>
        <v>#REF!</v>
      </c>
      <c r="BR28" s="372" t="e">
        <f ca="1">(VLOOKUP($BH28,坦克部件!#REF!,MATCH("标准值",坦克部件!#REF!,0),FALSE)+VLOOKUP($BI28,坦克部件!#REF!,MATCH("标准值",坦克部件!#REF!,0),FALSE))*2</f>
        <v>#REF!</v>
      </c>
      <c r="BS28" s="372" t="e">
        <f ca="1">VLOOKUP($BF28,坦克属性统计!$B$3:$AY$33,MATCH(BS$3,坦克属性统计!$B$3:$AY$3,0),FALSE)</f>
        <v>#N/A</v>
      </c>
      <c r="BT28" s="372" t="e">
        <f t="shared" ca="1" si="34"/>
        <v>#N/A</v>
      </c>
      <c r="BU28" s="372" t="e">
        <f t="shared" ca="1" si="34"/>
        <v>#N/A</v>
      </c>
      <c r="BV28" s="372" t="e">
        <f t="shared" ca="1" si="34"/>
        <v>#N/A</v>
      </c>
      <c r="BW28" s="356">
        <f t="shared" ca="1" si="18"/>
        <v>0</v>
      </c>
      <c r="BX28" s="356" t="e">
        <f ca="1">VLOOKUP(BF28,坦克个性化设定!$B$18:$E$48,4,FALSE)</f>
        <v>#N/A</v>
      </c>
      <c r="BY28" s="357" t="e">
        <f t="shared" ca="1" si="25"/>
        <v>#N/A</v>
      </c>
    </row>
    <row r="29" spans="2:77" x14ac:dyDescent="0.35">
      <c r="B29" s="352">
        <v>7</v>
      </c>
      <c r="C29" s="360">
        <f ca="1">游戏时长规划!H46</f>
        <v>6100</v>
      </c>
      <c r="D29" s="360">
        <f ca="1">游戏时长规划!I46</f>
        <v>8965</v>
      </c>
      <c r="E29" s="360">
        <f>游戏时长规划!K19</f>
        <v>20</v>
      </c>
      <c r="F29" s="360">
        <f>游戏时长规划!L19</f>
        <v>-18</v>
      </c>
      <c r="L29" s="84"/>
      <c r="M29" s="84"/>
      <c r="N29" s="84"/>
      <c r="O29" s="365">
        <v>26</v>
      </c>
      <c r="P29" s="360" t="e">
        <f t="shared" ca="1" si="29"/>
        <v>#REF!</v>
      </c>
      <c r="Q29" s="360" t="e">
        <f ca="1">ROUND(MIN((BD29-VLOOKUP(R29,$B$22:$F$46,2,FALSE))/(VLOOKUP(R29,$B$22:$F$46,3,FALSE)-VLOOKUP(R29,$B$22:$F$46,2,FALSE)),1)*((VLOOKUP(R29,$B$22:$F$46,4,FALSE)*(AG29/(AG29+VLOOKUP(P29,$D$49:$F$123,3,TRUE)))+VLOOKUP(R29,$B$22:$F$46,5,FALSE)*(1-AG29/(AG29+VLOOKUP(P29,$D$49:$F$123,3,TRUE))))/2)*游戏时长规划!$C$4,0)</f>
        <v>#REF!</v>
      </c>
      <c r="R29" s="360" t="e">
        <f t="shared" ca="1" si="0"/>
        <v>#REF!</v>
      </c>
      <c r="S29" s="360" t="e">
        <f t="shared" ca="1" si="27"/>
        <v>#REF!</v>
      </c>
      <c r="T29" s="360" t="e">
        <f t="shared" ca="1" si="30"/>
        <v>#REF!</v>
      </c>
      <c r="U29" s="370" t="e">
        <f t="shared" ca="1" si="1"/>
        <v>#REF!</v>
      </c>
      <c r="V29" s="363" t="e">
        <f t="shared" ca="1" si="2"/>
        <v>#REF!</v>
      </c>
      <c r="W29" s="360" t="e">
        <f t="shared" ca="1" si="3"/>
        <v>#REF!</v>
      </c>
      <c r="X29" s="81" t="e">
        <f t="shared" ca="1" si="19"/>
        <v>#REF!</v>
      </c>
      <c r="Y29" s="360" t="str">
        <f t="shared" ca="1" si="4"/>
        <v>NULL</v>
      </c>
      <c r="Z29" s="375" t="e">
        <f t="shared" ca="1" si="20"/>
        <v>#REF!</v>
      </c>
      <c r="AA29" s="360">
        <f ca="1">IFERROR(VLOOKUP(IF(V29="T1低",游戏时长规划!$C$67+Z29,Z29),INDIRECT(V29&amp;"星级"),2,TRUE),0)</f>
        <v>0</v>
      </c>
      <c r="AB29" s="375" t="e">
        <f t="shared" ca="1" si="5"/>
        <v>#REF!</v>
      </c>
      <c r="AC29" s="375">
        <f ca="1">($D$14+$D$17)*$L$4/坦克部件养成!$C$2+AC28-IFERROR(IF(RIGHT(AD28,3)*1&gt;RIGHT(VLOOKUP(AC28,INDIRECT(LEFT(AD27,2)&amp;"部件升阶"),5,TRUE),3)*1,VLOOKUP(AD27,INDIRECT(LEFT(AD27,2)&amp;"部件升阶消耗"),2,FALSE),0),0)</f>
        <v>307.66666666666669</v>
      </c>
      <c r="AD29" s="360" t="e">
        <f t="shared" ca="1" si="6"/>
        <v>#REF!</v>
      </c>
      <c r="AE29" s="375" t="e">
        <f ca="1">$D$15*$L$4/坦克部件养成!$C$2+AE28-IF(LEFT(AD29,2)&lt;&gt;LEFT(AD28,2),VLOOKUP(AF28,INDIRECT(LEFT(AD28,2)&amp;"部件升级消耗"),5,FALSE),0)</f>
        <v>#REF!</v>
      </c>
      <c r="AF29" s="360" t="e">
        <f ca="1">MIN(VLOOKUP(AE29,INDIRECT(LEFT(AD29,2)&amp;"部件升级"),2,TRUE),VLOOKUP(LEFT(AD29,2),坦克部件养成!#REF!,6,FALSE))</f>
        <v>#REF!</v>
      </c>
      <c r="AG29" s="378" t="e">
        <f ca="1">MAX(BD$4:BD29)</f>
        <v>#REF!</v>
      </c>
      <c r="AH29" s="378" t="str">
        <f t="shared" ca="1" si="7"/>
        <v/>
      </c>
      <c r="AI29" s="378">
        <f ca="1">IF(Y29="NULL",0,MAX(BY$4:BY29))</f>
        <v>0</v>
      </c>
      <c r="AK29" s="364" t="e">
        <f t="shared" ca="1" si="8"/>
        <v>#REF!</v>
      </c>
      <c r="AL29" s="364" t="e">
        <f ca="1">VLOOKUP(AK29,坦克个性化设定!$B$18:$F$48,5,FALSE)</f>
        <v>#REF!</v>
      </c>
      <c r="AM29" s="372" t="e">
        <f t="shared" ca="1" si="9"/>
        <v>#REF!</v>
      </c>
      <c r="AN29" s="372" t="e">
        <f t="shared" ca="1" si="21"/>
        <v>#REF!</v>
      </c>
      <c r="AO29" s="364">
        <f t="shared" ca="1" si="10"/>
        <v>0</v>
      </c>
      <c r="AP29" s="372" t="e">
        <f ca="1">VLOOKUP($AK29&amp;$AO29,所有坦克升星属性,MATCH(AP$3,所有坦克升星属性标头,0),FALSE)+ROUND(AU29/VLOOKUP($AK29,坦克部件!#REF!,4,FALSE)*VLOOKUP($AK29&amp;0,所有坦克升星属性,MATCH(AP$3,所有坦克升星属性标头,0),FALSE),0)</f>
        <v>#REF!</v>
      </c>
      <c r="AQ29" s="372" t="e">
        <f ca="1">VLOOKUP($AK29&amp;$AO29,所有坦克升星属性,MATCH(AQ$3,所有坦克升星属性标头,0),FALSE)+ROUND(AV29/VLOOKUP($AK29,坦克部件!#REF!,4,FALSE)*VLOOKUP($AK29&amp;0,所有坦克升星属性,MATCH(AQ$3,所有坦克升星属性标头,0),FALSE),0)</f>
        <v>#REF!</v>
      </c>
      <c r="AR29" s="372" t="e">
        <f t="shared" ca="1" si="31"/>
        <v>#REF!</v>
      </c>
      <c r="AS29" s="372" t="e">
        <f t="shared" ca="1" si="31"/>
        <v>#REF!</v>
      </c>
      <c r="AT29" s="372" t="e">
        <f ca="1">VLOOKUP($AK29&amp;$AO29,所有坦克升星属性,MATCH(AT$3,所有坦克升星属性标头,0),FALSE)+ROUND(AW29/VLOOKUP($AK29,坦克部件!#REF!,4,FALSE)*VLOOKUP($AK29&amp;0,所有坦克升星属性,MATCH(AT$3,所有坦克升星属性标头,0),FALSE),0)</f>
        <v>#REF!</v>
      </c>
      <c r="AU29" s="372" t="e">
        <f ca="1">(VLOOKUP($AM29,坦克部件!#REF!,MATCH("标准值",坦克部件!#REF!,0),FALSE)+VLOOKUP($AN29,坦克部件!#REF!,MATCH("标准值",坦克部件!#REF!,0),FALSE))*2</f>
        <v>#REF!</v>
      </c>
      <c r="AV29" s="372" t="e">
        <f ca="1">(VLOOKUP($AM29,坦克部件!#REF!,MATCH("标准值",坦克部件!#REF!,0),FALSE)+VLOOKUP($AN29,坦克部件!#REF!,MATCH("标准值",坦克部件!#REF!,0),FALSE))*2</f>
        <v>#REF!</v>
      </c>
      <c r="AW29" s="372" t="e">
        <f ca="1">(VLOOKUP($AM29,坦克部件!#REF!,MATCH("标准值",坦克部件!#REF!,0),FALSE)+VLOOKUP($AN29,坦克部件!#REF!,MATCH("标准值",坦克部件!#REF!,0),FALSE))*2</f>
        <v>#REF!</v>
      </c>
      <c r="AX29" s="372" t="e">
        <f ca="1">VLOOKUP($AK29,坦克属性统计!$B$3:$AY$33,MATCH(AX$3,坦克属性统计!$B$3:$AY$3,0),FALSE)</f>
        <v>#REF!</v>
      </c>
      <c r="AY29" s="372" t="e">
        <f t="shared" ca="1" si="32"/>
        <v>#REF!</v>
      </c>
      <c r="AZ29" s="372" t="e">
        <f t="shared" ca="1" si="32"/>
        <v>#REF!</v>
      </c>
      <c r="BA29" s="372" t="e">
        <f t="shared" ca="1" si="32"/>
        <v>#REF!</v>
      </c>
      <c r="BB29" s="356" t="e">
        <f t="shared" ca="1" si="13"/>
        <v>#REF!</v>
      </c>
      <c r="BC29" s="356" t="e">
        <f ca="1">VLOOKUP(AK29,坦克个性化设定!$B$18:$E$48,4,FALSE)</f>
        <v>#REF!</v>
      </c>
      <c r="BD29" s="357" t="e">
        <f t="shared" ca="1" si="22"/>
        <v>#REF!</v>
      </c>
      <c r="BF29" s="357" t="str">
        <f t="shared" ca="1" si="14"/>
        <v/>
      </c>
      <c r="BG29" s="372" t="str">
        <f ca="1">IFERROR(VLOOKUP(BF29,坦克个性化设定!$B$18:$F$48,5,FALSE),"")</f>
        <v/>
      </c>
      <c r="BH29" s="372" t="e">
        <f t="shared" ca="1" si="23"/>
        <v>#REF!</v>
      </c>
      <c r="BI29" s="372" t="e">
        <f t="shared" ca="1" si="24"/>
        <v>#REF!</v>
      </c>
      <c r="BJ29" s="364" t="str">
        <f t="shared" ca="1" si="15"/>
        <v>NULL</v>
      </c>
      <c r="BK29" s="372" t="e">
        <f ca="1">VLOOKUP($BF29&amp;IF($BJ29="NULL",0,$BJ29),所有坦克升星属性,MATCH(BK$3,所有坦克升星属性标头,0),FALSE)+ROUND(BP29/VLOOKUP($BF29,坦克部件!#REF!,4,FALSE)*VLOOKUP($BF29&amp;0,所有坦克升星属性,MATCH(BK$3,所有坦克升星属性标头,0),FALSE),0)</f>
        <v>#N/A</v>
      </c>
      <c r="BL29" s="372" t="e">
        <f ca="1">VLOOKUP($BF29&amp;IF($BJ29="NULL",0,$BJ29),所有坦克升星属性,MATCH(BL$3,所有坦克升星属性标头,0),FALSE)+ROUND(BQ29/VLOOKUP($BF29,坦克部件!#REF!,4,FALSE)*VLOOKUP($BF29&amp;0,所有坦克升星属性,MATCH(BL$3,所有坦克升星属性标头,0),FALSE),0)</f>
        <v>#N/A</v>
      </c>
      <c r="BM29" s="372" t="e">
        <f t="shared" ca="1" si="33"/>
        <v>#N/A</v>
      </c>
      <c r="BN29" s="372" t="e">
        <f t="shared" ca="1" si="33"/>
        <v>#N/A</v>
      </c>
      <c r="BO29" s="372" t="e">
        <f ca="1">VLOOKUP($BF29&amp;IF($BJ29="NULL",0,$BJ29),所有坦克升星属性,MATCH(BO$3,所有坦克升星属性标头,0),FALSE)+ROUND(BR29/VLOOKUP($BF29,坦克部件!#REF!,4,FALSE)*VLOOKUP($BF29&amp;0,所有坦克升星属性,MATCH(BO$3,所有坦克升星属性标头,0),FALSE),0)</f>
        <v>#N/A</v>
      </c>
      <c r="BP29" s="372" t="e">
        <f ca="1">(VLOOKUP($BH29,坦克部件!#REF!,MATCH("标准值",坦克部件!#REF!,0),FALSE)+VLOOKUP($BI29,坦克部件!#REF!,MATCH("标准值",坦克部件!#REF!,0),FALSE))*2</f>
        <v>#REF!</v>
      </c>
      <c r="BQ29" s="372" t="e">
        <f ca="1">(VLOOKUP($BH29,坦克部件!#REF!,MATCH("标准值",坦克部件!#REF!,0),FALSE)+VLOOKUP($BI29,坦克部件!#REF!,MATCH("标准值",坦克部件!#REF!,0),FALSE))*2</f>
        <v>#REF!</v>
      </c>
      <c r="BR29" s="372" t="e">
        <f ca="1">(VLOOKUP($BH29,坦克部件!#REF!,MATCH("标准值",坦克部件!#REF!,0),FALSE)+VLOOKUP($BI29,坦克部件!#REF!,MATCH("标准值",坦克部件!#REF!,0),FALSE))*2</f>
        <v>#REF!</v>
      </c>
      <c r="BS29" s="372" t="e">
        <f ca="1">VLOOKUP($BF29,坦克属性统计!$B$3:$AY$33,MATCH(BS$3,坦克属性统计!$B$3:$AY$3,0),FALSE)</f>
        <v>#N/A</v>
      </c>
      <c r="BT29" s="372" t="e">
        <f t="shared" ca="1" si="34"/>
        <v>#N/A</v>
      </c>
      <c r="BU29" s="372" t="e">
        <f t="shared" ca="1" si="34"/>
        <v>#N/A</v>
      </c>
      <c r="BV29" s="372" t="e">
        <f t="shared" ca="1" si="34"/>
        <v>#N/A</v>
      </c>
      <c r="BW29" s="356">
        <f t="shared" ca="1" si="18"/>
        <v>0</v>
      </c>
      <c r="BX29" s="356" t="e">
        <f ca="1">VLOOKUP(BF29,坦克个性化设定!$B$18:$E$48,4,FALSE)</f>
        <v>#N/A</v>
      </c>
      <c r="BY29" s="357" t="e">
        <f t="shared" ca="1" si="25"/>
        <v>#N/A</v>
      </c>
    </row>
    <row r="30" spans="2:77" x14ac:dyDescent="0.35">
      <c r="B30" s="352">
        <v>8</v>
      </c>
      <c r="C30" s="360">
        <f ca="1">游戏时长规划!H47</f>
        <v>6900</v>
      </c>
      <c r="D30" s="360">
        <f ca="1">游戏时长规划!I47</f>
        <v>9735</v>
      </c>
      <c r="E30" s="360">
        <f>游戏时长规划!K20</f>
        <v>20</v>
      </c>
      <c r="F30" s="360">
        <f>游戏时长规划!L20</f>
        <v>-18</v>
      </c>
      <c r="L30" s="84"/>
      <c r="M30" s="84"/>
      <c r="N30" s="84"/>
      <c r="O30" s="365">
        <v>27</v>
      </c>
      <c r="P30" s="360" t="e">
        <f t="shared" ca="1" si="29"/>
        <v>#REF!</v>
      </c>
      <c r="Q30" s="360" t="e">
        <f ca="1">ROUND(MIN((BD30-VLOOKUP(R30,$B$22:$F$46,2,FALSE))/(VLOOKUP(R30,$B$22:$F$46,3,FALSE)-VLOOKUP(R30,$B$22:$F$46,2,FALSE)),1)*((VLOOKUP(R30,$B$22:$F$46,4,FALSE)*(AG30/(AG30+VLOOKUP(P30,$D$49:$F$123,3,TRUE)))+VLOOKUP(R30,$B$22:$F$46,5,FALSE)*(1-AG30/(AG30+VLOOKUP(P30,$D$49:$F$123,3,TRUE))))/2)*游戏时长规划!$C$4,0)</f>
        <v>#REF!</v>
      </c>
      <c r="R30" s="360" t="e">
        <f t="shared" ca="1" si="0"/>
        <v>#REF!</v>
      </c>
      <c r="S30" s="360" t="e">
        <f t="shared" ca="1" si="27"/>
        <v>#REF!</v>
      </c>
      <c r="T30" s="360" t="e">
        <f t="shared" ca="1" si="30"/>
        <v>#REF!</v>
      </c>
      <c r="U30" s="370" t="e">
        <f t="shared" ca="1" si="1"/>
        <v>#REF!</v>
      </c>
      <c r="V30" s="363" t="e">
        <f t="shared" ca="1" si="2"/>
        <v>#REF!</v>
      </c>
      <c r="W30" s="360" t="e">
        <f t="shared" ca="1" si="3"/>
        <v>#REF!</v>
      </c>
      <c r="X30" s="81" t="e">
        <f t="shared" ca="1" si="19"/>
        <v>#REF!</v>
      </c>
      <c r="Y30" s="360" t="str">
        <f t="shared" ca="1" si="4"/>
        <v>NULL</v>
      </c>
      <c r="Z30" s="375" t="e">
        <f t="shared" ca="1" si="20"/>
        <v>#REF!</v>
      </c>
      <c r="AA30" s="360">
        <f ca="1">IFERROR(VLOOKUP(IF(V30="T1低",游戏时长规划!$C$67+Z30,Z30),INDIRECT(V30&amp;"星级"),2,TRUE),0)</f>
        <v>0</v>
      </c>
      <c r="AB30" s="375" t="e">
        <f t="shared" ca="1" si="5"/>
        <v>#REF!</v>
      </c>
      <c r="AC30" s="375">
        <f ca="1">($D$14+$D$17)*$L$4/坦克部件养成!$C$2+AC29-IFERROR(IF(RIGHT(AD29,3)*1&gt;RIGHT(VLOOKUP(AC29,INDIRECT(LEFT(AD28,2)&amp;"部件升阶"),5,TRUE),3)*1,VLOOKUP(AD28,INDIRECT(LEFT(AD28,2)&amp;"部件升阶消耗"),2,FALSE),0),0)</f>
        <v>319.5</v>
      </c>
      <c r="AD30" s="360" t="e">
        <f t="shared" ca="1" si="6"/>
        <v>#REF!</v>
      </c>
      <c r="AE30" s="375" t="e">
        <f ca="1">$D$15*$L$4/坦克部件养成!$C$2+AE29-IF(LEFT(AD30,2)&lt;&gt;LEFT(AD29,2),VLOOKUP(AF29,INDIRECT(LEFT(AD29,2)&amp;"部件升级消耗"),5,FALSE),0)</f>
        <v>#REF!</v>
      </c>
      <c r="AF30" s="360" t="e">
        <f ca="1">MIN(VLOOKUP(AE30,INDIRECT(LEFT(AD30,2)&amp;"部件升级"),2,TRUE),VLOOKUP(LEFT(AD30,2),坦克部件养成!#REF!,6,FALSE))</f>
        <v>#REF!</v>
      </c>
      <c r="AG30" s="378" t="e">
        <f ca="1">MAX(BD$4:BD30)</f>
        <v>#REF!</v>
      </c>
      <c r="AH30" s="378" t="str">
        <f t="shared" ca="1" si="7"/>
        <v/>
      </c>
      <c r="AI30" s="378">
        <f ca="1">IF(Y30="NULL",0,MAX(BY$4:BY30))</f>
        <v>0</v>
      </c>
      <c r="AK30" s="364" t="e">
        <f t="shared" ca="1" si="8"/>
        <v>#REF!</v>
      </c>
      <c r="AL30" s="364" t="e">
        <f ca="1">VLOOKUP(AK30,坦克个性化设定!$B$18:$F$48,5,FALSE)</f>
        <v>#REF!</v>
      </c>
      <c r="AM30" s="372" t="e">
        <f t="shared" ca="1" si="9"/>
        <v>#REF!</v>
      </c>
      <c r="AN30" s="372" t="e">
        <f t="shared" ca="1" si="21"/>
        <v>#REF!</v>
      </c>
      <c r="AO30" s="364">
        <f t="shared" ca="1" si="10"/>
        <v>0</v>
      </c>
      <c r="AP30" s="372" t="e">
        <f ca="1">VLOOKUP($AK30&amp;$AO30,所有坦克升星属性,MATCH(AP$3,所有坦克升星属性标头,0),FALSE)+ROUND(AU30/VLOOKUP($AK30,坦克部件!#REF!,4,FALSE)*VLOOKUP($AK30&amp;0,所有坦克升星属性,MATCH(AP$3,所有坦克升星属性标头,0),FALSE),0)</f>
        <v>#REF!</v>
      </c>
      <c r="AQ30" s="372" t="e">
        <f ca="1">VLOOKUP($AK30&amp;$AO30,所有坦克升星属性,MATCH(AQ$3,所有坦克升星属性标头,0),FALSE)+ROUND(AV30/VLOOKUP($AK30,坦克部件!#REF!,4,FALSE)*VLOOKUP($AK30&amp;0,所有坦克升星属性,MATCH(AQ$3,所有坦克升星属性标头,0),FALSE),0)</f>
        <v>#REF!</v>
      </c>
      <c r="AR30" s="372" t="e">
        <f t="shared" ca="1" si="31"/>
        <v>#REF!</v>
      </c>
      <c r="AS30" s="372" t="e">
        <f t="shared" ca="1" si="31"/>
        <v>#REF!</v>
      </c>
      <c r="AT30" s="372" t="e">
        <f ca="1">VLOOKUP($AK30&amp;$AO30,所有坦克升星属性,MATCH(AT$3,所有坦克升星属性标头,0),FALSE)+ROUND(AW30/VLOOKUP($AK30,坦克部件!#REF!,4,FALSE)*VLOOKUP($AK30&amp;0,所有坦克升星属性,MATCH(AT$3,所有坦克升星属性标头,0),FALSE),0)</f>
        <v>#REF!</v>
      </c>
      <c r="AU30" s="372" t="e">
        <f ca="1">(VLOOKUP($AM30,坦克部件!#REF!,MATCH("标准值",坦克部件!#REF!,0),FALSE)+VLOOKUP($AN30,坦克部件!#REF!,MATCH("标准值",坦克部件!#REF!,0),FALSE))*2</f>
        <v>#REF!</v>
      </c>
      <c r="AV30" s="372" t="e">
        <f ca="1">(VLOOKUP($AM30,坦克部件!#REF!,MATCH("标准值",坦克部件!#REF!,0),FALSE)+VLOOKUP($AN30,坦克部件!#REF!,MATCH("标准值",坦克部件!#REF!,0),FALSE))*2</f>
        <v>#REF!</v>
      </c>
      <c r="AW30" s="372" t="e">
        <f ca="1">(VLOOKUP($AM30,坦克部件!#REF!,MATCH("标准值",坦克部件!#REF!,0),FALSE)+VLOOKUP($AN30,坦克部件!#REF!,MATCH("标准值",坦克部件!#REF!,0),FALSE))*2</f>
        <v>#REF!</v>
      </c>
      <c r="AX30" s="372" t="e">
        <f ca="1">VLOOKUP($AK30,坦克属性统计!$B$3:$AY$33,MATCH(AX$3,坦克属性统计!$B$3:$AY$3,0),FALSE)</f>
        <v>#REF!</v>
      </c>
      <c r="AY30" s="372" t="e">
        <f t="shared" ca="1" si="32"/>
        <v>#REF!</v>
      </c>
      <c r="AZ30" s="372" t="e">
        <f t="shared" ca="1" si="32"/>
        <v>#REF!</v>
      </c>
      <c r="BA30" s="372" t="e">
        <f t="shared" ca="1" si="32"/>
        <v>#REF!</v>
      </c>
      <c r="BB30" s="356" t="e">
        <f t="shared" ca="1" si="13"/>
        <v>#REF!</v>
      </c>
      <c r="BC30" s="356" t="e">
        <f ca="1">VLOOKUP(AK30,坦克个性化设定!$B$18:$E$48,4,FALSE)</f>
        <v>#REF!</v>
      </c>
      <c r="BD30" s="357" t="e">
        <f t="shared" ca="1" si="22"/>
        <v>#REF!</v>
      </c>
      <c r="BF30" s="357" t="str">
        <f t="shared" ca="1" si="14"/>
        <v/>
      </c>
      <c r="BG30" s="372" t="str">
        <f ca="1">IFERROR(VLOOKUP(BF30,坦克个性化设定!$B$18:$F$48,5,FALSE),"")</f>
        <v/>
      </c>
      <c r="BH30" s="372" t="e">
        <f t="shared" ca="1" si="23"/>
        <v>#REF!</v>
      </c>
      <c r="BI30" s="372" t="e">
        <f t="shared" ca="1" si="24"/>
        <v>#REF!</v>
      </c>
      <c r="BJ30" s="364" t="str">
        <f t="shared" ca="1" si="15"/>
        <v>NULL</v>
      </c>
      <c r="BK30" s="372" t="e">
        <f ca="1">VLOOKUP($BF30&amp;IF($BJ30="NULL",0,$BJ30),所有坦克升星属性,MATCH(BK$3,所有坦克升星属性标头,0),FALSE)+ROUND(BP30/VLOOKUP($BF30,坦克部件!#REF!,4,FALSE)*VLOOKUP($BF30&amp;0,所有坦克升星属性,MATCH(BK$3,所有坦克升星属性标头,0),FALSE),0)</f>
        <v>#N/A</v>
      </c>
      <c r="BL30" s="372" t="e">
        <f ca="1">VLOOKUP($BF30&amp;IF($BJ30="NULL",0,$BJ30),所有坦克升星属性,MATCH(BL$3,所有坦克升星属性标头,0),FALSE)+ROUND(BQ30/VLOOKUP($BF30,坦克部件!#REF!,4,FALSE)*VLOOKUP($BF30&amp;0,所有坦克升星属性,MATCH(BL$3,所有坦克升星属性标头,0),FALSE),0)</f>
        <v>#N/A</v>
      </c>
      <c r="BM30" s="372" t="e">
        <f t="shared" ca="1" si="33"/>
        <v>#N/A</v>
      </c>
      <c r="BN30" s="372" t="e">
        <f t="shared" ca="1" si="33"/>
        <v>#N/A</v>
      </c>
      <c r="BO30" s="372" t="e">
        <f ca="1">VLOOKUP($BF30&amp;IF($BJ30="NULL",0,$BJ30),所有坦克升星属性,MATCH(BO$3,所有坦克升星属性标头,0),FALSE)+ROUND(BR30/VLOOKUP($BF30,坦克部件!#REF!,4,FALSE)*VLOOKUP($BF30&amp;0,所有坦克升星属性,MATCH(BO$3,所有坦克升星属性标头,0),FALSE),0)</f>
        <v>#N/A</v>
      </c>
      <c r="BP30" s="372" t="e">
        <f ca="1">(VLOOKUP($BH30,坦克部件!#REF!,MATCH("标准值",坦克部件!#REF!,0),FALSE)+VLOOKUP($BI30,坦克部件!#REF!,MATCH("标准值",坦克部件!#REF!,0),FALSE))*2</f>
        <v>#REF!</v>
      </c>
      <c r="BQ30" s="372" t="e">
        <f ca="1">(VLOOKUP($BH30,坦克部件!#REF!,MATCH("标准值",坦克部件!#REF!,0),FALSE)+VLOOKUP($BI30,坦克部件!#REF!,MATCH("标准值",坦克部件!#REF!,0),FALSE))*2</f>
        <v>#REF!</v>
      </c>
      <c r="BR30" s="372" t="e">
        <f ca="1">(VLOOKUP($BH30,坦克部件!#REF!,MATCH("标准值",坦克部件!#REF!,0),FALSE)+VLOOKUP($BI30,坦克部件!#REF!,MATCH("标准值",坦克部件!#REF!,0),FALSE))*2</f>
        <v>#REF!</v>
      </c>
      <c r="BS30" s="372" t="e">
        <f ca="1">VLOOKUP($BF30,坦克属性统计!$B$3:$AY$33,MATCH(BS$3,坦克属性统计!$B$3:$AY$3,0),FALSE)</f>
        <v>#N/A</v>
      </c>
      <c r="BT30" s="372" t="e">
        <f t="shared" ca="1" si="34"/>
        <v>#N/A</v>
      </c>
      <c r="BU30" s="372" t="e">
        <f t="shared" ca="1" si="34"/>
        <v>#N/A</v>
      </c>
      <c r="BV30" s="372" t="e">
        <f t="shared" ca="1" si="34"/>
        <v>#N/A</v>
      </c>
      <c r="BW30" s="356">
        <f t="shared" ca="1" si="18"/>
        <v>0</v>
      </c>
      <c r="BX30" s="356" t="e">
        <f ca="1">VLOOKUP(BF30,坦克个性化设定!$B$18:$E$48,4,FALSE)</f>
        <v>#N/A</v>
      </c>
      <c r="BY30" s="357" t="e">
        <f t="shared" ca="1" si="25"/>
        <v>#N/A</v>
      </c>
    </row>
    <row r="31" spans="2:77" x14ac:dyDescent="0.35">
      <c r="B31" s="352">
        <v>9</v>
      </c>
      <c r="C31" s="360">
        <f ca="1">游戏时长规划!H48</f>
        <v>7700</v>
      </c>
      <c r="D31" s="360">
        <f ca="1">游戏时长规划!I48</f>
        <v>10424</v>
      </c>
      <c r="E31" s="360">
        <f>游戏时长规划!K21</f>
        <v>20</v>
      </c>
      <c r="F31" s="360">
        <f>游戏时长规划!L21</f>
        <v>-18</v>
      </c>
      <c r="H31" s="374" t="s">
        <v>1780</v>
      </c>
      <c r="I31" s="374" t="s">
        <v>1785</v>
      </c>
      <c r="J31" s="387" t="s">
        <v>1810</v>
      </c>
      <c r="M31" s="84"/>
      <c r="N31" s="84"/>
      <c r="O31" s="365">
        <v>28</v>
      </c>
      <c r="P31" s="360" t="e">
        <f t="shared" ca="1" si="29"/>
        <v>#REF!</v>
      </c>
      <c r="Q31" s="360" t="e">
        <f ca="1">ROUND(MIN((BD31-VLOOKUP(R31,$B$22:$F$46,2,FALSE))/(VLOOKUP(R31,$B$22:$F$46,3,FALSE)-VLOOKUP(R31,$B$22:$F$46,2,FALSE)),1)*((VLOOKUP(R31,$B$22:$F$46,4,FALSE)*(AG31/(AG31+VLOOKUP(P31,$D$49:$F$123,3,TRUE)))+VLOOKUP(R31,$B$22:$F$46,5,FALSE)*(1-AG31/(AG31+VLOOKUP(P31,$D$49:$F$123,3,TRUE))))/2)*游戏时长规划!$C$4,0)</f>
        <v>#REF!</v>
      </c>
      <c r="R31" s="360" t="e">
        <f t="shared" ca="1" si="0"/>
        <v>#REF!</v>
      </c>
      <c r="S31" s="360" t="e">
        <f t="shared" ca="1" si="27"/>
        <v>#REF!</v>
      </c>
      <c r="T31" s="360" t="e">
        <f t="shared" ca="1" si="30"/>
        <v>#REF!</v>
      </c>
      <c r="U31" s="370" t="e">
        <f t="shared" ca="1" si="1"/>
        <v>#REF!</v>
      </c>
      <c r="V31" s="363" t="e">
        <f t="shared" ca="1" si="2"/>
        <v>#REF!</v>
      </c>
      <c r="W31" s="360" t="e">
        <f t="shared" ca="1" si="3"/>
        <v>#REF!</v>
      </c>
      <c r="X31" s="81" t="e">
        <f t="shared" ca="1" si="19"/>
        <v>#REF!</v>
      </c>
      <c r="Y31" s="360" t="str">
        <f t="shared" ca="1" si="4"/>
        <v>NULL</v>
      </c>
      <c r="Z31" s="375" t="e">
        <f t="shared" ca="1" si="20"/>
        <v>#REF!</v>
      </c>
      <c r="AA31" s="360">
        <f ca="1">IFERROR(VLOOKUP(IF(V31="T1低",游戏时长规划!$C$67+Z31,Z31),INDIRECT(V31&amp;"星级"),2,TRUE),0)</f>
        <v>0</v>
      </c>
      <c r="AB31" s="375" t="e">
        <f t="shared" ca="1" si="5"/>
        <v>#REF!</v>
      </c>
      <c r="AC31" s="375">
        <f ca="1">($D$14+$D$17)*$L$4/坦克部件养成!$C$2+AC30-IFERROR(IF(RIGHT(AD30,3)*1&gt;RIGHT(VLOOKUP(AC30,INDIRECT(LEFT(AD29,2)&amp;"部件升阶"),5,TRUE),3)*1,VLOOKUP(AD29,INDIRECT(LEFT(AD29,2)&amp;"部件升阶消耗"),2,FALSE),0),0)</f>
        <v>331.33333333333331</v>
      </c>
      <c r="AD31" s="360" t="e">
        <f t="shared" ca="1" si="6"/>
        <v>#REF!</v>
      </c>
      <c r="AE31" s="375" t="e">
        <f ca="1">$D$15*$L$4/坦克部件养成!$C$2+AE30-IF(LEFT(AD31,2)&lt;&gt;LEFT(AD30,2),VLOOKUP(AF30,INDIRECT(LEFT(AD30,2)&amp;"部件升级消耗"),5,FALSE),0)</f>
        <v>#REF!</v>
      </c>
      <c r="AF31" s="360" t="e">
        <f ca="1">MIN(VLOOKUP(AE31,INDIRECT(LEFT(AD31,2)&amp;"部件升级"),2,TRUE),VLOOKUP(LEFT(AD31,2),坦克部件养成!#REF!,6,FALSE))</f>
        <v>#REF!</v>
      </c>
      <c r="AG31" s="378" t="e">
        <f ca="1">MAX(BD$4:BD31)</f>
        <v>#REF!</v>
      </c>
      <c r="AH31" s="378" t="str">
        <f t="shared" ca="1" si="7"/>
        <v/>
      </c>
      <c r="AI31" s="378">
        <f ca="1">IF(Y31="NULL",0,MAX(BY$4:BY31))</f>
        <v>0</v>
      </c>
      <c r="AK31" s="364" t="e">
        <f t="shared" ca="1" si="8"/>
        <v>#REF!</v>
      </c>
      <c r="AL31" s="364" t="e">
        <f ca="1">VLOOKUP(AK31,坦克个性化设定!$B$18:$F$48,5,FALSE)</f>
        <v>#REF!</v>
      </c>
      <c r="AM31" s="372" t="e">
        <f t="shared" ca="1" si="9"/>
        <v>#REF!</v>
      </c>
      <c r="AN31" s="372" t="e">
        <f t="shared" ca="1" si="21"/>
        <v>#REF!</v>
      </c>
      <c r="AO31" s="364">
        <f t="shared" ca="1" si="10"/>
        <v>0</v>
      </c>
      <c r="AP31" s="372" t="e">
        <f ca="1">VLOOKUP($AK31&amp;$AO31,所有坦克升星属性,MATCH(AP$3,所有坦克升星属性标头,0),FALSE)+ROUND(AU31/VLOOKUP($AK31,坦克部件!#REF!,4,FALSE)*VLOOKUP($AK31&amp;0,所有坦克升星属性,MATCH(AP$3,所有坦克升星属性标头,0),FALSE),0)</f>
        <v>#REF!</v>
      </c>
      <c r="AQ31" s="372" t="e">
        <f ca="1">VLOOKUP($AK31&amp;$AO31,所有坦克升星属性,MATCH(AQ$3,所有坦克升星属性标头,0),FALSE)+ROUND(AV31/VLOOKUP($AK31,坦克部件!#REF!,4,FALSE)*VLOOKUP($AK31&amp;0,所有坦克升星属性,MATCH(AQ$3,所有坦克升星属性标头,0),FALSE),0)</f>
        <v>#REF!</v>
      </c>
      <c r="AR31" s="372" t="e">
        <f t="shared" ca="1" si="31"/>
        <v>#REF!</v>
      </c>
      <c r="AS31" s="372" t="e">
        <f t="shared" ca="1" si="31"/>
        <v>#REF!</v>
      </c>
      <c r="AT31" s="372" t="e">
        <f ca="1">VLOOKUP($AK31&amp;$AO31,所有坦克升星属性,MATCH(AT$3,所有坦克升星属性标头,0),FALSE)+ROUND(AW31/VLOOKUP($AK31,坦克部件!#REF!,4,FALSE)*VLOOKUP($AK31&amp;0,所有坦克升星属性,MATCH(AT$3,所有坦克升星属性标头,0),FALSE),0)</f>
        <v>#REF!</v>
      </c>
      <c r="AU31" s="372" t="e">
        <f ca="1">(VLOOKUP($AM31,坦克部件!#REF!,MATCH("标准值",坦克部件!#REF!,0),FALSE)+VLOOKUP($AN31,坦克部件!#REF!,MATCH("标准值",坦克部件!#REF!,0),FALSE))*2</f>
        <v>#REF!</v>
      </c>
      <c r="AV31" s="372" t="e">
        <f ca="1">(VLOOKUP($AM31,坦克部件!#REF!,MATCH("标准值",坦克部件!#REF!,0),FALSE)+VLOOKUP($AN31,坦克部件!#REF!,MATCH("标准值",坦克部件!#REF!,0),FALSE))*2</f>
        <v>#REF!</v>
      </c>
      <c r="AW31" s="372" t="e">
        <f ca="1">(VLOOKUP($AM31,坦克部件!#REF!,MATCH("标准值",坦克部件!#REF!,0),FALSE)+VLOOKUP($AN31,坦克部件!#REF!,MATCH("标准值",坦克部件!#REF!,0),FALSE))*2</f>
        <v>#REF!</v>
      </c>
      <c r="AX31" s="372" t="e">
        <f ca="1">VLOOKUP($AK31,坦克属性统计!$B$3:$AY$33,MATCH(AX$3,坦克属性统计!$B$3:$AY$3,0),FALSE)</f>
        <v>#REF!</v>
      </c>
      <c r="AY31" s="372" t="e">
        <f t="shared" ca="1" si="32"/>
        <v>#REF!</v>
      </c>
      <c r="AZ31" s="372" t="e">
        <f t="shared" ca="1" si="32"/>
        <v>#REF!</v>
      </c>
      <c r="BA31" s="372" t="e">
        <f t="shared" ca="1" si="32"/>
        <v>#REF!</v>
      </c>
      <c r="BB31" s="356" t="e">
        <f t="shared" ca="1" si="13"/>
        <v>#REF!</v>
      </c>
      <c r="BC31" s="356" t="e">
        <f ca="1">VLOOKUP(AK31,坦克个性化设定!$B$18:$E$48,4,FALSE)</f>
        <v>#REF!</v>
      </c>
      <c r="BD31" s="357" t="e">
        <f t="shared" ca="1" si="22"/>
        <v>#REF!</v>
      </c>
      <c r="BF31" s="357" t="str">
        <f t="shared" ca="1" si="14"/>
        <v/>
      </c>
      <c r="BG31" s="372" t="str">
        <f ca="1">IFERROR(VLOOKUP(BF31,坦克个性化设定!$B$18:$F$48,5,FALSE),"")</f>
        <v/>
      </c>
      <c r="BH31" s="372" t="e">
        <f t="shared" ca="1" si="23"/>
        <v>#REF!</v>
      </c>
      <c r="BI31" s="372" t="e">
        <f t="shared" ca="1" si="24"/>
        <v>#REF!</v>
      </c>
      <c r="BJ31" s="364" t="str">
        <f t="shared" ca="1" si="15"/>
        <v>NULL</v>
      </c>
      <c r="BK31" s="372" t="e">
        <f ca="1">VLOOKUP($BF31&amp;IF($BJ31="NULL",0,$BJ31),所有坦克升星属性,MATCH(BK$3,所有坦克升星属性标头,0),FALSE)+ROUND(BP31/VLOOKUP($BF31,坦克部件!#REF!,4,FALSE)*VLOOKUP($BF31&amp;0,所有坦克升星属性,MATCH(BK$3,所有坦克升星属性标头,0),FALSE),0)</f>
        <v>#N/A</v>
      </c>
      <c r="BL31" s="372" t="e">
        <f ca="1">VLOOKUP($BF31&amp;IF($BJ31="NULL",0,$BJ31),所有坦克升星属性,MATCH(BL$3,所有坦克升星属性标头,0),FALSE)+ROUND(BQ31/VLOOKUP($BF31,坦克部件!#REF!,4,FALSE)*VLOOKUP($BF31&amp;0,所有坦克升星属性,MATCH(BL$3,所有坦克升星属性标头,0),FALSE),0)</f>
        <v>#N/A</v>
      </c>
      <c r="BM31" s="372" t="e">
        <f t="shared" ca="1" si="33"/>
        <v>#N/A</v>
      </c>
      <c r="BN31" s="372" t="e">
        <f t="shared" ca="1" si="33"/>
        <v>#N/A</v>
      </c>
      <c r="BO31" s="372" t="e">
        <f ca="1">VLOOKUP($BF31&amp;IF($BJ31="NULL",0,$BJ31),所有坦克升星属性,MATCH(BO$3,所有坦克升星属性标头,0),FALSE)+ROUND(BR31/VLOOKUP($BF31,坦克部件!#REF!,4,FALSE)*VLOOKUP($BF31&amp;0,所有坦克升星属性,MATCH(BO$3,所有坦克升星属性标头,0),FALSE),0)</f>
        <v>#N/A</v>
      </c>
      <c r="BP31" s="372" t="e">
        <f ca="1">(VLOOKUP($BH31,坦克部件!#REF!,MATCH("标准值",坦克部件!#REF!,0),FALSE)+VLOOKUP($BI31,坦克部件!#REF!,MATCH("标准值",坦克部件!#REF!,0),FALSE))*2</f>
        <v>#REF!</v>
      </c>
      <c r="BQ31" s="372" t="e">
        <f ca="1">(VLOOKUP($BH31,坦克部件!#REF!,MATCH("标准值",坦克部件!#REF!,0),FALSE)+VLOOKUP($BI31,坦克部件!#REF!,MATCH("标准值",坦克部件!#REF!,0),FALSE))*2</f>
        <v>#REF!</v>
      </c>
      <c r="BR31" s="372" t="e">
        <f ca="1">(VLOOKUP($BH31,坦克部件!#REF!,MATCH("标准值",坦克部件!#REF!,0),FALSE)+VLOOKUP($BI31,坦克部件!#REF!,MATCH("标准值",坦克部件!#REF!,0),FALSE))*2</f>
        <v>#REF!</v>
      </c>
      <c r="BS31" s="372" t="e">
        <f ca="1">VLOOKUP($BF31,坦克属性统计!$B$3:$AY$33,MATCH(BS$3,坦克属性统计!$B$3:$AY$3,0),FALSE)</f>
        <v>#N/A</v>
      </c>
      <c r="BT31" s="372" t="e">
        <f t="shared" ca="1" si="34"/>
        <v>#N/A</v>
      </c>
      <c r="BU31" s="372" t="e">
        <f t="shared" ca="1" si="34"/>
        <v>#N/A</v>
      </c>
      <c r="BV31" s="372" t="e">
        <f t="shared" ca="1" si="34"/>
        <v>#N/A</v>
      </c>
      <c r="BW31" s="356">
        <f t="shared" ca="1" si="18"/>
        <v>0</v>
      </c>
      <c r="BX31" s="356" t="e">
        <f ca="1">VLOOKUP(BF31,坦克个性化设定!$B$18:$E$48,4,FALSE)</f>
        <v>#N/A</v>
      </c>
      <c r="BY31" s="357" t="e">
        <f t="shared" ca="1" si="25"/>
        <v>#N/A</v>
      </c>
    </row>
    <row r="32" spans="2:77" x14ac:dyDescent="0.35">
      <c r="B32" s="352">
        <v>10</v>
      </c>
      <c r="C32" s="360">
        <f ca="1">游戏时长规划!H49</f>
        <v>8400</v>
      </c>
      <c r="D32" s="360">
        <f ca="1">游戏时长规划!I49</f>
        <v>11033</v>
      </c>
      <c r="E32" s="360">
        <f>游戏时长规划!K22</f>
        <v>20</v>
      </c>
      <c r="F32" s="360">
        <f>游戏时长规划!L22</f>
        <v>-18</v>
      </c>
      <c r="H32" s="360" t="s">
        <v>1102</v>
      </c>
      <c r="I32" s="360">
        <v>1</v>
      </c>
      <c r="J32" s="360" t="s">
        <v>1103</v>
      </c>
      <c r="M32" s="84"/>
      <c r="N32" s="84"/>
      <c r="O32" s="365">
        <v>29</v>
      </c>
      <c r="P32" s="360" t="e">
        <f t="shared" ca="1" si="29"/>
        <v>#REF!</v>
      </c>
      <c r="Q32" s="360" t="e">
        <f ca="1">ROUND(MIN((BD32-VLOOKUP(R32,$B$22:$F$46,2,FALSE))/(VLOOKUP(R32,$B$22:$F$46,3,FALSE)-VLOOKUP(R32,$B$22:$F$46,2,FALSE)),1)*((VLOOKUP(R32,$B$22:$F$46,4,FALSE)*(AG32/(AG32+VLOOKUP(P32,$D$49:$F$123,3,TRUE)))+VLOOKUP(R32,$B$22:$F$46,5,FALSE)*(1-AG32/(AG32+VLOOKUP(P32,$D$49:$F$123,3,TRUE))))/2)*游戏时长规划!$C$4,0)</f>
        <v>#REF!</v>
      </c>
      <c r="R32" s="360" t="e">
        <f t="shared" ca="1" si="0"/>
        <v>#REF!</v>
      </c>
      <c r="S32" s="360" t="e">
        <f t="shared" ca="1" si="27"/>
        <v>#REF!</v>
      </c>
      <c r="T32" s="360" t="e">
        <f t="shared" ca="1" si="30"/>
        <v>#REF!</v>
      </c>
      <c r="U32" s="370" t="e">
        <f t="shared" ca="1" si="1"/>
        <v>#REF!</v>
      </c>
      <c r="V32" s="363" t="e">
        <f t="shared" ca="1" si="2"/>
        <v>#REF!</v>
      </c>
      <c r="W32" s="360" t="e">
        <f t="shared" ca="1" si="3"/>
        <v>#REF!</v>
      </c>
      <c r="X32" s="81" t="e">
        <f t="shared" ca="1" si="19"/>
        <v>#REF!</v>
      </c>
      <c r="Y32" s="360" t="str">
        <f t="shared" ca="1" si="4"/>
        <v>NULL</v>
      </c>
      <c r="Z32" s="375" t="e">
        <f t="shared" ca="1" si="20"/>
        <v>#REF!</v>
      </c>
      <c r="AA32" s="360">
        <f ca="1">IFERROR(VLOOKUP(IF(V32="T1低",游戏时长规划!$C$67+Z32,Z32),INDIRECT(V32&amp;"星级"),2,TRUE),0)</f>
        <v>0</v>
      </c>
      <c r="AB32" s="375" t="e">
        <f t="shared" ca="1" si="5"/>
        <v>#REF!</v>
      </c>
      <c r="AC32" s="375">
        <f ca="1">($D$14+$D$17)*$L$4/坦克部件养成!$C$2+AC31-IFERROR(IF(RIGHT(AD31,3)*1&gt;RIGHT(VLOOKUP(AC31,INDIRECT(LEFT(AD30,2)&amp;"部件升阶"),5,TRUE),3)*1,VLOOKUP(AD30,INDIRECT(LEFT(AD30,2)&amp;"部件升阶消耗"),2,FALSE),0),0)</f>
        <v>343.16666666666663</v>
      </c>
      <c r="AD32" s="360" t="e">
        <f t="shared" ca="1" si="6"/>
        <v>#REF!</v>
      </c>
      <c r="AE32" s="375" t="e">
        <f ca="1">$D$15*$L$4/坦克部件养成!$C$2+AE31-IF(LEFT(AD32,2)&lt;&gt;LEFT(AD31,2),VLOOKUP(AF31,INDIRECT(LEFT(AD31,2)&amp;"部件升级消耗"),5,FALSE),0)</f>
        <v>#REF!</v>
      </c>
      <c r="AF32" s="360" t="e">
        <f ca="1">MIN(VLOOKUP(AE32,INDIRECT(LEFT(AD32,2)&amp;"部件升级"),2,TRUE),VLOOKUP(LEFT(AD32,2),坦克部件养成!#REF!,6,FALSE))</f>
        <v>#REF!</v>
      </c>
      <c r="AG32" s="378" t="e">
        <f ca="1">MAX(BD$4:BD32)</f>
        <v>#REF!</v>
      </c>
      <c r="AH32" s="378" t="str">
        <f t="shared" ca="1" si="7"/>
        <v/>
      </c>
      <c r="AI32" s="378">
        <f ca="1">IF(Y32="NULL",0,MAX(BY$4:BY32))</f>
        <v>0</v>
      </c>
      <c r="AK32" s="364" t="e">
        <f t="shared" ca="1" si="8"/>
        <v>#REF!</v>
      </c>
      <c r="AL32" s="364" t="e">
        <f ca="1">VLOOKUP(AK32,坦克个性化设定!$B$18:$F$48,5,FALSE)</f>
        <v>#REF!</v>
      </c>
      <c r="AM32" s="372" t="e">
        <f t="shared" ca="1" si="9"/>
        <v>#REF!</v>
      </c>
      <c r="AN32" s="372" t="e">
        <f t="shared" ca="1" si="21"/>
        <v>#REF!</v>
      </c>
      <c r="AO32" s="364">
        <f t="shared" ca="1" si="10"/>
        <v>0</v>
      </c>
      <c r="AP32" s="372" t="e">
        <f ca="1">VLOOKUP($AK32&amp;$AO32,所有坦克升星属性,MATCH(AP$3,所有坦克升星属性标头,0),FALSE)+ROUND(AU32/VLOOKUP($AK32,坦克部件!#REF!,4,FALSE)*VLOOKUP($AK32&amp;0,所有坦克升星属性,MATCH(AP$3,所有坦克升星属性标头,0),FALSE),0)</f>
        <v>#REF!</v>
      </c>
      <c r="AQ32" s="372" t="e">
        <f ca="1">VLOOKUP($AK32&amp;$AO32,所有坦克升星属性,MATCH(AQ$3,所有坦克升星属性标头,0),FALSE)+ROUND(AV32/VLOOKUP($AK32,坦克部件!#REF!,4,FALSE)*VLOOKUP($AK32&amp;0,所有坦克升星属性,MATCH(AQ$3,所有坦克升星属性标头,0),FALSE),0)</f>
        <v>#REF!</v>
      </c>
      <c r="AR32" s="372" t="e">
        <f t="shared" ca="1" si="31"/>
        <v>#REF!</v>
      </c>
      <c r="AS32" s="372" t="e">
        <f t="shared" ca="1" si="31"/>
        <v>#REF!</v>
      </c>
      <c r="AT32" s="372" t="e">
        <f ca="1">VLOOKUP($AK32&amp;$AO32,所有坦克升星属性,MATCH(AT$3,所有坦克升星属性标头,0),FALSE)+ROUND(AW32/VLOOKUP($AK32,坦克部件!#REF!,4,FALSE)*VLOOKUP($AK32&amp;0,所有坦克升星属性,MATCH(AT$3,所有坦克升星属性标头,0),FALSE),0)</f>
        <v>#REF!</v>
      </c>
      <c r="AU32" s="372" t="e">
        <f ca="1">(VLOOKUP($AM32,坦克部件!#REF!,MATCH("标准值",坦克部件!#REF!,0),FALSE)+VLOOKUP($AN32,坦克部件!#REF!,MATCH("标准值",坦克部件!#REF!,0),FALSE))*2</f>
        <v>#REF!</v>
      </c>
      <c r="AV32" s="372" t="e">
        <f ca="1">(VLOOKUP($AM32,坦克部件!#REF!,MATCH("标准值",坦克部件!#REF!,0),FALSE)+VLOOKUP($AN32,坦克部件!#REF!,MATCH("标准值",坦克部件!#REF!,0),FALSE))*2</f>
        <v>#REF!</v>
      </c>
      <c r="AW32" s="372" t="e">
        <f ca="1">(VLOOKUP($AM32,坦克部件!#REF!,MATCH("标准值",坦克部件!#REF!,0),FALSE)+VLOOKUP($AN32,坦克部件!#REF!,MATCH("标准值",坦克部件!#REF!,0),FALSE))*2</f>
        <v>#REF!</v>
      </c>
      <c r="AX32" s="372" t="e">
        <f ca="1">VLOOKUP($AK32,坦克属性统计!$B$3:$AY$33,MATCH(AX$3,坦克属性统计!$B$3:$AY$3,0),FALSE)</f>
        <v>#REF!</v>
      </c>
      <c r="AY32" s="372" t="e">
        <f t="shared" ca="1" si="32"/>
        <v>#REF!</v>
      </c>
      <c r="AZ32" s="372" t="e">
        <f t="shared" ca="1" si="32"/>
        <v>#REF!</v>
      </c>
      <c r="BA32" s="372" t="e">
        <f t="shared" ca="1" si="32"/>
        <v>#REF!</v>
      </c>
      <c r="BB32" s="356" t="e">
        <f t="shared" ca="1" si="13"/>
        <v>#REF!</v>
      </c>
      <c r="BC32" s="356" t="e">
        <f ca="1">VLOOKUP(AK32,坦克个性化设定!$B$18:$E$48,4,FALSE)</f>
        <v>#REF!</v>
      </c>
      <c r="BD32" s="357" t="e">
        <f t="shared" ca="1" si="22"/>
        <v>#REF!</v>
      </c>
      <c r="BF32" s="357" t="str">
        <f t="shared" ca="1" si="14"/>
        <v/>
      </c>
      <c r="BG32" s="372" t="str">
        <f ca="1">IFERROR(VLOOKUP(BF32,坦克个性化设定!$B$18:$F$48,5,FALSE),"")</f>
        <v/>
      </c>
      <c r="BH32" s="372" t="e">
        <f t="shared" ca="1" si="23"/>
        <v>#REF!</v>
      </c>
      <c r="BI32" s="372" t="e">
        <f t="shared" ca="1" si="24"/>
        <v>#REF!</v>
      </c>
      <c r="BJ32" s="364" t="str">
        <f t="shared" ca="1" si="15"/>
        <v>NULL</v>
      </c>
      <c r="BK32" s="372" t="e">
        <f ca="1">VLOOKUP($BF32&amp;IF($BJ32="NULL",0,$BJ32),所有坦克升星属性,MATCH(BK$3,所有坦克升星属性标头,0),FALSE)+ROUND(BP32/VLOOKUP($BF32,坦克部件!#REF!,4,FALSE)*VLOOKUP($BF32&amp;0,所有坦克升星属性,MATCH(BK$3,所有坦克升星属性标头,0),FALSE),0)</f>
        <v>#N/A</v>
      </c>
      <c r="BL32" s="372" t="e">
        <f ca="1">VLOOKUP($BF32&amp;IF($BJ32="NULL",0,$BJ32),所有坦克升星属性,MATCH(BL$3,所有坦克升星属性标头,0),FALSE)+ROUND(BQ32/VLOOKUP($BF32,坦克部件!#REF!,4,FALSE)*VLOOKUP($BF32&amp;0,所有坦克升星属性,MATCH(BL$3,所有坦克升星属性标头,0),FALSE),0)</f>
        <v>#N/A</v>
      </c>
      <c r="BM32" s="372" t="e">
        <f t="shared" ca="1" si="33"/>
        <v>#N/A</v>
      </c>
      <c r="BN32" s="372" t="e">
        <f t="shared" ca="1" si="33"/>
        <v>#N/A</v>
      </c>
      <c r="BO32" s="372" t="e">
        <f ca="1">VLOOKUP($BF32&amp;IF($BJ32="NULL",0,$BJ32),所有坦克升星属性,MATCH(BO$3,所有坦克升星属性标头,0),FALSE)+ROUND(BR32/VLOOKUP($BF32,坦克部件!#REF!,4,FALSE)*VLOOKUP($BF32&amp;0,所有坦克升星属性,MATCH(BO$3,所有坦克升星属性标头,0),FALSE),0)</f>
        <v>#N/A</v>
      </c>
      <c r="BP32" s="372" t="e">
        <f ca="1">(VLOOKUP($BH32,坦克部件!#REF!,MATCH("标准值",坦克部件!#REF!,0),FALSE)+VLOOKUP($BI32,坦克部件!#REF!,MATCH("标准值",坦克部件!#REF!,0),FALSE))*2</f>
        <v>#REF!</v>
      </c>
      <c r="BQ32" s="372" t="e">
        <f ca="1">(VLOOKUP($BH32,坦克部件!#REF!,MATCH("标准值",坦克部件!#REF!,0),FALSE)+VLOOKUP($BI32,坦克部件!#REF!,MATCH("标准值",坦克部件!#REF!,0),FALSE))*2</f>
        <v>#REF!</v>
      </c>
      <c r="BR32" s="372" t="e">
        <f ca="1">(VLOOKUP($BH32,坦克部件!#REF!,MATCH("标准值",坦克部件!#REF!,0),FALSE)+VLOOKUP($BI32,坦克部件!#REF!,MATCH("标准值",坦克部件!#REF!,0),FALSE))*2</f>
        <v>#REF!</v>
      </c>
      <c r="BS32" s="372" t="e">
        <f ca="1">VLOOKUP($BF32,坦克属性统计!$B$3:$AY$33,MATCH(BS$3,坦克属性统计!$B$3:$AY$3,0),FALSE)</f>
        <v>#N/A</v>
      </c>
      <c r="BT32" s="372" t="e">
        <f t="shared" ca="1" si="34"/>
        <v>#N/A</v>
      </c>
      <c r="BU32" s="372" t="e">
        <f t="shared" ca="1" si="34"/>
        <v>#N/A</v>
      </c>
      <c r="BV32" s="372" t="e">
        <f t="shared" ca="1" si="34"/>
        <v>#N/A</v>
      </c>
      <c r="BW32" s="356">
        <f t="shared" ca="1" si="18"/>
        <v>0</v>
      </c>
      <c r="BX32" s="356" t="e">
        <f ca="1">VLOOKUP(BF32,坦克个性化设定!$B$18:$E$48,4,FALSE)</f>
        <v>#N/A</v>
      </c>
      <c r="BY32" s="357" t="e">
        <f t="shared" ca="1" si="25"/>
        <v>#N/A</v>
      </c>
    </row>
    <row r="33" spans="2:77" x14ac:dyDescent="0.35">
      <c r="B33" s="352">
        <v>11</v>
      </c>
      <c r="C33" s="360">
        <f ca="1">游戏时长规划!H50</f>
        <v>9000</v>
      </c>
      <c r="D33" s="360">
        <f ca="1">游戏时长规划!I50</f>
        <v>11565</v>
      </c>
      <c r="E33" s="360">
        <f>游戏时长规划!K23</f>
        <v>20</v>
      </c>
      <c r="F33" s="360">
        <f>游戏时长规划!L23</f>
        <v>-18</v>
      </c>
      <c r="H33" s="360" t="s">
        <v>1103</v>
      </c>
      <c r="I33" s="360">
        <v>2</v>
      </c>
      <c r="J33" s="360" t="s">
        <v>1104</v>
      </c>
      <c r="O33" s="365">
        <v>30</v>
      </c>
      <c r="P33" s="360" t="e">
        <f t="shared" ca="1" si="29"/>
        <v>#REF!</v>
      </c>
      <c r="Q33" s="360" t="e">
        <f ca="1">ROUND(MIN((BD33-VLOOKUP(R33,$B$22:$F$46,2,FALSE))/(VLOOKUP(R33,$B$22:$F$46,3,FALSE)-VLOOKUP(R33,$B$22:$F$46,2,FALSE)),1)*((VLOOKUP(R33,$B$22:$F$46,4,FALSE)*(AG33/(AG33+VLOOKUP(P33,$D$49:$F$123,3,TRUE)))+VLOOKUP(R33,$B$22:$F$46,5,FALSE)*(1-AG33/(AG33+VLOOKUP(P33,$D$49:$F$123,3,TRUE))))/2)*游戏时长规划!$C$4,0)</f>
        <v>#REF!</v>
      </c>
      <c r="R33" s="360" t="e">
        <f t="shared" ca="1" si="0"/>
        <v>#REF!</v>
      </c>
      <c r="S33" s="360" t="e">
        <f t="shared" ca="1" si="27"/>
        <v>#REF!</v>
      </c>
      <c r="T33" s="360" t="e">
        <f t="shared" ca="1" si="30"/>
        <v>#REF!</v>
      </c>
      <c r="U33" s="370" t="e">
        <f t="shared" ca="1" si="1"/>
        <v>#REF!</v>
      </c>
      <c r="V33" s="363" t="e">
        <f t="shared" ca="1" si="2"/>
        <v>#REF!</v>
      </c>
      <c r="W33" s="360" t="e">
        <f t="shared" ca="1" si="3"/>
        <v>#REF!</v>
      </c>
      <c r="X33" s="81" t="e">
        <f t="shared" ca="1" si="19"/>
        <v>#REF!</v>
      </c>
      <c r="Y33" s="360" t="str">
        <f t="shared" ca="1" si="4"/>
        <v>NULL</v>
      </c>
      <c r="Z33" s="375" t="e">
        <f t="shared" ca="1" si="20"/>
        <v>#REF!</v>
      </c>
      <c r="AA33" s="360">
        <f ca="1">IFERROR(VLOOKUP(IF(V33="T1低",游戏时长规划!$C$67+Z33,Z33),INDIRECT(V33&amp;"星级"),2,TRUE),0)</f>
        <v>0</v>
      </c>
      <c r="AB33" s="375" t="e">
        <f t="shared" ca="1" si="5"/>
        <v>#REF!</v>
      </c>
      <c r="AC33" s="375">
        <f ca="1">($D$14+$D$17)*$L$4/坦克部件养成!$C$2+AC32-IFERROR(IF(RIGHT(AD32,3)*1&gt;RIGHT(VLOOKUP(AC32,INDIRECT(LEFT(AD31,2)&amp;"部件升阶"),5,TRUE),3)*1,VLOOKUP(AD31,INDIRECT(LEFT(AD31,2)&amp;"部件升阶消耗"),2,FALSE),0),0)</f>
        <v>354.99999999999994</v>
      </c>
      <c r="AD33" s="360" t="e">
        <f t="shared" ca="1" si="6"/>
        <v>#REF!</v>
      </c>
      <c r="AE33" s="375" t="e">
        <f ca="1">$D$15*$L$4/坦克部件养成!$C$2+AE32-IF(LEFT(AD33,2)&lt;&gt;LEFT(AD32,2),VLOOKUP(AF32,INDIRECT(LEFT(AD32,2)&amp;"部件升级消耗"),5,FALSE),0)</f>
        <v>#REF!</v>
      </c>
      <c r="AF33" s="360" t="e">
        <f ca="1">MIN(VLOOKUP(AE33,INDIRECT(LEFT(AD33,2)&amp;"部件升级"),2,TRUE),VLOOKUP(LEFT(AD33,2),坦克部件养成!#REF!,6,FALSE))</f>
        <v>#REF!</v>
      </c>
      <c r="AG33" s="378" t="e">
        <f ca="1">MAX(BD$4:BD33)</f>
        <v>#REF!</v>
      </c>
      <c r="AH33" s="378" t="str">
        <f t="shared" ca="1" si="7"/>
        <v/>
      </c>
      <c r="AI33" s="378">
        <f ca="1">IF(Y33="NULL",0,MAX(BY$4:BY33))</f>
        <v>0</v>
      </c>
      <c r="AK33" s="364" t="e">
        <f t="shared" ca="1" si="8"/>
        <v>#REF!</v>
      </c>
      <c r="AL33" s="364" t="e">
        <f ca="1">VLOOKUP(AK33,坦克个性化设定!$B$18:$F$48,5,FALSE)</f>
        <v>#REF!</v>
      </c>
      <c r="AM33" s="372" t="e">
        <f t="shared" ca="1" si="9"/>
        <v>#REF!</v>
      </c>
      <c r="AN33" s="372" t="e">
        <f t="shared" ca="1" si="21"/>
        <v>#REF!</v>
      </c>
      <c r="AO33" s="364">
        <f t="shared" ca="1" si="10"/>
        <v>0</v>
      </c>
      <c r="AP33" s="372" t="e">
        <f ca="1">VLOOKUP($AK33&amp;$AO33,所有坦克升星属性,MATCH(AP$3,所有坦克升星属性标头,0),FALSE)+ROUND(AU33/VLOOKUP($AK33,坦克部件!#REF!,4,FALSE)*VLOOKUP($AK33&amp;0,所有坦克升星属性,MATCH(AP$3,所有坦克升星属性标头,0),FALSE),0)</f>
        <v>#REF!</v>
      </c>
      <c r="AQ33" s="372" t="e">
        <f ca="1">VLOOKUP($AK33&amp;$AO33,所有坦克升星属性,MATCH(AQ$3,所有坦克升星属性标头,0),FALSE)+ROUND(AV33/VLOOKUP($AK33,坦克部件!#REF!,4,FALSE)*VLOOKUP($AK33&amp;0,所有坦克升星属性,MATCH(AQ$3,所有坦克升星属性标头,0),FALSE),0)</f>
        <v>#REF!</v>
      </c>
      <c r="AR33" s="372" t="e">
        <f t="shared" ca="1" si="31"/>
        <v>#REF!</v>
      </c>
      <c r="AS33" s="372" t="e">
        <f t="shared" ca="1" si="31"/>
        <v>#REF!</v>
      </c>
      <c r="AT33" s="372" t="e">
        <f ca="1">VLOOKUP($AK33&amp;$AO33,所有坦克升星属性,MATCH(AT$3,所有坦克升星属性标头,0),FALSE)+ROUND(AW33/VLOOKUP($AK33,坦克部件!#REF!,4,FALSE)*VLOOKUP($AK33&amp;0,所有坦克升星属性,MATCH(AT$3,所有坦克升星属性标头,0),FALSE),0)</f>
        <v>#REF!</v>
      </c>
      <c r="AU33" s="372" t="e">
        <f ca="1">(VLOOKUP($AM33,坦克部件!#REF!,MATCH("标准值",坦克部件!#REF!,0),FALSE)+VLOOKUP($AN33,坦克部件!#REF!,MATCH("标准值",坦克部件!#REF!,0),FALSE))*2</f>
        <v>#REF!</v>
      </c>
      <c r="AV33" s="372" t="e">
        <f ca="1">(VLOOKUP($AM33,坦克部件!#REF!,MATCH("标准值",坦克部件!#REF!,0),FALSE)+VLOOKUP($AN33,坦克部件!#REF!,MATCH("标准值",坦克部件!#REF!,0),FALSE))*2</f>
        <v>#REF!</v>
      </c>
      <c r="AW33" s="372" t="e">
        <f ca="1">(VLOOKUP($AM33,坦克部件!#REF!,MATCH("标准值",坦克部件!#REF!,0),FALSE)+VLOOKUP($AN33,坦克部件!#REF!,MATCH("标准值",坦克部件!#REF!,0),FALSE))*2</f>
        <v>#REF!</v>
      </c>
      <c r="AX33" s="372" t="e">
        <f ca="1">VLOOKUP($AK33,坦克属性统计!$B$3:$AY$33,MATCH(AX$3,坦克属性统计!$B$3:$AY$3,0),FALSE)</f>
        <v>#REF!</v>
      </c>
      <c r="AY33" s="372" t="e">
        <f t="shared" ca="1" si="32"/>
        <v>#REF!</v>
      </c>
      <c r="AZ33" s="372" t="e">
        <f t="shared" ca="1" si="32"/>
        <v>#REF!</v>
      </c>
      <c r="BA33" s="372" t="e">
        <f t="shared" ca="1" si="32"/>
        <v>#REF!</v>
      </c>
      <c r="BB33" s="356" t="e">
        <f t="shared" ca="1" si="13"/>
        <v>#REF!</v>
      </c>
      <c r="BC33" s="356" t="e">
        <f ca="1">VLOOKUP(AK33,坦克个性化设定!$B$18:$E$48,4,FALSE)</f>
        <v>#REF!</v>
      </c>
      <c r="BD33" s="357" t="e">
        <f t="shared" ca="1" si="22"/>
        <v>#REF!</v>
      </c>
      <c r="BF33" s="357" t="str">
        <f t="shared" ca="1" si="14"/>
        <v/>
      </c>
      <c r="BG33" s="372" t="str">
        <f ca="1">IFERROR(VLOOKUP(BF33,坦克个性化设定!$B$18:$F$48,5,FALSE),"")</f>
        <v/>
      </c>
      <c r="BH33" s="372" t="e">
        <f t="shared" ca="1" si="23"/>
        <v>#REF!</v>
      </c>
      <c r="BI33" s="372" t="e">
        <f t="shared" ca="1" si="24"/>
        <v>#REF!</v>
      </c>
      <c r="BJ33" s="364" t="str">
        <f t="shared" ca="1" si="15"/>
        <v>NULL</v>
      </c>
      <c r="BK33" s="372" t="e">
        <f ca="1">VLOOKUP($BF33&amp;IF($BJ33="NULL",0,$BJ33),所有坦克升星属性,MATCH(BK$3,所有坦克升星属性标头,0),FALSE)+ROUND(BP33/VLOOKUP($BF33,坦克部件!#REF!,4,FALSE)*VLOOKUP($BF33&amp;0,所有坦克升星属性,MATCH(BK$3,所有坦克升星属性标头,0),FALSE),0)</f>
        <v>#N/A</v>
      </c>
      <c r="BL33" s="372" t="e">
        <f ca="1">VLOOKUP($BF33&amp;IF($BJ33="NULL",0,$BJ33),所有坦克升星属性,MATCH(BL$3,所有坦克升星属性标头,0),FALSE)+ROUND(BQ33/VLOOKUP($BF33,坦克部件!#REF!,4,FALSE)*VLOOKUP($BF33&amp;0,所有坦克升星属性,MATCH(BL$3,所有坦克升星属性标头,0),FALSE),0)</f>
        <v>#N/A</v>
      </c>
      <c r="BM33" s="372" t="e">
        <f t="shared" ca="1" si="33"/>
        <v>#N/A</v>
      </c>
      <c r="BN33" s="372" t="e">
        <f t="shared" ca="1" si="33"/>
        <v>#N/A</v>
      </c>
      <c r="BO33" s="372" t="e">
        <f ca="1">VLOOKUP($BF33&amp;IF($BJ33="NULL",0,$BJ33),所有坦克升星属性,MATCH(BO$3,所有坦克升星属性标头,0),FALSE)+ROUND(BR33/VLOOKUP($BF33,坦克部件!#REF!,4,FALSE)*VLOOKUP($BF33&amp;0,所有坦克升星属性,MATCH(BO$3,所有坦克升星属性标头,0),FALSE),0)</f>
        <v>#N/A</v>
      </c>
      <c r="BP33" s="372" t="e">
        <f ca="1">(VLOOKUP($BH33,坦克部件!#REF!,MATCH("标准值",坦克部件!#REF!,0),FALSE)+VLOOKUP($BI33,坦克部件!#REF!,MATCH("标准值",坦克部件!#REF!,0),FALSE))*2</f>
        <v>#REF!</v>
      </c>
      <c r="BQ33" s="372" t="e">
        <f ca="1">(VLOOKUP($BH33,坦克部件!#REF!,MATCH("标准值",坦克部件!#REF!,0),FALSE)+VLOOKUP($BI33,坦克部件!#REF!,MATCH("标准值",坦克部件!#REF!,0),FALSE))*2</f>
        <v>#REF!</v>
      </c>
      <c r="BR33" s="372" t="e">
        <f ca="1">(VLOOKUP($BH33,坦克部件!#REF!,MATCH("标准值",坦克部件!#REF!,0),FALSE)+VLOOKUP($BI33,坦克部件!#REF!,MATCH("标准值",坦克部件!#REF!,0),FALSE))*2</f>
        <v>#REF!</v>
      </c>
      <c r="BS33" s="372" t="e">
        <f ca="1">VLOOKUP($BF33,坦克属性统计!$B$3:$AY$33,MATCH(BS$3,坦克属性统计!$B$3:$AY$3,0),FALSE)</f>
        <v>#N/A</v>
      </c>
      <c r="BT33" s="372" t="e">
        <f t="shared" ca="1" si="34"/>
        <v>#N/A</v>
      </c>
      <c r="BU33" s="372" t="e">
        <f t="shared" ca="1" si="34"/>
        <v>#N/A</v>
      </c>
      <c r="BV33" s="372" t="e">
        <f t="shared" ca="1" si="34"/>
        <v>#N/A</v>
      </c>
      <c r="BW33" s="356">
        <f t="shared" ca="1" si="18"/>
        <v>0</v>
      </c>
      <c r="BX33" s="356" t="e">
        <f ca="1">VLOOKUP(BF33,坦克个性化设定!$B$18:$E$48,4,FALSE)</f>
        <v>#N/A</v>
      </c>
      <c r="BY33" s="357" t="e">
        <f t="shared" ca="1" si="25"/>
        <v>#N/A</v>
      </c>
    </row>
    <row r="34" spans="2:77" x14ac:dyDescent="0.35">
      <c r="B34" s="352">
        <v>12</v>
      </c>
      <c r="C34" s="360">
        <f ca="1">游戏时长规划!H51</f>
        <v>9600</v>
      </c>
      <c r="D34" s="360">
        <f ca="1">游戏时长规划!I51</f>
        <v>12023</v>
      </c>
      <c r="E34" s="360">
        <f>游戏时长规划!K24</f>
        <v>20</v>
      </c>
      <c r="F34" s="360">
        <f>游戏时长规划!L24</f>
        <v>-18</v>
      </c>
      <c r="H34" s="360" t="s">
        <v>1104</v>
      </c>
      <c r="I34" s="360">
        <v>3</v>
      </c>
      <c r="J34" s="360" t="s">
        <v>1105</v>
      </c>
      <c r="O34" s="365">
        <v>31</v>
      </c>
      <c r="P34" s="360" t="e">
        <f t="shared" ca="1" si="29"/>
        <v>#REF!</v>
      </c>
      <c r="Q34" s="360" t="e">
        <f ca="1">ROUND(MIN((BD34-VLOOKUP(R34,$B$22:$F$46,2,FALSE))/(VLOOKUP(R34,$B$22:$F$46,3,FALSE)-VLOOKUP(R34,$B$22:$F$46,2,FALSE)),1)*((VLOOKUP(R34,$B$22:$F$46,4,FALSE)*(AG34/(AG34+VLOOKUP(P34,$D$49:$F$123,3,TRUE)))+VLOOKUP(R34,$B$22:$F$46,5,FALSE)*(1-AG34/(AG34+VLOOKUP(P34,$D$49:$F$123,3,TRUE))))/2)*游戏时长规划!$C$4,0)</f>
        <v>#REF!</v>
      </c>
      <c r="R34" s="360" t="e">
        <f t="shared" ca="1" si="0"/>
        <v>#REF!</v>
      </c>
      <c r="S34" s="360" t="e">
        <f t="shared" ca="1" si="27"/>
        <v>#REF!</v>
      </c>
      <c r="T34" s="360" t="e">
        <f t="shared" ca="1" si="30"/>
        <v>#REF!</v>
      </c>
      <c r="U34" s="370" t="e">
        <f t="shared" ca="1" si="1"/>
        <v>#REF!</v>
      </c>
      <c r="V34" s="363" t="e">
        <f t="shared" ca="1" si="2"/>
        <v>#REF!</v>
      </c>
      <c r="W34" s="360" t="e">
        <f t="shared" ca="1" si="3"/>
        <v>#REF!</v>
      </c>
      <c r="X34" s="81" t="e">
        <f t="shared" ca="1" si="19"/>
        <v>#REF!</v>
      </c>
      <c r="Y34" s="360" t="str">
        <f t="shared" ca="1" si="4"/>
        <v>NULL</v>
      </c>
      <c r="Z34" s="375" t="e">
        <f t="shared" ca="1" si="20"/>
        <v>#REF!</v>
      </c>
      <c r="AA34" s="360">
        <f ca="1">IFERROR(VLOOKUP(IF(V34="T1低",游戏时长规划!$C$67+Z34,Z34),INDIRECT(V34&amp;"星级"),2,TRUE),0)</f>
        <v>0</v>
      </c>
      <c r="AB34" s="375" t="e">
        <f t="shared" ca="1" si="5"/>
        <v>#REF!</v>
      </c>
      <c r="AC34" s="375">
        <f ca="1">($D$14+$D$17)*$L$4/坦克部件养成!$C$2+AC33-IFERROR(IF(RIGHT(AD33,3)*1&gt;RIGHT(VLOOKUP(AC33,INDIRECT(LEFT(AD32,2)&amp;"部件升阶"),5,TRUE),3)*1,VLOOKUP(AD32,INDIRECT(LEFT(AD32,2)&amp;"部件升阶消耗"),2,FALSE),0),0)</f>
        <v>366.83333333333326</v>
      </c>
      <c r="AD34" s="360" t="e">
        <f t="shared" ca="1" si="6"/>
        <v>#REF!</v>
      </c>
      <c r="AE34" s="375" t="e">
        <f ca="1">$D$15*$L$4/坦克部件养成!$C$2+AE33-IF(LEFT(AD34,2)&lt;&gt;LEFT(AD33,2),VLOOKUP(AF33,INDIRECT(LEFT(AD33,2)&amp;"部件升级消耗"),5,FALSE),0)</f>
        <v>#REF!</v>
      </c>
      <c r="AF34" s="360" t="e">
        <f ca="1">MIN(VLOOKUP(AE34,INDIRECT(LEFT(AD34,2)&amp;"部件升级"),2,TRUE),VLOOKUP(LEFT(AD34,2),坦克部件养成!#REF!,6,FALSE))</f>
        <v>#REF!</v>
      </c>
      <c r="AG34" s="378" t="e">
        <f ca="1">MAX(BD$4:BD34)</f>
        <v>#REF!</v>
      </c>
      <c r="AH34" s="378" t="str">
        <f t="shared" ca="1" si="7"/>
        <v/>
      </c>
      <c r="AI34" s="378">
        <f ca="1">IF(Y34="NULL",0,MAX(BY$4:BY34))</f>
        <v>0</v>
      </c>
      <c r="AK34" s="364" t="e">
        <f t="shared" ca="1" si="8"/>
        <v>#REF!</v>
      </c>
      <c r="AL34" s="364" t="e">
        <f ca="1">VLOOKUP(AK34,坦克个性化设定!$B$18:$F$48,5,FALSE)</f>
        <v>#REF!</v>
      </c>
      <c r="AM34" s="372" t="e">
        <f t="shared" ca="1" si="9"/>
        <v>#REF!</v>
      </c>
      <c r="AN34" s="372" t="e">
        <f t="shared" ca="1" si="21"/>
        <v>#REF!</v>
      </c>
      <c r="AO34" s="364">
        <f t="shared" ca="1" si="10"/>
        <v>0</v>
      </c>
      <c r="AP34" s="372" t="e">
        <f ca="1">VLOOKUP($AK34&amp;$AO34,所有坦克升星属性,MATCH(AP$3,所有坦克升星属性标头,0),FALSE)+ROUND(AU34/VLOOKUP($AK34,坦克部件!#REF!,4,FALSE)*VLOOKUP($AK34&amp;0,所有坦克升星属性,MATCH(AP$3,所有坦克升星属性标头,0),FALSE),0)</f>
        <v>#REF!</v>
      </c>
      <c r="AQ34" s="372" t="e">
        <f ca="1">VLOOKUP($AK34&amp;$AO34,所有坦克升星属性,MATCH(AQ$3,所有坦克升星属性标头,0),FALSE)+ROUND(AV34/VLOOKUP($AK34,坦克部件!#REF!,4,FALSE)*VLOOKUP($AK34&amp;0,所有坦克升星属性,MATCH(AQ$3,所有坦克升星属性标头,0),FALSE),0)</f>
        <v>#REF!</v>
      </c>
      <c r="AR34" s="372" t="e">
        <f t="shared" ca="1" si="31"/>
        <v>#REF!</v>
      </c>
      <c r="AS34" s="372" t="e">
        <f t="shared" ca="1" si="31"/>
        <v>#REF!</v>
      </c>
      <c r="AT34" s="372" t="e">
        <f ca="1">VLOOKUP($AK34&amp;$AO34,所有坦克升星属性,MATCH(AT$3,所有坦克升星属性标头,0),FALSE)+ROUND(AW34/VLOOKUP($AK34,坦克部件!#REF!,4,FALSE)*VLOOKUP($AK34&amp;0,所有坦克升星属性,MATCH(AT$3,所有坦克升星属性标头,0),FALSE),0)</f>
        <v>#REF!</v>
      </c>
      <c r="AU34" s="372" t="e">
        <f ca="1">(VLOOKUP($AM34,坦克部件!#REF!,MATCH("标准值",坦克部件!#REF!,0),FALSE)+VLOOKUP($AN34,坦克部件!#REF!,MATCH("标准值",坦克部件!#REF!,0),FALSE))*2</f>
        <v>#REF!</v>
      </c>
      <c r="AV34" s="372" t="e">
        <f ca="1">(VLOOKUP($AM34,坦克部件!#REF!,MATCH("标准值",坦克部件!#REF!,0),FALSE)+VLOOKUP($AN34,坦克部件!#REF!,MATCH("标准值",坦克部件!#REF!,0),FALSE))*2</f>
        <v>#REF!</v>
      </c>
      <c r="AW34" s="372" t="e">
        <f ca="1">(VLOOKUP($AM34,坦克部件!#REF!,MATCH("标准值",坦克部件!#REF!,0),FALSE)+VLOOKUP($AN34,坦克部件!#REF!,MATCH("标准值",坦克部件!#REF!,0),FALSE))*2</f>
        <v>#REF!</v>
      </c>
      <c r="AX34" s="372" t="e">
        <f ca="1">VLOOKUP($AK34,坦克属性统计!$B$3:$AY$33,MATCH(AX$3,坦克属性统计!$B$3:$AY$3,0),FALSE)</f>
        <v>#REF!</v>
      </c>
      <c r="AY34" s="372" t="e">
        <f t="shared" ca="1" si="32"/>
        <v>#REF!</v>
      </c>
      <c r="AZ34" s="372" t="e">
        <f t="shared" ca="1" si="32"/>
        <v>#REF!</v>
      </c>
      <c r="BA34" s="372" t="e">
        <f t="shared" ca="1" si="32"/>
        <v>#REF!</v>
      </c>
      <c r="BB34" s="356" t="e">
        <f t="shared" ca="1" si="13"/>
        <v>#REF!</v>
      </c>
      <c r="BC34" s="356" t="e">
        <f ca="1">VLOOKUP(AK34,坦克个性化设定!$B$18:$E$48,4,FALSE)</f>
        <v>#REF!</v>
      </c>
      <c r="BD34" s="357" t="e">
        <f t="shared" ca="1" si="22"/>
        <v>#REF!</v>
      </c>
      <c r="BF34" s="357" t="str">
        <f t="shared" ca="1" si="14"/>
        <v/>
      </c>
      <c r="BG34" s="372" t="str">
        <f ca="1">IFERROR(VLOOKUP(BF34,坦克个性化设定!$B$18:$F$48,5,FALSE),"")</f>
        <v/>
      </c>
      <c r="BH34" s="372" t="e">
        <f t="shared" ca="1" si="23"/>
        <v>#REF!</v>
      </c>
      <c r="BI34" s="372" t="e">
        <f t="shared" ca="1" si="24"/>
        <v>#REF!</v>
      </c>
      <c r="BJ34" s="364" t="str">
        <f t="shared" ca="1" si="15"/>
        <v>NULL</v>
      </c>
      <c r="BK34" s="372" t="e">
        <f ca="1">VLOOKUP($BF34&amp;IF($BJ34="NULL",0,$BJ34),所有坦克升星属性,MATCH(BK$3,所有坦克升星属性标头,0),FALSE)+ROUND(BP34/VLOOKUP($BF34,坦克部件!#REF!,4,FALSE)*VLOOKUP($BF34&amp;0,所有坦克升星属性,MATCH(BK$3,所有坦克升星属性标头,0),FALSE),0)</f>
        <v>#N/A</v>
      </c>
      <c r="BL34" s="372" t="e">
        <f ca="1">VLOOKUP($BF34&amp;IF($BJ34="NULL",0,$BJ34),所有坦克升星属性,MATCH(BL$3,所有坦克升星属性标头,0),FALSE)+ROUND(BQ34/VLOOKUP($BF34,坦克部件!#REF!,4,FALSE)*VLOOKUP($BF34&amp;0,所有坦克升星属性,MATCH(BL$3,所有坦克升星属性标头,0),FALSE),0)</f>
        <v>#N/A</v>
      </c>
      <c r="BM34" s="372" t="e">
        <f t="shared" ca="1" si="33"/>
        <v>#N/A</v>
      </c>
      <c r="BN34" s="372" t="e">
        <f t="shared" ca="1" si="33"/>
        <v>#N/A</v>
      </c>
      <c r="BO34" s="372" t="e">
        <f ca="1">VLOOKUP($BF34&amp;IF($BJ34="NULL",0,$BJ34),所有坦克升星属性,MATCH(BO$3,所有坦克升星属性标头,0),FALSE)+ROUND(BR34/VLOOKUP($BF34,坦克部件!#REF!,4,FALSE)*VLOOKUP($BF34&amp;0,所有坦克升星属性,MATCH(BO$3,所有坦克升星属性标头,0),FALSE),0)</f>
        <v>#N/A</v>
      </c>
      <c r="BP34" s="372" t="e">
        <f ca="1">(VLOOKUP($BH34,坦克部件!#REF!,MATCH("标准值",坦克部件!#REF!,0),FALSE)+VLOOKUP($BI34,坦克部件!#REF!,MATCH("标准值",坦克部件!#REF!,0),FALSE))*2</f>
        <v>#REF!</v>
      </c>
      <c r="BQ34" s="372" t="e">
        <f ca="1">(VLOOKUP($BH34,坦克部件!#REF!,MATCH("标准值",坦克部件!#REF!,0),FALSE)+VLOOKUP($BI34,坦克部件!#REF!,MATCH("标准值",坦克部件!#REF!,0),FALSE))*2</f>
        <v>#REF!</v>
      </c>
      <c r="BR34" s="372" t="e">
        <f ca="1">(VLOOKUP($BH34,坦克部件!#REF!,MATCH("标准值",坦克部件!#REF!,0),FALSE)+VLOOKUP($BI34,坦克部件!#REF!,MATCH("标准值",坦克部件!#REF!,0),FALSE))*2</f>
        <v>#REF!</v>
      </c>
      <c r="BS34" s="372" t="e">
        <f ca="1">VLOOKUP($BF34,坦克属性统计!$B$3:$AY$33,MATCH(BS$3,坦克属性统计!$B$3:$AY$3,0),FALSE)</f>
        <v>#N/A</v>
      </c>
      <c r="BT34" s="372" t="e">
        <f t="shared" ca="1" si="34"/>
        <v>#N/A</v>
      </c>
      <c r="BU34" s="372" t="e">
        <f t="shared" ca="1" si="34"/>
        <v>#N/A</v>
      </c>
      <c r="BV34" s="372" t="e">
        <f t="shared" ca="1" si="34"/>
        <v>#N/A</v>
      </c>
      <c r="BW34" s="356">
        <f t="shared" ca="1" si="18"/>
        <v>0</v>
      </c>
      <c r="BX34" s="356" t="e">
        <f ca="1">VLOOKUP(BF34,坦克个性化设定!$B$18:$E$48,4,FALSE)</f>
        <v>#N/A</v>
      </c>
      <c r="BY34" s="357" t="e">
        <f t="shared" ca="1" si="25"/>
        <v>#N/A</v>
      </c>
    </row>
    <row r="35" spans="2:77" x14ac:dyDescent="0.35">
      <c r="B35" s="352">
        <v>13</v>
      </c>
      <c r="C35" s="360">
        <f ca="1">游戏时长规划!H52</f>
        <v>10300</v>
      </c>
      <c r="D35" s="360">
        <f ca="1">游戏时长规划!I52</f>
        <v>12408</v>
      </c>
      <c r="E35" s="360">
        <f>游戏时长规划!K25</f>
        <v>20</v>
      </c>
      <c r="F35" s="360">
        <f>游戏时长规划!L25</f>
        <v>-15</v>
      </c>
      <c r="H35" s="360" t="s">
        <v>1105</v>
      </c>
      <c r="I35" s="360">
        <v>4</v>
      </c>
      <c r="J35" s="360" t="s">
        <v>1106</v>
      </c>
      <c r="O35" s="365">
        <v>32</v>
      </c>
      <c r="P35" s="360" t="e">
        <f t="shared" ca="1" si="29"/>
        <v>#REF!</v>
      </c>
      <c r="Q35" s="360" t="e">
        <f ca="1">ROUND(MIN((BD35-VLOOKUP(R35,$B$22:$F$46,2,FALSE))/(VLOOKUP(R35,$B$22:$F$46,3,FALSE)-VLOOKUP(R35,$B$22:$F$46,2,FALSE)),1)*((VLOOKUP(R35,$B$22:$F$46,4,FALSE)*(AG35/(AG35+VLOOKUP(P35,$D$49:$F$123,3,TRUE)))+VLOOKUP(R35,$B$22:$F$46,5,FALSE)*(1-AG35/(AG35+VLOOKUP(P35,$D$49:$F$123,3,TRUE))))/2)*游戏时长规划!$C$4,0)</f>
        <v>#REF!</v>
      </c>
      <c r="R35" s="360" t="e">
        <f t="shared" ca="1" si="0"/>
        <v>#REF!</v>
      </c>
      <c r="S35" s="360" t="e">
        <f t="shared" ca="1" si="27"/>
        <v>#REF!</v>
      </c>
      <c r="T35" s="360" t="e">
        <f t="shared" ca="1" si="30"/>
        <v>#REF!</v>
      </c>
      <c r="U35" s="370" t="e">
        <f t="shared" ca="1" si="1"/>
        <v>#REF!</v>
      </c>
      <c r="V35" s="363" t="e">
        <f t="shared" ca="1" si="2"/>
        <v>#REF!</v>
      </c>
      <c r="W35" s="360" t="e">
        <f t="shared" ca="1" si="3"/>
        <v>#REF!</v>
      </c>
      <c r="X35" s="81" t="e">
        <f t="shared" ca="1" si="19"/>
        <v>#REF!</v>
      </c>
      <c r="Y35" s="360" t="str">
        <f t="shared" ca="1" si="4"/>
        <v>NULL</v>
      </c>
      <c r="Z35" s="375" t="e">
        <f t="shared" ca="1" si="20"/>
        <v>#REF!</v>
      </c>
      <c r="AA35" s="360">
        <f ca="1">IFERROR(VLOOKUP(IF(V35="T1低",游戏时长规划!$C$67+Z35,Z35),INDIRECT(V35&amp;"星级"),2,TRUE),0)</f>
        <v>0</v>
      </c>
      <c r="AB35" s="375" t="e">
        <f t="shared" ca="1" si="5"/>
        <v>#REF!</v>
      </c>
      <c r="AC35" s="375">
        <f ca="1">($D$14+$D$17)*$L$4/坦克部件养成!$C$2+AC34-IFERROR(IF(RIGHT(AD34,3)*1&gt;RIGHT(VLOOKUP(AC34,INDIRECT(LEFT(AD33,2)&amp;"部件升阶"),5,TRUE),3)*1,VLOOKUP(AD33,INDIRECT(LEFT(AD33,2)&amp;"部件升阶消耗"),2,FALSE),0),0)</f>
        <v>378.66666666666657</v>
      </c>
      <c r="AD35" s="360" t="e">
        <f t="shared" ca="1" si="6"/>
        <v>#REF!</v>
      </c>
      <c r="AE35" s="375" t="e">
        <f ca="1">$D$15*$L$4/坦克部件养成!$C$2+AE34-IF(LEFT(AD35,2)&lt;&gt;LEFT(AD34,2),VLOOKUP(AF34,INDIRECT(LEFT(AD34,2)&amp;"部件升级消耗"),5,FALSE),0)</f>
        <v>#REF!</v>
      </c>
      <c r="AF35" s="360" t="e">
        <f ca="1">MIN(VLOOKUP(AE35,INDIRECT(LEFT(AD35,2)&amp;"部件升级"),2,TRUE),VLOOKUP(LEFT(AD35,2),坦克部件养成!#REF!,6,FALSE))</f>
        <v>#REF!</v>
      </c>
      <c r="AG35" s="378" t="e">
        <f ca="1">MAX(BD$4:BD35)</f>
        <v>#REF!</v>
      </c>
      <c r="AH35" s="378" t="str">
        <f t="shared" ca="1" si="7"/>
        <v/>
      </c>
      <c r="AI35" s="378">
        <f ca="1">IF(Y35="NULL",0,MAX(BY$4:BY35))</f>
        <v>0</v>
      </c>
      <c r="AK35" s="364" t="e">
        <f t="shared" ca="1" si="8"/>
        <v>#REF!</v>
      </c>
      <c r="AL35" s="364" t="e">
        <f ca="1">VLOOKUP(AK35,坦克个性化设定!$B$18:$F$48,5,FALSE)</f>
        <v>#REF!</v>
      </c>
      <c r="AM35" s="372" t="e">
        <f t="shared" ca="1" si="9"/>
        <v>#REF!</v>
      </c>
      <c r="AN35" s="372" t="e">
        <f t="shared" ca="1" si="21"/>
        <v>#REF!</v>
      </c>
      <c r="AO35" s="364">
        <f t="shared" ca="1" si="10"/>
        <v>0</v>
      </c>
      <c r="AP35" s="372" t="e">
        <f ca="1">VLOOKUP($AK35&amp;$AO35,所有坦克升星属性,MATCH(AP$3,所有坦克升星属性标头,0),FALSE)+ROUND(AU35/VLOOKUP($AK35,坦克部件!#REF!,4,FALSE)*VLOOKUP($AK35&amp;0,所有坦克升星属性,MATCH(AP$3,所有坦克升星属性标头,0),FALSE),0)</f>
        <v>#REF!</v>
      </c>
      <c r="AQ35" s="372" t="e">
        <f ca="1">VLOOKUP($AK35&amp;$AO35,所有坦克升星属性,MATCH(AQ$3,所有坦克升星属性标头,0),FALSE)+ROUND(AV35/VLOOKUP($AK35,坦克部件!#REF!,4,FALSE)*VLOOKUP($AK35&amp;0,所有坦克升星属性,MATCH(AQ$3,所有坦克升星属性标头,0),FALSE),0)</f>
        <v>#REF!</v>
      </c>
      <c r="AR35" s="372" t="e">
        <f t="shared" ca="1" si="31"/>
        <v>#REF!</v>
      </c>
      <c r="AS35" s="372" t="e">
        <f t="shared" ca="1" si="31"/>
        <v>#REF!</v>
      </c>
      <c r="AT35" s="372" t="e">
        <f ca="1">VLOOKUP($AK35&amp;$AO35,所有坦克升星属性,MATCH(AT$3,所有坦克升星属性标头,0),FALSE)+ROUND(AW35/VLOOKUP($AK35,坦克部件!#REF!,4,FALSE)*VLOOKUP($AK35&amp;0,所有坦克升星属性,MATCH(AT$3,所有坦克升星属性标头,0),FALSE),0)</f>
        <v>#REF!</v>
      </c>
      <c r="AU35" s="372" t="e">
        <f ca="1">(VLOOKUP($AM35,坦克部件!#REF!,MATCH("标准值",坦克部件!#REF!,0),FALSE)+VLOOKUP($AN35,坦克部件!#REF!,MATCH("标准值",坦克部件!#REF!,0),FALSE))*2</f>
        <v>#REF!</v>
      </c>
      <c r="AV35" s="372" t="e">
        <f ca="1">(VLOOKUP($AM35,坦克部件!#REF!,MATCH("标准值",坦克部件!#REF!,0),FALSE)+VLOOKUP($AN35,坦克部件!#REF!,MATCH("标准值",坦克部件!#REF!,0),FALSE))*2</f>
        <v>#REF!</v>
      </c>
      <c r="AW35" s="372" t="e">
        <f ca="1">(VLOOKUP($AM35,坦克部件!#REF!,MATCH("标准值",坦克部件!#REF!,0),FALSE)+VLOOKUP($AN35,坦克部件!#REF!,MATCH("标准值",坦克部件!#REF!,0),FALSE))*2</f>
        <v>#REF!</v>
      </c>
      <c r="AX35" s="372" t="e">
        <f ca="1">VLOOKUP($AK35,坦克属性统计!$B$3:$AY$33,MATCH(AX$3,坦克属性统计!$B$3:$AY$3,0),FALSE)</f>
        <v>#REF!</v>
      </c>
      <c r="AY35" s="372" t="e">
        <f t="shared" ca="1" si="32"/>
        <v>#REF!</v>
      </c>
      <c r="AZ35" s="372" t="e">
        <f t="shared" ca="1" si="32"/>
        <v>#REF!</v>
      </c>
      <c r="BA35" s="372" t="e">
        <f t="shared" ca="1" si="32"/>
        <v>#REF!</v>
      </c>
      <c r="BB35" s="356" t="e">
        <f t="shared" ca="1" si="13"/>
        <v>#REF!</v>
      </c>
      <c r="BC35" s="356" t="e">
        <f ca="1">VLOOKUP(AK35,坦克个性化设定!$B$18:$E$48,4,FALSE)</f>
        <v>#REF!</v>
      </c>
      <c r="BD35" s="357" t="e">
        <f t="shared" ca="1" si="22"/>
        <v>#REF!</v>
      </c>
      <c r="BF35" s="357" t="str">
        <f t="shared" ca="1" si="14"/>
        <v/>
      </c>
      <c r="BG35" s="372" t="str">
        <f ca="1">IFERROR(VLOOKUP(BF35,坦克个性化设定!$B$18:$F$48,5,FALSE),"")</f>
        <v/>
      </c>
      <c r="BH35" s="372" t="e">
        <f t="shared" ca="1" si="23"/>
        <v>#REF!</v>
      </c>
      <c r="BI35" s="372" t="e">
        <f t="shared" ca="1" si="24"/>
        <v>#REF!</v>
      </c>
      <c r="BJ35" s="364" t="str">
        <f t="shared" ca="1" si="15"/>
        <v>NULL</v>
      </c>
      <c r="BK35" s="372" t="e">
        <f ca="1">VLOOKUP($BF35&amp;IF($BJ35="NULL",0,$BJ35),所有坦克升星属性,MATCH(BK$3,所有坦克升星属性标头,0),FALSE)+ROUND(BP35/VLOOKUP($BF35,坦克部件!#REF!,4,FALSE)*VLOOKUP($BF35&amp;0,所有坦克升星属性,MATCH(BK$3,所有坦克升星属性标头,0),FALSE),0)</f>
        <v>#N/A</v>
      </c>
      <c r="BL35" s="372" t="e">
        <f ca="1">VLOOKUP($BF35&amp;IF($BJ35="NULL",0,$BJ35),所有坦克升星属性,MATCH(BL$3,所有坦克升星属性标头,0),FALSE)+ROUND(BQ35/VLOOKUP($BF35,坦克部件!#REF!,4,FALSE)*VLOOKUP($BF35&amp;0,所有坦克升星属性,MATCH(BL$3,所有坦克升星属性标头,0),FALSE),0)</f>
        <v>#N/A</v>
      </c>
      <c r="BM35" s="372" t="e">
        <f t="shared" ca="1" si="33"/>
        <v>#N/A</v>
      </c>
      <c r="BN35" s="372" t="e">
        <f t="shared" ca="1" si="33"/>
        <v>#N/A</v>
      </c>
      <c r="BO35" s="372" t="e">
        <f ca="1">VLOOKUP($BF35&amp;IF($BJ35="NULL",0,$BJ35),所有坦克升星属性,MATCH(BO$3,所有坦克升星属性标头,0),FALSE)+ROUND(BR35/VLOOKUP($BF35,坦克部件!#REF!,4,FALSE)*VLOOKUP($BF35&amp;0,所有坦克升星属性,MATCH(BO$3,所有坦克升星属性标头,0),FALSE),0)</f>
        <v>#N/A</v>
      </c>
      <c r="BP35" s="372" t="e">
        <f ca="1">(VLOOKUP($BH35,坦克部件!#REF!,MATCH("标准值",坦克部件!#REF!,0),FALSE)+VLOOKUP($BI35,坦克部件!#REF!,MATCH("标准值",坦克部件!#REF!,0),FALSE))*2</f>
        <v>#REF!</v>
      </c>
      <c r="BQ35" s="372" t="e">
        <f ca="1">(VLOOKUP($BH35,坦克部件!#REF!,MATCH("标准值",坦克部件!#REF!,0),FALSE)+VLOOKUP($BI35,坦克部件!#REF!,MATCH("标准值",坦克部件!#REF!,0),FALSE))*2</f>
        <v>#REF!</v>
      </c>
      <c r="BR35" s="372" t="e">
        <f ca="1">(VLOOKUP($BH35,坦克部件!#REF!,MATCH("标准值",坦克部件!#REF!,0),FALSE)+VLOOKUP($BI35,坦克部件!#REF!,MATCH("标准值",坦克部件!#REF!,0),FALSE))*2</f>
        <v>#REF!</v>
      </c>
      <c r="BS35" s="372" t="e">
        <f ca="1">VLOOKUP($BF35,坦克属性统计!$B$3:$AY$33,MATCH(BS$3,坦克属性统计!$B$3:$AY$3,0),FALSE)</f>
        <v>#N/A</v>
      </c>
      <c r="BT35" s="372" t="e">
        <f t="shared" ca="1" si="34"/>
        <v>#N/A</v>
      </c>
      <c r="BU35" s="372" t="e">
        <f t="shared" ca="1" si="34"/>
        <v>#N/A</v>
      </c>
      <c r="BV35" s="372" t="e">
        <f t="shared" ca="1" si="34"/>
        <v>#N/A</v>
      </c>
      <c r="BW35" s="356">
        <f t="shared" ca="1" si="18"/>
        <v>0</v>
      </c>
      <c r="BX35" s="356" t="e">
        <f ca="1">VLOOKUP(BF35,坦克个性化设定!$B$18:$E$48,4,FALSE)</f>
        <v>#N/A</v>
      </c>
      <c r="BY35" s="357" t="e">
        <f t="shared" ca="1" si="25"/>
        <v>#N/A</v>
      </c>
    </row>
    <row r="36" spans="2:77" x14ac:dyDescent="0.35">
      <c r="B36" s="352">
        <v>14</v>
      </c>
      <c r="C36" s="360">
        <f ca="1">游戏时长规划!H53</f>
        <v>10800</v>
      </c>
      <c r="D36" s="360">
        <f ca="1">游戏时长规划!I53</f>
        <v>12725</v>
      </c>
      <c r="E36" s="360">
        <f>游戏时长规划!K26</f>
        <v>20</v>
      </c>
      <c r="F36" s="360">
        <f>游戏时长规划!L26</f>
        <v>-15</v>
      </c>
      <c r="H36" s="360" t="s">
        <v>1106</v>
      </c>
      <c r="I36" s="360">
        <v>5</v>
      </c>
      <c r="J36" s="360" t="s">
        <v>1108</v>
      </c>
      <c r="O36" s="365">
        <v>33</v>
      </c>
      <c r="P36" s="360" t="e">
        <f t="shared" ca="1" si="29"/>
        <v>#REF!</v>
      </c>
      <c r="Q36" s="360" t="e">
        <f ca="1">ROUND(MIN((BD36-VLOOKUP(R36,$B$22:$F$46,2,FALSE))/(VLOOKUP(R36,$B$22:$F$46,3,FALSE)-VLOOKUP(R36,$B$22:$F$46,2,FALSE)),1)*((VLOOKUP(R36,$B$22:$F$46,4,FALSE)*(AG36/(AG36+VLOOKUP(P36,$D$49:$F$123,3,TRUE)))+VLOOKUP(R36,$B$22:$F$46,5,FALSE)*(1-AG36/(AG36+VLOOKUP(P36,$D$49:$F$123,3,TRUE))))/2)*游戏时长规划!$C$4,0)</f>
        <v>#REF!</v>
      </c>
      <c r="R36" s="360" t="e">
        <f t="shared" ca="1" si="0"/>
        <v>#REF!</v>
      </c>
      <c r="S36" s="360" t="e">
        <f t="shared" ca="1" si="27"/>
        <v>#REF!</v>
      </c>
      <c r="T36" s="360" t="e">
        <f t="shared" ca="1" si="30"/>
        <v>#REF!</v>
      </c>
      <c r="U36" s="370" t="e">
        <f t="shared" ca="1" si="1"/>
        <v>#REF!</v>
      </c>
      <c r="V36" s="363" t="e">
        <f t="shared" ref="V36:V67" ca="1" si="35">VLOOKUP(U36,$H$46:$L$76,5,FALSE)</f>
        <v>#REF!</v>
      </c>
      <c r="W36" s="360" t="e">
        <f t="shared" ca="1" si="3"/>
        <v>#REF!</v>
      </c>
      <c r="X36" s="81" t="e">
        <f t="shared" ca="1" si="19"/>
        <v>#REF!</v>
      </c>
      <c r="Y36" s="360" t="str">
        <f t="shared" ca="1" si="4"/>
        <v>NULL</v>
      </c>
      <c r="Z36" s="375" t="e">
        <f t="shared" ca="1" si="20"/>
        <v>#REF!</v>
      </c>
      <c r="AA36" s="360">
        <f ca="1">IFERROR(VLOOKUP(IF(V36="T1低",游戏时长规划!$C$67+Z36,Z36),INDIRECT(V36&amp;"星级"),2,TRUE),0)</f>
        <v>0</v>
      </c>
      <c r="AB36" s="375" t="e">
        <f t="shared" ca="1" si="5"/>
        <v>#REF!</v>
      </c>
      <c r="AC36" s="375">
        <f ca="1">($D$14+$D$17)*$L$4/坦克部件养成!$C$2+AC35-IFERROR(IF(RIGHT(AD35,3)*1&gt;RIGHT(VLOOKUP(AC35,INDIRECT(LEFT(AD34,2)&amp;"部件升阶"),5,TRUE),3)*1,VLOOKUP(AD34,INDIRECT(LEFT(AD34,2)&amp;"部件升阶消耗"),2,FALSE),0),0)</f>
        <v>390.49999999999989</v>
      </c>
      <c r="AD36" s="360" t="e">
        <f t="shared" ca="1" si="6"/>
        <v>#REF!</v>
      </c>
      <c r="AE36" s="375" t="e">
        <f ca="1">$D$15*$L$4/坦克部件养成!$C$2+AE35-IF(LEFT(AD36,2)&lt;&gt;LEFT(AD35,2),VLOOKUP(AF35,INDIRECT(LEFT(AD35,2)&amp;"部件升级消耗"),5,FALSE),0)</f>
        <v>#REF!</v>
      </c>
      <c r="AF36" s="360" t="e">
        <f ca="1">MIN(VLOOKUP(AE36,INDIRECT(LEFT(AD36,2)&amp;"部件升级"),2,TRUE),VLOOKUP(LEFT(AD36,2),坦克部件养成!#REF!,6,FALSE))</f>
        <v>#REF!</v>
      </c>
      <c r="AG36" s="378" t="e">
        <f ca="1">MAX(BD$4:BD36)</f>
        <v>#REF!</v>
      </c>
      <c r="AH36" s="378" t="str">
        <f t="shared" ca="1" si="7"/>
        <v/>
      </c>
      <c r="AI36" s="378">
        <f ca="1">IF(Y36="NULL",0,MAX(BY$4:BY36))</f>
        <v>0</v>
      </c>
      <c r="AK36" s="364" t="e">
        <f t="shared" ca="1" si="8"/>
        <v>#REF!</v>
      </c>
      <c r="AL36" s="364" t="e">
        <f ca="1">VLOOKUP(AK36,坦克个性化设定!$B$18:$F$48,5,FALSE)</f>
        <v>#REF!</v>
      </c>
      <c r="AM36" s="372" t="e">
        <f t="shared" ca="1" si="9"/>
        <v>#REF!</v>
      </c>
      <c r="AN36" s="372" t="e">
        <f t="shared" ca="1" si="21"/>
        <v>#REF!</v>
      </c>
      <c r="AO36" s="364">
        <f t="shared" ca="1" si="10"/>
        <v>0</v>
      </c>
      <c r="AP36" s="372" t="e">
        <f ca="1">VLOOKUP($AK36&amp;$AO36,所有坦克升星属性,MATCH(AP$3,所有坦克升星属性标头,0),FALSE)+ROUND(AU36/VLOOKUP($AK36,坦克部件!#REF!,4,FALSE)*VLOOKUP($AK36&amp;0,所有坦克升星属性,MATCH(AP$3,所有坦克升星属性标头,0),FALSE),0)</f>
        <v>#REF!</v>
      </c>
      <c r="AQ36" s="372" t="e">
        <f ca="1">VLOOKUP($AK36&amp;$AO36,所有坦克升星属性,MATCH(AQ$3,所有坦克升星属性标头,0),FALSE)+ROUND(AV36/VLOOKUP($AK36,坦克部件!#REF!,4,FALSE)*VLOOKUP($AK36&amp;0,所有坦克升星属性,MATCH(AQ$3,所有坦克升星属性标头,0),FALSE),0)</f>
        <v>#REF!</v>
      </c>
      <c r="AR36" s="372" t="e">
        <f t="shared" ca="1" si="31"/>
        <v>#REF!</v>
      </c>
      <c r="AS36" s="372" t="e">
        <f t="shared" ca="1" si="31"/>
        <v>#REF!</v>
      </c>
      <c r="AT36" s="372" t="e">
        <f ca="1">VLOOKUP($AK36&amp;$AO36,所有坦克升星属性,MATCH(AT$3,所有坦克升星属性标头,0),FALSE)+ROUND(AW36/VLOOKUP($AK36,坦克部件!#REF!,4,FALSE)*VLOOKUP($AK36&amp;0,所有坦克升星属性,MATCH(AT$3,所有坦克升星属性标头,0),FALSE),0)</f>
        <v>#REF!</v>
      </c>
      <c r="AU36" s="372" t="e">
        <f ca="1">(VLOOKUP($AM36,坦克部件!#REF!,MATCH("标准值",坦克部件!#REF!,0),FALSE)+VLOOKUP($AN36,坦克部件!#REF!,MATCH("标准值",坦克部件!#REF!,0),FALSE))*2</f>
        <v>#REF!</v>
      </c>
      <c r="AV36" s="372" t="e">
        <f ca="1">(VLOOKUP($AM36,坦克部件!#REF!,MATCH("标准值",坦克部件!#REF!,0),FALSE)+VLOOKUP($AN36,坦克部件!#REF!,MATCH("标准值",坦克部件!#REF!,0),FALSE))*2</f>
        <v>#REF!</v>
      </c>
      <c r="AW36" s="372" t="e">
        <f ca="1">(VLOOKUP($AM36,坦克部件!#REF!,MATCH("标准值",坦克部件!#REF!,0),FALSE)+VLOOKUP($AN36,坦克部件!#REF!,MATCH("标准值",坦克部件!#REF!,0),FALSE))*2</f>
        <v>#REF!</v>
      </c>
      <c r="AX36" s="372" t="e">
        <f ca="1">VLOOKUP($AK36,坦克属性统计!$B$3:$AY$33,MATCH(AX$3,坦克属性统计!$B$3:$AY$3,0),FALSE)</f>
        <v>#REF!</v>
      </c>
      <c r="AY36" s="372" t="e">
        <f t="shared" ca="1" si="32"/>
        <v>#REF!</v>
      </c>
      <c r="AZ36" s="372" t="e">
        <f t="shared" ca="1" si="32"/>
        <v>#REF!</v>
      </c>
      <c r="BA36" s="372" t="e">
        <f t="shared" ca="1" si="32"/>
        <v>#REF!</v>
      </c>
      <c r="BB36" s="356" t="e">
        <f t="shared" ca="1" si="13"/>
        <v>#REF!</v>
      </c>
      <c r="BC36" s="356" t="e">
        <f ca="1">VLOOKUP(AK36,坦克个性化设定!$B$18:$E$48,4,FALSE)</f>
        <v>#REF!</v>
      </c>
      <c r="BD36" s="357" t="e">
        <f t="shared" ca="1" si="22"/>
        <v>#REF!</v>
      </c>
      <c r="BF36" s="357" t="str">
        <f t="shared" ca="1" si="14"/>
        <v/>
      </c>
      <c r="BG36" s="372" t="str">
        <f ca="1">IFERROR(VLOOKUP(BF36,坦克个性化设定!$B$18:$F$48,5,FALSE),"")</f>
        <v/>
      </c>
      <c r="BH36" s="372" t="e">
        <f t="shared" ca="1" si="23"/>
        <v>#REF!</v>
      </c>
      <c r="BI36" s="372" t="e">
        <f t="shared" ca="1" si="24"/>
        <v>#REF!</v>
      </c>
      <c r="BJ36" s="364" t="str">
        <f t="shared" ca="1" si="15"/>
        <v>NULL</v>
      </c>
      <c r="BK36" s="372" t="e">
        <f ca="1">VLOOKUP($BF36&amp;IF($BJ36="NULL",0,$BJ36),所有坦克升星属性,MATCH(BK$3,所有坦克升星属性标头,0),FALSE)+ROUND(BP36/VLOOKUP($BF36,坦克部件!#REF!,4,FALSE)*VLOOKUP($BF36&amp;0,所有坦克升星属性,MATCH(BK$3,所有坦克升星属性标头,0),FALSE),0)</f>
        <v>#N/A</v>
      </c>
      <c r="BL36" s="372" t="e">
        <f ca="1">VLOOKUP($BF36&amp;IF($BJ36="NULL",0,$BJ36),所有坦克升星属性,MATCH(BL$3,所有坦克升星属性标头,0),FALSE)+ROUND(BQ36/VLOOKUP($BF36,坦克部件!#REF!,4,FALSE)*VLOOKUP($BF36&amp;0,所有坦克升星属性,MATCH(BL$3,所有坦克升星属性标头,0),FALSE),0)</f>
        <v>#N/A</v>
      </c>
      <c r="BM36" s="372" t="e">
        <f t="shared" ca="1" si="33"/>
        <v>#N/A</v>
      </c>
      <c r="BN36" s="372" t="e">
        <f t="shared" ca="1" si="33"/>
        <v>#N/A</v>
      </c>
      <c r="BO36" s="372" t="e">
        <f ca="1">VLOOKUP($BF36&amp;IF($BJ36="NULL",0,$BJ36),所有坦克升星属性,MATCH(BO$3,所有坦克升星属性标头,0),FALSE)+ROUND(BR36/VLOOKUP($BF36,坦克部件!#REF!,4,FALSE)*VLOOKUP($BF36&amp;0,所有坦克升星属性,MATCH(BO$3,所有坦克升星属性标头,0),FALSE),0)</f>
        <v>#N/A</v>
      </c>
      <c r="BP36" s="372" t="e">
        <f ca="1">(VLOOKUP($BH36,坦克部件!#REF!,MATCH("标准值",坦克部件!#REF!,0),FALSE)+VLOOKUP($BI36,坦克部件!#REF!,MATCH("标准值",坦克部件!#REF!,0),FALSE))*2</f>
        <v>#REF!</v>
      </c>
      <c r="BQ36" s="372" t="e">
        <f ca="1">(VLOOKUP($BH36,坦克部件!#REF!,MATCH("标准值",坦克部件!#REF!,0),FALSE)+VLOOKUP($BI36,坦克部件!#REF!,MATCH("标准值",坦克部件!#REF!,0),FALSE))*2</f>
        <v>#REF!</v>
      </c>
      <c r="BR36" s="372" t="e">
        <f ca="1">(VLOOKUP($BH36,坦克部件!#REF!,MATCH("标准值",坦克部件!#REF!,0),FALSE)+VLOOKUP($BI36,坦克部件!#REF!,MATCH("标准值",坦克部件!#REF!,0),FALSE))*2</f>
        <v>#REF!</v>
      </c>
      <c r="BS36" s="372" t="e">
        <f ca="1">VLOOKUP($BF36,坦克属性统计!$B$3:$AY$33,MATCH(BS$3,坦克属性统计!$B$3:$AY$3,0),FALSE)</f>
        <v>#N/A</v>
      </c>
      <c r="BT36" s="372" t="e">
        <f t="shared" ca="1" si="34"/>
        <v>#N/A</v>
      </c>
      <c r="BU36" s="372" t="e">
        <f t="shared" ca="1" si="34"/>
        <v>#N/A</v>
      </c>
      <c r="BV36" s="372" t="e">
        <f t="shared" ca="1" si="34"/>
        <v>#N/A</v>
      </c>
      <c r="BW36" s="356">
        <f t="shared" ca="1" si="18"/>
        <v>0</v>
      </c>
      <c r="BX36" s="356" t="e">
        <f ca="1">VLOOKUP(BF36,坦克个性化设定!$B$18:$E$48,4,FALSE)</f>
        <v>#N/A</v>
      </c>
      <c r="BY36" s="357" t="e">
        <f t="shared" ca="1" si="25"/>
        <v>#N/A</v>
      </c>
    </row>
    <row r="37" spans="2:77" x14ac:dyDescent="0.35">
      <c r="B37" s="352">
        <v>15</v>
      </c>
      <c r="C37" s="360">
        <f ca="1">游戏时长规划!H54</f>
        <v>11050</v>
      </c>
      <c r="D37" s="360">
        <f ca="1">游戏时长规划!I54</f>
        <v>12975</v>
      </c>
      <c r="E37" s="360">
        <f>游戏时长规划!K27</f>
        <v>20</v>
      </c>
      <c r="F37" s="360">
        <f>游戏时长规划!L27</f>
        <v>-15</v>
      </c>
      <c r="H37" s="360" t="s">
        <v>1107</v>
      </c>
      <c r="I37" s="360">
        <v>6</v>
      </c>
      <c r="J37" s="360" t="s">
        <v>1108</v>
      </c>
      <c r="O37" s="365">
        <v>34</v>
      </c>
      <c r="P37" s="360" t="e">
        <f t="shared" ca="1" si="29"/>
        <v>#REF!</v>
      </c>
      <c r="Q37" s="360" t="e">
        <f ca="1">ROUND(MIN((BD37-VLOOKUP(R37,$B$22:$F$46,2,FALSE))/(VLOOKUP(R37,$B$22:$F$46,3,FALSE)-VLOOKUP(R37,$B$22:$F$46,2,FALSE)),1)*((VLOOKUP(R37,$B$22:$F$46,4,FALSE)*(AG37/(AG37+VLOOKUP(P37,$D$49:$F$123,3,TRUE)))+VLOOKUP(R37,$B$22:$F$46,5,FALSE)*(1-AG37/(AG37+VLOOKUP(P37,$D$49:$F$123,3,TRUE))))/2)*游戏时长规划!$C$4,0)</f>
        <v>#REF!</v>
      </c>
      <c r="R37" s="360" t="e">
        <f t="shared" ca="1" si="0"/>
        <v>#REF!</v>
      </c>
      <c r="S37" s="360" t="e">
        <f t="shared" ca="1" si="27"/>
        <v>#REF!</v>
      </c>
      <c r="T37" s="360" t="e">
        <f t="shared" ca="1" si="30"/>
        <v>#REF!</v>
      </c>
      <c r="U37" s="370" t="e">
        <f t="shared" ca="1" si="1"/>
        <v>#REF!</v>
      </c>
      <c r="V37" s="363" t="e">
        <f t="shared" ca="1" si="35"/>
        <v>#REF!</v>
      </c>
      <c r="W37" s="360" t="e">
        <f t="shared" ca="1" si="3"/>
        <v>#REF!</v>
      </c>
      <c r="X37" s="81" t="e">
        <f t="shared" ca="1" si="19"/>
        <v>#REF!</v>
      </c>
      <c r="Y37" s="360" t="str">
        <f t="shared" ca="1" si="4"/>
        <v>NULL</v>
      </c>
      <c r="Z37" s="375" t="e">
        <f t="shared" ca="1" si="20"/>
        <v>#REF!</v>
      </c>
      <c r="AA37" s="360">
        <f ca="1">IFERROR(VLOOKUP(IF(V37="T1低",游戏时长规划!$C$67+Z37,Z37),INDIRECT(V37&amp;"星级"),2,TRUE),0)</f>
        <v>0</v>
      </c>
      <c r="AB37" s="375" t="e">
        <f t="shared" ca="1" si="5"/>
        <v>#REF!</v>
      </c>
      <c r="AC37" s="375">
        <f ca="1">($D$14+$D$17)*$L$4/坦克部件养成!$C$2+AC36-IFERROR(IF(RIGHT(AD36,3)*1&gt;RIGHT(VLOOKUP(AC36,INDIRECT(LEFT(AD35,2)&amp;"部件升阶"),5,TRUE),3)*1,VLOOKUP(AD35,INDIRECT(LEFT(AD35,2)&amp;"部件升阶消耗"),2,FALSE),0),0)</f>
        <v>402.3333333333332</v>
      </c>
      <c r="AD37" s="360" t="e">
        <f t="shared" ca="1" si="6"/>
        <v>#REF!</v>
      </c>
      <c r="AE37" s="375" t="e">
        <f ca="1">$D$15*$L$4/坦克部件养成!$C$2+AE36-IF(LEFT(AD37,2)&lt;&gt;LEFT(AD36,2),VLOOKUP(AF36,INDIRECT(LEFT(AD36,2)&amp;"部件升级消耗"),5,FALSE),0)</f>
        <v>#REF!</v>
      </c>
      <c r="AF37" s="360" t="e">
        <f ca="1">MIN(VLOOKUP(AE37,INDIRECT(LEFT(AD37,2)&amp;"部件升级"),2,TRUE),VLOOKUP(LEFT(AD37,2),坦克部件养成!#REF!,6,FALSE))</f>
        <v>#REF!</v>
      </c>
      <c r="AG37" s="378" t="e">
        <f ca="1">MAX(BD$4:BD37)</f>
        <v>#REF!</v>
      </c>
      <c r="AH37" s="378" t="str">
        <f t="shared" ca="1" si="7"/>
        <v/>
      </c>
      <c r="AI37" s="378">
        <f ca="1">IF(Y37="NULL",0,MAX(BY$4:BY37))</f>
        <v>0</v>
      </c>
      <c r="AK37" s="364" t="e">
        <f t="shared" ca="1" si="8"/>
        <v>#REF!</v>
      </c>
      <c r="AL37" s="364" t="e">
        <f ca="1">VLOOKUP(AK37,坦克个性化设定!$B$18:$F$48,5,FALSE)</f>
        <v>#REF!</v>
      </c>
      <c r="AM37" s="372" t="e">
        <f t="shared" ca="1" si="9"/>
        <v>#REF!</v>
      </c>
      <c r="AN37" s="372" t="e">
        <f t="shared" ca="1" si="21"/>
        <v>#REF!</v>
      </c>
      <c r="AO37" s="364">
        <f t="shared" ca="1" si="10"/>
        <v>0</v>
      </c>
      <c r="AP37" s="372" t="e">
        <f ca="1">VLOOKUP($AK37&amp;$AO37,所有坦克升星属性,MATCH(AP$3,所有坦克升星属性标头,0),FALSE)+ROUND(AU37/VLOOKUP($AK37,坦克部件!#REF!,4,FALSE)*VLOOKUP($AK37&amp;0,所有坦克升星属性,MATCH(AP$3,所有坦克升星属性标头,0),FALSE),0)</f>
        <v>#REF!</v>
      </c>
      <c r="AQ37" s="372" t="e">
        <f ca="1">VLOOKUP($AK37&amp;$AO37,所有坦克升星属性,MATCH(AQ$3,所有坦克升星属性标头,0),FALSE)+ROUND(AV37/VLOOKUP($AK37,坦克部件!#REF!,4,FALSE)*VLOOKUP($AK37&amp;0,所有坦克升星属性,MATCH(AQ$3,所有坦克升星属性标头,0),FALSE),0)</f>
        <v>#REF!</v>
      </c>
      <c r="AR37" s="372" t="e">
        <f t="shared" ca="1" si="31"/>
        <v>#REF!</v>
      </c>
      <c r="AS37" s="372" t="e">
        <f t="shared" ca="1" si="31"/>
        <v>#REF!</v>
      </c>
      <c r="AT37" s="372" t="e">
        <f ca="1">VLOOKUP($AK37&amp;$AO37,所有坦克升星属性,MATCH(AT$3,所有坦克升星属性标头,0),FALSE)+ROUND(AW37/VLOOKUP($AK37,坦克部件!#REF!,4,FALSE)*VLOOKUP($AK37&amp;0,所有坦克升星属性,MATCH(AT$3,所有坦克升星属性标头,0),FALSE),0)</f>
        <v>#REF!</v>
      </c>
      <c r="AU37" s="372" t="e">
        <f ca="1">(VLOOKUP($AM37,坦克部件!#REF!,MATCH("标准值",坦克部件!#REF!,0),FALSE)+VLOOKUP($AN37,坦克部件!#REF!,MATCH("标准值",坦克部件!#REF!,0),FALSE))*2</f>
        <v>#REF!</v>
      </c>
      <c r="AV37" s="372" t="e">
        <f ca="1">(VLOOKUP($AM37,坦克部件!#REF!,MATCH("标准值",坦克部件!#REF!,0),FALSE)+VLOOKUP($AN37,坦克部件!#REF!,MATCH("标准值",坦克部件!#REF!,0),FALSE))*2</f>
        <v>#REF!</v>
      </c>
      <c r="AW37" s="372" t="e">
        <f ca="1">(VLOOKUP($AM37,坦克部件!#REF!,MATCH("标准值",坦克部件!#REF!,0),FALSE)+VLOOKUP($AN37,坦克部件!#REF!,MATCH("标准值",坦克部件!#REF!,0),FALSE))*2</f>
        <v>#REF!</v>
      </c>
      <c r="AX37" s="372" t="e">
        <f ca="1">VLOOKUP($AK37,坦克属性统计!$B$3:$AY$33,MATCH(AX$3,坦克属性统计!$B$3:$AY$3,0),FALSE)</f>
        <v>#REF!</v>
      </c>
      <c r="AY37" s="372" t="e">
        <f t="shared" ca="1" si="32"/>
        <v>#REF!</v>
      </c>
      <c r="AZ37" s="372" t="e">
        <f t="shared" ca="1" si="32"/>
        <v>#REF!</v>
      </c>
      <c r="BA37" s="372" t="e">
        <f t="shared" ca="1" si="32"/>
        <v>#REF!</v>
      </c>
      <c r="BB37" s="356" t="e">
        <f t="shared" ca="1" si="13"/>
        <v>#REF!</v>
      </c>
      <c r="BC37" s="356" t="e">
        <f ca="1">VLOOKUP(AK37,坦克个性化设定!$B$18:$E$48,4,FALSE)</f>
        <v>#REF!</v>
      </c>
      <c r="BD37" s="357" t="e">
        <f t="shared" ca="1" si="22"/>
        <v>#REF!</v>
      </c>
      <c r="BF37" s="357" t="str">
        <f t="shared" ca="1" si="14"/>
        <v/>
      </c>
      <c r="BG37" s="372" t="str">
        <f ca="1">IFERROR(VLOOKUP(BF37,坦克个性化设定!$B$18:$F$48,5,FALSE),"")</f>
        <v/>
      </c>
      <c r="BH37" s="372" t="e">
        <f t="shared" ca="1" si="23"/>
        <v>#REF!</v>
      </c>
      <c r="BI37" s="372" t="e">
        <f t="shared" ca="1" si="24"/>
        <v>#REF!</v>
      </c>
      <c r="BJ37" s="364" t="str">
        <f t="shared" ca="1" si="15"/>
        <v>NULL</v>
      </c>
      <c r="BK37" s="372" t="e">
        <f ca="1">VLOOKUP($BF37&amp;IF($BJ37="NULL",0,$BJ37),所有坦克升星属性,MATCH(BK$3,所有坦克升星属性标头,0),FALSE)+ROUND(BP37/VLOOKUP($BF37,坦克部件!#REF!,4,FALSE)*VLOOKUP($BF37&amp;0,所有坦克升星属性,MATCH(BK$3,所有坦克升星属性标头,0),FALSE),0)</f>
        <v>#N/A</v>
      </c>
      <c r="BL37" s="372" t="e">
        <f ca="1">VLOOKUP($BF37&amp;IF($BJ37="NULL",0,$BJ37),所有坦克升星属性,MATCH(BL$3,所有坦克升星属性标头,0),FALSE)+ROUND(BQ37/VLOOKUP($BF37,坦克部件!#REF!,4,FALSE)*VLOOKUP($BF37&amp;0,所有坦克升星属性,MATCH(BL$3,所有坦克升星属性标头,0),FALSE),0)</f>
        <v>#N/A</v>
      </c>
      <c r="BM37" s="372" t="e">
        <f t="shared" ca="1" si="33"/>
        <v>#N/A</v>
      </c>
      <c r="BN37" s="372" t="e">
        <f t="shared" ca="1" si="33"/>
        <v>#N/A</v>
      </c>
      <c r="BO37" s="372" t="e">
        <f ca="1">VLOOKUP($BF37&amp;IF($BJ37="NULL",0,$BJ37),所有坦克升星属性,MATCH(BO$3,所有坦克升星属性标头,0),FALSE)+ROUND(BR37/VLOOKUP($BF37,坦克部件!#REF!,4,FALSE)*VLOOKUP($BF37&amp;0,所有坦克升星属性,MATCH(BO$3,所有坦克升星属性标头,0),FALSE),0)</f>
        <v>#N/A</v>
      </c>
      <c r="BP37" s="372" t="e">
        <f ca="1">(VLOOKUP($BH37,坦克部件!#REF!,MATCH("标准值",坦克部件!#REF!,0),FALSE)+VLOOKUP($BI37,坦克部件!#REF!,MATCH("标准值",坦克部件!#REF!,0),FALSE))*2</f>
        <v>#REF!</v>
      </c>
      <c r="BQ37" s="372" t="e">
        <f ca="1">(VLOOKUP($BH37,坦克部件!#REF!,MATCH("标准值",坦克部件!#REF!,0),FALSE)+VLOOKUP($BI37,坦克部件!#REF!,MATCH("标准值",坦克部件!#REF!,0),FALSE))*2</f>
        <v>#REF!</v>
      </c>
      <c r="BR37" s="372" t="e">
        <f ca="1">(VLOOKUP($BH37,坦克部件!#REF!,MATCH("标准值",坦克部件!#REF!,0),FALSE)+VLOOKUP($BI37,坦克部件!#REF!,MATCH("标准值",坦克部件!#REF!,0),FALSE))*2</f>
        <v>#REF!</v>
      </c>
      <c r="BS37" s="372" t="e">
        <f ca="1">VLOOKUP($BF37,坦克属性统计!$B$3:$AY$33,MATCH(BS$3,坦克属性统计!$B$3:$AY$3,0),FALSE)</f>
        <v>#N/A</v>
      </c>
      <c r="BT37" s="372" t="e">
        <f t="shared" ca="1" si="34"/>
        <v>#N/A</v>
      </c>
      <c r="BU37" s="372" t="e">
        <f t="shared" ca="1" si="34"/>
        <v>#N/A</v>
      </c>
      <c r="BV37" s="372" t="e">
        <f t="shared" ca="1" si="34"/>
        <v>#N/A</v>
      </c>
      <c r="BW37" s="356">
        <f t="shared" ca="1" si="18"/>
        <v>0</v>
      </c>
      <c r="BX37" s="356" t="e">
        <f ca="1">VLOOKUP(BF37,坦克个性化设定!$B$18:$E$48,4,FALSE)</f>
        <v>#N/A</v>
      </c>
      <c r="BY37" s="357" t="e">
        <f t="shared" ca="1" si="25"/>
        <v>#N/A</v>
      </c>
    </row>
    <row r="38" spans="2:77" x14ac:dyDescent="0.35">
      <c r="B38" s="352">
        <v>16</v>
      </c>
      <c r="C38" s="360">
        <f ca="1">游戏时长规划!H55</f>
        <v>11200</v>
      </c>
      <c r="D38" s="360">
        <f ca="1">游戏时长规划!I55</f>
        <v>13162</v>
      </c>
      <c r="E38" s="360">
        <f>游戏时长规划!K28</f>
        <v>20</v>
      </c>
      <c r="F38" s="360">
        <f>游戏时长规划!L28</f>
        <v>-15</v>
      </c>
      <c r="H38" s="360" t="s">
        <v>1108</v>
      </c>
      <c r="I38" s="360">
        <v>7</v>
      </c>
      <c r="J38" s="360" t="s">
        <v>1109</v>
      </c>
      <c r="O38" s="365">
        <v>35</v>
      </c>
      <c r="P38" s="360" t="e">
        <f t="shared" ca="1" si="29"/>
        <v>#REF!</v>
      </c>
      <c r="Q38" s="360" t="e">
        <f ca="1">ROUND(MIN((BD38-VLOOKUP(R38,$B$22:$F$46,2,FALSE))/(VLOOKUP(R38,$B$22:$F$46,3,FALSE)-VLOOKUP(R38,$B$22:$F$46,2,FALSE)),1)*((VLOOKUP(R38,$B$22:$F$46,4,FALSE)*(AG38/(AG38+VLOOKUP(P38,$D$49:$F$123,3,TRUE)))+VLOOKUP(R38,$B$22:$F$46,5,FALSE)*(1-AG38/(AG38+VLOOKUP(P38,$D$49:$F$123,3,TRUE))))/2)*游戏时长规划!$C$4,0)</f>
        <v>#REF!</v>
      </c>
      <c r="R38" s="360" t="e">
        <f t="shared" ca="1" si="0"/>
        <v>#REF!</v>
      </c>
      <c r="S38" s="360" t="e">
        <f t="shared" ca="1" si="27"/>
        <v>#REF!</v>
      </c>
      <c r="T38" s="360" t="e">
        <f t="shared" ca="1" si="30"/>
        <v>#REF!</v>
      </c>
      <c r="U38" s="370" t="e">
        <f t="shared" ca="1" si="1"/>
        <v>#REF!</v>
      </c>
      <c r="V38" s="363" t="e">
        <f t="shared" ca="1" si="35"/>
        <v>#REF!</v>
      </c>
      <c r="W38" s="360" t="e">
        <f t="shared" ca="1" si="3"/>
        <v>#REF!</v>
      </c>
      <c r="X38" s="81" t="e">
        <f t="shared" ca="1" si="19"/>
        <v>#REF!</v>
      </c>
      <c r="Y38" s="360" t="str">
        <f t="shared" ca="1" si="4"/>
        <v>NULL</v>
      </c>
      <c r="Z38" s="375" t="e">
        <f t="shared" ca="1" si="20"/>
        <v>#REF!</v>
      </c>
      <c r="AA38" s="360">
        <f ca="1">IFERROR(VLOOKUP(IF(V38="T1低",游戏时长规划!$C$67+Z38,Z38),INDIRECT(V38&amp;"星级"),2,TRUE),0)</f>
        <v>0</v>
      </c>
      <c r="AB38" s="375" t="e">
        <f t="shared" ca="1" si="5"/>
        <v>#REF!</v>
      </c>
      <c r="AC38" s="375">
        <f ca="1">($D$14+$D$17)*$L$4/坦克部件养成!$C$2+AC37-IFERROR(IF(RIGHT(AD37,3)*1&gt;RIGHT(VLOOKUP(AC37,INDIRECT(LEFT(AD36,2)&amp;"部件升阶"),5,TRUE),3)*1,VLOOKUP(AD36,INDIRECT(LEFT(AD36,2)&amp;"部件升阶消耗"),2,FALSE),0),0)</f>
        <v>414.16666666666652</v>
      </c>
      <c r="AD38" s="360" t="e">
        <f t="shared" ca="1" si="6"/>
        <v>#REF!</v>
      </c>
      <c r="AE38" s="375" t="e">
        <f ca="1">$D$15*$L$4/坦克部件养成!$C$2+AE37-IF(LEFT(AD38,2)&lt;&gt;LEFT(AD37,2),VLOOKUP(AF37,INDIRECT(LEFT(AD37,2)&amp;"部件升级消耗"),5,FALSE),0)</f>
        <v>#REF!</v>
      </c>
      <c r="AF38" s="360" t="e">
        <f ca="1">MIN(VLOOKUP(AE38,INDIRECT(LEFT(AD38,2)&amp;"部件升级"),2,TRUE),VLOOKUP(LEFT(AD38,2),坦克部件养成!#REF!,6,FALSE))</f>
        <v>#REF!</v>
      </c>
      <c r="AG38" s="378" t="e">
        <f ca="1">MAX(BD$4:BD38)</f>
        <v>#REF!</v>
      </c>
      <c r="AH38" s="378" t="str">
        <f t="shared" ca="1" si="7"/>
        <v/>
      </c>
      <c r="AI38" s="378">
        <f ca="1">IF(Y38="NULL",0,MAX(BY$4:BY38))</f>
        <v>0</v>
      </c>
      <c r="AK38" s="364" t="e">
        <f t="shared" ca="1" si="8"/>
        <v>#REF!</v>
      </c>
      <c r="AL38" s="364" t="e">
        <f ca="1">VLOOKUP(AK38,坦克个性化设定!$B$18:$F$48,5,FALSE)</f>
        <v>#REF!</v>
      </c>
      <c r="AM38" s="372" t="e">
        <f t="shared" ca="1" si="9"/>
        <v>#REF!</v>
      </c>
      <c r="AN38" s="372" t="e">
        <f t="shared" ca="1" si="21"/>
        <v>#REF!</v>
      </c>
      <c r="AO38" s="364">
        <f t="shared" ca="1" si="10"/>
        <v>0</v>
      </c>
      <c r="AP38" s="372" t="e">
        <f ca="1">VLOOKUP($AK38&amp;$AO38,所有坦克升星属性,MATCH(AP$3,所有坦克升星属性标头,0),FALSE)+ROUND(AU38/VLOOKUP($AK38,坦克部件!#REF!,4,FALSE)*VLOOKUP($AK38&amp;0,所有坦克升星属性,MATCH(AP$3,所有坦克升星属性标头,0),FALSE),0)</f>
        <v>#REF!</v>
      </c>
      <c r="AQ38" s="372" t="e">
        <f ca="1">VLOOKUP($AK38&amp;$AO38,所有坦克升星属性,MATCH(AQ$3,所有坦克升星属性标头,0),FALSE)+ROUND(AV38/VLOOKUP($AK38,坦克部件!#REF!,4,FALSE)*VLOOKUP($AK38&amp;0,所有坦克升星属性,MATCH(AQ$3,所有坦克升星属性标头,0),FALSE),0)</f>
        <v>#REF!</v>
      </c>
      <c r="AR38" s="372" t="e">
        <f t="shared" ca="1" si="31"/>
        <v>#REF!</v>
      </c>
      <c r="AS38" s="372" t="e">
        <f t="shared" ca="1" si="31"/>
        <v>#REF!</v>
      </c>
      <c r="AT38" s="372" t="e">
        <f ca="1">VLOOKUP($AK38&amp;$AO38,所有坦克升星属性,MATCH(AT$3,所有坦克升星属性标头,0),FALSE)+ROUND(AW38/VLOOKUP($AK38,坦克部件!#REF!,4,FALSE)*VLOOKUP($AK38&amp;0,所有坦克升星属性,MATCH(AT$3,所有坦克升星属性标头,0),FALSE),0)</f>
        <v>#REF!</v>
      </c>
      <c r="AU38" s="372" t="e">
        <f ca="1">(VLOOKUP($AM38,坦克部件!#REF!,MATCH("标准值",坦克部件!#REF!,0),FALSE)+VLOOKUP($AN38,坦克部件!#REF!,MATCH("标准值",坦克部件!#REF!,0),FALSE))*2</f>
        <v>#REF!</v>
      </c>
      <c r="AV38" s="372" t="e">
        <f ca="1">(VLOOKUP($AM38,坦克部件!#REF!,MATCH("标准值",坦克部件!#REF!,0),FALSE)+VLOOKUP($AN38,坦克部件!#REF!,MATCH("标准值",坦克部件!#REF!,0),FALSE))*2</f>
        <v>#REF!</v>
      </c>
      <c r="AW38" s="372" t="e">
        <f ca="1">(VLOOKUP($AM38,坦克部件!#REF!,MATCH("标准值",坦克部件!#REF!,0),FALSE)+VLOOKUP($AN38,坦克部件!#REF!,MATCH("标准值",坦克部件!#REF!,0),FALSE))*2</f>
        <v>#REF!</v>
      </c>
      <c r="AX38" s="372" t="e">
        <f ca="1">VLOOKUP($AK38,坦克属性统计!$B$3:$AY$33,MATCH(AX$3,坦克属性统计!$B$3:$AY$3,0),FALSE)</f>
        <v>#REF!</v>
      </c>
      <c r="AY38" s="372" t="e">
        <f t="shared" ca="1" si="32"/>
        <v>#REF!</v>
      </c>
      <c r="AZ38" s="372" t="e">
        <f t="shared" ca="1" si="32"/>
        <v>#REF!</v>
      </c>
      <c r="BA38" s="372" t="e">
        <f t="shared" ca="1" si="32"/>
        <v>#REF!</v>
      </c>
      <c r="BB38" s="356" t="e">
        <f t="shared" ca="1" si="13"/>
        <v>#REF!</v>
      </c>
      <c r="BC38" s="356" t="e">
        <f ca="1">VLOOKUP(AK38,坦克个性化设定!$B$18:$E$48,4,FALSE)</f>
        <v>#REF!</v>
      </c>
      <c r="BD38" s="357" t="e">
        <f t="shared" ca="1" si="22"/>
        <v>#REF!</v>
      </c>
      <c r="BF38" s="357" t="str">
        <f t="shared" ca="1" si="14"/>
        <v/>
      </c>
      <c r="BG38" s="372" t="str">
        <f ca="1">IFERROR(VLOOKUP(BF38,坦克个性化设定!$B$18:$F$48,5,FALSE),"")</f>
        <v/>
      </c>
      <c r="BH38" s="372" t="e">
        <f t="shared" ca="1" si="23"/>
        <v>#REF!</v>
      </c>
      <c r="BI38" s="372" t="e">
        <f t="shared" ca="1" si="24"/>
        <v>#REF!</v>
      </c>
      <c r="BJ38" s="364" t="str">
        <f t="shared" ca="1" si="15"/>
        <v>NULL</v>
      </c>
      <c r="BK38" s="372" t="e">
        <f ca="1">VLOOKUP($BF38&amp;IF($BJ38="NULL",0,$BJ38),所有坦克升星属性,MATCH(BK$3,所有坦克升星属性标头,0),FALSE)+ROUND(BP38/VLOOKUP($BF38,坦克部件!#REF!,4,FALSE)*VLOOKUP($BF38&amp;0,所有坦克升星属性,MATCH(BK$3,所有坦克升星属性标头,0),FALSE),0)</f>
        <v>#N/A</v>
      </c>
      <c r="BL38" s="372" t="e">
        <f ca="1">VLOOKUP($BF38&amp;IF($BJ38="NULL",0,$BJ38),所有坦克升星属性,MATCH(BL$3,所有坦克升星属性标头,0),FALSE)+ROUND(BQ38/VLOOKUP($BF38,坦克部件!#REF!,4,FALSE)*VLOOKUP($BF38&amp;0,所有坦克升星属性,MATCH(BL$3,所有坦克升星属性标头,0),FALSE),0)</f>
        <v>#N/A</v>
      </c>
      <c r="BM38" s="372" t="e">
        <f t="shared" ca="1" si="33"/>
        <v>#N/A</v>
      </c>
      <c r="BN38" s="372" t="e">
        <f t="shared" ca="1" si="33"/>
        <v>#N/A</v>
      </c>
      <c r="BO38" s="372" t="e">
        <f ca="1">VLOOKUP($BF38&amp;IF($BJ38="NULL",0,$BJ38),所有坦克升星属性,MATCH(BO$3,所有坦克升星属性标头,0),FALSE)+ROUND(BR38/VLOOKUP($BF38,坦克部件!#REF!,4,FALSE)*VLOOKUP($BF38&amp;0,所有坦克升星属性,MATCH(BO$3,所有坦克升星属性标头,0),FALSE),0)</f>
        <v>#N/A</v>
      </c>
      <c r="BP38" s="372" t="e">
        <f ca="1">(VLOOKUP($BH38,坦克部件!#REF!,MATCH("标准值",坦克部件!#REF!,0),FALSE)+VLOOKUP($BI38,坦克部件!#REF!,MATCH("标准值",坦克部件!#REF!,0),FALSE))*2</f>
        <v>#REF!</v>
      </c>
      <c r="BQ38" s="372" t="e">
        <f ca="1">(VLOOKUP($BH38,坦克部件!#REF!,MATCH("标准值",坦克部件!#REF!,0),FALSE)+VLOOKUP($BI38,坦克部件!#REF!,MATCH("标准值",坦克部件!#REF!,0),FALSE))*2</f>
        <v>#REF!</v>
      </c>
      <c r="BR38" s="372" t="e">
        <f ca="1">(VLOOKUP($BH38,坦克部件!#REF!,MATCH("标准值",坦克部件!#REF!,0),FALSE)+VLOOKUP($BI38,坦克部件!#REF!,MATCH("标准值",坦克部件!#REF!,0),FALSE))*2</f>
        <v>#REF!</v>
      </c>
      <c r="BS38" s="372" t="e">
        <f ca="1">VLOOKUP($BF38,坦克属性统计!$B$3:$AY$33,MATCH(BS$3,坦克属性统计!$B$3:$AY$3,0),FALSE)</f>
        <v>#N/A</v>
      </c>
      <c r="BT38" s="372" t="e">
        <f t="shared" ca="1" si="34"/>
        <v>#N/A</v>
      </c>
      <c r="BU38" s="372" t="e">
        <f t="shared" ca="1" si="34"/>
        <v>#N/A</v>
      </c>
      <c r="BV38" s="372" t="e">
        <f t="shared" ca="1" si="34"/>
        <v>#N/A</v>
      </c>
      <c r="BW38" s="356">
        <f t="shared" ca="1" si="18"/>
        <v>0</v>
      </c>
      <c r="BX38" s="356" t="e">
        <f ca="1">VLOOKUP(BF38,坦克个性化设定!$B$18:$E$48,4,FALSE)</f>
        <v>#N/A</v>
      </c>
      <c r="BY38" s="357" t="e">
        <f t="shared" ca="1" si="25"/>
        <v>#N/A</v>
      </c>
    </row>
    <row r="39" spans="2:77" x14ac:dyDescent="0.35">
      <c r="B39" s="352">
        <v>17</v>
      </c>
      <c r="C39" s="360">
        <f ca="1">游戏时长规划!H56</f>
        <v>11300</v>
      </c>
      <c r="D39" s="360">
        <f ca="1">游戏时长规划!I56</f>
        <v>13288</v>
      </c>
      <c r="E39" s="360">
        <f>游戏时长规划!K29</f>
        <v>20</v>
      </c>
      <c r="F39" s="360">
        <f>游戏时长规划!L29</f>
        <v>-15</v>
      </c>
      <c r="H39" s="360" t="s">
        <v>1109</v>
      </c>
      <c r="I39" s="360">
        <v>8</v>
      </c>
      <c r="J39" s="360" t="s">
        <v>1111</v>
      </c>
      <c r="O39" s="365">
        <v>36</v>
      </c>
      <c r="P39" s="360" t="e">
        <f t="shared" ca="1" si="29"/>
        <v>#REF!</v>
      </c>
      <c r="Q39" s="360" t="e">
        <f ca="1">ROUND(MIN((BD39-VLOOKUP(R39,$B$22:$F$46,2,FALSE))/(VLOOKUP(R39,$B$22:$F$46,3,FALSE)-VLOOKUP(R39,$B$22:$F$46,2,FALSE)),1)*((VLOOKUP(R39,$B$22:$F$46,4,FALSE)*(AG39/(AG39+VLOOKUP(P39,$D$49:$F$123,3,TRUE)))+VLOOKUP(R39,$B$22:$F$46,5,FALSE)*(1-AG39/(AG39+VLOOKUP(P39,$D$49:$F$123,3,TRUE))))/2)*游戏时长规划!$C$4,0)</f>
        <v>#REF!</v>
      </c>
      <c r="R39" s="360" t="e">
        <f t="shared" ca="1" si="0"/>
        <v>#REF!</v>
      </c>
      <c r="S39" s="360" t="e">
        <f t="shared" ca="1" si="27"/>
        <v>#REF!</v>
      </c>
      <c r="T39" s="360" t="e">
        <f t="shared" ca="1" si="30"/>
        <v>#REF!</v>
      </c>
      <c r="U39" s="370" t="e">
        <f t="shared" ca="1" si="1"/>
        <v>#REF!</v>
      </c>
      <c r="V39" s="363" t="e">
        <f t="shared" ca="1" si="35"/>
        <v>#REF!</v>
      </c>
      <c r="W39" s="360" t="e">
        <f t="shared" ca="1" si="3"/>
        <v>#REF!</v>
      </c>
      <c r="X39" s="81" t="e">
        <f t="shared" ca="1" si="19"/>
        <v>#REF!</v>
      </c>
      <c r="Y39" s="360" t="str">
        <f t="shared" ca="1" si="4"/>
        <v>NULL</v>
      </c>
      <c r="Z39" s="375" t="e">
        <f t="shared" ca="1" si="20"/>
        <v>#REF!</v>
      </c>
      <c r="AA39" s="360">
        <f ca="1">IFERROR(VLOOKUP(IF(V39="T1低",游戏时长规划!$C$67+Z39,Z39),INDIRECT(V39&amp;"星级"),2,TRUE),0)</f>
        <v>0</v>
      </c>
      <c r="AB39" s="375" t="e">
        <f t="shared" ca="1" si="5"/>
        <v>#REF!</v>
      </c>
      <c r="AC39" s="375">
        <f ca="1">($D$14+$D$17)*$L$4/坦克部件养成!$C$2+AC38-IFERROR(IF(RIGHT(AD38,3)*1&gt;RIGHT(VLOOKUP(AC38,INDIRECT(LEFT(AD37,2)&amp;"部件升阶"),5,TRUE),3)*1,VLOOKUP(AD37,INDIRECT(LEFT(AD37,2)&amp;"部件升阶消耗"),2,FALSE),0),0)</f>
        <v>425.99999999999983</v>
      </c>
      <c r="AD39" s="360" t="e">
        <f t="shared" ca="1" si="6"/>
        <v>#REF!</v>
      </c>
      <c r="AE39" s="375" t="e">
        <f ca="1">$D$15*$L$4/坦克部件养成!$C$2+AE38-IF(LEFT(AD39,2)&lt;&gt;LEFT(AD38,2),VLOOKUP(AF38,INDIRECT(LEFT(AD38,2)&amp;"部件升级消耗"),5,FALSE),0)</f>
        <v>#REF!</v>
      </c>
      <c r="AF39" s="360" t="e">
        <f ca="1">MIN(VLOOKUP(AE39,INDIRECT(LEFT(AD39,2)&amp;"部件升级"),2,TRUE),VLOOKUP(LEFT(AD39,2),坦克部件养成!#REF!,6,FALSE))</f>
        <v>#REF!</v>
      </c>
      <c r="AG39" s="378" t="e">
        <f ca="1">MAX(BD$4:BD39)</f>
        <v>#REF!</v>
      </c>
      <c r="AH39" s="378" t="str">
        <f t="shared" ca="1" si="7"/>
        <v/>
      </c>
      <c r="AI39" s="378">
        <f ca="1">IF(Y39="NULL",0,MAX(BY$4:BY39))</f>
        <v>0</v>
      </c>
      <c r="AK39" s="364" t="e">
        <f t="shared" ca="1" si="8"/>
        <v>#REF!</v>
      </c>
      <c r="AL39" s="364" t="e">
        <f ca="1">VLOOKUP(AK39,坦克个性化设定!$B$18:$F$48,5,FALSE)</f>
        <v>#REF!</v>
      </c>
      <c r="AM39" s="372" t="e">
        <f t="shared" ca="1" si="9"/>
        <v>#REF!</v>
      </c>
      <c r="AN39" s="372" t="e">
        <f t="shared" ca="1" si="21"/>
        <v>#REF!</v>
      </c>
      <c r="AO39" s="364">
        <f t="shared" ca="1" si="10"/>
        <v>0</v>
      </c>
      <c r="AP39" s="372" t="e">
        <f ca="1">VLOOKUP($AK39&amp;$AO39,所有坦克升星属性,MATCH(AP$3,所有坦克升星属性标头,0),FALSE)+ROUND(AU39/VLOOKUP($AK39,坦克部件!#REF!,4,FALSE)*VLOOKUP($AK39&amp;0,所有坦克升星属性,MATCH(AP$3,所有坦克升星属性标头,0),FALSE),0)</f>
        <v>#REF!</v>
      </c>
      <c r="AQ39" s="372" t="e">
        <f ca="1">VLOOKUP($AK39&amp;$AO39,所有坦克升星属性,MATCH(AQ$3,所有坦克升星属性标头,0),FALSE)+ROUND(AV39/VLOOKUP($AK39,坦克部件!#REF!,4,FALSE)*VLOOKUP($AK39&amp;0,所有坦克升星属性,MATCH(AQ$3,所有坦克升星属性标头,0),FALSE),0)</f>
        <v>#REF!</v>
      </c>
      <c r="AR39" s="372" t="e">
        <f t="shared" ca="1" si="31"/>
        <v>#REF!</v>
      </c>
      <c r="AS39" s="372" t="e">
        <f t="shared" ca="1" si="31"/>
        <v>#REF!</v>
      </c>
      <c r="AT39" s="372" t="e">
        <f ca="1">VLOOKUP($AK39&amp;$AO39,所有坦克升星属性,MATCH(AT$3,所有坦克升星属性标头,0),FALSE)+ROUND(AW39/VLOOKUP($AK39,坦克部件!#REF!,4,FALSE)*VLOOKUP($AK39&amp;0,所有坦克升星属性,MATCH(AT$3,所有坦克升星属性标头,0),FALSE),0)</f>
        <v>#REF!</v>
      </c>
      <c r="AU39" s="372" t="e">
        <f ca="1">(VLOOKUP($AM39,坦克部件!#REF!,MATCH("标准值",坦克部件!#REF!,0),FALSE)+VLOOKUP($AN39,坦克部件!#REF!,MATCH("标准值",坦克部件!#REF!,0),FALSE))*2</f>
        <v>#REF!</v>
      </c>
      <c r="AV39" s="372" t="e">
        <f ca="1">(VLOOKUP($AM39,坦克部件!#REF!,MATCH("标准值",坦克部件!#REF!,0),FALSE)+VLOOKUP($AN39,坦克部件!#REF!,MATCH("标准值",坦克部件!#REF!,0),FALSE))*2</f>
        <v>#REF!</v>
      </c>
      <c r="AW39" s="372" t="e">
        <f ca="1">(VLOOKUP($AM39,坦克部件!#REF!,MATCH("标准值",坦克部件!#REF!,0),FALSE)+VLOOKUP($AN39,坦克部件!#REF!,MATCH("标准值",坦克部件!#REF!,0),FALSE))*2</f>
        <v>#REF!</v>
      </c>
      <c r="AX39" s="372" t="e">
        <f ca="1">VLOOKUP($AK39,坦克属性统计!$B$3:$AY$33,MATCH(AX$3,坦克属性统计!$B$3:$AY$3,0),FALSE)</f>
        <v>#REF!</v>
      </c>
      <c r="AY39" s="372" t="e">
        <f t="shared" ca="1" si="32"/>
        <v>#REF!</v>
      </c>
      <c r="AZ39" s="372" t="e">
        <f t="shared" ca="1" si="32"/>
        <v>#REF!</v>
      </c>
      <c r="BA39" s="372" t="e">
        <f t="shared" ca="1" si="32"/>
        <v>#REF!</v>
      </c>
      <c r="BB39" s="356" t="e">
        <f t="shared" ca="1" si="13"/>
        <v>#REF!</v>
      </c>
      <c r="BC39" s="356" t="e">
        <f ca="1">VLOOKUP(AK39,坦克个性化设定!$B$18:$E$48,4,FALSE)</f>
        <v>#REF!</v>
      </c>
      <c r="BD39" s="357" t="e">
        <f t="shared" ca="1" si="22"/>
        <v>#REF!</v>
      </c>
      <c r="BF39" s="357" t="str">
        <f t="shared" ca="1" si="14"/>
        <v/>
      </c>
      <c r="BG39" s="372" t="str">
        <f ca="1">IFERROR(VLOOKUP(BF39,坦克个性化设定!$B$18:$F$48,5,FALSE),"")</f>
        <v/>
      </c>
      <c r="BH39" s="372" t="e">
        <f t="shared" ca="1" si="23"/>
        <v>#REF!</v>
      </c>
      <c r="BI39" s="372" t="e">
        <f t="shared" ca="1" si="24"/>
        <v>#REF!</v>
      </c>
      <c r="BJ39" s="364" t="str">
        <f t="shared" ca="1" si="15"/>
        <v>NULL</v>
      </c>
      <c r="BK39" s="372" t="e">
        <f ca="1">VLOOKUP($BF39&amp;IF($BJ39="NULL",0,$BJ39),所有坦克升星属性,MATCH(BK$3,所有坦克升星属性标头,0),FALSE)+ROUND(BP39/VLOOKUP($BF39,坦克部件!#REF!,4,FALSE)*VLOOKUP($BF39&amp;0,所有坦克升星属性,MATCH(BK$3,所有坦克升星属性标头,0),FALSE),0)</f>
        <v>#N/A</v>
      </c>
      <c r="BL39" s="372" t="e">
        <f ca="1">VLOOKUP($BF39&amp;IF($BJ39="NULL",0,$BJ39),所有坦克升星属性,MATCH(BL$3,所有坦克升星属性标头,0),FALSE)+ROUND(BQ39/VLOOKUP($BF39,坦克部件!#REF!,4,FALSE)*VLOOKUP($BF39&amp;0,所有坦克升星属性,MATCH(BL$3,所有坦克升星属性标头,0),FALSE),0)</f>
        <v>#N/A</v>
      </c>
      <c r="BM39" s="372" t="e">
        <f t="shared" ca="1" si="33"/>
        <v>#N/A</v>
      </c>
      <c r="BN39" s="372" t="e">
        <f t="shared" ca="1" si="33"/>
        <v>#N/A</v>
      </c>
      <c r="BO39" s="372" t="e">
        <f ca="1">VLOOKUP($BF39&amp;IF($BJ39="NULL",0,$BJ39),所有坦克升星属性,MATCH(BO$3,所有坦克升星属性标头,0),FALSE)+ROUND(BR39/VLOOKUP($BF39,坦克部件!#REF!,4,FALSE)*VLOOKUP($BF39&amp;0,所有坦克升星属性,MATCH(BO$3,所有坦克升星属性标头,0),FALSE),0)</f>
        <v>#N/A</v>
      </c>
      <c r="BP39" s="372" t="e">
        <f ca="1">(VLOOKUP($BH39,坦克部件!#REF!,MATCH("标准值",坦克部件!#REF!,0),FALSE)+VLOOKUP($BI39,坦克部件!#REF!,MATCH("标准值",坦克部件!#REF!,0),FALSE))*2</f>
        <v>#REF!</v>
      </c>
      <c r="BQ39" s="372" t="e">
        <f ca="1">(VLOOKUP($BH39,坦克部件!#REF!,MATCH("标准值",坦克部件!#REF!,0),FALSE)+VLOOKUP($BI39,坦克部件!#REF!,MATCH("标准值",坦克部件!#REF!,0),FALSE))*2</f>
        <v>#REF!</v>
      </c>
      <c r="BR39" s="372" t="e">
        <f ca="1">(VLOOKUP($BH39,坦克部件!#REF!,MATCH("标准值",坦克部件!#REF!,0),FALSE)+VLOOKUP($BI39,坦克部件!#REF!,MATCH("标准值",坦克部件!#REF!,0),FALSE))*2</f>
        <v>#REF!</v>
      </c>
      <c r="BS39" s="372" t="e">
        <f ca="1">VLOOKUP($BF39,坦克属性统计!$B$3:$AY$33,MATCH(BS$3,坦克属性统计!$B$3:$AY$3,0),FALSE)</f>
        <v>#N/A</v>
      </c>
      <c r="BT39" s="372" t="e">
        <f t="shared" ca="1" si="34"/>
        <v>#N/A</v>
      </c>
      <c r="BU39" s="372" t="e">
        <f t="shared" ca="1" si="34"/>
        <v>#N/A</v>
      </c>
      <c r="BV39" s="372" t="e">
        <f t="shared" ca="1" si="34"/>
        <v>#N/A</v>
      </c>
      <c r="BW39" s="356">
        <f t="shared" ca="1" si="18"/>
        <v>0</v>
      </c>
      <c r="BX39" s="356" t="e">
        <f ca="1">VLOOKUP(BF39,坦克个性化设定!$B$18:$E$48,4,FALSE)</f>
        <v>#N/A</v>
      </c>
      <c r="BY39" s="357" t="e">
        <f t="shared" ca="1" si="25"/>
        <v>#N/A</v>
      </c>
    </row>
    <row r="40" spans="2:77" x14ac:dyDescent="0.35">
      <c r="B40" s="352">
        <v>18</v>
      </c>
      <c r="C40" s="360">
        <f ca="1">游戏时长规划!H57</f>
        <v>11350</v>
      </c>
      <c r="D40" s="360">
        <f ca="1">游戏时长规划!I57</f>
        <v>13357</v>
      </c>
      <c r="E40" s="360">
        <f>游戏时长规划!K30</f>
        <v>20</v>
      </c>
      <c r="F40" s="360">
        <f>游戏时长规划!L30</f>
        <v>-15</v>
      </c>
      <c r="H40" s="360" t="s">
        <v>1110</v>
      </c>
      <c r="I40" s="360">
        <v>9</v>
      </c>
      <c r="J40" s="360" t="s">
        <v>1111</v>
      </c>
      <c r="O40" s="365">
        <v>37</v>
      </c>
      <c r="P40" s="360" t="e">
        <f t="shared" ca="1" si="29"/>
        <v>#REF!</v>
      </c>
      <c r="Q40" s="360" t="e">
        <f ca="1">ROUND(MIN((BD40-VLOOKUP(R40,$B$22:$F$46,2,FALSE))/(VLOOKUP(R40,$B$22:$F$46,3,FALSE)-VLOOKUP(R40,$B$22:$F$46,2,FALSE)),1)*((VLOOKUP(R40,$B$22:$F$46,4,FALSE)*(AG40/(AG40+VLOOKUP(P40,$D$49:$F$123,3,TRUE)))+VLOOKUP(R40,$B$22:$F$46,5,FALSE)*(1-AG40/(AG40+VLOOKUP(P40,$D$49:$F$123,3,TRUE))))/2)*游戏时长规划!$C$4,0)</f>
        <v>#REF!</v>
      </c>
      <c r="R40" s="360" t="e">
        <f t="shared" ca="1" si="0"/>
        <v>#REF!</v>
      </c>
      <c r="S40" s="360" t="e">
        <f t="shared" ca="1" si="27"/>
        <v>#REF!</v>
      </c>
      <c r="T40" s="360" t="e">
        <f t="shared" ca="1" si="30"/>
        <v>#REF!</v>
      </c>
      <c r="U40" s="370" t="e">
        <f t="shared" ca="1" si="1"/>
        <v>#REF!</v>
      </c>
      <c r="V40" s="363" t="e">
        <f t="shared" ca="1" si="35"/>
        <v>#REF!</v>
      </c>
      <c r="W40" s="360" t="e">
        <f t="shared" ca="1" si="3"/>
        <v>#REF!</v>
      </c>
      <c r="X40" s="81" t="e">
        <f t="shared" ca="1" si="19"/>
        <v>#REF!</v>
      </c>
      <c r="Y40" s="360" t="str">
        <f t="shared" ca="1" si="4"/>
        <v>NULL</v>
      </c>
      <c r="Z40" s="375" t="e">
        <f t="shared" ca="1" si="20"/>
        <v>#REF!</v>
      </c>
      <c r="AA40" s="360">
        <f ca="1">IFERROR(VLOOKUP(IF(V40="T1低",游戏时长规划!$C$67+Z40,Z40),INDIRECT(V40&amp;"星级"),2,TRUE),0)</f>
        <v>0</v>
      </c>
      <c r="AB40" s="375" t="e">
        <f t="shared" ca="1" si="5"/>
        <v>#REF!</v>
      </c>
      <c r="AC40" s="375">
        <f ca="1">($D$14+$D$17)*$L$4/坦克部件养成!$C$2+AC39-IFERROR(IF(RIGHT(AD39,3)*1&gt;RIGHT(VLOOKUP(AC39,INDIRECT(LEFT(AD38,2)&amp;"部件升阶"),5,TRUE),3)*1,VLOOKUP(AD38,INDIRECT(LEFT(AD38,2)&amp;"部件升阶消耗"),2,FALSE),0),0)</f>
        <v>437.83333333333314</v>
      </c>
      <c r="AD40" s="360" t="e">
        <f t="shared" ca="1" si="6"/>
        <v>#REF!</v>
      </c>
      <c r="AE40" s="375" t="e">
        <f ca="1">$D$15*$L$4/坦克部件养成!$C$2+AE39-IF(LEFT(AD40,2)&lt;&gt;LEFT(AD39,2),VLOOKUP(AF39,INDIRECT(LEFT(AD39,2)&amp;"部件升级消耗"),5,FALSE),0)</f>
        <v>#REF!</v>
      </c>
      <c r="AF40" s="360" t="e">
        <f ca="1">MIN(VLOOKUP(AE40,INDIRECT(LEFT(AD40,2)&amp;"部件升级"),2,TRUE),VLOOKUP(LEFT(AD40,2),坦克部件养成!#REF!,6,FALSE))</f>
        <v>#REF!</v>
      </c>
      <c r="AG40" s="378" t="e">
        <f ca="1">MAX(BD$4:BD40)</f>
        <v>#REF!</v>
      </c>
      <c r="AH40" s="378" t="str">
        <f t="shared" ca="1" si="7"/>
        <v/>
      </c>
      <c r="AI40" s="378">
        <f ca="1">IF(Y40="NULL",0,MAX(BY$4:BY40))</f>
        <v>0</v>
      </c>
      <c r="AK40" s="364" t="e">
        <f t="shared" ca="1" si="8"/>
        <v>#REF!</v>
      </c>
      <c r="AL40" s="364" t="e">
        <f ca="1">VLOOKUP(AK40,坦克个性化设定!$B$18:$F$48,5,FALSE)</f>
        <v>#REF!</v>
      </c>
      <c r="AM40" s="372" t="e">
        <f t="shared" ca="1" si="9"/>
        <v>#REF!</v>
      </c>
      <c r="AN40" s="372" t="e">
        <f t="shared" ca="1" si="21"/>
        <v>#REF!</v>
      </c>
      <c r="AO40" s="364">
        <f t="shared" ca="1" si="10"/>
        <v>0</v>
      </c>
      <c r="AP40" s="372" t="e">
        <f ca="1">VLOOKUP($AK40&amp;$AO40,所有坦克升星属性,MATCH(AP$3,所有坦克升星属性标头,0),FALSE)+ROUND(AU40/VLOOKUP($AK40,坦克部件!#REF!,4,FALSE)*VLOOKUP($AK40&amp;0,所有坦克升星属性,MATCH(AP$3,所有坦克升星属性标头,0),FALSE),0)</f>
        <v>#REF!</v>
      </c>
      <c r="AQ40" s="372" t="e">
        <f ca="1">VLOOKUP($AK40&amp;$AO40,所有坦克升星属性,MATCH(AQ$3,所有坦克升星属性标头,0),FALSE)+ROUND(AV40/VLOOKUP($AK40,坦克部件!#REF!,4,FALSE)*VLOOKUP($AK40&amp;0,所有坦克升星属性,MATCH(AQ$3,所有坦克升星属性标头,0),FALSE),0)</f>
        <v>#REF!</v>
      </c>
      <c r="AR40" s="372" t="e">
        <f t="shared" ca="1" si="31"/>
        <v>#REF!</v>
      </c>
      <c r="AS40" s="372" t="e">
        <f t="shared" ca="1" si="31"/>
        <v>#REF!</v>
      </c>
      <c r="AT40" s="372" t="e">
        <f ca="1">VLOOKUP($AK40&amp;$AO40,所有坦克升星属性,MATCH(AT$3,所有坦克升星属性标头,0),FALSE)+ROUND(AW40/VLOOKUP($AK40,坦克部件!#REF!,4,FALSE)*VLOOKUP($AK40&amp;0,所有坦克升星属性,MATCH(AT$3,所有坦克升星属性标头,0),FALSE),0)</f>
        <v>#REF!</v>
      </c>
      <c r="AU40" s="372" t="e">
        <f ca="1">(VLOOKUP($AM40,坦克部件!#REF!,MATCH("标准值",坦克部件!#REF!,0),FALSE)+VLOOKUP($AN40,坦克部件!#REF!,MATCH("标准值",坦克部件!#REF!,0),FALSE))*2</f>
        <v>#REF!</v>
      </c>
      <c r="AV40" s="372" t="e">
        <f ca="1">(VLOOKUP($AM40,坦克部件!#REF!,MATCH("标准值",坦克部件!#REF!,0),FALSE)+VLOOKUP($AN40,坦克部件!#REF!,MATCH("标准值",坦克部件!#REF!,0),FALSE))*2</f>
        <v>#REF!</v>
      </c>
      <c r="AW40" s="372" t="e">
        <f ca="1">(VLOOKUP($AM40,坦克部件!#REF!,MATCH("标准值",坦克部件!#REF!,0),FALSE)+VLOOKUP($AN40,坦克部件!#REF!,MATCH("标准值",坦克部件!#REF!,0),FALSE))*2</f>
        <v>#REF!</v>
      </c>
      <c r="AX40" s="372" t="e">
        <f ca="1">VLOOKUP($AK40,坦克属性统计!$B$3:$AY$33,MATCH(AX$3,坦克属性统计!$B$3:$AY$3,0),FALSE)</f>
        <v>#REF!</v>
      </c>
      <c r="AY40" s="372" t="e">
        <f t="shared" ca="1" si="32"/>
        <v>#REF!</v>
      </c>
      <c r="AZ40" s="372" t="e">
        <f t="shared" ca="1" si="32"/>
        <v>#REF!</v>
      </c>
      <c r="BA40" s="372" t="e">
        <f t="shared" ca="1" si="32"/>
        <v>#REF!</v>
      </c>
      <c r="BB40" s="356" t="e">
        <f t="shared" ca="1" si="13"/>
        <v>#REF!</v>
      </c>
      <c r="BC40" s="356" t="e">
        <f ca="1">VLOOKUP(AK40,坦克个性化设定!$B$18:$E$48,4,FALSE)</f>
        <v>#REF!</v>
      </c>
      <c r="BD40" s="357" t="e">
        <f t="shared" ca="1" si="22"/>
        <v>#REF!</v>
      </c>
      <c r="BF40" s="357" t="str">
        <f t="shared" ca="1" si="14"/>
        <v/>
      </c>
      <c r="BG40" s="372" t="str">
        <f ca="1">IFERROR(VLOOKUP(BF40,坦克个性化设定!$B$18:$F$48,5,FALSE),"")</f>
        <v/>
      </c>
      <c r="BH40" s="372" t="e">
        <f t="shared" ca="1" si="23"/>
        <v>#REF!</v>
      </c>
      <c r="BI40" s="372" t="e">
        <f t="shared" ca="1" si="24"/>
        <v>#REF!</v>
      </c>
      <c r="BJ40" s="364" t="str">
        <f t="shared" ca="1" si="15"/>
        <v>NULL</v>
      </c>
      <c r="BK40" s="372" t="e">
        <f ca="1">VLOOKUP($BF40&amp;IF($BJ40="NULL",0,$BJ40),所有坦克升星属性,MATCH(BK$3,所有坦克升星属性标头,0),FALSE)+ROUND(BP40/VLOOKUP($BF40,坦克部件!#REF!,4,FALSE)*VLOOKUP($BF40&amp;0,所有坦克升星属性,MATCH(BK$3,所有坦克升星属性标头,0),FALSE),0)</f>
        <v>#N/A</v>
      </c>
      <c r="BL40" s="372" t="e">
        <f ca="1">VLOOKUP($BF40&amp;IF($BJ40="NULL",0,$BJ40),所有坦克升星属性,MATCH(BL$3,所有坦克升星属性标头,0),FALSE)+ROUND(BQ40/VLOOKUP($BF40,坦克部件!#REF!,4,FALSE)*VLOOKUP($BF40&amp;0,所有坦克升星属性,MATCH(BL$3,所有坦克升星属性标头,0),FALSE),0)</f>
        <v>#N/A</v>
      </c>
      <c r="BM40" s="372" t="e">
        <f t="shared" ca="1" si="33"/>
        <v>#N/A</v>
      </c>
      <c r="BN40" s="372" t="e">
        <f t="shared" ca="1" si="33"/>
        <v>#N/A</v>
      </c>
      <c r="BO40" s="372" t="e">
        <f ca="1">VLOOKUP($BF40&amp;IF($BJ40="NULL",0,$BJ40),所有坦克升星属性,MATCH(BO$3,所有坦克升星属性标头,0),FALSE)+ROUND(BR40/VLOOKUP($BF40,坦克部件!#REF!,4,FALSE)*VLOOKUP($BF40&amp;0,所有坦克升星属性,MATCH(BO$3,所有坦克升星属性标头,0),FALSE),0)</f>
        <v>#N/A</v>
      </c>
      <c r="BP40" s="372" t="e">
        <f ca="1">(VLOOKUP($BH40,坦克部件!#REF!,MATCH("标准值",坦克部件!#REF!,0),FALSE)+VLOOKUP($BI40,坦克部件!#REF!,MATCH("标准值",坦克部件!#REF!,0),FALSE))*2</f>
        <v>#REF!</v>
      </c>
      <c r="BQ40" s="372" t="e">
        <f ca="1">(VLOOKUP($BH40,坦克部件!#REF!,MATCH("标准值",坦克部件!#REF!,0),FALSE)+VLOOKUP($BI40,坦克部件!#REF!,MATCH("标准值",坦克部件!#REF!,0),FALSE))*2</f>
        <v>#REF!</v>
      </c>
      <c r="BR40" s="372" t="e">
        <f ca="1">(VLOOKUP($BH40,坦克部件!#REF!,MATCH("标准值",坦克部件!#REF!,0),FALSE)+VLOOKUP($BI40,坦克部件!#REF!,MATCH("标准值",坦克部件!#REF!,0),FALSE))*2</f>
        <v>#REF!</v>
      </c>
      <c r="BS40" s="372" t="e">
        <f ca="1">VLOOKUP($BF40,坦克属性统计!$B$3:$AY$33,MATCH(BS$3,坦克属性统计!$B$3:$AY$3,0),FALSE)</f>
        <v>#N/A</v>
      </c>
      <c r="BT40" s="372" t="e">
        <f t="shared" ca="1" si="34"/>
        <v>#N/A</v>
      </c>
      <c r="BU40" s="372" t="e">
        <f t="shared" ca="1" si="34"/>
        <v>#N/A</v>
      </c>
      <c r="BV40" s="372" t="e">
        <f t="shared" ca="1" si="34"/>
        <v>#N/A</v>
      </c>
      <c r="BW40" s="356">
        <f t="shared" ca="1" si="18"/>
        <v>0</v>
      </c>
      <c r="BX40" s="356" t="e">
        <f ca="1">VLOOKUP(BF40,坦克个性化设定!$B$18:$E$48,4,FALSE)</f>
        <v>#N/A</v>
      </c>
      <c r="BY40" s="357" t="e">
        <f t="shared" ca="1" si="25"/>
        <v>#N/A</v>
      </c>
    </row>
    <row r="41" spans="2:77" x14ac:dyDescent="0.35">
      <c r="B41" s="352">
        <v>19</v>
      </c>
      <c r="C41" s="360">
        <f ca="1">游戏时长规划!H58</f>
        <v>11350</v>
      </c>
      <c r="D41" s="360">
        <f ca="1">游戏时长规划!I58</f>
        <v>13371</v>
      </c>
      <c r="E41" s="360">
        <f>游戏时长规划!K31</f>
        <v>20</v>
      </c>
      <c r="F41" s="360">
        <f>游戏时长规划!L31</f>
        <v>-15</v>
      </c>
      <c r="H41" s="360" t="s">
        <v>1111</v>
      </c>
      <c r="I41" s="360">
        <v>10</v>
      </c>
      <c r="J41" s="360" t="s">
        <v>1112</v>
      </c>
      <c r="O41" s="365">
        <v>38</v>
      </c>
      <c r="P41" s="360" t="e">
        <f t="shared" ca="1" si="29"/>
        <v>#REF!</v>
      </c>
      <c r="Q41" s="360" t="e">
        <f ca="1">ROUND(MIN((BD41-VLOOKUP(R41,$B$22:$F$46,2,FALSE))/(VLOOKUP(R41,$B$22:$F$46,3,FALSE)-VLOOKUP(R41,$B$22:$F$46,2,FALSE)),1)*((VLOOKUP(R41,$B$22:$F$46,4,FALSE)*(AG41/(AG41+VLOOKUP(P41,$D$49:$F$123,3,TRUE)))+VLOOKUP(R41,$B$22:$F$46,5,FALSE)*(1-AG41/(AG41+VLOOKUP(P41,$D$49:$F$123,3,TRUE))))/2)*游戏时长规划!$C$4,0)</f>
        <v>#REF!</v>
      </c>
      <c r="R41" s="360" t="e">
        <f t="shared" ca="1" si="0"/>
        <v>#REF!</v>
      </c>
      <c r="S41" s="360" t="e">
        <f t="shared" ca="1" si="27"/>
        <v>#REF!</v>
      </c>
      <c r="T41" s="360" t="e">
        <f t="shared" ca="1" si="30"/>
        <v>#REF!</v>
      </c>
      <c r="U41" s="370" t="e">
        <f t="shared" ca="1" si="1"/>
        <v>#REF!</v>
      </c>
      <c r="V41" s="363" t="e">
        <f t="shared" ca="1" si="35"/>
        <v>#REF!</v>
      </c>
      <c r="W41" s="360" t="e">
        <f t="shared" ca="1" si="3"/>
        <v>#REF!</v>
      </c>
      <c r="X41" s="81" t="e">
        <f t="shared" ca="1" si="19"/>
        <v>#REF!</v>
      </c>
      <c r="Y41" s="360" t="str">
        <f t="shared" ca="1" si="4"/>
        <v>NULL</v>
      </c>
      <c r="Z41" s="375" t="e">
        <f t="shared" ca="1" si="20"/>
        <v>#REF!</v>
      </c>
      <c r="AA41" s="360">
        <f ca="1">IFERROR(VLOOKUP(IF(V41="T1低",游戏时长规划!$C$67+Z41,Z41),INDIRECT(V41&amp;"星级"),2,TRUE),0)</f>
        <v>0</v>
      </c>
      <c r="AB41" s="375" t="e">
        <f t="shared" ca="1" si="5"/>
        <v>#REF!</v>
      </c>
      <c r="AC41" s="375">
        <f ca="1">($D$14+$D$17)*$L$4/坦克部件养成!$C$2+AC40-IFERROR(IF(RIGHT(AD40,3)*1&gt;RIGHT(VLOOKUP(AC40,INDIRECT(LEFT(AD39,2)&amp;"部件升阶"),5,TRUE),3)*1,VLOOKUP(AD39,INDIRECT(LEFT(AD39,2)&amp;"部件升阶消耗"),2,FALSE),0),0)</f>
        <v>449.66666666666646</v>
      </c>
      <c r="AD41" s="360" t="e">
        <f t="shared" ca="1" si="6"/>
        <v>#REF!</v>
      </c>
      <c r="AE41" s="375" t="e">
        <f ca="1">$D$15*$L$4/坦克部件养成!$C$2+AE40-IF(LEFT(AD41,2)&lt;&gt;LEFT(AD40,2),VLOOKUP(AF40,INDIRECT(LEFT(AD40,2)&amp;"部件升级消耗"),5,FALSE),0)</f>
        <v>#REF!</v>
      </c>
      <c r="AF41" s="360" t="e">
        <f ca="1">MIN(VLOOKUP(AE41,INDIRECT(LEFT(AD41,2)&amp;"部件升级"),2,TRUE),VLOOKUP(LEFT(AD41,2),坦克部件养成!#REF!,6,FALSE))</f>
        <v>#REF!</v>
      </c>
      <c r="AG41" s="378" t="e">
        <f ca="1">MAX(BD$4:BD41)</f>
        <v>#REF!</v>
      </c>
      <c r="AH41" s="378" t="str">
        <f t="shared" ca="1" si="7"/>
        <v/>
      </c>
      <c r="AI41" s="378">
        <f ca="1">IF(Y41="NULL",0,MAX(BY$4:BY41))</f>
        <v>0</v>
      </c>
      <c r="AK41" s="364" t="e">
        <f t="shared" ca="1" si="8"/>
        <v>#REF!</v>
      </c>
      <c r="AL41" s="364" t="e">
        <f ca="1">VLOOKUP(AK41,坦克个性化设定!$B$18:$F$48,5,FALSE)</f>
        <v>#REF!</v>
      </c>
      <c r="AM41" s="372" t="e">
        <f t="shared" ca="1" si="9"/>
        <v>#REF!</v>
      </c>
      <c r="AN41" s="372" t="e">
        <f t="shared" ca="1" si="21"/>
        <v>#REF!</v>
      </c>
      <c r="AO41" s="364">
        <f t="shared" ca="1" si="10"/>
        <v>0</v>
      </c>
      <c r="AP41" s="372" t="e">
        <f ca="1">VLOOKUP($AK41&amp;$AO41,所有坦克升星属性,MATCH(AP$3,所有坦克升星属性标头,0),FALSE)+ROUND(AU41/VLOOKUP($AK41,坦克部件!#REF!,4,FALSE)*VLOOKUP($AK41&amp;0,所有坦克升星属性,MATCH(AP$3,所有坦克升星属性标头,0),FALSE),0)</f>
        <v>#REF!</v>
      </c>
      <c r="AQ41" s="372" t="e">
        <f ca="1">VLOOKUP($AK41&amp;$AO41,所有坦克升星属性,MATCH(AQ$3,所有坦克升星属性标头,0),FALSE)+ROUND(AV41/VLOOKUP($AK41,坦克部件!#REF!,4,FALSE)*VLOOKUP($AK41&amp;0,所有坦克升星属性,MATCH(AQ$3,所有坦克升星属性标头,0),FALSE),0)</f>
        <v>#REF!</v>
      </c>
      <c r="AR41" s="372" t="e">
        <f t="shared" ca="1" si="31"/>
        <v>#REF!</v>
      </c>
      <c r="AS41" s="372" t="e">
        <f t="shared" ca="1" si="31"/>
        <v>#REF!</v>
      </c>
      <c r="AT41" s="372" t="e">
        <f ca="1">VLOOKUP($AK41&amp;$AO41,所有坦克升星属性,MATCH(AT$3,所有坦克升星属性标头,0),FALSE)+ROUND(AW41/VLOOKUP($AK41,坦克部件!#REF!,4,FALSE)*VLOOKUP($AK41&amp;0,所有坦克升星属性,MATCH(AT$3,所有坦克升星属性标头,0),FALSE),0)</f>
        <v>#REF!</v>
      </c>
      <c r="AU41" s="372" t="e">
        <f ca="1">(VLOOKUP($AM41,坦克部件!#REF!,MATCH("标准值",坦克部件!#REF!,0),FALSE)+VLOOKUP($AN41,坦克部件!#REF!,MATCH("标准值",坦克部件!#REF!,0),FALSE))*2</f>
        <v>#REF!</v>
      </c>
      <c r="AV41" s="372" t="e">
        <f ca="1">(VLOOKUP($AM41,坦克部件!#REF!,MATCH("标准值",坦克部件!#REF!,0),FALSE)+VLOOKUP($AN41,坦克部件!#REF!,MATCH("标准值",坦克部件!#REF!,0),FALSE))*2</f>
        <v>#REF!</v>
      </c>
      <c r="AW41" s="372" t="e">
        <f ca="1">(VLOOKUP($AM41,坦克部件!#REF!,MATCH("标准值",坦克部件!#REF!,0),FALSE)+VLOOKUP($AN41,坦克部件!#REF!,MATCH("标准值",坦克部件!#REF!,0),FALSE))*2</f>
        <v>#REF!</v>
      </c>
      <c r="AX41" s="372" t="e">
        <f ca="1">VLOOKUP($AK41,坦克属性统计!$B$3:$AY$33,MATCH(AX$3,坦克属性统计!$B$3:$AY$3,0),FALSE)</f>
        <v>#REF!</v>
      </c>
      <c r="AY41" s="372" t="e">
        <f t="shared" ca="1" si="32"/>
        <v>#REF!</v>
      </c>
      <c r="AZ41" s="372" t="e">
        <f t="shared" ca="1" si="32"/>
        <v>#REF!</v>
      </c>
      <c r="BA41" s="372" t="e">
        <f t="shared" ca="1" si="32"/>
        <v>#REF!</v>
      </c>
      <c r="BB41" s="356" t="e">
        <f t="shared" ca="1" si="13"/>
        <v>#REF!</v>
      </c>
      <c r="BC41" s="356" t="e">
        <f ca="1">VLOOKUP(AK41,坦克个性化设定!$B$18:$E$48,4,FALSE)</f>
        <v>#REF!</v>
      </c>
      <c r="BD41" s="357" t="e">
        <f t="shared" ca="1" si="22"/>
        <v>#REF!</v>
      </c>
      <c r="BF41" s="357" t="str">
        <f t="shared" ca="1" si="14"/>
        <v/>
      </c>
      <c r="BG41" s="372" t="str">
        <f ca="1">IFERROR(VLOOKUP(BF41,坦克个性化设定!$B$18:$F$48,5,FALSE),"")</f>
        <v/>
      </c>
      <c r="BH41" s="372" t="e">
        <f t="shared" ca="1" si="23"/>
        <v>#REF!</v>
      </c>
      <c r="BI41" s="372" t="e">
        <f t="shared" ca="1" si="24"/>
        <v>#REF!</v>
      </c>
      <c r="BJ41" s="364" t="str">
        <f t="shared" ca="1" si="15"/>
        <v>NULL</v>
      </c>
      <c r="BK41" s="372" t="e">
        <f ca="1">VLOOKUP($BF41&amp;IF($BJ41="NULL",0,$BJ41),所有坦克升星属性,MATCH(BK$3,所有坦克升星属性标头,0),FALSE)+ROUND(BP41/VLOOKUP($BF41,坦克部件!#REF!,4,FALSE)*VLOOKUP($BF41&amp;0,所有坦克升星属性,MATCH(BK$3,所有坦克升星属性标头,0),FALSE),0)</f>
        <v>#N/A</v>
      </c>
      <c r="BL41" s="372" t="e">
        <f ca="1">VLOOKUP($BF41&amp;IF($BJ41="NULL",0,$BJ41),所有坦克升星属性,MATCH(BL$3,所有坦克升星属性标头,0),FALSE)+ROUND(BQ41/VLOOKUP($BF41,坦克部件!#REF!,4,FALSE)*VLOOKUP($BF41&amp;0,所有坦克升星属性,MATCH(BL$3,所有坦克升星属性标头,0),FALSE),0)</f>
        <v>#N/A</v>
      </c>
      <c r="BM41" s="372" t="e">
        <f t="shared" ca="1" si="33"/>
        <v>#N/A</v>
      </c>
      <c r="BN41" s="372" t="e">
        <f t="shared" ca="1" si="33"/>
        <v>#N/A</v>
      </c>
      <c r="BO41" s="372" t="e">
        <f ca="1">VLOOKUP($BF41&amp;IF($BJ41="NULL",0,$BJ41),所有坦克升星属性,MATCH(BO$3,所有坦克升星属性标头,0),FALSE)+ROUND(BR41/VLOOKUP($BF41,坦克部件!#REF!,4,FALSE)*VLOOKUP($BF41&amp;0,所有坦克升星属性,MATCH(BO$3,所有坦克升星属性标头,0),FALSE),0)</f>
        <v>#N/A</v>
      </c>
      <c r="BP41" s="372" t="e">
        <f ca="1">(VLOOKUP($BH41,坦克部件!#REF!,MATCH("标准值",坦克部件!#REF!,0),FALSE)+VLOOKUP($BI41,坦克部件!#REF!,MATCH("标准值",坦克部件!#REF!,0),FALSE))*2</f>
        <v>#REF!</v>
      </c>
      <c r="BQ41" s="372" t="e">
        <f ca="1">(VLOOKUP($BH41,坦克部件!#REF!,MATCH("标准值",坦克部件!#REF!,0),FALSE)+VLOOKUP($BI41,坦克部件!#REF!,MATCH("标准值",坦克部件!#REF!,0),FALSE))*2</f>
        <v>#REF!</v>
      </c>
      <c r="BR41" s="372" t="e">
        <f ca="1">(VLOOKUP($BH41,坦克部件!#REF!,MATCH("标准值",坦克部件!#REF!,0),FALSE)+VLOOKUP($BI41,坦克部件!#REF!,MATCH("标准值",坦克部件!#REF!,0),FALSE))*2</f>
        <v>#REF!</v>
      </c>
      <c r="BS41" s="372" t="e">
        <f ca="1">VLOOKUP($BF41,坦克属性统计!$B$3:$AY$33,MATCH(BS$3,坦克属性统计!$B$3:$AY$3,0),FALSE)</f>
        <v>#N/A</v>
      </c>
      <c r="BT41" s="372" t="e">
        <f t="shared" ca="1" si="34"/>
        <v>#N/A</v>
      </c>
      <c r="BU41" s="372" t="e">
        <f t="shared" ca="1" si="34"/>
        <v>#N/A</v>
      </c>
      <c r="BV41" s="372" t="e">
        <f t="shared" ca="1" si="34"/>
        <v>#N/A</v>
      </c>
      <c r="BW41" s="356">
        <f t="shared" ca="1" si="18"/>
        <v>0</v>
      </c>
      <c r="BX41" s="356" t="e">
        <f ca="1">VLOOKUP(BF41,坦克个性化设定!$B$18:$E$48,4,FALSE)</f>
        <v>#N/A</v>
      </c>
      <c r="BY41" s="357" t="e">
        <f t="shared" ca="1" si="25"/>
        <v>#N/A</v>
      </c>
    </row>
    <row r="42" spans="2:77" x14ac:dyDescent="0.35">
      <c r="B42" s="352">
        <v>20</v>
      </c>
      <c r="C42" s="360">
        <f ca="1">游戏时长规划!H59</f>
        <v>11350</v>
      </c>
      <c r="D42" s="360">
        <f ca="1">游戏时长规划!I59</f>
        <v>13335</v>
      </c>
      <c r="E42" s="360">
        <f>游戏时长规划!K32</f>
        <v>20</v>
      </c>
      <c r="F42" s="360">
        <f>游戏时长规划!L32</f>
        <v>-15</v>
      </c>
      <c r="H42" s="374" t="s">
        <v>1805</v>
      </c>
      <c r="I42" s="360">
        <v>11</v>
      </c>
      <c r="J42" s="374" t="s">
        <v>1113</v>
      </c>
      <c r="O42" s="365">
        <v>39</v>
      </c>
      <c r="P42" s="360" t="e">
        <f t="shared" ca="1" si="29"/>
        <v>#REF!</v>
      </c>
      <c r="Q42" s="360" t="e">
        <f ca="1">ROUND(MIN((BD42-VLOOKUP(R42,$B$22:$F$46,2,FALSE))/(VLOOKUP(R42,$B$22:$F$46,3,FALSE)-VLOOKUP(R42,$B$22:$F$46,2,FALSE)),1)*((VLOOKUP(R42,$B$22:$F$46,4,FALSE)*(AG42/(AG42+VLOOKUP(P42,$D$49:$F$123,3,TRUE)))+VLOOKUP(R42,$B$22:$F$46,5,FALSE)*(1-AG42/(AG42+VLOOKUP(P42,$D$49:$F$123,3,TRUE))))/2)*游戏时长规划!$C$4,0)</f>
        <v>#REF!</v>
      </c>
      <c r="R42" s="360" t="e">
        <f t="shared" ca="1" si="0"/>
        <v>#REF!</v>
      </c>
      <c r="S42" s="360" t="e">
        <f t="shared" ca="1" si="27"/>
        <v>#REF!</v>
      </c>
      <c r="T42" s="360" t="e">
        <f t="shared" ca="1" si="30"/>
        <v>#REF!</v>
      </c>
      <c r="U42" s="370" t="e">
        <f t="shared" ca="1" si="1"/>
        <v>#REF!</v>
      </c>
      <c r="V42" s="363" t="e">
        <f t="shared" ca="1" si="35"/>
        <v>#REF!</v>
      </c>
      <c r="W42" s="360" t="e">
        <f t="shared" ca="1" si="3"/>
        <v>#REF!</v>
      </c>
      <c r="X42" s="81" t="e">
        <f t="shared" ca="1" si="19"/>
        <v>#REF!</v>
      </c>
      <c r="Y42" s="360" t="str">
        <f t="shared" ca="1" si="4"/>
        <v>NULL</v>
      </c>
      <c r="Z42" s="375" t="e">
        <f t="shared" ca="1" si="20"/>
        <v>#REF!</v>
      </c>
      <c r="AA42" s="360">
        <f ca="1">IFERROR(VLOOKUP(IF(V42="T1低",游戏时长规划!$C$67+Z42,Z42),INDIRECT(V42&amp;"星级"),2,TRUE),0)</f>
        <v>0</v>
      </c>
      <c r="AB42" s="375" t="e">
        <f t="shared" ca="1" si="5"/>
        <v>#REF!</v>
      </c>
      <c r="AC42" s="375">
        <f ca="1">($D$14+$D$17)*$L$4/坦克部件养成!$C$2+AC41-IFERROR(IF(RIGHT(AD41,3)*1&gt;RIGHT(VLOOKUP(AC41,INDIRECT(LEFT(AD40,2)&amp;"部件升阶"),5,TRUE),3)*1,VLOOKUP(AD40,INDIRECT(LEFT(AD40,2)&amp;"部件升阶消耗"),2,FALSE),0),0)</f>
        <v>461.49999999999977</v>
      </c>
      <c r="AD42" s="360" t="e">
        <f t="shared" ca="1" si="6"/>
        <v>#REF!</v>
      </c>
      <c r="AE42" s="375" t="e">
        <f ca="1">$D$15*$L$4/坦克部件养成!$C$2+AE41-IF(LEFT(AD42,2)&lt;&gt;LEFT(AD41,2),VLOOKUP(AF41,INDIRECT(LEFT(AD41,2)&amp;"部件升级消耗"),5,FALSE),0)</f>
        <v>#REF!</v>
      </c>
      <c r="AF42" s="360" t="e">
        <f ca="1">MIN(VLOOKUP(AE42,INDIRECT(LEFT(AD42,2)&amp;"部件升级"),2,TRUE),VLOOKUP(LEFT(AD42,2),坦克部件养成!#REF!,6,FALSE))</f>
        <v>#REF!</v>
      </c>
      <c r="AG42" s="378" t="e">
        <f ca="1">MAX(BD$4:BD42)</f>
        <v>#REF!</v>
      </c>
      <c r="AH42" s="378" t="str">
        <f t="shared" ca="1" si="7"/>
        <v/>
      </c>
      <c r="AI42" s="378">
        <f ca="1">IF(Y42="NULL",0,MAX(BY$4:BY42))</f>
        <v>0</v>
      </c>
      <c r="AK42" s="364" t="e">
        <f t="shared" ca="1" si="8"/>
        <v>#REF!</v>
      </c>
      <c r="AL42" s="364" t="e">
        <f ca="1">VLOOKUP(AK42,坦克个性化设定!$B$18:$F$48,5,FALSE)</f>
        <v>#REF!</v>
      </c>
      <c r="AM42" s="372" t="e">
        <f t="shared" ca="1" si="9"/>
        <v>#REF!</v>
      </c>
      <c r="AN42" s="372" t="e">
        <f t="shared" ca="1" si="21"/>
        <v>#REF!</v>
      </c>
      <c r="AO42" s="364">
        <f t="shared" ca="1" si="10"/>
        <v>0</v>
      </c>
      <c r="AP42" s="372" t="e">
        <f ca="1">VLOOKUP($AK42&amp;$AO42,所有坦克升星属性,MATCH(AP$3,所有坦克升星属性标头,0),FALSE)+ROUND(AU42/VLOOKUP($AK42,坦克部件!#REF!,4,FALSE)*VLOOKUP($AK42&amp;0,所有坦克升星属性,MATCH(AP$3,所有坦克升星属性标头,0),FALSE),0)</f>
        <v>#REF!</v>
      </c>
      <c r="AQ42" s="372" t="e">
        <f ca="1">VLOOKUP($AK42&amp;$AO42,所有坦克升星属性,MATCH(AQ$3,所有坦克升星属性标头,0),FALSE)+ROUND(AV42/VLOOKUP($AK42,坦克部件!#REF!,4,FALSE)*VLOOKUP($AK42&amp;0,所有坦克升星属性,MATCH(AQ$3,所有坦克升星属性标头,0),FALSE),0)</f>
        <v>#REF!</v>
      </c>
      <c r="AR42" s="372" t="e">
        <f t="shared" ca="1" si="31"/>
        <v>#REF!</v>
      </c>
      <c r="AS42" s="372" t="e">
        <f t="shared" ca="1" si="31"/>
        <v>#REF!</v>
      </c>
      <c r="AT42" s="372" t="e">
        <f ca="1">VLOOKUP($AK42&amp;$AO42,所有坦克升星属性,MATCH(AT$3,所有坦克升星属性标头,0),FALSE)+ROUND(AW42/VLOOKUP($AK42,坦克部件!#REF!,4,FALSE)*VLOOKUP($AK42&amp;0,所有坦克升星属性,MATCH(AT$3,所有坦克升星属性标头,0),FALSE),0)</f>
        <v>#REF!</v>
      </c>
      <c r="AU42" s="372" t="e">
        <f ca="1">(VLOOKUP($AM42,坦克部件!#REF!,MATCH("标准值",坦克部件!#REF!,0),FALSE)+VLOOKUP($AN42,坦克部件!#REF!,MATCH("标准值",坦克部件!#REF!,0),FALSE))*2</f>
        <v>#REF!</v>
      </c>
      <c r="AV42" s="372" t="e">
        <f ca="1">(VLOOKUP($AM42,坦克部件!#REF!,MATCH("标准值",坦克部件!#REF!,0),FALSE)+VLOOKUP($AN42,坦克部件!#REF!,MATCH("标准值",坦克部件!#REF!,0),FALSE))*2</f>
        <v>#REF!</v>
      </c>
      <c r="AW42" s="372" t="e">
        <f ca="1">(VLOOKUP($AM42,坦克部件!#REF!,MATCH("标准值",坦克部件!#REF!,0),FALSE)+VLOOKUP($AN42,坦克部件!#REF!,MATCH("标准值",坦克部件!#REF!,0),FALSE))*2</f>
        <v>#REF!</v>
      </c>
      <c r="AX42" s="372" t="e">
        <f ca="1">VLOOKUP($AK42,坦克属性统计!$B$3:$AY$33,MATCH(AX$3,坦克属性统计!$B$3:$AY$3,0),FALSE)</f>
        <v>#REF!</v>
      </c>
      <c r="AY42" s="372" t="e">
        <f t="shared" ca="1" si="32"/>
        <v>#REF!</v>
      </c>
      <c r="AZ42" s="372" t="e">
        <f t="shared" ca="1" si="32"/>
        <v>#REF!</v>
      </c>
      <c r="BA42" s="372" t="e">
        <f t="shared" ca="1" si="32"/>
        <v>#REF!</v>
      </c>
      <c r="BB42" s="356" t="e">
        <f t="shared" ca="1" si="13"/>
        <v>#REF!</v>
      </c>
      <c r="BC42" s="356" t="e">
        <f ca="1">VLOOKUP(AK42,坦克个性化设定!$B$18:$E$48,4,FALSE)</f>
        <v>#REF!</v>
      </c>
      <c r="BD42" s="357" t="e">
        <f t="shared" ca="1" si="22"/>
        <v>#REF!</v>
      </c>
      <c r="BF42" s="357" t="str">
        <f t="shared" ca="1" si="14"/>
        <v/>
      </c>
      <c r="BG42" s="372" t="str">
        <f ca="1">IFERROR(VLOOKUP(BF42,坦克个性化设定!$B$18:$F$48,5,FALSE),"")</f>
        <v/>
      </c>
      <c r="BH42" s="372" t="e">
        <f t="shared" ca="1" si="23"/>
        <v>#REF!</v>
      </c>
      <c r="BI42" s="372" t="e">
        <f t="shared" ca="1" si="24"/>
        <v>#REF!</v>
      </c>
      <c r="BJ42" s="364" t="str">
        <f t="shared" ca="1" si="15"/>
        <v>NULL</v>
      </c>
      <c r="BK42" s="372" t="e">
        <f ca="1">VLOOKUP($BF42&amp;IF($BJ42="NULL",0,$BJ42),所有坦克升星属性,MATCH(BK$3,所有坦克升星属性标头,0),FALSE)+ROUND(BP42/VLOOKUP($BF42,坦克部件!#REF!,4,FALSE)*VLOOKUP($BF42&amp;0,所有坦克升星属性,MATCH(BK$3,所有坦克升星属性标头,0),FALSE),0)</f>
        <v>#N/A</v>
      </c>
      <c r="BL42" s="372" t="e">
        <f ca="1">VLOOKUP($BF42&amp;IF($BJ42="NULL",0,$BJ42),所有坦克升星属性,MATCH(BL$3,所有坦克升星属性标头,0),FALSE)+ROUND(BQ42/VLOOKUP($BF42,坦克部件!#REF!,4,FALSE)*VLOOKUP($BF42&amp;0,所有坦克升星属性,MATCH(BL$3,所有坦克升星属性标头,0),FALSE),0)</f>
        <v>#N/A</v>
      </c>
      <c r="BM42" s="372" t="e">
        <f t="shared" ca="1" si="33"/>
        <v>#N/A</v>
      </c>
      <c r="BN42" s="372" t="e">
        <f t="shared" ca="1" si="33"/>
        <v>#N/A</v>
      </c>
      <c r="BO42" s="372" t="e">
        <f ca="1">VLOOKUP($BF42&amp;IF($BJ42="NULL",0,$BJ42),所有坦克升星属性,MATCH(BO$3,所有坦克升星属性标头,0),FALSE)+ROUND(BR42/VLOOKUP($BF42,坦克部件!#REF!,4,FALSE)*VLOOKUP($BF42&amp;0,所有坦克升星属性,MATCH(BO$3,所有坦克升星属性标头,0),FALSE),0)</f>
        <v>#N/A</v>
      </c>
      <c r="BP42" s="372" t="e">
        <f ca="1">(VLOOKUP($BH42,坦克部件!#REF!,MATCH("标准值",坦克部件!#REF!,0),FALSE)+VLOOKUP($BI42,坦克部件!#REF!,MATCH("标准值",坦克部件!#REF!,0),FALSE))*2</f>
        <v>#REF!</v>
      </c>
      <c r="BQ42" s="372" t="e">
        <f ca="1">(VLOOKUP($BH42,坦克部件!#REF!,MATCH("标准值",坦克部件!#REF!,0),FALSE)+VLOOKUP($BI42,坦克部件!#REF!,MATCH("标准值",坦克部件!#REF!,0),FALSE))*2</f>
        <v>#REF!</v>
      </c>
      <c r="BR42" s="372" t="e">
        <f ca="1">(VLOOKUP($BH42,坦克部件!#REF!,MATCH("标准值",坦克部件!#REF!,0),FALSE)+VLOOKUP($BI42,坦克部件!#REF!,MATCH("标准值",坦克部件!#REF!,0),FALSE))*2</f>
        <v>#REF!</v>
      </c>
      <c r="BS42" s="372" t="e">
        <f ca="1">VLOOKUP($BF42,坦克属性统计!$B$3:$AY$33,MATCH(BS$3,坦克属性统计!$B$3:$AY$3,0),FALSE)</f>
        <v>#N/A</v>
      </c>
      <c r="BT42" s="372" t="e">
        <f t="shared" ca="1" si="34"/>
        <v>#N/A</v>
      </c>
      <c r="BU42" s="372" t="e">
        <f t="shared" ca="1" si="34"/>
        <v>#N/A</v>
      </c>
      <c r="BV42" s="372" t="e">
        <f t="shared" ca="1" si="34"/>
        <v>#N/A</v>
      </c>
      <c r="BW42" s="356">
        <f t="shared" ca="1" si="18"/>
        <v>0</v>
      </c>
      <c r="BX42" s="356" t="e">
        <f ca="1">VLOOKUP(BF42,坦克个性化设定!$B$18:$E$48,4,FALSE)</f>
        <v>#N/A</v>
      </c>
      <c r="BY42" s="357" t="e">
        <f t="shared" ca="1" si="25"/>
        <v>#N/A</v>
      </c>
    </row>
    <row r="43" spans="2:77" x14ac:dyDescent="0.35">
      <c r="B43" s="352">
        <v>21</v>
      </c>
      <c r="C43" s="360">
        <f ca="1">游戏时长规划!H60</f>
        <v>11250</v>
      </c>
      <c r="D43" s="360">
        <f ca="1">游戏时长规划!I60</f>
        <v>13251</v>
      </c>
      <c r="E43" s="360">
        <f>游戏时长规划!K33</f>
        <v>20</v>
      </c>
      <c r="F43" s="360">
        <f>游戏时长规划!L33</f>
        <v>-15</v>
      </c>
      <c r="H43" s="374" t="s">
        <v>1806</v>
      </c>
      <c r="I43" s="360">
        <v>12</v>
      </c>
      <c r="J43" s="374" t="s">
        <v>1113</v>
      </c>
      <c r="O43" s="365">
        <v>40</v>
      </c>
      <c r="P43" s="360" t="e">
        <f t="shared" ca="1" si="29"/>
        <v>#REF!</v>
      </c>
      <c r="Q43" s="360" t="e">
        <f ca="1">ROUND(MIN((BD43-VLOOKUP(R43,$B$22:$F$46,2,FALSE))/(VLOOKUP(R43,$B$22:$F$46,3,FALSE)-VLOOKUP(R43,$B$22:$F$46,2,FALSE)),1)*((VLOOKUP(R43,$B$22:$F$46,4,FALSE)*(AG43/(AG43+VLOOKUP(P43,$D$49:$F$123,3,TRUE)))+VLOOKUP(R43,$B$22:$F$46,5,FALSE)*(1-AG43/(AG43+VLOOKUP(P43,$D$49:$F$123,3,TRUE))))/2)*游戏时长规划!$C$4,0)</f>
        <v>#REF!</v>
      </c>
      <c r="R43" s="360" t="e">
        <f t="shared" ca="1" si="0"/>
        <v>#REF!</v>
      </c>
      <c r="S43" s="360" t="e">
        <f t="shared" ca="1" si="27"/>
        <v>#REF!</v>
      </c>
      <c r="T43" s="360" t="e">
        <f t="shared" ca="1" si="30"/>
        <v>#REF!</v>
      </c>
      <c r="U43" s="370" t="e">
        <f t="shared" ca="1" si="1"/>
        <v>#REF!</v>
      </c>
      <c r="V43" s="363" t="e">
        <f t="shared" ca="1" si="35"/>
        <v>#REF!</v>
      </c>
      <c r="W43" s="360" t="e">
        <f t="shared" ca="1" si="3"/>
        <v>#REF!</v>
      </c>
      <c r="X43" s="81" t="e">
        <f t="shared" ca="1" si="19"/>
        <v>#REF!</v>
      </c>
      <c r="Y43" s="360" t="str">
        <f t="shared" ca="1" si="4"/>
        <v>NULL</v>
      </c>
      <c r="Z43" s="375" t="e">
        <f t="shared" ca="1" si="20"/>
        <v>#REF!</v>
      </c>
      <c r="AA43" s="360">
        <f ca="1">IFERROR(VLOOKUP(IF(V43="T1低",游戏时长规划!$C$67+Z43,Z43),INDIRECT(V43&amp;"星级"),2,TRUE),0)</f>
        <v>0</v>
      </c>
      <c r="AB43" s="375" t="e">
        <f t="shared" ca="1" si="5"/>
        <v>#REF!</v>
      </c>
      <c r="AC43" s="375">
        <f ca="1">($D$14+$D$17)*$L$4/坦克部件养成!$C$2+AC42-IFERROR(IF(RIGHT(AD42,3)*1&gt;RIGHT(VLOOKUP(AC42,INDIRECT(LEFT(AD41,2)&amp;"部件升阶"),5,TRUE),3)*1,VLOOKUP(AD41,INDIRECT(LEFT(AD41,2)&amp;"部件升阶消耗"),2,FALSE),0),0)</f>
        <v>473.33333333333309</v>
      </c>
      <c r="AD43" s="360" t="e">
        <f t="shared" ca="1" si="6"/>
        <v>#REF!</v>
      </c>
      <c r="AE43" s="375" t="e">
        <f ca="1">$D$15*$L$4/坦克部件养成!$C$2+AE42-IF(LEFT(AD43,2)&lt;&gt;LEFT(AD42,2),VLOOKUP(AF42,INDIRECT(LEFT(AD42,2)&amp;"部件升级消耗"),5,FALSE),0)</f>
        <v>#REF!</v>
      </c>
      <c r="AF43" s="360" t="e">
        <f ca="1">MIN(VLOOKUP(AE43,INDIRECT(LEFT(AD43,2)&amp;"部件升级"),2,TRUE),VLOOKUP(LEFT(AD43,2),坦克部件养成!#REF!,6,FALSE))</f>
        <v>#REF!</v>
      </c>
      <c r="AG43" s="378" t="e">
        <f ca="1">MAX(BD$4:BD43)</f>
        <v>#REF!</v>
      </c>
      <c r="AH43" s="378" t="str">
        <f t="shared" ca="1" si="7"/>
        <v/>
      </c>
      <c r="AI43" s="378">
        <f ca="1">IF(Y43="NULL",0,MAX(BY$4:BY43))</f>
        <v>0</v>
      </c>
      <c r="AK43" s="364" t="e">
        <f t="shared" ca="1" si="8"/>
        <v>#REF!</v>
      </c>
      <c r="AL43" s="364" t="e">
        <f ca="1">VLOOKUP(AK43,坦克个性化设定!$B$18:$F$48,5,FALSE)</f>
        <v>#REF!</v>
      </c>
      <c r="AM43" s="372" t="e">
        <f t="shared" ca="1" si="9"/>
        <v>#REF!</v>
      </c>
      <c r="AN43" s="372" t="e">
        <f t="shared" ca="1" si="21"/>
        <v>#REF!</v>
      </c>
      <c r="AO43" s="364">
        <f t="shared" ca="1" si="10"/>
        <v>0</v>
      </c>
      <c r="AP43" s="372" t="e">
        <f ca="1">VLOOKUP($AK43&amp;$AO43,所有坦克升星属性,MATCH(AP$3,所有坦克升星属性标头,0),FALSE)+ROUND(AU43/VLOOKUP($AK43,坦克部件!#REF!,4,FALSE)*VLOOKUP($AK43&amp;0,所有坦克升星属性,MATCH(AP$3,所有坦克升星属性标头,0),FALSE),0)</f>
        <v>#REF!</v>
      </c>
      <c r="AQ43" s="372" t="e">
        <f ca="1">VLOOKUP($AK43&amp;$AO43,所有坦克升星属性,MATCH(AQ$3,所有坦克升星属性标头,0),FALSE)+ROUND(AV43/VLOOKUP($AK43,坦克部件!#REF!,4,FALSE)*VLOOKUP($AK43&amp;0,所有坦克升星属性,MATCH(AQ$3,所有坦克升星属性标头,0),FALSE),0)</f>
        <v>#REF!</v>
      </c>
      <c r="AR43" s="372" t="e">
        <f t="shared" ca="1" si="31"/>
        <v>#REF!</v>
      </c>
      <c r="AS43" s="372" t="e">
        <f t="shared" ca="1" si="31"/>
        <v>#REF!</v>
      </c>
      <c r="AT43" s="372" t="e">
        <f ca="1">VLOOKUP($AK43&amp;$AO43,所有坦克升星属性,MATCH(AT$3,所有坦克升星属性标头,0),FALSE)+ROUND(AW43/VLOOKUP($AK43,坦克部件!#REF!,4,FALSE)*VLOOKUP($AK43&amp;0,所有坦克升星属性,MATCH(AT$3,所有坦克升星属性标头,0),FALSE),0)</f>
        <v>#REF!</v>
      </c>
      <c r="AU43" s="372" t="e">
        <f ca="1">(VLOOKUP($AM43,坦克部件!#REF!,MATCH("标准值",坦克部件!#REF!,0),FALSE)+VLOOKUP($AN43,坦克部件!#REF!,MATCH("标准值",坦克部件!#REF!,0),FALSE))*2</f>
        <v>#REF!</v>
      </c>
      <c r="AV43" s="372" t="e">
        <f ca="1">(VLOOKUP($AM43,坦克部件!#REF!,MATCH("标准值",坦克部件!#REF!,0),FALSE)+VLOOKUP($AN43,坦克部件!#REF!,MATCH("标准值",坦克部件!#REF!,0),FALSE))*2</f>
        <v>#REF!</v>
      </c>
      <c r="AW43" s="372" t="e">
        <f ca="1">(VLOOKUP($AM43,坦克部件!#REF!,MATCH("标准值",坦克部件!#REF!,0),FALSE)+VLOOKUP($AN43,坦克部件!#REF!,MATCH("标准值",坦克部件!#REF!,0),FALSE))*2</f>
        <v>#REF!</v>
      </c>
      <c r="AX43" s="372" t="e">
        <f ca="1">VLOOKUP($AK43,坦克属性统计!$B$3:$AY$33,MATCH(AX$3,坦克属性统计!$B$3:$AY$3,0),FALSE)</f>
        <v>#REF!</v>
      </c>
      <c r="AY43" s="372" t="e">
        <f t="shared" ca="1" si="32"/>
        <v>#REF!</v>
      </c>
      <c r="AZ43" s="372" t="e">
        <f t="shared" ca="1" si="32"/>
        <v>#REF!</v>
      </c>
      <c r="BA43" s="372" t="e">
        <f t="shared" ca="1" si="32"/>
        <v>#REF!</v>
      </c>
      <c r="BB43" s="356" t="e">
        <f t="shared" ca="1" si="13"/>
        <v>#REF!</v>
      </c>
      <c r="BC43" s="356" t="e">
        <f ca="1">VLOOKUP(AK43,坦克个性化设定!$B$18:$E$48,4,FALSE)</f>
        <v>#REF!</v>
      </c>
      <c r="BD43" s="357" t="e">
        <f t="shared" ca="1" si="22"/>
        <v>#REF!</v>
      </c>
      <c r="BF43" s="357" t="str">
        <f t="shared" ca="1" si="14"/>
        <v/>
      </c>
      <c r="BG43" s="372" t="str">
        <f ca="1">IFERROR(VLOOKUP(BF43,坦克个性化设定!$B$18:$F$48,5,FALSE),"")</f>
        <v/>
      </c>
      <c r="BH43" s="372" t="e">
        <f t="shared" ca="1" si="23"/>
        <v>#REF!</v>
      </c>
      <c r="BI43" s="372" t="e">
        <f t="shared" ca="1" si="24"/>
        <v>#REF!</v>
      </c>
      <c r="BJ43" s="364" t="str">
        <f t="shared" ca="1" si="15"/>
        <v>NULL</v>
      </c>
      <c r="BK43" s="372" t="e">
        <f ca="1">VLOOKUP($BF43&amp;IF($BJ43="NULL",0,$BJ43),所有坦克升星属性,MATCH(BK$3,所有坦克升星属性标头,0),FALSE)+ROUND(BP43/VLOOKUP($BF43,坦克部件!#REF!,4,FALSE)*VLOOKUP($BF43&amp;0,所有坦克升星属性,MATCH(BK$3,所有坦克升星属性标头,0),FALSE),0)</f>
        <v>#N/A</v>
      </c>
      <c r="BL43" s="372" t="e">
        <f ca="1">VLOOKUP($BF43&amp;IF($BJ43="NULL",0,$BJ43),所有坦克升星属性,MATCH(BL$3,所有坦克升星属性标头,0),FALSE)+ROUND(BQ43/VLOOKUP($BF43,坦克部件!#REF!,4,FALSE)*VLOOKUP($BF43&amp;0,所有坦克升星属性,MATCH(BL$3,所有坦克升星属性标头,0),FALSE),0)</f>
        <v>#N/A</v>
      </c>
      <c r="BM43" s="372" t="e">
        <f t="shared" ca="1" si="33"/>
        <v>#N/A</v>
      </c>
      <c r="BN43" s="372" t="e">
        <f t="shared" ca="1" si="33"/>
        <v>#N/A</v>
      </c>
      <c r="BO43" s="372" t="e">
        <f ca="1">VLOOKUP($BF43&amp;IF($BJ43="NULL",0,$BJ43),所有坦克升星属性,MATCH(BO$3,所有坦克升星属性标头,0),FALSE)+ROUND(BR43/VLOOKUP($BF43,坦克部件!#REF!,4,FALSE)*VLOOKUP($BF43&amp;0,所有坦克升星属性,MATCH(BO$3,所有坦克升星属性标头,0),FALSE),0)</f>
        <v>#N/A</v>
      </c>
      <c r="BP43" s="372" t="e">
        <f ca="1">(VLOOKUP($BH43,坦克部件!#REF!,MATCH("标准值",坦克部件!#REF!,0),FALSE)+VLOOKUP($BI43,坦克部件!#REF!,MATCH("标准值",坦克部件!#REF!,0),FALSE))*2</f>
        <v>#REF!</v>
      </c>
      <c r="BQ43" s="372" t="e">
        <f ca="1">(VLOOKUP($BH43,坦克部件!#REF!,MATCH("标准值",坦克部件!#REF!,0),FALSE)+VLOOKUP($BI43,坦克部件!#REF!,MATCH("标准值",坦克部件!#REF!,0),FALSE))*2</f>
        <v>#REF!</v>
      </c>
      <c r="BR43" s="372" t="e">
        <f ca="1">(VLOOKUP($BH43,坦克部件!#REF!,MATCH("标准值",坦克部件!#REF!,0),FALSE)+VLOOKUP($BI43,坦克部件!#REF!,MATCH("标准值",坦克部件!#REF!,0),FALSE))*2</f>
        <v>#REF!</v>
      </c>
      <c r="BS43" s="372" t="e">
        <f ca="1">VLOOKUP($BF43,坦克属性统计!$B$3:$AY$33,MATCH(BS$3,坦克属性统计!$B$3:$AY$3,0),FALSE)</f>
        <v>#N/A</v>
      </c>
      <c r="BT43" s="372" t="e">
        <f t="shared" ca="1" si="34"/>
        <v>#N/A</v>
      </c>
      <c r="BU43" s="372" t="e">
        <f t="shared" ca="1" si="34"/>
        <v>#N/A</v>
      </c>
      <c r="BV43" s="372" t="e">
        <f t="shared" ca="1" si="34"/>
        <v>#N/A</v>
      </c>
      <c r="BW43" s="356">
        <f t="shared" ca="1" si="18"/>
        <v>0</v>
      </c>
      <c r="BX43" s="356" t="e">
        <f ca="1">VLOOKUP(BF43,坦克个性化设定!$B$18:$E$48,4,FALSE)</f>
        <v>#N/A</v>
      </c>
      <c r="BY43" s="357" t="e">
        <f t="shared" ca="1" si="25"/>
        <v>#N/A</v>
      </c>
    </row>
    <row r="44" spans="2:77" x14ac:dyDescent="0.35">
      <c r="B44" s="352">
        <v>22</v>
      </c>
      <c r="C44" s="360">
        <f ca="1">游戏时长规划!H61</f>
        <v>11150</v>
      </c>
      <c r="D44" s="360">
        <f ca="1">游戏时长规划!I61</f>
        <v>13123</v>
      </c>
      <c r="E44" s="360">
        <f>游戏时长规划!K34</f>
        <v>20</v>
      </c>
      <c r="F44" s="360">
        <f>游戏时长规划!L34</f>
        <v>-15</v>
      </c>
      <c r="O44" s="365">
        <v>41</v>
      </c>
      <c r="P44" s="360" t="e">
        <f t="shared" ca="1" si="29"/>
        <v>#REF!</v>
      </c>
      <c r="Q44" s="360" t="e">
        <f ca="1">ROUND(MIN((BD44-VLOOKUP(R44,$B$22:$F$46,2,FALSE))/(VLOOKUP(R44,$B$22:$F$46,3,FALSE)-VLOOKUP(R44,$B$22:$F$46,2,FALSE)),1)*((VLOOKUP(R44,$B$22:$F$46,4,FALSE)*(AG44/(AG44+VLOOKUP(P44,$D$49:$F$123,3,TRUE)))+VLOOKUP(R44,$B$22:$F$46,5,FALSE)*(1-AG44/(AG44+VLOOKUP(P44,$D$49:$F$123,3,TRUE))))/2)*游戏时长规划!$C$4,0)</f>
        <v>#REF!</v>
      </c>
      <c r="R44" s="360" t="e">
        <f t="shared" ca="1" si="0"/>
        <v>#REF!</v>
      </c>
      <c r="S44" s="360" t="e">
        <f t="shared" ca="1" si="27"/>
        <v>#REF!</v>
      </c>
      <c r="T44" s="360" t="e">
        <f t="shared" ca="1" si="30"/>
        <v>#REF!</v>
      </c>
      <c r="U44" s="370" t="e">
        <f t="shared" ca="1" si="1"/>
        <v>#REF!</v>
      </c>
      <c r="V44" s="363" t="e">
        <f t="shared" ca="1" si="35"/>
        <v>#REF!</v>
      </c>
      <c r="W44" s="360" t="e">
        <f t="shared" ca="1" si="3"/>
        <v>#REF!</v>
      </c>
      <c r="X44" s="81" t="e">
        <f t="shared" ca="1" si="19"/>
        <v>#REF!</v>
      </c>
      <c r="Y44" s="360" t="str">
        <f t="shared" ca="1" si="4"/>
        <v>NULL</v>
      </c>
      <c r="Z44" s="375" t="e">
        <f t="shared" ca="1" si="20"/>
        <v>#REF!</v>
      </c>
      <c r="AA44" s="360">
        <f ca="1">IFERROR(VLOOKUP(IF(V44="T1低",游戏时长规划!$C$67+Z44,Z44),INDIRECT(V44&amp;"星级"),2,TRUE),0)</f>
        <v>0</v>
      </c>
      <c r="AB44" s="375" t="e">
        <f t="shared" ca="1" si="5"/>
        <v>#REF!</v>
      </c>
      <c r="AC44" s="375">
        <f ca="1">($D$14+$D$17)*$L$4/坦克部件养成!$C$2+AC43-IFERROR(IF(RIGHT(AD43,3)*1&gt;RIGHT(VLOOKUP(AC43,INDIRECT(LEFT(AD42,2)&amp;"部件升阶"),5,TRUE),3)*1,VLOOKUP(AD42,INDIRECT(LEFT(AD42,2)&amp;"部件升阶消耗"),2,FALSE),0),0)</f>
        <v>485.1666666666664</v>
      </c>
      <c r="AD44" s="360" t="e">
        <f t="shared" ca="1" si="6"/>
        <v>#REF!</v>
      </c>
      <c r="AE44" s="375" t="e">
        <f ca="1">$D$15*$L$4/坦克部件养成!$C$2+AE43-IF(LEFT(AD44,2)&lt;&gt;LEFT(AD43,2),VLOOKUP(AF43,INDIRECT(LEFT(AD43,2)&amp;"部件升级消耗"),5,FALSE),0)</f>
        <v>#REF!</v>
      </c>
      <c r="AF44" s="360" t="e">
        <f ca="1">MIN(VLOOKUP(AE44,INDIRECT(LEFT(AD44,2)&amp;"部件升级"),2,TRUE),VLOOKUP(LEFT(AD44,2),坦克部件养成!#REF!,6,FALSE))</f>
        <v>#REF!</v>
      </c>
      <c r="AG44" s="378" t="e">
        <f ca="1">MAX(BD$4:BD44)</f>
        <v>#REF!</v>
      </c>
      <c r="AH44" s="378" t="str">
        <f t="shared" ca="1" si="7"/>
        <v/>
      </c>
      <c r="AI44" s="378">
        <f ca="1">IF(Y44="NULL",0,MAX(BY$4:BY44))</f>
        <v>0</v>
      </c>
      <c r="AK44" s="364" t="e">
        <f t="shared" ca="1" si="8"/>
        <v>#REF!</v>
      </c>
      <c r="AL44" s="364" t="e">
        <f ca="1">VLOOKUP(AK44,坦克个性化设定!$B$18:$F$48,5,FALSE)</f>
        <v>#REF!</v>
      </c>
      <c r="AM44" s="372" t="e">
        <f t="shared" ca="1" si="9"/>
        <v>#REF!</v>
      </c>
      <c r="AN44" s="372" t="e">
        <f t="shared" ca="1" si="21"/>
        <v>#REF!</v>
      </c>
      <c r="AO44" s="364">
        <f t="shared" ca="1" si="10"/>
        <v>0</v>
      </c>
      <c r="AP44" s="372" t="e">
        <f ca="1">VLOOKUP($AK44&amp;$AO44,所有坦克升星属性,MATCH(AP$3,所有坦克升星属性标头,0),FALSE)+ROUND(AU44/VLOOKUP($AK44,坦克部件!#REF!,4,FALSE)*VLOOKUP($AK44&amp;0,所有坦克升星属性,MATCH(AP$3,所有坦克升星属性标头,0),FALSE),0)</f>
        <v>#REF!</v>
      </c>
      <c r="AQ44" s="372" t="e">
        <f ca="1">VLOOKUP($AK44&amp;$AO44,所有坦克升星属性,MATCH(AQ$3,所有坦克升星属性标头,0),FALSE)+ROUND(AV44/VLOOKUP($AK44,坦克部件!#REF!,4,FALSE)*VLOOKUP($AK44&amp;0,所有坦克升星属性,MATCH(AQ$3,所有坦克升星属性标头,0),FALSE),0)</f>
        <v>#REF!</v>
      </c>
      <c r="AR44" s="372" t="e">
        <f t="shared" ref="AR44:AS63" ca="1" si="36">VLOOKUP($AK44&amp;$AO44,所有坦克升星属性,MATCH(AR$3,所有坦克升星属性标头,0),FALSE)</f>
        <v>#REF!</v>
      </c>
      <c r="AS44" s="372" t="e">
        <f t="shared" ca="1" si="36"/>
        <v>#REF!</v>
      </c>
      <c r="AT44" s="372" t="e">
        <f ca="1">VLOOKUP($AK44&amp;$AO44,所有坦克升星属性,MATCH(AT$3,所有坦克升星属性标头,0),FALSE)+ROUND(AW44/VLOOKUP($AK44,坦克部件!#REF!,4,FALSE)*VLOOKUP($AK44&amp;0,所有坦克升星属性,MATCH(AT$3,所有坦克升星属性标头,0),FALSE),0)</f>
        <v>#REF!</v>
      </c>
      <c r="AU44" s="372" t="e">
        <f ca="1">(VLOOKUP($AM44,坦克部件!#REF!,MATCH("标准值",坦克部件!#REF!,0),FALSE)+VLOOKUP($AN44,坦克部件!#REF!,MATCH("标准值",坦克部件!#REF!,0),FALSE))*2</f>
        <v>#REF!</v>
      </c>
      <c r="AV44" s="372" t="e">
        <f ca="1">(VLOOKUP($AM44,坦克部件!#REF!,MATCH("标准值",坦克部件!#REF!,0),FALSE)+VLOOKUP($AN44,坦克部件!#REF!,MATCH("标准值",坦克部件!#REF!,0),FALSE))*2</f>
        <v>#REF!</v>
      </c>
      <c r="AW44" s="372" t="e">
        <f ca="1">(VLOOKUP($AM44,坦克部件!#REF!,MATCH("标准值",坦克部件!#REF!,0),FALSE)+VLOOKUP($AN44,坦克部件!#REF!,MATCH("标准值",坦克部件!#REF!,0),FALSE))*2</f>
        <v>#REF!</v>
      </c>
      <c r="AX44" s="372" t="e">
        <f ca="1">VLOOKUP($AK44,坦克属性统计!$B$3:$AY$33,MATCH(AX$3,坦克属性统计!$B$3:$AY$3,0),FALSE)</f>
        <v>#REF!</v>
      </c>
      <c r="AY44" s="372" t="e">
        <f t="shared" ref="AY44:BA63" ca="1" si="37">VLOOKUP($AK44&amp;$AO44,所有坦克升星属性,MATCH(AY$3,所有坦克升星属性标头,0),FALSE)</f>
        <v>#REF!</v>
      </c>
      <c r="AZ44" s="372" t="e">
        <f t="shared" ca="1" si="37"/>
        <v>#REF!</v>
      </c>
      <c r="BA44" s="372" t="e">
        <f t="shared" ca="1" si="37"/>
        <v>#REF!</v>
      </c>
      <c r="BB44" s="356" t="e">
        <f t="shared" ca="1" si="13"/>
        <v>#REF!</v>
      </c>
      <c r="BC44" s="356" t="e">
        <f ca="1">VLOOKUP(AK44,坦克个性化设定!$B$18:$E$48,4,FALSE)</f>
        <v>#REF!</v>
      </c>
      <c r="BD44" s="357" t="e">
        <f t="shared" ca="1" si="22"/>
        <v>#REF!</v>
      </c>
      <c r="BF44" s="357" t="str">
        <f t="shared" ca="1" si="14"/>
        <v/>
      </c>
      <c r="BG44" s="372" t="str">
        <f ca="1">IFERROR(VLOOKUP(BF44,坦克个性化设定!$B$18:$F$48,5,FALSE),"")</f>
        <v/>
      </c>
      <c r="BH44" s="372" t="e">
        <f t="shared" ca="1" si="23"/>
        <v>#REF!</v>
      </c>
      <c r="BI44" s="372" t="e">
        <f t="shared" ca="1" si="24"/>
        <v>#REF!</v>
      </c>
      <c r="BJ44" s="364" t="str">
        <f t="shared" ca="1" si="15"/>
        <v>NULL</v>
      </c>
      <c r="BK44" s="372" t="e">
        <f ca="1">VLOOKUP($BF44&amp;IF($BJ44="NULL",0,$BJ44),所有坦克升星属性,MATCH(BK$3,所有坦克升星属性标头,0),FALSE)+ROUND(BP44/VLOOKUP($BF44,坦克部件!#REF!,4,FALSE)*VLOOKUP($BF44&amp;0,所有坦克升星属性,MATCH(BK$3,所有坦克升星属性标头,0),FALSE),0)</f>
        <v>#N/A</v>
      </c>
      <c r="BL44" s="372" t="e">
        <f ca="1">VLOOKUP($BF44&amp;IF($BJ44="NULL",0,$BJ44),所有坦克升星属性,MATCH(BL$3,所有坦克升星属性标头,0),FALSE)+ROUND(BQ44/VLOOKUP($BF44,坦克部件!#REF!,4,FALSE)*VLOOKUP($BF44&amp;0,所有坦克升星属性,MATCH(BL$3,所有坦克升星属性标头,0),FALSE),0)</f>
        <v>#N/A</v>
      </c>
      <c r="BM44" s="372" t="e">
        <f t="shared" ref="BM44:BN63" ca="1" si="38">VLOOKUP($BF44&amp;IF($BJ44="NULL",0,$BJ44),所有坦克升星属性,MATCH(BM$3,所有坦克升星属性标头,0),FALSE)</f>
        <v>#N/A</v>
      </c>
      <c r="BN44" s="372" t="e">
        <f t="shared" ca="1" si="38"/>
        <v>#N/A</v>
      </c>
      <c r="BO44" s="372" t="e">
        <f ca="1">VLOOKUP($BF44&amp;IF($BJ44="NULL",0,$BJ44),所有坦克升星属性,MATCH(BO$3,所有坦克升星属性标头,0),FALSE)+ROUND(BR44/VLOOKUP($BF44,坦克部件!#REF!,4,FALSE)*VLOOKUP($BF44&amp;0,所有坦克升星属性,MATCH(BO$3,所有坦克升星属性标头,0),FALSE),0)</f>
        <v>#N/A</v>
      </c>
      <c r="BP44" s="372" t="e">
        <f ca="1">(VLOOKUP($BH44,坦克部件!#REF!,MATCH("标准值",坦克部件!#REF!,0),FALSE)+VLOOKUP($BI44,坦克部件!#REF!,MATCH("标准值",坦克部件!#REF!,0),FALSE))*2</f>
        <v>#REF!</v>
      </c>
      <c r="BQ44" s="372" t="e">
        <f ca="1">(VLOOKUP($BH44,坦克部件!#REF!,MATCH("标准值",坦克部件!#REF!,0),FALSE)+VLOOKUP($BI44,坦克部件!#REF!,MATCH("标准值",坦克部件!#REF!,0),FALSE))*2</f>
        <v>#REF!</v>
      </c>
      <c r="BR44" s="372" t="e">
        <f ca="1">(VLOOKUP($BH44,坦克部件!#REF!,MATCH("标准值",坦克部件!#REF!,0),FALSE)+VLOOKUP($BI44,坦克部件!#REF!,MATCH("标准值",坦克部件!#REF!,0),FALSE))*2</f>
        <v>#REF!</v>
      </c>
      <c r="BS44" s="372" t="e">
        <f ca="1">VLOOKUP($BF44,坦克属性统计!$B$3:$AY$33,MATCH(BS$3,坦克属性统计!$B$3:$AY$3,0),FALSE)</f>
        <v>#N/A</v>
      </c>
      <c r="BT44" s="372" t="e">
        <f t="shared" ref="BT44:BV63" ca="1" si="39">VLOOKUP($BF44&amp;IF($BJ44="NULL",0,$BJ44),所有坦克升星属性,MATCH(BT$3,所有坦克升星属性标头,0),FALSE)</f>
        <v>#N/A</v>
      </c>
      <c r="BU44" s="372" t="e">
        <f t="shared" ca="1" si="39"/>
        <v>#N/A</v>
      </c>
      <c r="BV44" s="372" t="e">
        <f t="shared" ca="1" si="39"/>
        <v>#N/A</v>
      </c>
      <c r="BW44" s="356">
        <f t="shared" ca="1" si="18"/>
        <v>0</v>
      </c>
      <c r="BX44" s="356" t="e">
        <f ca="1">VLOOKUP(BF44,坦克个性化设定!$B$18:$E$48,4,FALSE)</f>
        <v>#N/A</v>
      </c>
      <c r="BY44" s="357" t="e">
        <f t="shared" ca="1" si="25"/>
        <v>#N/A</v>
      </c>
    </row>
    <row r="45" spans="2:77" x14ac:dyDescent="0.35">
      <c r="B45" s="352">
        <v>23</v>
      </c>
      <c r="C45" s="360">
        <f ca="1">游戏时长规划!H62</f>
        <v>11000</v>
      </c>
      <c r="D45" s="360">
        <f ca="1">游戏时长规划!I62</f>
        <v>12955</v>
      </c>
      <c r="E45" s="360">
        <f>游戏时长规划!K35</f>
        <v>20</v>
      </c>
      <c r="F45" s="360">
        <f>游戏时长规划!L35</f>
        <v>-15</v>
      </c>
      <c r="O45" s="365">
        <v>42</v>
      </c>
      <c r="P45" s="360" t="e">
        <f t="shared" ca="1" si="29"/>
        <v>#REF!</v>
      </c>
      <c r="Q45" s="360" t="e">
        <f ca="1">ROUND(MIN((BD45-VLOOKUP(R45,$B$22:$F$46,2,FALSE))/(VLOOKUP(R45,$B$22:$F$46,3,FALSE)-VLOOKUP(R45,$B$22:$F$46,2,FALSE)),1)*((VLOOKUP(R45,$B$22:$F$46,4,FALSE)*(AG45/(AG45+VLOOKUP(P45,$D$49:$F$123,3,TRUE)))+VLOOKUP(R45,$B$22:$F$46,5,FALSE)*(1-AG45/(AG45+VLOOKUP(P45,$D$49:$F$123,3,TRUE))))/2)*游戏时长规划!$C$4,0)</f>
        <v>#REF!</v>
      </c>
      <c r="R45" s="360" t="e">
        <f t="shared" ca="1" si="0"/>
        <v>#REF!</v>
      </c>
      <c r="S45" s="360" t="e">
        <f t="shared" ca="1" si="27"/>
        <v>#REF!</v>
      </c>
      <c r="T45" s="360" t="e">
        <f t="shared" ca="1" si="30"/>
        <v>#REF!</v>
      </c>
      <c r="U45" s="370" t="e">
        <f t="shared" ca="1" si="1"/>
        <v>#REF!</v>
      </c>
      <c r="V45" s="363" t="e">
        <f t="shared" ca="1" si="35"/>
        <v>#REF!</v>
      </c>
      <c r="W45" s="360" t="e">
        <f t="shared" ca="1" si="3"/>
        <v>#REF!</v>
      </c>
      <c r="X45" s="81" t="e">
        <f t="shared" ca="1" si="19"/>
        <v>#REF!</v>
      </c>
      <c r="Y45" s="360" t="str">
        <f t="shared" ca="1" si="4"/>
        <v>NULL</v>
      </c>
      <c r="Z45" s="375" t="e">
        <f t="shared" ca="1" si="20"/>
        <v>#REF!</v>
      </c>
      <c r="AA45" s="360">
        <f ca="1">IFERROR(VLOOKUP(IF(V45="T1低",游戏时长规划!$C$67+Z45,Z45),INDIRECT(V45&amp;"星级"),2,TRUE),0)</f>
        <v>0</v>
      </c>
      <c r="AB45" s="375" t="e">
        <f t="shared" ca="1" si="5"/>
        <v>#REF!</v>
      </c>
      <c r="AC45" s="375">
        <f ca="1">($D$14+$D$17)*$L$4/坦克部件养成!$C$2+AC44-IFERROR(IF(RIGHT(AD44,3)*1&gt;RIGHT(VLOOKUP(AC44,INDIRECT(LEFT(AD43,2)&amp;"部件升阶"),5,TRUE),3)*1,VLOOKUP(AD43,INDIRECT(LEFT(AD43,2)&amp;"部件升阶消耗"),2,FALSE),0),0)</f>
        <v>496.99999999999972</v>
      </c>
      <c r="AD45" s="360" t="e">
        <f t="shared" ca="1" si="6"/>
        <v>#REF!</v>
      </c>
      <c r="AE45" s="375" t="e">
        <f ca="1">$D$15*$L$4/坦克部件养成!$C$2+AE44-IF(LEFT(AD45,2)&lt;&gt;LEFT(AD44,2),VLOOKUP(AF44,INDIRECT(LEFT(AD44,2)&amp;"部件升级消耗"),5,FALSE),0)</f>
        <v>#REF!</v>
      </c>
      <c r="AF45" s="360" t="e">
        <f ca="1">MIN(VLOOKUP(AE45,INDIRECT(LEFT(AD45,2)&amp;"部件升级"),2,TRUE),VLOOKUP(LEFT(AD45,2),坦克部件养成!#REF!,6,FALSE))</f>
        <v>#REF!</v>
      </c>
      <c r="AG45" s="378" t="e">
        <f ca="1">MAX(BD$4:BD45)</f>
        <v>#REF!</v>
      </c>
      <c r="AH45" s="378" t="str">
        <f t="shared" ca="1" si="7"/>
        <v/>
      </c>
      <c r="AI45" s="378">
        <f ca="1">IF(Y45="NULL",0,MAX(BY$4:BY45))</f>
        <v>0</v>
      </c>
      <c r="AK45" s="364" t="e">
        <f t="shared" ca="1" si="8"/>
        <v>#REF!</v>
      </c>
      <c r="AL45" s="364" t="e">
        <f ca="1">VLOOKUP(AK45,坦克个性化设定!$B$18:$F$48,5,FALSE)</f>
        <v>#REF!</v>
      </c>
      <c r="AM45" s="372" t="e">
        <f t="shared" ca="1" si="9"/>
        <v>#REF!</v>
      </c>
      <c r="AN45" s="372" t="e">
        <f t="shared" ca="1" si="21"/>
        <v>#REF!</v>
      </c>
      <c r="AO45" s="364">
        <f t="shared" ca="1" si="10"/>
        <v>0</v>
      </c>
      <c r="AP45" s="372" t="e">
        <f ca="1">VLOOKUP($AK45&amp;$AO45,所有坦克升星属性,MATCH(AP$3,所有坦克升星属性标头,0),FALSE)+ROUND(AU45/VLOOKUP($AK45,坦克部件!#REF!,4,FALSE)*VLOOKUP($AK45&amp;0,所有坦克升星属性,MATCH(AP$3,所有坦克升星属性标头,0),FALSE),0)</f>
        <v>#REF!</v>
      </c>
      <c r="AQ45" s="372" t="e">
        <f ca="1">VLOOKUP($AK45&amp;$AO45,所有坦克升星属性,MATCH(AQ$3,所有坦克升星属性标头,0),FALSE)+ROUND(AV45/VLOOKUP($AK45,坦克部件!#REF!,4,FALSE)*VLOOKUP($AK45&amp;0,所有坦克升星属性,MATCH(AQ$3,所有坦克升星属性标头,0),FALSE),0)</f>
        <v>#REF!</v>
      </c>
      <c r="AR45" s="372" t="e">
        <f t="shared" ca="1" si="36"/>
        <v>#REF!</v>
      </c>
      <c r="AS45" s="372" t="e">
        <f t="shared" ca="1" si="36"/>
        <v>#REF!</v>
      </c>
      <c r="AT45" s="372" t="e">
        <f ca="1">VLOOKUP($AK45&amp;$AO45,所有坦克升星属性,MATCH(AT$3,所有坦克升星属性标头,0),FALSE)+ROUND(AW45/VLOOKUP($AK45,坦克部件!#REF!,4,FALSE)*VLOOKUP($AK45&amp;0,所有坦克升星属性,MATCH(AT$3,所有坦克升星属性标头,0),FALSE),0)</f>
        <v>#REF!</v>
      </c>
      <c r="AU45" s="372" t="e">
        <f ca="1">(VLOOKUP($AM45,坦克部件!#REF!,MATCH("标准值",坦克部件!#REF!,0),FALSE)+VLOOKUP($AN45,坦克部件!#REF!,MATCH("标准值",坦克部件!#REF!,0),FALSE))*2</f>
        <v>#REF!</v>
      </c>
      <c r="AV45" s="372" t="e">
        <f ca="1">(VLOOKUP($AM45,坦克部件!#REF!,MATCH("标准值",坦克部件!#REF!,0),FALSE)+VLOOKUP($AN45,坦克部件!#REF!,MATCH("标准值",坦克部件!#REF!,0),FALSE))*2</f>
        <v>#REF!</v>
      </c>
      <c r="AW45" s="372" t="e">
        <f ca="1">(VLOOKUP($AM45,坦克部件!#REF!,MATCH("标准值",坦克部件!#REF!,0),FALSE)+VLOOKUP($AN45,坦克部件!#REF!,MATCH("标准值",坦克部件!#REF!,0),FALSE))*2</f>
        <v>#REF!</v>
      </c>
      <c r="AX45" s="372" t="e">
        <f ca="1">VLOOKUP($AK45,坦克属性统计!$B$3:$AY$33,MATCH(AX$3,坦克属性统计!$B$3:$AY$3,0),FALSE)</f>
        <v>#REF!</v>
      </c>
      <c r="AY45" s="372" t="e">
        <f t="shared" ca="1" si="37"/>
        <v>#REF!</v>
      </c>
      <c r="AZ45" s="372" t="e">
        <f t="shared" ca="1" si="37"/>
        <v>#REF!</v>
      </c>
      <c r="BA45" s="372" t="e">
        <f t="shared" ca="1" si="37"/>
        <v>#REF!</v>
      </c>
      <c r="BB45" s="356" t="e">
        <f t="shared" ca="1" si="13"/>
        <v>#REF!</v>
      </c>
      <c r="BC45" s="356" t="e">
        <f ca="1">VLOOKUP(AK45,坦克个性化设定!$B$18:$E$48,4,FALSE)</f>
        <v>#REF!</v>
      </c>
      <c r="BD45" s="357" t="e">
        <f t="shared" ca="1" si="22"/>
        <v>#REF!</v>
      </c>
      <c r="BF45" s="357" t="str">
        <f t="shared" ca="1" si="14"/>
        <v/>
      </c>
      <c r="BG45" s="372" t="str">
        <f ca="1">IFERROR(VLOOKUP(BF45,坦克个性化设定!$B$18:$F$48,5,FALSE),"")</f>
        <v/>
      </c>
      <c r="BH45" s="372" t="e">
        <f t="shared" ca="1" si="23"/>
        <v>#REF!</v>
      </c>
      <c r="BI45" s="372" t="e">
        <f t="shared" ca="1" si="24"/>
        <v>#REF!</v>
      </c>
      <c r="BJ45" s="364" t="str">
        <f t="shared" ca="1" si="15"/>
        <v>NULL</v>
      </c>
      <c r="BK45" s="372" t="e">
        <f ca="1">VLOOKUP($BF45&amp;IF($BJ45="NULL",0,$BJ45),所有坦克升星属性,MATCH(BK$3,所有坦克升星属性标头,0),FALSE)+ROUND(BP45/VLOOKUP($BF45,坦克部件!#REF!,4,FALSE)*VLOOKUP($BF45&amp;0,所有坦克升星属性,MATCH(BK$3,所有坦克升星属性标头,0),FALSE),0)</f>
        <v>#N/A</v>
      </c>
      <c r="BL45" s="372" t="e">
        <f ca="1">VLOOKUP($BF45&amp;IF($BJ45="NULL",0,$BJ45),所有坦克升星属性,MATCH(BL$3,所有坦克升星属性标头,0),FALSE)+ROUND(BQ45/VLOOKUP($BF45,坦克部件!#REF!,4,FALSE)*VLOOKUP($BF45&amp;0,所有坦克升星属性,MATCH(BL$3,所有坦克升星属性标头,0),FALSE),0)</f>
        <v>#N/A</v>
      </c>
      <c r="BM45" s="372" t="e">
        <f t="shared" ca="1" si="38"/>
        <v>#N/A</v>
      </c>
      <c r="BN45" s="372" t="e">
        <f t="shared" ca="1" si="38"/>
        <v>#N/A</v>
      </c>
      <c r="BO45" s="372" t="e">
        <f ca="1">VLOOKUP($BF45&amp;IF($BJ45="NULL",0,$BJ45),所有坦克升星属性,MATCH(BO$3,所有坦克升星属性标头,0),FALSE)+ROUND(BR45/VLOOKUP($BF45,坦克部件!#REF!,4,FALSE)*VLOOKUP($BF45&amp;0,所有坦克升星属性,MATCH(BO$3,所有坦克升星属性标头,0),FALSE),0)</f>
        <v>#N/A</v>
      </c>
      <c r="BP45" s="372" t="e">
        <f ca="1">(VLOOKUP($BH45,坦克部件!#REF!,MATCH("标准值",坦克部件!#REF!,0),FALSE)+VLOOKUP($BI45,坦克部件!#REF!,MATCH("标准值",坦克部件!#REF!,0),FALSE))*2</f>
        <v>#REF!</v>
      </c>
      <c r="BQ45" s="372" t="e">
        <f ca="1">(VLOOKUP($BH45,坦克部件!#REF!,MATCH("标准值",坦克部件!#REF!,0),FALSE)+VLOOKUP($BI45,坦克部件!#REF!,MATCH("标准值",坦克部件!#REF!,0),FALSE))*2</f>
        <v>#REF!</v>
      </c>
      <c r="BR45" s="372" t="e">
        <f ca="1">(VLOOKUP($BH45,坦克部件!#REF!,MATCH("标准值",坦克部件!#REF!,0),FALSE)+VLOOKUP($BI45,坦克部件!#REF!,MATCH("标准值",坦克部件!#REF!,0),FALSE))*2</f>
        <v>#REF!</v>
      </c>
      <c r="BS45" s="372" t="e">
        <f ca="1">VLOOKUP($BF45,坦克属性统计!$B$3:$AY$33,MATCH(BS$3,坦克属性统计!$B$3:$AY$3,0),FALSE)</f>
        <v>#N/A</v>
      </c>
      <c r="BT45" s="372" t="e">
        <f t="shared" ca="1" si="39"/>
        <v>#N/A</v>
      </c>
      <c r="BU45" s="372" t="e">
        <f t="shared" ca="1" si="39"/>
        <v>#N/A</v>
      </c>
      <c r="BV45" s="372" t="e">
        <f t="shared" ca="1" si="39"/>
        <v>#N/A</v>
      </c>
      <c r="BW45" s="356">
        <f t="shared" ca="1" si="18"/>
        <v>0</v>
      </c>
      <c r="BX45" s="356" t="e">
        <f ca="1">VLOOKUP(BF45,坦克个性化设定!$B$18:$E$48,4,FALSE)</f>
        <v>#N/A</v>
      </c>
      <c r="BY45" s="357" t="e">
        <f t="shared" ca="1" si="25"/>
        <v>#N/A</v>
      </c>
    </row>
    <row r="46" spans="2:77" x14ac:dyDescent="0.35">
      <c r="B46" s="352">
        <v>24</v>
      </c>
      <c r="C46" s="360">
        <f ca="1">游戏时长规划!H63</f>
        <v>10850</v>
      </c>
      <c r="D46" s="360">
        <f ca="1">游戏时长规划!I63</f>
        <v>12750</v>
      </c>
      <c r="E46" s="360">
        <f>游戏时长规划!K36</f>
        <v>20</v>
      </c>
      <c r="F46" s="360">
        <f>游戏时长规划!L36</f>
        <v>-15</v>
      </c>
      <c r="H46" s="374" t="s">
        <v>1778</v>
      </c>
      <c r="I46" s="374" t="s">
        <v>1792</v>
      </c>
      <c r="J46" s="374" t="s">
        <v>1779</v>
      </c>
      <c r="K46" s="374" t="s">
        <v>1788</v>
      </c>
      <c r="L46" s="374" t="s">
        <v>1787</v>
      </c>
      <c r="M46" s="374" t="s">
        <v>1796</v>
      </c>
      <c r="N46" s="376"/>
      <c r="O46" s="365">
        <v>43</v>
      </c>
      <c r="P46" s="360" t="e">
        <f t="shared" ca="1" si="29"/>
        <v>#REF!</v>
      </c>
      <c r="Q46" s="360" t="e">
        <f ca="1">ROUND(MIN((BD46-VLOOKUP(R46,$B$22:$F$46,2,FALSE))/(VLOOKUP(R46,$B$22:$F$46,3,FALSE)-VLOOKUP(R46,$B$22:$F$46,2,FALSE)),1)*((VLOOKUP(R46,$B$22:$F$46,4,FALSE)*(AG46/(AG46+VLOOKUP(P46,$D$49:$F$123,3,TRUE)))+VLOOKUP(R46,$B$22:$F$46,5,FALSE)*(1-AG46/(AG46+VLOOKUP(P46,$D$49:$F$123,3,TRUE))))/2)*游戏时长规划!$C$4,0)</f>
        <v>#REF!</v>
      </c>
      <c r="R46" s="360" t="e">
        <f t="shared" ca="1" si="0"/>
        <v>#REF!</v>
      </c>
      <c r="S46" s="360" t="e">
        <f t="shared" ca="1" si="27"/>
        <v>#REF!</v>
      </c>
      <c r="T46" s="360" t="e">
        <f t="shared" ca="1" si="30"/>
        <v>#REF!</v>
      </c>
      <c r="U46" s="370" t="e">
        <f t="shared" ca="1" si="1"/>
        <v>#REF!</v>
      </c>
      <c r="V46" s="363" t="e">
        <f t="shared" ca="1" si="35"/>
        <v>#REF!</v>
      </c>
      <c r="W46" s="360" t="e">
        <f t="shared" ca="1" si="3"/>
        <v>#REF!</v>
      </c>
      <c r="X46" s="81" t="e">
        <f t="shared" ca="1" si="19"/>
        <v>#REF!</v>
      </c>
      <c r="Y46" s="360" t="str">
        <f t="shared" ca="1" si="4"/>
        <v>NULL</v>
      </c>
      <c r="Z46" s="375" t="e">
        <f t="shared" ca="1" si="20"/>
        <v>#REF!</v>
      </c>
      <c r="AA46" s="360">
        <f ca="1">IFERROR(VLOOKUP(IF(V46="T1低",游戏时长规划!$C$67+Z46,Z46),INDIRECT(V46&amp;"星级"),2,TRUE),0)</f>
        <v>0</v>
      </c>
      <c r="AB46" s="375" t="e">
        <f t="shared" ca="1" si="5"/>
        <v>#REF!</v>
      </c>
      <c r="AC46" s="375">
        <f ca="1">($D$14+$D$17)*$L$4/坦克部件养成!$C$2+AC45-IFERROR(IF(RIGHT(AD45,3)*1&gt;RIGHT(VLOOKUP(AC45,INDIRECT(LEFT(AD44,2)&amp;"部件升阶"),5,TRUE),3)*1,VLOOKUP(AD44,INDIRECT(LEFT(AD44,2)&amp;"部件升阶消耗"),2,FALSE),0),0)</f>
        <v>508.83333333333303</v>
      </c>
      <c r="AD46" s="360" t="e">
        <f t="shared" ca="1" si="6"/>
        <v>#REF!</v>
      </c>
      <c r="AE46" s="375" t="e">
        <f ca="1">$D$15*$L$4/坦克部件养成!$C$2+AE45-IF(LEFT(AD46,2)&lt;&gt;LEFT(AD45,2),VLOOKUP(AF45,INDIRECT(LEFT(AD45,2)&amp;"部件升级消耗"),5,FALSE),0)</f>
        <v>#REF!</v>
      </c>
      <c r="AF46" s="360" t="e">
        <f ca="1">MIN(VLOOKUP(AE46,INDIRECT(LEFT(AD46,2)&amp;"部件升级"),2,TRUE),VLOOKUP(LEFT(AD46,2),坦克部件养成!#REF!,6,FALSE))</f>
        <v>#REF!</v>
      </c>
      <c r="AG46" s="378" t="e">
        <f ca="1">MAX(BD$4:BD46)</f>
        <v>#REF!</v>
      </c>
      <c r="AH46" s="378" t="str">
        <f t="shared" ca="1" si="7"/>
        <v/>
      </c>
      <c r="AI46" s="378">
        <f ca="1">IF(Y46="NULL",0,MAX(BY$4:BY46))</f>
        <v>0</v>
      </c>
      <c r="AK46" s="364" t="e">
        <f t="shared" ca="1" si="8"/>
        <v>#REF!</v>
      </c>
      <c r="AL46" s="364" t="e">
        <f ca="1">VLOOKUP(AK46,坦克个性化设定!$B$18:$F$48,5,FALSE)</f>
        <v>#REF!</v>
      </c>
      <c r="AM46" s="372" t="e">
        <f t="shared" ca="1" si="9"/>
        <v>#REF!</v>
      </c>
      <c r="AN46" s="372" t="e">
        <f t="shared" ca="1" si="21"/>
        <v>#REF!</v>
      </c>
      <c r="AO46" s="364">
        <f t="shared" ca="1" si="10"/>
        <v>0</v>
      </c>
      <c r="AP46" s="372" t="e">
        <f ca="1">VLOOKUP($AK46&amp;$AO46,所有坦克升星属性,MATCH(AP$3,所有坦克升星属性标头,0),FALSE)+ROUND(AU46/VLOOKUP($AK46,坦克部件!#REF!,4,FALSE)*VLOOKUP($AK46&amp;0,所有坦克升星属性,MATCH(AP$3,所有坦克升星属性标头,0),FALSE),0)</f>
        <v>#REF!</v>
      </c>
      <c r="AQ46" s="372" t="e">
        <f ca="1">VLOOKUP($AK46&amp;$AO46,所有坦克升星属性,MATCH(AQ$3,所有坦克升星属性标头,0),FALSE)+ROUND(AV46/VLOOKUP($AK46,坦克部件!#REF!,4,FALSE)*VLOOKUP($AK46&amp;0,所有坦克升星属性,MATCH(AQ$3,所有坦克升星属性标头,0),FALSE),0)</f>
        <v>#REF!</v>
      </c>
      <c r="AR46" s="372" t="e">
        <f t="shared" ca="1" si="36"/>
        <v>#REF!</v>
      </c>
      <c r="AS46" s="372" t="e">
        <f t="shared" ca="1" si="36"/>
        <v>#REF!</v>
      </c>
      <c r="AT46" s="372" t="e">
        <f ca="1">VLOOKUP($AK46&amp;$AO46,所有坦克升星属性,MATCH(AT$3,所有坦克升星属性标头,0),FALSE)+ROUND(AW46/VLOOKUP($AK46,坦克部件!#REF!,4,FALSE)*VLOOKUP($AK46&amp;0,所有坦克升星属性,MATCH(AT$3,所有坦克升星属性标头,0),FALSE),0)</f>
        <v>#REF!</v>
      </c>
      <c r="AU46" s="372" t="e">
        <f ca="1">(VLOOKUP($AM46,坦克部件!#REF!,MATCH("标准值",坦克部件!#REF!,0),FALSE)+VLOOKUP($AN46,坦克部件!#REF!,MATCH("标准值",坦克部件!#REF!,0),FALSE))*2</f>
        <v>#REF!</v>
      </c>
      <c r="AV46" s="372" t="e">
        <f ca="1">(VLOOKUP($AM46,坦克部件!#REF!,MATCH("标准值",坦克部件!#REF!,0),FALSE)+VLOOKUP($AN46,坦克部件!#REF!,MATCH("标准值",坦克部件!#REF!,0),FALSE))*2</f>
        <v>#REF!</v>
      </c>
      <c r="AW46" s="372" t="e">
        <f ca="1">(VLOOKUP($AM46,坦克部件!#REF!,MATCH("标准值",坦克部件!#REF!,0),FALSE)+VLOOKUP($AN46,坦克部件!#REF!,MATCH("标准值",坦克部件!#REF!,0),FALSE))*2</f>
        <v>#REF!</v>
      </c>
      <c r="AX46" s="372" t="e">
        <f ca="1">VLOOKUP($AK46,坦克属性统计!$B$3:$AY$33,MATCH(AX$3,坦克属性统计!$B$3:$AY$3,0),FALSE)</f>
        <v>#REF!</v>
      </c>
      <c r="AY46" s="372" t="e">
        <f t="shared" ca="1" si="37"/>
        <v>#REF!</v>
      </c>
      <c r="AZ46" s="372" t="e">
        <f t="shared" ca="1" si="37"/>
        <v>#REF!</v>
      </c>
      <c r="BA46" s="372" t="e">
        <f t="shared" ca="1" si="37"/>
        <v>#REF!</v>
      </c>
      <c r="BB46" s="356" t="e">
        <f t="shared" ca="1" si="13"/>
        <v>#REF!</v>
      </c>
      <c r="BC46" s="356" t="e">
        <f ca="1">VLOOKUP(AK46,坦克个性化设定!$B$18:$E$48,4,FALSE)</f>
        <v>#REF!</v>
      </c>
      <c r="BD46" s="357" t="e">
        <f t="shared" ca="1" si="22"/>
        <v>#REF!</v>
      </c>
      <c r="BF46" s="357" t="str">
        <f t="shared" ca="1" si="14"/>
        <v/>
      </c>
      <c r="BG46" s="372" t="str">
        <f ca="1">IFERROR(VLOOKUP(BF46,坦克个性化设定!$B$18:$F$48,5,FALSE),"")</f>
        <v/>
      </c>
      <c r="BH46" s="372" t="e">
        <f t="shared" ca="1" si="23"/>
        <v>#REF!</v>
      </c>
      <c r="BI46" s="372" t="e">
        <f t="shared" ca="1" si="24"/>
        <v>#REF!</v>
      </c>
      <c r="BJ46" s="364" t="str">
        <f t="shared" ca="1" si="15"/>
        <v>NULL</v>
      </c>
      <c r="BK46" s="372" t="e">
        <f ca="1">VLOOKUP($BF46&amp;IF($BJ46="NULL",0,$BJ46),所有坦克升星属性,MATCH(BK$3,所有坦克升星属性标头,0),FALSE)+ROUND(BP46/VLOOKUP($BF46,坦克部件!#REF!,4,FALSE)*VLOOKUP($BF46&amp;0,所有坦克升星属性,MATCH(BK$3,所有坦克升星属性标头,0),FALSE),0)</f>
        <v>#N/A</v>
      </c>
      <c r="BL46" s="372" t="e">
        <f ca="1">VLOOKUP($BF46&amp;IF($BJ46="NULL",0,$BJ46),所有坦克升星属性,MATCH(BL$3,所有坦克升星属性标头,0),FALSE)+ROUND(BQ46/VLOOKUP($BF46,坦克部件!#REF!,4,FALSE)*VLOOKUP($BF46&amp;0,所有坦克升星属性,MATCH(BL$3,所有坦克升星属性标头,0),FALSE),0)</f>
        <v>#N/A</v>
      </c>
      <c r="BM46" s="372" t="e">
        <f t="shared" ca="1" si="38"/>
        <v>#N/A</v>
      </c>
      <c r="BN46" s="372" t="e">
        <f t="shared" ca="1" si="38"/>
        <v>#N/A</v>
      </c>
      <c r="BO46" s="372" t="e">
        <f ca="1">VLOOKUP($BF46&amp;IF($BJ46="NULL",0,$BJ46),所有坦克升星属性,MATCH(BO$3,所有坦克升星属性标头,0),FALSE)+ROUND(BR46/VLOOKUP($BF46,坦克部件!#REF!,4,FALSE)*VLOOKUP($BF46&amp;0,所有坦克升星属性,MATCH(BO$3,所有坦克升星属性标头,0),FALSE),0)</f>
        <v>#N/A</v>
      </c>
      <c r="BP46" s="372" t="e">
        <f ca="1">(VLOOKUP($BH46,坦克部件!#REF!,MATCH("标准值",坦克部件!#REF!,0),FALSE)+VLOOKUP($BI46,坦克部件!#REF!,MATCH("标准值",坦克部件!#REF!,0),FALSE))*2</f>
        <v>#REF!</v>
      </c>
      <c r="BQ46" s="372" t="e">
        <f ca="1">(VLOOKUP($BH46,坦克部件!#REF!,MATCH("标准值",坦克部件!#REF!,0),FALSE)+VLOOKUP($BI46,坦克部件!#REF!,MATCH("标准值",坦克部件!#REF!,0),FALSE))*2</f>
        <v>#REF!</v>
      </c>
      <c r="BR46" s="372" t="e">
        <f ca="1">(VLOOKUP($BH46,坦克部件!#REF!,MATCH("标准值",坦克部件!#REF!,0),FALSE)+VLOOKUP($BI46,坦克部件!#REF!,MATCH("标准值",坦克部件!#REF!,0),FALSE))*2</f>
        <v>#REF!</v>
      </c>
      <c r="BS46" s="372" t="e">
        <f ca="1">VLOOKUP($BF46,坦克属性统计!$B$3:$AY$33,MATCH(BS$3,坦克属性统计!$B$3:$AY$3,0),FALSE)</f>
        <v>#N/A</v>
      </c>
      <c r="BT46" s="372" t="e">
        <f t="shared" ca="1" si="39"/>
        <v>#N/A</v>
      </c>
      <c r="BU46" s="372" t="e">
        <f t="shared" ca="1" si="39"/>
        <v>#N/A</v>
      </c>
      <c r="BV46" s="372" t="e">
        <f t="shared" ca="1" si="39"/>
        <v>#N/A</v>
      </c>
      <c r="BW46" s="356">
        <f t="shared" ca="1" si="18"/>
        <v>0</v>
      </c>
      <c r="BX46" s="356" t="e">
        <f ca="1">VLOOKUP(BF46,坦克个性化设定!$B$18:$E$48,4,FALSE)</f>
        <v>#N/A</v>
      </c>
      <c r="BY46" s="357" t="e">
        <f t="shared" ca="1" si="25"/>
        <v>#N/A</v>
      </c>
    </row>
    <row r="47" spans="2:77" x14ac:dyDescent="0.35">
      <c r="H47" s="363" t="s">
        <v>615</v>
      </c>
      <c r="I47" s="360" t="str">
        <f>坦克个性化设定!D19</f>
        <v>轻坦</v>
      </c>
      <c r="J47" s="360" t="str">
        <f>坦克个性化设定!E19</f>
        <v>T1</v>
      </c>
      <c r="K47" s="360" t="str">
        <f>坦克个性化细分!J4</f>
        <v>低</v>
      </c>
      <c r="L47" s="360" t="str">
        <f>J47&amp;K47</f>
        <v>T1低</v>
      </c>
      <c r="M47" s="360" t="str">
        <f>I47&amp;J47&amp;K47</f>
        <v>轻坦T1低</v>
      </c>
      <c r="N47" s="377"/>
      <c r="O47" s="365">
        <v>44</v>
      </c>
      <c r="P47" s="360" t="e">
        <f t="shared" ca="1" si="29"/>
        <v>#REF!</v>
      </c>
      <c r="Q47" s="360" t="e">
        <f ca="1">ROUND(MIN((BD47-VLOOKUP(R47,$B$22:$F$46,2,FALSE))/(VLOOKUP(R47,$B$22:$F$46,3,FALSE)-VLOOKUP(R47,$B$22:$F$46,2,FALSE)),1)*((VLOOKUP(R47,$B$22:$F$46,4,FALSE)*(AG47/(AG47+VLOOKUP(P47,$D$49:$F$123,3,TRUE)))+VLOOKUP(R47,$B$22:$F$46,5,FALSE)*(1-AG47/(AG47+VLOOKUP(P47,$D$49:$F$123,3,TRUE))))/2)*游戏时长规划!$C$4,0)</f>
        <v>#REF!</v>
      </c>
      <c r="R47" s="360" t="e">
        <f t="shared" ca="1" si="0"/>
        <v>#REF!</v>
      </c>
      <c r="S47" s="360" t="e">
        <f t="shared" ca="1" si="27"/>
        <v>#REF!</v>
      </c>
      <c r="T47" s="360" t="e">
        <f t="shared" ca="1" si="30"/>
        <v>#REF!</v>
      </c>
      <c r="U47" s="370" t="e">
        <f t="shared" ca="1" si="1"/>
        <v>#REF!</v>
      </c>
      <c r="V47" s="363" t="e">
        <f t="shared" ca="1" si="35"/>
        <v>#REF!</v>
      </c>
      <c r="W47" s="360" t="e">
        <f t="shared" ca="1" si="3"/>
        <v>#REF!</v>
      </c>
      <c r="X47" s="81" t="e">
        <f t="shared" ca="1" si="19"/>
        <v>#REF!</v>
      </c>
      <c r="Y47" s="360" t="str">
        <f t="shared" ca="1" si="4"/>
        <v>NULL</v>
      </c>
      <c r="Z47" s="375" t="e">
        <f t="shared" ca="1" si="20"/>
        <v>#REF!</v>
      </c>
      <c r="AA47" s="360">
        <f ca="1">IFERROR(VLOOKUP(IF(V47="T1低",游戏时长规划!$C$67+Z47,Z47),INDIRECT(V47&amp;"星级"),2,TRUE),0)</f>
        <v>0</v>
      </c>
      <c r="AB47" s="375" t="e">
        <f t="shared" ca="1" si="5"/>
        <v>#REF!</v>
      </c>
      <c r="AC47" s="375">
        <f ca="1">($D$14+$D$17)*$L$4/坦克部件养成!$C$2+AC46-IFERROR(IF(RIGHT(AD46,3)*1&gt;RIGHT(VLOOKUP(AC46,INDIRECT(LEFT(AD45,2)&amp;"部件升阶"),5,TRUE),3)*1,VLOOKUP(AD45,INDIRECT(LEFT(AD45,2)&amp;"部件升阶消耗"),2,FALSE),0),0)</f>
        <v>520.6666666666664</v>
      </c>
      <c r="AD47" s="360" t="e">
        <f t="shared" ca="1" si="6"/>
        <v>#REF!</v>
      </c>
      <c r="AE47" s="375" t="e">
        <f ca="1">$D$15*$L$4/坦克部件养成!$C$2+AE46-IF(LEFT(AD47,2)&lt;&gt;LEFT(AD46,2),VLOOKUP(AF46,INDIRECT(LEFT(AD46,2)&amp;"部件升级消耗"),5,FALSE),0)</f>
        <v>#REF!</v>
      </c>
      <c r="AF47" s="360" t="e">
        <f ca="1">MIN(VLOOKUP(AE47,INDIRECT(LEFT(AD47,2)&amp;"部件升级"),2,TRUE),VLOOKUP(LEFT(AD47,2),坦克部件养成!#REF!,6,FALSE))</f>
        <v>#REF!</v>
      </c>
      <c r="AG47" s="378" t="e">
        <f ca="1">MAX(BD$4:BD47)</f>
        <v>#REF!</v>
      </c>
      <c r="AH47" s="378" t="str">
        <f t="shared" ca="1" si="7"/>
        <v/>
      </c>
      <c r="AI47" s="378">
        <f ca="1">IF(Y47="NULL",0,MAX(BY$4:BY47))</f>
        <v>0</v>
      </c>
      <c r="AK47" s="364" t="e">
        <f t="shared" ca="1" si="8"/>
        <v>#REF!</v>
      </c>
      <c r="AL47" s="364" t="e">
        <f ca="1">VLOOKUP(AK47,坦克个性化设定!$B$18:$F$48,5,FALSE)</f>
        <v>#REF!</v>
      </c>
      <c r="AM47" s="372" t="e">
        <f t="shared" ca="1" si="9"/>
        <v>#REF!</v>
      </c>
      <c r="AN47" s="372" t="e">
        <f t="shared" ca="1" si="21"/>
        <v>#REF!</v>
      </c>
      <c r="AO47" s="364">
        <f t="shared" ca="1" si="10"/>
        <v>0</v>
      </c>
      <c r="AP47" s="372" t="e">
        <f ca="1">VLOOKUP($AK47&amp;$AO47,所有坦克升星属性,MATCH(AP$3,所有坦克升星属性标头,0),FALSE)+ROUND(AU47/VLOOKUP($AK47,坦克部件!#REF!,4,FALSE)*VLOOKUP($AK47&amp;0,所有坦克升星属性,MATCH(AP$3,所有坦克升星属性标头,0),FALSE),0)</f>
        <v>#REF!</v>
      </c>
      <c r="AQ47" s="372" t="e">
        <f ca="1">VLOOKUP($AK47&amp;$AO47,所有坦克升星属性,MATCH(AQ$3,所有坦克升星属性标头,0),FALSE)+ROUND(AV47/VLOOKUP($AK47,坦克部件!#REF!,4,FALSE)*VLOOKUP($AK47&amp;0,所有坦克升星属性,MATCH(AQ$3,所有坦克升星属性标头,0),FALSE),0)</f>
        <v>#REF!</v>
      </c>
      <c r="AR47" s="372" t="e">
        <f t="shared" ca="1" si="36"/>
        <v>#REF!</v>
      </c>
      <c r="AS47" s="372" t="e">
        <f t="shared" ca="1" si="36"/>
        <v>#REF!</v>
      </c>
      <c r="AT47" s="372" t="e">
        <f ca="1">VLOOKUP($AK47&amp;$AO47,所有坦克升星属性,MATCH(AT$3,所有坦克升星属性标头,0),FALSE)+ROUND(AW47/VLOOKUP($AK47,坦克部件!#REF!,4,FALSE)*VLOOKUP($AK47&amp;0,所有坦克升星属性,MATCH(AT$3,所有坦克升星属性标头,0),FALSE),0)</f>
        <v>#REF!</v>
      </c>
      <c r="AU47" s="372" t="e">
        <f ca="1">(VLOOKUP($AM47,坦克部件!#REF!,MATCH("标准值",坦克部件!#REF!,0),FALSE)+VLOOKUP($AN47,坦克部件!#REF!,MATCH("标准值",坦克部件!#REF!,0),FALSE))*2</f>
        <v>#REF!</v>
      </c>
      <c r="AV47" s="372" t="e">
        <f ca="1">(VLOOKUP($AM47,坦克部件!#REF!,MATCH("标准值",坦克部件!#REF!,0),FALSE)+VLOOKUP($AN47,坦克部件!#REF!,MATCH("标准值",坦克部件!#REF!,0),FALSE))*2</f>
        <v>#REF!</v>
      </c>
      <c r="AW47" s="372" t="e">
        <f ca="1">(VLOOKUP($AM47,坦克部件!#REF!,MATCH("标准值",坦克部件!#REF!,0),FALSE)+VLOOKUP($AN47,坦克部件!#REF!,MATCH("标准值",坦克部件!#REF!,0),FALSE))*2</f>
        <v>#REF!</v>
      </c>
      <c r="AX47" s="372" t="e">
        <f ca="1">VLOOKUP($AK47,坦克属性统计!$B$3:$AY$33,MATCH(AX$3,坦克属性统计!$B$3:$AY$3,0),FALSE)</f>
        <v>#REF!</v>
      </c>
      <c r="AY47" s="372" t="e">
        <f t="shared" ca="1" si="37"/>
        <v>#REF!</v>
      </c>
      <c r="AZ47" s="372" t="e">
        <f t="shared" ca="1" si="37"/>
        <v>#REF!</v>
      </c>
      <c r="BA47" s="372" t="e">
        <f t="shared" ca="1" si="37"/>
        <v>#REF!</v>
      </c>
      <c r="BB47" s="356" t="e">
        <f t="shared" ca="1" si="13"/>
        <v>#REF!</v>
      </c>
      <c r="BC47" s="356" t="e">
        <f ca="1">VLOOKUP(AK47,坦克个性化设定!$B$18:$E$48,4,FALSE)</f>
        <v>#REF!</v>
      </c>
      <c r="BD47" s="357" t="e">
        <f t="shared" ca="1" si="22"/>
        <v>#REF!</v>
      </c>
      <c r="BF47" s="357" t="str">
        <f t="shared" ca="1" si="14"/>
        <v/>
      </c>
      <c r="BG47" s="372" t="str">
        <f ca="1">IFERROR(VLOOKUP(BF47,坦克个性化设定!$B$18:$F$48,5,FALSE),"")</f>
        <v/>
      </c>
      <c r="BH47" s="372" t="e">
        <f t="shared" ca="1" si="23"/>
        <v>#REF!</v>
      </c>
      <c r="BI47" s="372" t="e">
        <f t="shared" ca="1" si="24"/>
        <v>#REF!</v>
      </c>
      <c r="BJ47" s="364" t="str">
        <f t="shared" ca="1" si="15"/>
        <v>NULL</v>
      </c>
      <c r="BK47" s="372" t="e">
        <f ca="1">VLOOKUP($BF47&amp;IF($BJ47="NULL",0,$BJ47),所有坦克升星属性,MATCH(BK$3,所有坦克升星属性标头,0),FALSE)+ROUND(BP47/VLOOKUP($BF47,坦克部件!#REF!,4,FALSE)*VLOOKUP($BF47&amp;0,所有坦克升星属性,MATCH(BK$3,所有坦克升星属性标头,0),FALSE),0)</f>
        <v>#N/A</v>
      </c>
      <c r="BL47" s="372" t="e">
        <f ca="1">VLOOKUP($BF47&amp;IF($BJ47="NULL",0,$BJ47),所有坦克升星属性,MATCH(BL$3,所有坦克升星属性标头,0),FALSE)+ROUND(BQ47/VLOOKUP($BF47,坦克部件!#REF!,4,FALSE)*VLOOKUP($BF47&amp;0,所有坦克升星属性,MATCH(BL$3,所有坦克升星属性标头,0),FALSE),0)</f>
        <v>#N/A</v>
      </c>
      <c r="BM47" s="372" t="e">
        <f t="shared" ca="1" si="38"/>
        <v>#N/A</v>
      </c>
      <c r="BN47" s="372" t="e">
        <f t="shared" ca="1" si="38"/>
        <v>#N/A</v>
      </c>
      <c r="BO47" s="372" t="e">
        <f ca="1">VLOOKUP($BF47&amp;IF($BJ47="NULL",0,$BJ47),所有坦克升星属性,MATCH(BO$3,所有坦克升星属性标头,0),FALSE)+ROUND(BR47/VLOOKUP($BF47,坦克部件!#REF!,4,FALSE)*VLOOKUP($BF47&amp;0,所有坦克升星属性,MATCH(BO$3,所有坦克升星属性标头,0),FALSE),0)</f>
        <v>#N/A</v>
      </c>
      <c r="BP47" s="372" t="e">
        <f ca="1">(VLOOKUP($BH47,坦克部件!#REF!,MATCH("标准值",坦克部件!#REF!,0),FALSE)+VLOOKUP($BI47,坦克部件!#REF!,MATCH("标准值",坦克部件!#REF!,0),FALSE))*2</f>
        <v>#REF!</v>
      </c>
      <c r="BQ47" s="372" t="e">
        <f ca="1">(VLOOKUP($BH47,坦克部件!#REF!,MATCH("标准值",坦克部件!#REF!,0),FALSE)+VLOOKUP($BI47,坦克部件!#REF!,MATCH("标准值",坦克部件!#REF!,0),FALSE))*2</f>
        <v>#REF!</v>
      </c>
      <c r="BR47" s="372" t="e">
        <f ca="1">(VLOOKUP($BH47,坦克部件!#REF!,MATCH("标准值",坦克部件!#REF!,0),FALSE)+VLOOKUP($BI47,坦克部件!#REF!,MATCH("标准值",坦克部件!#REF!,0),FALSE))*2</f>
        <v>#REF!</v>
      </c>
      <c r="BS47" s="372" t="e">
        <f ca="1">VLOOKUP($BF47,坦克属性统计!$B$3:$AY$33,MATCH(BS$3,坦克属性统计!$B$3:$AY$3,0),FALSE)</f>
        <v>#N/A</v>
      </c>
      <c r="BT47" s="372" t="e">
        <f t="shared" ca="1" si="39"/>
        <v>#N/A</v>
      </c>
      <c r="BU47" s="372" t="e">
        <f t="shared" ca="1" si="39"/>
        <v>#N/A</v>
      </c>
      <c r="BV47" s="372" t="e">
        <f t="shared" ca="1" si="39"/>
        <v>#N/A</v>
      </c>
      <c r="BW47" s="356">
        <f t="shared" ca="1" si="18"/>
        <v>0</v>
      </c>
      <c r="BX47" s="356" t="e">
        <f ca="1">VLOOKUP(BF47,坦克个性化设定!$B$18:$E$48,4,FALSE)</f>
        <v>#N/A</v>
      </c>
      <c r="BY47" s="357" t="e">
        <f t="shared" ca="1" si="25"/>
        <v>#N/A</v>
      </c>
    </row>
    <row r="48" spans="2:77" x14ac:dyDescent="0.35">
      <c r="H48" s="363" t="s">
        <v>616</v>
      </c>
      <c r="I48" s="360" t="str">
        <f>坦克个性化设定!D20</f>
        <v>轻坦</v>
      </c>
      <c r="J48" s="360" t="str">
        <f>坦克个性化设定!E20</f>
        <v>T2</v>
      </c>
      <c r="K48" s="360" t="str">
        <f>坦克个性化细分!J5</f>
        <v>低</v>
      </c>
      <c r="L48" s="360" t="str">
        <f t="shared" ref="L48:L76" si="40">J48&amp;K48</f>
        <v>T2低</v>
      </c>
      <c r="M48" s="360" t="str">
        <f t="shared" ref="M48:M76" si="41">I48&amp;J48&amp;K48</f>
        <v>轻坦T2低</v>
      </c>
      <c r="N48" s="377"/>
      <c r="O48" s="365">
        <v>45</v>
      </c>
      <c r="P48" s="360" t="e">
        <f t="shared" ca="1" si="29"/>
        <v>#REF!</v>
      </c>
      <c r="Q48" s="360" t="e">
        <f ca="1">ROUND(MIN((BD48-VLOOKUP(R48,$B$22:$F$46,2,FALSE))/(VLOOKUP(R48,$B$22:$F$46,3,FALSE)-VLOOKUP(R48,$B$22:$F$46,2,FALSE)),1)*((VLOOKUP(R48,$B$22:$F$46,4,FALSE)*(AG48/(AG48+VLOOKUP(P48,$D$49:$F$123,3,TRUE)))+VLOOKUP(R48,$B$22:$F$46,5,FALSE)*(1-AG48/(AG48+VLOOKUP(P48,$D$49:$F$123,3,TRUE))))/2)*游戏时长规划!$C$4,0)</f>
        <v>#REF!</v>
      </c>
      <c r="R48" s="360" t="e">
        <f t="shared" ca="1" si="0"/>
        <v>#REF!</v>
      </c>
      <c r="S48" s="360" t="e">
        <f t="shared" ca="1" si="27"/>
        <v>#REF!</v>
      </c>
      <c r="T48" s="360" t="e">
        <f t="shared" ca="1" si="30"/>
        <v>#REF!</v>
      </c>
      <c r="U48" s="370" t="e">
        <f t="shared" ca="1" si="1"/>
        <v>#REF!</v>
      </c>
      <c r="V48" s="363" t="e">
        <f t="shared" ca="1" si="35"/>
        <v>#REF!</v>
      </c>
      <c r="W48" s="360" t="e">
        <f t="shared" ca="1" si="3"/>
        <v>#REF!</v>
      </c>
      <c r="X48" s="81" t="e">
        <f t="shared" ca="1" si="19"/>
        <v>#REF!</v>
      </c>
      <c r="Y48" s="360" t="str">
        <f t="shared" ca="1" si="4"/>
        <v>NULL</v>
      </c>
      <c r="Z48" s="375" t="e">
        <f t="shared" ca="1" si="20"/>
        <v>#REF!</v>
      </c>
      <c r="AA48" s="360">
        <f ca="1">IFERROR(VLOOKUP(IF(V48="T1低",游戏时长规划!$C$67+Z48,Z48),INDIRECT(V48&amp;"星级"),2,TRUE),0)</f>
        <v>0</v>
      </c>
      <c r="AB48" s="375" t="e">
        <f t="shared" ca="1" si="5"/>
        <v>#REF!</v>
      </c>
      <c r="AC48" s="375">
        <f ca="1">($D$14+$D$17)*$L$4/坦克部件养成!$C$2+AC47-IFERROR(IF(RIGHT(AD47,3)*1&gt;RIGHT(VLOOKUP(AC47,INDIRECT(LEFT(AD46,2)&amp;"部件升阶"),5,TRUE),3)*1,VLOOKUP(AD46,INDIRECT(LEFT(AD46,2)&amp;"部件升阶消耗"),2,FALSE),0),0)</f>
        <v>532.49999999999977</v>
      </c>
      <c r="AD48" s="360" t="e">
        <f t="shared" ca="1" si="6"/>
        <v>#REF!</v>
      </c>
      <c r="AE48" s="375" t="e">
        <f ca="1">$D$15*$L$4/坦克部件养成!$C$2+AE47-IF(LEFT(AD48,2)&lt;&gt;LEFT(AD47,2),VLOOKUP(AF47,INDIRECT(LEFT(AD47,2)&amp;"部件升级消耗"),5,FALSE),0)</f>
        <v>#REF!</v>
      </c>
      <c r="AF48" s="360" t="e">
        <f ca="1">MIN(VLOOKUP(AE48,INDIRECT(LEFT(AD48,2)&amp;"部件升级"),2,TRUE),VLOOKUP(LEFT(AD48,2),坦克部件养成!#REF!,6,FALSE))</f>
        <v>#REF!</v>
      </c>
      <c r="AG48" s="378" t="e">
        <f ca="1">MAX(BD$4:BD48)</f>
        <v>#REF!</v>
      </c>
      <c r="AH48" s="378" t="str">
        <f t="shared" ca="1" si="7"/>
        <v/>
      </c>
      <c r="AI48" s="378">
        <f ca="1">IF(Y48="NULL",0,MAX(BY$4:BY48))</f>
        <v>0</v>
      </c>
      <c r="AK48" s="364" t="e">
        <f t="shared" ca="1" si="8"/>
        <v>#REF!</v>
      </c>
      <c r="AL48" s="364" t="e">
        <f ca="1">VLOOKUP(AK48,坦克个性化设定!$B$18:$F$48,5,FALSE)</f>
        <v>#REF!</v>
      </c>
      <c r="AM48" s="372" t="e">
        <f t="shared" ca="1" si="9"/>
        <v>#REF!</v>
      </c>
      <c r="AN48" s="372" t="e">
        <f t="shared" ca="1" si="21"/>
        <v>#REF!</v>
      </c>
      <c r="AO48" s="364">
        <f t="shared" ca="1" si="10"/>
        <v>0</v>
      </c>
      <c r="AP48" s="372" t="e">
        <f ca="1">VLOOKUP($AK48&amp;$AO48,所有坦克升星属性,MATCH(AP$3,所有坦克升星属性标头,0),FALSE)+ROUND(AU48/VLOOKUP($AK48,坦克部件!#REF!,4,FALSE)*VLOOKUP($AK48&amp;0,所有坦克升星属性,MATCH(AP$3,所有坦克升星属性标头,0),FALSE),0)</f>
        <v>#REF!</v>
      </c>
      <c r="AQ48" s="372" t="e">
        <f ca="1">VLOOKUP($AK48&amp;$AO48,所有坦克升星属性,MATCH(AQ$3,所有坦克升星属性标头,0),FALSE)+ROUND(AV48/VLOOKUP($AK48,坦克部件!#REF!,4,FALSE)*VLOOKUP($AK48&amp;0,所有坦克升星属性,MATCH(AQ$3,所有坦克升星属性标头,0),FALSE),0)</f>
        <v>#REF!</v>
      </c>
      <c r="AR48" s="372" t="e">
        <f t="shared" ca="1" si="36"/>
        <v>#REF!</v>
      </c>
      <c r="AS48" s="372" t="e">
        <f t="shared" ca="1" si="36"/>
        <v>#REF!</v>
      </c>
      <c r="AT48" s="372" t="e">
        <f ca="1">VLOOKUP($AK48&amp;$AO48,所有坦克升星属性,MATCH(AT$3,所有坦克升星属性标头,0),FALSE)+ROUND(AW48/VLOOKUP($AK48,坦克部件!#REF!,4,FALSE)*VLOOKUP($AK48&amp;0,所有坦克升星属性,MATCH(AT$3,所有坦克升星属性标头,0),FALSE),0)</f>
        <v>#REF!</v>
      </c>
      <c r="AU48" s="372" t="e">
        <f ca="1">(VLOOKUP($AM48,坦克部件!#REF!,MATCH("标准值",坦克部件!#REF!,0),FALSE)+VLOOKUP($AN48,坦克部件!#REF!,MATCH("标准值",坦克部件!#REF!,0),FALSE))*2</f>
        <v>#REF!</v>
      </c>
      <c r="AV48" s="372" t="e">
        <f ca="1">(VLOOKUP($AM48,坦克部件!#REF!,MATCH("标准值",坦克部件!#REF!,0),FALSE)+VLOOKUP($AN48,坦克部件!#REF!,MATCH("标准值",坦克部件!#REF!,0),FALSE))*2</f>
        <v>#REF!</v>
      </c>
      <c r="AW48" s="372" t="e">
        <f ca="1">(VLOOKUP($AM48,坦克部件!#REF!,MATCH("标准值",坦克部件!#REF!,0),FALSE)+VLOOKUP($AN48,坦克部件!#REF!,MATCH("标准值",坦克部件!#REF!,0),FALSE))*2</f>
        <v>#REF!</v>
      </c>
      <c r="AX48" s="372" t="e">
        <f ca="1">VLOOKUP($AK48,坦克属性统计!$B$3:$AY$33,MATCH(AX$3,坦克属性统计!$B$3:$AY$3,0),FALSE)</f>
        <v>#REF!</v>
      </c>
      <c r="AY48" s="372" t="e">
        <f t="shared" ca="1" si="37"/>
        <v>#REF!</v>
      </c>
      <c r="AZ48" s="372" t="e">
        <f t="shared" ca="1" si="37"/>
        <v>#REF!</v>
      </c>
      <c r="BA48" s="372" t="e">
        <f t="shared" ca="1" si="37"/>
        <v>#REF!</v>
      </c>
      <c r="BB48" s="356" t="e">
        <f t="shared" ca="1" si="13"/>
        <v>#REF!</v>
      </c>
      <c r="BC48" s="356" t="e">
        <f ca="1">VLOOKUP(AK48,坦克个性化设定!$B$18:$E$48,4,FALSE)</f>
        <v>#REF!</v>
      </c>
      <c r="BD48" s="357" t="e">
        <f t="shared" ca="1" si="22"/>
        <v>#REF!</v>
      </c>
      <c r="BF48" s="357" t="str">
        <f t="shared" ca="1" si="14"/>
        <v/>
      </c>
      <c r="BG48" s="372" t="str">
        <f ca="1">IFERROR(VLOOKUP(BF48,坦克个性化设定!$B$18:$F$48,5,FALSE),"")</f>
        <v/>
      </c>
      <c r="BH48" s="372" t="e">
        <f t="shared" ca="1" si="23"/>
        <v>#REF!</v>
      </c>
      <c r="BI48" s="372" t="e">
        <f t="shared" ca="1" si="24"/>
        <v>#REF!</v>
      </c>
      <c r="BJ48" s="364" t="str">
        <f t="shared" ca="1" si="15"/>
        <v>NULL</v>
      </c>
      <c r="BK48" s="372" t="e">
        <f ca="1">VLOOKUP($BF48&amp;IF($BJ48="NULL",0,$BJ48),所有坦克升星属性,MATCH(BK$3,所有坦克升星属性标头,0),FALSE)+ROUND(BP48/VLOOKUP($BF48,坦克部件!#REF!,4,FALSE)*VLOOKUP($BF48&amp;0,所有坦克升星属性,MATCH(BK$3,所有坦克升星属性标头,0),FALSE),0)</f>
        <v>#N/A</v>
      </c>
      <c r="BL48" s="372" t="e">
        <f ca="1">VLOOKUP($BF48&amp;IF($BJ48="NULL",0,$BJ48),所有坦克升星属性,MATCH(BL$3,所有坦克升星属性标头,0),FALSE)+ROUND(BQ48/VLOOKUP($BF48,坦克部件!#REF!,4,FALSE)*VLOOKUP($BF48&amp;0,所有坦克升星属性,MATCH(BL$3,所有坦克升星属性标头,0),FALSE),0)</f>
        <v>#N/A</v>
      </c>
      <c r="BM48" s="372" t="e">
        <f t="shared" ca="1" si="38"/>
        <v>#N/A</v>
      </c>
      <c r="BN48" s="372" t="e">
        <f t="shared" ca="1" si="38"/>
        <v>#N/A</v>
      </c>
      <c r="BO48" s="372" t="e">
        <f ca="1">VLOOKUP($BF48&amp;IF($BJ48="NULL",0,$BJ48),所有坦克升星属性,MATCH(BO$3,所有坦克升星属性标头,0),FALSE)+ROUND(BR48/VLOOKUP($BF48,坦克部件!#REF!,4,FALSE)*VLOOKUP($BF48&amp;0,所有坦克升星属性,MATCH(BO$3,所有坦克升星属性标头,0),FALSE),0)</f>
        <v>#N/A</v>
      </c>
      <c r="BP48" s="372" t="e">
        <f ca="1">(VLOOKUP($BH48,坦克部件!#REF!,MATCH("标准值",坦克部件!#REF!,0),FALSE)+VLOOKUP($BI48,坦克部件!#REF!,MATCH("标准值",坦克部件!#REF!,0),FALSE))*2</f>
        <v>#REF!</v>
      </c>
      <c r="BQ48" s="372" t="e">
        <f ca="1">(VLOOKUP($BH48,坦克部件!#REF!,MATCH("标准值",坦克部件!#REF!,0),FALSE)+VLOOKUP($BI48,坦克部件!#REF!,MATCH("标准值",坦克部件!#REF!,0),FALSE))*2</f>
        <v>#REF!</v>
      </c>
      <c r="BR48" s="372" t="e">
        <f ca="1">(VLOOKUP($BH48,坦克部件!#REF!,MATCH("标准值",坦克部件!#REF!,0),FALSE)+VLOOKUP($BI48,坦克部件!#REF!,MATCH("标准值",坦克部件!#REF!,0),FALSE))*2</f>
        <v>#REF!</v>
      </c>
      <c r="BS48" s="372" t="e">
        <f ca="1">VLOOKUP($BF48,坦克属性统计!$B$3:$AY$33,MATCH(BS$3,坦克属性统计!$B$3:$AY$3,0),FALSE)</f>
        <v>#N/A</v>
      </c>
      <c r="BT48" s="372" t="e">
        <f t="shared" ca="1" si="39"/>
        <v>#N/A</v>
      </c>
      <c r="BU48" s="372" t="e">
        <f t="shared" ca="1" si="39"/>
        <v>#N/A</v>
      </c>
      <c r="BV48" s="372" t="e">
        <f t="shared" ca="1" si="39"/>
        <v>#N/A</v>
      </c>
      <c r="BW48" s="356">
        <f t="shared" ca="1" si="18"/>
        <v>0</v>
      </c>
      <c r="BX48" s="356" t="e">
        <f ca="1">VLOOKUP(BF48,坦克个性化设定!$B$18:$E$48,4,FALSE)</f>
        <v>#N/A</v>
      </c>
      <c r="BY48" s="357" t="e">
        <f t="shared" ca="1" si="25"/>
        <v>#N/A</v>
      </c>
    </row>
    <row r="49" spans="2:77" x14ac:dyDescent="0.35">
      <c r="B49" s="353" t="s">
        <v>1662</v>
      </c>
      <c r="C49" s="353" t="s">
        <v>1663</v>
      </c>
      <c r="D49" s="353" t="s">
        <v>824</v>
      </c>
      <c r="E49" s="353" t="s">
        <v>597</v>
      </c>
      <c r="F49" s="353" t="s">
        <v>1675</v>
      </c>
      <c r="H49" s="363" t="s">
        <v>617</v>
      </c>
      <c r="I49" s="360" t="str">
        <f>坦克个性化设定!D21</f>
        <v>轻坦</v>
      </c>
      <c r="J49" s="360" t="str">
        <f>坦克个性化设定!E21</f>
        <v>T2</v>
      </c>
      <c r="K49" s="360" t="str">
        <f>坦克个性化细分!J6</f>
        <v>中</v>
      </c>
      <c r="L49" s="360" t="str">
        <f t="shared" si="40"/>
        <v>T2中</v>
      </c>
      <c r="M49" s="360" t="str">
        <f t="shared" si="41"/>
        <v>轻坦T2中</v>
      </c>
      <c r="N49" s="377"/>
      <c r="O49" s="365">
        <v>46</v>
      </c>
      <c r="P49" s="360" t="e">
        <f t="shared" ca="1" si="29"/>
        <v>#REF!</v>
      </c>
      <c r="Q49" s="360" t="e">
        <f ca="1">ROUND(MIN((BD49-VLOOKUP(R49,$B$22:$F$46,2,FALSE))/(VLOOKUP(R49,$B$22:$F$46,3,FALSE)-VLOOKUP(R49,$B$22:$F$46,2,FALSE)),1)*((VLOOKUP(R49,$B$22:$F$46,4,FALSE)*(AG49/(AG49+VLOOKUP(P49,$D$49:$F$123,3,TRUE)))+VLOOKUP(R49,$B$22:$F$46,5,FALSE)*(1-AG49/(AG49+VLOOKUP(P49,$D$49:$F$123,3,TRUE))))/2)*游戏时长规划!$C$4,0)</f>
        <v>#REF!</v>
      </c>
      <c r="R49" s="360" t="e">
        <f t="shared" ca="1" si="0"/>
        <v>#REF!</v>
      </c>
      <c r="S49" s="360" t="e">
        <f t="shared" ca="1" si="27"/>
        <v>#REF!</v>
      </c>
      <c r="T49" s="360" t="e">
        <f t="shared" ca="1" si="30"/>
        <v>#REF!</v>
      </c>
      <c r="U49" s="370" t="e">
        <f t="shared" ca="1" si="1"/>
        <v>#REF!</v>
      </c>
      <c r="V49" s="363" t="e">
        <f t="shared" ca="1" si="35"/>
        <v>#REF!</v>
      </c>
      <c r="W49" s="360" t="e">
        <f t="shared" ca="1" si="3"/>
        <v>#REF!</v>
      </c>
      <c r="X49" s="81" t="e">
        <f t="shared" ca="1" si="19"/>
        <v>#REF!</v>
      </c>
      <c r="Y49" s="360" t="str">
        <f t="shared" ca="1" si="4"/>
        <v>NULL</v>
      </c>
      <c r="Z49" s="375" t="e">
        <f t="shared" ca="1" si="20"/>
        <v>#REF!</v>
      </c>
      <c r="AA49" s="360">
        <f ca="1">IFERROR(VLOOKUP(IF(V49="T1低",游戏时长规划!$C$67+Z49,Z49),INDIRECT(V49&amp;"星级"),2,TRUE),0)</f>
        <v>0</v>
      </c>
      <c r="AB49" s="375" t="e">
        <f t="shared" ca="1" si="5"/>
        <v>#REF!</v>
      </c>
      <c r="AC49" s="375">
        <f ca="1">($D$14+$D$17)*$L$4/坦克部件养成!$C$2+AC48-IFERROR(IF(RIGHT(AD48,3)*1&gt;RIGHT(VLOOKUP(AC48,INDIRECT(LEFT(AD47,2)&amp;"部件升阶"),5,TRUE),3)*1,VLOOKUP(AD47,INDIRECT(LEFT(AD47,2)&amp;"部件升阶消耗"),2,FALSE),0),0)</f>
        <v>544.33333333333314</v>
      </c>
      <c r="AD49" s="360" t="e">
        <f t="shared" ca="1" si="6"/>
        <v>#REF!</v>
      </c>
      <c r="AE49" s="375" t="e">
        <f ca="1">$D$15*$L$4/坦克部件养成!$C$2+AE48-IF(LEFT(AD49,2)&lt;&gt;LEFT(AD48,2),VLOOKUP(AF48,INDIRECT(LEFT(AD48,2)&amp;"部件升级消耗"),5,FALSE),0)</f>
        <v>#REF!</v>
      </c>
      <c r="AF49" s="360" t="e">
        <f ca="1">MIN(VLOOKUP(AE49,INDIRECT(LEFT(AD49,2)&amp;"部件升级"),2,TRUE),VLOOKUP(LEFT(AD49,2),坦克部件养成!#REF!,6,FALSE))</f>
        <v>#REF!</v>
      </c>
      <c r="AG49" s="378" t="e">
        <f ca="1">MAX(BD$4:BD49)</f>
        <v>#REF!</v>
      </c>
      <c r="AH49" s="378" t="str">
        <f t="shared" ca="1" si="7"/>
        <v/>
      </c>
      <c r="AI49" s="378">
        <f ca="1">IF(Y49="NULL",0,MAX(BY$4:BY49))</f>
        <v>0</v>
      </c>
      <c r="AK49" s="364" t="e">
        <f t="shared" ca="1" si="8"/>
        <v>#REF!</v>
      </c>
      <c r="AL49" s="364" t="e">
        <f ca="1">VLOOKUP(AK49,坦克个性化设定!$B$18:$F$48,5,FALSE)</f>
        <v>#REF!</v>
      </c>
      <c r="AM49" s="372" t="e">
        <f t="shared" ca="1" si="9"/>
        <v>#REF!</v>
      </c>
      <c r="AN49" s="372" t="e">
        <f t="shared" ca="1" si="21"/>
        <v>#REF!</v>
      </c>
      <c r="AO49" s="364">
        <f t="shared" ca="1" si="10"/>
        <v>0</v>
      </c>
      <c r="AP49" s="372" t="e">
        <f ca="1">VLOOKUP($AK49&amp;$AO49,所有坦克升星属性,MATCH(AP$3,所有坦克升星属性标头,0),FALSE)+ROUND(AU49/VLOOKUP($AK49,坦克部件!#REF!,4,FALSE)*VLOOKUP($AK49&amp;0,所有坦克升星属性,MATCH(AP$3,所有坦克升星属性标头,0),FALSE),0)</f>
        <v>#REF!</v>
      </c>
      <c r="AQ49" s="372" t="e">
        <f ca="1">VLOOKUP($AK49&amp;$AO49,所有坦克升星属性,MATCH(AQ$3,所有坦克升星属性标头,0),FALSE)+ROUND(AV49/VLOOKUP($AK49,坦克部件!#REF!,4,FALSE)*VLOOKUP($AK49&amp;0,所有坦克升星属性,MATCH(AQ$3,所有坦克升星属性标头,0),FALSE),0)</f>
        <v>#REF!</v>
      </c>
      <c r="AR49" s="372" t="e">
        <f t="shared" ca="1" si="36"/>
        <v>#REF!</v>
      </c>
      <c r="AS49" s="372" t="e">
        <f t="shared" ca="1" si="36"/>
        <v>#REF!</v>
      </c>
      <c r="AT49" s="372" t="e">
        <f ca="1">VLOOKUP($AK49&amp;$AO49,所有坦克升星属性,MATCH(AT$3,所有坦克升星属性标头,0),FALSE)+ROUND(AW49/VLOOKUP($AK49,坦克部件!#REF!,4,FALSE)*VLOOKUP($AK49&amp;0,所有坦克升星属性,MATCH(AT$3,所有坦克升星属性标头,0),FALSE),0)</f>
        <v>#REF!</v>
      </c>
      <c r="AU49" s="372" t="e">
        <f ca="1">(VLOOKUP($AM49,坦克部件!#REF!,MATCH("标准值",坦克部件!#REF!,0),FALSE)+VLOOKUP($AN49,坦克部件!#REF!,MATCH("标准值",坦克部件!#REF!,0),FALSE))*2</f>
        <v>#REF!</v>
      </c>
      <c r="AV49" s="372" t="e">
        <f ca="1">(VLOOKUP($AM49,坦克部件!#REF!,MATCH("标准值",坦克部件!#REF!,0),FALSE)+VLOOKUP($AN49,坦克部件!#REF!,MATCH("标准值",坦克部件!#REF!,0),FALSE))*2</f>
        <v>#REF!</v>
      </c>
      <c r="AW49" s="372" t="e">
        <f ca="1">(VLOOKUP($AM49,坦克部件!#REF!,MATCH("标准值",坦克部件!#REF!,0),FALSE)+VLOOKUP($AN49,坦克部件!#REF!,MATCH("标准值",坦克部件!#REF!,0),FALSE))*2</f>
        <v>#REF!</v>
      </c>
      <c r="AX49" s="372" t="e">
        <f ca="1">VLOOKUP($AK49,坦克属性统计!$B$3:$AY$33,MATCH(AX$3,坦克属性统计!$B$3:$AY$3,0),FALSE)</f>
        <v>#REF!</v>
      </c>
      <c r="AY49" s="372" t="e">
        <f t="shared" ca="1" si="37"/>
        <v>#REF!</v>
      </c>
      <c r="AZ49" s="372" t="e">
        <f t="shared" ca="1" si="37"/>
        <v>#REF!</v>
      </c>
      <c r="BA49" s="372" t="e">
        <f t="shared" ca="1" si="37"/>
        <v>#REF!</v>
      </c>
      <c r="BB49" s="356" t="e">
        <f t="shared" ca="1" si="13"/>
        <v>#REF!</v>
      </c>
      <c r="BC49" s="356" t="e">
        <f ca="1">VLOOKUP(AK49,坦克个性化设定!$B$18:$E$48,4,FALSE)</f>
        <v>#REF!</v>
      </c>
      <c r="BD49" s="357" t="e">
        <f t="shared" ca="1" si="22"/>
        <v>#REF!</v>
      </c>
      <c r="BF49" s="357" t="str">
        <f t="shared" ca="1" si="14"/>
        <v/>
      </c>
      <c r="BG49" s="372" t="str">
        <f ca="1">IFERROR(VLOOKUP(BF49,坦克个性化设定!$B$18:$F$48,5,FALSE),"")</f>
        <v/>
      </c>
      <c r="BH49" s="372" t="e">
        <f t="shared" ca="1" si="23"/>
        <v>#REF!</v>
      </c>
      <c r="BI49" s="372" t="e">
        <f t="shared" ca="1" si="24"/>
        <v>#REF!</v>
      </c>
      <c r="BJ49" s="364" t="str">
        <f t="shared" ca="1" si="15"/>
        <v>NULL</v>
      </c>
      <c r="BK49" s="372" t="e">
        <f ca="1">VLOOKUP($BF49&amp;IF($BJ49="NULL",0,$BJ49),所有坦克升星属性,MATCH(BK$3,所有坦克升星属性标头,0),FALSE)+ROUND(BP49/VLOOKUP($BF49,坦克部件!#REF!,4,FALSE)*VLOOKUP($BF49&amp;0,所有坦克升星属性,MATCH(BK$3,所有坦克升星属性标头,0),FALSE),0)</f>
        <v>#N/A</v>
      </c>
      <c r="BL49" s="372" t="e">
        <f ca="1">VLOOKUP($BF49&amp;IF($BJ49="NULL",0,$BJ49),所有坦克升星属性,MATCH(BL$3,所有坦克升星属性标头,0),FALSE)+ROUND(BQ49/VLOOKUP($BF49,坦克部件!#REF!,4,FALSE)*VLOOKUP($BF49&amp;0,所有坦克升星属性,MATCH(BL$3,所有坦克升星属性标头,0),FALSE),0)</f>
        <v>#N/A</v>
      </c>
      <c r="BM49" s="372" t="e">
        <f t="shared" ca="1" si="38"/>
        <v>#N/A</v>
      </c>
      <c r="BN49" s="372" t="e">
        <f t="shared" ca="1" si="38"/>
        <v>#N/A</v>
      </c>
      <c r="BO49" s="372" t="e">
        <f ca="1">VLOOKUP($BF49&amp;IF($BJ49="NULL",0,$BJ49),所有坦克升星属性,MATCH(BO$3,所有坦克升星属性标头,0),FALSE)+ROUND(BR49/VLOOKUP($BF49,坦克部件!#REF!,4,FALSE)*VLOOKUP($BF49&amp;0,所有坦克升星属性,MATCH(BO$3,所有坦克升星属性标头,0),FALSE),0)</f>
        <v>#N/A</v>
      </c>
      <c r="BP49" s="372" t="e">
        <f ca="1">(VLOOKUP($BH49,坦克部件!#REF!,MATCH("标准值",坦克部件!#REF!,0),FALSE)+VLOOKUP($BI49,坦克部件!#REF!,MATCH("标准值",坦克部件!#REF!,0),FALSE))*2</f>
        <v>#REF!</v>
      </c>
      <c r="BQ49" s="372" t="e">
        <f ca="1">(VLOOKUP($BH49,坦克部件!#REF!,MATCH("标准值",坦克部件!#REF!,0),FALSE)+VLOOKUP($BI49,坦克部件!#REF!,MATCH("标准值",坦克部件!#REF!,0),FALSE))*2</f>
        <v>#REF!</v>
      </c>
      <c r="BR49" s="372" t="e">
        <f ca="1">(VLOOKUP($BH49,坦克部件!#REF!,MATCH("标准值",坦克部件!#REF!,0),FALSE)+VLOOKUP($BI49,坦克部件!#REF!,MATCH("标准值",坦克部件!#REF!,0),FALSE))*2</f>
        <v>#REF!</v>
      </c>
      <c r="BS49" s="372" t="e">
        <f ca="1">VLOOKUP($BF49,坦克属性统计!$B$3:$AY$33,MATCH(BS$3,坦克属性统计!$B$3:$AY$3,0),FALSE)</f>
        <v>#N/A</v>
      </c>
      <c r="BT49" s="372" t="e">
        <f t="shared" ca="1" si="39"/>
        <v>#N/A</v>
      </c>
      <c r="BU49" s="372" t="e">
        <f t="shared" ca="1" si="39"/>
        <v>#N/A</v>
      </c>
      <c r="BV49" s="372" t="e">
        <f t="shared" ca="1" si="39"/>
        <v>#N/A</v>
      </c>
      <c r="BW49" s="356">
        <f t="shared" ca="1" si="18"/>
        <v>0</v>
      </c>
      <c r="BX49" s="356" t="e">
        <f ca="1">VLOOKUP(BF49,坦克个性化设定!$B$18:$E$48,4,FALSE)</f>
        <v>#N/A</v>
      </c>
      <c r="BY49" s="357" t="e">
        <f t="shared" ca="1" si="25"/>
        <v>#N/A</v>
      </c>
    </row>
    <row r="50" spans="2:77" x14ac:dyDescent="0.35">
      <c r="B50" s="352">
        <v>1</v>
      </c>
      <c r="C50" s="352">
        <f>游戏时长规划!C112</f>
        <v>0</v>
      </c>
      <c r="D50" s="352">
        <f>游戏时长规划!D112</f>
        <v>0</v>
      </c>
      <c r="E50" s="352">
        <f>游戏时长规划!E112</f>
        <v>1</v>
      </c>
      <c r="F50" s="367">
        <f>游戏时长规划!F112</f>
        <v>4650</v>
      </c>
      <c r="H50" s="363" t="s">
        <v>618</v>
      </c>
      <c r="I50" s="360" t="str">
        <f>坦克个性化设定!D22</f>
        <v>轻坦</v>
      </c>
      <c r="J50" s="360" t="str">
        <f>坦克个性化设定!E22</f>
        <v>T3</v>
      </c>
      <c r="K50" s="360" t="str">
        <f>坦克个性化细分!J7</f>
        <v>低</v>
      </c>
      <c r="L50" s="360" t="str">
        <f t="shared" si="40"/>
        <v>T3低</v>
      </c>
      <c r="M50" s="360" t="str">
        <f t="shared" si="41"/>
        <v>轻坦T3低</v>
      </c>
      <c r="N50" s="377"/>
      <c r="O50" s="365">
        <v>47</v>
      </c>
      <c r="P50" s="360" t="e">
        <f t="shared" ca="1" si="29"/>
        <v>#REF!</v>
      </c>
      <c r="Q50" s="360" t="e">
        <f ca="1">ROUND(MIN((BD50-VLOOKUP(R50,$B$22:$F$46,2,FALSE))/(VLOOKUP(R50,$B$22:$F$46,3,FALSE)-VLOOKUP(R50,$B$22:$F$46,2,FALSE)),1)*((VLOOKUP(R50,$B$22:$F$46,4,FALSE)*(AG50/(AG50+VLOOKUP(P50,$D$49:$F$123,3,TRUE)))+VLOOKUP(R50,$B$22:$F$46,5,FALSE)*(1-AG50/(AG50+VLOOKUP(P50,$D$49:$F$123,3,TRUE))))/2)*游戏时长规划!$C$4,0)</f>
        <v>#REF!</v>
      </c>
      <c r="R50" s="360" t="e">
        <f t="shared" ca="1" si="0"/>
        <v>#REF!</v>
      </c>
      <c r="S50" s="360" t="e">
        <f t="shared" ca="1" si="27"/>
        <v>#REF!</v>
      </c>
      <c r="T50" s="360" t="e">
        <f t="shared" ca="1" si="30"/>
        <v>#REF!</v>
      </c>
      <c r="U50" s="370" t="e">
        <f t="shared" ca="1" si="1"/>
        <v>#REF!</v>
      </c>
      <c r="V50" s="363" t="e">
        <f t="shared" ca="1" si="35"/>
        <v>#REF!</v>
      </c>
      <c r="W50" s="360" t="e">
        <f t="shared" ca="1" si="3"/>
        <v>#REF!</v>
      </c>
      <c r="X50" s="81" t="e">
        <f t="shared" ca="1" si="19"/>
        <v>#REF!</v>
      </c>
      <c r="Y50" s="360" t="str">
        <f t="shared" ca="1" si="4"/>
        <v>NULL</v>
      </c>
      <c r="Z50" s="375" t="e">
        <f t="shared" ca="1" si="20"/>
        <v>#REF!</v>
      </c>
      <c r="AA50" s="360">
        <f ca="1">IFERROR(VLOOKUP(IF(V50="T1低",游戏时长规划!$C$67+Z50,Z50),INDIRECT(V50&amp;"星级"),2,TRUE),0)</f>
        <v>0</v>
      </c>
      <c r="AB50" s="375" t="e">
        <f t="shared" ca="1" si="5"/>
        <v>#REF!</v>
      </c>
      <c r="AC50" s="375">
        <f ca="1">($D$14+$D$17)*$L$4/坦克部件养成!$C$2+AC49-IFERROR(IF(RIGHT(AD49,3)*1&gt;RIGHT(VLOOKUP(AC49,INDIRECT(LEFT(AD48,2)&amp;"部件升阶"),5,TRUE),3)*1,VLOOKUP(AD48,INDIRECT(LEFT(AD48,2)&amp;"部件升阶消耗"),2,FALSE),0),0)</f>
        <v>556.16666666666652</v>
      </c>
      <c r="AD50" s="360" t="e">
        <f t="shared" ca="1" si="6"/>
        <v>#REF!</v>
      </c>
      <c r="AE50" s="375" t="e">
        <f ca="1">$D$15*$L$4/坦克部件养成!$C$2+AE49-IF(LEFT(AD50,2)&lt;&gt;LEFT(AD49,2),VLOOKUP(AF49,INDIRECT(LEFT(AD49,2)&amp;"部件升级消耗"),5,FALSE),0)</f>
        <v>#REF!</v>
      </c>
      <c r="AF50" s="360" t="e">
        <f ca="1">MIN(VLOOKUP(AE50,INDIRECT(LEFT(AD50,2)&amp;"部件升级"),2,TRUE),VLOOKUP(LEFT(AD50,2),坦克部件养成!#REF!,6,FALSE))</f>
        <v>#REF!</v>
      </c>
      <c r="AG50" s="378" t="e">
        <f ca="1">MAX(BD$4:BD50)</f>
        <v>#REF!</v>
      </c>
      <c r="AH50" s="378" t="str">
        <f t="shared" ca="1" si="7"/>
        <v/>
      </c>
      <c r="AI50" s="378">
        <f ca="1">IF(Y50="NULL",0,MAX(BY$4:BY50))</f>
        <v>0</v>
      </c>
      <c r="AK50" s="364" t="e">
        <f t="shared" ca="1" si="8"/>
        <v>#REF!</v>
      </c>
      <c r="AL50" s="364" t="e">
        <f ca="1">VLOOKUP(AK50,坦克个性化设定!$B$18:$F$48,5,FALSE)</f>
        <v>#REF!</v>
      </c>
      <c r="AM50" s="372" t="e">
        <f t="shared" ca="1" si="9"/>
        <v>#REF!</v>
      </c>
      <c r="AN50" s="372" t="e">
        <f t="shared" ca="1" si="21"/>
        <v>#REF!</v>
      </c>
      <c r="AO50" s="364">
        <f t="shared" ca="1" si="10"/>
        <v>0</v>
      </c>
      <c r="AP50" s="372" t="e">
        <f ca="1">VLOOKUP($AK50&amp;$AO50,所有坦克升星属性,MATCH(AP$3,所有坦克升星属性标头,0),FALSE)+ROUND(AU50/VLOOKUP($AK50,坦克部件!#REF!,4,FALSE)*VLOOKUP($AK50&amp;0,所有坦克升星属性,MATCH(AP$3,所有坦克升星属性标头,0),FALSE),0)</f>
        <v>#REF!</v>
      </c>
      <c r="AQ50" s="372" t="e">
        <f ca="1">VLOOKUP($AK50&amp;$AO50,所有坦克升星属性,MATCH(AQ$3,所有坦克升星属性标头,0),FALSE)+ROUND(AV50/VLOOKUP($AK50,坦克部件!#REF!,4,FALSE)*VLOOKUP($AK50&amp;0,所有坦克升星属性,MATCH(AQ$3,所有坦克升星属性标头,0),FALSE),0)</f>
        <v>#REF!</v>
      </c>
      <c r="AR50" s="372" t="e">
        <f t="shared" ca="1" si="36"/>
        <v>#REF!</v>
      </c>
      <c r="AS50" s="372" t="e">
        <f t="shared" ca="1" si="36"/>
        <v>#REF!</v>
      </c>
      <c r="AT50" s="372" t="e">
        <f ca="1">VLOOKUP($AK50&amp;$AO50,所有坦克升星属性,MATCH(AT$3,所有坦克升星属性标头,0),FALSE)+ROUND(AW50/VLOOKUP($AK50,坦克部件!#REF!,4,FALSE)*VLOOKUP($AK50&amp;0,所有坦克升星属性,MATCH(AT$3,所有坦克升星属性标头,0),FALSE),0)</f>
        <v>#REF!</v>
      </c>
      <c r="AU50" s="372" t="e">
        <f ca="1">(VLOOKUP($AM50,坦克部件!#REF!,MATCH("标准值",坦克部件!#REF!,0),FALSE)+VLOOKUP($AN50,坦克部件!#REF!,MATCH("标准值",坦克部件!#REF!,0),FALSE))*2</f>
        <v>#REF!</v>
      </c>
      <c r="AV50" s="372" t="e">
        <f ca="1">(VLOOKUP($AM50,坦克部件!#REF!,MATCH("标准值",坦克部件!#REF!,0),FALSE)+VLOOKUP($AN50,坦克部件!#REF!,MATCH("标准值",坦克部件!#REF!,0),FALSE))*2</f>
        <v>#REF!</v>
      </c>
      <c r="AW50" s="372" t="e">
        <f ca="1">(VLOOKUP($AM50,坦克部件!#REF!,MATCH("标准值",坦克部件!#REF!,0),FALSE)+VLOOKUP($AN50,坦克部件!#REF!,MATCH("标准值",坦克部件!#REF!,0),FALSE))*2</f>
        <v>#REF!</v>
      </c>
      <c r="AX50" s="372" t="e">
        <f ca="1">VLOOKUP($AK50,坦克属性统计!$B$3:$AY$33,MATCH(AX$3,坦克属性统计!$B$3:$AY$3,0),FALSE)</f>
        <v>#REF!</v>
      </c>
      <c r="AY50" s="372" t="e">
        <f t="shared" ca="1" si="37"/>
        <v>#REF!</v>
      </c>
      <c r="AZ50" s="372" t="e">
        <f t="shared" ca="1" si="37"/>
        <v>#REF!</v>
      </c>
      <c r="BA50" s="372" t="e">
        <f t="shared" ca="1" si="37"/>
        <v>#REF!</v>
      </c>
      <c r="BB50" s="356" t="e">
        <f t="shared" ca="1" si="13"/>
        <v>#REF!</v>
      </c>
      <c r="BC50" s="356" t="e">
        <f ca="1">VLOOKUP(AK50,坦克个性化设定!$B$18:$E$48,4,FALSE)</f>
        <v>#REF!</v>
      </c>
      <c r="BD50" s="357" t="e">
        <f t="shared" ca="1" si="22"/>
        <v>#REF!</v>
      </c>
      <c r="BF50" s="357" t="str">
        <f t="shared" ca="1" si="14"/>
        <v/>
      </c>
      <c r="BG50" s="372" t="str">
        <f ca="1">IFERROR(VLOOKUP(BF50,坦克个性化设定!$B$18:$F$48,5,FALSE),"")</f>
        <v/>
      </c>
      <c r="BH50" s="372" t="e">
        <f t="shared" ca="1" si="23"/>
        <v>#REF!</v>
      </c>
      <c r="BI50" s="372" t="e">
        <f t="shared" ca="1" si="24"/>
        <v>#REF!</v>
      </c>
      <c r="BJ50" s="364" t="str">
        <f t="shared" ca="1" si="15"/>
        <v>NULL</v>
      </c>
      <c r="BK50" s="372" t="e">
        <f ca="1">VLOOKUP($BF50&amp;IF($BJ50="NULL",0,$BJ50),所有坦克升星属性,MATCH(BK$3,所有坦克升星属性标头,0),FALSE)+ROUND(BP50/VLOOKUP($BF50,坦克部件!#REF!,4,FALSE)*VLOOKUP($BF50&amp;0,所有坦克升星属性,MATCH(BK$3,所有坦克升星属性标头,0),FALSE),0)</f>
        <v>#N/A</v>
      </c>
      <c r="BL50" s="372" t="e">
        <f ca="1">VLOOKUP($BF50&amp;IF($BJ50="NULL",0,$BJ50),所有坦克升星属性,MATCH(BL$3,所有坦克升星属性标头,0),FALSE)+ROUND(BQ50/VLOOKUP($BF50,坦克部件!#REF!,4,FALSE)*VLOOKUP($BF50&amp;0,所有坦克升星属性,MATCH(BL$3,所有坦克升星属性标头,0),FALSE),0)</f>
        <v>#N/A</v>
      </c>
      <c r="BM50" s="372" t="e">
        <f t="shared" ca="1" si="38"/>
        <v>#N/A</v>
      </c>
      <c r="BN50" s="372" t="e">
        <f t="shared" ca="1" si="38"/>
        <v>#N/A</v>
      </c>
      <c r="BO50" s="372" t="e">
        <f ca="1">VLOOKUP($BF50&amp;IF($BJ50="NULL",0,$BJ50),所有坦克升星属性,MATCH(BO$3,所有坦克升星属性标头,0),FALSE)+ROUND(BR50/VLOOKUP($BF50,坦克部件!#REF!,4,FALSE)*VLOOKUP($BF50&amp;0,所有坦克升星属性,MATCH(BO$3,所有坦克升星属性标头,0),FALSE),0)</f>
        <v>#N/A</v>
      </c>
      <c r="BP50" s="372" t="e">
        <f ca="1">(VLOOKUP($BH50,坦克部件!#REF!,MATCH("标准值",坦克部件!#REF!,0),FALSE)+VLOOKUP($BI50,坦克部件!#REF!,MATCH("标准值",坦克部件!#REF!,0),FALSE))*2</f>
        <v>#REF!</v>
      </c>
      <c r="BQ50" s="372" t="e">
        <f ca="1">(VLOOKUP($BH50,坦克部件!#REF!,MATCH("标准值",坦克部件!#REF!,0),FALSE)+VLOOKUP($BI50,坦克部件!#REF!,MATCH("标准值",坦克部件!#REF!,0),FALSE))*2</f>
        <v>#REF!</v>
      </c>
      <c r="BR50" s="372" t="e">
        <f ca="1">(VLOOKUP($BH50,坦克部件!#REF!,MATCH("标准值",坦克部件!#REF!,0),FALSE)+VLOOKUP($BI50,坦克部件!#REF!,MATCH("标准值",坦克部件!#REF!,0),FALSE))*2</f>
        <v>#REF!</v>
      </c>
      <c r="BS50" s="372" t="e">
        <f ca="1">VLOOKUP($BF50,坦克属性统计!$B$3:$AY$33,MATCH(BS$3,坦克属性统计!$B$3:$AY$3,0),FALSE)</f>
        <v>#N/A</v>
      </c>
      <c r="BT50" s="372" t="e">
        <f t="shared" ca="1" si="39"/>
        <v>#N/A</v>
      </c>
      <c r="BU50" s="372" t="e">
        <f t="shared" ca="1" si="39"/>
        <v>#N/A</v>
      </c>
      <c r="BV50" s="372" t="e">
        <f t="shared" ca="1" si="39"/>
        <v>#N/A</v>
      </c>
      <c r="BW50" s="356">
        <f t="shared" ca="1" si="18"/>
        <v>0</v>
      </c>
      <c r="BX50" s="356" t="e">
        <f ca="1">VLOOKUP(BF50,坦克个性化设定!$B$18:$E$48,4,FALSE)</f>
        <v>#N/A</v>
      </c>
      <c r="BY50" s="357" t="e">
        <f t="shared" ca="1" si="25"/>
        <v>#N/A</v>
      </c>
    </row>
    <row r="51" spans="2:77" x14ac:dyDescent="0.35">
      <c r="B51" s="352">
        <v>2</v>
      </c>
      <c r="C51" s="367">
        <f>游戏时长规划!C113</f>
        <v>20</v>
      </c>
      <c r="D51" s="367">
        <f>游戏时长规划!D113</f>
        <v>20</v>
      </c>
      <c r="E51" s="367">
        <f>游戏时长规划!E113</f>
        <v>1</v>
      </c>
      <c r="F51" s="367">
        <f>游戏时长规划!F113</f>
        <v>6550</v>
      </c>
      <c r="H51" s="363" t="s">
        <v>619</v>
      </c>
      <c r="I51" s="360" t="str">
        <f>坦克个性化设定!D23</f>
        <v>轻坦</v>
      </c>
      <c r="J51" s="360" t="str">
        <f>坦克个性化设定!E23</f>
        <v>T3</v>
      </c>
      <c r="K51" s="360" t="str">
        <f>坦克个性化细分!J8</f>
        <v>中</v>
      </c>
      <c r="L51" s="360" t="str">
        <f t="shared" si="40"/>
        <v>T3中</v>
      </c>
      <c r="M51" s="360" t="str">
        <f t="shared" si="41"/>
        <v>轻坦T3中</v>
      </c>
      <c r="N51" s="377"/>
      <c r="O51" s="365">
        <v>48</v>
      </c>
      <c r="P51" s="360" t="e">
        <f t="shared" ca="1" si="29"/>
        <v>#REF!</v>
      </c>
      <c r="Q51" s="360" t="e">
        <f ca="1">ROUND(MIN((BD51-VLOOKUP(R51,$B$22:$F$46,2,FALSE))/(VLOOKUP(R51,$B$22:$F$46,3,FALSE)-VLOOKUP(R51,$B$22:$F$46,2,FALSE)),1)*((VLOOKUP(R51,$B$22:$F$46,4,FALSE)*(AG51/(AG51+VLOOKUP(P51,$D$49:$F$123,3,TRUE)))+VLOOKUP(R51,$B$22:$F$46,5,FALSE)*(1-AG51/(AG51+VLOOKUP(P51,$D$49:$F$123,3,TRUE))))/2)*游戏时长规划!$C$4,0)</f>
        <v>#REF!</v>
      </c>
      <c r="R51" s="360" t="e">
        <f t="shared" ca="1" si="0"/>
        <v>#REF!</v>
      </c>
      <c r="S51" s="360" t="e">
        <f t="shared" ca="1" si="27"/>
        <v>#REF!</v>
      </c>
      <c r="T51" s="360" t="e">
        <f t="shared" ca="1" si="30"/>
        <v>#REF!</v>
      </c>
      <c r="U51" s="370" t="e">
        <f t="shared" ca="1" si="1"/>
        <v>#REF!</v>
      </c>
      <c r="V51" s="363" t="e">
        <f t="shared" ca="1" si="35"/>
        <v>#REF!</v>
      </c>
      <c r="W51" s="360" t="e">
        <f t="shared" ca="1" si="3"/>
        <v>#REF!</v>
      </c>
      <c r="X51" s="81" t="e">
        <f t="shared" ca="1" si="19"/>
        <v>#REF!</v>
      </c>
      <c r="Y51" s="360" t="str">
        <f t="shared" ca="1" si="4"/>
        <v>NULL</v>
      </c>
      <c r="Z51" s="375" t="e">
        <f t="shared" ca="1" si="20"/>
        <v>#REF!</v>
      </c>
      <c r="AA51" s="360">
        <f ca="1">IFERROR(VLOOKUP(IF(V51="T1低",游戏时长规划!$C$67+Z51,Z51),INDIRECT(V51&amp;"星级"),2,TRUE),0)</f>
        <v>0</v>
      </c>
      <c r="AB51" s="375" t="e">
        <f t="shared" ca="1" si="5"/>
        <v>#REF!</v>
      </c>
      <c r="AC51" s="375">
        <f ca="1">($D$14+$D$17)*$L$4/坦克部件养成!$C$2+AC50-IFERROR(IF(RIGHT(AD50,3)*1&gt;RIGHT(VLOOKUP(AC50,INDIRECT(LEFT(AD49,2)&amp;"部件升阶"),5,TRUE),3)*1,VLOOKUP(AD49,INDIRECT(LEFT(AD49,2)&amp;"部件升阶消耗"),2,FALSE),0),0)</f>
        <v>567.99999999999989</v>
      </c>
      <c r="AD51" s="360" t="e">
        <f t="shared" ca="1" si="6"/>
        <v>#REF!</v>
      </c>
      <c r="AE51" s="375" t="e">
        <f ca="1">$D$15*$L$4/坦克部件养成!$C$2+AE50-IF(LEFT(AD51,2)&lt;&gt;LEFT(AD50,2),VLOOKUP(AF50,INDIRECT(LEFT(AD50,2)&amp;"部件升级消耗"),5,FALSE),0)</f>
        <v>#REF!</v>
      </c>
      <c r="AF51" s="360" t="e">
        <f ca="1">MIN(VLOOKUP(AE51,INDIRECT(LEFT(AD51,2)&amp;"部件升级"),2,TRUE),VLOOKUP(LEFT(AD51,2),坦克部件养成!#REF!,6,FALSE))</f>
        <v>#REF!</v>
      </c>
      <c r="AG51" s="378" t="e">
        <f ca="1">MAX(BD$4:BD51)</f>
        <v>#REF!</v>
      </c>
      <c r="AH51" s="378" t="str">
        <f t="shared" ca="1" si="7"/>
        <v/>
      </c>
      <c r="AI51" s="378">
        <f ca="1">IF(Y51="NULL",0,MAX(BY$4:BY51))</f>
        <v>0</v>
      </c>
      <c r="AK51" s="364" t="e">
        <f t="shared" ca="1" si="8"/>
        <v>#REF!</v>
      </c>
      <c r="AL51" s="364" t="e">
        <f ca="1">VLOOKUP(AK51,坦克个性化设定!$B$18:$F$48,5,FALSE)</f>
        <v>#REF!</v>
      </c>
      <c r="AM51" s="372" t="e">
        <f t="shared" ca="1" si="9"/>
        <v>#REF!</v>
      </c>
      <c r="AN51" s="372" t="e">
        <f t="shared" ca="1" si="21"/>
        <v>#REF!</v>
      </c>
      <c r="AO51" s="364">
        <f t="shared" ca="1" si="10"/>
        <v>0</v>
      </c>
      <c r="AP51" s="372" t="e">
        <f ca="1">VLOOKUP($AK51&amp;$AO51,所有坦克升星属性,MATCH(AP$3,所有坦克升星属性标头,0),FALSE)+ROUND(AU51/VLOOKUP($AK51,坦克部件!#REF!,4,FALSE)*VLOOKUP($AK51&amp;0,所有坦克升星属性,MATCH(AP$3,所有坦克升星属性标头,0),FALSE),0)</f>
        <v>#REF!</v>
      </c>
      <c r="AQ51" s="372" t="e">
        <f ca="1">VLOOKUP($AK51&amp;$AO51,所有坦克升星属性,MATCH(AQ$3,所有坦克升星属性标头,0),FALSE)+ROUND(AV51/VLOOKUP($AK51,坦克部件!#REF!,4,FALSE)*VLOOKUP($AK51&amp;0,所有坦克升星属性,MATCH(AQ$3,所有坦克升星属性标头,0),FALSE),0)</f>
        <v>#REF!</v>
      </c>
      <c r="AR51" s="372" t="e">
        <f t="shared" ca="1" si="36"/>
        <v>#REF!</v>
      </c>
      <c r="AS51" s="372" t="e">
        <f t="shared" ca="1" si="36"/>
        <v>#REF!</v>
      </c>
      <c r="AT51" s="372" t="e">
        <f ca="1">VLOOKUP($AK51&amp;$AO51,所有坦克升星属性,MATCH(AT$3,所有坦克升星属性标头,0),FALSE)+ROUND(AW51/VLOOKUP($AK51,坦克部件!#REF!,4,FALSE)*VLOOKUP($AK51&amp;0,所有坦克升星属性,MATCH(AT$3,所有坦克升星属性标头,0),FALSE),0)</f>
        <v>#REF!</v>
      </c>
      <c r="AU51" s="372" t="e">
        <f ca="1">(VLOOKUP($AM51,坦克部件!#REF!,MATCH("标准值",坦克部件!#REF!,0),FALSE)+VLOOKUP($AN51,坦克部件!#REF!,MATCH("标准值",坦克部件!#REF!,0),FALSE))*2</f>
        <v>#REF!</v>
      </c>
      <c r="AV51" s="372" t="e">
        <f ca="1">(VLOOKUP($AM51,坦克部件!#REF!,MATCH("标准值",坦克部件!#REF!,0),FALSE)+VLOOKUP($AN51,坦克部件!#REF!,MATCH("标准值",坦克部件!#REF!,0),FALSE))*2</f>
        <v>#REF!</v>
      </c>
      <c r="AW51" s="372" t="e">
        <f ca="1">(VLOOKUP($AM51,坦克部件!#REF!,MATCH("标准值",坦克部件!#REF!,0),FALSE)+VLOOKUP($AN51,坦克部件!#REF!,MATCH("标准值",坦克部件!#REF!,0),FALSE))*2</f>
        <v>#REF!</v>
      </c>
      <c r="AX51" s="372" t="e">
        <f ca="1">VLOOKUP($AK51,坦克属性统计!$B$3:$AY$33,MATCH(AX$3,坦克属性统计!$B$3:$AY$3,0),FALSE)</f>
        <v>#REF!</v>
      </c>
      <c r="AY51" s="372" t="e">
        <f t="shared" ca="1" si="37"/>
        <v>#REF!</v>
      </c>
      <c r="AZ51" s="372" t="e">
        <f t="shared" ca="1" si="37"/>
        <v>#REF!</v>
      </c>
      <c r="BA51" s="372" t="e">
        <f t="shared" ca="1" si="37"/>
        <v>#REF!</v>
      </c>
      <c r="BB51" s="356" t="e">
        <f t="shared" ca="1" si="13"/>
        <v>#REF!</v>
      </c>
      <c r="BC51" s="356" t="e">
        <f ca="1">VLOOKUP(AK51,坦克个性化设定!$B$18:$E$48,4,FALSE)</f>
        <v>#REF!</v>
      </c>
      <c r="BD51" s="357" t="e">
        <f t="shared" ca="1" si="22"/>
        <v>#REF!</v>
      </c>
      <c r="BF51" s="357" t="str">
        <f t="shared" ca="1" si="14"/>
        <v/>
      </c>
      <c r="BG51" s="372" t="str">
        <f ca="1">IFERROR(VLOOKUP(BF51,坦克个性化设定!$B$18:$F$48,5,FALSE),"")</f>
        <v/>
      </c>
      <c r="BH51" s="372" t="e">
        <f t="shared" ca="1" si="23"/>
        <v>#REF!</v>
      </c>
      <c r="BI51" s="372" t="e">
        <f t="shared" ca="1" si="24"/>
        <v>#REF!</v>
      </c>
      <c r="BJ51" s="364" t="str">
        <f t="shared" ca="1" si="15"/>
        <v>NULL</v>
      </c>
      <c r="BK51" s="372" t="e">
        <f ca="1">VLOOKUP($BF51&amp;IF($BJ51="NULL",0,$BJ51),所有坦克升星属性,MATCH(BK$3,所有坦克升星属性标头,0),FALSE)+ROUND(BP51/VLOOKUP($BF51,坦克部件!#REF!,4,FALSE)*VLOOKUP($BF51&amp;0,所有坦克升星属性,MATCH(BK$3,所有坦克升星属性标头,0),FALSE),0)</f>
        <v>#N/A</v>
      </c>
      <c r="BL51" s="372" t="e">
        <f ca="1">VLOOKUP($BF51&amp;IF($BJ51="NULL",0,$BJ51),所有坦克升星属性,MATCH(BL$3,所有坦克升星属性标头,0),FALSE)+ROUND(BQ51/VLOOKUP($BF51,坦克部件!#REF!,4,FALSE)*VLOOKUP($BF51&amp;0,所有坦克升星属性,MATCH(BL$3,所有坦克升星属性标头,0),FALSE),0)</f>
        <v>#N/A</v>
      </c>
      <c r="BM51" s="372" t="e">
        <f t="shared" ca="1" si="38"/>
        <v>#N/A</v>
      </c>
      <c r="BN51" s="372" t="e">
        <f t="shared" ca="1" si="38"/>
        <v>#N/A</v>
      </c>
      <c r="BO51" s="372" t="e">
        <f ca="1">VLOOKUP($BF51&amp;IF($BJ51="NULL",0,$BJ51),所有坦克升星属性,MATCH(BO$3,所有坦克升星属性标头,0),FALSE)+ROUND(BR51/VLOOKUP($BF51,坦克部件!#REF!,4,FALSE)*VLOOKUP($BF51&amp;0,所有坦克升星属性,MATCH(BO$3,所有坦克升星属性标头,0),FALSE),0)</f>
        <v>#N/A</v>
      </c>
      <c r="BP51" s="372" t="e">
        <f ca="1">(VLOOKUP($BH51,坦克部件!#REF!,MATCH("标准值",坦克部件!#REF!,0),FALSE)+VLOOKUP($BI51,坦克部件!#REF!,MATCH("标准值",坦克部件!#REF!,0),FALSE))*2</f>
        <v>#REF!</v>
      </c>
      <c r="BQ51" s="372" t="e">
        <f ca="1">(VLOOKUP($BH51,坦克部件!#REF!,MATCH("标准值",坦克部件!#REF!,0),FALSE)+VLOOKUP($BI51,坦克部件!#REF!,MATCH("标准值",坦克部件!#REF!,0),FALSE))*2</f>
        <v>#REF!</v>
      </c>
      <c r="BR51" s="372" t="e">
        <f ca="1">(VLOOKUP($BH51,坦克部件!#REF!,MATCH("标准值",坦克部件!#REF!,0),FALSE)+VLOOKUP($BI51,坦克部件!#REF!,MATCH("标准值",坦克部件!#REF!,0),FALSE))*2</f>
        <v>#REF!</v>
      </c>
      <c r="BS51" s="372" t="e">
        <f ca="1">VLOOKUP($BF51,坦克属性统计!$B$3:$AY$33,MATCH(BS$3,坦克属性统计!$B$3:$AY$3,0),FALSE)</f>
        <v>#N/A</v>
      </c>
      <c r="BT51" s="372" t="e">
        <f t="shared" ca="1" si="39"/>
        <v>#N/A</v>
      </c>
      <c r="BU51" s="372" t="e">
        <f t="shared" ca="1" si="39"/>
        <v>#N/A</v>
      </c>
      <c r="BV51" s="372" t="e">
        <f t="shared" ca="1" si="39"/>
        <v>#N/A</v>
      </c>
      <c r="BW51" s="356">
        <f t="shared" ca="1" si="18"/>
        <v>0</v>
      </c>
      <c r="BX51" s="356" t="e">
        <f ca="1">VLOOKUP(BF51,坦克个性化设定!$B$18:$E$48,4,FALSE)</f>
        <v>#N/A</v>
      </c>
      <c r="BY51" s="357" t="e">
        <f t="shared" ca="1" si="25"/>
        <v>#N/A</v>
      </c>
    </row>
    <row r="52" spans="2:77" x14ac:dyDescent="0.35">
      <c r="B52" s="352">
        <v>3</v>
      </c>
      <c r="C52" s="367">
        <f>游戏时长规划!C114</f>
        <v>20</v>
      </c>
      <c r="D52" s="367">
        <f>游戏时长规划!D114</f>
        <v>40</v>
      </c>
      <c r="E52" s="367">
        <f>游戏时长规划!E114</f>
        <v>1</v>
      </c>
      <c r="F52" s="367">
        <f>游戏时长规划!F114</f>
        <v>7250</v>
      </c>
      <c r="H52" s="363" t="s">
        <v>640</v>
      </c>
      <c r="I52" s="360" t="str">
        <f>坦克个性化设定!D24</f>
        <v>轻坦</v>
      </c>
      <c r="J52" s="360" t="str">
        <f>坦克个性化设定!E24</f>
        <v>T3</v>
      </c>
      <c r="K52" s="360" t="str">
        <f>坦克个性化细分!J9</f>
        <v>高</v>
      </c>
      <c r="L52" s="360" t="str">
        <f t="shared" si="40"/>
        <v>T3高</v>
      </c>
      <c r="M52" s="360" t="str">
        <f t="shared" si="41"/>
        <v>轻坦T3高</v>
      </c>
      <c r="N52" s="377"/>
      <c r="O52" s="365">
        <v>49</v>
      </c>
      <c r="P52" s="360" t="e">
        <f t="shared" ca="1" si="29"/>
        <v>#REF!</v>
      </c>
      <c r="Q52" s="360" t="e">
        <f ca="1">ROUND(MIN((BD52-VLOOKUP(R52,$B$22:$F$46,2,FALSE))/(VLOOKUP(R52,$B$22:$F$46,3,FALSE)-VLOOKUP(R52,$B$22:$F$46,2,FALSE)),1)*((VLOOKUP(R52,$B$22:$F$46,4,FALSE)*(AG52/(AG52+VLOOKUP(P52,$D$49:$F$123,3,TRUE)))+VLOOKUP(R52,$B$22:$F$46,5,FALSE)*(1-AG52/(AG52+VLOOKUP(P52,$D$49:$F$123,3,TRUE))))/2)*游戏时长规划!$C$4,0)</f>
        <v>#REF!</v>
      </c>
      <c r="R52" s="360" t="e">
        <f t="shared" ca="1" si="0"/>
        <v>#REF!</v>
      </c>
      <c r="S52" s="360" t="e">
        <f t="shared" ca="1" si="27"/>
        <v>#REF!</v>
      </c>
      <c r="T52" s="360" t="e">
        <f t="shared" ca="1" si="30"/>
        <v>#REF!</v>
      </c>
      <c r="U52" s="370" t="e">
        <f t="shared" ca="1" si="1"/>
        <v>#REF!</v>
      </c>
      <c r="V52" s="363" t="e">
        <f t="shared" ca="1" si="35"/>
        <v>#REF!</v>
      </c>
      <c r="W52" s="360" t="e">
        <f t="shared" ca="1" si="3"/>
        <v>#REF!</v>
      </c>
      <c r="X52" s="81" t="e">
        <f t="shared" ca="1" si="19"/>
        <v>#REF!</v>
      </c>
      <c r="Y52" s="360" t="str">
        <f t="shared" ca="1" si="4"/>
        <v>NULL</v>
      </c>
      <c r="Z52" s="375" t="e">
        <f t="shared" ca="1" si="20"/>
        <v>#REF!</v>
      </c>
      <c r="AA52" s="360">
        <f ca="1">IFERROR(VLOOKUP(IF(V52="T1低",游戏时长规划!$C$67+Z52,Z52),INDIRECT(V52&amp;"星级"),2,TRUE),0)</f>
        <v>0</v>
      </c>
      <c r="AB52" s="375" t="e">
        <f t="shared" ca="1" si="5"/>
        <v>#REF!</v>
      </c>
      <c r="AC52" s="375">
        <f ca="1">($D$14+$D$17)*$L$4/坦克部件养成!$C$2+AC51-IFERROR(IF(RIGHT(AD51,3)*1&gt;RIGHT(VLOOKUP(AC51,INDIRECT(LEFT(AD50,2)&amp;"部件升阶"),5,TRUE),3)*1,VLOOKUP(AD50,INDIRECT(LEFT(AD50,2)&amp;"部件升阶消耗"),2,FALSE),0),0)</f>
        <v>579.83333333333326</v>
      </c>
      <c r="AD52" s="360" t="e">
        <f t="shared" ca="1" si="6"/>
        <v>#REF!</v>
      </c>
      <c r="AE52" s="375" t="e">
        <f ca="1">$D$15*$L$4/坦克部件养成!$C$2+AE51-IF(LEFT(AD52,2)&lt;&gt;LEFT(AD51,2),VLOOKUP(AF51,INDIRECT(LEFT(AD51,2)&amp;"部件升级消耗"),5,FALSE),0)</f>
        <v>#REF!</v>
      </c>
      <c r="AF52" s="360" t="e">
        <f ca="1">MIN(VLOOKUP(AE52,INDIRECT(LEFT(AD52,2)&amp;"部件升级"),2,TRUE),VLOOKUP(LEFT(AD52,2),坦克部件养成!#REF!,6,FALSE))</f>
        <v>#REF!</v>
      </c>
      <c r="AG52" s="378" t="e">
        <f ca="1">MAX(BD$4:BD52)</f>
        <v>#REF!</v>
      </c>
      <c r="AH52" s="378" t="str">
        <f t="shared" ca="1" si="7"/>
        <v/>
      </c>
      <c r="AI52" s="378">
        <f ca="1">IF(Y52="NULL",0,MAX(BY$4:BY52))</f>
        <v>0</v>
      </c>
      <c r="AK52" s="364" t="e">
        <f t="shared" ca="1" si="8"/>
        <v>#REF!</v>
      </c>
      <c r="AL52" s="364" t="e">
        <f ca="1">VLOOKUP(AK52,坦克个性化设定!$B$18:$F$48,5,FALSE)</f>
        <v>#REF!</v>
      </c>
      <c r="AM52" s="372" t="e">
        <f t="shared" ca="1" si="9"/>
        <v>#REF!</v>
      </c>
      <c r="AN52" s="372" t="e">
        <f t="shared" ca="1" si="21"/>
        <v>#REF!</v>
      </c>
      <c r="AO52" s="364">
        <f t="shared" ca="1" si="10"/>
        <v>0</v>
      </c>
      <c r="AP52" s="372" t="e">
        <f ca="1">VLOOKUP($AK52&amp;$AO52,所有坦克升星属性,MATCH(AP$3,所有坦克升星属性标头,0),FALSE)+ROUND(AU52/VLOOKUP($AK52,坦克部件!#REF!,4,FALSE)*VLOOKUP($AK52&amp;0,所有坦克升星属性,MATCH(AP$3,所有坦克升星属性标头,0),FALSE),0)</f>
        <v>#REF!</v>
      </c>
      <c r="AQ52" s="372" t="e">
        <f ca="1">VLOOKUP($AK52&amp;$AO52,所有坦克升星属性,MATCH(AQ$3,所有坦克升星属性标头,0),FALSE)+ROUND(AV52/VLOOKUP($AK52,坦克部件!#REF!,4,FALSE)*VLOOKUP($AK52&amp;0,所有坦克升星属性,MATCH(AQ$3,所有坦克升星属性标头,0),FALSE),0)</f>
        <v>#REF!</v>
      </c>
      <c r="AR52" s="372" t="e">
        <f t="shared" ca="1" si="36"/>
        <v>#REF!</v>
      </c>
      <c r="AS52" s="372" t="e">
        <f t="shared" ca="1" si="36"/>
        <v>#REF!</v>
      </c>
      <c r="AT52" s="372" t="e">
        <f ca="1">VLOOKUP($AK52&amp;$AO52,所有坦克升星属性,MATCH(AT$3,所有坦克升星属性标头,0),FALSE)+ROUND(AW52/VLOOKUP($AK52,坦克部件!#REF!,4,FALSE)*VLOOKUP($AK52&amp;0,所有坦克升星属性,MATCH(AT$3,所有坦克升星属性标头,0),FALSE),0)</f>
        <v>#REF!</v>
      </c>
      <c r="AU52" s="372" t="e">
        <f ca="1">(VLOOKUP($AM52,坦克部件!#REF!,MATCH("标准值",坦克部件!#REF!,0),FALSE)+VLOOKUP($AN52,坦克部件!#REF!,MATCH("标准值",坦克部件!#REF!,0),FALSE))*2</f>
        <v>#REF!</v>
      </c>
      <c r="AV52" s="372" t="e">
        <f ca="1">(VLOOKUP($AM52,坦克部件!#REF!,MATCH("标准值",坦克部件!#REF!,0),FALSE)+VLOOKUP($AN52,坦克部件!#REF!,MATCH("标准值",坦克部件!#REF!,0),FALSE))*2</f>
        <v>#REF!</v>
      </c>
      <c r="AW52" s="372" t="e">
        <f ca="1">(VLOOKUP($AM52,坦克部件!#REF!,MATCH("标准值",坦克部件!#REF!,0),FALSE)+VLOOKUP($AN52,坦克部件!#REF!,MATCH("标准值",坦克部件!#REF!,0),FALSE))*2</f>
        <v>#REF!</v>
      </c>
      <c r="AX52" s="372" t="e">
        <f ca="1">VLOOKUP($AK52,坦克属性统计!$B$3:$AY$33,MATCH(AX$3,坦克属性统计!$B$3:$AY$3,0),FALSE)</f>
        <v>#REF!</v>
      </c>
      <c r="AY52" s="372" t="e">
        <f t="shared" ca="1" si="37"/>
        <v>#REF!</v>
      </c>
      <c r="AZ52" s="372" t="e">
        <f t="shared" ca="1" si="37"/>
        <v>#REF!</v>
      </c>
      <c r="BA52" s="372" t="e">
        <f t="shared" ca="1" si="37"/>
        <v>#REF!</v>
      </c>
      <c r="BB52" s="356" t="e">
        <f t="shared" ca="1" si="13"/>
        <v>#REF!</v>
      </c>
      <c r="BC52" s="356" t="e">
        <f ca="1">VLOOKUP(AK52,坦克个性化设定!$B$18:$E$48,4,FALSE)</f>
        <v>#REF!</v>
      </c>
      <c r="BD52" s="357" t="e">
        <f t="shared" ca="1" si="22"/>
        <v>#REF!</v>
      </c>
      <c r="BF52" s="357" t="str">
        <f t="shared" ca="1" si="14"/>
        <v/>
      </c>
      <c r="BG52" s="372" t="str">
        <f ca="1">IFERROR(VLOOKUP(BF52,坦克个性化设定!$B$18:$F$48,5,FALSE),"")</f>
        <v/>
      </c>
      <c r="BH52" s="372" t="e">
        <f t="shared" ca="1" si="23"/>
        <v>#REF!</v>
      </c>
      <c r="BI52" s="372" t="e">
        <f t="shared" ca="1" si="24"/>
        <v>#REF!</v>
      </c>
      <c r="BJ52" s="364" t="str">
        <f t="shared" ca="1" si="15"/>
        <v>NULL</v>
      </c>
      <c r="BK52" s="372" t="e">
        <f ca="1">VLOOKUP($BF52&amp;IF($BJ52="NULL",0,$BJ52),所有坦克升星属性,MATCH(BK$3,所有坦克升星属性标头,0),FALSE)+ROUND(BP52/VLOOKUP($BF52,坦克部件!#REF!,4,FALSE)*VLOOKUP($BF52&amp;0,所有坦克升星属性,MATCH(BK$3,所有坦克升星属性标头,0),FALSE),0)</f>
        <v>#N/A</v>
      </c>
      <c r="BL52" s="372" t="e">
        <f ca="1">VLOOKUP($BF52&amp;IF($BJ52="NULL",0,$BJ52),所有坦克升星属性,MATCH(BL$3,所有坦克升星属性标头,0),FALSE)+ROUND(BQ52/VLOOKUP($BF52,坦克部件!#REF!,4,FALSE)*VLOOKUP($BF52&amp;0,所有坦克升星属性,MATCH(BL$3,所有坦克升星属性标头,0),FALSE),0)</f>
        <v>#N/A</v>
      </c>
      <c r="BM52" s="372" t="e">
        <f t="shared" ca="1" si="38"/>
        <v>#N/A</v>
      </c>
      <c r="BN52" s="372" t="e">
        <f t="shared" ca="1" si="38"/>
        <v>#N/A</v>
      </c>
      <c r="BO52" s="372" t="e">
        <f ca="1">VLOOKUP($BF52&amp;IF($BJ52="NULL",0,$BJ52),所有坦克升星属性,MATCH(BO$3,所有坦克升星属性标头,0),FALSE)+ROUND(BR52/VLOOKUP($BF52,坦克部件!#REF!,4,FALSE)*VLOOKUP($BF52&amp;0,所有坦克升星属性,MATCH(BO$3,所有坦克升星属性标头,0),FALSE),0)</f>
        <v>#N/A</v>
      </c>
      <c r="BP52" s="372" t="e">
        <f ca="1">(VLOOKUP($BH52,坦克部件!#REF!,MATCH("标准值",坦克部件!#REF!,0),FALSE)+VLOOKUP($BI52,坦克部件!#REF!,MATCH("标准值",坦克部件!#REF!,0),FALSE))*2</f>
        <v>#REF!</v>
      </c>
      <c r="BQ52" s="372" t="e">
        <f ca="1">(VLOOKUP($BH52,坦克部件!#REF!,MATCH("标准值",坦克部件!#REF!,0),FALSE)+VLOOKUP($BI52,坦克部件!#REF!,MATCH("标准值",坦克部件!#REF!,0),FALSE))*2</f>
        <v>#REF!</v>
      </c>
      <c r="BR52" s="372" t="e">
        <f ca="1">(VLOOKUP($BH52,坦克部件!#REF!,MATCH("标准值",坦克部件!#REF!,0),FALSE)+VLOOKUP($BI52,坦克部件!#REF!,MATCH("标准值",坦克部件!#REF!,0),FALSE))*2</f>
        <v>#REF!</v>
      </c>
      <c r="BS52" s="372" t="e">
        <f ca="1">VLOOKUP($BF52,坦克属性统计!$B$3:$AY$33,MATCH(BS$3,坦克属性统计!$B$3:$AY$3,0),FALSE)</f>
        <v>#N/A</v>
      </c>
      <c r="BT52" s="372" t="e">
        <f t="shared" ca="1" si="39"/>
        <v>#N/A</v>
      </c>
      <c r="BU52" s="372" t="e">
        <f t="shared" ca="1" si="39"/>
        <v>#N/A</v>
      </c>
      <c r="BV52" s="372" t="e">
        <f t="shared" ca="1" si="39"/>
        <v>#N/A</v>
      </c>
      <c r="BW52" s="356">
        <f t="shared" ca="1" si="18"/>
        <v>0</v>
      </c>
      <c r="BX52" s="356" t="e">
        <f ca="1">VLOOKUP(BF52,坦克个性化设定!$B$18:$E$48,4,FALSE)</f>
        <v>#N/A</v>
      </c>
      <c r="BY52" s="357" t="e">
        <f t="shared" ca="1" si="25"/>
        <v>#N/A</v>
      </c>
    </row>
    <row r="53" spans="2:77" x14ac:dyDescent="0.35">
      <c r="B53" s="352">
        <v>4</v>
      </c>
      <c r="C53" s="367">
        <f>游戏时长规划!C115</f>
        <v>20</v>
      </c>
      <c r="D53" s="367">
        <f>游戏时长规划!D115</f>
        <v>60</v>
      </c>
      <c r="E53" s="367">
        <f>游戏时长规划!E115</f>
        <v>2</v>
      </c>
      <c r="F53" s="367">
        <f>游戏时长规划!F115</f>
        <v>6400</v>
      </c>
      <c r="H53" s="363" t="s">
        <v>620</v>
      </c>
      <c r="I53" s="360" t="str">
        <f>坦克个性化设定!D25</f>
        <v>轻坦</v>
      </c>
      <c r="J53" s="360" t="str">
        <f>坦克个性化设定!E25</f>
        <v>T4</v>
      </c>
      <c r="K53" s="360" t="str">
        <f>坦克个性化细分!J10</f>
        <v>低</v>
      </c>
      <c r="L53" s="360" t="str">
        <f t="shared" si="40"/>
        <v>T4低</v>
      </c>
      <c r="M53" s="360" t="str">
        <f t="shared" si="41"/>
        <v>轻坦T4低</v>
      </c>
      <c r="N53" s="377">
        <v>50</v>
      </c>
      <c r="O53" s="365">
        <v>50</v>
      </c>
      <c r="P53" s="360" t="e">
        <f t="shared" ca="1" si="29"/>
        <v>#REF!</v>
      </c>
      <c r="Q53" s="360" t="e">
        <f ca="1">ROUND(MIN((BD53-VLOOKUP(R53,$B$22:$F$46,2,FALSE))/(VLOOKUP(R53,$B$22:$F$46,3,FALSE)-VLOOKUP(R53,$B$22:$F$46,2,FALSE)),1)*((VLOOKUP(R53,$B$22:$F$46,4,FALSE)*(AG53/(AG53+VLOOKUP(P53,$D$49:$F$123,3,TRUE)))+VLOOKUP(R53,$B$22:$F$46,5,FALSE)*(1-AG53/(AG53+VLOOKUP(P53,$D$49:$F$123,3,TRUE))))/2)*游戏时长规划!$C$4,0)</f>
        <v>#REF!</v>
      </c>
      <c r="R53" s="360" t="e">
        <f t="shared" ca="1" si="0"/>
        <v>#REF!</v>
      </c>
      <c r="S53" s="360" t="e">
        <f t="shared" ca="1" si="27"/>
        <v>#REF!</v>
      </c>
      <c r="T53" s="360" t="e">
        <f t="shared" ca="1" si="30"/>
        <v>#REF!</v>
      </c>
      <c r="U53" s="370" t="e">
        <f t="shared" ca="1" si="1"/>
        <v>#REF!</v>
      </c>
      <c r="V53" s="363" t="e">
        <f t="shared" ca="1" si="35"/>
        <v>#REF!</v>
      </c>
      <c r="W53" s="360" t="e">
        <f t="shared" ca="1" si="3"/>
        <v>#REF!</v>
      </c>
      <c r="X53" s="81" t="e">
        <f t="shared" ca="1" si="19"/>
        <v>#REF!</v>
      </c>
      <c r="Y53" s="360" t="str">
        <f t="shared" ca="1" si="4"/>
        <v>NULL</v>
      </c>
      <c r="Z53" s="375" t="e">
        <f t="shared" ca="1" si="20"/>
        <v>#REF!</v>
      </c>
      <c r="AA53" s="360">
        <f ca="1">IFERROR(VLOOKUP(IF(V53="T1低",游戏时长规划!$C$67+Z53,Z53),INDIRECT(V53&amp;"星级"),2,TRUE),0)</f>
        <v>0</v>
      </c>
      <c r="AB53" s="375" t="e">
        <f t="shared" ca="1" si="5"/>
        <v>#REF!</v>
      </c>
      <c r="AC53" s="375">
        <f ca="1">($D$14+$D$17)*$L$4/坦克部件养成!$C$2+AC52-IFERROR(IF(RIGHT(AD52,3)*1&gt;RIGHT(VLOOKUP(AC52,INDIRECT(LEFT(AD51,2)&amp;"部件升阶"),5,TRUE),3)*1,VLOOKUP(AD51,INDIRECT(LEFT(AD51,2)&amp;"部件升阶消耗"),2,FALSE),0),0)</f>
        <v>591.66666666666663</v>
      </c>
      <c r="AD53" s="360" t="e">
        <f t="shared" ca="1" si="6"/>
        <v>#REF!</v>
      </c>
      <c r="AE53" s="375" t="e">
        <f ca="1">$D$15*$L$4/坦克部件养成!$C$2+AE52-IF(LEFT(AD53,2)&lt;&gt;LEFT(AD52,2),VLOOKUP(AF52,INDIRECT(LEFT(AD52,2)&amp;"部件升级消耗"),5,FALSE),0)</f>
        <v>#REF!</v>
      </c>
      <c r="AF53" s="360" t="e">
        <f ca="1">MIN(VLOOKUP(AE53,INDIRECT(LEFT(AD53,2)&amp;"部件升级"),2,TRUE),VLOOKUP(LEFT(AD53,2),坦克部件养成!#REF!,6,FALSE))</f>
        <v>#REF!</v>
      </c>
      <c r="AG53" s="378" t="e">
        <f ca="1">MAX(BD$4:BD53)</f>
        <v>#REF!</v>
      </c>
      <c r="AH53" s="378" t="str">
        <f t="shared" ca="1" si="7"/>
        <v/>
      </c>
      <c r="AI53" s="378">
        <f ca="1">IF(Y53="NULL",0,MAX(BY$4:BY53))</f>
        <v>0</v>
      </c>
      <c r="AK53" s="364" t="e">
        <f t="shared" ca="1" si="8"/>
        <v>#REF!</v>
      </c>
      <c r="AL53" s="364" t="e">
        <f ca="1">VLOOKUP(AK53,坦克个性化设定!$B$18:$F$48,5,FALSE)</f>
        <v>#REF!</v>
      </c>
      <c r="AM53" s="372" t="e">
        <f t="shared" ca="1" si="9"/>
        <v>#REF!</v>
      </c>
      <c r="AN53" s="372" t="e">
        <f t="shared" ca="1" si="21"/>
        <v>#REF!</v>
      </c>
      <c r="AO53" s="364">
        <f t="shared" ca="1" si="10"/>
        <v>0</v>
      </c>
      <c r="AP53" s="372" t="e">
        <f ca="1">VLOOKUP($AK53&amp;$AO53,所有坦克升星属性,MATCH(AP$3,所有坦克升星属性标头,0),FALSE)+ROUND(AU53/VLOOKUP($AK53,坦克部件!#REF!,4,FALSE)*VLOOKUP($AK53&amp;0,所有坦克升星属性,MATCH(AP$3,所有坦克升星属性标头,0),FALSE),0)</f>
        <v>#REF!</v>
      </c>
      <c r="AQ53" s="372" t="e">
        <f ca="1">VLOOKUP($AK53&amp;$AO53,所有坦克升星属性,MATCH(AQ$3,所有坦克升星属性标头,0),FALSE)+ROUND(AV53/VLOOKUP($AK53,坦克部件!#REF!,4,FALSE)*VLOOKUP($AK53&amp;0,所有坦克升星属性,MATCH(AQ$3,所有坦克升星属性标头,0),FALSE),0)</f>
        <v>#REF!</v>
      </c>
      <c r="AR53" s="372" t="e">
        <f t="shared" ca="1" si="36"/>
        <v>#REF!</v>
      </c>
      <c r="AS53" s="372" t="e">
        <f t="shared" ca="1" si="36"/>
        <v>#REF!</v>
      </c>
      <c r="AT53" s="372" t="e">
        <f ca="1">VLOOKUP($AK53&amp;$AO53,所有坦克升星属性,MATCH(AT$3,所有坦克升星属性标头,0),FALSE)+ROUND(AW53/VLOOKUP($AK53,坦克部件!#REF!,4,FALSE)*VLOOKUP($AK53&amp;0,所有坦克升星属性,MATCH(AT$3,所有坦克升星属性标头,0),FALSE),0)</f>
        <v>#REF!</v>
      </c>
      <c r="AU53" s="372" t="e">
        <f ca="1">(VLOOKUP($AM53,坦克部件!#REF!,MATCH("标准值",坦克部件!#REF!,0),FALSE)+VLOOKUP($AN53,坦克部件!#REF!,MATCH("标准值",坦克部件!#REF!,0),FALSE))*2</f>
        <v>#REF!</v>
      </c>
      <c r="AV53" s="372" t="e">
        <f ca="1">(VLOOKUP($AM53,坦克部件!#REF!,MATCH("标准值",坦克部件!#REF!,0),FALSE)+VLOOKUP($AN53,坦克部件!#REF!,MATCH("标准值",坦克部件!#REF!,0),FALSE))*2</f>
        <v>#REF!</v>
      </c>
      <c r="AW53" s="372" t="e">
        <f ca="1">(VLOOKUP($AM53,坦克部件!#REF!,MATCH("标准值",坦克部件!#REF!,0),FALSE)+VLOOKUP($AN53,坦克部件!#REF!,MATCH("标准值",坦克部件!#REF!,0),FALSE))*2</f>
        <v>#REF!</v>
      </c>
      <c r="AX53" s="372" t="e">
        <f ca="1">VLOOKUP($AK53,坦克属性统计!$B$3:$AY$33,MATCH(AX$3,坦克属性统计!$B$3:$AY$3,0),FALSE)</f>
        <v>#REF!</v>
      </c>
      <c r="AY53" s="372" t="e">
        <f t="shared" ca="1" si="37"/>
        <v>#REF!</v>
      </c>
      <c r="AZ53" s="372" t="e">
        <f t="shared" ca="1" si="37"/>
        <v>#REF!</v>
      </c>
      <c r="BA53" s="372" t="e">
        <f t="shared" ca="1" si="37"/>
        <v>#REF!</v>
      </c>
      <c r="BB53" s="356" t="e">
        <f t="shared" ca="1" si="13"/>
        <v>#REF!</v>
      </c>
      <c r="BC53" s="356" t="e">
        <f ca="1">VLOOKUP(AK53,坦克个性化设定!$B$18:$E$48,4,FALSE)</f>
        <v>#REF!</v>
      </c>
      <c r="BD53" s="357" t="e">
        <f t="shared" ca="1" si="22"/>
        <v>#REF!</v>
      </c>
      <c r="BF53" s="357" t="str">
        <f t="shared" ca="1" si="14"/>
        <v/>
      </c>
      <c r="BG53" s="372" t="str">
        <f ca="1">IFERROR(VLOOKUP(BF53,坦克个性化设定!$B$18:$F$48,5,FALSE),"")</f>
        <v/>
      </c>
      <c r="BH53" s="372" t="e">
        <f t="shared" ca="1" si="23"/>
        <v>#REF!</v>
      </c>
      <c r="BI53" s="372" t="e">
        <f t="shared" ca="1" si="24"/>
        <v>#REF!</v>
      </c>
      <c r="BJ53" s="364" t="str">
        <f t="shared" ca="1" si="15"/>
        <v>NULL</v>
      </c>
      <c r="BK53" s="372" t="e">
        <f ca="1">VLOOKUP($BF53&amp;IF($BJ53="NULL",0,$BJ53),所有坦克升星属性,MATCH(BK$3,所有坦克升星属性标头,0),FALSE)+ROUND(BP53/VLOOKUP($BF53,坦克部件!#REF!,4,FALSE)*VLOOKUP($BF53&amp;0,所有坦克升星属性,MATCH(BK$3,所有坦克升星属性标头,0),FALSE),0)</f>
        <v>#N/A</v>
      </c>
      <c r="BL53" s="372" t="e">
        <f ca="1">VLOOKUP($BF53&amp;IF($BJ53="NULL",0,$BJ53),所有坦克升星属性,MATCH(BL$3,所有坦克升星属性标头,0),FALSE)+ROUND(BQ53/VLOOKUP($BF53,坦克部件!#REF!,4,FALSE)*VLOOKUP($BF53&amp;0,所有坦克升星属性,MATCH(BL$3,所有坦克升星属性标头,0),FALSE),0)</f>
        <v>#N/A</v>
      </c>
      <c r="BM53" s="372" t="e">
        <f t="shared" ca="1" si="38"/>
        <v>#N/A</v>
      </c>
      <c r="BN53" s="372" t="e">
        <f t="shared" ca="1" si="38"/>
        <v>#N/A</v>
      </c>
      <c r="BO53" s="372" t="e">
        <f ca="1">VLOOKUP($BF53&amp;IF($BJ53="NULL",0,$BJ53),所有坦克升星属性,MATCH(BO$3,所有坦克升星属性标头,0),FALSE)+ROUND(BR53/VLOOKUP($BF53,坦克部件!#REF!,4,FALSE)*VLOOKUP($BF53&amp;0,所有坦克升星属性,MATCH(BO$3,所有坦克升星属性标头,0),FALSE),0)</f>
        <v>#N/A</v>
      </c>
      <c r="BP53" s="372" t="e">
        <f ca="1">(VLOOKUP($BH53,坦克部件!#REF!,MATCH("标准值",坦克部件!#REF!,0),FALSE)+VLOOKUP($BI53,坦克部件!#REF!,MATCH("标准值",坦克部件!#REF!,0),FALSE))*2</f>
        <v>#REF!</v>
      </c>
      <c r="BQ53" s="372" t="e">
        <f ca="1">(VLOOKUP($BH53,坦克部件!#REF!,MATCH("标准值",坦克部件!#REF!,0),FALSE)+VLOOKUP($BI53,坦克部件!#REF!,MATCH("标准值",坦克部件!#REF!,0),FALSE))*2</f>
        <v>#REF!</v>
      </c>
      <c r="BR53" s="372" t="e">
        <f ca="1">(VLOOKUP($BH53,坦克部件!#REF!,MATCH("标准值",坦克部件!#REF!,0),FALSE)+VLOOKUP($BI53,坦克部件!#REF!,MATCH("标准值",坦克部件!#REF!,0),FALSE))*2</f>
        <v>#REF!</v>
      </c>
      <c r="BS53" s="372" t="e">
        <f ca="1">VLOOKUP($BF53,坦克属性统计!$B$3:$AY$33,MATCH(BS$3,坦克属性统计!$B$3:$AY$3,0),FALSE)</f>
        <v>#N/A</v>
      </c>
      <c r="BT53" s="372" t="e">
        <f t="shared" ca="1" si="39"/>
        <v>#N/A</v>
      </c>
      <c r="BU53" s="372" t="e">
        <f t="shared" ca="1" si="39"/>
        <v>#N/A</v>
      </c>
      <c r="BV53" s="372" t="e">
        <f t="shared" ca="1" si="39"/>
        <v>#N/A</v>
      </c>
      <c r="BW53" s="356">
        <f t="shared" ca="1" si="18"/>
        <v>0</v>
      </c>
      <c r="BX53" s="356" t="e">
        <f ca="1">VLOOKUP(BF53,坦克个性化设定!$B$18:$E$48,4,FALSE)</f>
        <v>#N/A</v>
      </c>
      <c r="BY53" s="357" t="e">
        <f t="shared" ca="1" si="25"/>
        <v>#N/A</v>
      </c>
    </row>
    <row r="54" spans="2:77" x14ac:dyDescent="0.35">
      <c r="B54" s="352">
        <v>5</v>
      </c>
      <c r="C54" s="367">
        <f>游戏时长规划!C116</f>
        <v>20</v>
      </c>
      <c r="D54" s="367">
        <f>游戏时长规划!D116</f>
        <v>80</v>
      </c>
      <c r="E54" s="367">
        <f>游戏时长规划!E116</f>
        <v>2</v>
      </c>
      <c r="F54" s="367">
        <f>游戏时长规划!F116</f>
        <v>7850</v>
      </c>
      <c r="H54" s="363" t="s">
        <v>572</v>
      </c>
      <c r="I54" s="360" t="str">
        <f>坦克个性化设定!D26</f>
        <v>轻坦</v>
      </c>
      <c r="J54" s="360" t="str">
        <f>坦克个性化设定!E26</f>
        <v>T4</v>
      </c>
      <c r="K54" s="360" t="str">
        <f>坦克个性化细分!J11</f>
        <v>中</v>
      </c>
      <c r="L54" s="360" t="str">
        <f t="shared" si="40"/>
        <v>T4中</v>
      </c>
      <c r="M54" s="360" t="str">
        <f t="shared" si="41"/>
        <v>轻坦T4中</v>
      </c>
      <c r="N54" s="377"/>
      <c r="O54" s="365">
        <v>51</v>
      </c>
      <c r="P54" s="360" t="e">
        <f t="shared" ca="1" si="29"/>
        <v>#REF!</v>
      </c>
      <c r="Q54" s="360" t="e">
        <f ca="1">ROUND(MIN((BD54-VLOOKUP(R54,$B$22:$F$46,2,FALSE))/(VLOOKUP(R54,$B$22:$F$46,3,FALSE)-VLOOKUP(R54,$B$22:$F$46,2,FALSE)),1)*((VLOOKUP(R54,$B$22:$F$46,4,FALSE)*(AG54/(AG54+VLOOKUP(P54,$D$49:$F$123,3,TRUE)))+VLOOKUP(R54,$B$22:$F$46,5,FALSE)*(1-AG54/(AG54+VLOOKUP(P54,$D$49:$F$123,3,TRUE))))/2)*游戏时长规划!$C$4,0)</f>
        <v>#REF!</v>
      </c>
      <c r="R54" s="360" t="e">
        <f t="shared" ca="1" si="0"/>
        <v>#REF!</v>
      </c>
      <c r="S54" s="360" t="e">
        <f t="shared" ca="1" si="27"/>
        <v>#REF!</v>
      </c>
      <c r="T54" s="360" t="e">
        <f t="shared" ca="1" si="30"/>
        <v>#REF!</v>
      </c>
      <c r="U54" s="370" t="e">
        <f t="shared" ca="1" si="1"/>
        <v>#REF!</v>
      </c>
      <c r="V54" s="363" t="e">
        <f t="shared" ca="1" si="35"/>
        <v>#REF!</v>
      </c>
      <c r="W54" s="360" t="e">
        <f t="shared" ca="1" si="3"/>
        <v>#REF!</v>
      </c>
      <c r="X54" s="81" t="e">
        <f t="shared" ca="1" si="19"/>
        <v>#REF!</v>
      </c>
      <c r="Y54" s="360" t="str">
        <f t="shared" ca="1" si="4"/>
        <v>NULL</v>
      </c>
      <c r="Z54" s="375" t="e">
        <f t="shared" ca="1" si="20"/>
        <v>#REF!</v>
      </c>
      <c r="AA54" s="360">
        <f ca="1">IFERROR(VLOOKUP(IF(V54="T1低",游戏时长规划!$C$67+Z54,Z54),INDIRECT(V54&amp;"星级"),2,TRUE),0)</f>
        <v>0</v>
      </c>
      <c r="AB54" s="375" t="e">
        <f t="shared" ca="1" si="5"/>
        <v>#REF!</v>
      </c>
      <c r="AC54" s="375">
        <f ca="1">($D$14+$D$17)*$L$4/坦克部件养成!$C$2+AC53-IFERROR(IF(RIGHT(AD53,3)*1&gt;RIGHT(VLOOKUP(AC53,INDIRECT(LEFT(AD52,2)&amp;"部件升阶"),5,TRUE),3)*1,VLOOKUP(AD52,INDIRECT(LEFT(AD52,2)&amp;"部件升阶消耗"),2,FALSE),0),0)</f>
        <v>603.5</v>
      </c>
      <c r="AD54" s="360" t="e">
        <f t="shared" ca="1" si="6"/>
        <v>#REF!</v>
      </c>
      <c r="AE54" s="375" t="e">
        <f ca="1">$D$15*$L$4/坦克部件养成!$C$2+AE53-IF(LEFT(AD54,2)&lt;&gt;LEFT(AD53,2),VLOOKUP(AF53,INDIRECT(LEFT(AD53,2)&amp;"部件升级消耗"),5,FALSE),0)</f>
        <v>#REF!</v>
      </c>
      <c r="AF54" s="360" t="e">
        <f ca="1">MIN(VLOOKUP(AE54,INDIRECT(LEFT(AD54,2)&amp;"部件升级"),2,TRUE),VLOOKUP(LEFT(AD54,2),坦克部件养成!#REF!,6,FALSE))</f>
        <v>#REF!</v>
      </c>
      <c r="AG54" s="378" t="e">
        <f ca="1">MAX(BD$4:BD54)</f>
        <v>#REF!</v>
      </c>
      <c r="AH54" s="378" t="str">
        <f t="shared" ca="1" si="7"/>
        <v/>
      </c>
      <c r="AI54" s="378">
        <f ca="1">IF(Y54="NULL",0,MAX(BY$4:BY54))</f>
        <v>0</v>
      </c>
      <c r="AK54" s="364" t="e">
        <f t="shared" ca="1" si="8"/>
        <v>#REF!</v>
      </c>
      <c r="AL54" s="364" t="e">
        <f ca="1">VLOOKUP(AK54,坦克个性化设定!$B$18:$F$48,5,FALSE)</f>
        <v>#REF!</v>
      </c>
      <c r="AM54" s="372" t="e">
        <f t="shared" ca="1" si="9"/>
        <v>#REF!</v>
      </c>
      <c r="AN54" s="372" t="e">
        <f t="shared" ca="1" si="21"/>
        <v>#REF!</v>
      </c>
      <c r="AO54" s="364">
        <f t="shared" ca="1" si="10"/>
        <v>0</v>
      </c>
      <c r="AP54" s="372" t="e">
        <f ca="1">VLOOKUP($AK54&amp;$AO54,所有坦克升星属性,MATCH(AP$3,所有坦克升星属性标头,0),FALSE)+ROUND(AU54/VLOOKUP($AK54,坦克部件!#REF!,4,FALSE)*VLOOKUP($AK54&amp;0,所有坦克升星属性,MATCH(AP$3,所有坦克升星属性标头,0),FALSE),0)</f>
        <v>#REF!</v>
      </c>
      <c r="AQ54" s="372" t="e">
        <f ca="1">VLOOKUP($AK54&amp;$AO54,所有坦克升星属性,MATCH(AQ$3,所有坦克升星属性标头,0),FALSE)+ROUND(AV54/VLOOKUP($AK54,坦克部件!#REF!,4,FALSE)*VLOOKUP($AK54&amp;0,所有坦克升星属性,MATCH(AQ$3,所有坦克升星属性标头,0),FALSE),0)</f>
        <v>#REF!</v>
      </c>
      <c r="AR54" s="372" t="e">
        <f t="shared" ca="1" si="36"/>
        <v>#REF!</v>
      </c>
      <c r="AS54" s="372" t="e">
        <f t="shared" ca="1" si="36"/>
        <v>#REF!</v>
      </c>
      <c r="AT54" s="372" t="e">
        <f ca="1">VLOOKUP($AK54&amp;$AO54,所有坦克升星属性,MATCH(AT$3,所有坦克升星属性标头,0),FALSE)+ROUND(AW54/VLOOKUP($AK54,坦克部件!#REF!,4,FALSE)*VLOOKUP($AK54&amp;0,所有坦克升星属性,MATCH(AT$3,所有坦克升星属性标头,0),FALSE),0)</f>
        <v>#REF!</v>
      </c>
      <c r="AU54" s="372" t="e">
        <f ca="1">(VLOOKUP($AM54,坦克部件!#REF!,MATCH("标准值",坦克部件!#REF!,0),FALSE)+VLOOKUP($AN54,坦克部件!#REF!,MATCH("标准值",坦克部件!#REF!,0),FALSE))*2</f>
        <v>#REF!</v>
      </c>
      <c r="AV54" s="372" t="e">
        <f ca="1">(VLOOKUP($AM54,坦克部件!#REF!,MATCH("标准值",坦克部件!#REF!,0),FALSE)+VLOOKUP($AN54,坦克部件!#REF!,MATCH("标准值",坦克部件!#REF!,0),FALSE))*2</f>
        <v>#REF!</v>
      </c>
      <c r="AW54" s="372" t="e">
        <f ca="1">(VLOOKUP($AM54,坦克部件!#REF!,MATCH("标准值",坦克部件!#REF!,0),FALSE)+VLOOKUP($AN54,坦克部件!#REF!,MATCH("标准值",坦克部件!#REF!,0),FALSE))*2</f>
        <v>#REF!</v>
      </c>
      <c r="AX54" s="372" t="e">
        <f ca="1">VLOOKUP($AK54,坦克属性统计!$B$3:$AY$33,MATCH(AX$3,坦克属性统计!$B$3:$AY$3,0),FALSE)</f>
        <v>#REF!</v>
      </c>
      <c r="AY54" s="372" t="e">
        <f t="shared" ca="1" si="37"/>
        <v>#REF!</v>
      </c>
      <c r="AZ54" s="372" t="e">
        <f t="shared" ca="1" si="37"/>
        <v>#REF!</v>
      </c>
      <c r="BA54" s="372" t="e">
        <f t="shared" ca="1" si="37"/>
        <v>#REF!</v>
      </c>
      <c r="BB54" s="356" t="e">
        <f t="shared" ca="1" si="13"/>
        <v>#REF!</v>
      </c>
      <c r="BC54" s="356" t="e">
        <f ca="1">VLOOKUP(AK54,坦克个性化设定!$B$18:$E$48,4,FALSE)</f>
        <v>#REF!</v>
      </c>
      <c r="BD54" s="357" t="e">
        <f t="shared" ca="1" si="22"/>
        <v>#REF!</v>
      </c>
      <c r="BF54" s="357" t="str">
        <f t="shared" ca="1" si="14"/>
        <v/>
      </c>
      <c r="BG54" s="372" t="str">
        <f ca="1">IFERROR(VLOOKUP(BF54,坦克个性化设定!$B$18:$F$48,5,FALSE),"")</f>
        <v/>
      </c>
      <c r="BH54" s="372" t="e">
        <f t="shared" ca="1" si="23"/>
        <v>#REF!</v>
      </c>
      <c r="BI54" s="372" t="e">
        <f t="shared" ca="1" si="24"/>
        <v>#REF!</v>
      </c>
      <c r="BJ54" s="364" t="str">
        <f t="shared" ca="1" si="15"/>
        <v>NULL</v>
      </c>
      <c r="BK54" s="372" t="e">
        <f ca="1">VLOOKUP($BF54&amp;IF($BJ54="NULL",0,$BJ54),所有坦克升星属性,MATCH(BK$3,所有坦克升星属性标头,0),FALSE)+ROUND(BP54/VLOOKUP($BF54,坦克部件!#REF!,4,FALSE)*VLOOKUP($BF54&amp;0,所有坦克升星属性,MATCH(BK$3,所有坦克升星属性标头,0),FALSE),0)</f>
        <v>#N/A</v>
      </c>
      <c r="BL54" s="372" t="e">
        <f ca="1">VLOOKUP($BF54&amp;IF($BJ54="NULL",0,$BJ54),所有坦克升星属性,MATCH(BL$3,所有坦克升星属性标头,0),FALSE)+ROUND(BQ54/VLOOKUP($BF54,坦克部件!#REF!,4,FALSE)*VLOOKUP($BF54&amp;0,所有坦克升星属性,MATCH(BL$3,所有坦克升星属性标头,0),FALSE),0)</f>
        <v>#N/A</v>
      </c>
      <c r="BM54" s="372" t="e">
        <f t="shared" ca="1" si="38"/>
        <v>#N/A</v>
      </c>
      <c r="BN54" s="372" t="e">
        <f t="shared" ca="1" si="38"/>
        <v>#N/A</v>
      </c>
      <c r="BO54" s="372" t="e">
        <f ca="1">VLOOKUP($BF54&amp;IF($BJ54="NULL",0,$BJ54),所有坦克升星属性,MATCH(BO$3,所有坦克升星属性标头,0),FALSE)+ROUND(BR54/VLOOKUP($BF54,坦克部件!#REF!,4,FALSE)*VLOOKUP($BF54&amp;0,所有坦克升星属性,MATCH(BO$3,所有坦克升星属性标头,0),FALSE),0)</f>
        <v>#N/A</v>
      </c>
      <c r="BP54" s="372" t="e">
        <f ca="1">(VLOOKUP($BH54,坦克部件!#REF!,MATCH("标准值",坦克部件!#REF!,0),FALSE)+VLOOKUP($BI54,坦克部件!#REF!,MATCH("标准值",坦克部件!#REF!,0),FALSE))*2</f>
        <v>#REF!</v>
      </c>
      <c r="BQ54" s="372" t="e">
        <f ca="1">(VLOOKUP($BH54,坦克部件!#REF!,MATCH("标准值",坦克部件!#REF!,0),FALSE)+VLOOKUP($BI54,坦克部件!#REF!,MATCH("标准值",坦克部件!#REF!,0),FALSE))*2</f>
        <v>#REF!</v>
      </c>
      <c r="BR54" s="372" t="e">
        <f ca="1">(VLOOKUP($BH54,坦克部件!#REF!,MATCH("标准值",坦克部件!#REF!,0),FALSE)+VLOOKUP($BI54,坦克部件!#REF!,MATCH("标准值",坦克部件!#REF!,0),FALSE))*2</f>
        <v>#REF!</v>
      </c>
      <c r="BS54" s="372" t="e">
        <f ca="1">VLOOKUP($BF54,坦克属性统计!$B$3:$AY$33,MATCH(BS$3,坦克属性统计!$B$3:$AY$3,0),FALSE)</f>
        <v>#N/A</v>
      </c>
      <c r="BT54" s="372" t="e">
        <f t="shared" ca="1" si="39"/>
        <v>#N/A</v>
      </c>
      <c r="BU54" s="372" t="e">
        <f t="shared" ca="1" si="39"/>
        <v>#N/A</v>
      </c>
      <c r="BV54" s="372" t="e">
        <f t="shared" ca="1" si="39"/>
        <v>#N/A</v>
      </c>
      <c r="BW54" s="356">
        <f t="shared" ca="1" si="18"/>
        <v>0</v>
      </c>
      <c r="BX54" s="356" t="e">
        <f ca="1">VLOOKUP(BF54,坦克个性化设定!$B$18:$E$48,4,FALSE)</f>
        <v>#N/A</v>
      </c>
      <c r="BY54" s="357" t="e">
        <f t="shared" ca="1" si="25"/>
        <v>#N/A</v>
      </c>
    </row>
    <row r="55" spans="2:77" x14ac:dyDescent="0.35">
      <c r="B55" s="352">
        <v>6</v>
      </c>
      <c r="C55" s="367">
        <f>游戏时长规划!C117</f>
        <v>20</v>
      </c>
      <c r="D55" s="367">
        <f>游戏时长规划!D117</f>
        <v>100</v>
      </c>
      <c r="E55" s="367">
        <f>游戏时长规划!E117</f>
        <v>2</v>
      </c>
      <c r="F55" s="367">
        <f>游戏时长规划!F117</f>
        <v>9450</v>
      </c>
      <c r="H55" s="363" t="s">
        <v>621</v>
      </c>
      <c r="I55" s="360" t="str">
        <f>坦克个性化设定!D27</f>
        <v>轻坦</v>
      </c>
      <c r="J55" s="360" t="str">
        <f>坦克个性化设定!E27</f>
        <v>T4</v>
      </c>
      <c r="K55" s="360" t="str">
        <f>坦克个性化细分!J12</f>
        <v>高</v>
      </c>
      <c r="L55" s="360" t="str">
        <f t="shared" si="40"/>
        <v>T4高</v>
      </c>
      <c r="M55" s="360" t="str">
        <f t="shared" si="41"/>
        <v>轻坦T4高</v>
      </c>
      <c r="N55" s="377"/>
      <c r="O55" s="365">
        <v>52</v>
      </c>
      <c r="P55" s="360" t="e">
        <f t="shared" ca="1" si="29"/>
        <v>#REF!</v>
      </c>
      <c r="Q55" s="360" t="e">
        <f ca="1">ROUND(MIN((BD55-VLOOKUP(R55,$B$22:$F$46,2,FALSE))/(VLOOKUP(R55,$B$22:$F$46,3,FALSE)-VLOOKUP(R55,$B$22:$F$46,2,FALSE)),1)*((VLOOKUP(R55,$B$22:$F$46,4,FALSE)*(AG55/(AG55+VLOOKUP(P55,$D$49:$F$123,3,TRUE)))+VLOOKUP(R55,$B$22:$F$46,5,FALSE)*(1-AG55/(AG55+VLOOKUP(P55,$D$49:$F$123,3,TRUE))))/2)*游戏时长规划!$C$4,0)</f>
        <v>#REF!</v>
      </c>
      <c r="R55" s="360" t="e">
        <f t="shared" ca="1" si="0"/>
        <v>#REF!</v>
      </c>
      <c r="S55" s="360" t="e">
        <f t="shared" ca="1" si="27"/>
        <v>#REF!</v>
      </c>
      <c r="T55" s="360" t="e">
        <f t="shared" ca="1" si="30"/>
        <v>#REF!</v>
      </c>
      <c r="U55" s="370" t="e">
        <f t="shared" ca="1" si="1"/>
        <v>#REF!</v>
      </c>
      <c r="V55" s="363" t="e">
        <f t="shared" ca="1" si="35"/>
        <v>#REF!</v>
      </c>
      <c r="W55" s="360" t="e">
        <f t="shared" ca="1" si="3"/>
        <v>#REF!</v>
      </c>
      <c r="X55" s="81" t="e">
        <f t="shared" ca="1" si="19"/>
        <v>#REF!</v>
      </c>
      <c r="Y55" s="360" t="str">
        <f t="shared" ca="1" si="4"/>
        <v>NULL</v>
      </c>
      <c r="Z55" s="375" t="e">
        <f t="shared" ca="1" si="20"/>
        <v>#REF!</v>
      </c>
      <c r="AA55" s="360">
        <f ca="1">IFERROR(VLOOKUP(IF(V55="T1低",游戏时长规划!$C$67+Z55,Z55),INDIRECT(V55&amp;"星级"),2,TRUE),0)</f>
        <v>0</v>
      </c>
      <c r="AB55" s="375" t="e">
        <f t="shared" ca="1" si="5"/>
        <v>#REF!</v>
      </c>
      <c r="AC55" s="375">
        <f ca="1">($D$14+$D$17)*$L$4/坦克部件养成!$C$2+AC54-IFERROR(IF(RIGHT(AD54,3)*1&gt;RIGHT(VLOOKUP(AC54,INDIRECT(LEFT(AD53,2)&amp;"部件升阶"),5,TRUE),3)*1,VLOOKUP(AD53,INDIRECT(LEFT(AD53,2)&amp;"部件升阶消耗"),2,FALSE),0),0)</f>
        <v>615.33333333333337</v>
      </c>
      <c r="AD55" s="360" t="e">
        <f t="shared" ca="1" si="6"/>
        <v>#REF!</v>
      </c>
      <c r="AE55" s="375" t="e">
        <f ca="1">$D$15*$L$4/坦克部件养成!$C$2+AE54-IF(LEFT(AD55,2)&lt;&gt;LEFT(AD54,2),VLOOKUP(AF54,INDIRECT(LEFT(AD54,2)&amp;"部件升级消耗"),5,FALSE),0)</f>
        <v>#REF!</v>
      </c>
      <c r="AF55" s="360" t="e">
        <f ca="1">MIN(VLOOKUP(AE55,INDIRECT(LEFT(AD55,2)&amp;"部件升级"),2,TRUE),VLOOKUP(LEFT(AD55,2),坦克部件养成!#REF!,6,FALSE))</f>
        <v>#REF!</v>
      </c>
      <c r="AG55" s="378" t="e">
        <f ca="1">MAX(BD$4:BD55)</f>
        <v>#REF!</v>
      </c>
      <c r="AH55" s="378" t="str">
        <f t="shared" ca="1" si="7"/>
        <v/>
      </c>
      <c r="AI55" s="378">
        <f ca="1">IF(Y55="NULL",0,MAX(BY$4:BY55))</f>
        <v>0</v>
      </c>
      <c r="AK55" s="364" t="e">
        <f t="shared" ca="1" si="8"/>
        <v>#REF!</v>
      </c>
      <c r="AL55" s="364" t="e">
        <f ca="1">VLOOKUP(AK55,坦克个性化设定!$B$18:$F$48,5,FALSE)</f>
        <v>#REF!</v>
      </c>
      <c r="AM55" s="372" t="e">
        <f t="shared" ca="1" si="9"/>
        <v>#REF!</v>
      </c>
      <c r="AN55" s="372" t="e">
        <f t="shared" ca="1" si="21"/>
        <v>#REF!</v>
      </c>
      <c r="AO55" s="364">
        <f t="shared" ca="1" si="10"/>
        <v>0</v>
      </c>
      <c r="AP55" s="372" t="e">
        <f ca="1">VLOOKUP($AK55&amp;$AO55,所有坦克升星属性,MATCH(AP$3,所有坦克升星属性标头,0),FALSE)+ROUND(AU55/VLOOKUP($AK55,坦克部件!#REF!,4,FALSE)*VLOOKUP($AK55&amp;0,所有坦克升星属性,MATCH(AP$3,所有坦克升星属性标头,0),FALSE),0)</f>
        <v>#REF!</v>
      </c>
      <c r="AQ55" s="372" t="e">
        <f ca="1">VLOOKUP($AK55&amp;$AO55,所有坦克升星属性,MATCH(AQ$3,所有坦克升星属性标头,0),FALSE)+ROUND(AV55/VLOOKUP($AK55,坦克部件!#REF!,4,FALSE)*VLOOKUP($AK55&amp;0,所有坦克升星属性,MATCH(AQ$3,所有坦克升星属性标头,0),FALSE),0)</f>
        <v>#REF!</v>
      </c>
      <c r="AR55" s="372" t="e">
        <f t="shared" ca="1" si="36"/>
        <v>#REF!</v>
      </c>
      <c r="AS55" s="372" t="e">
        <f t="shared" ca="1" si="36"/>
        <v>#REF!</v>
      </c>
      <c r="AT55" s="372" t="e">
        <f ca="1">VLOOKUP($AK55&amp;$AO55,所有坦克升星属性,MATCH(AT$3,所有坦克升星属性标头,0),FALSE)+ROUND(AW55/VLOOKUP($AK55,坦克部件!#REF!,4,FALSE)*VLOOKUP($AK55&amp;0,所有坦克升星属性,MATCH(AT$3,所有坦克升星属性标头,0),FALSE),0)</f>
        <v>#REF!</v>
      </c>
      <c r="AU55" s="372" t="e">
        <f ca="1">(VLOOKUP($AM55,坦克部件!#REF!,MATCH("标准值",坦克部件!#REF!,0),FALSE)+VLOOKUP($AN55,坦克部件!#REF!,MATCH("标准值",坦克部件!#REF!,0),FALSE))*2</f>
        <v>#REF!</v>
      </c>
      <c r="AV55" s="372" t="e">
        <f ca="1">(VLOOKUP($AM55,坦克部件!#REF!,MATCH("标准值",坦克部件!#REF!,0),FALSE)+VLOOKUP($AN55,坦克部件!#REF!,MATCH("标准值",坦克部件!#REF!,0),FALSE))*2</f>
        <v>#REF!</v>
      </c>
      <c r="AW55" s="372" t="e">
        <f ca="1">(VLOOKUP($AM55,坦克部件!#REF!,MATCH("标准值",坦克部件!#REF!,0),FALSE)+VLOOKUP($AN55,坦克部件!#REF!,MATCH("标准值",坦克部件!#REF!,0),FALSE))*2</f>
        <v>#REF!</v>
      </c>
      <c r="AX55" s="372" t="e">
        <f ca="1">VLOOKUP($AK55,坦克属性统计!$B$3:$AY$33,MATCH(AX$3,坦克属性统计!$B$3:$AY$3,0),FALSE)</f>
        <v>#REF!</v>
      </c>
      <c r="AY55" s="372" t="e">
        <f t="shared" ca="1" si="37"/>
        <v>#REF!</v>
      </c>
      <c r="AZ55" s="372" t="e">
        <f t="shared" ca="1" si="37"/>
        <v>#REF!</v>
      </c>
      <c r="BA55" s="372" t="e">
        <f t="shared" ca="1" si="37"/>
        <v>#REF!</v>
      </c>
      <c r="BB55" s="356" t="e">
        <f t="shared" ca="1" si="13"/>
        <v>#REF!</v>
      </c>
      <c r="BC55" s="356" t="e">
        <f ca="1">VLOOKUP(AK55,坦克个性化设定!$B$18:$E$48,4,FALSE)</f>
        <v>#REF!</v>
      </c>
      <c r="BD55" s="357" t="e">
        <f t="shared" ca="1" si="22"/>
        <v>#REF!</v>
      </c>
      <c r="BF55" s="357" t="str">
        <f t="shared" ca="1" si="14"/>
        <v/>
      </c>
      <c r="BG55" s="372" t="str">
        <f ca="1">IFERROR(VLOOKUP(BF55,坦克个性化设定!$B$18:$F$48,5,FALSE),"")</f>
        <v/>
      </c>
      <c r="BH55" s="372" t="e">
        <f t="shared" ca="1" si="23"/>
        <v>#REF!</v>
      </c>
      <c r="BI55" s="372" t="e">
        <f t="shared" ca="1" si="24"/>
        <v>#REF!</v>
      </c>
      <c r="BJ55" s="364" t="str">
        <f t="shared" ca="1" si="15"/>
        <v>NULL</v>
      </c>
      <c r="BK55" s="372" t="e">
        <f ca="1">VLOOKUP($BF55&amp;IF($BJ55="NULL",0,$BJ55),所有坦克升星属性,MATCH(BK$3,所有坦克升星属性标头,0),FALSE)+ROUND(BP55/VLOOKUP($BF55,坦克部件!#REF!,4,FALSE)*VLOOKUP($BF55&amp;0,所有坦克升星属性,MATCH(BK$3,所有坦克升星属性标头,0),FALSE),0)</f>
        <v>#N/A</v>
      </c>
      <c r="BL55" s="372" t="e">
        <f ca="1">VLOOKUP($BF55&amp;IF($BJ55="NULL",0,$BJ55),所有坦克升星属性,MATCH(BL$3,所有坦克升星属性标头,0),FALSE)+ROUND(BQ55/VLOOKUP($BF55,坦克部件!#REF!,4,FALSE)*VLOOKUP($BF55&amp;0,所有坦克升星属性,MATCH(BL$3,所有坦克升星属性标头,0),FALSE),0)</f>
        <v>#N/A</v>
      </c>
      <c r="BM55" s="372" t="e">
        <f t="shared" ca="1" si="38"/>
        <v>#N/A</v>
      </c>
      <c r="BN55" s="372" t="e">
        <f t="shared" ca="1" si="38"/>
        <v>#N/A</v>
      </c>
      <c r="BO55" s="372" t="e">
        <f ca="1">VLOOKUP($BF55&amp;IF($BJ55="NULL",0,$BJ55),所有坦克升星属性,MATCH(BO$3,所有坦克升星属性标头,0),FALSE)+ROUND(BR55/VLOOKUP($BF55,坦克部件!#REF!,4,FALSE)*VLOOKUP($BF55&amp;0,所有坦克升星属性,MATCH(BO$3,所有坦克升星属性标头,0),FALSE),0)</f>
        <v>#N/A</v>
      </c>
      <c r="BP55" s="372" t="e">
        <f ca="1">(VLOOKUP($BH55,坦克部件!#REF!,MATCH("标准值",坦克部件!#REF!,0),FALSE)+VLOOKUP($BI55,坦克部件!#REF!,MATCH("标准值",坦克部件!#REF!,0),FALSE))*2</f>
        <v>#REF!</v>
      </c>
      <c r="BQ55" s="372" t="e">
        <f ca="1">(VLOOKUP($BH55,坦克部件!#REF!,MATCH("标准值",坦克部件!#REF!,0),FALSE)+VLOOKUP($BI55,坦克部件!#REF!,MATCH("标准值",坦克部件!#REF!,0),FALSE))*2</f>
        <v>#REF!</v>
      </c>
      <c r="BR55" s="372" t="e">
        <f ca="1">(VLOOKUP($BH55,坦克部件!#REF!,MATCH("标准值",坦克部件!#REF!,0),FALSE)+VLOOKUP($BI55,坦克部件!#REF!,MATCH("标准值",坦克部件!#REF!,0),FALSE))*2</f>
        <v>#REF!</v>
      </c>
      <c r="BS55" s="372" t="e">
        <f ca="1">VLOOKUP($BF55,坦克属性统计!$B$3:$AY$33,MATCH(BS$3,坦克属性统计!$B$3:$AY$3,0),FALSE)</f>
        <v>#N/A</v>
      </c>
      <c r="BT55" s="372" t="e">
        <f t="shared" ca="1" si="39"/>
        <v>#N/A</v>
      </c>
      <c r="BU55" s="372" t="e">
        <f t="shared" ca="1" si="39"/>
        <v>#N/A</v>
      </c>
      <c r="BV55" s="372" t="e">
        <f t="shared" ca="1" si="39"/>
        <v>#N/A</v>
      </c>
      <c r="BW55" s="356">
        <f t="shared" ca="1" si="18"/>
        <v>0</v>
      </c>
      <c r="BX55" s="356" t="e">
        <f ca="1">VLOOKUP(BF55,坦克个性化设定!$B$18:$E$48,4,FALSE)</f>
        <v>#N/A</v>
      </c>
      <c r="BY55" s="357" t="e">
        <f t="shared" ca="1" si="25"/>
        <v>#N/A</v>
      </c>
    </row>
    <row r="56" spans="2:77" x14ac:dyDescent="0.35">
      <c r="B56" s="352">
        <v>7</v>
      </c>
      <c r="C56" s="367">
        <f>游戏时长规划!C118</f>
        <v>20</v>
      </c>
      <c r="D56" s="367">
        <f>游戏时长规划!D118</f>
        <v>120</v>
      </c>
      <c r="E56" s="367">
        <f>游戏时长规划!E118</f>
        <v>3</v>
      </c>
      <c r="F56" s="367">
        <f>游戏时长规划!F118</f>
        <v>9100</v>
      </c>
      <c r="H56" s="363" t="s">
        <v>622</v>
      </c>
      <c r="I56" s="360" t="str">
        <f>坦克个性化设定!D28</f>
        <v>轻坦</v>
      </c>
      <c r="J56" s="360" t="str">
        <f>坦克个性化设定!E28</f>
        <v>T5</v>
      </c>
      <c r="K56" s="360" t="str">
        <f>坦克个性化细分!J13</f>
        <v>低</v>
      </c>
      <c r="L56" s="360" t="str">
        <f t="shared" si="40"/>
        <v>T5低</v>
      </c>
      <c r="M56" s="360" t="str">
        <f t="shared" si="41"/>
        <v>轻坦T5低</v>
      </c>
      <c r="N56" s="377"/>
      <c r="O56" s="365">
        <v>53</v>
      </c>
      <c r="P56" s="360" t="e">
        <f t="shared" ca="1" si="29"/>
        <v>#REF!</v>
      </c>
      <c r="Q56" s="360" t="e">
        <f ca="1">ROUND(MIN((BD56-VLOOKUP(R56,$B$22:$F$46,2,FALSE))/(VLOOKUP(R56,$B$22:$F$46,3,FALSE)-VLOOKUP(R56,$B$22:$F$46,2,FALSE)),1)*((VLOOKUP(R56,$B$22:$F$46,4,FALSE)*(AG56/(AG56+VLOOKUP(P56,$D$49:$F$123,3,TRUE)))+VLOOKUP(R56,$B$22:$F$46,5,FALSE)*(1-AG56/(AG56+VLOOKUP(P56,$D$49:$F$123,3,TRUE))))/2)*游戏时长规划!$C$4,0)</f>
        <v>#REF!</v>
      </c>
      <c r="R56" s="360" t="e">
        <f t="shared" ca="1" si="0"/>
        <v>#REF!</v>
      </c>
      <c r="S56" s="360" t="e">
        <f t="shared" ca="1" si="27"/>
        <v>#REF!</v>
      </c>
      <c r="T56" s="360" t="e">
        <f t="shared" ca="1" si="30"/>
        <v>#REF!</v>
      </c>
      <c r="U56" s="370" t="e">
        <f t="shared" ca="1" si="1"/>
        <v>#REF!</v>
      </c>
      <c r="V56" s="363" t="e">
        <f t="shared" ca="1" si="35"/>
        <v>#REF!</v>
      </c>
      <c r="W56" s="360" t="e">
        <f t="shared" ca="1" si="3"/>
        <v>#REF!</v>
      </c>
      <c r="X56" s="81" t="e">
        <f t="shared" ca="1" si="19"/>
        <v>#REF!</v>
      </c>
      <c r="Y56" s="360" t="str">
        <f t="shared" ca="1" si="4"/>
        <v>NULL</v>
      </c>
      <c r="Z56" s="375" t="e">
        <f t="shared" ca="1" si="20"/>
        <v>#REF!</v>
      </c>
      <c r="AA56" s="360">
        <f ca="1">IFERROR(VLOOKUP(IF(V56="T1低",游戏时长规划!$C$67+Z56,Z56),INDIRECT(V56&amp;"星级"),2,TRUE),0)</f>
        <v>0</v>
      </c>
      <c r="AB56" s="375" t="e">
        <f t="shared" ca="1" si="5"/>
        <v>#REF!</v>
      </c>
      <c r="AC56" s="375">
        <f ca="1">($D$14+$D$17)*$L$4/坦克部件养成!$C$2+AC55-IFERROR(IF(RIGHT(AD55,3)*1&gt;RIGHT(VLOOKUP(AC55,INDIRECT(LEFT(AD54,2)&amp;"部件升阶"),5,TRUE),3)*1,VLOOKUP(AD54,INDIRECT(LEFT(AD54,2)&amp;"部件升阶消耗"),2,FALSE),0),0)</f>
        <v>627.16666666666674</v>
      </c>
      <c r="AD56" s="360" t="e">
        <f t="shared" ca="1" si="6"/>
        <v>#REF!</v>
      </c>
      <c r="AE56" s="375" t="e">
        <f ca="1">$D$15*$L$4/坦克部件养成!$C$2+AE55-IF(LEFT(AD56,2)&lt;&gt;LEFT(AD55,2),VLOOKUP(AF55,INDIRECT(LEFT(AD55,2)&amp;"部件升级消耗"),5,FALSE),0)</f>
        <v>#REF!</v>
      </c>
      <c r="AF56" s="360" t="e">
        <f ca="1">MIN(VLOOKUP(AE56,INDIRECT(LEFT(AD56,2)&amp;"部件升级"),2,TRUE),VLOOKUP(LEFT(AD56,2),坦克部件养成!#REF!,6,FALSE))</f>
        <v>#REF!</v>
      </c>
      <c r="AG56" s="378" t="e">
        <f ca="1">MAX(BD$4:BD56)</f>
        <v>#REF!</v>
      </c>
      <c r="AH56" s="378" t="str">
        <f t="shared" ca="1" si="7"/>
        <v/>
      </c>
      <c r="AI56" s="378">
        <f ca="1">IF(Y56="NULL",0,MAX(BY$4:BY56))</f>
        <v>0</v>
      </c>
      <c r="AK56" s="364" t="e">
        <f t="shared" ca="1" si="8"/>
        <v>#REF!</v>
      </c>
      <c r="AL56" s="364" t="e">
        <f ca="1">VLOOKUP(AK56,坦克个性化设定!$B$18:$F$48,5,FALSE)</f>
        <v>#REF!</v>
      </c>
      <c r="AM56" s="372" t="e">
        <f t="shared" ca="1" si="9"/>
        <v>#REF!</v>
      </c>
      <c r="AN56" s="372" t="e">
        <f t="shared" ca="1" si="21"/>
        <v>#REF!</v>
      </c>
      <c r="AO56" s="364">
        <f t="shared" ca="1" si="10"/>
        <v>0</v>
      </c>
      <c r="AP56" s="372" t="e">
        <f ca="1">VLOOKUP($AK56&amp;$AO56,所有坦克升星属性,MATCH(AP$3,所有坦克升星属性标头,0),FALSE)+ROUND(AU56/VLOOKUP($AK56,坦克部件!#REF!,4,FALSE)*VLOOKUP($AK56&amp;0,所有坦克升星属性,MATCH(AP$3,所有坦克升星属性标头,0),FALSE),0)</f>
        <v>#REF!</v>
      </c>
      <c r="AQ56" s="372" t="e">
        <f ca="1">VLOOKUP($AK56&amp;$AO56,所有坦克升星属性,MATCH(AQ$3,所有坦克升星属性标头,0),FALSE)+ROUND(AV56/VLOOKUP($AK56,坦克部件!#REF!,4,FALSE)*VLOOKUP($AK56&amp;0,所有坦克升星属性,MATCH(AQ$3,所有坦克升星属性标头,0),FALSE),0)</f>
        <v>#REF!</v>
      </c>
      <c r="AR56" s="372" t="e">
        <f t="shared" ca="1" si="36"/>
        <v>#REF!</v>
      </c>
      <c r="AS56" s="372" t="e">
        <f t="shared" ca="1" si="36"/>
        <v>#REF!</v>
      </c>
      <c r="AT56" s="372" t="e">
        <f ca="1">VLOOKUP($AK56&amp;$AO56,所有坦克升星属性,MATCH(AT$3,所有坦克升星属性标头,0),FALSE)+ROUND(AW56/VLOOKUP($AK56,坦克部件!#REF!,4,FALSE)*VLOOKUP($AK56&amp;0,所有坦克升星属性,MATCH(AT$3,所有坦克升星属性标头,0),FALSE),0)</f>
        <v>#REF!</v>
      </c>
      <c r="AU56" s="372" t="e">
        <f ca="1">(VLOOKUP($AM56,坦克部件!#REF!,MATCH("标准值",坦克部件!#REF!,0),FALSE)+VLOOKUP($AN56,坦克部件!#REF!,MATCH("标准值",坦克部件!#REF!,0),FALSE))*2</f>
        <v>#REF!</v>
      </c>
      <c r="AV56" s="372" t="e">
        <f ca="1">(VLOOKUP($AM56,坦克部件!#REF!,MATCH("标准值",坦克部件!#REF!,0),FALSE)+VLOOKUP($AN56,坦克部件!#REF!,MATCH("标准值",坦克部件!#REF!,0),FALSE))*2</f>
        <v>#REF!</v>
      </c>
      <c r="AW56" s="372" t="e">
        <f ca="1">(VLOOKUP($AM56,坦克部件!#REF!,MATCH("标准值",坦克部件!#REF!,0),FALSE)+VLOOKUP($AN56,坦克部件!#REF!,MATCH("标准值",坦克部件!#REF!,0),FALSE))*2</f>
        <v>#REF!</v>
      </c>
      <c r="AX56" s="372" t="e">
        <f ca="1">VLOOKUP($AK56,坦克属性统计!$B$3:$AY$33,MATCH(AX$3,坦克属性统计!$B$3:$AY$3,0),FALSE)</f>
        <v>#REF!</v>
      </c>
      <c r="AY56" s="372" t="e">
        <f t="shared" ca="1" si="37"/>
        <v>#REF!</v>
      </c>
      <c r="AZ56" s="372" t="e">
        <f t="shared" ca="1" si="37"/>
        <v>#REF!</v>
      </c>
      <c r="BA56" s="372" t="e">
        <f t="shared" ca="1" si="37"/>
        <v>#REF!</v>
      </c>
      <c r="BB56" s="356" t="e">
        <f t="shared" ca="1" si="13"/>
        <v>#REF!</v>
      </c>
      <c r="BC56" s="356" t="e">
        <f ca="1">VLOOKUP(AK56,坦克个性化设定!$B$18:$E$48,4,FALSE)</f>
        <v>#REF!</v>
      </c>
      <c r="BD56" s="357" t="e">
        <f t="shared" ca="1" si="22"/>
        <v>#REF!</v>
      </c>
      <c r="BF56" s="357" t="str">
        <f t="shared" ca="1" si="14"/>
        <v/>
      </c>
      <c r="BG56" s="372" t="str">
        <f ca="1">IFERROR(VLOOKUP(BF56,坦克个性化设定!$B$18:$F$48,5,FALSE),"")</f>
        <v/>
      </c>
      <c r="BH56" s="372" t="e">
        <f t="shared" ca="1" si="23"/>
        <v>#REF!</v>
      </c>
      <c r="BI56" s="372" t="e">
        <f t="shared" ca="1" si="24"/>
        <v>#REF!</v>
      </c>
      <c r="BJ56" s="364" t="str">
        <f t="shared" ca="1" si="15"/>
        <v>NULL</v>
      </c>
      <c r="BK56" s="372" t="e">
        <f ca="1">VLOOKUP($BF56&amp;IF($BJ56="NULL",0,$BJ56),所有坦克升星属性,MATCH(BK$3,所有坦克升星属性标头,0),FALSE)+ROUND(BP56/VLOOKUP($BF56,坦克部件!#REF!,4,FALSE)*VLOOKUP($BF56&amp;0,所有坦克升星属性,MATCH(BK$3,所有坦克升星属性标头,0),FALSE),0)</f>
        <v>#N/A</v>
      </c>
      <c r="BL56" s="372" t="e">
        <f ca="1">VLOOKUP($BF56&amp;IF($BJ56="NULL",0,$BJ56),所有坦克升星属性,MATCH(BL$3,所有坦克升星属性标头,0),FALSE)+ROUND(BQ56/VLOOKUP($BF56,坦克部件!#REF!,4,FALSE)*VLOOKUP($BF56&amp;0,所有坦克升星属性,MATCH(BL$3,所有坦克升星属性标头,0),FALSE),0)</f>
        <v>#N/A</v>
      </c>
      <c r="BM56" s="372" t="e">
        <f t="shared" ca="1" si="38"/>
        <v>#N/A</v>
      </c>
      <c r="BN56" s="372" t="e">
        <f t="shared" ca="1" si="38"/>
        <v>#N/A</v>
      </c>
      <c r="BO56" s="372" t="e">
        <f ca="1">VLOOKUP($BF56&amp;IF($BJ56="NULL",0,$BJ56),所有坦克升星属性,MATCH(BO$3,所有坦克升星属性标头,0),FALSE)+ROUND(BR56/VLOOKUP($BF56,坦克部件!#REF!,4,FALSE)*VLOOKUP($BF56&amp;0,所有坦克升星属性,MATCH(BO$3,所有坦克升星属性标头,0),FALSE),0)</f>
        <v>#N/A</v>
      </c>
      <c r="BP56" s="372" t="e">
        <f ca="1">(VLOOKUP($BH56,坦克部件!#REF!,MATCH("标准值",坦克部件!#REF!,0),FALSE)+VLOOKUP($BI56,坦克部件!#REF!,MATCH("标准值",坦克部件!#REF!,0),FALSE))*2</f>
        <v>#REF!</v>
      </c>
      <c r="BQ56" s="372" t="e">
        <f ca="1">(VLOOKUP($BH56,坦克部件!#REF!,MATCH("标准值",坦克部件!#REF!,0),FALSE)+VLOOKUP($BI56,坦克部件!#REF!,MATCH("标准值",坦克部件!#REF!,0),FALSE))*2</f>
        <v>#REF!</v>
      </c>
      <c r="BR56" s="372" t="e">
        <f ca="1">(VLOOKUP($BH56,坦克部件!#REF!,MATCH("标准值",坦克部件!#REF!,0),FALSE)+VLOOKUP($BI56,坦克部件!#REF!,MATCH("标准值",坦克部件!#REF!,0),FALSE))*2</f>
        <v>#REF!</v>
      </c>
      <c r="BS56" s="372" t="e">
        <f ca="1">VLOOKUP($BF56,坦克属性统计!$B$3:$AY$33,MATCH(BS$3,坦克属性统计!$B$3:$AY$3,0),FALSE)</f>
        <v>#N/A</v>
      </c>
      <c r="BT56" s="372" t="e">
        <f t="shared" ca="1" si="39"/>
        <v>#N/A</v>
      </c>
      <c r="BU56" s="372" t="e">
        <f t="shared" ca="1" si="39"/>
        <v>#N/A</v>
      </c>
      <c r="BV56" s="372" t="e">
        <f t="shared" ca="1" si="39"/>
        <v>#N/A</v>
      </c>
      <c r="BW56" s="356">
        <f t="shared" ca="1" si="18"/>
        <v>0</v>
      </c>
      <c r="BX56" s="356" t="e">
        <f ca="1">VLOOKUP(BF56,坦克个性化设定!$B$18:$E$48,4,FALSE)</f>
        <v>#N/A</v>
      </c>
      <c r="BY56" s="357" t="e">
        <f t="shared" ca="1" si="25"/>
        <v>#N/A</v>
      </c>
    </row>
    <row r="57" spans="2:77" x14ac:dyDescent="0.35">
      <c r="B57" s="352">
        <v>8</v>
      </c>
      <c r="C57" s="367">
        <f>游戏时长规划!C119</f>
        <v>20</v>
      </c>
      <c r="D57" s="367">
        <f>游戏时长规划!D119</f>
        <v>140</v>
      </c>
      <c r="E57" s="367">
        <f>游戏时长规划!E119</f>
        <v>3</v>
      </c>
      <c r="F57" s="367">
        <f>游戏时长规划!F119</f>
        <v>10300</v>
      </c>
      <c r="H57" s="363" t="s">
        <v>623</v>
      </c>
      <c r="I57" s="360" t="str">
        <f>坦克个性化设定!D29</f>
        <v>中坦</v>
      </c>
      <c r="J57" s="360" t="str">
        <f>坦克个性化设定!E29</f>
        <v>T1</v>
      </c>
      <c r="K57" s="360" t="str">
        <f>坦克个性化细分!J14</f>
        <v>低</v>
      </c>
      <c r="L57" s="360" t="str">
        <f t="shared" si="40"/>
        <v>T1低</v>
      </c>
      <c r="M57" s="360" t="str">
        <f t="shared" si="41"/>
        <v>中坦T1低</v>
      </c>
      <c r="N57" s="377"/>
      <c r="O57" s="365">
        <v>54</v>
      </c>
      <c r="P57" s="360" t="e">
        <f t="shared" ca="1" si="29"/>
        <v>#REF!</v>
      </c>
      <c r="Q57" s="360" t="e">
        <f ca="1">ROUND(MIN((BD57-VLOOKUP(R57,$B$22:$F$46,2,FALSE))/(VLOOKUP(R57,$B$22:$F$46,3,FALSE)-VLOOKUP(R57,$B$22:$F$46,2,FALSE)),1)*((VLOOKUP(R57,$B$22:$F$46,4,FALSE)*(AG57/(AG57+VLOOKUP(P57,$D$49:$F$123,3,TRUE)))+VLOOKUP(R57,$B$22:$F$46,5,FALSE)*(1-AG57/(AG57+VLOOKUP(P57,$D$49:$F$123,3,TRUE))))/2)*游戏时长规划!$C$4,0)</f>
        <v>#REF!</v>
      </c>
      <c r="R57" s="360" t="e">
        <f t="shared" ca="1" si="0"/>
        <v>#REF!</v>
      </c>
      <c r="S57" s="360" t="e">
        <f t="shared" ca="1" si="27"/>
        <v>#REF!</v>
      </c>
      <c r="T57" s="360" t="e">
        <f t="shared" ca="1" si="30"/>
        <v>#REF!</v>
      </c>
      <c r="U57" s="370" t="e">
        <f t="shared" ca="1" si="1"/>
        <v>#REF!</v>
      </c>
      <c r="V57" s="363" t="e">
        <f t="shared" ca="1" si="35"/>
        <v>#REF!</v>
      </c>
      <c r="W57" s="360" t="e">
        <f t="shared" ca="1" si="3"/>
        <v>#REF!</v>
      </c>
      <c r="X57" s="81" t="e">
        <f t="shared" ca="1" si="19"/>
        <v>#REF!</v>
      </c>
      <c r="Y57" s="360" t="str">
        <f t="shared" ca="1" si="4"/>
        <v>NULL</v>
      </c>
      <c r="Z57" s="375" t="e">
        <f t="shared" ca="1" si="20"/>
        <v>#REF!</v>
      </c>
      <c r="AA57" s="360">
        <f ca="1">IFERROR(VLOOKUP(IF(V57="T1低",游戏时长规划!$C$67+Z57,Z57),INDIRECT(V57&amp;"星级"),2,TRUE),0)</f>
        <v>0</v>
      </c>
      <c r="AB57" s="375" t="e">
        <f t="shared" ca="1" si="5"/>
        <v>#REF!</v>
      </c>
      <c r="AC57" s="375">
        <f ca="1">($D$14+$D$17)*$L$4/坦克部件养成!$C$2+AC56-IFERROR(IF(RIGHT(AD56,3)*1&gt;RIGHT(VLOOKUP(AC56,INDIRECT(LEFT(AD55,2)&amp;"部件升阶"),5,TRUE),3)*1,VLOOKUP(AD55,INDIRECT(LEFT(AD55,2)&amp;"部件升阶消耗"),2,FALSE),0),0)</f>
        <v>639.00000000000011</v>
      </c>
      <c r="AD57" s="360" t="e">
        <f t="shared" ca="1" si="6"/>
        <v>#REF!</v>
      </c>
      <c r="AE57" s="375" t="e">
        <f ca="1">$D$15*$L$4/坦克部件养成!$C$2+AE56-IF(LEFT(AD57,2)&lt;&gt;LEFT(AD56,2),VLOOKUP(AF56,INDIRECT(LEFT(AD56,2)&amp;"部件升级消耗"),5,FALSE),0)</f>
        <v>#REF!</v>
      </c>
      <c r="AF57" s="360" t="e">
        <f ca="1">MIN(VLOOKUP(AE57,INDIRECT(LEFT(AD57,2)&amp;"部件升级"),2,TRUE),VLOOKUP(LEFT(AD57,2),坦克部件养成!#REF!,6,FALSE))</f>
        <v>#REF!</v>
      </c>
      <c r="AG57" s="378" t="e">
        <f ca="1">MAX(BD$4:BD57)</f>
        <v>#REF!</v>
      </c>
      <c r="AH57" s="378" t="str">
        <f t="shared" ca="1" si="7"/>
        <v/>
      </c>
      <c r="AI57" s="378">
        <f ca="1">IF(Y57="NULL",0,MAX(BY$4:BY57))</f>
        <v>0</v>
      </c>
      <c r="AK57" s="364" t="e">
        <f t="shared" ca="1" si="8"/>
        <v>#REF!</v>
      </c>
      <c r="AL57" s="364" t="e">
        <f ca="1">VLOOKUP(AK57,坦克个性化设定!$B$18:$F$48,5,FALSE)</f>
        <v>#REF!</v>
      </c>
      <c r="AM57" s="372" t="e">
        <f t="shared" ca="1" si="9"/>
        <v>#REF!</v>
      </c>
      <c r="AN57" s="372" t="e">
        <f t="shared" ca="1" si="21"/>
        <v>#REF!</v>
      </c>
      <c r="AO57" s="364">
        <f t="shared" ca="1" si="10"/>
        <v>0</v>
      </c>
      <c r="AP57" s="372" t="e">
        <f ca="1">VLOOKUP($AK57&amp;$AO57,所有坦克升星属性,MATCH(AP$3,所有坦克升星属性标头,0),FALSE)+ROUND(AU57/VLOOKUP($AK57,坦克部件!#REF!,4,FALSE)*VLOOKUP($AK57&amp;0,所有坦克升星属性,MATCH(AP$3,所有坦克升星属性标头,0),FALSE),0)</f>
        <v>#REF!</v>
      </c>
      <c r="AQ57" s="372" t="e">
        <f ca="1">VLOOKUP($AK57&amp;$AO57,所有坦克升星属性,MATCH(AQ$3,所有坦克升星属性标头,0),FALSE)+ROUND(AV57/VLOOKUP($AK57,坦克部件!#REF!,4,FALSE)*VLOOKUP($AK57&amp;0,所有坦克升星属性,MATCH(AQ$3,所有坦克升星属性标头,0),FALSE),0)</f>
        <v>#REF!</v>
      </c>
      <c r="AR57" s="372" t="e">
        <f t="shared" ca="1" si="36"/>
        <v>#REF!</v>
      </c>
      <c r="AS57" s="372" t="e">
        <f t="shared" ca="1" si="36"/>
        <v>#REF!</v>
      </c>
      <c r="AT57" s="372" t="e">
        <f ca="1">VLOOKUP($AK57&amp;$AO57,所有坦克升星属性,MATCH(AT$3,所有坦克升星属性标头,0),FALSE)+ROUND(AW57/VLOOKUP($AK57,坦克部件!#REF!,4,FALSE)*VLOOKUP($AK57&amp;0,所有坦克升星属性,MATCH(AT$3,所有坦克升星属性标头,0),FALSE),0)</f>
        <v>#REF!</v>
      </c>
      <c r="AU57" s="372" t="e">
        <f ca="1">(VLOOKUP($AM57,坦克部件!#REF!,MATCH("标准值",坦克部件!#REF!,0),FALSE)+VLOOKUP($AN57,坦克部件!#REF!,MATCH("标准值",坦克部件!#REF!,0),FALSE))*2</f>
        <v>#REF!</v>
      </c>
      <c r="AV57" s="372" t="e">
        <f ca="1">(VLOOKUP($AM57,坦克部件!#REF!,MATCH("标准值",坦克部件!#REF!,0),FALSE)+VLOOKUP($AN57,坦克部件!#REF!,MATCH("标准值",坦克部件!#REF!,0),FALSE))*2</f>
        <v>#REF!</v>
      </c>
      <c r="AW57" s="372" t="e">
        <f ca="1">(VLOOKUP($AM57,坦克部件!#REF!,MATCH("标准值",坦克部件!#REF!,0),FALSE)+VLOOKUP($AN57,坦克部件!#REF!,MATCH("标准值",坦克部件!#REF!,0),FALSE))*2</f>
        <v>#REF!</v>
      </c>
      <c r="AX57" s="372" t="e">
        <f ca="1">VLOOKUP($AK57,坦克属性统计!$B$3:$AY$33,MATCH(AX$3,坦克属性统计!$B$3:$AY$3,0),FALSE)</f>
        <v>#REF!</v>
      </c>
      <c r="AY57" s="372" t="e">
        <f t="shared" ca="1" si="37"/>
        <v>#REF!</v>
      </c>
      <c r="AZ57" s="372" t="e">
        <f t="shared" ca="1" si="37"/>
        <v>#REF!</v>
      </c>
      <c r="BA57" s="372" t="e">
        <f t="shared" ca="1" si="37"/>
        <v>#REF!</v>
      </c>
      <c r="BB57" s="356" t="e">
        <f t="shared" ca="1" si="13"/>
        <v>#REF!</v>
      </c>
      <c r="BC57" s="356" t="e">
        <f ca="1">VLOOKUP(AK57,坦克个性化设定!$B$18:$E$48,4,FALSE)</f>
        <v>#REF!</v>
      </c>
      <c r="BD57" s="357" t="e">
        <f t="shared" ca="1" si="22"/>
        <v>#REF!</v>
      </c>
      <c r="BF57" s="357" t="str">
        <f t="shared" ca="1" si="14"/>
        <v/>
      </c>
      <c r="BG57" s="372" t="str">
        <f ca="1">IFERROR(VLOOKUP(BF57,坦克个性化设定!$B$18:$F$48,5,FALSE),"")</f>
        <v/>
      </c>
      <c r="BH57" s="372" t="e">
        <f t="shared" ca="1" si="23"/>
        <v>#REF!</v>
      </c>
      <c r="BI57" s="372" t="e">
        <f t="shared" ca="1" si="24"/>
        <v>#REF!</v>
      </c>
      <c r="BJ57" s="364" t="str">
        <f t="shared" ca="1" si="15"/>
        <v>NULL</v>
      </c>
      <c r="BK57" s="372" t="e">
        <f ca="1">VLOOKUP($BF57&amp;IF($BJ57="NULL",0,$BJ57),所有坦克升星属性,MATCH(BK$3,所有坦克升星属性标头,0),FALSE)+ROUND(BP57/VLOOKUP($BF57,坦克部件!#REF!,4,FALSE)*VLOOKUP($BF57&amp;0,所有坦克升星属性,MATCH(BK$3,所有坦克升星属性标头,0),FALSE),0)</f>
        <v>#N/A</v>
      </c>
      <c r="BL57" s="372" t="e">
        <f ca="1">VLOOKUP($BF57&amp;IF($BJ57="NULL",0,$BJ57),所有坦克升星属性,MATCH(BL$3,所有坦克升星属性标头,0),FALSE)+ROUND(BQ57/VLOOKUP($BF57,坦克部件!#REF!,4,FALSE)*VLOOKUP($BF57&amp;0,所有坦克升星属性,MATCH(BL$3,所有坦克升星属性标头,0),FALSE),0)</f>
        <v>#N/A</v>
      </c>
      <c r="BM57" s="372" t="e">
        <f t="shared" ca="1" si="38"/>
        <v>#N/A</v>
      </c>
      <c r="BN57" s="372" t="e">
        <f t="shared" ca="1" si="38"/>
        <v>#N/A</v>
      </c>
      <c r="BO57" s="372" t="e">
        <f ca="1">VLOOKUP($BF57&amp;IF($BJ57="NULL",0,$BJ57),所有坦克升星属性,MATCH(BO$3,所有坦克升星属性标头,0),FALSE)+ROUND(BR57/VLOOKUP($BF57,坦克部件!#REF!,4,FALSE)*VLOOKUP($BF57&amp;0,所有坦克升星属性,MATCH(BO$3,所有坦克升星属性标头,0),FALSE),0)</f>
        <v>#N/A</v>
      </c>
      <c r="BP57" s="372" t="e">
        <f ca="1">(VLOOKUP($BH57,坦克部件!#REF!,MATCH("标准值",坦克部件!#REF!,0),FALSE)+VLOOKUP($BI57,坦克部件!#REF!,MATCH("标准值",坦克部件!#REF!,0),FALSE))*2</f>
        <v>#REF!</v>
      </c>
      <c r="BQ57" s="372" t="e">
        <f ca="1">(VLOOKUP($BH57,坦克部件!#REF!,MATCH("标准值",坦克部件!#REF!,0),FALSE)+VLOOKUP($BI57,坦克部件!#REF!,MATCH("标准值",坦克部件!#REF!,0),FALSE))*2</f>
        <v>#REF!</v>
      </c>
      <c r="BR57" s="372" t="e">
        <f ca="1">(VLOOKUP($BH57,坦克部件!#REF!,MATCH("标准值",坦克部件!#REF!,0),FALSE)+VLOOKUP($BI57,坦克部件!#REF!,MATCH("标准值",坦克部件!#REF!,0),FALSE))*2</f>
        <v>#REF!</v>
      </c>
      <c r="BS57" s="372" t="e">
        <f ca="1">VLOOKUP($BF57,坦克属性统计!$B$3:$AY$33,MATCH(BS$3,坦克属性统计!$B$3:$AY$3,0),FALSE)</f>
        <v>#N/A</v>
      </c>
      <c r="BT57" s="372" t="e">
        <f t="shared" ca="1" si="39"/>
        <v>#N/A</v>
      </c>
      <c r="BU57" s="372" t="e">
        <f t="shared" ca="1" si="39"/>
        <v>#N/A</v>
      </c>
      <c r="BV57" s="372" t="e">
        <f t="shared" ca="1" si="39"/>
        <v>#N/A</v>
      </c>
      <c r="BW57" s="356">
        <f t="shared" ca="1" si="18"/>
        <v>0</v>
      </c>
      <c r="BX57" s="356" t="e">
        <f ca="1">VLOOKUP(BF57,坦克个性化设定!$B$18:$E$48,4,FALSE)</f>
        <v>#N/A</v>
      </c>
      <c r="BY57" s="357" t="e">
        <f t="shared" ca="1" si="25"/>
        <v>#N/A</v>
      </c>
    </row>
    <row r="58" spans="2:77" x14ac:dyDescent="0.35">
      <c r="B58" s="352">
        <v>9</v>
      </c>
      <c r="C58" s="367">
        <f>游戏时长规划!C120</f>
        <v>20</v>
      </c>
      <c r="D58" s="367">
        <f>游戏时长规划!D120</f>
        <v>160</v>
      </c>
      <c r="E58" s="367">
        <f>游戏时长规划!E120</f>
        <v>3</v>
      </c>
      <c r="F58" s="367">
        <f>游戏时长规划!F120</f>
        <v>11550</v>
      </c>
      <c r="H58" s="363" t="s">
        <v>624</v>
      </c>
      <c r="I58" s="360" t="str">
        <f>坦克个性化设定!D30</f>
        <v>中坦</v>
      </c>
      <c r="J58" s="360" t="str">
        <f>坦克个性化设定!E30</f>
        <v>T2</v>
      </c>
      <c r="K58" s="360" t="str">
        <f>坦克个性化细分!J15</f>
        <v>低</v>
      </c>
      <c r="L58" s="360" t="str">
        <f t="shared" si="40"/>
        <v>T2低</v>
      </c>
      <c r="M58" s="360" t="str">
        <f t="shared" si="41"/>
        <v>中坦T2低</v>
      </c>
      <c r="N58" s="377"/>
      <c r="O58" s="365">
        <v>55</v>
      </c>
      <c r="P58" s="360" t="e">
        <f t="shared" ca="1" si="29"/>
        <v>#REF!</v>
      </c>
      <c r="Q58" s="360" t="e">
        <f ca="1">ROUND(MIN((BD58-VLOOKUP(R58,$B$22:$F$46,2,FALSE))/(VLOOKUP(R58,$B$22:$F$46,3,FALSE)-VLOOKUP(R58,$B$22:$F$46,2,FALSE)),1)*((VLOOKUP(R58,$B$22:$F$46,4,FALSE)*(AG58/(AG58+VLOOKUP(P58,$D$49:$F$123,3,TRUE)))+VLOOKUP(R58,$B$22:$F$46,5,FALSE)*(1-AG58/(AG58+VLOOKUP(P58,$D$49:$F$123,3,TRUE))))/2)*游戏时长规划!$C$4,0)</f>
        <v>#REF!</v>
      </c>
      <c r="R58" s="360" t="e">
        <f t="shared" ca="1" si="0"/>
        <v>#REF!</v>
      </c>
      <c r="S58" s="360" t="e">
        <f t="shared" ca="1" si="27"/>
        <v>#REF!</v>
      </c>
      <c r="T58" s="360" t="e">
        <f t="shared" ca="1" si="30"/>
        <v>#REF!</v>
      </c>
      <c r="U58" s="370" t="e">
        <f t="shared" ca="1" si="1"/>
        <v>#REF!</v>
      </c>
      <c r="V58" s="363" t="e">
        <f t="shared" ca="1" si="35"/>
        <v>#REF!</v>
      </c>
      <c r="W58" s="360" t="e">
        <f t="shared" ca="1" si="3"/>
        <v>#REF!</v>
      </c>
      <c r="X58" s="81" t="e">
        <f t="shared" ca="1" si="19"/>
        <v>#REF!</v>
      </c>
      <c r="Y58" s="360" t="str">
        <f t="shared" ca="1" si="4"/>
        <v>NULL</v>
      </c>
      <c r="Z58" s="375" t="e">
        <f t="shared" ca="1" si="20"/>
        <v>#REF!</v>
      </c>
      <c r="AA58" s="360">
        <f ca="1">IFERROR(VLOOKUP(IF(V58="T1低",游戏时长规划!$C$67+Z58,Z58),INDIRECT(V58&amp;"星级"),2,TRUE),0)</f>
        <v>0</v>
      </c>
      <c r="AB58" s="375" t="e">
        <f t="shared" ca="1" si="5"/>
        <v>#REF!</v>
      </c>
      <c r="AC58" s="375">
        <f ca="1">($D$14+$D$17)*$L$4/坦克部件养成!$C$2+AC57-IFERROR(IF(RIGHT(AD57,3)*1&gt;RIGHT(VLOOKUP(AC57,INDIRECT(LEFT(AD56,2)&amp;"部件升阶"),5,TRUE),3)*1,VLOOKUP(AD56,INDIRECT(LEFT(AD56,2)&amp;"部件升阶消耗"),2,FALSE),0),0)</f>
        <v>650.83333333333348</v>
      </c>
      <c r="AD58" s="360" t="e">
        <f t="shared" ca="1" si="6"/>
        <v>#REF!</v>
      </c>
      <c r="AE58" s="375" t="e">
        <f ca="1">$D$15*$L$4/坦克部件养成!$C$2+AE57-IF(LEFT(AD58,2)&lt;&gt;LEFT(AD57,2),VLOOKUP(AF57,INDIRECT(LEFT(AD57,2)&amp;"部件升级消耗"),5,FALSE),0)</f>
        <v>#REF!</v>
      </c>
      <c r="AF58" s="360" t="e">
        <f ca="1">MIN(VLOOKUP(AE58,INDIRECT(LEFT(AD58,2)&amp;"部件升级"),2,TRUE),VLOOKUP(LEFT(AD58,2),坦克部件养成!#REF!,6,FALSE))</f>
        <v>#REF!</v>
      </c>
      <c r="AG58" s="378" t="e">
        <f ca="1">MAX(BD$4:BD58)</f>
        <v>#REF!</v>
      </c>
      <c r="AH58" s="378" t="str">
        <f t="shared" ca="1" si="7"/>
        <v/>
      </c>
      <c r="AI58" s="378">
        <f ca="1">IF(Y58="NULL",0,MAX(BY$4:BY58))</f>
        <v>0</v>
      </c>
      <c r="AK58" s="364" t="e">
        <f t="shared" ca="1" si="8"/>
        <v>#REF!</v>
      </c>
      <c r="AL58" s="364" t="e">
        <f ca="1">VLOOKUP(AK58,坦克个性化设定!$B$18:$F$48,5,FALSE)</f>
        <v>#REF!</v>
      </c>
      <c r="AM58" s="372" t="e">
        <f t="shared" ca="1" si="9"/>
        <v>#REF!</v>
      </c>
      <c r="AN58" s="372" t="e">
        <f t="shared" ca="1" si="21"/>
        <v>#REF!</v>
      </c>
      <c r="AO58" s="364">
        <f t="shared" ca="1" si="10"/>
        <v>0</v>
      </c>
      <c r="AP58" s="372" t="e">
        <f ca="1">VLOOKUP($AK58&amp;$AO58,所有坦克升星属性,MATCH(AP$3,所有坦克升星属性标头,0),FALSE)+ROUND(AU58/VLOOKUP($AK58,坦克部件!#REF!,4,FALSE)*VLOOKUP($AK58&amp;0,所有坦克升星属性,MATCH(AP$3,所有坦克升星属性标头,0),FALSE),0)</f>
        <v>#REF!</v>
      </c>
      <c r="AQ58" s="372" t="e">
        <f ca="1">VLOOKUP($AK58&amp;$AO58,所有坦克升星属性,MATCH(AQ$3,所有坦克升星属性标头,0),FALSE)+ROUND(AV58/VLOOKUP($AK58,坦克部件!#REF!,4,FALSE)*VLOOKUP($AK58&amp;0,所有坦克升星属性,MATCH(AQ$3,所有坦克升星属性标头,0),FALSE),0)</f>
        <v>#REF!</v>
      </c>
      <c r="AR58" s="372" t="e">
        <f t="shared" ca="1" si="36"/>
        <v>#REF!</v>
      </c>
      <c r="AS58" s="372" t="e">
        <f t="shared" ca="1" si="36"/>
        <v>#REF!</v>
      </c>
      <c r="AT58" s="372" t="e">
        <f ca="1">VLOOKUP($AK58&amp;$AO58,所有坦克升星属性,MATCH(AT$3,所有坦克升星属性标头,0),FALSE)+ROUND(AW58/VLOOKUP($AK58,坦克部件!#REF!,4,FALSE)*VLOOKUP($AK58&amp;0,所有坦克升星属性,MATCH(AT$3,所有坦克升星属性标头,0),FALSE),0)</f>
        <v>#REF!</v>
      </c>
      <c r="AU58" s="372" t="e">
        <f ca="1">(VLOOKUP($AM58,坦克部件!#REF!,MATCH("标准值",坦克部件!#REF!,0),FALSE)+VLOOKUP($AN58,坦克部件!#REF!,MATCH("标准值",坦克部件!#REF!,0),FALSE))*2</f>
        <v>#REF!</v>
      </c>
      <c r="AV58" s="372" t="e">
        <f ca="1">(VLOOKUP($AM58,坦克部件!#REF!,MATCH("标准值",坦克部件!#REF!,0),FALSE)+VLOOKUP($AN58,坦克部件!#REF!,MATCH("标准值",坦克部件!#REF!,0),FALSE))*2</f>
        <v>#REF!</v>
      </c>
      <c r="AW58" s="372" t="e">
        <f ca="1">(VLOOKUP($AM58,坦克部件!#REF!,MATCH("标准值",坦克部件!#REF!,0),FALSE)+VLOOKUP($AN58,坦克部件!#REF!,MATCH("标准值",坦克部件!#REF!,0),FALSE))*2</f>
        <v>#REF!</v>
      </c>
      <c r="AX58" s="372" t="e">
        <f ca="1">VLOOKUP($AK58,坦克属性统计!$B$3:$AY$33,MATCH(AX$3,坦克属性统计!$B$3:$AY$3,0),FALSE)</f>
        <v>#REF!</v>
      </c>
      <c r="AY58" s="372" t="e">
        <f t="shared" ca="1" si="37"/>
        <v>#REF!</v>
      </c>
      <c r="AZ58" s="372" t="e">
        <f t="shared" ca="1" si="37"/>
        <v>#REF!</v>
      </c>
      <c r="BA58" s="372" t="e">
        <f t="shared" ca="1" si="37"/>
        <v>#REF!</v>
      </c>
      <c r="BB58" s="356" t="e">
        <f t="shared" ca="1" si="13"/>
        <v>#REF!</v>
      </c>
      <c r="BC58" s="356" t="e">
        <f ca="1">VLOOKUP(AK58,坦克个性化设定!$B$18:$E$48,4,FALSE)</f>
        <v>#REF!</v>
      </c>
      <c r="BD58" s="357" t="e">
        <f t="shared" ca="1" si="22"/>
        <v>#REF!</v>
      </c>
      <c r="BF58" s="357" t="str">
        <f t="shared" ca="1" si="14"/>
        <v/>
      </c>
      <c r="BG58" s="372" t="str">
        <f ca="1">IFERROR(VLOOKUP(BF58,坦克个性化设定!$B$18:$F$48,5,FALSE),"")</f>
        <v/>
      </c>
      <c r="BH58" s="372" t="e">
        <f t="shared" ca="1" si="23"/>
        <v>#REF!</v>
      </c>
      <c r="BI58" s="372" t="e">
        <f t="shared" ca="1" si="24"/>
        <v>#REF!</v>
      </c>
      <c r="BJ58" s="364" t="str">
        <f t="shared" ca="1" si="15"/>
        <v>NULL</v>
      </c>
      <c r="BK58" s="372" t="e">
        <f ca="1">VLOOKUP($BF58&amp;IF($BJ58="NULL",0,$BJ58),所有坦克升星属性,MATCH(BK$3,所有坦克升星属性标头,0),FALSE)+ROUND(BP58/VLOOKUP($BF58,坦克部件!#REF!,4,FALSE)*VLOOKUP($BF58&amp;0,所有坦克升星属性,MATCH(BK$3,所有坦克升星属性标头,0),FALSE),0)</f>
        <v>#N/A</v>
      </c>
      <c r="BL58" s="372" t="e">
        <f ca="1">VLOOKUP($BF58&amp;IF($BJ58="NULL",0,$BJ58),所有坦克升星属性,MATCH(BL$3,所有坦克升星属性标头,0),FALSE)+ROUND(BQ58/VLOOKUP($BF58,坦克部件!#REF!,4,FALSE)*VLOOKUP($BF58&amp;0,所有坦克升星属性,MATCH(BL$3,所有坦克升星属性标头,0),FALSE),0)</f>
        <v>#N/A</v>
      </c>
      <c r="BM58" s="372" t="e">
        <f t="shared" ca="1" si="38"/>
        <v>#N/A</v>
      </c>
      <c r="BN58" s="372" t="e">
        <f t="shared" ca="1" si="38"/>
        <v>#N/A</v>
      </c>
      <c r="BO58" s="372" t="e">
        <f ca="1">VLOOKUP($BF58&amp;IF($BJ58="NULL",0,$BJ58),所有坦克升星属性,MATCH(BO$3,所有坦克升星属性标头,0),FALSE)+ROUND(BR58/VLOOKUP($BF58,坦克部件!#REF!,4,FALSE)*VLOOKUP($BF58&amp;0,所有坦克升星属性,MATCH(BO$3,所有坦克升星属性标头,0),FALSE),0)</f>
        <v>#N/A</v>
      </c>
      <c r="BP58" s="372" t="e">
        <f ca="1">(VLOOKUP($BH58,坦克部件!#REF!,MATCH("标准值",坦克部件!#REF!,0),FALSE)+VLOOKUP($BI58,坦克部件!#REF!,MATCH("标准值",坦克部件!#REF!,0),FALSE))*2</f>
        <v>#REF!</v>
      </c>
      <c r="BQ58" s="372" t="e">
        <f ca="1">(VLOOKUP($BH58,坦克部件!#REF!,MATCH("标准值",坦克部件!#REF!,0),FALSE)+VLOOKUP($BI58,坦克部件!#REF!,MATCH("标准值",坦克部件!#REF!,0),FALSE))*2</f>
        <v>#REF!</v>
      </c>
      <c r="BR58" s="372" t="e">
        <f ca="1">(VLOOKUP($BH58,坦克部件!#REF!,MATCH("标准值",坦克部件!#REF!,0),FALSE)+VLOOKUP($BI58,坦克部件!#REF!,MATCH("标准值",坦克部件!#REF!,0),FALSE))*2</f>
        <v>#REF!</v>
      </c>
      <c r="BS58" s="372" t="e">
        <f ca="1">VLOOKUP($BF58,坦克属性统计!$B$3:$AY$33,MATCH(BS$3,坦克属性统计!$B$3:$AY$3,0),FALSE)</f>
        <v>#N/A</v>
      </c>
      <c r="BT58" s="372" t="e">
        <f t="shared" ca="1" si="39"/>
        <v>#N/A</v>
      </c>
      <c r="BU58" s="372" t="e">
        <f t="shared" ca="1" si="39"/>
        <v>#N/A</v>
      </c>
      <c r="BV58" s="372" t="e">
        <f t="shared" ca="1" si="39"/>
        <v>#N/A</v>
      </c>
      <c r="BW58" s="356">
        <f t="shared" ca="1" si="18"/>
        <v>0</v>
      </c>
      <c r="BX58" s="356" t="e">
        <f ca="1">VLOOKUP(BF58,坦克个性化设定!$B$18:$E$48,4,FALSE)</f>
        <v>#N/A</v>
      </c>
      <c r="BY58" s="357" t="e">
        <f t="shared" ca="1" si="25"/>
        <v>#N/A</v>
      </c>
    </row>
    <row r="59" spans="2:77" x14ac:dyDescent="0.35">
      <c r="B59" s="352">
        <v>10</v>
      </c>
      <c r="C59" s="367">
        <f>游戏时长规划!C121</f>
        <v>20</v>
      </c>
      <c r="D59" s="367">
        <f>游戏时长规划!D121</f>
        <v>180</v>
      </c>
      <c r="E59" s="367">
        <f>游戏时长规划!E121</f>
        <v>4</v>
      </c>
      <c r="F59" s="367">
        <f>游戏时长规划!F121</f>
        <v>10100</v>
      </c>
      <c r="H59" s="363" t="s">
        <v>626</v>
      </c>
      <c r="I59" s="360" t="str">
        <f>坦克个性化设定!D31</f>
        <v>中坦</v>
      </c>
      <c r="J59" s="360" t="str">
        <f>坦克个性化设定!E31</f>
        <v>T2</v>
      </c>
      <c r="K59" s="360" t="str">
        <f>坦克个性化细分!J16</f>
        <v>中</v>
      </c>
      <c r="L59" s="360" t="str">
        <f t="shared" si="40"/>
        <v>T2中</v>
      </c>
      <c r="M59" s="360" t="str">
        <f t="shared" si="41"/>
        <v>中坦T2中</v>
      </c>
      <c r="N59" s="377"/>
      <c r="O59" s="365">
        <v>56</v>
      </c>
      <c r="P59" s="360" t="e">
        <f t="shared" ca="1" si="29"/>
        <v>#REF!</v>
      </c>
      <c r="Q59" s="360" t="e">
        <f ca="1">ROUND(MIN((BD59-VLOOKUP(R59,$B$22:$F$46,2,FALSE))/(VLOOKUP(R59,$B$22:$F$46,3,FALSE)-VLOOKUP(R59,$B$22:$F$46,2,FALSE)),1)*((VLOOKUP(R59,$B$22:$F$46,4,FALSE)*(AG59/(AG59+VLOOKUP(P59,$D$49:$F$123,3,TRUE)))+VLOOKUP(R59,$B$22:$F$46,5,FALSE)*(1-AG59/(AG59+VLOOKUP(P59,$D$49:$F$123,3,TRUE))))/2)*游戏时长规划!$C$4,0)</f>
        <v>#REF!</v>
      </c>
      <c r="R59" s="360" t="e">
        <f t="shared" ca="1" si="0"/>
        <v>#REF!</v>
      </c>
      <c r="S59" s="360" t="e">
        <f t="shared" ca="1" si="27"/>
        <v>#REF!</v>
      </c>
      <c r="T59" s="360" t="e">
        <f t="shared" ca="1" si="30"/>
        <v>#REF!</v>
      </c>
      <c r="U59" s="370" t="e">
        <f t="shared" ca="1" si="1"/>
        <v>#REF!</v>
      </c>
      <c r="V59" s="363" t="e">
        <f t="shared" ca="1" si="35"/>
        <v>#REF!</v>
      </c>
      <c r="W59" s="360" t="e">
        <f t="shared" ca="1" si="3"/>
        <v>#REF!</v>
      </c>
      <c r="X59" s="81" t="e">
        <f t="shared" ca="1" si="19"/>
        <v>#REF!</v>
      </c>
      <c r="Y59" s="360" t="str">
        <f t="shared" ca="1" si="4"/>
        <v>NULL</v>
      </c>
      <c r="Z59" s="375" t="e">
        <f t="shared" ca="1" si="20"/>
        <v>#REF!</v>
      </c>
      <c r="AA59" s="360">
        <f ca="1">IFERROR(VLOOKUP(IF(V59="T1低",游戏时长规划!$C$67+Z59,Z59),INDIRECT(V59&amp;"星级"),2,TRUE),0)</f>
        <v>0</v>
      </c>
      <c r="AB59" s="375" t="e">
        <f t="shared" ca="1" si="5"/>
        <v>#REF!</v>
      </c>
      <c r="AC59" s="375">
        <f ca="1">($D$14+$D$17)*$L$4/坦克部件养成!$C$2+AC58-IFERROR(IF(RIGHT(AD58,3)*1&gt;RIGHT(VLOOKUP(AC58,INDIRECT(LEFT(AD57,2)&amp;"部件升阶"),5,TRUE),3)*1,VLOOKUP(AD57,INDIRECT(LEFT(AD57,2)&amp;"部件升阶消耗"),2,FALSE),0),0)</f>
        <v>662.66666666666686</v>
      </c>
      <c r="AD59" s="360" t="e">
        <f t="shared" ca="1" si="6"/>
        <v>#REF!</v>
      </c>
      <c r="AE59" s="375" t="e">
        <f ca="1">$D$15*$L$4/坦克部件养成!$C$2+AE58-IF(LEFT(AD59,2)&lt;&gt;LEFT(AD58,2),VLOOKUP(AF58,INDIRECT(LEFT(AD58,2)&amp;"部件升级消耗"),5,FALSE),0)</f>
        <v>#REF!</v>
      </c>
      <c r="AF59" s="360" t="e">
        <f ca="1">MIN(VLOOKUP(AE59,INDIRECT(LEFT(AD59,2)&amp;"部件升级"),2,TRUE),VLOOKUP(LEFT(AD59,2),坦克部件养成!#REF!,6,FALSE))</f>
        <v>#REF!</v>
      </c>
      <c r="AG59" s="378" t="e">
        <f ca="1">MAX(BD$4:BD59)</f>
        <v>#REF!</v>
      </c>
      <c r="AH59" s="378" t="str">
        <f t="shared" ca="1" si="7"/>
        <v/>
      </c>
      <c r="AI59" s="378">
        <f ca="1">IF(Y59="NULL",0,MAX(BY$4:BY59))</f>
        <v>0</v>
      </c>
      <c r="AK59" s="364" t="e">
        <f t="shared" ca="1" si="8"/>
        <v>#REF!</v>
      </c>
      <c r="AL59" s="364" t="e">
        <f ca="1">VLOOKUP(AK59,坦克个性化设定!$B$18:$F$48,5,FALSE)</f>
        <v>#REF!</v>
      </c>
      <c r="AM59" s="372" t="e">
        <f t="shared" ca="1" si="9"/>
        <v>#REF!</v>
      </c>
      <c r="AN59" s="372" t="e">
        <f t="shared" ca="1" si="21"/>
        <v>#REF!</v>
      </c>
      <c r="AO59" s="364">
        <f t="shared" ca="1" si="10"/>
        <v>0</v>
      </c>
      <c r="AP59" s="372" t="e">
        <f ca="1">VLOOKUP($AK59&amp;$AO59,所有坦克升星属性,MATCH(AP$3,所有坦克升星属性标头,0),FALSE)+ROUND(AU59/VLOOKUP($AK59,坦克部件!#REF!,4,FALSE)*VLOOKUP($AK59&amp;0,所有坦克升星属性,MATCH(AP$3,所有坦克升星属性标头,0),FALSE),0)</f>
        <v>#REF!</v>
      </c>
      <c r="AQ59" s="372" t="e">
        <f ca="1">VLOOKUP($AK59&amp;$AO59,所有坦克升星属性,MATCH(AQ$3,所有坦克升星属性标头,0),FALSE)+ROUND(AV59/VLOOKUP($AK59,坦克部件!#REF!,4,FALSE)*VLOOKUP($AK59&amp;0,所有坦克升星属性,MATCH(AQ$3,所有坦克升星属性标头,0),FALSE),0)</f>
        <v>#REF!</v>
      </c>
      <c r="AR59" s="372" t="e">
        <f t="shared" ca="1" si="36"/>
        <v>#REF!</v>
      </c>
      <c r="AS59" s="372" t="e">
        <f t="shared" ca="1" si="36"/>
        <v>#REF!</v>
      </c>
      <c r="AT59" s="372" t="e">
        <f ca="1">VLOOKUP($AK59&amp;$AO59,所有坦克升星属性,MATCH(AT$3,所有坦克升星属性标头,0),FALSE)+ROUND(AW59/VLOOKUP($AK59,坦克部件!#REF!,4,FALSE)*VLOOKUP($AK59&amp;0,所有坦克升星属性,MATCH(AT$3,所有坦克升星属性标头,0),FALSE),0)</f>
        <v>#REF!</v>
      </c>
      <c r="AU59" s="372" t="e">
        <f ca="1">(VLOOKUP($AM59,坦克部件!#REF!,MATCH("标准值",坦克部件!#REF!,0),FALSE)+VLOOKUP($AN59,坦克部件!#REF!,MATCH("标准值",坦克部件!#REF!,0),FALSE))*2</f>
        <v>#REF!</v>
      </c>
      <c r="AV59" s="372" t="e">
        <f ca="1">(VLOOKUP($AM59,坦克部件!#REF!,MATCH("标准值",坦克部件!#REF!,0),FALSE)+VLOOKUP($AN59,坦克部件!#REF!,MATCH("标准值",坦克部件!#REF!,0),FALSE))*2</f>
        <v>#REF!</v>
      </c>
      <c r="AW59" s="372" t="e">
        <f ca="1">(VLOOKUP($AM59,坦克部件!#REF!,MATCH("标准值",坦克部件!#REF!,0),FALSE)+VLOOKUP($AN59,坦克部件!#REF!,MATCH("标准值",坦克部件!#REF!,0),FALSE))*2</f>
        <v>#REF!</v>
      </c>
      <c r="AX59" s="372" t="e">
        <f ca="1">VLOOKUP($AK59,坦克属性统计!$B$3:$AY$33,MATCH(AX$3,坦克属性统计!$B$3:$AY$3,0),FALSE)</f>
        <v>#REF!</v>
      </c>
      <c r="AY59" s="372" t="e">
        <f t="shared" ca="1" si="37"/>
        <v>#REF!</v>
      </c>
      <c r="AZ59" s="372" t="e">
        <f t="shared" ca="1" si="37"/>
        <v>#REF!</v>
      </c>
      <c r="BA59" s="372" t="e">
        <f t="shared" ca="1" si="37"/>
        <v>#REF!</v>
      </c>
      <c r="BB59" s="356" t="e">
        <f t="shared" ca="1" si="13"/>
        <v>#REF!</v>
      </c>
      <c r="BC59" s="356" t="e">
        <f ca="1">VLOOKUP(AK59,坦克个性化设定!$B$18:$E$48,4,FALSE)</f>
        <v>#REF!</v>
      </c>
      <c r="BD59" s="357" t="e">
        <f t="shared" ca="1" si="22"/>
        <v>#REF!</v>
      </c>
      <c r="BF59" s="357" t="str">
        <f t="shared" ca="1" si="14"/>
        <v/>
      </c>
      <c r="BG59" s="372" t="str">
        <f ca="1">IFERROR(VLOOKUP(BF59,坦克个性化设定!$B$18:$F$48,5,FALSE),"")</f>
        <v/>
      </c>
      <c r="BH59" s="372" t="e">
        <f t="shared" ca="1" si="23"/>
        <v>#REF!</v>
      </c>
      <c r="BI59" s="372" t="e">
        <f t="shared" ca="1" si="24"/>
        <v>#REF!</v>
      </c>
      <c r="BJ59" s="364" t="str">
        <f t="shared" ca="1" si="15"/>
        <v>NULL</v>
      </c>
      <c r="BK59" s="372" t="e">
        <f ca="1">VLOOKUP($BF59&amp;IF($BJ59="NULL",0,$BJ59),所有坦克升星属性,MATCH(BK$3,所有坦克升星属性标头,0),FALSE)+ROUND(BP59/VLOOKUP($BF59,坦克部件!#REF!,4,FALSE)*VLOOKUP($BF59&amp;0,所有坦克升星属性,MATCH(BK$3,所有坦克升星属性标头,0),FALSE),0)</f>
        <v>#N/A</v>
      </c>
      <c r="BL59" s="372" t="e">
        <f ca="1">VLOOKUP($BF59&amp;IF($BJ59="NULL",0,$BJ59),所有坦克升星属性,MATCH(BL$3,所有坦克升星属性标头,0),FALSE)+ROUND(BQ59/VLOOKUP($BF59,坦克部件!#REF!,4,FALSE)*VLOOKUP($BF59&amp;0,所有坦克升星属性,MATCH(BL$3,所有坦克升星属性标头,0),FALSE),0)</f>
        <v>#N/A</v>
      </c>
      <c r="BM59" s="372" t="e">
        <f t="shared" ca="1" si="38"/>
        <v>#N/A</v>
      </c>
      <c r="BN59" s="372" t="e">
        <f t="shared" ca="1" si="38"/>
        <v>#N/A</v>
      </c>
      <c r="BO59" s="372" t="e">
        <f ca="1">VLOOKUP($BF59&amp;IF($BJ59="NULL",0,$BJ59),所有坦克升星属性,MATCH(BO$3,所有坦克升星属性标头,0),FALSE)+ROUND(BR59/VLOOKUP($BF59,坦克部件!#REF!,4,FALSE)*VLOOKUP($BF59&amp;0,所有坦克升星属性,MATCH(BO$3,所有坦克升星属性标头,0),FALSE),0)</f>
        <v>#N/A</v>
      </c>
      <c r="BP59" s="372" t="e">
        <f ca="1">(VLOOKUP($BH59,坦克部件!#REF!,MATCH("标准值",坦克部件!#REF!,0),FALSE)+VLOOKUP($BI59,坦克部件!#REF!,MATCH("标准值",坦克部件!#REF!,0),FALSE))*2</f>
        <v>#REF!</v>
      </c>
      <c r="BQ59" s="372" t="e">
        <f ca="1">(VLOOKUP($BH59,坦克部件!#REF!,MATCH("标准值",坦克部件!#REF!,0),FALSE)+VLOOKUP($BI59,坦克部件!#REF!,MATCH("标准值",坦克部件!#REF!,0),FALSE))*2</f>
        <v>#REF!</v>
      </c>
      <c r="BR59" s="372" t="e">
        <f ca="1">(VLOOKUP($BH59,坦克部件!#REF!,MATCH("标准值",坦克部件!#REF!,0),FALSE)+VLOOKUP($BI59,坦克部件!#REF!,MATCH("标准值",坦克部件!#REF!,0),FALSE))*2</f>
        <v>#REF!</v>
      </c>
      <c r="BS59" s="372" t="e">
        <f ca="1">VLOOKUP($BF59,坦克属性统计!$B$3:$AY$33,MATCH(BS$3,坦克属性统计!$B$3:$AY$3,0),FALSE)</f>
        <v>#N/A</v>
      </c>
      <c r="BT59" s="372" t="e">
        <f t="shared" ca="1" si="39"/>
        <v>#N/A</v>
      </c>
      <c r="BU59" s="372" t="e">
        <f t="shared" ca="1" si="39"/>
        <v>#N/A</v>
      </c>
      <c r="BV59" s="372" t="e">
        <f t="shared" ca="1" si="39"/>
        <v>#N/A</v>
      </c>
      <c r="BW59" s="356">
        <f t="shared" ca="1" si="18"/>
        <v>0</v>
      </c>
      <c r="BX59" s="356" t="e">
        <f ca="1">VLOOKUP(BF59,坦克个性化设定!$B$18:$E$48,4,FALSE)</f>
        <v>#N/A</v>
      </c>
      <c r="BY59" s="357" t="e">
        <f t="shared" ca="1" si="25"/>
        <v>#N/A</v>
      </c>
    </row>
    <row r="60" spans="2:77" x14ac:dyDescent="0.35">
      <c r="B60" s="352">
        <v>11</v>
      </c>
      <c r="C60" s="367">
        <f>游戏时长规划!C122</f>
        <v>20</v>
      </c>
      <c r="D60" s="367">
        <f>游戏时长规划!D122</f>
        <v>200</v>
      </c>
      <c r="E60" s="367">
        <f>游戏时长规划!E122</f>
        <v>4</v>
      </c>
      <c r="F60" s="367">
        <f>游戏时长规划!F122</f>
        <v>10750</v>
      </c>
      <c r="H60" s="363" t="s">
        <v>627</v>
      </c>
      <c r="I60" s="360" t="str">
        <f>坦克个性化设定!D32</f>
        <v>中坦</v>
      </c>
      <c r="J60" s="360" t="str">
        <f>坦克个性化设定!E32</f>
        <v>T3</v>
      </c>
      <c r="K60" s="360" t="str">
        <f>坦克个性化细分!J17</f>
        <v>低</v>
      </c>
      <c r="L60" s="360" t="str">
        <f t="shared" si="40"/>
        <v>T3低</v>
      </c>
      <c r="M60" s="360" t="str">
        <f t="shared" si="41"/>
        <v>中坦T3低</v>
      </c>
      <c r="N60" s="377">
        <f>O60-O7</f>
        <v>53</v>
      </c>
      <c r="O60" s="365">
        <v>57</v>
      </c>
      <c r="P60" s="360" t="e">
        <f t="shared" ca="1" si="29"/>
        <v>#REF!</v>
      </c>
      <c r="Q60" s="360" t="e">
        <f ca="1">ROUND(MIN((BD60-VLOOKUP(R60,$B$22:$F$46,2,FALSE))/(VLOOKUP(R60,$B$22:$F$46,3,FALSE)-VLOOKUP(R60,$B$22:$F$46,2,FALSE)),1)*((VLOOKUP(R60,$B$22:$F$46,4,FALSE)*(AG60/(AG60+VLOOKUP(P60,$D$49:$F$123,3,TRUE)))+VLOOKUP(R60,$B$22:$F$46,5,FALSE)*(1-AG60/(AG60+VLOOKUP(P60,$D$49:$F$123,3,TRUE))))/2)*游戏时长规划!$C$4,0)</f>
        <v>#REF!</v>
      </c>
      <c r="R60" s="360" t="e">
        <f t="shared" ca="1" si="0"/>
        <v>#REF!</v>
      </c>
      <c r="S60" s="360" t="e">
        <f t="shared" ca="1" si="27"/>
        <v>#REF!</v>
      </c>
      <c r="T60" s="360" t="e">
        <f t="shared" ca="1" si="30"/>
        <v>#REF!</v>
      </c>
      <c r="U60" s="370" t="e">
        <f t="shared" ca="1" si="1"/>
        <v>#REF!</v>
      </c>
      <c r="V60" s="363" t="e">
        <f t="shared" ca="1" si="35"/>
        <v>#REF!</v>
      </c>
      <c r="W60" s="360" t="e">
        <f t="shared" ca="1" si="3"/>
        <v>#REF!</v>
      </c>
      <c r="X60" s="81" t="e">
        <f t="shared" ca="1" si="19"/>
        <v>#REF!</v>
      </c>
      <c r="Y60" s="360" t="str">
        <f t="shared" ca="1" si="4"/>
        <v>NULL</v>
      </c>
      <c r="Z60" s="375" t="e">
        <f t="shared" ca="1" si="20"/>
        <v>#REF!</v>
      </c>
      <c r="AA60" s="360">
        <f ca="1">IFERROR(VLOOKUP(IF(V60="T1低",游戏时长规划!$C$67+Z60,Z60),INDIRECT(V60&amp;"星级"),2,TRUE),0)</f>
        <v>0</v>
      </c>
      <c r="AB60" s="375" t="e">
        <f t="shared" ca="1" si="5"/>
        <v>#REF!</v>
      </c>
      <c r="AC60" s="375">
        <f ca="1">($D$14+$D$17)*$L$4/坦克部件养成!$C$2+AC59-IFERROR(IF(RIGHT(AD59,3)*1&gt;RIGHT(VLOOKUP(AC59,INDIRECT(LEFT(AD58,2)&amp;"部件升阶"),5,TRUE),3)*1,VLOOKUP(AD58,INDIRECT(LEFT(AD58,2)&amp;"部件升阶消耗"),2,FALSE),0),0)</f>
        <v>674.50000000000023</v>
      </c>
      <c r="AD60" s="360" t="e">
        <f t="shared" ca="1" si="6"/>
        <v>#REF!</v>
      </c>
      <c r="AE60" s="375" t="e">
        <f ca="1">$D$15*$L$4/坦克部件养成!$C$2+AE59-IF(LEFT(AD60,2)&lt;&gt;LEFT(AD59,2),VLOOKUP(AF59,INDIRECT(LEFT(AD59,2)&amp;"部件升级消耗"),5,FALSE),0)</f>
        <v>#REF!</v>
      </c>
      <c r="AF60" s="360" t="e">
        <f ca="1">MIN(VLOOKUP(AE60,INDIRECT(LEFT(AD60,2)&amp;"部件升级"),2,TRUE),VLOOKUP(LEFT(AD60,2),坦克部件养成!#REF!,6,FALSE))</f>
        <v>#REF!</v>
      </c>
      <c r="AG60" s="378" t="e">
        <f ca="1">MAX(BD$4:BD60)</f>
        <v>#REF!</v>
      </c>
      <c r="AH60" s="378" t="str">
        <f t="shared" ca="1" si="7"/>
        <v/>
      </c>
      <c r="AI60" s="378">
        <f ca="1">IF(Y60="NULL",0,MAX(BY$4:BY60))</f>
        <v>0</v>
      </c>
      <c r="AK60" s="364" t="e">
        <f t="shared" ca="1" si="8"/>
        <v>#REF!</v>
      </c>
      <c r="AL60" s="364" t="e">
        <f ca="1">VLOOKUP(AK60,坦克个性化设定!$B$18:$F$48,5,FALSE)</f>
        <v>#REF!</v>
      </c>
      <c r="AM60" s="372" t="e">
        <f t="shared" ca="1" si="9"/>
        <v>#REF!</v>
      </c>
      <c r="AN60" s="372" t="e">
        <f t="shared" ca="1" si="21"/>
        <v>#REF!</v>
      </c>
      <c r="AO60" s="364">
        <f t="shared" ca="1" si="10"/>
        <v>0</v>
      </c>
      <c r="AP60" s="372" t="e">
        <f ca="1">VLOOKUP($AK60&amp;$AO60,所有坦克升星属性,MATCH(AP$3,所有坦克升星属性标头,0),FALSE)+ROUND(AU60/VLOOKUP($AK60,坦克部件!#REF!,4,FALSE)*VLOOKUP($AK60&amp;0,所有坦克升星属性,MATCH(AP$3,所有坦克升星属性标头,0),FALSE),0)</f>
        <v>#REF!</v>
      </c>
      <c r="AQ60" s="372" t="e">
        <f ca="1">VLOOKUP($AK60&amp;$AO60,所有坦克升星属性,MATCH(AQ$3,所有坦克升星属性标头,0),FALSE)+ROUND(AV60/VLOOKUP($AK60,坦克部件!#REF!,4,FALSE)*VLOOKUP($AK60&amp;0,所有坦克升星属性,MATCH(AQ$3,所有坦克升星属性标头,0),FALSE),0)</f>
        <v>#REF!</v>
      </c>
      <c r="AR60" s="372" t="e">
        <f t="shared" ca="1" si="36"/>
        <v>#REF!</v>
      </c>
      <c r="AS60" s="372" t="e">
        <f t="shared" ca="1" si="36"/>
        <v>#REF!</v>
      </c>
      <c r="AT60" s="372" t="e">
        <f ca="1">VLOOKUP($AK60&amp;$AO60,所有坦克升星属性,MATCH(AT$3,所有坦克升星属性标头,0),FALSE)+ROUND(AW60/VLOOKUP($AK60,坦克部件!#REF!,4,FALSE)*VLOOKUP($AK60&amp;0,所有坦克升星属性,MATCH(AT$3,所有坦克升星属性标头,0),FALSE),0)</f>
        <v>#REF!</v>
      </c>
      <c r="AU60" s="372" t="e">
        <f ca="1">(VLOOKUP($AM60,坦克部件!#REF!,MATCH("标准值",坦克部件!#REF!,0),FALSE)+VLOOKUP($AN60,坦克部件!#REF!,MATCH("标准值",坦克部件!#REF!,0),FALSE))*2</f>
        <v>#REF!</v>
      </c>
      <c r="AV60" s="372" t="e">
        <f ca="1">(VLOOKUP($AM60,坦克部件!#REF!,MATCH("标准值",坦克部件!#REF!,0),FALSE)+VLOOKUP($AN60,坦克部件!#REF!,MATCH("标准值",坦克部件!#REF!,0),FALSE))*2</f>
        <v>#REF!</v>
      </c>
      <c r="AW60" s="372" t="e">
        <f ca="1">(VLOOKUP($AM60,坦克部件!#REF!,MATCH("标准值",坦克部件!#REF!,0),FALSE)+VLOOKUP($AN60,坦克部件!#REF!,MATCH("标准值",坦克部件!#REF!,0),FALSE))*2</f>
        <v>#REF!</v>
      </c>
      <c r="AX60" s="372" t="e">
        <f ca="1">VLOOKUP($AK60,坦克属性统计!$B$3:$AY$33,MATCH(AX$3,坦克属性统计!$B$3:$AY$3,0),FALSE)</f>
        <v>#REF!</v>
      </c>
      <c r="AY60" s="372" t="e">
        <f t="shared" ca="1" si="37"/>
        <v>#REF!</v>
      </c>
      <c r="AZ60" s="372" t="e">
        <f t="shared" ca="1" si="37"/>
        <v>#REF!</v>
      </c>
      <c r="BA60" s="372" t="e">
        <f t="shared" ca="1" si="37"/>
        <v>#REF!</v>
      </c>
      <c r="BB60" s="356" t="e">
        <f t="shared" ca="1" si="13"/>
        <v>#REF!</v>
      </c>
      <c r="BC60" s="356" t="e">
        <f ca="1">VLOOKUP(AK60,坦克个性化设定!$B$18:$E$48,4,FALSE)</f>
        <v>#REF!</v>
      </c>
      <c r="BD60" s="357" t="e">
        <f t="shared" ca="1" si="22"/>
        <v>#REF!</v>
      </c>
      <c r="BF60" s="357" t="str">
        <f t="shared" ca="1" si="14"/>
        <v/>
      </c>
      <c r="BG60" s="372" t="str">
        <f ca="1">IFERROR(VLOOKUP(BF60,坦克个性化设定!$B$18:$F$48,5,FALSE),"")</f>
        <v/>
      </c>
      <c r="BH60" s="372" t="e">
        <f t="shared" ca="1" si="23"/>
        <v>#REF!</v>
      </c>
      <c r="BI60" s="372" t="e">
        <f t="shared" ca="1" si="24"/>
        <v>#REF!</v>
      </c>
      <c r="BJ60" s="364" t="str">
        <f t="shared" ca="1" si="15"/>
        <v>NULL</v>
      </c>
      <c r="BK60" s="372" t="e">
        <f ca="1">VLOOKUP($BF60&amp;IF($BJ60="NULL",0,$BJ60),所有坦克升星属性,MATCH(BK$3,所有坦克升星属性标头,0),FALSE)+ROUND(BP60/VLOOKUP($BF60,坦克部件!#REF!,4,FALSE)*VLOOKUP($BF60&amp;0,所有坦克升星属性,MATCH(BK$3,所有坦克升星属性标头,0),FALSE),0)</f>
        <v>#N/A</v>
      </c>
      <c r="BL60" s="372" t="e">
        <f ca="1">VLOOKUP($BF60&amp;IF($BJ60="NULL",0,$BJ60),所有坦克升星属性,MATCH(BL$3,所有坦克升星属性标头,0),FALSE)+ROUND(BQ60/VLOOKUP($BF60,坦克部件!#REF!,4,FALSE)*VLOOKUP($BF60&amp;0,所有坦克升星属性,MATCH(BL$3,所有坦克升星属性标头,0),FALSE),0)</f>
        <v>#N/A</v>
      </c>
      <c r="BM60" s="372" t="e">
        <f t="shared" ca="1" si="38"/>
        <v>#N/A</v>
      </c>
      <c r="BN60" s="372" t="e">
        <f t="shared" ca="1" si="38"/>
        <v>#N/A</v>
      </c>
      <c r="BO60" s="372" t="e">
        <f ca="1">VLOOKUP($BF60&amp;IF($BJ60="NULL",0,$BJ60),所有坦克升星属性,MATCH(BO$3,所有坦克升星属性标头,0),FALSE)+ROUND(BR60/VLOOKUP($BF60,坦克部件!#REF!,4,FALSE)*VLOOKUP($BF60&amp;0,所有坦克升星属性,MATCH(BO$3,所有坦克升星属性标头,0),FALSE),0)</f>
        <v>#N/A</v>
      </c>
      <c r="BP60" s="372" t="e">
        <f ca="1">(VLOOKUP($BH60,坦克部件!#REF!,MATCH("标准值",坦克部件!#REF!,0),FALSE)+VLOOKUP($BI60,坦克部件!#REF!,MATCH("标准值",坦克部件!#REF!,0),FALSE))*2</f>
        <v>#REF!</v>
      </c>
      <c r="BQ60" s="372" t="e">
        <f ca="1">(VLOOKUP($BH60,坦克部件!#REF!,MATCH("标准值",坦克部件!#REF!,0),FALSE)+VLOOKUP($BI60,坦克部件!#REF!,MATCH("标准值",坦克部件!#REF!,0),FALSE))*2</f>
        <v>#REF!</v>
      </c>
      <c r="BR60" s="372" t="e">
        <f ca="1">(VLOOKUP($BH60,坦克部件!#REF!,MATCH("标准值",坦克部件!#REF!,0),FALSE)+VLOOKUP($BI60,坦克部件!#REF!,MATCH("标准值",坦克部件!#REF!,0),FALSE))*2</f>
        <v>#REF!</v>
      </c>
      <c r="BS60" s="372" t="e">
        <f ca="1">VLOOKUP($BF60,坦克属性统计!$B$3:$AY$33,MATCH(BS$3,坦克属性统计!$B$3:$AY$3,0),FALSE)</f>
        <v>#N/A</v>
      </c>
      <c r="BT60" s="372" t="e">
        <f t="shared" ca="1" si="39"/>
        <v>#N/A</v>
      </c>
      <c r="BU60" s="372" t="e">
        <f t="shared" ca="1" si="39"/>
        <v>#N/A</v>
      </c>
      <c r="BV60" s="372" t="e">
        <f t="shared" ca="1" si="39"/>
        <v>#N/A</v>
      </c>
      <c r="BW60" s="356">
        <f t="shared" ca="1" si="18"/>
        <v>0</v>
      </c>
      <c r="BX60" s="356" t="e">
        <f ca="1">VLOOKUP(BF60,坦克个性化设定!$B$18:$E$48,4,FALSE)</f>
        <v>#N/A</v>
      </c>
      <c r="BY60" s="357" t="e">
        <f t="shared" ca="1" si="25"/>
        <v>#N/A</v>
      </c>
    </row>
    <row r="61" spans="2:77" x14ac:dyDescent="0.35">
      <c r="B61" s="352">
        <v>12</v>
      </c>
      <c r="C61" s="367">
        <f>游戏时长规划!C123</f>
        <v>20</v>
      </c>
      <c r="D61" s="367">
        <f>游戏时长规划!D123</f>
        <v>220</v>
      </c>
      <c r="E61" s="367">
        <f>游戏时长规划!E123</f>
        <v>4</v>
      </c>
      <c r="F61" s="367">
        <f>游戏时长规划!F123</f>
        <v>11400</v>
      </c>
      <c r="H61" s="363" t="s">
        <v>573</v>
      </c>
      <c r="I61" s="360" t="str">
        <f>坦克个性化设定!D33</f>
        <v>中坦</v>
      </c>
      <c r="J61" s="360" t="str">
        <f>坦克个性化设定!E33</f>
        <v>T3</v>
      </c>
      <c r="K61" s="360" t="str">
        <f>坦克个性化细分!J18</f>
        <v>中</v>
      </c>
      <c r="L61" s="360" t="str">
        <f t="shared" si="40"/>
        <v>T3中</v>
      </c>
      <c r="M61" s="360" t="str">
        <f t="shared" si="41"/>
        <v>中坦T3中</v>
      </c>
      <c r="N61" s="377"/>
      <c r="O61" s="365">
        <v>58</v>
      </c>
      <c r="P61" s="360" t="e">
        <f t="shared" ca="1" si="29"/>
        <v>#REF!</v>
      </c>
      <c r="Q61" s="360" t="e">
        <f ca="1">ROUND(MIN((BD61-VLOOKUP(R61,$B$22:$F$46,2,FALSE))/(VLOOKUP(R61,$B$22:$F$46,3,FALSE)-VLOOKUP(R61,$B$22:$F$46,2,FALSE)),1)*((VLOOKUP(R61,$B$22:$F$46,4,FALSE)*(AG61/(AG61+VLOOKUP(P61,$D$49:$F$123,3,TRUE)))+VLOOKUP(R61,$B$22:$F$46,5,FALSE)*(1-AG61/(AG61+VLOOKUP(P61,$D$49:$F$123,3,TRUE))))/2)*游戏时长规划!$C$4,0)</f>
        <v>#REF!</v>
      </c>
      <c r="R61" s="360" t="e">
        <f t="shared" ca="1" si="0"/>
        <v>#REF!</v>
      </c>
      <c r="S61" s="360" t="e">
        <f t="shared" ca="1" si="27"/>
        <v>#REF!</v>
      </c>
      <c r="T61" s="360" t="e">
        <f t="shared" ca="1" si="30"/>
        <v>#REF!</v>
      </c>
      <c r="U61" s="370" t="e">
        <f t="shared" ca="1" si="1"/>
        <v>#REF!</v>
      </c>
      <c r="V61" s="363" t="e">
        <f t="shared" ca="1" si="35"/>
        <v>#REF!</v>
      </c>
      <c r="W61" s="360" t="e">
        <f t="shared" ca="1" si="3"/>
        <v>#REF!</v>
      </c>
      <c r="X61" s="81" t="e">
        <f t="shared" ca="1" si="19"/>
        <v>#REF!</v>
      </c>
      <c r="Y61" s="360" t="str">
        <f t="shared" ca="1" si="4"/>
        <v>NULL</v>
      </c>
      <c r="Z61" s="375" t="e">
        <f t="shared" ca="1" si="20"/>
        <v>#REF!</v>
      </c>
      <c r="AA61" s="360">
        <f ca="1">IFERROR(VLOOKUP(IF(V61="T1低",游戏时长规划!$C$67+Z61,Z61),INDIRECT(V61&amp;"星级"),2,TRUE),0)</f>
        <v>0</v>
      </c>
      <c r="AB61" s="375" t="e">
        <f t="shared" ca="1" si="5"/>
        <v>#REF!</v>
      </c>
      <c r="AC61" s="375">
        <f ca="1">($D$14+$D$17)*$L$4/坦克部件养成!$C$2+AC60-IFERROR(IF(RIGHT(AD60,3)*1&gt;RIGHT(VLOOKUP(AC60,INDIRECT(LEFT(AD59,2)&amp;"部件升阶"),5,TRUE),3)*1,VLOOKUP(AD59,INDIRECT(LEFT(AD59,2)&amp;"部件升阶消耗"),2,FALSE),0),0)</f>
        <v>686.3333333333336</v>
      </c>
      <c r="AD61" s="360" t="e">
        <f t="shared" ca="1" si="6"/>
        <v>#REF!</v>
      </c>
      <c r="AE61" s="375" t="e">
        <f ca="1">$D$15*$L$4/坦克部件养成!$C$2+AE60-IF(LEFT(AD61,2)&lt;&gt;LEFT(AD60,2),VLOOKUP(AF60,INDIRECT(LEFT(AD60,2)&amp;"部件升级消耗"),5,FALSE),0)</f>
        <v>#REF!</v>
      </c>
      <c r="AF61" s="360" t="e">
        <f ca="1">MIN(VLOOKUP(AE61,INDIRECT(LEFT(AD61,2)&amp;"部件升级"),2,TRUE),VLOOKUP(LEFT(AD61,2),坦克部件养成!#REF!,6,FALSE))</f>
        <v>#REF!</v>
      </c>
      <c r="AG61" s="378" t="e">
        <f ca="1">MAX(BD$4:BD61)</f>
        <v>#REF!</v>
      </c>
      <c r="AH61" s="378" t="str">
        <f t="shared" ca="1" si="7"/>
        <v/>
      </c>
      <c r="AI61" s="378">
        <f ca="1">IF(Y61="NULL",0,MAX(BY$4:BY61))</f>
        <v>0</v>
      </c>
      <c r="AK61" s="364" t="e">
        <f t="shared" ca="1" si="8"/>
        <v>#REF!</v>
      </c>
      <c r="AL61" s="364" t="e">
        <f ca="1">VLOOKUP(AK61,坦克个性化设定!$B$18:$F$48,5,FALSE)</f>
        <v>#REF!</v>
      </c>
      <c r="AM61" s="372" t="e">
        <f t="shared" ca="1" si="9"/>
        <v>#REF!</v>
      </c>
      <c r="AN61" s="372" t="e">
        <f t="shared" ca="1" si="21"/>
        <v>#REF!</v>
      </c>
      <c r="AO61" s="364">
        <f t="shared" ca="1" si="10"/>
        <v>0</v>
      </c>
      <c r="AP61" s="372" t="e">
        <f ca="1">VLOOKUP($AK61&amp;$AO61,所有坦克升星属性,MATCH(AP$3,所有坦克升星属性标头,0),FALSE)+ROUND(AU61/VLOOKUP($AK61,坦克部件!#REF!,4,FALSE)*VLOOKUP($AK61&amp;0,所有坦克升星属性,MATCH(AP$3,所有坦克升星属性标头,0),FALSE),0)</f>
        <v>#REF!</v>
      </c>
      <c r="AQ61" s="372" t="e">
        <f ca="1">VLOOKUP($AK61&amp;$AO61,所有坦克升星属性,MATCH(AQ$3,所有坦克升星属性标头,0),FALSE)+ROUND(AV61/VLOOKUP($AK61,坦克部件!#REF!,4,FALSE)*VLOOKUP($AK61&amp;0,所有坦克升星属性,MATCH(AQ$3,所有坦克升星属性标头,0),FALSE),0)</f>
        <v>#REF!</v>
      </c>
      <c r="AR61" s="372" t="e">
        <f t="shared" ca="1" si="36"/>
        <v>#REF!</v>
      </c>
      <c r="AS61" s="372" t="e">
        <f t="shared" ca="1" si="36"/>
        <v>#REF!</v>
      </c>
      <c r="AT61" s="372" t="e">
        <f ca="1">VLOOKUP($AK61&amp;$AO61,所有坦克升星属性,MATCH(AT$3,所有坦克升星属性标头,0),FALSE)+ROUND(AW61/VLOOKUP($AK61,坦克部件!#REF!,4,FALSE)*VLOOKUP($AK61&amp;0,所有坦克升星属性,MATCH(AT$3,所有坦克升星属性标头,0),FALSE),0)</f>
        <v>#REF!</v>
      </c>
      <c r="AU61" s="372" t="e">
        <f ca="1">(VLOOKUP($AM61,坦克部件!#REF!,MATCH("标准值",坦克部件!#REF!,0),FALSE)+VLOOKUP($AN61,坦克部件!#REF!,MATCH("标准值",坦克部件!#REF!,0),FALSE))*2</f>
        <v>#REF!</v>
      </c>
      <c r="AV61" s="372" t="e">
        <f ca="1">(VLOOKUP($AM61,坦克部件!#REF!,MATCH("标准值",坦克部件!#REF!,0),FALSE)+VLOOKUP($AN61,坦克部件!#REF!,MATCH("标准值",坦克部件!#REF!,0),FALSE))*2</f>
        <v>#REF!</v>
      </c>
      <c r="AW61" s="372" t="e">
        <f ca="1">(VLOOKUP($AM61,坦克部件!#REF!,MATCH("标准值",坦克部件!#REF!,0),FALSE)+VLOOKUP($AN61,坦克部件!#REF!,MATCH("标准值",坦克部件!#REF!,0),FALSE))*2</f>
        <v>#REF!</v>
      </c>
      <c r="AX61" s="372" t="e">
        <f ca="1">VLOOKUP($AK61,坦克属性统计!$B$3:$AY$33,MATCH(AX$3,坦克属性统计!$B$3:$AY$3,0),FALSE)</f>
        <v>#REF!</v>
      </c>
      <c r="AY61" s="372" t="e">
        <f t="shared" ca="1" si="37"/>
        <v>#REF!</v>
      </c>
      <c r="AZ61" s="372" t="e">
        <f t="shared" ca="1" si="37"/>
        <v>#REF!</v>
      </c>
      <c r="BA61" s="372" t="e">
        <f t="shared" ca="1" si="37"/>
        <v>#REF!</v>
      </c>
      <c r="BB61" s="356" t="e">
        <f t="shared" ca="1" si="13"/>
        <v>#REF!</v>
      </c>
      <c r="BC61" s="356" t="e">
        <f ca="1">VLOOKUP(AK61,坦克个性化设定!$B$18:$E$48,4,FALSE)</f>
        <v>#REF!</v>
      </c>
      <c r="BD61" s="357" t="e">
        <f t="shared" ca="1" si="22"/>
        <v>#REF!</v>
      </c>
      <c r="BF61" s="357" t="str">
        <f t="shared" ca="1" si="14"/>
        <v/>
      </c>
      <c r="BG61" s="372" t="str">
        <f ca="1">IFERROR(VLOOKUP(BF61,坦克个性化设定!$B$18:$F$48,5,FALSE),"")</f>
        <v/>
      </c>
      <c r="BH61" s="372" t="e">
        <f t="shared" ca="1" si="23"/>
        <v>#REF!</v>
      </c>
      <c r="BI61" s="372" t="e">
        <f t="shared" ca="1" si="24"/>
        <v>#REF!</v>
      </c>
      <c r="BJ61" s="364" t="str">
        <f t="shared" ca="1" si="15"/>
        <v>NULL</v>
      </c>
      <c r="BK61" s="372" t="e">
        <f ca="1">VLOOKUP($BF61&amp;IF($BJ61="NULL",0,$BJ61),所有坦克升星属性,MATCH(BK$3,所有坦克升星属性标头,0),FALSE)+ROUND(BP61/VLOOKUP($BF61,坦克部件!#REF!,4,FALSE)*VLOOKUP($BF61&amp;0,所有坦克升星属性,MATCH(BK$3,所有坦克升星属性标头,0),FALSE),0)</f>
        <v>#N/A</v>
      </c>
      <c r="BL61" s="372" t="e">
        <f ca="1">VLOOKUP($BF61&amp;IF($BJ61="NULL",0,$BJ61),所有坦克升星属性,MATCH(BL$3,所有坦克升星属性标头,0),FALSE)+ROUND(BQ61/VLOOKUP($BF61,坦克部件!#REF!,4,FALSE)*VLOOKUP($BF61&amp;0,所有坦克升星属性,MATCH(BL$3,所有坦克升星属性标头,0),FALSE),0)</f>
        <v>#N/A</v>
      </c>
      <c r="BM61" s="372" t="e">
        <f t="shared" ca="1" si="38"/>
        <v>#N/A</v>
      </c>
      <c r="BN61" s="372" t="e">
        <f t="shared" ca="1" si="38"/>
        <v>#N/A</v>
      </c>
      <c r="BO61" s="372" t="e">
        <f ca="1">VLOOKUP($BF61&amp;IF($BJ61="NULL",0,$BJ61),所有坦克升星属性,MATCH(BO$3,所有坦克升星属性标头,0),FALSE)+ROUND(BR61/VLOOKUP($BF61,坦克部件!#REF!,4,FALSE)*VLOOKUP($BF61&amp;0,所有坦克升星属性,MATCH(BO$3,所有坦克升星属性标头,0),FALSE),0)</f>
        <v>#N/A</v>
      </c>
      <c r="BP61" s="372" t="e">
        <f ca="1">(VLOOKUP($BH61,坦克部件!#REF!,MATCH("标准值",坦克部件!#REF!,0),FALSE)+VLOOKUP($BI61,坦克部件!#REF!,MATCH("标准值",坦克部件!#REF!,0),FALSE))*2</f>
        <v>#REF!</v>
      </c>
      <c r="BQ61" s="372" t="e">
        <f ca="1">(VLOOKUP($BH61,坦克部件!#REF!,MATCH("标准值",坦克部件!#REF!,0),FALSE)+VLOOKUP($BI61,坦克部件!#REF!,MATCH("标准值",坦克部件!#REF!,0),FALSE))*2</f>
        <v>#REF!</v>
      </c>
      <c r="BR61" s="372" t="e">
        <f ca="1">(VLOOKUP($BH61,坦克部件!#REF!,MATCH("标准值",坦克部件!#REF!,0),FALSE)+VLOOKUP($BI61,坦克部件!#REF!,MATCH("标准值",坦克部件!#REF!,0),FALSE))*2</f>
        <v>#REF!</v>
      </c>
      <c r="BS61" s="372" t="e">
        <f ca="1">VLOOKUP($BF61,坦克属性统计!$B$3:$AY$33,MATCH(BS$3,坦克属性统计!$B$3:$AY$3,0),FALSE)</f>
        <v>#N/A</v>
      </c>
      <c r="BT61" s="372" t="e">
        <f t="shared" ca="1" si="39"/>
        <v>#N/A</v>
      </c>
      <c r="BU61" s="372" t="e">
        <f t="shared" ca="1" si="39"/>
        <v>#N/A</v>
      </c>
      <c r="BV61" s="372" t="e">
        <f t="shared" ca="1" si="39"/>
        <v>#N/A</v>
      </c>
      <c r="BW61" s="356">
        <f t="shared" ca="1" si="18"/>
        <v>0</v>
      </c>
      <c r="BX61" s="356" t="e">
        <f ca="1">VLOOKUP(BF61,坦克个性化设定!$B$18:$E$48,4,FALSE)</f>
        <v>#N/A</v>
      </c>
      <c r="BY61" s="357" t="e">
        <f t="shared" ca="1" si="25"/>
        <v>#N/A</v>
      </c>
    </row>
    <row r="62" spans="2:77" x14ac:dyDescent="0.35">
      <c r="B62" s="352">
        <v>13</v>
      </c>
      <c r="C62" s="367">
        <f>游戏时长规划!C124</f>
        <v>20</v>
      </c>
      <c r="D62" s="367">
        <f>游戏时长规划!D124</f>
        <v>240</v>
      </c>
      <c r="E62" s="367">
        <f>游戏时长规划!E124</f>
        <v>4</v>
      </c>
      <c r="F62" s="367">
        <f>游戏时长规划!F124</f>
        <v>12100</v>
      </c>
      <c r="H62" s="363" t="s">
        <v>625</v>
      </c>
      <c r="I62" s="360" t="str">
        <f>坦克个性化设定!D34</f>
        <v>中坦</v>
      </c>
      <c r="J62" s="360" t="str">
        <f>坦克个性化设定!E34</f>
        <v>T3</v>
      </c>
      <c r="K62" s="360" t="str">
        <f>坦克个性化细分!J19</f>
        <v>高</v>
      </c>
      <c r="L62" s="360" t="str">
        <f t="shared" si="40"/>
        <v>T3高</v>
      </c>
      <c r="M62" s="360" t="str">
        <f t="shared" si="41"/>
        <v>中坦T3高</v>
      </c>
      <c r="N62" s="377"/>
      <c r="O62" s="365">
        <v>59</v>
      </c>
      <c r="P62" s="360" t="e">
        <f t="shared" ca="1" si="29"/>
        <v>#REF!</v>
      </c>
      <c r="Q62" s="360" t="e">
        <f ca="1">ROUND(MIN((BD62-VLOOKUP(R62,$B$22:$F$46,2,FALSE))/(VLOOKUP(R62,$B$22:$F$46,3,FALSE)-VLOOKUP(R62,$B$22:$F$46,2,FALSE)),1)*((VLOOKUP(R62,$B$22:$F$46,4,FALSE)*(AG62/(AG62+VLOOKUP(P62,$D$49:$F$123,3,TRUE)))+VLOOKUP(R62,$B$22:$F$46,5,FALSE)*(1-AG62/(AG62+VLOOKUP(P62,$D$49:$F$123,3,TRUE))))/2)*游戏时长规划!$C$4,0)</f>
        <v>#REF!</v>
      </c>
      <c r="R62" s="360" t="e">
        <f t="shared" ca="1" si="0"/>
        <v>#REF!</v>
      </c>
      <c r="S62" s="360" t="e">
        <f t="shared" ca="1" si="27"/>
        <v>#REF!</v>
      </c>
      <c r="T62" s="360" t="e">
        <f t="shared" ca="1" si="30"/>
        <v>#REF!</v>
      </c>
      <c r="U62" s="370" t="e">
        <f t="shared" ca="1" si="1"/>
        <v>#REF!</v>
      </c>
      <c r="V62" s="363" t="e">
        <f t="shared" ca="1" si="35"/>
        <v>#REF!</v>
      </c>
      <c r="W62" s="360" t="e">
        <f t="shared" ca="1" si="3"/>
        <v>#REF!</v>
      </c>
      <c r="X62" s="81" t="e">
        <f t="shared" ca="1" si="19"/>
        <v>#REF!</v>
      </c>
      <c r="Y62" s="360" t="str">
        <f t="shared" ca="1" si="4"/>
        <v>NULL</v>
      </c>
      <c r="Z62" s="375" t="e">
        <f t="shared" ca="1" si="20"/>
        <v>#REF!</v>
      </c>
      <c r="AA62" s="360">
        <f ca="1">IFERROR(VLOOKUP(IF(V62="T1低",游戏时长规划!$C$67+Z62,Z62),INDIRECT(V62&amp;"星级"),2,TRUE),0)</f>
        <v>0</v>
      </c>
      <c r="AB62" s="375" t="e">
        <f t="shared" ca="1" si="5"/>
        <v>#REF!</v>
      </c>
      <c r="AC62" s="375">
        <f ca="1">($D$14+$D$17)*$L$4/坦克部件养成!$C$2+AC61-IFERROR(IF(RIGHT(AD61,3)*1&gt;RIGHT(VLOOKUP(AC61,INDIRECT(LEFT(AD60,2)&amp;"部件升阶"),5,TRUE),3)*1,VLOOKUP(AD60,INDIRECT(LEFT(AD60,2)&amp;"部件升阶消耗"),2,FALSE),0),0)</f>
        <v>698.16666666666697</v>
      </c>
      <c r="AD62" s="360" t="e">
        <f t="shared" ca="1" si="6"/>
        <v>#REF!</v>
      </c>
      <c r="AE62" s="375" t="e">
        <f ca="1">$D$15*$L$4/坦克部件养成!$C$2+AE61-IF(LEFT(AD62,2)&lt;&gt;LEFT(AD61,2),VLOOKUP(AF61,INDIRECT(LEFT(AD61,2)&amp;"部件升级消耗"),5,FALSE),0)</f>
        <v>#REF!</v>
      </c>
      <c r="AF62" s="360" t="e">
        <f ca="1">MIN(VLOOKUP(AE62,INDIRECT(LEFT(AD62,2)&amp;"部件升级"),2,TRUE),VLOOKUP(LEFT(AD62,2),坦克部件养成!#REF!,6,FALSE))</f>
        <v>#REF!</v>
      </c>
      <c r="AG62" s="378" t="e">
        <f ca="1">MAX(BD$4:BD62)</f>
        <v>#REF!</v>
      </c>
      <c r="AH62" s="378" t="str">
        <f t="shared" ca="1" si="7"/>
        <v/>
      </c>
      <c r="AI62" s="378">
        <f ca="1">IF(Y62="NULL",0,MAX(BY$4:BY62))</f>
        <v>0</v>
      </c>
      <c r="AK62" s="364" t="e">
        <f t="shared" ca="1" si="8"/>
        <v>#REF!</v>
      </c>
      <c r="AL62" s="364" t="e">
        <f ca="1">VLOOKUP(AK62,坦克个性化设定!$B$18:$F$48,5,FALSE)</f>
        <v>#REF!</v>
      </c>
      <c r="AM62" s="372" t="e">
        <f t="shared" ca="1" si="9"/>
        <v>#REF!</v>
      </c>
      <c r="AN62" s="372" t="e">
        <f t="shared" ca="1" si="21"/>
        <v>#REF!</v>
      </c>
      <c r="AO62" s="364">
        <f t="shared" ca="1" si="10"/>
        <v>0</v>
      </c>
      <c r="AP62" s="372" t="e">
        <f ca="1">VLOOKUP($AK62&amp;$AO62,所有坦克升星属性,MATCH(AP$3,所有坦克升星属性标头,0),FALSE)+ROUND(AU62/VLOOKUP($AK62,坦克部件!#REF!,4,FALSE)*VLOOKUP($AK62&amp;0,所有坦克升星属性,MATCH(AP$3,所有坦克升星属性标头,0),FALSE),0)</f>
        <v>#REF!</v>
      </c>
      <c r="AQ62" s="372" t="e">
        <f ca="1">VLOOKUP($AK62&amp;$AO62,所有坦克升星属性,MATCH(AQ$3,所有坦克升星属性标头,0),FALSE)+ROUND(AV62/VLOOKUP($AK62,坦克部件!#REF!,4,FALSE)*VLOOKUP($AK62&amp;0,所有坦克升星属性,MATCH(AQ$3,所有坦克升星属性标头,0),FALSE),0)</f>
        <v>#REF!</v>
      </c>
      <c r="AR62" s="372" t="e">
        <f t="shared" ca="1" si="36"/>
        <v>#REF!</v>
      </c>
      <c r="AS62" s="372" t="e">
        <f t="shared" ca="1" si="36"/>
        <v>#REF!</v>
      </c>
      <c r="AT62" s="372" t="e">
        <f ca="1">VLOOKUP($AK62&amp;$AO62,所有坦克升星属性,MATCH(AT$3,所有坦克升星属性标头,0),FALSE)+ROUND(AW62/VLOOKUP($AK62,坦克部件!#REF!,4,FALSE)*VLOOKUP($AK62&amp;0,所有坦克升星属性,MATCH(AT$3,所有坦克升星属性标头,0),FALSE),0)</f>
        <v>#REF!</v>
      </c>
      <c r="AU62" s="372" t="e">
        <f ca="1">(VLOOKUP($AM62,坦克部件!#REF!,MATCH("标准值",坦克部件!#REF!,0),FALSE)+VLOOKUP($AN62,坦克部件!#REF!,MATCH("标准值",坦克部件!#REF!,0),FALSE))*2</f>
        <v>#REF!</v>
      </c>
      <c r="AV62" s="372" t="e">
        <f ca="1">(VLOOKUP($AM62,坦克部件!#REF!,MATCH("标准值",坦克部件!#REF!,0),FALSE)+VLOOKUP($AN62,坦克部件!#REF!,MATCH("标准值",坦克部件!#REF!,0),FALSE))*2</f>
        <v>#REF!</v>
      </c>
      <c r="AW62" s="372" t="e">
        <f ca="1">(VLOOKUP($AM62,坦克部件!#REF!,MATCH("标准值",坦克部件!#REF!,0),FALSE)+VLOOKUP($AN62,坦克部件!#REF!,MATCH("标准值",坦克部件!#REF!,0),FALSE))*2</f>
        <v>#REF!</v>
      </c>
      <c r="AX62" s="372" t="e">
        <f ca="1">VLOOKUP($AK62,坦克属性统计!$B$3:$AY$33,MATCH(AX$3,坦克属性统计!$B$3:$AY$3,0),FALSE)</f>
        <v>#REF!</v>
      </c>
      <c r="AY62" s="372" t="e">
        <f t="shared" ca="1" si="37"/>
        <v>#REF!</v>
      </c>
      <c r="AZ62" s="372" t="e">
        <f t="shared" ca="1" si="37"/>
        <v>#REF!</v>
      </c>
      <c r="BA62" s="372" t="e">
        <f t="shared" ca="1" si="37"/>
        <v>#REF!</v>
      </c>
      <c r="BB62" s="356" t="e">
        <f t="shared" ca="1" si="13"/>
        <v>#REF!</v>
      </c>
      <c r="BC62" s="356" t="e">
        <f ca="1">VLOOKUP(AK62,坦克个性化设定!$B$18:$E$48,4,FALSE)</f>
        <v>#REF!</v>
      </c>
      <c r="BD62" s="357" t="e">
        <f t="shared" ca="1" si="22"/>
        <v>#REF!</v>
      </c>
      <c r="BF62" s="357" t="str">
        <f t="shared" ca="1" si="14"/>
        <v/>
      </c>
      <c r="BG62" s="372" t="str">
        <f ca="1">IFERROR(VLOOKUP(BF62,坦克个性化设定!$B$18:$F$48,5,FALSE),"")</f>
        <v/>
      </c>
      <c r="BH62" s="372" t="e">
        <f t="shared" ca="1" si="23"/>
        <v>#REF!</v>
      </c>
      <c r="BI62" s="372" t="e">
        <f t="shared" ca="1" si="24"/>
        <v>#REF!</v>
      </c>
      <c r="BJ62" s="364" t="str">
        <f t="shared" ca="1" si="15"/>
        <v>NULL</v>
      </c>
      <c r="BK62" s="372" t="e">
        <f ca="1">VLOOKUP($BF62&amp;IF($BJ62="NULL",0,$BJ62),所有坦克升星属性,MATCH(BK$3,所有坦克升星属性标头,0),FALSE)+ROUND(BP62/VLOOKUP($BF62,坦克部件!#REF!,4,FALSE)*VLOOKUP($BF62&amp;0,所有坦克升星属性,MATCH(BK$3,所有坦克升星属性标头,0),FALSE),0)</f>
        <v>#N/A</v>
      </c>
      <c r="BL62" s="372" t="e">
        <f ca="1">VLOOKUP($BF62&amp;IF($BJ62="NULL",0,$BJ62),所有坦克升星属性,MATCH(BL$3,所有坦克升星属性标头,0),FALSE)+ROUND(BQ62/VLOOKUP($BF62,坦克部件!#REF!,4,FALSE)*VLOOKUP($BF62&amp;0,所有坦克升星属性,MATCH(BL$3,所有坦克升星属性标头,0),FALSE),0)</f>
        <v>#N/A</v>
      </c>
      <c r="BM62" s="372" t="e">
        <f t="shared" ca="1" si="38"/>
        <v>#N/A</v>
      </c>
      <c r="BN62" s="372" t="e">
        <f t="shared" ca="1" si="38"/>
        <v>#N/A</v>
      </c>
      <c r="BO62" s="372" t="e">
        <f ca="1">VLOOKUP($BF62&amp;IF($BJ62="NULL",0,$BJ62),所有坦克升星属性,MATCH(BO$3,所有坦克升星属性标头,0),FALSE)+ROUND(BR62/VLOOKUP($BF62,坦克部件!#REF!,4,FALSE)*VLOOKUP($BF62&amp;0,所有坦克升星属性,MATCH(BO$3,所有坦克升星属性标头,0),FALSE),0)</f>
        <v>#N/A</v>
      </c>
      <c r="BP62" s="372" t="e">
        <f ca="1">(VLOOKUP($BH62,坦克部件!#REF!,MATCH("标准值",坦克部件!#REF!,0),FALSE)+VLOOKUP($BI62,坦克部件!#REF!,MATCH("标准值",坦克部件!#REF!,0),FALSE))*2</f>
        <v>#REF!</v>
      </c>
      <c r="BQ62" s="372" t="e">
        <f ca="1">(VLOOKUP($BH62,坦克部件!#REF!,MATCH("标准值",坦克部件!#REF!,0),FALSE)+VLOOKUP($BI62,坦克部件!#REF!,MATCH("标准值",坦克部件!#REF!,0),FALSE))*2</f>
        <v>#REF!</v>
      </c>
      <c r="BR62" s="372" t="e">
        <f ca="1">(VLOOKUP($BH62,坦克部件!#REF!,MATCH("标准值",坦克部件!#REF!,0),FALSE)+VLOOKUP($BI62,坦克部件!#REF!,MATCH("标准值",坦克部件!#REF!,0),FALSE))*2</f>
        <v>#REF!</v>
      </c>
      <c r="BS62" s="372" t="e">
        <f ca="1">VLOOKUP($BF62,坦克属性统计!$B$3:$AY$33,MATCH(BS$3,坦克属性统计!$B$3:$AY$3,0),FALSE)</f>
        <v>#N/A</v>
      </c>
      <c r="BT62" s="372" t="e">
        <f t="shared" ca="1" si="39"/>
        <v>#N/A</v>
      </c>
      <c r="BU62" s="372" t="e">
        <f t="shared" ca="1" si="39"/>
        <v>#N/A</v>
      </c>
      <c r="BV62" s="372" t="e">
        <f t="shared" ca="1" si="39"/>
        <v>#N/A</v>
      </c>
      <c r="BW62" s="356">
        <f t="shared" ca="1" si="18"/>
        <v>0</v>
      </c>
      <c r="BX62" s="356" t="e">
        <f ca="1">VLOOKUP(BF62,坦克个性化设定!$B$18:$E$48,4,FALSE)</f>
        <v>#N/A</v>
      </c>
      <c r="BY62" s="357" t="e">
        <f t="shared" ca="1" si="25"/>
        <v>#N/A</v>
      </c>
    </row>
    <row r="63" spans="2:77" x14ac:dyDescent="0.35">
      <c r="B63" s="352">
        <v>14</v>
      </c>
      <c r="C63" s="367">
        <f>游戏时长规划!C125</f>
        <v>20</v>
      </c>
      <c r="D63" s="367">
        <f>游戏时长规划!D125</f>
        <v>260</v>
      </c>
      <c r="E63" s="367">
        <f>游戏时长规划!E125</f>
        <v>4</v>
      </c>
      <c r="F63" s="367">
        <f>游戏时长规划!F125</f>
        <v>12800</v>
      </c>
      <c r="H63" s="363" t="s">
        <v>641</v>
      </c>
      <c r="I63" s="360" t="str">
        <f>坦克个性化设定!D35</f>
        <v>中坦</v>
      </c>
      <c r="J63" s="360" t="str">
        <f>坦克个性化设定!E35</f>
        <v>T4</v>
      </c>
      <c r="K63" s="360" t="str">
        <f>坦克个性化细分!J20</f>
        <v>低</v>
      </c>
      <c r="L63" s="360" t="str">
        <f t="shared" si="40"/>
        <v>T4低</v>
      </c>
      <c r="M63" s="360" t="str">
        <f t="shared" si="41"/>
        <v>中坦T4低</v>
      </c>
      <c r="N63" s="377"/>
      <c r="O63" s="365">
        <v>60</v>
      </c>
      <c r="P63" s="360" t="e">
        <f t="shared" ca="1" si="29"/>
        <v>#REF!</v>
      </c>
      <c r="Q63" s="360" t="e">
        <f ca="1">ROUND(MIN((BD63-VLOOKUP(R63,$B$22:$F$46,2,FALSE))/(VLOOKUP(R63,$B$22:$F$46,3,FALSE)-VLOOKUP(R63,$B$22:$F$46,2,FALSE)),1)*((VLOOKUP(R63,$B$22:$F$46,4,FALSE)*(AG63/(AG63+VLOOKUP(P63,$D$49:$F$123,3,TRUE)))+VLOOKUP(R63,$B$22:$F$46,5,FALSE)*(1-AG63/(AG63+VLOOKUP(P63,$D$49:$F$123,3,TRUE))))/2)*游戏时长规划!$C$4,0)</f>
        <v>#REF!</v>
      </c>
      <c r="R63" s="360" t="e">
        <f t="shared" ca="1" si="0"/>
        <v>#REF!</v>
      </c>
      <c r="S63" s="360" t="e">
        <f t="shared" ca="1" si="27"/>
        <v>#REF!</v>
      </c>
      <c r="T63" s="360" t="e">
        <f t="shared" ca="1" si="30"/>
        <v>#REF!</v>
      </c>
      <c r="U63" s="370" t="e">
        <f t="shared" ca="1" si="1"/>
        <v>#REF!</v>
      </c>
      <c r="V63" s="363" t="e">
        <f t="shared" ca="1" si="35"/>
        <v>#REF!</v>
      </c>
      <c r="W63" s="360" t="e">
        <f t="shared" ca="1" si="3"/>
        <v>#REF!</v>
      </c>
      <c r="X63" s="81" t="e">
        <f t="shared" ca="1" si="19"/>
        <v>#REF!</v>
      </c>
      <c r="Y63" s="360" t="str">
        <f t="shared" ca="1" si="4"/>
        <v>NULL</v>
      </c>
      <c r="Z63" s="375" t="e">
        <f t="shared" ca="1" si="20"/>
        <v>#REF!</v>
      </c>
      <c r="AA63" s="360">
        <f ca="1">IFERROR(VLOOKUP(IF(V63="T1低",游戏时长规划!$C$67+Z63,Z63),INDIRECT(V63&amp;"星级"),2,TRUE),0)</f>
        <v>0</v>
      </c>
      <c r="AB63" s="375" t="e">
        <f t="shared" ca="1" si="5"/>
        <v>#REF!</v>
      </c>
      <c r="AC63" s="375">
        <f ca="1">($D$14+$D$17)*$L$4/坦克部件养成!$C$2+AC62-IFERROR(IF(RIGHT(AD62,3)*1&gt;RIGHT(VLOOKUP(AC62,INDIRECT(LEFT(AD61,2)&amp;"部件升阶"),5,TRUE),3)*1,VLOOKUP(AD61,INDIRECT(LEFT(AD61,2)&amp;"部件升阶消耗"),2,FALSE),0),0)</f>
        <v>710.00000000000034</v>
      </c>
      <c r="AD63" s="360" t="e">
        <f t="shared" ca="1" si="6"/>
        <v>#REF!</v>
      </c>
      <c r="AE63" s="375" t="e">
        <f ca="1">$D$15*$L$4/坦克部件养成!$C$2+AE62-IF(LEFT(AD63,2)&lt;&gt;LEFT(AD62,2),VLOOKUP(AF62,INDIRECT(LEFT(AD62,2)&amp;"部件升级消耗"),5,FALSE),0)</f>
        <v>#REF!</v>
      </c>
      <c r="AF63" s="360" t="e">
        <f ca="1">MIN(VLOOKUP(AE63,INDIRECT(LEFT(AD63,2)&amp;"部件升级"),2,TRUE),VLOOKUP(LEFT(AD63,2),坦克部件养成!#REF!,6,FALSE))</f>
        <v>#REF!</v>
      </c>
      <c r="AG63" s="378" t="e">
        <f ca="1">MAX(BD$4:BD63)</f>
        <v>#REF!</v>
      </c>
      <c r="AH63" s="378" t="str">
        <f t="shared" ca="1" si="7"/>
        <v/>
      </c>
      <c r="AI63" s="378">
        <f ca="1">IF(Y63="NULL",0,MAX(BY$4:BY63))</f>
        <v>0</v>
      </c>
      <c r="AK63" s="364" t="e">
        <f t="shared" ca="1" si="8"/>
        <v>#REF!</v>
      </c>
      <c r="AL63" s="364" t="e">
        <f ca="1">VLOOKUP(AK63,坦克个性化设定!$B$18:$F$48,5,FALSE)</f>
        <v>#REF!</v>
      </c>
      <c r="AM63" s="372" t="e">
        <f t="shared" ca="1" si="9"/>
        <v>#REF!</v>
      </c>
      <c r="AN63" s="372" t="e">
        <f t="shared" ca="1" si="21"/>
        <v>#REF!</v>
      </c>
      <c r="AO63" s="364">
        <f t="shared" ca="1" si="10"/>
        <v>0</v>
      </c>
      <c r="AP63" s="372" t="e">
        <f ca="1">VLOOKUP($AK63&amp;$AO63,所有坦克升星属性,MATCH(AP$3,所有坦克升星属性标头,0),FALSE)+ROUND(AU63/VLOOKUP($AK63,坦克部件!#REF!,4,FALSE)*VLOOKUP($AK63&amp;0,所有坦克升星属性,MATCH(AP$3,所有坦克升星属性标头,0),FALSE),0)</f>
        <v>#REF!</v>
      </c>
      <c r="AQ63" s="372" t="e">
        <f ca="1">VLOOKUP($AK63&amp;$AO63,所有坦克升星属性,MATCH(AQ$3,所有坦克升星属性标头,0),FALSE)+ROUND(AV63/VLOOKUP($AK63,坦克部件!#REF!,4,FALSE)*VLOOKUP($AK63&amp;0,所有坦克升星属性,MATCH(AQ$3,所有坦克升星属性标头,0),FALSE),0)</f>
        <v>#REF!</v>
      </c>
      <c r="AR63" s="372" t="e">
        <f t="shared" ca="1" si="36"/>
        <v>#REF!</v>
      </c>
      <c r="AS63" s="372" t="e">
        <f t="shared" ca="1" si="36"/>
        <v>#REF!</v>
      </c>
      <c r="AT63" s="372" t="e">
        <f ca="1">VLOOKUP($AK63&amp;$AO63,所有坦克升星属性,MATCH(AT$3,所有坦克升星属性标头,0),FALSE)+ROUND(AW63/VLOOKUP($AK63,坦克部件!#REF!,4,FALSE)*VLOOKUP($AK63&amp;0,所有坦克升星属性,MATCH(AT$3,所有坦克升星属性标头,0),FALSE),0)</f>
        <v>#REF!</v>
      </c>
      <c r="AU63" s="372" t="e">
        <f ca="1">(VLOOKUP($AM63,坦克部件!#REF!,MATCH("标准值",坦克部件!#REF!,0),FALSE)+VLOOKUP($AN63,坦克部件!#REF!,MATCH("标准值",坦克部件!#REF!,0),FALSE))*2</f>
        <v>#REF!</v>
      </c>
      <c r="AV63" s="372" t="e">
        <f ca="1">(VLOOKUP($AM63,坦克部件!#REF!,MATCH("标准值",坦克部件!#REF!,0),FALSE)+VLOOKUP($AN63,坦克部件!#REF!,MATCH("标准值",坦克部件!#REF!,0),FALSE))*2</f>
        <v>#REF!</v>
      </c>
      <c r="AW63" s="372" t="e">
        <f ca="1">(VLOOKUP($AM63,坦克部件!#REF!,MATCH("标准值",坦克部件!#REF!,0),FALSE)+VLOOKUP($AN63,坦克部件!#REF!,MATCH("标准值",坦克部件!#REF!,0),FALSE))*2</f>
        <v>#REF!</v>
      </c>
      <c r="AX63" s="372" t="e">
        <f ca="1">VLOOKUP($AK63,坦克属性统计!$B$3:$AY$33,MATCH(AX$3,坦克属性统计!$B$3:$AY$3,0),FALSE)</f>
        <v>#REF!</v>
      </c>
      <c r="AY63" s="372" t="e">
        <f t="shared" ca="1" si="37"/>
        <v>#REF!</v>
      </c>
      <c r="AZ63" s="372" t="e">
        <f t="shared" ca="1" si="37"/>
        <v>#REF!</v>
      </c>
      <c r="BA63" s="372" t="e">
        <f t="shared" ca="1" si="37"/>
        <v>#REF!</v>
      </c>
      <c r="BB63" s="356" t="e">
        <f t="shared" ca="1" si="13"/>
        <v>#REF!</v>
      </c>
      <c r="BC63" s="356" t="e">
        <f ca="1">VLOOKUP(AK63,坦克个性化设定!$B$18:$E$48,4,FALSE)</f>
        <v>#REF!</v>
      </c>
      <c r="BD63" s="357" t="e">
        <f t="shared" ca="1" si="22"/>
        <v>#REF!</v>
      </c>
      <c r="BF63" s="357" t="str">
        <f t="shared" ca="1" si="14"/>
        <v/>
      </c>
      <c r="BG63" s="372" t="str">
        <f ca="1">IFERROR(VLOOKUP(BF63,坦克个性化设定!$B$18:$F$48,5,FALSE),"")</f>
        <v/>
      </c>
      <c r="BH63" s="372" t="e">
        <f t="shared" ca="1" si="23"/>
        <v>#REF!</v>
      </c>
      <c r="BI63" s="372" t="e">
        <f t="shared" ca="1" si="24"/>
        <v>#REF!</v>
      </c>
      <c r="BJ63" s="364" t="str">
        <f t="shared" ca="1" si="15"/>
        <v>NULL</v>
      </c>
      <c r="BK63" s="372" t="e">
        <f ca="1">VLOOKUP($BF63&amp;IF($BJ63="NULL",0,$BJ63),所有坦克升星属性,MATCH(BK$3,所有坦克升星属性标头,0),FALSE)+ROUND(BP63/VLOOKUP($BF63,坦克部件!#REF!,4,FALSE)*VLOOKUP($BF63&amp;0,所有坦克升星属性,MATCH(BK$3,所有坦克升星属性标头,0),FALSE),0)</f>
        <v>#N/A</v>
      </c>
      <c r="BL63" s="372" t="e">
        <f ca="1">VLOOKUP($BF63&amp;IF($BJ63="NULL",0,$BJ63),所有坦克升星属性,MATCH(BL$3,所有坦克升星属性标头,0),FALSE)+ROUND(BQ63/VLOOKUP($BF63,坦克部件!#REF!,4,FALSE)*VLOOKUP($BF63&amp;0,所有坦克升星属性,MATCH(BL$3,所有坦克升星属性标头,0),FALSE),0)</f>
        <v>#N/A</v>
      </c>
      <c r="BM63" s="372" t="e">
        <f t="shared" ca="1" si="38"/>
        <v>#N/A</v>
      </c>
      <c r="BN63" s="372" t="e">
        <f t="shared" ca="1" si="38"/>
        <v>#N/A</v>
      </c>
      <c r="BO63" s="372" t="e">
        <f ca="1">VLOOKUP($BF63&amp;IF($BJ63="NULL",0,$BJ63),所有坦克升星属性,MATCH(BO$3,所有坦克升星属性标头,0),FALSE)+ROUND(BR63/VLOOKUP($BF63,坦克部件!#REF!,4,FALSE)*VLOOKUP($BF63&amp;0,所有坦克升星属性,MATCH(BO$3,所有坦克升星属性标头,0),FALSE),0)</f>
        <v>#N/A</v>
      </c>
      <c r="BP63" s="372" t="e">
        <f ca="1">(VLOOKUP($BH63,坦克部件!#REF!,MATCH("标准值",坦克部件!#REF!,0),FALSE)+VLOOKUP($BI63,坦克部件!#REF!,MATCH("标准值",坦克部件!#REF!,0),FALSE))*2</f>
        <v>#REF!</v>
      </c>
      <c r="BQ63" s="372" t="e">
        <f ca="1">(VLOOKUP($BH63,坦克部件!#REF!,MATCH("标准值",坦克部件!#REF!,0),FALSE)+VLOOKUP($BI63,坦克部件!#REF!,MATCH("标准值",坦克部件!#REF!,0),FALSE))*2</f>
        <v>#REF!</v>
      </c>
      <c r="BR63" s="372" t="e">
        <f ca="1">(VLOOKUP($BH63,坦克部件!#REF!,MATCH("标准值",坦克部件!#REF!,0),FALSE)+VLOOKUP($BI63,坦克部件!#REF!,MATCH("标准值",坦克部件!#REF!,0),FALSE))*2</f>
        <v>#REF!</v>
      </c>
      <c r="BS63" s="372" t="e">
        <f ca="1">VLOOKUP($BF63,坦克属性统计!$B$3:$AY$33,MATCH(BS$3,坦克属性统计!$B$3:$AY$3,0),FALSE)</f>
        <v>#N/A</v>
      </c>
      <c r="BT63" s="372" t="e">
        <f t="shared" ca="1" si="39"/>
        <v>#N/A</v>
      </c>
      <c r="BU63" s="372" t="e">
        <f t="shared" ca="1" si="39"/>
        <v>#N/A</v>
      </c>
      <c r="BV63" s="372" t="e">
        <f t="shared" ca="1" si="39"/>
        <v>#N/A</v>
      </c>
      <c r="BW63" s="356">
        <f t="shared" ca="1" si="18"/>
        <v>0</v>
      </c>
      <c r="BX63" s="356" t="e">
        <f ca="1">VLOOKUP(BF63,坦克个性化设定!$B$18:$E$48,4,FALSE)</f>
        <v>#N/A</v>
      </c>
      <c r="BY63" s="357" t="e">
        <f t="shared" ca="1" si="25"/>
        <v>#N/A</v>
      </c>
    </row>
    <row r="64" spans="2:77" x14ac:dyDescent="0.35">
      <c r="B64" s="352">
        <v>15</v>
      </c>
      <c r="C64" s="367">
        <f>游戏时长规划!C126</f>
        <v>20</v>
      </c>
      <c r="D64" s="367">
        <f>游戏时长规划!D126</f>
        <v>280</v>
      </c>
      <c r="E64" s="367">
        <f>游戏时长规划!E126</f>
        <v>4</v>
      </c>
      <c r="F64" s="367">
        <f>游戏时长规划!F126</f>
        <v>13550</v>
      </c>
      <c r="H64" s="363" t="s">
        <v>638</v>
      </c>
      <c r="I64" s="360" t="str">
        <f>坦克个性化设定!D36</f>
        <v>中坦</v>
      </c>
      <c r="J64" s="360" t="str">
        <f>坦克个性化设定!E36</f>
        <v>T4</v>
      </c>
      <c r="K64" s="360" t="str">
        <f>坦克个性化细分!J21</f>
        <v>中</v>
      </c>
      <c r="L64" s="360" t="str">
        <f t="shared" si="40"/>
        <v>T4中</v>
      </c>
      <c r="M64" s="360" t="str">
        <f t="shared" si="41"/>
        <v>中坦T4中</v>
      </c>
      <c r="N64" s="377"/>
      <c r="O64" s="365">
        <v>61</v>
      </c>
      <c r="P64" s="360" t="e">
        <f t="shared" ca="1" si="29"/>
        <v>#REF!</v>
      </c>
      <c r="Q64" s="360" t="e">
        <f ca="1">ROUND(MIN((BD64-VLOOKUP(R64,$B$22:$F$46,2,FALSE))/(VLOOKUP(R64,$B$22:$F$46,3,FALSE)-VLOOKUP(R64,$B$22:$F$46,2,FALSE)),1)*((VLOOKUP(R64,$B$22:$F$46,4,FALSE)*(AG64/(AG64+VLOOKUP(P64,$D$49:$F$123,3,TRUE)))+VLOOKUP(R64,$B$22:$F$46,5,FALSE)*(1-AG64/(AG64+VLOOKUP(P64,$D$49:$F$123,3,TRUE))))/2)*游戏时长规划!$C$4,0)</f>
        <v>#REF!</v>
      </c>
      <c r="R64" s="360" t="e">
        <f t="shared" ca="1" si="0"/>
        <v>#REF!</v>
      </c>
      <c r="S64" s="360" t="e">
        <f t="shared" ca="1" si="27"/>
        <v>#REF!</v>
      </c>
      <c r="T64" s="360" t="e">
        <f t="shared" ca="1" si="30"/>
        <v>#REF!</v>
      </c>
      <c r="U64" s="370" t="e">
        <f t="shared" ca="1" si="1"/>
        <v>#REF!</v>
      </c>
      <c r="V64" s="363" t="e">
        <f t="shared" ca="1" si="35"/>
        <v>#REF!</v>
      </c>
      <c r="W64" s="360" t="e">
        <f t="shared" ca="1" si="3"/>
        <v>#REF!</v>
      </c>
      <c r="X64" s="81" t="e">
        <f t="shared" ca="1" si="19"/>
        <v>#REF!</v>
      </c>
      <c r="Y64" s="360" t="str">
        <f t="shared" ca="1" si="4"/>
        <v>NULL</v>
      </c>
      <c r="Z64" s="375" t="e">
        <f t="shared" ca="1" si="20"/>
        <v>#REF!</v>
      </c>
      <c r="AA64" s="360">
        <f ca="1">IFERROR(VLOOKUP(IF(V64="T1低",游戏时长规划!$C$67+Z64,Z64),INDIRECT(V64&amp;"星级"),2,TRUE),0)</f>
        <v>0</v>
      </c>
      <c r="AB64" s="375" t="e">
        <f t="shared" ca="1" si="5"/>
        <v>#REF!</v>
      </c>
      <c r="AC64" s="375">
        <f ca="1">($D$14+$D$17)*$L$4/坦克部件养成!$C$2+AC63-IFERROR(IF(RIGHT(AD63,3)*1&gt;RIGHT(VLOOKUP(AC63,INDIRECT(LEFT(AD62,2)&amp;"部件升阶"),5,TRUE),3)*1,VLOOKUP(AD62,INDIRECT(LEFT(AD62,2)&amp;"部件升阶消耗"),2,FALSE),0),0)</f>
        <v>721.83333333333371</v>
      </c>
      <c r="AD64" s="360" t="e">
        <f t="shared" ca="1" si="6"/>
        <v>#REF!</v>
      </c>
      <c r="AE64" s="375" t="e">
        <f ca="1">$D$15*$L$4/坦克部件养成!$C$2+AE63-IF(LEFT(AD64,2)&lt;&gt;LEFT(AD63,2),VLOOKUP(AF63,INDIRECT(LEFT(AD63,2)&amp;"部件升级消耗"),5,FALSE),0)</f>
        <v>#REF!</v>
      </c>
      <c r="AF64" s="360" t="e">
        <f ca="1">MIN(VLOOKUP(AE64,INDIRECT(LEFT(AD64,2)&amp;"部件升级"),2,TRUE),VLOOKUP(LEFT(AD64,2),坦克部件养成!#REF!,6,FALSE))</f>
        <v>#REF!</v>
      </c>
      <c r="AG64" s="378" t="e">
        <f ca="1">MAX(BD$4:BD64)</f>
        <v>#REF!</v>
      </c>
      <c r="AH64" s="378" t="str">
        <f t="shared" ca="1" si="7"/>
        <v/>
      </c>
      <c r="AI64" s="378">
        <f ca="1">IF(Y64="NULL",0,MAX(BY$4:BY64))</f>
        <v>0</v>
      </c>
      <c r="AK64" s="364" t="e">
        <f t="shared" ca="1" si="8"/>
        <v>#REF!</v>
      </c>
      <c r="AL64" s="364" t="e">
        <f ca="1">VLOOKUP(AK64,坦克个性化设定!$B$18:$F$48,5,FALSE)</f>
        <v>#REF!</v>
      </c>
      <c r="AM64" s="372" t="e">
        <f t="shared" ca="1" si="9"/>
        <v>#REF!</v>
      </c>
      <c r="AN64" s="372" t="e">
        <f t="shared" ca="1" si="21"/>
        <v>#REF!</v>
      </c>
      <c r="AO64" s="364">
        <f t="shared" ca="1" si="10"/>
        <v>0</v>
      </c>
      <c r="AP64" s="372" t="e">
        <f ca="1">VLOOKUP($AK64&amp;$AO64,所有坦克升星属性,MATCH(AP$3,所有坦克升星属性标头,0),FALSE)+ROUND(AU64/VLOOKUP($AK64,坦克部件!#REF!,4,FALSE)*VLOOKUP($AK64&amp;0,所有坦克升星属性,MATCH(AP$3,所有坦克升星属性标头,0),FALSE),0)</f>
        <v>#REF!</v>
      </c>
      <c r="AQ64" s="372" t="e">
        <f ca="1">VLOOKUP($AK64&amp;$AO64,所有坦克升星属性,MATCH(AQ$3,所有坦克升星属性标头,0),FALSE)+ROUND(AV64/VLOOKUP($AK64,坦克部件!#REF!,4,FALSE)*VLOOKUP($AK64&amp;0,所有坦克升星属性,MATCH(AQ$3,所有坦克升星属性标头,0),FALSE),0)</f>
        <v>#REF!</v>
      </c>
      <c r="AR64" s="372" t="e">
        <f t="shared" ref="AR64:AS83" ca="1" si="42">VLOOKUP($AK64&amp;$AO64,所有坦克升星属性,MATCH(AR$3,所有坦克升星属性标头,0),FALSE)</f>
        <v>#REF!</v>
      </c>
      <c r="AS64" s="372" t="e">
        <f t="shared" ca="1" si="42"/>
        <v>#REF!</v>
      </c>
      <c r="AT64" s="372" t="e">
        <f ca="1">VLOOKUP($AK64&amp;$AO64,所有坦克升星属性,MATCH(AT$3,所有坦克升星属性标头,0),FALSE)+ROUND(AW64/VLOOKUP($AK64,坦克部件!#REF!,4,FALSE)*VLOOKUP($AK64&amp;0,所有坦克升星属性,MATCH(AT$3,所有坦克升星属性标头,0),FALSE),0)</f>
        <v>#REF!</v>
      </c>
      <c r="AU64" s="372" t="e">
        <f ca="1">(VLOOKUP($AM64,坦克部件!#REF!,MATCH("标准值",坦克部件!#REF!,0),FALSE)+VLOOKUP($AN64,坦克部件!#REF!,MATCH("标准值",坦克部件!#REF!,0),FALSE))*2</f>
        <v>#REF!</v>
      </c>
      <c r="AV64" s="372" t="e">
        <f ca="1">(VLOOKUP($AM64,坦克部件!#REF!,MATCH("标准值",坦克部件!#REF!,0),FALSE)+VLOOKUP($AN64,坦克部件!#REF!,MATCH("标准值",坦克部件!#REF!,0),FALSE))*2</f>
        <v>#REF!</v>
      </c>
      <c r="AW64" s="372" t="e">
        <f ca="1">(VLOOKUP($AM64,坦克部件!#REF!,MATCH("标准值",坦克部件!#REF!,0),FALSE)+VLOOKUP($AN64,坦克部件!#REF!,MATCH("标准值",坦克部件!#REF!,0),FALSE))*2</f>
        <v>#REF!</v>
      </c>
      <c r="AX64" s="372" t="e">
        <f ca="1">VLOOKUP($AK64,坦克属性统计!$B$3:$AY$33,MATCH(AX$3,坦克属性统计!$B$3:$AY$3,0),FALSE)</f>
        <v>#REF!</v>
      </c>
      <c r="AY64" s="372" t="e">
        <f t="shared" ref="AY64:BA83" ca="1" si="43">VLOOKUP($AK64&amp;$AO64,所有坦克升星属性,MATCH(AY$3,所有坦克升星属性标头,0),FALSE)</f>
        <v>#REF!</v>
      </c>
      <c r="AZ64" s="372" t="e">
        <f t="shared" ca="1" si="43"/>
        <v>#REF!</v>
      </c>
      <c r="BA64" s="372" t="e">
        <f t="shared" ca="1" si="43"/>
        <v>#REF!</v>
      </c>
      <c r="BB64" s="356" t="e">
        <f t="shared" ca="1" si="13"/>
        <v>#REF!</v>
      </c>
      <c r="BC64" s="356" t="e">
        <f ca="1">VLOOKUP(AK64,坦克个性化设定!$B$18:$E$48,4,FALSE)</f>
        <v>#REF!</v>
      </c>
      <c r="BD64" s="357" t="e">
        <f t="shared" ca="1" si="22"/>
        <v>#REF!</v>
      </c>
      <c r="BF64" s="357" t="str">
        <f t="shared" ca="1" si="14"/>
        <v/>
      </c>
      <c r="BG64" s="372" t="str">
        <f ca="1">IFERROR(VLOOKUP(BF64,坦克个性化设定!$B$18:$F$48,5,FALSE),"")</f>
        <v/>
      </c>
      <c r="BH64" s="372" t="e">
        <f t="shared" ca="1" si="23"/>
        <v>#REF!</v>
      </c>
      <c r="BI64" s="372" t="e">
        <f t="shared" ca="1" si="24"/>
        <v>#REF!</v>
      </c>
      <c r="BJ64" s="364" t="str">
        <f t="shared" ca="1" si="15"/>
        <v>NULL</v>
      </c>
      <c r="BK64" s="372" t="e">
        <f ca="1">VLOOKUP($BF64&amp;IF($BJ64="NULL",0,$BJ64),所有坦克升星属性,MATCH(BK$3,所有坦克升星属性标头,0),FALSE)+ROUND(BP64/VLOOKUP($BF64,坦克部件!#REF!,4,FALSE)*VLOOKUP($BF64&amp;0,所有坦克升星属性,MATCH(BK$3,所有坦克升星属性标头,0),FALSE),0)</f>
        <v>#N/A</v>
      </c>
      <c r="BL64" s="372" t="e">
        <f ca="1">VLOOKUP($BF64&amp;IF($BJ64="NULL",0,$BJ64),所有坦克升星属性,MATCH(BL$3,所有坦克升星属性标头,0),FALSE)+ROUND(BQ64/VLOOKUP($BF64,坦克部件!#REF!,4,FALSE)*VLOOKUP($BF64&amp;0,所有坦克升星属性,MATCH(BL$3,所有坦克升星属性标头,0),FALSE),0)</f>
        <v>#N/A</v>
      </c>
      <c r="BM64" s="372" t="e">
        <f t="shared" ref="BM64:BN83" ca="1" si="44">VLOOKUP($BF64&amp;IF($BJ64="NULL",0,$BJ64),所有坦克升星属性,MATCH(BM$3,所有坦克升星属性标头,0),FALSE)</f>
        <v>#N/A</v>
      </c>
      <c r="BN64" s="372" t="e">
        <f t="shared" ca="1" si="44"/>
        <v>#N/A</v>
      </c>
      <c r="BO64" s="372" t="e">
        <f ca="1">VLOOKUP($BF64&amp;IF($BJ64="NULL",0,$BJ64),所有坦克升星属性,MATCH(BO$3,所有坦克升星属性标头,0),FALSE)+ROUND(BR64/VLOOKUP($BF64,坦克部件!#REF!,4,FALSE)*VLOOKUP($BF64&amp;0,所有坦克升星属性,MATCH(BO$3,所有坦克升星属性标头,0),FALSE),0)</f>
        <v>#N/A</v>
      </c>
      <c r="BP64" s="372" t="e">
        <f ca="1">(VLOOKUP($BH64,坦克部件!#REF!,MATCH("标准值",坦克部件!#REF!,0),FALSE)+VLOOKUP($BI64,坦克部件!#REF!,MATCH("标准值",坦克部件!#REF!,0),FALSE))*2</f>
        <v>#REF!</v>
      </c>
      <c r="BQ64" s="372" t="e">
        <f ca="1">(VLOOKUP($BH64,坦克部件!#REF!,MATCH("标准值",坦克部件!#REF!,0),FALSE)+VLOOKUP($BI64,坦克部件!#REF!,MATCH("标准值",坦克部件!#REF!,0),FALSE))*2</f>
        <v>#REF!</v>
      </c>
      <c r="BR64" s="372" t="e">
        <f ca="1">(VLOOKUP($BH64,坦克部件!#REF!,MATCH("标准值",坦克部件!#REF!,0),FALSE)+VLOOKUP($BI64,坦克部件!#REF!,MATCH("标准值",坦克部件!#REF!,0),FALSE))*2</f>
        <v>#REF!</v>
      </c>
      <c r="BS64" s="372" t="e">
        <f ca="1">VLOOKUP($BF64,坦克属性统计!$B$3:$AY$33,MATCH(BS$3,坦克属性统计!$B$3:$AY$3,0),FALSE)</f>
        <v>#N/A</v>
      </c>
      <c r="BT64" s="372" t="e">
        <f t="shared" ref="BT64:BV83" ca="1" si="45">VLOOKUP($BF64&amp;IF($BJ64="NULL",0,$BJ64),所有坦克升星属性,MATCH(BT$3,所有坦克升星属性标头,0),FALSE)</f>
        <v>#N/A</v>
      </c>
      <c r="BU64" s="372" t="e">
        <f t="shared" ca="1" si="45"/>
        <v>#N/A</v>
      </c>
      <c r="BV64" s="372" t="e">
        <f t="shared" ca="1" si="45"/>
        <v>#N/A</v>
      </c>
      <c r="BW64" s="356">
        <f t="shared" ca="1" si="18"/>
        <v>0</v>
      </c>
      <c r="BX64" s="356" t="e">
        <f ca="1">VLOOKUP(BF64,坦克个性化设定!$B$18:$E$48,4,FALSE)</f>
        <v>#N/A</v>
      </c>
      <c r="BY64" s="357" t="e">
        <f t="shared" ca="1" si="25"/>
        <v>#N/A</v>
      </c>
    </row>
    <row r="65" spans="2:77" x14ac:dyDescent="0.35">
      <c r="B65" s="352">
        <v>16</v>
      </c>
      <c r="C65" s="367">
        <f>游戏时长规划!C127</f>
        <v>20</v>
      </c>
      <c r="D65" s="367">
        <f>游戏时长规划!D127</f>
        <v>300</v>
      </c>
      <c r="E65" s="367">
        <f>游戏时长规划!E127</f>
        <v>5</v>
      </c>
      <c r="F65" s="367">
        <f>游戏时长规划!F127</f>
        <v>11750</v>
      </c>
      <c r="H65" s="363" t="s">
        <v>634</v>
      </c>
      <c r="I65" s="360" t="str">
        <f>坦克个性化设定!D37</f>
        <v>中坦</v>
      </c>
      <c r="J65" s="360" t="str">
        <f>坦克个性化设定!E37</f>
        <v>T4</v>
      </c>
      <c r="K65" s="360" t="str">
        <f>坦克个性化细分!J22</f>
        <v>高</v>
      </c>
      <c r="L65" s="360" t="str">
        <f t="shared" si="40"/>
        <v>T4高</v>
      </c>
      <c r="M65" s="360" t="str">
        <f t="shared" si="41"/>
        <v>中坦T4高</v>
      </c>
      <c r="N65" s="377"/>
      <c r="O65" s="365">
        <v>62</v>
      </c>
      <c r="P65" s="360" t="e">
        <f t="shared" ca="1" si="29"/>
        <v>#REF!</v>
      </c>
      <c r="Q65" s="360" t="e">
        <f ca="1">ROUND(MIN((BD65-VLOOKUP(R65,$B$22:$F$46,2,FALSE))/(VLOOKUP(R65,$B$22:$F$46,3,FALSE)-VLOOKUP(R65,$B$22:$F$46,2,FALSE)),1)*((VLOOKUP(R65,$B$22:$F$46,4,FALSE)*(AG65/(AG65+VLOOKUP(P65,$D$49:$F$123,3,TRUE)))+VLOOKUP(R65,$B$22:$F$46,5,FALSE)*(1-AG65/(AG65+VLOOKUP(P65,$D$49:$F$123,3,TRUE))))/2)*游戏时长规划!$C$4,0)</f>
        <v>#REF!</v>
      </c>
      <c r="R65" s="360" t="e">
        <f t="shared" ca="1" si="0"/>
        <v>#REF!</v>
      </c>
      <c r="S65" s="360" t="e">
        <f t="shared" ca="1" si="27"/>
        <v>#REF!</v>
      </c>
      <c r="T65" s="360" t="e">
        <f t="shared" ca="1" si="30"/>
        <v>#REF!</v>
      </c>
      <c r="U65" s="370" t="e">
        <f t="shared" ca="1" si="1"/>
        <v>#REF!</v>
      </c>
      <c r="V65" s="363" t="e">
        <f t="shared" ca="1" si="35"/>
        <v>#REF!</v>
      </c>
      <c r="W65" s="360" t="e">
        <f t="shared" ca="1" si="3"/>
        <v>#REF!</v>
      </c>
      <c r="X65" s="81" t="e">
        <f t="shared" ca="1" si="19"/>
        <v>#REF!</v>
      </c>
      <c r="Y65" s="360" t="str">
        <f t="shared" ca="1" si="4"/>
        <v>NULL</v>
      </c>
      <c r="Z65" s="375" t="e">
        <f t="shared" ca="1" si="20"/>
        <v>#REF!</v>
      </c>
      <c r="AA65" s="360">
        <f ca="1">IFERROR(VLOOKUP(IF(V65="T1低",游戏时长规划!$C$67+Z65,Z65),INDIRECT(V65&amp;"星级"),2,TRUE),0)</f>
        <v>0</v>
      </c>
      <c r="AB65" s="375" t="e">
        <f t="shared" ca="1" si="5"/>
        <v>#REF!</v>
      </c>
      <c r="AC65" s="375">
        <f ca="1">($D$14+$D$17)*$L$4/坦克部件养成!$C$2+AC64-IFERROR(IF(RIGHT(AD64,3)*1&gt;RIGHT(VLOOKUP(AC64,INDIRECT(LEFT(AD63,2)&amp;"部件升阶"),5,TRUE),3)*1,VLOOKUP(AD63,INDIRECT(LEFT(AD63,2)&amp;"部件升阶消耗"),2,FALSE),0),0)</f>
        <v>733.66666666666708</v>
      </c>
      <c r="AD65" s="360" t="e">
        <f t="shared" ca="1" si="6"/>
        <v>#REF!</v>
      </c>
      <c r="AE65" s="375" t="e">
        <f ca="1">$D$15*$L$4/坦克部件养成!$C$2+AE64-IF(LEFT(AD65,2)&lt;&gt;LEFT(AD64,2),VLOOKUP(AF64,INDIRECT(LEFT(AD64,2)&amp;"部件升级消耗"),5,FALSE),0)</f>
        <v>#REF!</v>
      </c>
      <c r="AF65" s="360" t="e">
        <f ca="1">MIN(VLOOKUP(AE65,INDIRECT(LEFT(AD65,2)&amp;"部件升级"),2,TRUE),VLOOKUP(LEFT(AD65,2),坦克部件养成!#REF!,6,FALSE))</f>
        <v>#REF!</v>
      </c>
      <c r="AG65" s="378" t="e">
        <f ca="1">MAX(BD$4:BD65)</f>
        <v>#REF!</v>
      </c>
      <c r="AH65" s="378" t="str">
        <f t="shared" ca="1" si="7"/>
        <v/>
      </c>
      <c r="AI65" s="378">
        <f ca="1">IF(Y65="NULL",0,MAX(BY$4:BY65))</f>
        <v>0</v>
      </c>
      <c r="AK65" s="364" t="e">
        <f t="shared" ca="1" si="8"/>
        <v>#REF!</v>
      </c>
      <c r="AL65" s="364" t="e">
        <f ca="1">VLOOKUP(AK65,坦克个性化设定!$B$18:$F$48,5,FALSE)</f>
        <v>#REF!</v>
      </c>
      <c r="AM65" s="372" t="e">
        <f t="shared" ca="1" si="9"/>
        <v>#REF!</v>
      </c>
      <c r="AN65" s="372" t="e">
        <f t="shared" ca="1" si="21"/>
        <v>#REF!</v>
      </c>
      <c r="AO65" s="364">
        <f t="shared" ca="1" si="10"/>
        <v>0</v>
      </c>
      <c r="AP65" s="372" t="e">
        <f ca="1">VLOOKUP($AK65&amp;$AO65,所有坦克升星属性,MATCH(AP$3,所有坦克升星属性标头,0),FALSE)+ROUND(AU65/VLOOKUP($AK65,坦克部件!#REF!,4,FALSE)*VLOOKUP($AK65&amp;0,所有坦克升星属性,MATCH(AP$3,所有坦克升星属性标头,0),FALSE),0)</f>
        <v>#REF!</v>
      </c>
      <c r="AQ65" s="372" t="e">
        <f ca="1">VLOOKUP($AK65&amp;$AO65,所有坦克升星属性,MATCH(AQ$3,所有坦克升星属性标头,0),FALSE)+ROUND(AV65/VLOOKUP($AK65,坦克部件!#REF!,4,FALSE)*VLOOKUP($AK65&amp;0,所有坦克升星属性,MATCH(AQ$3,所有坦克升星属性标头,0),FALSE),0)</f>
        <v>#REF!</v>
      </c>
      <c r="AR65" s="372" t="e">
        <f t="shared" ca="1" si="42"/>
        <v>#REF!</v>
      </c>
      <c r="AS65" s="372" t="e">
        <f t="shared" ca="1" si="42"/>
        <v>#REF!</v>
      </c>
      <c r="AT65" s="372" t="e">
        <f ca="1">VLOOKUP($AK65&amp;$AO65,所有坦克升星属性,MATCH(AT$3,所有坦克升星属性标头,0),FALSE)+ROUND(AW65/VLOOKUP($AK65,坦克部件!#REF!,4,FALSE)*VLOOKUP($AK65&amp;0,所有坦克升星属性,MATCH(AT$3,所有坦克升星属性标头,0),FALSE),0)</f>
        <v>#REF!</v>
      </c>
      <c r="AU65" s="372" t="e">
        <f ca="1">(VLOOKUP($AM65,坦克部件!#REF!,MATCH("标准值",坦克部件!#REF!,0),FALSE)+VLOOKUP($AN65,坦克部件!#REF!,MATCH("标准值",坦克部件!#REF!,0),FALSE))*2</f>
        <v>#REF!</v>
      </c>
      <c r="AV65" s="372" t="e">
        <f ca="1">(VLOOKUP($AM65,坦克部件!#REF!,MATCH("标准值",坦克部件!#REF!,0),FALSE)+VLOOKUP($AN65,坦克部件!#REF!,MATCH("标准值",坦克部件!#REF!,0),FALSE))*2</f>
        <v>#REF!</v>
      </c>
      <c r="AW65" s="372" t="e">
        <f ca="1">(VLOOKUP($AM65,坦克部件!#REF!,MATCH("标准值",坦克部件!#REF!,0),FALSE)+VLOOKUP($AN65,坦克部件!#REF!,MATCH("标准值",坦克部件!#REF!,0),FALSE))*2</f>
        <v>#REF!</v>
      </c>
      <c r="AX65" s="372" t="e">
        <f ca="1">VLOOKUP($AK65,坦克属性统计!$B$3:$AY$33,MATCH(AX$3,坦克属性统计!$B$3:$AY$3,0),FALSE)</f>
        <v>#REF!</v>
      </c>
      <c r="AY65" s="372" t="e">
        <f t="shared" ca="1" si="43"/>
        <v>#REF!</v>
      </c>
      <c r="AZ65" s="372" t="e">
        <f t="shared" ca="1" si="43"/>
        <v>#REF!</v>
      </c>
      <c r="BA65" s="372" t="e">
        <f t="shared" ca="1" si="43"/>
        <v>#REF!</v>
      </c>
      <c r="BB65" s="356" t="e">
        <f t="shared" ca="1" si="13"/>
        <v>#REF!</v>
      </c>
      <c r="BC65" s="356" t="e">
        <f ca="1">VLOOKUP(AK65,坦克个性化设定!$B$18:$E$48,4,FALSE)</f>
        <v>#REF!</v>
      </c>
      <c r="BD65" s="357" t="e">
        <f t="shared" ca="1" si="22"/>
        <v>#REF!</v>
      </c>
      <c r="BF65" s="357" t="str">
        <f t="shared" ca="1" si="14"/>
        <v/>
      </c>
      <c r="BG65" s="372" t="str">
        <f ca="1">IFERROR(VLOOKUP(BF65,坦克个性化设定!$B$18:$F$48,5,FALSE),"")</f>
        <v/>
      </c>
      <c r="BH65" s="372" t="e">
        <f t="shared" ca="1" si="23"/>
        <v>#REF!</v>
      </c>
      <c r="BI65" s="372" t="e">
        <f t="shared" ca="1" si="24"/>
        <v>#REF!</v>
      </c>
      <c r="BJ65" s="364" t="str">
        <f t="shared" ca="1" si="15"/>
        <v>NULL</v>
      </c>
      <c r="BK65" s="372" t="e">
        <f ca="1">VLOOKUP($BF65&amp;IF($BJ65="NULL",0,$BJ65),所有坦克升星属性,MATCH(BK$3,所有坦克升星属性标头,0),FALSE)+ROUND(BP65/VLOOKUP($BF65,坦克部件!#REF!,4,FALSE)*VLOOKUP($BF65&amp;0,所有坦克升星属性,MATCH(BK$3,所有坦克升星属性标头,0),FALSE),0)</f>
        <v>#N/A</v>
      </c>
      <c r="BL65" s="372" t="e">
        <f ca="1">VLOOKUP($BF65&amp;IF($BJ65="NULL",0,$BJ65),所有坦克升星属性,MATCH(BL$3,所有坦克升星属性标头,0),FALSE)+ROUND(BQ65/VLOOKUP($BF65,坦克部件!#REF!,4,FALSE)*VLOOKUP($BF65&amp;0,所有坦克升星属性,MATCH(BL$3,所有坦克升星属性标头,0),FALSE),0)</f>
        <v>#N/A</v>
      </c>
      <c r="BM65" s="372" t="e">
        <f t="shared" ca="1" si="44"/>
        <v>#N/A</v>
      </c>
      <c r="BN65" s="372" t="e">
        <f t="shared" ca="1" si="44"/>
        <v>#N/A</v>
      </c>
      <c r="BO65" s="372" t="e">
        <f ca="1">VLOOKUP($BF65&amp;IF($BJ65="NULL",0,$BJ65),所有坦克升星属性,MATCH(BO$3,所有坦克升星属性标头,0),FALSE)+ROUND(BR65/VLOOKUP($BF65,坦克部件!#REF!,4,FALSE)*VLOOKUP($BF65&amp;0,所有坦克升星属性,MATCH(BO$3,所有坦克升星属性标头,0),FALSE),0)</f>
        <v>#N/A</v>
      </c>
      <c r="BP65" s="372" t="e">
        <f ca="1">(VLOOKUP($BH65,坦克部件!#REF!,MATCH("标准值",坦克部件!#REF!,0),FALSE)+VLOOKUP($BI65,坦克部件!#REF!,MATCH("标准值",坦克部件!#REF!,0),FALSE))*2</f>
        <v>#REF!</v>
      </c>
      <c r="BQ65" s="372" t="e">
        <f ca="1">(VLOOKUP($BH65,坦克部件!#REF!,MATCH("标准值",坦克部件!#REF!,0),FALSE)+VLOOKUP($BI65,坦克部件!#REF!,MATCH("标准值",坦克部件!#REF!,0),FALSE))*2</f>
        <v>#REF!</v>
      </c>
      <c r="BR65" s="372" t="e">
        <f ca="1">(VLOOKUP($BH65,坦克部件!#REF!,MATCH("标准值",坦克部件!#REF!,0),FALSE)+VLOOKUP($BI65,坦克部件!#REF!,MATCH("标准值",坦克部件!#REF!,0),FALSE))*2</f>
        <v>#REF!</v>
      </c>
      <c r="BS65" s="372" t="e">
        <f ca="1">VLOOKUP($BF65,坦克属性统计!$B$3:$AY$33,MATCH(BS$3,坦克属性统计!$B$3:$AY$3,0),FALSE)</f>
        <v>#N/A</v>
      </c>
      <c r="BT65" s="372" t="e">
        <f t="shared" ca="1" si="45"/>
        <v>#N/A</v>
      </c>
      <c r="BU65" s="372" t="e">
        <f t="shared" ca="1" si="45"/>
        <v>#N/A</v>
      </c>
      <c r="BV65" s="372" t="e">
        <f t="shared" ca="1" si="45"/>
        <v>#N/A</v>
      </c>
      <c r="BW65" s="356">
        <f t="shared" ca="1" si="18"/>
        <v>0</v>
      </c>
      <c r="BX65" s="356" t="e">
        <f ca="1">VLOOKUP(BF65,坦克个性化设定!$B$18:$E$48,4,FALSE)</f>
        <v>#N/A</v>
      </c>
      <c r="BY65" s="357" t="e">
        <f t="shared" ca="1" si="25"/>
        <v>#N/A</v>
      </c>
    </row>
    <row r="66" spans="2:77" x14ac:dyDescent="0.35">
      <c r="B66" s="352">
        <v>17</v>
      </c>
      <c r="C66" s="367">
        <f>游戏时长规划!C128</f>
        <v>20</v>
      </c>
      <c r="D66" s="367">
        <f>游戏时长规划!D128</f>
        <v>320</v>
      </c>
      <c r="E66" s="367">
        <f>游戏时长规划!E128</f>
        <v>5</v>
      </c>
      <c r="F66" s="367">
        <f>游戏时长规划!F128</f>
        <v>12450</v>
      </c>
      <c r="H66" s="363" t="s">
        <v>636</v>
      </c>
      <c r="I66" s="360" t="str">
        <f>坦克个性化设定!D38</f>
        <v>中坦</v>
      </c>
      <c r="J66" s="360" t="str">
        <f>坦克个性化设定!E38</f>
        <v>T5</v>
      </c>
      <c r="K66" s="360" t="str">
        <f>坦克个性化细分!J23</f>
        <v>低</v>
      </c>
      <c r="L66" s="360" t="str">
        <f t="shared" si="40"/>
        <v>T5低</v>
      </c>
      <c r="M66" s="360" t="str">
        <f t="shared" si="41"/>
        <v>中坦T5低</v>
      </c>
      <c r="N66" s="377"/>
      <c r="O66" s="365">
        <v>63</v>
      </c>
      <c r="P66" s="360" t="e">
        <f t="shared" ca="1" si="29"/>
        <v>#REF!</v>
      </c>
      <c r="Q66" s="360" t="e">
        <f ca="1">ROUND(MIN((BD66-VLOOKUP(R66,$B$22:$F$46,2,FALSE))/(VLOOKUP(R66,$B$22:$F$46,3,FALSE)-VLOOKUP(R66,$B$22:$F$46,2,FALSE)),1)*((VLOOKUP(R66,$B$22:$F$46,4,FALSE)*(AG66/(AG66+VLOOKUP(P66,$D$49:$F$123,3,TRUE)))+VLOOKUP(R66,$B$22:$F$46,5,FALSE)*(1-AG66/(AG66+VLOOKUP(P66,$D$49:$F$123,3,TRUE))))/2)*游戏时长规划!$C$4,0)</f>
        <v>#REF!</v>
      </c>
      <c r="R66" s="360" t="e">
        <f t="shared" ca="1" si="0"/>
        <v>#REF!</v>
      </c>
      <c r="S66" s="360" t="e">
        <f t="shared" ca="1" si="27"/>
        <v>#REF!</v>
      </c>
      <c r="T66" s="360" t="e">
        <f t="shared" ca="1" si="30"/>
        <v>#REF!</v>
      </c>
      <c r="U66" s="370" t="e">
        <f t="shared" ca="1" si="1"/>
        <v>#REF!</v>
      </c>
      <c r="V66" s="363" t="e">
        <f t="shared" ca="1" si="35"/>
        <v>#REF!</v>
      </c>
      <c r="W66" s="360" t="e">
        <f t="shared" ca="1" si="3"/>
        <v>#REF!</v>
      </c>
      <c r="X66" s="81" t="e">
        <f t="shared" ca="1" si="19"/>
        <v>#REF!</v>
      </c>
      <c r="Y66" s="360" t="str">
        <f t="shared" ca="1" si="4"/>
        <v>NULL</v>
      </c>
      <c r="Z66" s="375" t="e">
        <f t="shared" ca="1" si="20"/>
        <v>#REF!</v>
      </c>
      <c r="AA66" s="360">
        <f ca="1">IFERROR(VLOOKUP(IF(V66="T1低",游戏时长规划!$C$67+Z66,Z66),INDIRECT(V66&amp;"星级"),2,TRUE),0)</f>
        <v>0</v>
      </c>
      <c r="AB66" s="375" t="e">
        <f t="shared" ca="1" si="5"/>
        <v>#REF!</v>
      </c>
      <c r="AC66" s="375">
        <f ca="1">($D$14+$D$17)*$L$4/坦克部件养成!$C$2+AC65-IFERROR(IF(RIGHT(AD65,3)*1&gt;RIGHT(VLOOKUP(AC65,INDIRECT(LEFT(AD64,2)&amp;"部件升阶"),5,TRUE),3)*1,VLOOKUP(AD64,INDIRECT(LEFT(AD64,2)&amp;"部件升阶消耗"),2,FALSE),0),0)</f>
        <v>745.50000000000045</v>
      </c>
      <c r="AD66" s="360" t="e">
        <f t="shared" ca="1" si="6"/>
        <v>#REF!</v>
      </c>
      <c r="AE66" s="375" t="e">
        <f ca="1">$D$15*$L$4/坦克部件养成!$C$2+AE65-IF(LEFT(AD66,2)&lt;&gt;LEFT(AD65,2),VLOOKUP(AF65,INDIRECT(LEFT(AD65,2)&amp;"部件升级消耗"),5,FALSE),0)</f>
        <v>#REF!</v>
      </c>
      <c r="AF66" s="360" t="e">
        <f ca="1">MIN(VLOOKUP(AE66,INDIRECT(LEFT(AD66,2)&amp;"部件升级"),2,TRUE),VLOOKUP(LEFT(AD66,2),坦克部件养成!#REF!,6,FALSE))</f>
        <v>#REF!</v>
      </c>
      <c r="AG66" s="378" t="e">
        <f ca="1">MAX(BD$4:BD66)</f>
        <v>#REF!</v>
      </c>
      <c r="AH66" s="378" t="str">
        <f t="shared" ca="1" si="7"/>
        <v/>
      </c>
      <c r="AI66" s="378">
        <f ca="1">IF(Y66="NULL",0,MAX(BY$4:BY66))</f>
        <v>0</v>
      </c>
      <c r="AK66" s="364" t="e">
        <f t="shared" ca="1" si="8"/>
        <v>#REF!</v>
      </c>
      <c r="AL66" s="364" t="e">
        <f ca="1">VLOOKUP(AK66,坦克个性化设定!$B$18:$F$48,5,FALSE)</f>
        <v>#REF!</v>
      </c>
      <c r="AM66" s="372" t="e">
        <f t="shared" ca="1" si="9"/>
        <v>#REF!</v>
      </c>
      <c r="AN66" s="372" t="e">
        <f t="shared" ca="1" si="21"/>
        <v>#REF!</v>
      </c>
      <c r="AO66" s="364">
        <f t="shared" ca="1" si="10"/>
        <v>0</v>
      </c>
      <c r="AP66" s="372" t="e">
        <f ca="1">VLOOKUP($AK66&amp;$AO66,所有坦克升星属性,MATCH(AP$3,所有坦克升星属性标头,0),FALSE)+ROUND(AU66/VLOOKUP($AK66,坦克部件!#REF!,4,FALSE)*VLOOKUP($AK66&amp;0,所有坦克升星属性,MATCH(AP$3,所有坦克升星属性标头,0),FALSE),0)</f>
        <v>#REF!</v>
      </c>
      <c r="AQ66" s="372" t="e">
        <f ca="1">VLOOKUP($AK66&amp;$AO66,所有坦克升星属性,MATCH(AQ$3,所有坦克升星属性标头,0),FALSE)+ROUND(AV66/VLOOKUP($AK66,坦克部件!#REF!,4,FALSE)*VLOOKUP($AK66&amp;0,所有坦克升星属性,MATCH(AQ$3,所有坦克升星属性标头,0),FALSE),0)</f>
        <v>#REF!</v>
      </c>
      <c r="AR66" s="372" t="e">
        <f t="shared" ca="1" si="42"/>
        <v>#REF!</v>
      </c>
      <c r="AS66" s="372" t="e">
        <f t="shared" ca="1" si="42"/>
        <v>#REF!</v>
      </c>
      <c r="AT66" s="372" t="e">
        <f ca="1">VLOOKUP($AK66&amp;$AO66,所有坦克升星属性,MATCH(AT$3,所有坦克升星属性标头,0),FALSE)+ROUND(AW66/VLOOKUP($AK66,坦克部件!#REF!,4,FALSE)*VLOOKUP($AK66&amp;0,所有坦克升星属性,MATCH(AT$3,所有坦克升星属性标头,0),FALSE),0)</f>
        <v>#REF!</v>
      </c>
      <c r="AU66" s="372" t="e">
        <f ca="1">(VLOOKUP($AM66,坦克部件!#REF!,MATCH("标准值",坦克部件!#REF!,0),FALSE)+VLOOKUP($AN66,坦克部件!#REF!,MATCH("标准值",坦克部件!#REF!,0),FALSE))*2</f>
        <v>#REF!</v>
      </c>
      <c r="AV66" s="372" t="e">
        <f ca="1">(VLOOKUP($AM66,坦克部件!#REF!,MATCH("标准值",坦克部件!#REF!,0),FALSE)+VLOOKUP($AN66,坦克部件!#REF!,MATCH("标准值",坦克部件!#REF!,0),FALSE))*2</f>
        <v>#REF!</v>
      </c>
      <c r="AW66" s="372" t="e">
        <f ca="1">(VLOOKUP($AM66,坦克部件!#REF!,MATCH("标准值",坦克部件!#REF!,0),FALSE)+VLOOKUP($AN66,坦克部件!#REF!,MATCH("标准值",坦克部件!#REF!,0),FALSE))*2</f>
        <v>#REF!</v>
      </c>
      <c r="AX66" s="372" t="e">
        <f ca="1">VLOOKUP($AK66,坦克属性统计!$B$3:$AY$33,MATCH(AX$3,坦克属性统计!$B$3:$AY$3,0),FALSE)</f>
        <v>#REF!</v>
      </c>
      <c r="AY66" s="372" t="e">
        <f t="shared" ca="1" si="43"/>
        <v>#REF!</v>
      </c>
      <c r="AZ66" s="372" t="e">
        <f t="shared" ca="1" si="43"/>
        <v>#REF!</v>
      </c>
      <c r="BA66" s="372" t="e">
        <f t="shared" ca="1" si="43"/>
        <v>#REF!</v>
      </c>
      <c r="BB66" s="356" t="e">
        <f t="shared" ca="1" si="13"/>
        <v>#REF!</v>
      </c>
      <c r="BC66" s="356" t="e">
        <f ca="1">VLOOKUP(AK66,坦克个性化设定!$B$18:$E$48,4,FALSE)</f>
        <v>#REF!</v>
      </c>
      <c r="BD66" s="357" t="e">
        <f t="shared" ca="1" si="22"/>
        <v>#REF!</v>
      </c>
      <c r="BF66" s="357" t="str">
        <f t="shared" ca="1" si="14"/>
        <v/>
      </c>
      <c r="BG66" s="372" t="str">
        <f ca="1">IFERROR(VLOOKUP(BF66,坦克个性化设定!$B$18:$F$48,5,FALSE),"")</f>
        <v/>
      </c>
      <c r="BH66" s="372" t="e">
        <f t="shared" ca="1" si="23"/>
        <v>#REF!</v>
      </c>
      <c r="BI66" s="372" t="e">
        <f t="shared" ca="1" si="24"/>
        <v>#REF!</v>
      </c>
      <c r="BJ66" s="364" t="str">
        <f t="shared" ca="1" si="15"/>
        <v>NULL</v>
      </c>
      <c r="BK66" s="372" t="e">
        <f ca="1">VLOOKUP($BF66&amp;IF($BJ66="NULL",0,$BJ66),所有坦克升星属性,MATCH(BK$3,所有坦克升星属性标头,0),FALSE)+ROUND(BP66/VLOOKUP($BF66,坦克部件!#REF!,4,FALSE)*VLOOKUP($BF66&amp;0,所有坦克升星属性,MATCH(BK$3,所有坦克升星属性标头,0),FALSE),0)</f>
        <v>#N/A</v>
      </c>
      <c r="BL66" s="372" t="e">
        <f ca="1">VLOOKUP($BF66&amp;IF($BJ66="NULL",0,$BJ66),所有坦克升星属性,MATCH(BL$3,所有坦克升星属性标头,0),FALSE)+ROUND(BQ66/VLOOKUP($BF66,坦克部件!#REF!,4,FALSE)*VLOOKUP($BF66&amp;0,所有坦克升星属性,MATCH(BL$3,所有坦克升星属性标头,0),FALSE),0)</f>
        <v>#N/A</v>
      </c>
      <c r="BM66" s="372" t="e">
        <f t="shared" ca="1" si="44"/>
        <v>#N/A</v>
      </c>
      <c r="BN66" s="372" t="e">
        <f t="shared" ca="1" si="44"/>
        <v>#N/A</v>
      </c>
      <c r="BO66" s="372" t="e">
        <f ca="1">VLOOKUP($BF66&amp;IF($BJ66="NULL",0,$BJ66),所有坦克升星属性,MATCH(BO$3,所有坦克升星属性标头,0),FALSE)+ROUND(BR66/VLOOKUP($BF66,坦克部件!#REF!,4,FALSE)*VLOOKUP($BF66&amp;0,所有坦克升星属性,MATCH(BO$3,所有坦克升星属性标头,0),FALSE),0)</f>
        <v>#N/A</v>
      </c>
      <c r="BP66" s="372" t="e">
        <f ca="1">(VLOOKUP($BH66,坦克部件!#REF!,MATCH("标准值",坦克部件!#REF!,0),FALSE)+VLOOKUP($BI66,坦克部件!#REF!,MATCH("标准值",坦克部件!#REF!,0),FALSE))*2</f>
        <v>#REF!</v>
      </c>
      <c r="BQ66" s="372" t="e">
        <f ca="1">(VLOOKUP($BH66,坦克部件!#REF!,MATCH("标准值",坦克部件!#REF!,0),FALSE)+VLOOKUP($BI66,坦克部件!#REF!,MATCH("标准值",坦克部件!#REF!,0),FALSE))*2</f>
        <v>#REF!</v>
      </c>
      <c r="BR66" s="372" t="e">
        <f ca="1">(VLOOKUP($BH66,坦克部件!#REF!,MATCH("标准值",坦克部件!#REF!,0),FALSE)+VLOOKUP($BI66,坦克部件!#REF!,MATCH("标准值",坦克部件!#REF!,0),FALSE))*2</f>
        <v>#REF!</v>
      </c>
      <c r="BS66" s="372" t="e">
        <f ca="1">VLOOKUP($BF66,坦克属性统计!$B$3:$AY$33,MATCH(BS$3,坦克属性统计!$B$3:$AY$3,0),FALSE)</f>
        <v>#N/A</v>
      </c>
      <c r="BT66" s="372" t="e">
        <f t="shared" ca="1" si="45"/>
        <v>#N/A</v>
      </c>
      <c r="BU66" s="372" t="e">
        <f t="shared" ca="1" si="45"/>
        <v>#N/A</v>
      </c>
      <c r="BV66" s="372" t="e">
        <f t="shared" ca="1" si="45"/>
        <v>#N/A</v>
      </c>
      <c r="BW66" s="356">
        <f t="shared" ca="1" si="18"/>
        <v>0</v>
      </c>
      <c r="BX66" s="356" t="e">
        <f ca="1">VLOOKUP(BF66,坦克个性化设定!$B$18:$E$48,4,FALSE)</f>
        <v>#N/A</v>
      </c>
      <c r="BY66" s="357" t="e">
        <f t="shared" ca="1" si="25"/>
        <v>#N/A</v>
      </c>
    </row>
    <row r="67" spans="2:77" x14ac:dyDescent="0.35">
      <c r="B67" s="352">
        <v>18</v>
      </c>
      <c r="C67" s="367">
        <f>游戏时长规划!C129</f>
        <v>20</v>
      </c>
      <c r="D67" s="367">
        <f>游戏时长规划!D129</f>
        <v>340</v>
      </c>
      <c r="E67" s="367">
        <f>游戏时长规划!E129</f>
        <v>5</v>
      </c>
      <c r="F67" s="367">
        <f>游戏时长规划!F129</f>
        <v>13200</v>
      </c>
      <c r="H67" s="363" t="s">
        <v>642</v>
      </c>
      <c r="I67" s="360" t="str">
        <f>坦克个性化设定!D39</f>
        <v>重坦</v>
      </c>
      <c r="J67" s="360" t="str">
        <f>坦克个性化设定!E39</f>
        <v>T1</v>
      </c>
      <c r="K67" s="360" t="str">
        <f>坦克个性化细分!J24</f>
        <v>低</v>
      </c>
      <c r="L67" s="360" t="str">
        <f t="shared" si="40"/>
        <v>T1低</v>
      </c>
      <c r="M67" s="360" t="str">
        <f t="shared" si="41"/>
        <v>重坦T1低</v>
      </c>
      <c r="N67" s="377"/>
      <c r="O67" s="365">
        <v>64</v>
      </c>
      <c r="P67" s="360" t="e">
        <f t="shared" ca="1" si="29"/>
        <v>#REF!</v>
      </c>
      <c r="Q67" s="360" t="e">
        <f ca="1">ROUND(MIN((BD67-VLOOKUP(R67,$B$22:$F$46,2,FALSE))/(VLOOKUP(R67,$B$22:$F$46,3,FALSE)-VLOOKUP(R67,$B$22:$F$46,2,FALSE)),1)*((VLOOKUP(R67,$B$22:$F$46,4,FALSE)*(AG67/(AG67+VLOOKUP(P67,$D$49:$F$123,3,TRUE)))+VLOOKUP(R67,$B$22:$F$46,5,FALSE)*(1-AG67/(AG67+VLOOKUP(P67,$D$49:$F$123,3,TRUE))))/2)*游戏时长规划!$C$4,0)</f>
        <v>#REF!</v>
      </c>
      <c r="R67" s="360" t="e">
        <f t="shared" ca="1" si="0"/>
        <v>#REF!</v>
      </c>
      <c r="S67" s="360" t="e">
        <f t="shared" ca="1" si="27"/>
        <v>#REF!</v>
      </c>
      <c r="T67" s="360" t="e">
        <f t="shared" ca="1" si="30"/>
        <v>#REF!</v>
      </c>
      <c r="U67" s="370" t="e">
        <f t="shared" ca="1" si="1"/>
        <v>#REF!</v>
      </c>
      <c r="V67" s="363" t="e">
        <f t="shared" ca="1" si="35"/>
        <v>#REF!</v>
      </c>
      <c r="W67" s="360" t="e">
        <f t="shared" ca="1" si="3"/>
        <v>#REF!</v>
      </c>
      <c r="X67" s="81" t="e">
        <f t="shared" ca="1" si="19"/>
        <v>#REF!</v>
      </c>
      <c r="Y67" s="360" t="str">
        <f t="shared" ca="1" si="4"/>
        <v>NULL</v>
      </c>
      <c r="Z67" s="375" t="e">
        <f t="shared" ca="1" si="20"/>
        <v>#REF!</v>
      </c>
      <c r="AA67" s="360">
        <f ca="1">IFERROR(VLOOKUP(IF(V67="T1低",游戏时长规划!$C$67+Z67,Z67),INDIRECT(V67&amp;"星级"),2,TRUE),0)</f>
        <v>0</v>
      </c>
      <c r="AB67" s="375" t="e">
        <f t="shared" ca="1" si="5"/>
        <v>#REF!</v>
      </c>
      <c r="AC67" s="375">
        <f ca="1">($D$14+$D$17)*$L$4/坦克部件养成!$C$2+AC66-IFERROR(IF(RIGHT(AD66,3)*1&gt;RIGHT(VLOOKUP(AC66,INDIRECT(LEFT(AD65,2)&amp;"部件升阶"),5,TRUE),3)*1,VLOOKUP(AD65,INDIRECT(LEFT(AD65,2)&amp;"部件升阶消耗"),2,FALSE),0),0)</f>
        <v>757.33333333333383</v>
      </c>
      <c r="AD67" s="360" t="e">
        <f t="shared" ca="1" si="6"/>
        <v>#REF!</v>
      </c>
      <c r="AE67" s="375" t="e">
        <f ca="1">$D$15*$L$4/坦克部件养成!$C$2+AE66-IF(LEFT(AD67,2)&lt;&gt;LEFT(AD66,2),VLOOKUP(AF66,INDIRECT(LEFT(AD66,2)&amp;"部件升级消耗"),5,FALSE),0)</f>
        <v>#REF!</v>
      </c>
      <c r="AF67" s="360" t="e">
        <f ca="1">MIN(VLOOKUP(AE67,INDIRECT(LEFT(AD67,2)&amp;"部件升级"),2,TRUE),VLOOKUP(LEFT(AD67,2),坦克部件养成!#REF!,6,FALSE))</f>
        <v>#REF!</v>
      </c>
      <c r="AG67" s="378" t="e">
        <f ca="1">MAX(BD$4:BD67)</f>
        <v>#REF!</v>
      </c>
      <c r="AH67" s="378" t="str">
        <f t="shared" ca="1" si="7"/>
        <v/>
      </c>
      <c r="AI67" s="378">
        <f ca="1">IF(Y67="NULL",0,MAX(BY$4:BY67))</f>
        <v>0</v>
      </c>
      <c r="AK67" s="364" t="e">
        <f t="shared" ca="1" si="8"/>
        <v>#REF!</v>
      </c>
      <c r="AL67" s="364" t="e">
        <f ca="1">VLOOKUP(AK67,坦克个性化设定!$B$18:$F$48,5,FALSE)</f>
        <v>#REF!</v>
      </c>
      <c r="AM67" s="372" t="e">
        <f t="shared" ca="1" si="9"/>
        <v>#REF!</v>
      </c>
      <c r="AN67" s="372" t="e">
        <f t="shared" ca="1" si="21"/>
        <v>#REF!</v>
      </c>
      <c r="AO67" s="364">
        <f t="shared" ca="1" si="10"/>
        <v>0</v>
      </c>
      <c r="AP67" s="372" t="e">
        <f ca="1">VLOOKUP($AK67&amp;$AO67,所有坦克升星属性,MATCH(AP$3,所有坦克升星属性标头,0),FALSE)+ROUND(AU67/VLOOKUP($AK67,坦克部件!#REF!,4,FALSE)*VLOOKUP($AK67&amp;0,所有坦克升星属性,MATCH(AP$3,所有坦克升星属性标头,0),FALSE),0)</f>
        <v>#REF!</v>
      </c>
      <c r="AQ67" s="372" t="e">
        <f ca="1">VLOOKUP($AK67&amp;$AO67,所有坦克升星属性,MATCH(AQ$3,所有坦克升星属性标头,0),FALSE)+ROUND(AV67/VLOOKUP($AK67,坦克部件!#REF!,4,FALSE)*VLOOKUP($AK67&amp;0,所有坦克升星属性,MATCH(AQ$3,所有坦克升星属性标头,0),FALSE),0)</f>
        <v>#REF!</v>
      </c>
      <c r="AR67" s="372" t="e">
        <f t="shared" ca="1" si="42"/>
        <v>#REF!</v>
      </c>
      <c r="AS67" s="372" t="e">
        <f t="shared" ca="1" si="42"/>
        <v>#REF!</v>
      </c>
      <c r="AT67" s="372" t="e">
        <f ca="1">VLOOKUP($AK67&amp;$AO67,所有坦克升星属性,MATCH(AT$3,所有坦克升星属性标头,0),FALSE)+ROUND(AW67/VLOOKUP($AK67,坦克部件!#REF!,4,FALSE)*VLOOKUP($AK67&amp;0,所有坦克升星属性,MATCH(AT$3,所有坦克升星属性标头,0),FALSE),0)</f>
        <v>#REF!</v>
      </c>
      <c r="AU67" s="372" t="e">
        <f ca="1">(VLOOKUP($AM67,坦克部件!#REF!,MATCH("标准值",坦克部件!#REF!,0),FALSE)+VLOOKUP($AN67,坦克部件!#REF!,MATCH("标准值",坦克部件!#REF!,0),FALSE))*2</f>
        <v>#REF!</v>
      </c>
      <c r="AV67" s="372" t="e">
        <f ca="1">(VLOOKUP($AM67,坦克部件!#REF!,MATCH("标准值",坦克部件!#REF!,0),FALSE)+VLOOKUP($AN67,坦克部件!#REF!,MATCH("标准值",坦克部件!#REF!,0),FALSE))*2</f>
        <v>#REF!</v>
      </c>
      <c r="AW67" s="372" t="e">
        <f ca="1">(VLOOKUP($AM67,坦克部件!#REF!,MATCH("标准值",坦克部件!#REF!,0),FALSE)+VLOOKUP($AN67,坦克部件!#REF!,MATCH("标准值",坦克部件!#REF!,0),FALSE))*2</f>
        <v>#REF!</v>
      </c>
      <c r="AX67" s="372" t="e">
        <f ca="1">VLOOKUP($AK67,坦克属性统计!$B$3:$AY$33,MATCH(AX$3,坦克属性统计!$B$3:$AY$3,0),FALSE)</f>
        <v>#REF!</v>
      </c>
      <c r="AY67" s="372" t="e">
        <f t="shared" ca="1" si="43"/>
        <v>#REF!</v>
      </c>
      <c r="AZ67" s="372" t="e">
        <f t="shared" ca="1" si="43"/>
        <v>#REF!</v>
      </c>
      <c r="BA67" s="372" t="e">
        <f t="shared" ca="1" si="43"/>
        <v>#REF!</v>
      </c>
      <c r="BB67" s="356" t="e">
        <f t="shared" ca="1" si="13"/>
        <v>#REF!</v>
      </c>
      <c r="BC67" s="356" t="e">
        <f ca="1">VLOOKUP(AK67,坦克个性化设定!$B$18:$E$48,4,FALSE)</f>
        <v>#REF!</v>
      </c>
      <c r="BD67" s="357" t="e">
        <f t="shared" ca="1" si="22"/>
        <v>#REF!</v>
      </c>
      <c r="BF67" s="357" t="str">
        <f t="shared" ca="1" si="14"/>
        <v/>
      </c>
      <c r="BG67" s="372" t="str">
        <f ca="1">IFERROR(VLOOKUP(BF67,坦克个性化设定!$B$18:$F$48,5,FALSE),"")</f>
        <v/>
      </c>
      <c r="BH67" s="372" t="e">
        <f t="shared" ca="1" si="23"/>
        <v>#REF!</v>
      </c>
      <c r="BI67" s="372" t="e">
        <f t="shared" ca="1" si="24"/>
        <v>#REF!</v>
      </c>
      <c r="BJ67" s="364" t="str">
        <f t="shared" ca="1" si="15"/>
        <v>NULL</v>
      </c>
      <c r="BK67" s="372" t="e">
        <f ca="1">VLOOKUP($BF67&amp;IF($BJ67="NULL",0,$BJ67),所有坦克升星属性,MATCH(BK$3,所有坦克升星属性标头,0),FALSE)+ROUND(BP67/VLOOKUP($BF67,坦克部件!#REF!,4,FALSE)*VLOOKUP($BF67&amp;0,所有坦克升星属性,MATCH(BK$3,所有坦克升星属性标头,0),FALSE),0)</f>
        <v>#N/A</v>
      </c>
      <c r="BL67" s="372" t="e">
        <f ca="1">VLOOKUP($BF67&amp;IF($BJ67="NULL",0,$BJ67),所有坦克升星属性,MATCH(BL$3,所有坦克升星属性标头,0),FALSE)+ROUND(BQ67/VLOOKUP($BF67,坦克部件!#REF!,4,FALSE)*VLOOKUP($BF67&amp;0,所有坦克升星属性,MATCH(BL$3,所有坦克升星属性标头,0),FALSE),0)</f>
        <v>#N/A</v>
      </c>
      <c r="BM67" s="372" t="e">
        <f t="shared" ca="1" si="44"/>
        <v>#N/A</v>
      </c>
      <c r="BN67" s="372" t="e">
        <f t="shared" ca="1" si="44"/>
        <v>#N/A</v>
      </c>
      <c r="BO67" s="372" t="e">
        <f ca="1">VLOOKUP($BF67&amp;IF($BJ67="NULL",0,$BJ67),所有坦克升星属性,MATCH(BO$3,所有坦克升星属性标头,0),FALSE)+ROUND(BR67/VLOOKUP($BF67,坦克部件!#REF!,4,FALSE)*VLOOKUP($BF67&amp;0,所有坦克升星属性,MATCH(BO$3,所有坦克升星属性标头,0),FALSE),0)</f>
        <v>#N/A</v>
      </c>
      <c r="BP67" s="372" t="e">
        <f ca="1">(VLOOKUP($BH67,坦克部件!#REF!,MATCH("标准值",坦克部件!#REF!,0),FALSE)+VLOOKUP($BI67,坦克部件!#REF!,MATCH("标准值",坦克部件!#REF!,0),FALSE))*2</f>
        <v>#REF!</v>
      </c>
      <c r="BQ67" s="372" t="e">
        <f ca="1">(VLOOKUP($BH67,坦克部件!#REF!,MATCH("标准值",坦克部件!#REF!,0),FALSE)+VLOOKUP($BI67,坦克部件!#REF!,MATCH("标准值",坦克部件!#REF!,0),FALSE))*2</f>
        <v>#REF!</v>
      </c>
      <c r="BR67" s="372" t="e">
        <f ca="1">(VLOOKUP($BH67,坦克部件!#REF!,MATCH("标准值",坦克部件!#REF!,0),FALSE)+VLOOKUP($BI67,坦克部件!#REF!,MATCH("标准值",坦克部件!#REF!,0),FALSE))*2</f>
        <v>#REF!</v>
      </c>
      <c r="BS67" s="372" t="e">
        <f ca="1">VLOOKUP($BF67,坦克属性统计!$B$3:$AY$33,MATCH(BS$3,坦克属性统计!$B$3:$AY$3,0),FALSE)</f>
        <v>#N/A</v>
      </c>
      <c r="BT67" s="372" t="e">
        <f t="shared" ca="1" si="45"/>
        <v>#N/A</v>
      </c>
      <c r="BU67" s="372" t="e">
        <f t="shared" ca="1" si="45"/>
        <v>#N/A</v>
      </c>
      <c r="BV67" s="372" t="e">
        <f t="shared" ca="1" si="45"/>
        <v>#N/A</v>
      </c>
      <c r="BW67" s="356">
        <f t="shared" ca="1" si="18"/>
        <v>0</v>
      </c>
      <c r="BX67" s="356" t="e">
        <f ca="1">VLOOKUP(BF67,坦克个性化设定!$B$18:$E$48,4,FALSE)</f>
        <v>#N/A</v>
      </c>
      <c r="BY67" s="357" t="e">
        <f t="shared" ca="1" si="25"/>
        <v>#N/A</v>
      </c>
    </row>
    <row r="68" spans="2:77" x14ac:dyDescent="0.35">
      <c r="B68" s="352">
        <v>19</v>
      </c>
      <c r="C68" s="367">
        <f>游戏时长规划!C130</f>
        <v>20</v>
      </c>
      <c r="D68" s="367">
        <f>游戏时长规划!D130</f>
        <v>360</v>
      </c>
      <c r="E68" s="367">
        <f>游戏时长规划!E130</f>
        <v>5</v>
      </c>
      <c r="F68" s="367">
        <f>游戏时长规划!F130</f>
        <v>13900</v>
      </c>
      <c r="H68" s="363" t="s">
        <v>630</v>
      </c>
      <c r="I68" s="360" t="str">
        <f>坦克个性化设定!D40</f>
        <v>重坦</v>
      </c>
      <c r="J68" s="360" t="str">
        <f>坦克个性化设定!E40</f>
        <v>T2</v>
      </c>
      <c r="K68" s="360" t="str">
        <f>坦克个性化细分!J25</f>
        <v>低</v>
      </c>
      <c r="L68" s="360" t="str">
        <f t="shared" si="40"/>
        <v>T2低</v>
      </c>
      <c r="M68" s="360" t="str">
        <f t="shared" si="41"/>
        <v>重坦T2低</v>
      </c>
      <c r="N68" s="377"/>
      <c r="O68" s="365">
        <v>65</v>
      </c>
      <c r="P68" s="360" t="e">
        <f t="shared" ca="1" si="29"/>
        <v>#REF!</v>
      </c>
      <c r="Q68" s="360" t="e">
        <f ca="1">ROUND(MIN((BD68-VLOOKUP(R68,$B$22:$F$46,2,FALSE))/(VLOOKUP(R68,$B$22:$F$46,3,FALSE)-VLOOKUP(R68,$B$22:$F$46,2,FALSE)),1)*((VLOOKUP(R68,$B$22:$F$46,4,FALSE)*(AG68/(AG68+VLOOKUP(P68,$D$49:$F$123,3,TRUE)))+VLOOKUP(R68,$B$22:$F$46,5,FALSE)*(1-AG68/(AG68+VLOOKUP(P68,$D$49:$F$123,3,TRUE))))/2)*游戏时长规划!$C$4,0)</f>
        <v>#REF!</v>
      </c>
      <c r="R68" s="360" t="e">
        <f t="shared" ref="R68:R131" ca="1" si="46">VLOOKUP(P68,$D$49:$E$112,2,TRUE)</f>
        <v>#REF!</v>
      </c>
      <c r="S68" s="360" t="e">
        <f t="shared" ca="1" si="27"/>
        <v>#REF!</v>
      </c>
      <c r="T68" s="360" t="e">
        <f t="shared" ca="1" si="30"/>
        <v>#REF!</v>
      </c>
      <c r="U68" s="370" t="e">
        <f t="shared" ref="U68:U131" ca="1" si="47">IF(AI67&gt;=AG67,IFERROR(VLOOKUP(W67,$H$79:$K$89,2,FALSE),"雷诺FT"),IF(O68=1,"雷诺FT",U67))</f>
        <v>#REF!</v>
      </c>
      <c r="V68" s="363" t="e">
        <f ca="1">VLOOKUP(U68,$H$46:$L$76,5,FALSE)</f>
        <v>#REF!</v>
      </c>
      <c r="W68" s="360" t="e">
        <f t="shared" ref="W68:W131" ca="1" si="48">VLOOKUP(V68,$H$31:$J$43,3,FALSE)</f>
        <v>#REF!</v>
      </c>
      <c r="X68" s="81" t="e">
        <f t="shared" ca="1" si="19"/>
        <v>#REF!</v>
      </c>
      <c r="Y68" s="360" t="str">
        <f t="shared" ref="Y68:Y131" ca="1" si="49">IFERROR(VLOOKUP(X68,INDIRECT(W68&amp;"星级"),2,TRUE),"NULL")</f>
        <v>NULL</v>
      </c>
      <c r="Z68" s="375" t="e">
        <f t="shared" ca="1" si="20"/>
        <v>#REF!</v>
      </c>
      <c r="AA68" s="360">
        <f ca="1">IFERROR(VLOOKUP(IF(V68="T1低",游戏时长规划!$C$67+Z68,Z68),INDIRECT(V68&amp;"星级"),2,TRUE),0)</f>
        <v>0</v>
      </c>
      <c r="AB68" s="375" t="e">
        <f t="shared" ref="AB68:AB131" ca="1" si="50">VLOOKUP(R68,$H$16:$K$28,4,FALSE)</f>
        <v>#REF!</v>
      </c>
      <c r="AC68" s="375">
        <f ca="1">($D$14+$D$17)*$L$4/坦克部件养成!$C$2+AC67-IFERROR(IF(RIGHT(AD67,3)*1&gt;RIGHT(VLOOKUP(AC67,INDIRECT(LEFT(AD66,2)&amp;"部件升阶"),5,TRUE),3)*1,VLOOKUP(AD66,INDIRECT(LEFT(AD66,2)&amp;"部件升阶消耗"),2,FALSE),0),0)</f>
        <v>769.1666666666672</v>
      </c>
      <c r="AD68" s="360" t="e">
        <f t="shared" ref="AD68:AD131" ca="1" si="51">IF(AB68="T1",IFERROR(VLOOKUP(AC68,T1部件升阶,5,TRUE),"T111"),"T"&amp;MAX(RIGHT(IFERROR(VLOOKUP(AC68-VLOOKUP(AD67,INDIRECT(LEFT(AD67,2)&amp;"部件升阶消耗"),2,FALSE),INDIRECT(AB68&amp;"部件升阶"),5,TRUE),"T000"),3)*1,RIGHT(VLOOKUP(AC68,INDIRECT(LEFT(AD67,2)&amp;"部件升阶"),5,TRUE),3)*1))</f>
        <v>#REF!</v>
      </c>
      <c r="AE68" s="375" t="e">
        <f ca="1">$D$15*$L$4/坦克部件养成!$C$2+AE67-IF(LEFT(AD68,2)&lt;&gt;LEFT(AD67,2),VLOOKUP(AF67,INDIRECT(LEFT(AD67,2)&amp;"部件升级消耗"),5,FALSE),0)</f>
        <v>#REF!</v>
      </c>
      <c r="AF68" s="360" t="e">
        <f ca="1">MIN(VLOOKUP(AE68,INDIRECT(LEFT(AD68,2)&amp;"部件升级"),2,TRUE),VLOOKUP(LEFT(AD68,2),坦克部件养成!#REF!,6,FALSE))</f>
        <v>#REF!</v>
      </c>
      <c r="AG68" s="378" t="e">
        <f ca="1">MAX(BD$4:BD68)</f>
        <v>#REF!</v>
      </c>
      <c r="AH68" s="378" t="str">
        <f t="shared" ref="AH68:AH131" ca="1" si="52">IFERROR(VLOOKUP(W68,$H$79:$K$89,MATCH(VLOOKUP(U68,$H$46:$M$76,2,FALSE),$H$79:$K$79,0),FALSE),"")</f>
        <v/>
      </c>
      <c r="AI68" s="378">
        <f ca="1">IF(Y68="NULL",0,MAX(BY$4:BY68))</f>
        <v>0</v>
      </c>
      <c r="AK68" s="364" t="e">
        <f t="shared" ref="AK68:AK131" ca="1" si="53">U68</f>
        <v>#REF!</v>
      </c>
      <c r="AL68" s="364" t="e">
        <f ca="1">VLOOKUP(AK68,坦克个性化设定!$B$18:$F$48,5,FALSE)</f>
        <v>#REF!</v>
      </c>
      <c r="AM68" s="372" t="e">
        <f t="shared" ref="AM68:AM131" ca="1" si="54">AF68</f>
        <v>#REF!</v>
      </c>
      <c r="AN68" s="372" t="e">
        <f t="shared" ca="1" si="21"/>
        <v>#REF!</v>
      </c>
      <c r="AO68" s="364">
        <f t="shared" ref="AO68:AO131" ca="1" si="55">AA68</f>
        <v>0</v>
      </c>
      <c r="AP68" s="372" t="e">
        <f ca="1">VLOOKUP($AK68&amp;$AO68,所有坦克升星属性,MATCH(AP$3,所有坦克升星属性标头,0),FALSE)+ROUND(AU68/VLOOKUP($AK68,坦克部件!#REF!,4,FALSE)*VLOOKUP($AK68&amp;0,所有坦克升星属性,MATCH(AP$3,所有坦克升星属性标头,0),FALSE),0)</f>
        <v>#REF!</v>
      </c>
      <c r="AQ68" s="372" t="e">
        <f ca="1">VLOOKUP($AK68&amp;$AO68,所有坦克升星属性,MATCH(AQ$3,所有坦克升星属性标头,0),FALSE)+ROUND(AV68/VLOOKUP($AK68,坦克部件!#REF!,4,FALSE)*VLOOKUP($AK68&amp;0,所有坦克升星属性,MATCH(AQ$3,所有坦克升星属性标头,0),FALSE),0)</f>
        <v>#REF!</v>
      </c>
      <c r="AR68" s="372" t="e">
        <f t="shared" ca="1" si="42"/>
        <v>#REF!</v>
      </c>
      <c r="AS68" s="372" t="e">
        <f t="shared" ca="1" si="42"/>
        <v>#REF!</v>
      </c>
      <c r="AT68" s="372" t="e">
        <f ca="1">VLOOKUP($AK68&amp;$AO68,所有坦克升星属性,MATCH(AT$3,所有坦克升星属性标头,0),FALSE)+ROUND(AW68/VLOOKUP($AK68,坦克部件!#REF!,4,FALSE)*VLOOKUP($AK68&amp;0,所有坦克升星属性,MATCH(AT$3,所有坦克升星属性标头,0),FALSE),0)</f>
        <v>#REF!</v>
      </c>
      <c r="AU68" s="372" t="e">
        <f ca="1">(VLOOKUP($AM68,坦克部件!#REF!,MATCH("标准值",坦克部件!#REF!,0),FALSE)+VLOOKUP($AN68,坦克部件!#REF!,MATCH("标准值",坦克部件!#REF!,0),FALSE))*2</f>
        <v>#REF!</v>
      </c>
      <c r="AV68" s="372" t="e">
        <f ca="1">(VLOOKUP($AM68,坦克部件!#REF!,MATCH("标准值",坦克部件!#REF!,0),FALSE)+VLOOKUP($AN68,坦克部件!#REF!,MATCH("标准值",坦克部件!#REF!,0),FALSE))*2</f>
        <v>#REF!</v>
      </c>
      <c r="AW68" s="372" t="e">
        <f ca="1">(VLOOKUP($AM68,坦克部件!#REF!,MATCH("标准值",坦克部件!#REF!,0),FALSE)+VLOOKUP($AN68,坦克部件!#REF!,MATCH("标准值",坦克部件!#REF!,0),FALSE))*2</f>
        <v>#REF!</v>
      </c>
      <c r="AX68" s="372" t="e">
        <f ca="1">VLOOKUP($AK68,坦克属性统计!$B$3:$AY$33,MATCH(AX$3,坦克属性统计!$B$3:$AY$3,0),FALSE)</f>
        <v>#REF!</v>
      </c>
      <c r="AY68" s="372" t="e">
        <f t="shared" ca="1" si="43"/>
        <v>#REF!</v>
      </c>
      <c r="AZ68" s="372" t="e">
        <f t="shared" ca="1" si="43"/>
        <v>#REF!</v>
      </c>
      <c r="BA68" s="372" t="e">
        <f t="shared" ca="1" si="43"/>
        <v>#REF!</v>
      </c>
      <c r="BB68" s="356" t="e">
        <f t="shared" ref="BB68:BB131" ca="1" si="56">IF(LEN(AL68)=5,(60-(AX68-1)*AY68)/AZ68+AX68,IF(RIGHT(AL68,2)="弹夹",((60-(AX68-1)*AY68)/(BA68+(AX68-1)*AY68)+1)*AX68,60/AZ68+AX68))</f>
        <v>#REF!</v>
      </c>
      <c r="BC68" s="356" t="e">
        <f ca="1">VLOOKUP(AK68,坦克个性化设定!$B$18:$E$48,4,FALSE)</f>
        <v>#REF!</v>
      </c>
      <c r="BD68" s="357" t="e">
        <f t="shared" ca="1" si="22"/>
        <v>#REF!</v>
      </c>
      <c r="BF68" s="357" t="str">
        <f t="shared" ref="BF68:BF131" ca="1" si="57">AH68</f>
        <v/>
      </c>
      <c r="BG68" s="372" t="str">
        <f ca="1">IFERROR(VLOOKUP(BF68,坦克个性化设定!$B$18:$F$48,5,FALSE),"")</f>
        <v/>
      </c>
      <c r="BH68" s="372" t="e">
        <f t="shared" ca="1" si="23"/>
        <v>#REF!</v>
      </c>
      <c r="BI68" s="372" t="e">
        <f t="shared" ca="1" si="24"/>
        <v>#REF!</v>
      </c>
      <c r="BJ68" s="364" t="str">
        <f t="shared" ref="BJ68:BJ131" ca="1" si="58">Y68</f>
        <v>NULL</v>
      </c>
      <c r="BK68" s="372" t="e">
        <f ca="1">VLOOKUP($BF68&amp;IF($BJ68="NULL",0,$BJ68),所有坦克升星属性,MATCH(BK$3,所有坦克升星属性标头,0),FALSE)+ROUND(BP68/VLOOKUP($BF68,坦克部件!#REF!,4,FALSE)*VLOOKUP($BF68&amp;0,所有坦克升星属性,MATCH(BK$3,所有坦克升星属性标头,0),FALSE),0)</f>
        <v>#N/A</v>
      </c>
      <c r="BL68" s="372" t="e">
        <f ca="1">VLOOKUP($BF68&amp;IF($BJ68="NULL",0,$BJ68),所有坦克升星属性,MATCH(BL$3,所有坦克升星属性标头,0),FALSE)+ROUND(BQ68/VLOOKUP($BF68,坦克部件!#REF!,4,FALSE)*VLOOKUP($BF68&amp;0,所有坦克升星属性,MATCH(BL$3,所有坦克升星属性标头,0),FALSE),0)</f>
        <v>#N/A</v>
      </c>
      <c r="BM68" s="372" t="e">
        <f t="shared" ca="1" si="44"/>
        <v>#N/A</v>
      </c>
      <c r="BN68" s="372" t="e">
        <f t="shared" ca="1" si="44"/>
        <v>#N/A</v>
      </c>
      <c r="BO68" s="372" t="e">
        <f ca="1">VLOOKUP($BF68&amp;IF($BJ68="NULL",0,$BJ68),所有坦克升星属性,MATCH(BO$3,所有坦克升星属性标头,0),FALSE)+ROUND(BR68/VLOOKUP($BF68,坦克部件!#REF!,4,FALSE)*VLOOKUP($BF68&amp;0,所有坦克升星属性,MATCH(BO$3,所有坦克升星属性标头,0),FALSE),0)</f>
        <v>#N/A</v>
      </c>
      <c r="BP68" s="372" t="e">
        <f ca="1">(VLOOKUP($BH68,坦克部件!#REF!,MATCH("标准值",坦克部件!#REF!,0),FALSE)+VLOOKUP($BI68,坦克部件!#REF!,MATCH("标准值",坦克部件!#REF!,0),FALSE))*2</f>
        <v>#REF!</v>
      </c>
      <c r="BQ68" s="372" t="e">
        <f ca="1">(VLOOKUP($BH68,坦克部件!#REF!,MATCH("标准值",坦克部件!#REF!,0),FALSE)+VLOOKUP($BI68,坦克部件!#REF!,MATCH("标准值",坦克部件!#REF!,0),FALSE))*2</f>
        <v>#REF!</v>
      </c>
      <c r="BR68" s="372" t="e">
        <f ca="1">(VLOOKUP($BH68,坦克部件!#REF!,MATCH("标准值",坦克部件!#REF!,0),FALSE)+VLOOKUP($BI68,坦克部件!#REF!,MATCH("标准值",坦克部件!#REF!,0),FALSE))*2</f>
        <v>#REF!</v>
      </c>
      <c r="BS68" s="372" t="e">
        <f ca="1">VLOOKUP($BF68,坦克属性统计!$B$3:$AY$33,MATCH(BS$3,坦克属性统计!$B$3:$AY$3,0),FALSE)</f>
        <v>#N/A</v>
      </c>
      <c r="BT68" s="372" t="e">
        <f t="shared" ca="1" si="45"/>
        <v>#N/A</v>
      </c>
      <c r="BU68" s="372" t="e">
        <f t="shared" ca="1" si="45"/>
        <v>#N/A</v>
      </c>
      <c r="BV68" s="372" t="e">
        <f t="shared" ca="1" si="45"/>
        <v>#N/A</v>
      </c>
      <c r="BW68" s="356">
        <f t="shared" ref="BW68:BW131" ca="1" si="59">IFERROR(IF(LEN(BG68)=5,(60-(BS68-1)*BT68)/BU68+BS68,IF(RIGHT(BG68,2)="弹夹",((60-(BS68-1)*BT68)/(BV68+(BS68-1)*BT68)+1)*BS68,60/BU68+BS68)),0)</f>
        <v>0</v>
      </c>
      <c r="BX68" s="356" t="e">
        <f ca="1">VLOOKUP(BF68,坦克个性化设定!$B$18:$E$48,4,FALSE)</f>
        <v>#N/A</v>
      </c>
      <c r="BY68" s="357" t="e">
        <f t="shared" ca="1" si="25"/>
        <v>#N/A</v>
      </c>
    </row>
    <row r="69" spans="2:77" x14ac:dyDescent="0.35">
      <c r="B69" s="352">
        <v>20</v>
      </c>
      <c r="C69" s="367">
        <f>游戏时长规划!C131</f>
        <v>20</v>
      </c>
      <c r="D69" s="367">
        <f>游戏时长规划!D131</f>
        <v>380</v>
      </c>
      <c r="E69" s="367">
        <f>游戏时长规划!E131</f>
        <v>5</v>
      </c>
      <c r="F69" s="367">
        <f>游戏时长规划!F131</f>
        <v>14650</v>
      </c>
      <c r="H69" s="363" t="s">
        <v>631</v>
      </c>
      <c r="I69" s="360" t="str">
        <f>坦克个性化设定!D41</f>
        <v>重坦</v>
      </c>
      <c r="J69" s="360" t="str">
        <f>坦克个性化设定!E41</f>
        <v>T2</v>
      </c>
      <c r="K69" s="360" t="str">
        <f>坦克个性化细分!J26</f>
        <v>中</v>
      </c>
      <c r="L69" s="360" t="str">
        <f t="shared" si="40"/>
        <v>T2中</v>
      </c>
      <c r="M69" s="360" t="str">
        <f t="shared" si="41"/>
        <v>重坦T2中</v>
      </c>
      <c r="N69" s="377"/>
      <c r="O69" s="365">
        <v>66</v>
      </c>
      <c r="P69" s="360" t="e">
        <f t="shared" ca="1" si="29"/>
        <v>#REF!</v>
      </c>
      <c r="Q69" s="360" t="e">
        <f ca="1">ROUND(MIN((BD69-VLOOKUP(R69,$B$22:$F$46,2,FALSE))/(VLOOKUP(R69,$B$22:$F$46,3,FALSE)-VLOOKUP(R69,$B$22:$F$46,2,FALSE)),1)*((VLOOKUP(R69,$B$22:$F$46,4,FALSE)*(AG69/(AG69+VLOOKUP(P69,$D$49:$F$123,3,TRUE)))+VLOOKUP(R69,$B$22:$F$46,5,FALSE)*(1-AG69/(AG69+VLOOKUP(P69,$D$49:$F$123,3,TRUE))))/2)*游戏时长规划!$C$4,0)</f>
        <v>#REF!</v>
      </c>
      <c r="R69" s="360" t="e">
        <f t="shared" ca="1" si="46"/>
        <v>#REF!</v>
      </c>
      <c r="S69" s="360" t="e">
        <f t="shared" ca="1" si="27"/>
        <v>#REF!</v>
      </c>
      <c r="T69" s="360" t="e">
        <f t="shared" ca="1" si="30"/>
        <v>#REF!</v>
      </c>
      <c r="U69" s="370" t="e">
        <f t="shared" ca="1" si="47"/>
        <v>#REF!</v>
      </c>
      <c r="V69" s="363" t="e">
        <f ca="1">VLOOKUP(U69,$H$46:$L$76,5,FALSE)</f>
        <v>#REF!</v>
      </c>
      <c r="W69" s="360" t="e">
        <f t="shared" ca="1" si="48"/>
        <v>#REF!</v>
      </c>
      <c r="X69" s="81" t="e">
        <f t="shared" ref="X69:X132" ca="1" si="60">IF(U69&lt;&gt;U68,IF(Y68&lt;&gt;"NULL",(IF(VLOOKUP(T69,$H$31:$I$43,2,FALSE)&lt;VLOOKUP(W69,$H$31:$I$43,2,FALSE),0,$E$12))+(IF(VLOOKUP(S69,$H$31:$I$43,2,FALSE)&lt;VLOOKUP(W69,$H$31:$I$43,2,FALSE),0,1))*$E$13*$L$4,(IF(VLOOKUP(T69,$H$31:$I$43,2,FALSE)&lt;VLOOKUP(W69,$H$31:$I$43,2,FALSE),0,$E$12))+(IF(VLOOKUP(S69,$H$31:$I$43,2,FALSE)&lt;VLOOKUP(W69,$H$31:$I$43,2,FALSE),0,1))*$E$13*$L$4),(IF(VLOOKUP(T69,$H$31:$I$43,2,FALSE)&lt;VLOOKUP(W69,$H$31:$I$43,2,FALSE),0,$E$12))+(IF(VLOOKUP(S69,$H$31:$I$43,2,FALSE)&lt;VLOOKUP(W69,$H$31:$I$43,2,FALSE),0,1))*$E$13*$L$4+X68)</f>
        <v>#REF!</v>
      </c>
      <c r="Y69" s="360" t="str">
        <f t="shared" ca="1" si="49"/>
        <v>NULL</v>
      </c>
      <c r="Z69" s="375" t="e">
        <f t="shared" ref="Z69:Z132" ca="1" si="61">IF(O69=1,($E$13+$E$12)*$L$4,IF(V69=V68,IF(Y69="NULL",($E$13+$E$12)*$L$4+Z68,$E$13*$L$4+Z68),($E$13+$E$12)*$L$4+IF(ISNUMBER(X68),X68,0)))</f>
        <v>#REF!</v>
      </c>
      <c r="AA69" s="360">
        <f ca="1">IFERROR(VLOOKUP(IF(V69="T1低",游戏时长规划!$C$67+Z69,Z69),INDIRECT(V69&amp;"星级"),2,TRUE),0)</f>
        <v>0</v>
      </c>
      <c r="AB69" s="375" t="e">
        <f t="shared" ca="1" si="50"/>
        <v>#REF!</v>
      </c>
      <c r="AC69" s="375">
        <f ca="1">($D$14+$D$17)*$L$4/坦克部件养成!$C$2+AC68-IFERROR(IF(RIGHT(AD68,3)*1&gt;RIGHT(VLOOKUP(AC68,INDIRECT(LEFT(AD67,2)&amp;"部件升阶"),5,TRUE),3)*1,VLOOKUP(AD67,INDIRECT(LEFT(AD67,2)&amp;"部件升阶消耗"),2,FALSE),0),0)</f>
        <v>781.00000000000057</v>
      </c>
      <c r="AD69" s="360" t="e">
        <f t="shared" ca="1" si="51"/>
        <v>#REF!</v>
      </c>
      <c r="AE69" s="375" t="e">
        <f ca="1">$D$15*$L$4/坦克部件养成!$C$2+AE68-IF(LEFT(AD69,2)&lt;&gt;LEFT(AD68,2),VLOOKUP(AF68,INDIRECT(LEFT(AD68,2)&amp;"部件升级消耗"),5,FALSE),0)</f>
        <v>#REF!</v>
      </c>
      <c r="AF69" s="360" t="e">
        <f ca="1">MIN(VLOOKUP(AE69,INDIRECT(LEFT(AD69,2)&amp;"部件升级"),2,TRUE),VLOOKUP(LEFT(AD69,2),坦克部件养成!#REF!,6,FALSE))</f>
        <v>#REF!</v>
      </c>
      <c r="AG69" s="378" t="e">
        <f ca="1">MAX(BD$4:BD69)</f>
        <v>#REF!</v>
      </c>
      <c r="AH69" s="378" t="str">
        <f t="shared" ca="1" si="52"/>
        <v/>
      </c>
      <c r="AI69" s="378">
        <f ca="1">IF(Y69="NULL",0,MAX(BY$4:BY69))</f>
        <v>0</v>
      </c>
      <c r="AK69" s="364" t="e">
        <f t="shared" ca="1" si="53"/>
        <v>#REF!</v>
      </c>
      <c r="AL69" s="364" t="e">
        <f ca="1">VLOOKUP(AK69,坦克个性化设定!$B$18:$F$48,5,FALSE)</f>
        <v>#REF!</v>
      </c>
      <c r="AM69" s="372" t="e">
        <f t="shared" ca="1" si="54"/>
        <v>#REF!</v>
      </c>
      <c r="AN69" s="372" t="e">
        <f t="shared" ref="AN69:AN132" ca="1" si="62">AD69</f>
        <v>#REF!</v>
      </c>
      <c r="AO69" s="364">
        <f t="shared" ca="1" si="55"/>
        <v>0</v>
      </c>
      <c r="AP69" s="372" t="e">
        <f ca="1">VLOOKUP($AK69&amp;$AO69,所有坦克升星属性,MATCH(AP$3,所有坦克升星属性标头,0),FALSE)+ROUND(AU69/VLOOKUP($AK69,坦克部件!#REF!,4,FALSE)*VLOOKUP($AK69&amp;0,所有坦克升星属性,MATCH(AP$3,所有坦克升星属性标头,0),FALSE),0)</f>
        <v>#REF!</v>
      </c>
      <c r="AQ69" s="372" t="e">
        <f ca="1">VLOOKUP($AK69&amp;$AO69,所有坦克升星属性,MATCH(AQ$3,所有坦克升星属性标头,0),FALSE)+ROUND(AV69/VLOOKUP($AK69,坦克部件!#REF!,4,FALSE)*VLOOKUP($AK69&amp;0,所有坦克升星属性,MATCH(AQ$3,所有坦克升星属性标头,0),FALSE),0)</f>
        <v>#REF!</v>
      </c>
      <c r="AR69" s="372" t="e">
        <f t="shared" ca="1" si="42"/>
        <v>#REF!</v>
      </c>
      <c r="AS69" s="372" t="e">
        <f t="shared" ca="1" si="42"/>
        <v>#REF!</v>
      </c>
      <c r="AT69" s="372" t="e">
        <f ca="1">VLOOKUP($AK69&amp;$AO69,所有坦克升星属性,MATCH(AT$3,所有坦克升星属性标头,0),FALSE)+ROUND(AW69/VLOOKUP($AK69,坦克部件!#REF!,4,FALSE)*VLOOKUP($AK69&amp;0,所有坦克升星属性,MATCH(AT$3,所有坦克升星属性标头,0),FALSE),0)</f>
        <v>#REF!</v>
      </c>
      <c r="AU69" s="372" t="e">
        <f ca="1">(VLOOKUP($AM69,坦克部件!#REF!,MATCH("标准值",坦克部件!#REF!,0),FALSE)+VLOOKUP($AN69,坦克部件!#REF!,MATCH("标准值",坦克部件!#REF!,0),FALSE))*2</f>
        <v>#REF!</v>
      </c>
      <c r="AV69" s="372" t="e">
        <f ca="1">(VLOOKUP($AM69,坦克部件!#REF!,MATCH("标准值",坦克部件!#REF!,0),FALSE)+VLOOKUP($AN69,坦克部件!#REF!,MATCH("标准值",坦克部件!#REF!,0),FALSE))*2</f>
        <v>#REF!</v>
      </c>
      <c r="AW69" s="372" t="e">
        <f ca="1">(VLOOKUP($AM69,坦克部件!#REF!,MATCH("标准值",坦克部件!#REF!,0),FALSE)+VLOOKUP($AN69,坦克部件!#REF!,MATCH("标准值",坦克部件!#REF!,0),FALSE))*2</f>
        <v>#REF!</v>
      </c>
      <c r="AX69" s="372" t="e">
        <f ca="1">VLOOKUP($AK69,坦克属性统计!$B$3:$AY$33,MATCH(AX$3,坦克属性统计!$B$3:$AY$3,0),FALSE)</f>
        <v>#REF!</v>
      </c>
      <c r="AY69" s="372" t="e">
        <f t="shared" ca="1" si="43"/>
        <v>#REF!</v>
      </c>
      <c r="AZ69" s="372" t="e">
        <f t="shared" ca="1" si="43"/>
        <v>#REF!</v>
      </c>
      <c r="BA69" s="372" t="e">
        <f t="shared" ca="1" si="43"/>
        <v>#REF!</v>
      </c>
      <c r="BB69" s="356" t="e">
        <f t="shared" ca="1" si="56"/>
        <v>#REF!</v>
      </c>
      <c r="BC69" s="356" t="e">
        <f ca="1">VLOOKUP(AK69,坦克个性化设定!$B$18:$E$48,4,FALSE)</f>
        <v>#REF!</v>
      </c>
      <c r="BD69" s="357" t="e">
        <f t="shared" ref="BD69:BD132" ca="1" si="63">ROUND(SQRT(AP69*AQ69*BB69/2+AVERAGE(AR69,AS69)*AT69*100),0)</f>
        <v>#REF!</v>
      </c>
      <c r="BF69" s="357" t="str">
        <f t="shared" ca="1" si="57"/>
        <v/>
      </c>
      <c r="BG69" s="372" t="str">
        <f ca="1">IFERROR(VLOOKUP(BF69,坦克个性化设定!$B$18:$F$48,5,FALSE),"")</f>
        <v/>
      </c>
      <c r="BH69" s="372" t="e">
        <f t="shared" ref="BH69:BH132" ca="1" si="64">AM69</f>
        <v>#REF!</v>
      </c>
      <c r="BI69" s="372" t="e">
        <f t="shared" ref="BI69:BI132" ca="1" si="65">AN69</f>
        <v>#REF!</v>
      </c>
      <c r="BJ69" s="364" t="str">
        <f t="shared" ca="1" si="58"/>
        <v>NULL</v>
      </c>
      <c r="BK69" s="372" t="e">
        <f ca="1">VLOOKUP($BF69&amp;IF($BJ69="NULL",0,$BJ69),所有坦克升星属性,MATCH(BK$3,所有坦克升星属性标头,0),FALSE)+ROUND(BP69/VLOOKUP($BF69,坦克部件!#REF!,4,FALSE)*VLOOKUP($BF69&amp;0,所有坦克升星属性,MATCH(BK$3,所有坦克升星属性标头,0),FALSE),0)</f>
        <v>#N/A</v>
      </c>
      <c r="BL69" s="372" t="e">
        <f ca="1">VLOOKUP($BF69&amp;IF($BJ69="NULL",0,$BJ69),所有坦克升星属性,MATCH(BL$3,所有坦克升星属性标头,0),FALSE)+ROUND(BQ69/VLOOKUP($BF69,坦克部件!#REF!,4,FALSE)*VLOOKUP($BF69&amp;0,所有坦克升星属性,MATCH(BL$3,所有坦克升星属性标头,0),FALSE),0)</f>
        <v>#N/A</v>
      </c>
      <c r="BM69" s="372" t="e">
        <f t="shared" ca="1" si="44"/>
        <v>#N/A</v>
      </c>
      <c r="BN69" s="372" t="e">
        <f t="shared" ca="1" si="44"/>
        <v>#N/A</v>
      </c>
      <c r="BO69" s="372" t="e">
        <f ca="1">VLOOKUP($BF69&amp;IF($BJ69="NULL",0,$BJ69),所有坦克升星属性,MATCH(BO$3,所有坦克升星属性标头,0),FALSE)+ROUND(BR69/VLOOKUP($BF69,坦克部件!#REF!,4,FALSE)*VLOOKUP($BF69&amp;0,所有坦克升星属性,MATCH(BO$3,所有坦克升星属性标头,0),FALSE),0)</f>
        <v>#N/A</v>
      </c>
      <c r="BP69" s="372" t="e">
        <f ca="1">(VLOOKUP($BH69,坦克部件!#REF!,MATCH("标准值",坦克部件!#REF!,0),FALSE)+VLOOKUP($BI69,坦克部件!#REF!,MATCH("标准值",坦克部件!#REF!,0),FALSE))*2</f>
        <v>#REF!</v>
      </c>
      <c r="BQ69" s="372" t="e">
        <f ca="1">(VLOOKUP($BH69,坦克部件!#REF!,MATCH("标准值",坦克部件!#REF!,0),FALSE)+VLOOKUP($BI69,坦克部件!#REF!,MATCH("标准值",坦克部件!#REF!,0),FALSE))*2</f>
        <v>#REF!</v>
      </c>
      <c r="BR69" s="372" t="e">
        <f ca="1">(VLOOKUP($BH69,坦克部件!#REF!,MATCH("标准值",坦克部件!#REF!,0),FALSE)+VLOOKUP($BI69,坦克部件!#REF!,MATCH("标准值",坦克部件!#REF!,0),FALSE))*2</f>
        <v>#REF!</v>
      </c>
      <c r="BS69" s="372" t="e">
        <f ca="1">VLOOKUP($BF69,坦克属性统计!$B$3:$AY$33,MATCH(BS$3,坦克属性统计!$B$3:$AY$3,0),FALSE)</f>
        <v>#N/A</v>
      </c>
      <c r="BT69" s="372" t="e">
        <f t="shared" ca="1" si="45"/>
        <v>#N/A</v>
      </c>
      <c r="BU69" s="372" t="e">
        <f t="shared" ca="1" si="45"/>
        <v>#N/A</v>
      </c>
      <c r="BV69" s="372" t="e">
        <f t="shared" ca="1" si="45"/>
        <v>#N/A</v>
      </c>
      <c r="BW69" s="356">
        <f t="shared" ca="1" si="59"/>
        <v>0</v>
      </c>
      <c r="BX69" s="356" t="e">
        <f ca="1">VLOOKUP(BF69,坦克个性化设定!$B$18:$E$48,4,FALSE)</f>
        <v>#N/A</v>
      </c>
      <c r="BY69" s="357" t="e">
        <f t="shared" ref="BY69:BY132" ca="1" si="66">ROUND(SQRT(BK69*BL69*BW69/2+AVERAGE(BM69,BN69)*BO69*100),0)</f>
        <v>#N/A</v>
      </c>
    </row>
    <row r="70" spans="2:77" x14ac:dyDescent="0.35">
      <c r="B70" s="352">
        <v>21</v>
      </c>
      <c r="C70" s="367">
        <f>游戏时长规划!C132</f>
        <v>20</v>
      </c>
      <c r="D70" s="367">
        <f>游戏时长规划!D132</f>
        <v>400</v>
      </c>
      <c r="E70" s="367">
        <f>游戏时长规划!E132</f>
        <v>5</v>
      </c>
      <c r="F70" s="367">
        <f>游戏时长规划!F132</f>
        <v>15450</v>
      </c>
      <c r="H70" s="363" t="s">
        <v>628</v>
      </c>
      <c r="I70" s="360" t="str">
        <f>坦克个性化设定!D42</f>
        <v>重坦</v>
      </c>
      <c r="J70" s="360" t="str">
        <f>坦克个性化设定!E42</f>
        <v>T3</v>
      </c>
      <c r="K70" s="360" t="str">
        <f>坦克个性化细分!J27</f>
        <v>低</v>
      </c>
      <c r="L70" s="360" t="str">
        <f t="shared" si="40"/>
        <v>T3低</v>
      </c>
      <c r="M70" s="360" t="str">
        <f t="shared" si="41"/>
        <v>重坦T3低</v>
      </c>
      <c r="N70" s="377"/>
      <c r="O70" s="365">
        <v>67</v>
      </c>
      <c r="P70" s="360" t="e">
        <f t="shared" ca="1" si="29"/>
        <v>#REF!</v>
      </c>
      <c r="Q70" s="360" t="e">
        <f ca="1">ROUND(MIN((BD70-VLOOKUP(R70,$B$22:$F$46,2,FALSE))/(VLOOKUP(R70,$B$22:$F$46,3,FALSE)-VLOOKUP(R70,$B$22:$F$46,2,FALSE)),1)*((VLOOKUP(R70,$B$22:$F$46,4,FALSE)*(AG70/(AG70+VLOOKUP(P70,$D$49:$F$123,3,TRUE)))+VLOOKUP(R70,$B$22:$F$46,5,FALSE)*(1-AG70/(AG70+VLOOKUP(P70,$D$49:$F$123,3,TRUE))))/2)*游戏时长规划!$C$4,0)</f>
        <v>#REF!</v>
      </c>
      <c r="R70" s="360" t="e">
        <f t="shared" ca="1" si="46"/>
        <v>#REF!</v>
      </c>
      <c r="S70" s="360" t="e">
        <f t="shared" ca="1" si="27"/>
        <v>#REF!</v>
      </c>
      <c r="T70" s="360" t="e">
        <f t="shared" ca="1" si="30"/>
        <v>#REF!</v>
      </c>
      <c r="U70" s="370" t="e">
        <f t="shared" ca="1" si="47"/>
        <v>#REF!</v>
      </c>
      <c r="V70" s="363" t="e">
        <f ca="1">VLOOKUP(U70,$H$46:$L$76,5,FALSE)</f>
        <v>#REF!</v>
      </c>
      <c r="W70" s="360" t="e">
        <f t="shared" ca="1" si="48"/>
        <v>#REF!</v>
      </c>
      <c r="X70" s="81" t="e">
        <f t="shared" ca="1" si="60"/>
        <v>#REF!</v>
      </c>
      <c r="Y70" s="360" t="str">
        <f t="shared" ca="1" si="49"/>
        <v>NULL</v>
      </c>
      <c r="Z70" s="375" t="e">
        <f t="shared" ca="1" si="61"/>
        <v>#REF!</v>
      </c>
      <c r="AA70" s="360">
        <f ca="1">IFERROR(VLOOKUP(IF(V70="T1低",游戏时长规划!$C$67+Z70,Z70),INDIRECT(V70&amp;"星级"),2,TRUE),0)</f>
        <v>0</v>
      </c>
      <c r="AB70" s="375" t="e">
        <f t="shared" ca="1" si="50"/>
        <v>#REF!</v>
      </c>
      <c r="AC70" s="375">
        <f ca="1">($D$14+$D$17)*$L$4/坦克部件养成!$C$2+AC69-IFERROR(IF(RIGHT(AD69,3)*1&gt;RIGHT(VLOOKUP(AC69,INDIRECT(LEFT(AD68,2)&amp;"部件升阶"),5,TRUE),3)*1,VLOOKUP(AD68,INDIRECT(LEFT(AD68,2)&amp;"部件升阶消耗"),2,FALSE),0),0)</f>
        <v>792.83333333333394</v>
      </c>
      <c r="AD70" s="360" t="e">
        <f t="shared" ca="1" si="51"/>
        <v>#REF!</v>
      </c>
      <c r="AE70" s="375" t="e">
        <f ca="1">$D$15*$L$4/坦克部件养成!$C$2+AE69-IF(LEFT(AD70,2)&lt;&gt;LEFT(AD69,2),VLOOKUP(AF69,INDIRECT(LEFT(AD69,2)&amp;"部件升级消耗"),5,FALSE),0)</f>
        <v>#REF!</v>
      </c>
      <c r="AF70" s="360" t="e">
        <f ca="1">MIN(VLOOKUP(AE70,INDIRECT(LEFT(AD70,2)&amp;"部件升级"),2,TRUE),VLOOKUP(LEFT(AD70,2),坦克部件养成!#REF!,6,FALSE))</f>
        <v>#REF!</v>
      </c>
      <c r="AG70" s="378" t="e">
        <f ca="1">MAX(BD$4:BD70)</f>
        <v>#REF!</v>
      </c>
      <c r="AH70" s="378" t="str">
        <f t="shared" ca="1" si="52"/>
        <v/>
      </c>
      <c r="AI70" s="378">
        <f ca="1">IF(Y70="NULL",0,MAX(BY$4:BY70))</f>
        <v>0</v>
      </c>
      <c r="AK70" s="364" t="e">
        <f t="shared" ca="1" si="53"/>
        <v>#REF!</v>
      </c>
      <c r="AL70" s="364" t="e">
        <f ca="1">VLOOKUP(AK70,坦克个性化设定!$B$18:$F$48,5,FALSE)</f>
        <v>#REF!</v>
      </c>
      <c r="AM70" s="372" t="e">
        <f t="shared" ca="1" si="54"/>
        <v>#REF!</v>
      </c>
      <c r="AN70" s="372" t="e">
        <f t="shared" ca="1" si="62"/>
        <v>#REF!</v>
      </c>
      <c r="AO70" s="364">
        <f t="shared" ca="1" si="55"/>
        <v>0</v>
      </c>
      <c r="AP70" s="372" t="e">
        <f ca="1">VLOOKUP($AK70&amp;$AO70,所有坦克升星属性,MATCH(AP$3,所有坦克升星属性标头,0),FALSE)+ROUND(AU70/VLOOKUP($AK70,坦克部件!#REF!,4,FALSE)*VLOOKUP($AK70&amp;0,所有坦克升星属性,MATCH(AP$3,所有坦克升星属性标头,0),FALSE),0)</f>
        <v>#REF!</v>
      </c>
      <c r="AQ70" s="372" t="e">
        <f ca="1">VLOOKUP($AK70&amp;$AO70,所有坦克升星属性,MATCH(AQ$3,所有坦克升星属性标头,0),FALSE)+ROUND(AV70/VLOOKUP($AK70,坦克部件!#REF!,4,FALSE)*VLOOKUP($AK70&amp;0,所有坦克升星属性,MATCH(AQ$3,所有坦克升星属性标头,0),FALSE),0)</f>
        <v>#REF!</v>
      </c>
      <c r="AR70" s="372" t="e">
        <f t="shared" ca="1" si="42"/>
        <v>#REF!</v>
      </c>
      <c r="AS70" s="372" t="e">
        <f t="shared" ca="1" si="42"/>
        <v>#REF!</v>
      </c>
      <c r="AT70" s="372" t="e">
        <f ca="1">VLOOKUP($AK70&amp;$AO70,所有坦克升星属性,MATCH(AT$3,所有坦克升星属性标头,0),FALSE)+ROUND(AW70/VLOOKUP($AK70,坦克部件!#REF!,4,FALSE)*VLOOKUP($AK70&amp;0,所有坦克升星属性,MATCH(AT$3,所有坦克升星属性标头,0),FALSE),0)</f>
        <v>#REF!</v>
      </c>
      <c r="AU70" s="372" t="e">
        <f ca="1">(VLOOKUP($AM70,坦克部件!#REF!,MATCH("标准值",坦克部件!#REF!,0),FALSE)+VLOOKUP($AN70,坦克部件!#REF!,MATCH("标准值",坦克部件!#REF!,0),FALSE))*2</f>
        <v>#REF!</v>
      </c>
      <c r="AV70" s="372" t="e">
        <f ca="1">(VLOOKUP($AM70,坦克部件!#REF!,MATCH("标准值",坦克部件!#REF!,0),FALSE)+VLOOKUP($AN70,坦克部件!#REF!,MATCH("标准值",坦克部件!#REF!,0),FALSE))*2</f>
        <v>#REF!</v>
      </c>
      <c r="AW70" s="372" t="e">
        <f ca="1">(VLOOKUP($AM70,坦克部件!#REF!,MATCH("标准值",坦克部件!#REF!,0),FALSE)+VLOOKUP($AN70,坦克部件!#REF!,MATCH("标准值",坦克部件!#REF!,0),FALSE))*2</f>
        <v>#REF!</v>
      </c>
      <c r="AX70" s="372" t="e">
        <f ca="1">VLOOKUP($AK70,坦克属性统计!$B$3:$AY$33,MATCH(AX$3,坦克属性统计!$B$3:$AY$3,0),FALSE)</f>
        <v>#REF!</v>
      </c>
      <c r="AY70" s="372" t="e">
        <f t="shared" ca="1" si="43"/>
        <v>#REF!</v>
      </c>
      <c r="AZ70" s="372" t="e">
        <f t="shared" ca="1" si="43"/>
        <v>#REF!</v>
      </c>
      <c r="BA70" s="372" t="e">
        <f t="shared" ca="1" si="43"/>
        <v>#REF!</v>
      </c>
      <c r="BB70" s="356" t="e">
        <f t="shared" ca="1" si="56"/>
        <v>#REF!</v>
      </c>
      <c r="BC70" s="356" t="e">
        <f ca="1">VLOOKUP(AK70,坦克个性化设定!$B$18:$E$48,4,FALSE)</f>
        <v>#REF!</v>
      </c>
      <c r="BD70" s="357" t="e">
        <f t="shared" ca="1" si="63"/>
        <v>#REF!</v>
      </c>
      <c r="BF70" s="357" t="str">
        <f t="shared" ca="1" si="57"/>
        <v/>
      </c>
      <c r="BG70" s="372" t="str">
        <f ca="1">IFERROR(VLOOKUP(BF70,坦克个性化设定!$B$18:$F$48,5,FALSE),"")</f>
        <v/>
      </c>
      <c r="BH70" s="372" t="e">
        <f t="shared" ca="1" si="64"/>
        <v>#REF!</v>
      </c>
      <c r="BI70" s="372" t="e">
        <f t="shared" ca="1" si="65"/>
        <v>#REF!</v>
      </c>
      <c r="BJ70" s="364" t="str">
        <f t="shared" ca="1" si="58"/>
        <v>NULL</v>
      </c>
      <c r="BK70" s="372" t="e">
        <f ca="1">VLOOKUP($BF70&amp;IF($BJ70="NULL",0,$BJ70),所有坦克升星属性,MATCH(BK$3,所有坦克升星属性标头,0),FALSE)+ROUND(BP70/VLOOKUP($BF70,坦克部件!#REF!,4,FALSE)*VLOOKUP($BF70&amp;0,所有坦克升星属性,MATCH(BK$3,所有坦克升星属性标头,0),FALSE),0)</f>
        <v>#N/A</v>
      </c>
      <c r="BL70" s="372" t="e">
        <f ca="1">VLOOKUP($BF70&amp;IF($BJ70="NULL",0,$BJ70),所有坦克升星属性,MATCH(BL$3,所有坦克升星属性标头,0),FALSE)+ROUND(BQ70/VLOOKUP($BF70,坦克部件!#REF!,4,FALSE)*VLOOKUP($BF70&amp;0,所有坦克升星属性,MATCH(BL$3,所有坦克升星属性标头,0),FALSE),0)</f>
        <v>#N/A</v>
      </c>
      <c r="BM70" s="372" t="e">
        <f t="shared" ca="1" si="44"/>
        <v>#N/A</v>
      </c>
      <c r="BN70" s="372" t="e">
        <f t="shared" ca="1" si="44"/>
        <v>#N/A</v>
      </c>
      <c r="BO70" s="372" t="e">
        <f ca="1">VLOOKUP($BF70&amp;IF($BJ70="NULL",0,$BJ70),所有坦克升星属性,MATCH(BO$3,所有坦克升星属性标头,0),FALSE)+ROUND(BR70/VLOOKUP($BF70,坦克部件!#REF!,4,FALSE)*VLOOKUP($BF70&amp;0,所有坦克升星属性,MATCH(BO$3,所有坦克升星属性标头,0),FALSE),0)</f>
        <v>#N/A</v>
      </c>
      <c r="BP70" s="372" t="e">
        <f ca="1">(VLOOKUP($BH70,坦克部件!#REF!,MATCH("标准值",坦克部件!#REF!,0),FALSE)+VLOOKUP($BI70,坦克部件!#REF!,MATCH("标准值",坦克部件!#REF!,0),FALSE))*2</f>
        <v>#REF!</v>
      </c>
      <c r="BQ70" s="372" t="e">
        <f ca="1">(VLOOKUP($BH70,坦克部件!#REF!,MATCH("标准值",坦克部件!#REF!,0),FALSE)+VLOOKUP($BI70,坦克部件!#REF!,MATCH("标准值",坦克部件!#REF!,0),FALSE))*2</f>
        <v>#REF!</v>
      </c>
      <c r="BR70" s="372" t="e">
        <f ca="1">(VLOOKUP($BH70,坦克部件!#REF!,MATCH("标准值",坦克部件!#REF!,0),FALSE)+VLOOKUP($BI70,坦克部件!#REF!,MATCH("标准值",坦克部件!#REF!,0),FALSE))*2</f>
        <v>#REF!</v>
      </c>
      <c r="BS70" s="372" t="e">
        <f ca="1">VLOOKUP($BF70,坦克属性统计!$B$3:$AY$33,MATCH(BS$3,坦克属性统计!$B$3:$AY$3,0),FALSE)</f>
        <v>#N/A</v>
      </c>
      <c r="BT70" s="372" t="e">
        <f t="shared" ca="1" si="45"/>
        <v>#N/A</v>
      </c>
      <c r="BU70" s="372" t="e">
        <f t="shared" ca="1" si="45"/>
        <v>#N/A</v>
      </c>
      <c r="BV70" s="372" t="e">
        <f t="shared" ca="1" si="45"/>
        <v>#N/A</v>
      </c>
      <c r="BW70" s="356">
        <f t="shared" ca="1" si="59"/>
        <v>0</v>
      </c>
      <c r="BX70" s="356" t="e">
        <f ca="1">VLOOKUP(BF70,坦克个性化设定!$B$18:$E$48,4,FALSE)</f>
        <v>#N/A</v>
      </c>
      <c r="BY70" s="357" t="e">
        <f t="shared" ca="1" si="66"/>
        <v>#N/A</v>
      </c>
    </row>
    <row r="71" spans="2:77" x14ac:dyDescent="0.35">
      <c r="B71" s="352">
        <v>22</v>
      </c>
      <c r="C71" s="367">
        <f>游戏时长规划!C133</f>
        <v>20</v>
      </c>
      <c r="D71" s="367">
        <f>游戏时长规划!D133</f>
        <v>420</v>
      </c>
      <c r="E71" s="367">
        <f>游戏时长规划!E133</f>
        <v>6</v>
      </c>
      <c r="F71" s="367">
        <f>游戏时长规划!F133</f>
        <v>13400</v>
      </c>
      <c r="H71" s="363" t="s">
        <v>632</v>
      </c>
      <c r="I71" s="360" t="str">
        <f>坦克个性化设定!D43</f>
        <v>重坦</v>
      </c>
      <c r="J71" s="360" t="str">
        <f>坦克个性化设定!E43</f>
        <v>T3</v>
      </c>
      <c r="K71" s="360" t="str">
        <f>坦克个性化细分!J28</f>
        <v>中</v>
      </c>
      <c r="L71" s="360" t="str">
        <f t="shared" si="40"/>
        <v>T3中</v>
      </c>
      <c r="M71" s="360" t="str">
        <f t="shared" si="41"/>
        <v>重坦T3中</v>
      </c>
      <c r="N71" s="377"/>
      <c r="O71" s="365">
        <v>68</v>
      </c>
      <c r="P71" s="360" t="e">
        <f t="shared" ca="1" si="29"/>
        <v>#REF!</v>
      </c>
      <c r="Q71" s="360" t="e">
        <f ca="1">ROUND(MIN((BD71-VLOOKUP(R71,$B$22:$F$46,2,FALSE))/(VLOOKUP(R71,$B$22:$F$46,3,FALSE)-VLOOKUP(R71,$B$22:$F$46,2,FALSE)),1)*((VLOOKUP(R71,$B$22:$F$46,4,FALSE)*(AG71/(AG71+VLOOKUP(P71,$D$49:$F$123,3,TRUE)))+VLOOKUP(R71,$B$22:$F$46,5,FALSE)*(1-AG71/(AG71+VLOOKUP(P71,$D$49:$F$123,3,TRUE))))/2)*游戏时长规划!$C$4,0)</f>
        <v>#REF!</v>
      </c>
      <c r="R71" s="360" t="e">
        <f t="shared" ca="1" si="46"/>
        <v>#REF!</v>
      </c>
      <c r="S71" s="360" t="e">
        <f t="shared" ref="S71:S134" ca="1" si="67">VLOOKUP(R71,$H$16:$I$28,2,FALSE)</f>
        <v>#REF!</v>
      </c>
      <c r="T71" s="360" t="e">
        <f t="shared" ca="1" si="30"/>
        <v>#REF!</v>
      </c>
      <c r="U71" s="370" t="e">
        <f t="shared" ca="1" si="47"/>
        <v>#REF!</v>
      </c>
      <c r="V71" s="363" t="e">
        <f t="shared" ref="V71:V134" ca="1" si="68">VLOOKUP(U71,$H$46:$L$76,5,FALSE)</f>
        <v>#REF!</v>
      </c>
      <c r="W71" s="360" t="e">
        <f t="shared" ca="1" si="48"/>
        <v>#REF!</v>
      </c>
      <c r="X71" s="81" t="e">
        <f t="shared" ca="1" si="60"/>
        <v>#REF!</v>
      </c>
      <c r="Y71" s="360" t="str">
        <f t="shared" ca="1" si="49"/>
        <v>NULL</v>
      </c>
      <c r="Z71" s="375" t="e">
        <f t="shared" ca="1" si="61"/>
        <v>#REF!</v>
      </c>
      <c r="AA71" s="360">
        <f ca="1">IFERROR(VLOOKUP(IF(V71="T1低",游戏时长规划!$C$67+Z71,Z71),INDIRECT(V71&amp;"星级"),2,TRUE),0)</f>
        <v>0</v>
      </c>
      <c r="AB71" s="375" t="e">
        <f t="shared" ca="1" si="50"/>
        <v>#REF!</v>
      </c>
      <c r="AC71" s="375">
        <f ca="1">($D$14+$D$17)*$L$4/坦克部件养成!$C$2+AC70-IFERROR(IF(RIGHT(AD70,3)*1&gt;RIGHT(VLOOKUP(AC70,INDIRECT(LEFT(AD69,2)&amp;"部件升阶"),5,TRUE),3)*1,VLOOKUP(AD69,INDIRECT(LEFT(AD69,2)&amp;"部件升阶消耗"),2,FALSE),0),0)</f>
        <v>804.66666666666731</v>
      </c>
      <c r="AD71" s="360" t="e">
        <f t="shared" ca="1" si="51"/>
        <v>#REF!</v>
      </c>
      <c r="AE71" s="375" t="e">
        <f ca="1">$D$15*$L$4/坦克部件养成!$C$2+AE70-IF(LEFT(AD71,2)&lt;&gt;LEFT(AD70,2),VLOOKUP(AF70,INDIRECT(LEFT(AD70,2)&amp;"部件升级消耗"),5,FALSE),0)</f>
        <v>#REF!</v>
      </c>
      <c r="AF71" s="360" t="e">
        <f ca="1">MIN(VLOOKUP(AE71,INDIRECT(LEFT(AD71,2)&amp;"部件升级"),2,TRUE),VLOOKUP(LEFT(AD71,2),坦克部件养成!#REF!,6,FALSE))</f>
        <v>#REF!</v>
      </c>
      <c r="AG71" s="378" t="e">
        <f ca="1">MAX(BD$4:BD71)</f>
        <v>#REF!</v>
      </c>
      <c r="AH71" s="378" t="str">
        <f t="shared" ca="1" si="52"/>
        <v/>
      </c>
      <c r="AI71" s="378">
        <f ca="1">IF(Y71="NULL",0,MAX(BY$4:BY71))</f>
        <v>0</v>
      </c>
      <c r="AK71" s="364" t="e">
        <f t="shared" ca="1" si="53"/>
        <v>#REF!</v>
      </c>
      <c r="AL71" s="364" t="e">
        <f ca="1">VLOOKUP(AK71,坦克个性化设定!$B$18:$F$48,5,FALSE)</f>
        <v>#REF!</v>
      </c>
      <c r="AM71" s="372" t="e">
        <f t="shared" ca="1" si="54"/>
        <v>#REF!</v>
      </c>
      <c r="AN71" s="372" t="e">
        <f t="shared" ca="1" si="62"/>
        <v>#REF!</v>
      </c>
      <c r="AO71" s="364">
        <f t="shared" ca="1" si="55"/>
        <v>0</v>
      </c>
      <c r="AP71" s="372" t="e">
        <f ca="1">VLOOKUP($AK71&amp;$AO71,所有坦克升星属性,MATCH(AP$3,所有坦克升星属性标头,0),FALSE)+ROUND(AU71/VLOOKUP($AK71,坦克部件!#REF!,4,FALSE)*VLOOKUP($AK71&amp;0,所有坦克升星属性,MATCH(AP$3,所有坦克升星属性标头,0),FALSE),0)</f>
        <v>#REF!</v>
      </c>
      <c r="AQ71" s="372" t="e">
        <f ca="1">VLOOKUP($AK71&amp;$AO71,所有坦克升星属性,MATCH(AQ$3,所有坦克升星属性标头,0),FALSE)+ROUND(AV71/VLOOKUP($AK71,坦克部件!#REF!,4,FALSE)*VLOOKUP($AK71&amp;0,所有坦克升星属性,MATCH(AQ$3,所有坦克升星属性标头,0),FALSE),0)</f>
        <v>#REF!</v>
      </c>
      <c r="AR71" s="372" t="e">
        <f t="shared" ca="1" si="42"/>
        <v>#REF!</v>
      </c>
      <c r="AS71" s="372" t="e">
        <f t="shared" ca="1" si="42"/>
        <v>#REF!</v>
      </c>
      <c r="AT71" s="372" t="e">
        <f ca="1">VLOOKUP($AK71&amp;$AO71,所有坦克升星属性,MATCH(AT$3,所有坦克升星属性标头,0),FALSE)+ROUND(AW71/VLOOKUP($AK71,坦克部件!#REF!,4,FALSE)*VLOOKUP($AK71&amp;0,所有坦克升星属性,MATCH(AT$3,所有坦克升星属性标头,0),FALSE),0)</f>
        <v>#REF!</v>
      </c>
      <c r="AU71" s="372" t="e">
        <f ca="1">(VLOOKUP($AM71,坦克部件!#REF!,MATCH("标准值",坦克部件!#REF!,0),FALSE)+VLOOKUP($AN71,坦克部件!#REF!,MATCH("标准值",坦克部件!#REF!,0),FALSE))*2</f>
        <v>#REF!</v>
      </c>
      <c r="AV71" s="372" t="e">
        <f ca="1">(VLOOKUP($AM71,坦克部件!#REF!,MATCH("标准值",坦克部件!#REF!,0),FALSE)+VLOOKUP($AN71,坦克部件!#REF!,MATCH("标准值",坦克部件!#REF!,0),FALSE))*2</f>
        <v>#REF!</v>
      </c>
      <c r="AW71" s="372" t="e">
        <f ca="1">(VLOOKUP($AM71,坦克部件!#REF!,MATCH("标准值",坦克部件!#REF!,0),FALSE)+VLOOKUP($AN71,坦克部件!#REF!,MATCH("标准值",坦克部件!#REF!,0),FALSE))*2</f>
        <v>#REF!</v>
      </c>
      <c r="AX71" s="372" t="e">
        <f ca="1">VLOOKUP($AK71,坦克属性统计!$B$3:$AY$33,MATCH(AX$3,坦克属性统计!$B$3:$AY$3,0),FALSE)</f>
        <v>#REF!</v>
      </c>
      <c r="AY71" s="372" t="e">
        <f t="shared" ca="1" si="43"/>
        <v>#REF!</v>
      </c>
      <c r="AZ71" s="372" t="e">
        <f t="shared" ca="1" si="43"/>
        <v>#REF!</v>
      </c>
      <c r="BA71" s="372" t="e">
        <f t="shared" ca="1" si="43"/>
        <v>#REF!</v>
      </c>
      <c r="BB71" s="356" t="e">
        <f t="shared" ca="1" si="56"/>
        <v>#REF!</v>
      </c>
      <c r="BC71" s="356" t="e">
        <f ca="1">VLOOKUP(AK71,坦克个性化设定!$B$18:$E$48,4,FALSE)</f>
        <v>#REF!</v>
      </c>
      <c r="BD71" s="357" t="e">
        <f t="shared" ca="1" si="63"/>
        <v>#REF!</v>
      </c>
      <c r="BF71" s="357" t="str">
        <f t="shared" ca="1" si="57"/>
        <v/>
      </c>
      <c r="BG71" s="372" t="str">
        <f ca="1">IFERROR(VLOOKUP(BF71,坦克个性化设定!$B$18:$F$48,5,FALSE),"")</f>
        <v/>
      </c>
      <c r="BH71" s="372" t="e">
        <f t="shared" ca="1" si="64"/>
        <v>#REF!</v>
      </c>
      <c r="BI71" s="372" t="e">
        <f t="shared" ca="1" si="65"/>
        <v>#REF!</v>
      </c>
      <c r="BJ71" s="364" t="str">
        <f t="shared" ca="1" si="58"/>
        <v>NULL</v>
      </c>
      <c r="BK71" s="372" t="e">
        <f ca="1">VLOOKUP($BF71&amp;IF($BJ71="NULL",0,$BJ71),所有坦克升星属性,MATCH(BK$3,所有坦克升星属性标头,0),FALSE)+ROUND(BP71/VLOOKUP($BF71,坦克部件!#REF!,4,FALSE)*VLOOKUP($BF71&amp;0,所有坦克升星属性,MATCH(BK$3,所有坦克升星属性标头,0),FALSE),0)</f>
        <v>#N/A</v>
      </c>
      <c r="BL71" s="372" t="e">
        <f ca="1">VLOOKUP($BF71&amp;IF($BJ71="NULL",0,$BJ71),所有坦克升星属性,MATCH(BL$3,所有坦克升星属性标头,0),FALSE)+ROUND(BQ71/VLOOKUP($BF71,坦克部件!#REF!,4,FALSE)*VLOOKUP($BF71&amp;0,所有坦克升星属性,MATCH(BL$3,所有坦克升星属性标头,0),FALSE),0)</f>
        <v>#N/A</v>
      </c>
      <c r="BM71" s="372" t="e">
        <f t="shared" ca="1" si="44"/>
        <v>#N/A</v>
      </c>
      <c r="BN71" s="372" t="e">
        <f t="shared" ca="1" si="44"/>
        <v>#N/A</v>
      </c>
      <c r="BO71" s="372" t="e">
        <f ca="1">VLOOKUP($BF71&amp;IF($BJ71="NULL",0,$BJ71),所有坦克升星属性,MATCH(BO$3,所有坦克升星属性标头,0),FALSE)+ROUND(BR71/VLOOKUP($BF71,坦克部件!#REF!,4,FALSE)*VLOOKUP($BF71&amp;0,所有坦克升星属性,MATCH(BO$3,所有坦克升星属性标头,0),FALSE),0)</f>
        <v>#N/A</v>
      </c>
      <c r="BP71" s="372" t="e">
        <f ca="1">(VLOOKUP($BH71,坦克部件!#REF!,MATCH("标准值",坦克部件!#REF!,0),FALSE)+VLOOKUP($BI71,坦克部件!#REF!,MATCH("标准值",坦克部件!#REF!,0),FALSE))*2</f>
        <v>#REF!</v>
      </c>
      <c r="BQ71" s="372" t="e">
        <f ca="1">(VLOOKUP($BH71,坦克部件!#REF!,MATCH("标准值",坦克部件!#REF!,0),FALSE)+VLOOKUP($BI71,坦克部件!#REF!,MATCH("标准值",坦克部件!#REF!,0),FALSE))*2</f>
        <v>#REF!</v>
      </c>
      <c r="BR71" s="372" t="e">
        <f ca="1">(VLOOKUP($BH71,坦克部件!#REF!,MATCH("标准值",坦克部件!#REF!,0),FALSE)+VLOOKUP($BI71,坦克部件!#REF!,MATCH("标准值",坦克部件!#REF!,0),FALSE))*2</f>
        <v>#REF!</v>
      </c>
      <c r="BS71" s="372" t="e">
        <f ca="1">VLOOKUP($BF71,坦克属性统计!$B$3:$AY$33,MATCH(BS$3,坦克属性统计!$B$3:$AY$3,0),FALSE)</f>
        <v>#N/A</v>
      </c>
      <c r="BT71" s="372" t="e">
        <f t="shared" ca="1" si="45"/>
        <v>#N/A</v>
      </c>
      <c r="BU71" s="372" t="e">
        <f t="shared" ca="1" si="45"/>
        <v>#N/A</v>
      </c>
      <c r="BV71" s="372" t="e">
        <f t="shared" ca="1" si="45"/>
        <v>#N/A</v>
      </c>
      <c r="BW71" s="356">
        <f t="shared" ca="1" si="59"/>
        <v>0</v>
      </c>
      <c r="BX71" s="356" t="e">
        <f ca="1">VLOOKUP(BF71,坦克个性化设定!$B$18:$E$48,4,FALSE)</f>
        <v>#N/A</v>
      </c>
      <c r="BY71" s="357" t="e">
        <f t="shared" ca="1" si="66"/>
        <v>#N/A</v>
      </c>
    </row>
    <row r="72" spans="2:77" x14ac:dyDescent="0.35">
      <c r="B72" s="352">
        <v>23</v>
      </c>
      <c r="C72" s="367">
        <f>游戏时长规划!C134</f>
        <v>20</v>
      </c>
      <c r="D72" s="367">
        <f>游戏时长规划!D134</f>
        <v>440</v>
      </c>
      <c r="E72" s="367">
        <f>游戏时长规划!E134</f>
        <v>6</v>
      </c>
      <c r="F72" s="367">
        <f>游戏时长规划!F134</f>
        <v>14100</v>
      </c>
      <c r="H72" s="363" t="s">
        <v>633</v>
      </c>
      <c r="I72" s="360" t="str">
        <f>坦克个性化设定!D44</f>
        <v>重坦</v>
      </c>
      <c r="J72" s="360" t="str">
        <f>坦克个性化设定!E44</f>
        <v>T3</v>
      </c>
      <c r="K72" s="360" t="str">
        <f>坦克个性化细分!J29</f>
        <v>高</v>
      </c>
      <c r="L72" s="360" t="str">
        <f t="shared" si="40"/>
        <v>T3高</v>
      </c>
      <c r="M72" s="360" t="str">
        <f t="shared" si="41"/>
        <v>重坦T3高</v>
      </c>
      <c r="N72" s="377"/>
      <c r="O72" s="365">
        <v>69</v>
      </c>
      <c r="P72" s="360" t="e">
        <f t="shared" ca="1" si="29"/>
        <v>#REF!</v>
      </c>
      <c r="Q72" s="360" t="e">
        <f ca="1">ROUND(MIN((BD72-VLOOKUP(R72,$B$22:$F$46,2,FALSE))/(VLOOKUP(R72,$B$22:$F$46,3,FALSE)-VLOOKUP(R72,$B$22:$F$46,2,FALSE)),1)*((VLOOKUP(R72,$B$22:$F$46,4,FALSE)*(AG72/(AG72+VLOOKUP(P72,$D$49:$F$123,3,TRUE)))+VLOOKUP(R72,$B$22:$F$46,5,FALSE)*(1-AG72/(AG72+VLOOKUP(P72,$D$49:$F$123,3,TRUE))))/2)*游戏时长规划!$C$4,0)</f>
        <v>#REF!</v>
      </c>
      <c r="R72" s="360" t="e">
        <f t="shared" ca="1" si="46"/>
        <v>#REF!</v>
      </c>
      <c r="S72" s="360" t="e">
        <f t="shared" ca="1" si="67"/>
        <v>#REF!</v>
      </c>
      <c r="T72" s="360" t="e">
        <f t="shared" ca="1" si="30"/>
        <v>#REF!</v>
      </c>
      <c r="U72" s="370" t="e">
        <f t="shared" ca="1" si="47"/>
        <v>#REF!</v>
      </c>
      <c r="V72" s="363" t="e">
        <f t="shared" ca="1" si="68"/>
        <v>#REF!</v>
      </c>
      <c r="W72" s="360" t="e">
        <f t="shared" ca="1" si="48"/>
        <v>#REF!</v>
      </c>
      <c r="X72" s="81" t="e">
        <f t="shared" ca="1" si="60"/>
        <v>#REF!</v>
      </c>
      <c r="Y72" s="360" t="str">
        <f t="shared" ca="1" si="49"/>
        <v>NULL</v>
      </c>
      <c r="Z72" s="375" t="e">
        <f t="shared" ca="1" si="61"/>
        <v>#REF!</v>
      </c>
      <c r="AA72" s="360">
        <f ca="1">IFERROR(VLOOKUP(IF(V72="T1低",游戏时长规划!$C$67+Z72,Z72),INDIRECT(V72&amp;"星级"),2,TRUE),0)</f>
        <v>0</v>
      </c>
      <c r="AB72" s="375" t="e">
        <f t="shared" ca="1" si="50"/>
        <v>#REF!</v>
      </c>
      <c r="AC72" s="375">
        <f ca="1">($D$14+$D$17)*$L$4/坦克部件养成!$C$2+AC71-IFERROR(IF(RIGHT(AD71,3)*1&gt;RIGHT(VLOOKUP(AC71,INDIRECT(LEFT(AD70,2)&amp;"部件升阶"),5,TRUE),3)*1,VLOOKUP(AD70,INDIRECT(LEFT(AD70,2)&amp;"部件升阶消耗"),2,FALSE),0),0)</f>
        <v>816.50000000000068</v>
      </c>
      <c r="AD72" s="360" t="e">
        <f t="shared" ca="1" si="51"/>
        <v>#REF!</v>
      </c>
      <c r="AE72" s="375" t="e">
        <f ca="1">$D$15*$L$4/坦克部件养成!$C$2+AE71-IF(LEFT(AD72,2)&lt;&gt;LEFT(AD71,2),VLOOKUP(AF71,INDIRECT(LEFT(AD71,2)&amp;"部件升级消耗"),5,FALSE),0)</f>
        <v>#REF!</v>
      </c>
      <c r="AF72" s="360" t="e">
        <f ca="1">MIN(VLOOKUP(AE72,INDIRECT(LEFT(AD72,2)&amp;"部件升级"),2,TRUE),VLOOKUP(LEFT(AD72,2),坦克部件养成!#REF!,6,FALSE))</f>
        <v>#REF!</v>
      </c>
      <c r="AG72" s="378" t="e">
        <f ca="1">MAX(BD$4:BD72)</f>
        <v>#REF!</v>
      </c>
      <c r="AH72" s="378" t="str">
        <f t="shared" ca="1" si="52"/>
        <v/>
      </c>
      <c r="AI72" s="378">
        <f ca="1">IF(Y72="NULL",0,MAX(BY$4:BY72))</f>
        <v>0</v>
      </c>
      <c r="AK72" s="364" t="e">
        <f t="shared" ca="1" si="53"/>
        <v>#REF!</v>
      </c>
      <c r="AL72" s="364" t="e">
        <f ca="1">VLOOKUP(AK72,坦克个性化设定!$B$18:$F$48,5,FALSE)</f>
        <v>#REF!</v>
      </c>
      <c r="AM72" s="372" t="e">
        <f t="shared" ca="1" si="54"/>
        <v>#REF!</v>
      </c>
      <c r="AN72" s="372" t="e">
        <f t="shared" ca="1" si="62"/>
        <v>#REF!</v>
      </c>
      <c r="AO72" s="364">
        <f t="shared" ca="1" si="55"/>
        <v>0</v>
      </c>
      <c r="AP72" s="372" t="e">
        <f ca="1">VLOOKUP($AK72&amp;$AO72,所有坦克升星属性,MATCH(AP$3,所有坦克升星属性标头,0),FALSE)+ROUND(AU72/VLOOKUP($AK72,坦克部件!#REF!,4,FALSE)*VLOOKUP($AK72&amp;0,所有坦克升星属性,MATCH(AP$3,所有坦克升星属性标头,0),FALSE),0)</f>
        <v>#REF!</v>
      </c>
      <c r="AQ72" s="372" t="e">
        <f ca="1">VLOOKUP($AK72&amp;$AO72,所有坦克升星属性,MATCH(AQ$3,所有坦克升星属性标头,0),FALSE)+ROUND(AV72/VLOOKUP($AK72,坦克部件!#REF!,4,FALSE)*VLOOKUP($AK72&amp;0,所有坦克升星属性,MATCH(AQ$3,所有坦克升星属性标头,0),FALSE),0)</f>
        <v>#REF!</v>
      </c>
      <c r="AR72" s="372" t="e">
        <f t="shared" ca="1" si="42"/>
        <v>#REF!</v>
      </c>
      <c r="AS72" s="372" t="e">
        <f t="shared" ca="1" si="42"/>
        <v>#REF!</v>
      </c>
      <c r="AT72" s="372" t="e">
        <f ca="1">VLOOKUP($AK72&amp;$AO72,所有坦克升星属性,MATCH(AT$3,所有坦克升星属性标头,0),FALSE)+ROUND(AW72/VLOOKUP($AK72,坦克部件!#REF!,4,FALSE)*VLOOKUP($AK72&amp;0,所有坦克升星属性,MATCH(AT$3,所有坦克升星属性标头,0),FALSE),0)</f>
        <v>#REF!</v>
      </c>
      <c r="AU72" s="372" t="e">
        <f ca="1">(VLOOKUP($AM72,坦克部件!#REF!,MATCH("标准值",坦克部件!#REF!,0),FALSE)+VLOOKUP($AN72,坦克部件!#REF!,MATCH("标准值",坦克部件!#REF!,0),FALSE))*2</f>
        <v>#REF!</v>
      </c>
      <c r="AV72" s="372" t="e">
        <f ca="1">(VLOOKUP($AM72,坦克部件!#REF!,MATCH("标准值",坦克部件!#REF!,0),FALSE)+VLOOKUP($AN72,坦克部件!#REF!,MATCH("标准值",坦克部件!#REF!,0),FALSE))*2</f>
        <v>#REF!</v>
      </c>
      <c r="AW72" s="372" t="e">
        <f ca="1">(VLOOKUP($AM72,坦克部件!#REF!,MATCH("标准值",坦克部件!#REF!,0),FALSE)+VLOOKUP($AN72,坦克部件!#REF!,MATCH("标准值",坦克部件!#REF!,0),FALSE))*2</f>
        <v>#REF!</v>
      </c>
      <c r="AX72" s="372" t="e">
        <f ca="1">VLOOKUP($AK72,坦克属性统计!$B$3:$AY$33,MATCH(AX$3,坦克属性统计!$B$3:$AY$3,0),FALSE)</f>
        <v>#REF!</v>
      </c>
      <c r="AY72" s="372" t="e">
        <f t="shared" ca="1" si="43"/>
        <v>#REF!</v>
      </c>
      <c r="AZ72" s="372" t="e">
        <f t="shared" ca="1" si="43"/>
        <v>#REF!</v>
      </c>
      <c r="BA72" s="372" t="e">
        <f t="shared" ca="1" si="43"/>
        <v>#REF!</v>
      </c>
      <c r="BB72" s="356" t="e">
        <f t="shared" ca="1" si="56"/>
        <v>#REF!</v>
      </c>
      <c r="BC72" s="356" t="e">
        <f ca="1">VLOOKUP(AK72,坦克个性化设定!$B$18:$E$48,4,FALSE)</f>
        <v>#REF!</v>
      </c>
      <c r="BD72" s="357" t="e">
        <f t="shared" ca="1" si="63"/>
        <v>#REF!</v>
      </c>
      <c r="BF72" s="357" t="str">
        <f t="shared" ca="1" si="57"/>
        <v/>
      </c>
      <c r="BG72" s="372" t="str">
        <f ca="1">IFERROR(VLOOKUP(BF72,坦克个性化设定!$B$18:$F$48,5,FALSE),"")</f>
        <v/>
      </c>
      <c r="BH72" s="372" t="e">
        <f t="shared" ca="1" si="64"/>
        <v>#REF!</v>
      </c>
      <c r="BI72" s="372" t="e">
        <f t="shared" ca="1" si="65"/>
        <v>#REF!</v>
      </c>
      <c r="BJ72" s="364" t="str">
        <f t="shared" ca="1" si="58"/>
        <v>NULL</v>
      </c>
      <c r="BK72" s="372" t="e">
        <f ca="1">VLOOKUP($BF72&amp;IF($BJ72="NULL",0,$BJ72),所有坦克升星属性,MATCH(BK$3,所有坦克升星属性标头,0),FALSE)+ROUND(BP72/VLOOKUP($BF72,坦克部件!#REF!,4,FALSE)*VLOOKUP($BF72&amp;0,所有坦克升星属性,MATCH(BK$3,所有坦克升星属性标头,0),FALSE),0)</f>
        <v>#N/A</v>
      </c>
      <c r="BL72" s="372" t="e">
        <f ca="1">VLOOKUP($BF72&amp;IF($BJ72="NULL",0,$BJ72),所有坦克升星属性,MATCH(BL$3,所有坦克升星属性标头,0),FALSE)+ROUND(BQ72/VLOOKUP($BF72,坦克部件!#REF!,4,FALSE)*VLOOKUP($BF72&amp;0,所有坦克升星属性,MATCH(BL$3,所有坦克升星属性标头,0),FALSE),0)</f>
        <v>#N/A</v>
      </c>
      <c r="BM72" s="372" t="e">
        <f t="shared" ca="1" si="44"/>
        <v>#N/A</v>
      </c>
      <c r="BN72" s="372" t="e">
        <f t="shared" ca="1" si="44"/>
        <v>#N/A</v>
      </c>
      <c r="BO72" s="372" t="e">
        <f ca="1">VLOOKUP($BF72&amp;IF($BJ72="NULL",0,$BJ72),所有坦克升星属性,MATCH(BO$3,所有坦克升星属性标头,0),FALSE)+ROUND(BR72/VLOOKUP($BF72,坦克部件!#REF!,4,FALSE)*VLOOKUP($BF72&amp;0,所有坦克升星属性,MATCH(BO$3,所有坦克升星属性标头,0),FALSE),0)</f>
        <v>#N/A</v>
      </c>
      <c r="BP72" s="372" t="e">
        <f ca="1">(VLOOKUP($BH72,坦克部件!#REF!,MATCH("标准值",坦克部件!#REF!,0),FALSE)+VLOOKUP($BI72,坦克部件!#REF!,MATCH("标准值",坦克部件!#REF!,0),FALSE))*2</f>
        <v>#REF!</v>
      </c>
      <c r="BQ72" s="372" t="e">
        <f ca="1">(VLOOKUP($BH72,坦克部件!#REF!,MATCH("标准值",坦克部件!#REF!,0),FALSE)+VLOOKUP($BI72,坦克部件!#REF!,MATCH("标准值",坦克部件!#REF!,0),FALSE))*2</f>
        <v>#REF!</v>
      </c>
      <c r="BR72" s="372" t="e">
        <f ca="1">(VLOOKUP($BH72,坦克部件!#REF!,MATCH("标准值",坦克部件!#REF!,0),FALSE)+VLOOKUP($BI72,坦克部件!#REF!,MATCH("标准值",坦克部件!#REF!,0),FALSE))*2</f>
        <v>#REF!</v>
      </c>
      <c r="BS72" s="372" t="e">
        <f ca="1">VLOOKUP($BF72,坦克属性统计!$B$3:$AY$33,MATCH(BS$3,坦克属性统计!$B$3:$AY$3,0),FALSE)</f>
        <v>#N/A</v>
      </c>
      <c r="BT72" s="372" t="e">
        <f t="shared" ca="1" si="45"/>
        <v>#N/A</v>
      </c>
      <c r="BU72" s="372" t="e">
        <f t="shared" ca="1" si="45"/>
        <v>#N/A</v>
      </c>
      <c r="BV72" s="372" t="e">
        <f t="shared" ca="1" si="45"/>
        <v>#N/A</v>
      </c>
      <c r="BW72" s="356">
        <f t="shared" ca="1" si="59"/>
        <v>0</v>
      </c>
      <c r="BX72" s="356" t="e">
        <f ca="1">VLOOKUP(BF72,坦克个性化设定!$B$18:$E$48,4,FALSE)</f>
        <v>#N/A</v>
      </c>
      <c r="BY72" s="357" t="e">
        <f t="shared" ca="1" si="66"/>
        <v>#N/A</v>
      </c>
    </row>
    <row r="73" spans="2:77" x14ac:dyDescent="0.35">
      <c r="B73" s="352">
        <v>24</v>
      </c>
      <c r="C73" s="367">
        <f>游戏时长规划!C135</f>
        <v>20</v>
      </c>
      <c r="D73" s="367">
        <f>游戏时长规划!D135</f>
        <v>460</v>
      </c>
      <c r="E73" s="367">
        <f>游戏时长规划!E135</f>
        <v>6</v>
      </c>
      <c r="F73" s="367">
        <f>游戏时长规划!F135</f>
        <v>14900</v>
      </c>
      <c r="H73" s="363" t="s">
        <v>635</v>
      </c>
      <c r="I73" s="360" t="str">
        <f>坦克个性化设定!D45</f>
        <v>重坦</v>
      </c>
      <c r="J73" s="360" t="str">
        <f>坦克个性化设定!E45</f>
        <v>T4</v>
      </c>
      <c r="K73" s="360" t="str">
        <f>坦克个性化细分!J30</f>
        <v>低</v>
      </c>
      <c r="L73" s="360" t="str">
        <f t="shared" si="40"/>
        <v>T4低</v>
      </c>
      <c r="M73" s="360" t="str">
        <f t="shared" si="41"/>
        <v>重坦T4低</v>
      </c>
      <c r="N73" s="377"/>
      <c r="O73" s="365">
        <v>70</v>
      </c>
      <c r="P73" s="360" t="e">
        <f t="shared" ca="1" si="29"/>
        <v>#REF!</v>
      </c>
      <c r="Q73" s="360" t="e">
        <f ca="1">ROUND(MIN((BD73-VLOOKUP(R73,$B$22:$F$46,2,FALSE))/(VLOOKUP(R73,$B$22:$F$46,3,FALSE)-VLOOKUP(R73,$B$22:$F$46,2,FALSE)),1)*((VLOOKUP(R73,$B$22:$F$46,4,FALSE)*(AG73/(AG73+VLOOKUP(P73,$D$49:$F$123,3,TRUE)))+VLOOKUP(R73,$B$22:$F$46,5,FALSE)*(1-AG73/(AG73+VLOOKUP(P73,$D$49:$F$123,3,TRUE))))/2)*游戏时长规划!$C$4,0)</f>
        <v>#REF!</v>
      </c>
      <c r="R73" s="360" t="e">
        <f t="shared" ca="1" si="46"/>
        <v>#REF!</v>
      </c>
      <c r="S73" s="360" t="e">
        <f t="shared" ca="1" si="67"/>
        <v>#REF!</v>
      </c>
      <c r="T73" s="360" t="e">
        <f t="shared" ca="1" si="30"/>
        <v>#REF!</v>
      </c>
      <c r="U73" s="370" t="e">
        <f t="shared" ca="1" si="47"/>
        <v>#REF!</v>
      </c>
      <c r="V73" s="363" t="e">
        <f t="shared" ca="1" si="68"/>
        <v>#REF!</v>
      </c>
      <c r="W73" s="360" t="e">
        <f t="shared" ca="1" si="48"/>
        <v>#REF!</v>
      </c>
      <c r="X73" s="81" t="e">
        <f t="shared" ca="1" si="60"/>
        <v>#REF!</v>
      </c>
      <c r="Y73" s="360" t="str">
        <f t="shared" ca="1" si="49"/>
        <v>NULL</v>
      </c>
      <c r="Z73" s="375" t="e">
        <f t="shared" ca="1" si="61"/>
        <v>#REF!</v>
      </c>
      <c r="AA73" s="360">
        <f ca="1">IFERROR(VLOOKUP(IF(V73="T1低",游戏时长规划!$C$67+Z73,Z73),INDIRECT(V73&amp;"星级"),2,TRUE),0)</f>
        <v>0</v>
      </c>
      <c r="AB73" s="375" t="e">
        <f t="shared" ca="1" si="50"/>
        <v>#REF!</v>
      </c>
      <c r="AC73" s="375">
        <f ca="1">($D$14+$D$17)*$L$4/坦克部件养成!$C$2+AC72-IFERROR(IF(RIGHT(AD72,3)*1&gt;RIGHT(VLOOKUP(AC72,INDIRECT(LEFT(AD71,2)&amp;"部件升阶"),5,TRUE),3)*1,VLOOKUP(AD71,INDIRECT(LEFT(AD71,2)&amp;"部件升阶消耗"),2,FALSE),0),0)</f>
        <v>828.33333333333405</v>
      </c>
      <c r="AD73" s="360" t="e">
        <f t="shared" ca="1" si="51"/>
        <v>#REF!</v>
      </c>
      <c r="AE73" s="375" t="e">
        <f ca="1">$D$15*$L$4/坦克部件养成!$C$2+AE72-IF(LEFT(AD73,2)&lt;&gt;LEFT(AD72,2),VLOOKUP(AF72,INDIRECT(LEFT(AD72,2)&amp;"部件升级消耗"),5,FALSE),0)</f>
        <v>#REF!</v>
      </c>
      <c r="AF73" s="360" t="e">
        <f ca="1">MIN(VLOOKUP(AE73,INDIRECT(LEFT(AD73,2)&amp;"部件升级"),2,TRUE),VLOOKUP(LEFT(AD73,2),坦克部件养成!#REF!,6,FALSE))</f>
        <v>#REF!</v>
      </c>
      <c r="AG73" s="378" t="e">
        <f ca="1">MAX(BD$4:BD73)</f>
        <v>#REF!</v>
      </c>
      <c r="AH73" s="378" t="str">
        <f t="shared" ca="1" si="52"/>
        <v/>
      </c>
      <c r="AI73" s="378">
        <f ca="1">IF(Y73="NULL",0,MAX(BY$4:BY73))</f>
        <v>0</v>
      </c>
      <c r="AK73" s="364" t="e">
        <f t="shared" ca="1" si="53"/>
        <v>#REF!</v>
      </c>
      <c r="AL73" s="364" t="e">
        <f ca="1">VLOOKUP(AK73,坦克个性化设定!$B$18:$F$48,5,FALSE)</f>
        <v>#REF!</v>
      </c>
      <c r="AM73" s="372" t="e">
        <f t="shared" ca="1" si="54"/>
        <v>#REF!</v>
      </c>
      <c r="AN73" s="372" t="e">
        <f t="shared" ca="1" si="62"/>
        <v>#REF!</v>
      </c>
      <c r="AO73" s="364">
        <f t="shared" ca="1" si="55"/>
        <v>0</v>
      </c>
      <c r="AP73" s="372" t="e">
        <f ca="1">VLOOKUP($AK73&amp;$AO73,所有坦克升星属性,MATCH(AP$3,所有坦克升星属性标头,0),FALSE)+ROUND(AU73/VLOOKUP($AK73,坦克部件!#REF!,4,FALSE)*VLOOKUP($AK73&amp;0,所有坦克升星属性,MATCH(AP$3,所有坦克升星属性标头,0),FALSE),0)</f>
        <v>#REF!</v>
      </c>
      <c r="AQ73" s="372" t="e">
        <f ca="1">VLOOKUP($AK73&amp;$AO73,所有坦克升星属性,MATCH(AQ$3,所有坦克升星属性标头,0),FALSE)+ROUND(AV73/VLOOKUP($AK73,坦克部件!#REF!,4,FALSE)*VLOOKUP($AK73&amp;0,所有坦克升星属性,MATCH(AQ$3,所有坦克升星属性标头,0),FALSE),0)</f>
        <v>#REF!</v>
      </c>
      <c r="AR73" s="372" t="e">
        <f t="shared" ca="1" si="42"/>
        <v>#REF!</v>
      </c>
      <c r="AS73" s="372" t="e">
        <f t="shared" ca="1" si="42"/>
        <v>#REF!</v>
      </c>
      <c r="AT73" s="372" t="e">
        <f ca="1">VLOOKUP($AK73&amp;$AO73,所有坦克升星属性,MATCH(AT$3,所有坦克升星属性标头,0),FALSE)+ROUND(AW73/VLOOKUP($AK73,坦克部件!#REF!,4,FALSE)*VLOOKUP($AK73&amp;0,所有坦克升星属性,MATCH(AT$3,所有坦克升星属性标头,0),FALSE),0)</f>
        <v>#REF!</v>
      </c>
      <c r="AU73" s="372" t="e">
        <f ca="1">(VLOOKUP($AM73,坦克部件!#REF!,MATCH("标准值",坦克部件!#REF!,0),FALSE)+VLOOKUP($AN73,坦克部件!#REF!,MATCH("标准值",坦克部件!#REF!,0),FALSE))*2</f>
        <v>#REF!</v>
      </c>
      <c r="AV73" s="372" t="e">
        <f ca="1">(VLOOKUP($AM73,坦克部件!#REF!,MATCH("标准值",坦克部件!#REF!,0),FALSE)+VLOOKUP($AN73,坦克部件!#REF!,MATCH("标准值",坦克部件!#REF!,0),FALSE))*2</f>
        <v>#REF!</v>
      </c>
      <c r="AW73" s="372" t="e">
        <f ca="1">(VLOOKUP($AM73,坦克部件!#REF!,MATCH("标准值",坦克部件!#REF!,0),FALSE)+VLOOKUP($AN73,坦克部件!#REF!,MATCH("标准值",坦克部件!#REF!,0),FALSE))*2</f>
        <v>#REF!</v>
      </c>
      <c r="AX73" s="372" t="e">
        <f ca="1">VLOOKUP($AK73,坦克属性统计!$B$3:$AY$33,MATCH(AX$3,坦克属性统计!$B$3:$AY$3,0),FALSE)</f>
        <v>#REF!</v>
      </c>
      <c r="AY73" s="372" t="e">
        <f t="shared" ca="1" si="43"/>
        <v>#REF!</v>
      </c>
      <c r="AZ73" s="372" t="e">
        <f t="shared" ca="1" si="43"/>
        <v>#REF!</v>
      </c>
      <c r="BA73" s="372" t="e">
        <f t="shared" ca="1" si="43"/>
        <v>#REF!</v>
      </c>
      <c r="BB73" s="356" t="e">
        <f t="shared" ca="1" si="56"/>
        <v>#REF!</v>
      </c>
      <c r="BC73" s="356" t="e">
        <f ca="1">VLOOKUP(AK73,坦克个性化设定!$B$18:$E$48,4,FALSE)</f>
        <v>#REF!</v>
      </c>
      <c r="BD73" s="357" t="e">
        <f t="shared" ca="1" si="63"/>
        <v>#REF!</v>
      </c>
      <c r="BF73" s="357" t="str">
        <f t="shared" ca="1" si="57"/>
        <v/>
      </c>
      <c r="BG73" s="372" t="str">
        <f ca="1">IFERROR(VLOOKUP(BF73,坦克个性化设定!$B$18:$F$48,5,FALSE),"")</f>
        <v/>
      </c>
      <c r="BH73" s="372" t="e">
        <f t="shared" ca="1" si="64"/>
        <v>#REF!</v>
      </c>
      <c r="BI73" s="372" t="e">
        <f t="shared" ca="1" si="65"/>
        <v>#REF!</v>
      </c>
      <c r="BJ73" s="364" t="str">
        <f t="shared" ca="1" si="58"/>
        <v>NULL</v>
      </c>
      <c r="BK73" s="372" t="e">
        <f ca="1">VLOOKUP($BF73&amp;IF($BJ73="NULL",0,$BJ73),所有坦克升星属性,MATCH(BK$3,所有坦克升星属性标头,0),FALSE)+ROUND(BP73/VLOOKUP($BF73,坦克部件!#REF!,4,FALSE)*VLOOKUP($BF73&amp;0,所有坦克升星属性,MATCH(BK$3,所有坦克升星属性标头,0),FALSE),0)</f>
        <v>#N/A</v>
      </c>
      <c r="BL73" s="372" t="e">
        <f ca="1">VLOOKUP($BF73&amp;IF($BJ73="NULL",0,$BJ73),所有坦克升星属性,MATCH(BL$3,所有坦克升星属性标头,0),FALSE)+ROUND(BQ73/VLOOKUP($BF73,坦克部件!#REF!,4,FALSE)*VLOOKUP($BF73&amp;0,所有坦克升星属性,MATCH(BL$3,所有坦克升星属性标头,0),FALSE),0)</f>
        <v>#N/A</v>
      </c>
      <c r="BM73" s="372" t="e">
        <f t="shared" ca="1" si="44"/>
        <v>#N/A</v>
      </c>
      <c r="BN73" s="372" t="e">
        <f t="shared" ca="1" si="44"/>
        <v>#N/A</v>
      </c>
      <c r="BO73" s="372" t="e">
        <f ca="1">VLOOKUP($BF73&amp;IF($BJ73="NULL",0,$BJ73),所有坦克升星属性,MATCH(BO$3,所有坦克升星属性标头,0),FALSE)+ROUND(BR73/VLOOKUP($BF73,坦克部件!#REF!,4,FALSE)*VLOOKUP($BF73&amp;0,所有坦克升星属性,MATCH(BO$3,所有坦克升星属性标头,0),FALSE),0)</f>
        <v>#N/A</v>
      </c>
      <c r="BP73" s="372" t="e">
        <f ca="1">(VLOOKUP($BH73,坦克部件!#REF!,MATCH("标准值",坦克部件!#REF!,0),FALSE)+VLOOKUP($BI73,坦克部件!#REF!,MATCH("标准值",坦克部件!#REF!,0),FALSE))*2</f>
        <v>#REF!</v>
      </c>
      <c r="BQ73" s="372" t="e">
        <f ca="1">(VLOOKUP($BH73,坦克部件!#REF!,MATCH("标准值",坦克部件!#REF!,0),FALSE)+VLOOKUP($BI73,坦克部件!#REF!,MATCH("标准值",坦克部件!#REF!,0),FALSE))*2</f>
        <v>#REF!</v>
      </c>
      <c r="BR73" s="372" t="e">
        <f ca="1">(VLOOKUP($BH73,坦克部件!#REF!,MATCH("标准值",坦克部件!#REF!,0),FALSE)+VLOOKUP($BI73,坦克部件!#REF!,MATCH("标准值",坦克部件!#REF!,0),FALSE))*2</f>
        <v>#REF!</v>
      </c>
      <c r="BS73" s="372" t="e">
        <f ca="1">VLOOKUP($BF73,坦克属性统计!$B$3:$AY$33,MATCH(BS$3,坦克属性统计!$B$3:$AY$3,0),FALSE)</f>
        <v>#N/A</v>
      </c>
      <c r="BT73" s="372" t="e">
        <f t="shared" ca="1" si="45"/>
        <v>#N/A</v>
      </c>
      <c r="BU73" s="372" t="e">
        <f t="shared" ca="1" si="45"/>
        <v>#N/A</v>
      </c>
      <c r="BV73" s="372" t="e">
        <f t="shared" ca="1" si="45"/>
        <v>#N/A</v>
      </c>
      <c r="BW73" s="356">
        <f t="shared" ca="1" si="59"/>
        <v>0</v>
      </c>
      <c r="BX73" s="356" t="e">
        <f ca="1">VLOOKUP(BF73,坦克个性化设定!$B$18:$E$48,4,FALSE)</f>
        <v>#N/A</v>
      </c>
      <c r="BY73" s="357" t="e">
        <f t="shared" ca="1" si="66"/>
        <v>#N/A</v>
      </c>
    </row>
    <row r="74" spans="2:77" x14ac:dyDescent="0.35">
      <c r="B74" s="352">
        <v>25</v>
      </c>
      <c r="C74" s="367">
        <f>游戏时长规划!C136</f>
        <v>20</v>
      </c>
      <c r="D74" s="367">
        <f>游戏时长规划!D136</f>
        <v>480</v>
      </c>
      <c r="E74" s="367">
        <f>游戏时长规划!E136</f>
        <v>6</v>
      </c>
      <c r="F74" s="367">
        <f>游戏时长规划!F136</f>
        <v>15650</v>
      </c>
      <c r="H74" s="363" t="s">
        <v>629</v>
      </c>
      <c r="I74" s="360" t="str">
        <f>坦克个性化设定!D46</f>
        <v>重坦</v>
      </c>
      <c r="J74" s="360" t="str">
        <f>坦克个性化设定!E46</f>
        <v>T4</v>
      </c>
      <c r="K74" s="360" t="str">
        <f>坦克个性化细分!J31</f>
        <v>中</v>
      </c>
      <c r="L74" s="360" t="str">
        <f t="shared" si="40"/>
        <v>T4中</v>
      </c>
      <c r="M74" s="360" t="str">
        <f t="shared" si="41"/>
        <v>重坦T4中</v>
      </c>
      <c r="N74" s="377"/>
      <c r="O74" s="365">
        <v>71</v>
      </c>
      <c r="P74" s="360" t="e">
        <f t="shared" ca="1" si="29"/>
        <v>#REF!</v>
      </c>
      <c r="Q74" s="360" t="e">
        <f ca="1">ROUND(MIN((BD74-VLOOKUP(R74,$B$22:$F$46,2,FALSE))/(VLOOKUP(R74,$B$22:$F$46,3,FALSE)-VLOOKUP(R74,$B$22:$F$46,2,FALSE)),1)*((VLOOKUP(R74,$B$22:$F$46,4,FALSE)*(AG74/(AG74+VLOOKUP(P74,$D$49:$F$123,3,TRUE)))+VLOOKUP(R74,$B$22:$F$46,5,FALSE)*(1-AG74/(AG74+VLOOKUP(P74,$D$49:$F$123,3,TRUE))))/2)*游戏时长规划!$C$4,0)</f>
        <v>#REF!</v>
      </c>
      <c r="R74" s="360" t="e">
        <f t="shared" ca="1" si="46"/>
        <v>#REF!</v>
      </c>
      <c r="S74" s="360" t="e">
        <f t="shared" ca="1" si="67"/>
        <v>#REF!</v>
      </c>
      <c r="T74" s="360" t="e">
        <f t="shared" ca="1" si="30"/>
        <v>#REF!</v>
      </c>
      <c r="U74" s="370" t="e">
        <f t="shared" ca="1" si="47"/>
        <v>#REF!</v>
      </c>
      <c r="V74" s="363" t="e">
        <f t="shared" ca="1" si="68"/>
        <v>#REF!</v>
      </c>
      <c r="W74" s="360" t="e">
        <f t="shared" ca="1" si="48"/>
        <v>#REF!</v>
      </c>
      <c r="X74" s="81" t="e">
        <f t="shared" ca="1" si="60"/>
        <v>#REF!</v>
      </c>
      <c r="Y74" s="360" t="str">
        <f t="shared" ca="1" si="49"/>
        <v>NULL</v>
      </c>
      <c r="Z74" s="375" t="e">
        <f t="shared" ca="1" si="61"/>
        <v>#REF!</v>
      </c>
      <c r="AA74" s="360">
        <f ca="1">IFERROR(VLOOKUP(IF(V74="T1低",游戏时长规划!$C$67+Z74,Z74),INDIRECT(V74&amp;"星级"),2,TRUE),0)</f>
        <v>0</v>
      </c>
      <c r="AB74" s="375" t="e">
        <f t="shared" ca="1" si="50"/>
        <v>#REF!</v>
      </c>
      <c r="AC74" s="375">
        <f ca="1">($D$14+$D$17)*$L$4/坦克部件养成!$C$2+AC73-IFERROR(IF(RIGHT(AD73,3)*1&gt;RIGHT(VLOOKUP(AC73,INDIRECT(LEFT(AD72,2)&amp;"部件升阶"),5,TRUE),3)*1,VLOOKUP(AD72,INDIRECT(LEFT(AD72,2)&amp;"部件升阶消耗"),2,FALSE),0),0)</f>
        <v>840.16666666666742</v>
      </c>
      <c r="AD74" s="360" t="e">
        <f t="shared" ca="1" si="51"/>
        <v>#REF!</v>
      </c>
      <c r="AE74" s="375" t="e">
        <f ca="1">$D$15*$L$4/坦克部件养成!$C$2+AE73-IF(LEFT(AD74,2)&lt;&gt;LEFT(AD73,2),VLOOKUP(AF73,INDIRECT(LEFT(AD73,2)&amp;"部件升级消耗"),5,FALSE),0)</f>
        <v>#REF!</v>
      </c>
      <c r="AF74" s="360" t="e">
        <f ca="1">MIN(VLOOKUP(AE74,INDIRECT(LEFT(AD74,2)&amp;"部件升级"),2,TRUE),VLOOKUP(LEFT(AD74,2),坦克部件养成!#REF!,6,FALSE))</f>
        <v>#REF!</v>
      </c>
      <c r="AG74" s="378" t="e">
        <f ca="1">MAX(BD$4:BD74)</f>
        <v>#REF!</v>
      </c>
      <c r="AH74" s="378" t="str">
        <f t="shared" ca="1" si="52"/>
        <v/>
      </c>
      <c r="AI74" s="378">
        <f ca="1">IF(Y74="NULL",0,MAX(BY$4:BY74))</f>
        <v>0</v>
      </c>
      <c r="AK74" s="364" t="e">
        <f t="shared" ca="1" si="53"/>
        <v>#REF!</v>
      </c>
      <c r="AL74" s="364" t="e">
        <f ca="1">VLOOKUP(AK74,坦克个性化设定!$B$18:$F$48,5,FALSE)</f>
        <v>#REF!</v>
      </c>
      <c r="AM74" s="372" t="e">
        <f t="shared" ca="1" si="54"/>
        <v>#REF!</v>
      </c>
      <c r="AN74" s="372" t="e">
        <f t="shared" ca="1" si="62"/>
        <v>#REF!</v>
      </c>
      <c r="AO74" s="364">
        <f t="shared" ca="1" si="55"/>
        <v>0</v>
      </c>
      <c r="AP74" s="372" t="e">
        <f ca="1">VLOOKUP($AK74&amp;$AO74,所有坦克升星属性,MATCH(AP$3,所有坦克升星属性标头,0),FALSE)+ROUND(AU74/VLOOKUP($AK74,坦克部件!#REF!,4,FALSE)*VLOOKUP($AK74&amp;0,所有坦克升星属性,MATCH(AP$3,所有坦克升星属性标头,0),FALSE),0)</f>
        <v>#REF!</v>
      </c>
      <c r="AQ74" s="372" t="e">
        <f ca="1">VLOOKUP($AK74&amp;$AO74,所有坦克升星属性,MATCH(AQ$3,所有坦克升星属性标头,0),FALSE)+ROUND(AV74/VLOOKUP($AK74,坦克部件!#REF!,4,FALSE)*VLOOKUP($AK74&amp;0,所有坦克升星属性,MATCH(AQ$3,所有坦克升星属性标头,0),FALSE),0)</f>
        <v>#REF!</v>
      </c>
      <c r="AR74" s="372" t="e">
        <f t="shared" ca="1" si="42"/>
        <v>#REF!</v>
      </c>
      <c r="AS74" s="372" t="e">
        <f t="shared" ca="1" si="42"/>
        <v>#REF!</v>
      </c>
      <c r="AT74" s="372" t="e">
        <f ca="1">VLOOKUP($AK74&amp;$AO74,所有坦克升星属性,MATCH(AT$3,所有坦克升星属性标头,0),FALSE)+ROUND(AW74/VLOOKUP($AK74,坦克部件!#REF!,4,FALSE)*VLOOKUP($AK74&amp;0,所有坦克升星属性,MATCH(AT$3,所有坦克升星属性标头,0),FALSE),0)</f>
        <v>#REF!</v>
      </c>
      <c r="AU74" s="372" t="e">
        <f ca="1">(VLOOKUP($AM74,坦克部件!#REF!,MATCH("标准值",坦克部件!#REF!,0),FALSE)+VLOOKUP($AN74,坦克部件!#REF!,MATCH("标准值",坦克部件!#REF!,0),FALSE))*2</f>
        <v>#REF!</v>
      </c>
      <c r="AV74" s="372" t="e">
        <f ca="1">(VLOOKUP($AM74,坦克部件!#REF!,MATCH("标准值",坦克部件!#REF!,0),FALSE)+VLOOKUP($AN74,坦克部件!#REF!,MATCH("标准值",坦克部件!#REF!,0),FALSE))*2</f>
        <v>#REF!</v>
      </c>
      <c r="AW74" s="372" t="e">
        <f ca="1">(VLOOKUP($AM74,坦克部件!#REF!,MATCH("标准值",坦克部件!#REF!,0),FALSE)+VLOOKUP($AN74,坦克部件!#REF!,MATCH("标准值",坦克部件!#REF!,0),FALSE))*2</f>
        <v>#REF!</v>
      </c>
      <c r="AX74" s="372" t="e">
        <f ca="1">VLOOKUP($AK74,坦克属性统计!$B$3:$AY$33,MATCH(AX$3,坦克属性统计!$B$3:$AY$3,0),FALSE)</f>
        <v>#REF!</v>
      </c>
      <c r="AY74" s="372" t="e">
        <f t="shared" ca="1" si="43"/>
        <v>#REF!</v>
      </c>
      <c r="AZ74" s="372" t="e">
        <f t="shared" ca="1" si="43"/>
        <v>#REF!</v>
      </c>
      <c r="BA74" s="372" t="e">
        <f t="shared" ca="1" si="43"/>
        <v>#REF!</v>
      </c>
      <c r="BB74" s="356" t="e">
        <f t="shared" ca="1" si="56"/>
        <v>#REF!</v>
      </c>
      <c r="BC74" s="356" t="e">
        <f ca="1">VLOOKUP(AK74,坦克个性化设定!$B$18:$E$48,4,FALSE)</f>
        <v>#REF!</v>
      </c>
      <c r="BD74" s="357" t="e">
        <f t="shared" ca="1" si="63"/>
        <v>#REF!</v>
      </c>
      <c r="BF74" s="357" t="str">
        <f t="shared" ca="1" si="57"/>
        <v/>
      </c>
      <c r="BG74" s="372" t="str">
        <f ca="1">IFERROR(VLOOKUP(BF74,坦克个性化设定!$B$18:$F$48,5,FALSE),"")</f>
        <v/>
      </c>
      <c r="BH74" s="372" t="e">
        <f t="shared" ca="1" si="64"/>
        <v>#REF!</v>
      </c>
      <c r="BI74" s="372" t="e">
        <f t="shared" ca="1" si="65"/>
        <v>#REF!</v>
      </c>
      <c r="BJ74" s="364" t="str">
        <f t="shared" ca="1" si="58"/>
        <v>NULL</v>
      </c>
      <c r="BK74" s="372" t="e">
        <f ca="1">VLOOKUP($BF74&amp;IF($BJ74="NULL",0,$BJ74),所有坦克升星属性,MATCH(BK$3,所有坦克升星属性标头,0),FALSE)+ROUND(BP74/VLOOKUP($BF74,坦克部件!#REF!,4,FALSE)*VLOOKUP($BF74&amp;0,所有坦克升星属性,MATCH(BK$3,所有坦克升星属性标头,0),FALSE),0)</f>
        <v>#N/A</v>
      </c>
      <c r="BL74" s="372" t="e">
        <f ca="1">VLOOKUP($BF74&amp;IF($BJ74="NULL",0,$BJ74),所有坦克升星属性,MATCH(BL$3,所有坦克升星属性标头,0),FALSE)+ROUND(BQ74/VLOOKUP($BF74,坦克部件!#REF!,4,FALSE)*VLOOKUP($BF74&amp;0,所有坦克升星属性,MATCH(BL$3,所有坦克升星属性标头,0),FALSE),0)</f>
        <v>#N/A</v>
      </c>
      <c r="BM74" s="372" t="e">
        <f t="shared" ca="1" si="44"/>
        <v>#N/A</v>
      </c>
      <c r="BN74" s="372" t="e">
        <f t="shared" ca="1" si="44"/>
        <v>#N/A</v>
      </c>
      <c r="BO74" s="372" t="e">
        <f ca="1">VLOOKUP($BF74&amp;IF($BJ74="NULL",0,$BJ74),所有坦克升星属性,MATCH(BO$3,所有坦克升星属性标头,0),FALSE)+ROUND(BR74/VLOOKUP($BF74,坦克部件!#REF!,4,FALSE)*VLOOKUP($BF74&amp;0,所有坦克升星属性,MATCH(BO$3,所有坦克升星属性标头,0),FALSE),0)</f>
        <v>#N/A</v>
      </c>
      <c r="BP74" s="372" t="e">
        <f ca="1">(VLOOKUP($BH74,坦克部件!#REF!,MATCH("标准值",坦克部件!#REF!,0),FALSE)+VLOOKUP($BI74,坦克部件!#REF!,MATCH("标准值",坦克部件!#REF!,0),FALSE))*2</f>
        <v>#REF!</v>
      </c>
      <c r="BQ74" s="372" t="e">
        <f ca="1">(VLOOKUP($BH74,坦克部件!#REF!,MATCH("标准值",坦克部件!#REF!,0),FALSE)+VLOOKUP($BI74,坦克部件!#REF!,MATCH("标准值",坦克部件!#REF!,0),FALSE))*2</f>
        <v>#REF!</v>
      </c>
      <c r="BR74" s="372" t="e">
        <f ca="1">(VLOOKUP($BH74,坦克部件!#REF!,MATCH("标准值",坦克部件!#REF!,0),FALSE)+VLOOKUP($BI74,坦克部件!#REF!,MATCH("标准值",坦克部件!#REF!,0),FALSE))*2</f>
        <v>#REF!</v>
      </c>
      <c r="BS74" s="372" t="e">
        <f ca="1">VLOOKUP($BF74,坦克属性统计!$B$3:$AY$33,MATCH(BS$3,坦克属性统计!$B$3:$AY$3,0),FALSE)</f>
        <v>#N/A</v>
      </c>
      <c r="BT74" s="372" t="e">
        <f t="shared" ca="1" si="45"/>
        <v>#N/A</v>
      </c>
      <c r="BU74" s="372" t="e">
        <f t="shared" ca="1" si="45"/>
        <v>#N/A</v>
      </c>
      <c r="BV74" s="372" t="e">
        <f t="shared" ca="1" si="45"/>
        <v>#N/A</v>
      </c>
      <c r="BW74" s="356">
        <f t="shared" ca="1" si="59"/>
        <v>0</v>
      </c>
      <c r="BX74" s="356" t="e">
        <f ca="1">VLOOKUP(BF74,坦克个性化设定!$B$18:$E$48,4,FALSE)</f>
        <v>#N/A</v>
      </c>
      <c r="BY74" s="357" t="e">
        <f t="shared" ca="1" si="66"/>
        <v>#N/A</v>
      </c>
    </row>
    <row r="75" spans="2:77" x14ac:dyDescent="0.35">
      <c r="B75" s="352">
        <v>26</v>
      </c>
      <c r="C75" s="367">
        <f>游戏时长规划!C137</f>
        <v>20</v>
      </c>
      <c r="D75" s="367">
        <f>游戏时长规划!D137</f>
        <v>500</v>
      </c>
      <c r="E75" s="367">
        <f>游戏时长规划!E137</f>
        <v>6</v>
      </c>
      <c r="F75" s="367">
        <f>游戏时长规划!F137</f>
        <v>16450</v>
      </c>
      <c r="H75" s="363" t="s">
        <v>643</v>
      </c>
      <c r="I75" s="360" t="str">
        <f>坦克个性化设定!D47</f>
        <v>重坦</v>
      </c>
      <c r="J75" s="360" t="str">
        <f>坦克个性化设定!E47</f>
        <v>T4</v>
      </c>
      <c r="K75" s="360" t="str">
        <f>坦克个性化细分!J32</f>
        <v>高</v>
      </c>
      <c r="L75" s="360" t="str">
        <f t="shared" si="40"/>
        <v>T4高</v>
      </c>
      <c r="M75" s="360" t="str">
        <f t="shared" si="41"/>
        <v>重坦T4高</v>
      </c>
      <c r="N75" s="377"/>
      <c r="O75" s="365">
        <v>72</v>
      </c>
      <c r="P75" s="360" t="e">
        <f t="shared" ref="P75:P86" ca="1" si="69">P74+Q74</f>
        <v>#REF!</v>
      </c>
      <c r="Q75" s="360" t="e">
        <f ca="1">ROUND(MIN((BD75-VLOOKUP(R75,$B$22:$F$46,2,FALSE))/(VLOOKUP(R75,$B$22:$F$46,3,FALSE)-VLOOKUP(R75,$B$22:$F$46,2,FALSE)),1)*((VLOOKUP(R75,$B$22:$F$46,4,FALSE)*(AG75/(AG75+VLOOKUP(P75,$D$49:$F$123,3,TRUE)))+VLOOKUP(R75,$B$22:$F$46,5,FALSE)*(1-AG75/(AG75+VLOOKUP(P75,$D$49:$F$123,3,TRUE))))/2)*游戏时长规划!$C$4,0)</f>
        <v>#REF!</v>
      </c>
      <c r="R75" s="360" t="e">
        <f t="shared" ca="1" si="46"/>
        <v>#REF!</v>
      </c>
      <c r="S75" s="360" t="e">
        <f t="shared" ca="1" si="67"/>
        <v>#REF!</v>
      </c>
      <c r="T75" s="360" t="e">
        <f t="shared" ref="T75:T86" ca="1" si="70">VLOOKUP(R75,$H$16:$J$28,3,FALSE)</f>
        <v>#REF!</v>
      </c>
      <c r="U75" s="370" t="e">
        <f t="shared" ca="1" si="47"/>
        <v>#REF!</v>
      </c>
      <c r="V75" s="363" t="e">
        <f t="shared" ca="1" si="68"/>
        <v>#REF!</v>
      </c>
      <c r="W75" s="360" t="e">
        <f t="shared" ca="1" si="48"/>
        <v>#REF!</v>
      </c>
      <c r="X75" s="81" t="e">
        <f t="shared" ca="1" si="60"/>
        <v>#REF!</v>
      </c>
      <c r="Y75" s="360" t="str">
        <f t="shared" ca="1" si="49"/>
        <v>NULL</v>
      </c>
      <c r="Z75" s="375" t="e">
        <f t="shared" ca="1" si="61"/>
        <v>#REF!</v>
      </c>
      <c r="AA75" s="360">
        <f ca="1">IFERROR(VLOOKUP(IF(V75="T1低",游戏时长规划!$C$67+Z75,Z75),INDIRECT(V75&amp;"星级"),2,TRUE),0)</f>
        <v>0</v>
      </c>
      <c r="AB75" s="375" t="e">
        <f t="shared" ca="1" si="50"/>
        <v>#REF!</v>
      </c>
      <c r="AC75" s="375">
        <f ca="1">($D$14+$D$17)*$L$4/坦克部件养成!$C$2+AC74-IFERROR(IF(RIGHT(AD74,3)*1&gt;RIGHT(VLOOKUP(AC74,INDIRECT(LEFT(AD73,2)&amp;"部件升阶"),5,TRUE),3)*1,VLOOKUP(AD73,INDIRECT(LEFT(AD73,2)&amp;"部件升阶消耗"),2,FALSE),0),0)</f>
        <v>852.0000000000008</v>
      </c>
      <c r="AD75" s="360" t="e">
        <f t="shared" ca="1" si="51"/>
        <v>#REF!</v>
      </c>
      <c r="AE75" s="375" t="e">
        <f ca="1">$D$15*$L$4/坦克部件养成!$C$2+AE74-IF(LEFT(AD75,2)&lt;&gt;LEFT(AD74,2),VLOOKUP(AF74,INDIRECT(LEFT(AD74,2)&amp;"部件升级消耗"),5,FALSE),0)</f>
        <v>#REF!</v>
      </c>
      <c r="AF75" s="360" t="e">
        <f ca="1">MIN(VLOOKUP(AE75,INDIRECT(LEFT(AD75,2)&amp;"部件升级"),2,TRUE),VLOOKUP(LEFT(AD75,2),坦克部件养成!#REF!,6,FALSE))</f>
        <v>#REF!</v>
      </c>
      <c r="AG75" s="378" t="e">
        <f ca="1">MAX(BD$4:BD75)</f>
        <v>#REF!</v>
      </c>
      <c r="AH75" s="378" t="str">
        <f t="shared" ca="1" si="52"/>
        <v/>
      </c>
      <c r="AI75" s="378">
        <f ca="1">IF(Y75="NULL",0,MAX(BY$4:BY75))</f>
        <v>0</v>
      </c>
      <c r="AK75" s="364" t="e">
        <f t="shared" ca="1" si="53"/>
        <v>#REF!</v>
      </c>
      <c r="AL75" s="364" t="e">
        <f ca="1">VLOOKUP(AK75,坦克个性化设定!$B$18:$F$48,5,FALSE)</f>
        <v>#REF!</v>
      </c>
      <c r="AM75" s="372" t="e">
        <f t="shared" ca="1" si="54"/>
        <v>#REF!</v>
      </c>
      <c r="AN75" s="372" t="e">
        <f t="shared" ca="1" si="62"/>
        <v>#REF!</v>
      </c>
      <c r="AO75" s="364">
        <f t="shared" ca="1" si="55"/>
        <v>0</v>
      </c>
      <c r="AP75" s="372" t="e">
        <f ca="1">VLOOKUP($AK75&amp;$AO75,所有坦克升星属性,MATCH(AP$3,所有坦克升星属性标头,0),FALSE)+ROUND(AU75/VLOOKUP($AK75,坦克部件!#REF!,4,FALSE)*VLOOKUP($AK75&amp;0,所有坦克升星属性,MATCH(AP$3,所有坦克升星属性标头,0),FALSE),0)</f>
        <v>#REF!</v>
      </c>
      <c r="AQ75" s="372" t="e">
        <f ca="1">VLOOKUP($AK75&amp;$AO75,所有坦克升星属性,MATCH(AQ$3,所有坦克升星属性标头,0),FALSE)+ROUND(AV75/VLOOKUP($AK75,坦克部件!#REF!,4,FALSE)*VLOOKUP($AK75&amp;0,所有坦克升星属性,MATCH(AQ$3,所有坦克升星属性标头,0),FALSE),0)</f>
        <v>#REF!</v>
      </c>
      <c r="AR75" s="372" t="e">
        <f t="shared" ca="1" si="42"/>
        <v>#REF!</v>
      </c>
      <c r="AS75" s="372" t="e">
        <f t="shared" ca="1" si="42"/>
        <v>#REF!</v>
      </c>
      <c r="AT75" s="372" t="e">
        <f ca="1">VLOOKUP($AK75&amp;$AO75,所有坦克升星属性,MATCH(AT$3,所有坦克升星属性标头,0),FALSE)+ROUND(AW75/VLOOKUP($AK75,坦克部件!#REF!,4,FALSE)*VLOOKUP($AK75&amp;0,所有坦克升星属性,MATCH(AT$3,所有坦克升星属性标头,0),FALSE),0)</f>
        <v>#REF!</v>
      </c>
      <c r="AU75" s="372" t="e">
        <f ca="1">(VLOOKUP($AM75,坦克部件!#REF!,MATCH("标准值",坦克部件!#REF!,0),FALSE)+VLOOKUP($AN75,坦克部件!#REF!,MATCH("标准值",坦克部件!#REF!,0),FALSE))*2</f>
        <v>#REF!</v>
      </c>
      <c r="AV75" s="372" t="e">
        <f ca="1">(VLOOKUP($AM75,坦克部件!#REF!,MATCH("标准值",坦克部件!#REF!,0),FALSE)+VLOOKUP($AN75,坦克部件!#REF!,MATCH("标准值",坦克部件!#REF!,0),FALSE))*2</f>
        <v>#REF!</v>
      </c>
      <c r="AW75" s="372" t="e">
        <f ca="1">(VLOOKUP($AM75,坦克部件!#REF!,MATCH("标准值",坦克部件!#REF!,0),FALSE)+VLOOKUP($AN75,坦克部件!#REF!,MATCH("标准值",坦克部件!#REF!,0),FALSE))*2</f>
        <v>#REF!</v>
      </c>
      <c r="AX75" s="372" t="e">
        <f ca="1">VLOOKUP($AK75,坦克属性统计!$B$3:$AY$33,MATCH(AX$3,坦克属性统计!$B$3:$AY$3,0),FALSE)</f>
        <v>#REF!</v>
      </c>
      <c r="AY75" s="372" t="e">
        <f t="shared" ca="1" si="43"/>
        <v>#REF!</v>
      </c>
      <c r="AZ75" s="372" t="e">
        <f t="shared" ca="1" si="43"/>
        <v>#REF!</v>
      </c>
      <c r="BA75" s="372" t="e">
        <f t="shared" ca="1" si="43"/>
        <v>#REF!</v>
      </c>
      <c r="BB75" s="356" t="e">
        <f t="shared" ca="1" si="56"/>
        <v>#REF!</v>
      </c>
      <c r="BC75" s="356" t="e">
        <f ca="1">VLOOKUP(AK75,坦克个性化设定!$B$18:$E$48,4,FALSE)</f>
        <v>#REF!</v>
      </c>
      <c r="BD75" s="357" t="e">
        <f t="shared" ca="1" si="63"/>
        <v>#REF!</v>
      </c>
      <c r="BF75" s="357" t="str">
        <f t="shared" ca="1" si="57"/>
        <v/>
      </c>
      <c r="BG75" s="372" t="str">
        <f ca="1">IFERROR(VLOOKUP(BF75,坦克个性化设定!$B$18:$F$48,5,FALSE),"")</f>
        <v/>
      </c>
      <c r="BH75" s="372" t="e">
        <f t="shared" ca="1" si="64"/>
        <v>#REF!</v>
      </c>
      <c r="BI75" s="372" t="e">
        <f t="shared" ca="1" si="65"/>
        <v>#REF!</v>
      </c>
      <c r="BJ75" s="364" t="str">
        <f t="shared" ca="1" si="58"/>
        <v>NULL</v>
      </c>
      <c r="BK75" s="372" t="e">
        <f ca="1">VLOOKUP($BF75&amp;IF($BJ75="NULL",0,$BJ75),所有坦克升星属性,MATCH(BK$3,所有坦克升星属性标头,0),FALSE)+ROUND(BP75/VLOOKUP($BF75,坦克部件!#REF!,4,FALSE)*VLOOKUP($BF75&amp;0,所有坦克升星属性,MATCH(BK$3,所有坦克升星属性标头,0),FALSE),0)</f>
        <v>#N/A</v>
      </c>
      <c r="BL75" s="372" t="e">
        <f ca="1">VLOOKUP($BF75&amp;IF($BJ75="NULL",0,$BJ75),所有坦克升星属性,MATCH(BL$3,所有坦克升星属性标头,0),FALSE)+ROUND(BQ75/VLOOKUP($BF75,坦克部件!#REF!,4,FALSE)*VLOOKUP($BF75&amp;0,所有坦克升星属性,MATCH(BL$3,所有坦克升星属性标头,0),FALSE),0)</f>
        <v>#N/A</v>
      </c>
      <c r="BM75" s="372" t="e">
        <f t="shared" ca="1" si="44"/>
        <v>#N/A</v>
      </c>
      <c r="BN75" s="372" t="e">
        <f t="shared" ca="1" si="44"/>
        <v>#N/A</v>
      </c>
      <c r="BO75" s="372" t="e">
        <f ca="1">VLOOKUP($BF75&amp;IF($BJ75="NULL",0,$BJ75),所有坦克升星属性,MATCH(BO$3,所有坦克升星属性标头,0),FALSE)+ROUND(BR75/VLOOKUP($BF75,坦克部件!#REF!,4,FALSE)*VLOOKUP($BF75&amp;0,所有坦克升星属性,MATCH(BO$3,所有坦克升星属性标头,0),FALSE),0)</f>
        <v>#N/A</v>
      </c>
      <c r="BP75" s="372" t="e">
        <f ca="1">(VLOOKUP($BH75,坦克部件!#REF!,MATCH("标准值",坦克部件!#REF!,0),FALSE)+VLOOKUP($BI75,坦克部件!#REF!,MATCH("标准值",坦克部件!#REF!,0),FALSE))*2</f>
        <v>#REF!</v>
      </c>
      <c r="BQ75" s="372" t="e">
        <f ca="1">(VLOOKUP($BH75,坦克部件!#REF!,MATCH("标准值",坦克部件!#REF!,0),FALSE)+VLOOKUP($BI75,坦克部件!#REF!,MATCH("标准值",坦克部件!#REF!,0),FALSE))*2</f>
        <v>#REF!</v>
      </c>
      <c r="BR75" s="372" t="e">
        <f ca="1">(VLOOKUP($BH75,坦克部件!#REF!,MATCH("标准值",坦克部件!#REF!,0),FALSE)+VLOOKUP($BI75,坦克部件!#REF!,MATCH("标准值",坦克部件!#REF!,0),FALSE))*2</f>
        <v>#REF!</v>
      </c>
      <c r="BS75" s="372" t="e">
        <f ca="1">VLOOKUP($BF75,坦克属性统计!$B$3:$AY$33,MATCH(BS$3,坦克属性统计!$B$3:$AY$3,0),FALSE)</f>
        <v>#N/A</v>
      </c>
      <c r="BT75" s="372" t="e">
        <f t="shared" ca="1" si="45"/>
        <v>#N/A</v>
      </c>
      <c r="BU75" s="372" t="e">
        <f t="shared" ca="1" si="45"/>
        <v>#N/A</v>
      </c>
      <c r="BV75" s="372" t="e">
        <f t="shared" ca="1" si="45"/>
        <v>#N/A</v>
      </c>
      <c r="BW75" s="356">
        <f t="shared" ca="1" si="59"/>
        <v>0</v>
      </c>
      <c r="BX75" s="356" t="e">
        <f ca="1">VLOOKUP(BF75,坦克个性化设定!$B$18:$E$48,4,FALSE)</f>
        <v>#N/A</v>
      </c>
      <c r="BY75" s="357" t="e">
        <f t="shared" ca="1" si="66"/>
        <v>#N/A</v>
      </c>
    </row>
    <row r="76" spans="2:77" x14ac:dyDescent="0.35">
      <c r="B76" s="352">
        <v>27</v>
      </c>
      <c r="C76" s="367">
        <f>游戏时长规划!C138</f>
        <v>20</v>
      </c>
      <c r="D76" s="367">
        <f>游戏时长规划!D138</f>
        <v>520</v>
      </c>
      <c r="E76" s="367">
        <f>游戏时长规划!E138</f>
        <v>6</v>
      </c>
      <c r="F76" s="367">
        <f>游戏时长规划!F138</f>
        <v>17250</v>
      </c>
      <c r="H76" s="363" t="s">
        <v>637</v>
      </c>
      <c r="I76" s="360" t="str">
        <f>坦克个性化设定!D48</f>
        <v>重坦</v>
      </c>
      <c r="J76" s="360" t="str">
        <f>坦克个性化设定!E48</f>
        <v>T5</v>
      </c>
      <c r="K76" s="360" t="str">
        <f>坦克个性化细分!J33</f>
        <v>低</v>
      </c>
      <c r="L76" s="360" t="str">
        <f t="shared" si="40"/>
        <v>T5低</v>
      </c>
      <c r="M76" s="360" t="str">
        <f t="shared" si="41"/>
        <v>重坦T5低</v>
      </c>
      <c r="N76" s="377"/>
      <c r="O76" s="365">
        <v>73</v>
      </c>
      <c r="P76" s="360" t="e">
        <f t="shared" ca="1" si="69"/>
        <v>#REF!</v>
      </c>
      <c r="Q76" s="360" t="e">
        <f ca="1">ROUND(MIN((BD76-VLOOKUP(R76,$B$22:$F$46,2,FALSE))/(VLOOKUP(R76,$B$22:$F$46,3,FALSE)-VLOOKUP(R76,$B$22:$F$46,2,FALSE)),1)*((VLOOKUP(R76,$B$22:$F$46,4,FALSE)*(AG76/(AG76+VLOOKUP(P76,$D$49:$F$123,3,TRUE)))+VLOOKUP(R76,$B$22:$F$46,5,FALSE)*(1-AG76/(AG76+VLOOKUP(P76,$D$49:$F$123,3,TRUE))))/2)*游戏时长规划!$C$4,0)</f>
        <v>#REF!</v>
      </c>
      <c r="R76" s="360" t="e">
        <f t="shared" ca="1" si="46"/>
        <v>#REF!</v>
      </c>
      <c r="S76" s="360" t="e">
        <f t="shared" ca="1" si="67"/>
        <v>#REF!</v>
      </c>
      <c r="T76" s="360" t="e">
        <f t="shared" ca="1" si="70"/>
        <v>#REF!</v>
      </c>
      <c r="U76" s="370" t="e">
        <f t="shared" ca="1" si="47"/>
        <v>#REF!</v>
      </c>
      <c r="V76" s="363" t="e">
        <f t="shared" ca="1" si="68"/>
        <v>#REF!</v>
      </c>
      <c r="W76" s="360" t="e">
        <f t="shared" ca="1" si="48"/>
        <v>#REF!</v>
      </c>
      <c r="X76" s="81" t="e">
        <f t="shared" ca="1" si="60"/>
        <v>#REF!</v>
      </c>
      <c r="Y76" s="360" t="str">
        <f t="shared" ca="1" si="49"/>
        <v>NULL</v>
      </c>
      <c r="Z76" s="375" t="e">
        <f t="shared" ca="1" si="61"/>
        <v>#REF!</v>
      </c>
      <c r="AA76" s="360">
        <f ca="1">IFERROR(VLOOKUP(IF(V76="T1低",游戏时长规划!$C$67+Z76,Z76),INDIRECT(V76&amp;"星级"),2,TRUE),0)</f>
        <v>0</v>
      </c>
      <c r="AB76" s="375" t="e">
        <f t="shared" ca="1" si="50"/>
        <v>#REF!</v>
      </c>
      <c r="AC76" s="375">
        <f ca="1">($D$14+$D$17)*$L$4/坦克部件养成!$C$2+AC75-IFERROR(IF(RIGHT(AD75,3)*1&gt;RIGHT(VLOOKUP(AC75,INDIRECT(LEFT(AD74,2)&amp;"部件升阶"),5,TRUE),3)*1,VLOOKUP(AD74,INDIRECT(LEFT(AD74,2)&amp;"部件升阶消耗"),2,FALSE),0),0)</f>
        <v>863.83333333333417</v>
      </c>
      <c r="AD76" s="360" t="e">
        <f t="shared" ca="1" si="51"/>
        <v>#REF!</v>
      </c>
      <c r="AE76" s="375" t="e">
        <f ca="1">$D$15*$L$4/坦克部件养成!$C$2+AE75-IF(LEFT(AD76,2)&lt;&gt;LEFT(AD75,2),VLOOKUP(AF75,INDIRECT(LEFT(AD75,2)&amp;"部件升级消耗"),5,FALSE),0)</f>
        <v>#REF!</v>
      </c>
      <c r="AF76" s="360" t="e">
        <f ca="1">MIN(VLOOKUP(AE76,INDIRECT(LEFT(AD76,2)&amp;"部件升级"),2,TRUE),VLOOKUP(LEFT(AD76,2),坦克部件养成!#REF!,6,FALSE))</f>
        <v>#REF!</v>
      </c>
      <c r="AG76" s="378" t="e">
        <f ca="1">MAX(BD$4:BD76)</f>
        <v>#REF!</v>
      </c>
      <c r="AH76" s="378" t="str">
        <f t="shared" ca="1" si="52"/>
        <v/>
      </c>
      <c r="AI76" s="378">
        <f ca="1">IF(Y76="NULL",0,MAX(BY$4:BY76))</f>
        <v>0</v>
      </c>
      <c r="AK76" s="364" t="e">
        <f t="shared" ca="1" si="53"/>
        <v>#REF!</v>
      </c>
      <c r="AL76" s="364" t="e">
        <f ca="1">VLOOKUP(AK76,坦克个性化设定!$B$18:$F$48,5,FALSE)</f>
        <v>#REF!</v>
      </c>
      <c r="AM76" s="372" t="e">
        <f t="shared" ca="1" si="54"/>
        <v>#REF!</v>
      </c>
      <c r="AN76" s="372" t="e">
        <f t="shared" ca="1" si="62"/>
        <v>#REF!</v>
      </c>
      <c r="AO76" s="364">
        <f t="shared" ca="1" si="55"/>
        <v>0</v>
      </c>
      <c r="AP76" s="372" t="e">
        <f ca="1">VLOOKUP($AK76&amp;$AO76,所有坦克升星属性,MATCH(AP$3,所有坦克升星属性标头,0),FALSE)+ROUND(AU76/VLOOKUP($AK76,坦克部件!#REF!,4,FALSE)*VLOOKUP($AK76&amp;0,所有坦克升星属性,MATCH(AP$3,所有坦克升星属性标头,0),FALSE),0)</f>
        <v>#REF!</v>
      </c>
      <c r="AQ76" s="372" t="e">
        <f ca="1">VLOOKUP($AK76&amp;$AO76,所有坦克升星属性,MATCH(AQ$3,所有坦克升星属性标头,0),FALSE)+ROUND(AV76/VLOOKUP($AK76,坦克部件!#REF!,4,FALSE)*VLOOKUP($AK76&amp;0,所有坦克升星属性,MATCH(AQ$3,所有坦克升星属性标头,0),FALSE),0)</f>
        <v>#REF!</v>
      </c>
      <c r="AR76" s="372" t="e">
        <f t="shared" ca="1" si="42"/>
        <v>#REF!</v>
      </c>
      <c r="AS76" s="372" t="e">
        <f t="shared" ca="1" si="42"/>
        <v>#REF!</v>
      </c>
      <c r="AT76" s="372" t="e">
        <f ca="1">VLOOKUP($AK76&amp;$AO76,所有坦克升星属性,MATCH(AT$3,所有坦克升星属性标头,0),FALSE)+ROUND(AW76/VLOOKUP($AK76,坦克部件!#REF!,4,FALSE)*VLOOKUP($AK76&amp;0,所有坦克升星属性,MATCH(AT$3,所有坦克升星属性标头,0),FALSE),0)</f>
        <v>#REF!</v>
      </c>
      <c r="AU76" s="372" t="e">
        <f ca="1">(VLOOKUP($AM76,坦克部件!#REF!,MATCH("标准值",坦克部件!#REF!,0),FALSE)+VLOOKUP($AN76,坦克部件!#REF!,MATCH("标准值",坦克部件!#REF!,0),FALSE))*2</f>
        <v>#REF!</v>
      </c>
      <c r="AV76" s="372" t="e">
        <f ca="1">(VLOOKUP($AM76,坦克部件!#REF!,MATCH("标准值",坦克部件!#REF!,0),FALSE)+VLOOKUP($AN76,坦克部件!#REF!,MATCH("标准值",坦克部件!#REF!,0),FALSE))*2</f>
        <v>#REF!</v>
      </c>
      <c r="AW76" s="372" t="e">
        <f ca="1">(VLOOKUP($AM76,坦克部件!#REF!,MATCH("标准值",坦克部件!#REF!,0),FALSE)+VLOOKUP($AN76,坦克部件!#REF!,MATCH("标准值",坦克部件!#REF!,0),FALSE))*2</f>
        <v>#REF!</v>
      </c>
      <c r="AX76" s="372" t="e">
        <f ca="1">VLOOKUP($AK76,坦克属性统计!$B$3:$AY$33,MATCH(AX$3,坦克属性统计!$B$3:$AY$3,0),FALSE)</f>
        <v>#REF!</v>
      </c>
      <c r="AY76" s="372" t="e">
        <f t="shared" ca="1" si="43"/>
        <v>#REF!</v>
      </c>
      <c r="AZ76" s="372" t="e">
        <f t="shared" ca="1" si="43"/>
        <v>#REF!</v>
      </c>
      <c r="BA76" s="372" t="e">
        <f t="shared" ca="1" si="43"/>
        <v>#REF!</v>
      </c>
      <c r="BB76" s="356" t="e">
        <f t="shared" ca="1" si="56"/>
        <v>#REF!</v>
      </c>
      <c r="BC76" s="356" t="e">
        <f ca="1">VLOOKUP(AK76,坦克个性化设定!$B$18:$E$48,4,FALSE)</f>
        <v>#REF!</v>
      </c>
      <c r="BD76" s="357" t="e">
        <f t="shared" ca="1" si="63"/>
        <v>#REF!</v>
      </c>
      <c r="BF76" s="357" t="str">
        <f t="shared" ca="1" si="57"/>
        <v/>
      </c>
      <c r="BG76" s="372" t="str">
        <f ca="1">IFERROR(VLOOKUP(BF76,坦克个性化设定!$B$18:$F$48,5,FALSE),"")</f>
        <v/>
      </c>
      <c r="BH76" s="372" t="e">
        <f t="shared" ca="1" si="64"/>
        <v>#REF!</v>
      </c>
      <c r="BI76" s="372" t="e">
        <f t="shared" ca="1" si="65"/>
        <v>#REF!</v>
      </c>
      <c r="BJ76" s="364" t="str">
        <f t="shared" ca="1" si="58"/>
        <v>NULL</v>
      </c>
      <c r="BK76" s="372" t="e">
        <f ca="1">VLOOKUP($BF76&amp;IF($BJ76="NULL",0,$BJ76),所有坦克升星属性,MATCH(BK$3,所有坦克升星属性标头,0),FALSE)+ROUND(BP76/VLOOKUP($BF76,坦克部件!#REF!,4,FALSE)*VLOOKUP($BF76&amp;0,所有坦克升星属性,MATCH(BK$3,所有坦克升星属性标头,0),FALSE),0)</f>
        <v>#N/A</v>
      </c>
      <c r="BL76" s="372" t="e">
        <f ca="1">VLOOKUP($BF76&amp;IF($BJ76="NULL",0,$BJ76),所有坦克升星属性,MATCH(BL$3,所有坦克升星属性标头,0),FALSE)+ROUND(BQ76/VLOOKUP($BF76,坦克部件!#REF!,4,FALSE)*VLOOKUP($BF76&amp;0,所有坦克升星属性,MATCH(BL$3,所有坦克升星属性标头,0),FALSE),0)</f>
        <v>#N/A</v>
      </c>
      <c r="BM76" s="372" t="e">
        <f t="shared" ca="1" si="44"/>
        <v>#N/A</v>
      </c>
      <c r="BN76" s="372" t="e">
        <f t="shared" ca="1" si="44"/>
        <v>#N/A</v>
      </c>
      <c r="BO76" s="372" t="e">
        <f ca="1">VLOOKUP($BF76&amp;IF($BJ76="NULL",0,$BJ76),所有坦克升星属性,MATCH(BO$3,所有坦克升星属性标头,0),FALSE)+ROUND(BR76/VLOOKUP($BF76,坦克部件!#REF!,4,FALSE)*VLOOKUP($BF76&amp;0,所有坦克升星属性,MATCH(BO$3,所有坦克升星属性标头,0),FALSE),0)</f>
        <v>#N/A</v>
      </c>
      <c r="BP76" s="372" t="e">
        <f ca="1">(VLOOKUP($BH76,坦克部件!#REF!,MATCH("标准值",坦克部件!#REF!,0),FALSE)+VLOOKUP($BI76,坦克部件!#REF!,MATCH("标准值",坦克部件!#REF!,0),FALSE))*2</f>
        <v>#REF!</v>
      </c>
      <c r="BQ76" s="372" t="e">
        <f ca="1">(VLOOKUP($BH76,坦克部件!#REF!,MATCH("标准值",坦克部件!#REF!,0),FALSE)+VLOOKUP($BI76,坦克部件!#REF!,MATCH("标准值",坦克部件!#REF!,0),FALSE))*2</f>
        <v>#REF!</v>
      </c>
      <c r="BR76" s="372" t="e">
        <f ca="1">(VLOOKUP($BH76,坦克部件!#REF!,MATCH("标准值",坦克部件!#REF!,0),FALSE)+VLOOKUP($BI76,坦克部件!#REF!,MATCH("标准值",坦克部件!#REF!,0),FALSE))*2</f>
        <v>#REF!</v>
      </c>
      <c r="BS76" s="372" t="e">
        <f ca="1">VLOOKUP($BF76,坦克属性统计!$B$3:$AY$33,MATCH(BS$3,坦克属性统计!$B$3:$AY$3,0),FALSE)</f>
        <v>#N/A</v>
      </c>
      <c r="BT76" s="372" t="e">
        <f t="shared" ca="1" si="45"/>
        <v>#N/A</v>
      </c>
      <c r="BU76" s="372" t="e">
        <f t="shared" ca="1" si="45"/>
        <v>#N/A</v>
      </c>
      <c r="BV76" s="372" t="e">
        <f t="shared" ca="1" si="45"/>
        <v>#N/A</v>
      </c>
      <c r="BW76" s="356">
        <f t="shared" ca="1" si="59"/>
        <v>0</v>
      </c>
      <c r="BX76" s="356" t="e">
        <f ca="1">VLOOKUP(BF76,坦克个性化设定!$B$18:$E$48,4,FALSE)</f>
        <v>#N/A</v>
      </c>
      <c r="BY76" s="357" t="e">
        <f t="shared" ca="1" si="66"/>
        <v>#N/A</v>
      </c>
    </row>
    <row r="77" spans="2:77" x14ac:dyDescent="0.35">
      <c r="B77" s="352">
        <v>28</v>
      </c>
      <c r="C77" s="367">
        <f>游戏时长规划!C139</f>
        <v>30</v>
      </c>
      <c r="D77" s="367">
        <f>游戏时长规划!D139</f>
        <v>550</v>
      </c>
      <c r="E77" s="367">
        <f>游戏时长规划!E139</f>
        <v>7</v>
      </c>
      <c r="F77" s="367">
        <f>游戏时长规划!F139</f>
        <v>14900</v>
      </c>
      <c r="O77" s="365">
        <v>74</v>
      </c>
      <c r="P77" s="360" t="e">
        <f t="shared" ca="1" si="69"/>
        <v>#REF!</v>
      </c>
      <c r="Q77" s="360" t="e">
        <f ca="1">ROUND(MIN((BD77-VLOOKUP(R77,$B$22:$F$46,2,FALSE))/(VLOOKUP(R77,$B$22:$F$46,3,FALSE)-VLOOKUP(R77,$B$22:$F$46,2,FALSE)),1)*((VLOOKUP(R77,$B$22:$F$46,4,FALSE)*(AG77/(AG77+VLOOKUP(P77,$D$49:$F$123,3,TRUE)))+VLOOKUP(R77,$B$22:$F$46,5,FALSE)*(1-AG77/(AG77+VLOOKUP(P77,$D$49:$F$123,3,TRUE))))/2)*游戏时长规划!$C$4,0)</f>
        <v>#REF!</v>
      </c>
      <c r="R77" s="360" t="e">
        <f t="shared" ca="1" si="46"/>
        <v>#REF!</v>
      </c>
      <c r="S77" s="360" t="e">
        <f t="shared" ca="1" si="67"/>
        <v>#REF!</v>
      </c>
      <c r="T77" s="360" t="e">
        <f t="shared" ca="1" si="70"/>
        <v>#REF!</v>
      </c>
      <c r="U77" s="370" t="e">
        <f t="shared" ca="1" si="47"/>
        <v>#REF!</v>
      </c>
      <c r="V77" s="363" t="e">
        <f t="shared" ca="1" si="68"/>
        <v>#REF!</v>
      </c>
      <c r="W77" s="360" t="e">
        <f t="shared" ca="1" si="48"/>
        <v>#REF!</v>
      </c>
      <c r="X77" s="81" t="e">
        <f t="shared" ca="1" si="60"/>
        <v>#REF!</v>
      </c>
      <c r="Y77" s="360" t="str">
        <f t="shared" ca="1" si="49"/>
        <v>NULL</v>
      </c>
      <c r="Z77" s="375" t="e">
        <f t="shared" ca="1" si="61"/>
        <v>#REF!</v>
      </c>
      <c r="AA77" s="360">
        <f ca="1">IFERROR(VLOOKUP(IF(V77="T1低",游戏时长规划!$C$67+Z77,Z77),INDIRECT(V77&amp;"星级"),2,TRUE),0)</f>
        <v>0</v>
      </c>
      <c r="AB77" s="375" t="e">
        <f t="shared" ca="1" si="50"/>
        <v>#REF!</v>
      </c>
      <c r="AC77" s="375">
        <f ca="1">($D$14+$D$17)*$L$4/坦克部件养成!$C$2+AC76-IFERROR(IF(RIGHT(AD76,3)*1&gt;RIGHT(VLOOKUP(AC76,INDIRECT(LEFT(AD75,2)&amp;"部件升阶"),5,TRUE),3)*1,VLOOKUP(AD75,INDIRECT(LEFT(AD75,2)&amp;"部件升阶消耗"),2,FALSE),0),0)</f>
        <v>875.66666666666754</v>
      </c>
      <c r="AD77" s="360" t="e">
        <f t="shared" ca="1" si="51"/>
        <v>#REF!</v>
      </c>
      <c r="AE77" s="375" t="e">
        <f ca="1">$D$15*$L$4/坦克部件养成!$C$2+AE76-IF(LEFT(AD77,2)&lt;&gt;LEFT(AD76,2),VLOOKUP(AF76,INDIRECT(LEFT(AD76,2)&amp;"部件升级消耗"),5,FALSE),0)</f>
        <v>#REF!</v>
      </c>
      <c r="AF77" s="360" t="e">
        <f ca="1">MIN(VLOOKUP(AE77,INDIRECT(LEFT(AD77,2)&amp;"部件升级"),2,TRUE),VLOOKUP(LEFT(AD77,2),坦克部件养成!#REF!,6,FALSE))</f>
        <v>#REF!</v>
      </c>
      <c r="AG77" s="378" t="e">
        <f ca="1">MAX(BD$4:BD77)</f>
        <v>#REF!</v>
      </c>
      <c r="AH77" s="378" t="str">
        <f t="shared" ca="1" si="52"/>
        <v/>
      </c>
      <c r="AI77" s="378">
        <f ca="1">IF(Y77="NULL",0,MAX(BY$4:BY77))</f>
        <v>0</v>
      </c>
      <c r="AK77" s="364" t="e">
        <f t="shared" ca="1" si="53"/>
        <v>#REF!</v>
      </c>
      <c r="AL77" s="364" t="e">
        <f ca="1">VLOOKUP(AK77,坦克个性化设定!$B$18:$F$48,5,FALSE)</f>
        <v>#REF!</v>
      </c>
      <c r="AM77" s="372" t="e">
        <f t="shared" ca="1" si="54"/>
        <v>#REF!</v>
      </c>
      <c r="AN77" s="372" t="e">
        <f t="shared" ca="1" si="62"/>
        <v>#REF!</v>
      </c>
      <c r="AO77" s="364">
        <f t="shared" ca="1" si="55"/>
        <v>0</v>
      </c>
      <c r="AP77" s="372" t="e">
        <f ca="1">VLOOKUP($AK77&amp;$AO77,所有坦克升星属性,MATCH(AP$3,所有坦克升星属性标头,0),FALSE)+ROUND(AU77/VLOOKUP($AK77,坦克部件!#REF!,4,FALSE)*VLOOKUP($AK77&amp;0,所有坦克升星属性,MATCH(AP$3,所有坦克升星属性标头,0),FALSE),0)</f>
        <v>#REF!</v>
      </c>
      <c r="AQ77" s="372" t="e">
        <f ca="1">VLOOKUP($AK77&amp;$AO77,所有坦克升星属性,MATCH(AQ$3,所有坦克升星属性标头,0),FALSE)+ROUND(AV77/VLOOKUP($AK77,坦克部件!#REF!,4,FALSE)*VLOOKUP($AK77&amp;0,所有坦克升星属性,MATCH(AQ$3,所有坦克升星属性标头,0),FALSE),0)</f>
        <v>#REF!</v>
      </c>
      <c r="AR77" s="372" t="e">
        <f t="shared" ca="1" si="42"/>
        <v>#REF!</v>
      </c>
      <c r="AS77" s="372" t="e">
        <f t="shared" ca="1" si="42"/>
        <v>#REF!</v>
      </c>
      <c r="AT77" s="372" t="e">
        <f ca="1">VLOOKUP($AK77&amp;$AO77,所有坦克升星属性,MATCH(AT$3,所有坦克升星属性标头,0),FALSE)+ROUND(AW77/VLOOKUP($AK77,坦克部件!#REF!,4,FALSE)*VLOOKUP($AK77&amp;0,所有坦克升星属性,MATCH(AT$3,所有坦克升星属性标头,0),FALSE),0)</f>
        <v>#REF!</v>
      </c>
      <c r="AU77" s="372" t="e">
        <f ca="1">(VLOOKUP($AM77,坦克部件!#REF!,MATCH("标准值",坦克部件!#REF!,0),FALSE)+VLOOKUP($AN77,坦克部件!#REF!,MATCH("标准值",坦克部件!#REF!,0),FALSE))*2</f>
        <v>#REF!</v>
      </c>
      <c r="AV77" s="372" t="e">
        <f ca="1">(VLOOKUP($AM77,坦克部件!#REF!,MATCH("标准值",坦克部件!#REF!,0),FALSE)+VLOOKUP($AN77,坦克部件!#REF!,MATCH("标准值",坦克部件!#REF!,0),FALSE))*2</f>
        <v>#REF!</v>
      </c>
      <c r="AW77" s="372" t="e">
        <f ca="1">(VLOOKUP($AM77,坦克部件!#REF!,MATCH("标准值",坦克部件!#REF!,0),FALSE)+VLOOKUP($AN77,坦克部件!#REF!,MATCH("标准值",坦克部件!#REF!,0),FALSE))*2</f>
        <v>#REF!</v>
      </c>
      <c r="AX77" s="372" t="e">
        <f ca="1">VLOOKUP($AK77,坦克属性统计!$B$3:$AY$33,MATCH(AX$3,坦克属性统计!$B$3:$AY$3,0),FALSE)</f>
        <v>#REF!</v>
      </c>
      <c r="AY77" s="372" t="e">
        <f t="shared" ca="1" si="43"/>
        <v>#REF!</v>
      </c>
      <c r="AZ77" s="372" t="e">
        <f t="shared" ca="1" si="43"/>
        <v>#REF!</v>
      </c>
      <c r="BA77" s="372" t="e">
        <f t="shared" ca="1" si="43"/>
        <v>#REF!</v>
      </c>
      <c r="BB77" s="356" t="e">
        <f t="shared" ca="1" si="56"/>
        <v>#REF!</v>
      </c>
      <c r="BC77" s="356" t="e">
        <f ca="1">VLOOKUP(AK77,坦克个性化设定!$B$18:$E$48,4,FALSE)</f>
        <v>#REF!</v>
      </c>
      <c r="BD77" s="357" t="e">
        <f t="shared" ca="1" si="63"/>
        <v>#REF!</v>
      </c>
      <c r="BF77" s="357" t="str">
        <f t="shared" ca="1" si="57"/>
        <v/>
      </c>
      <c r="BG77" s="372" t="str">
        <f ca="1">IFERROR(VLOOKUP(BF77,坦克个性化设定!$B$18:$F$48,5,FALSE),"")</f>
        <v/>
      </c>
      <c r="BH77" s="372" t="e">
        <f t="shared" ca="1" si="64"/>
        <v>#REF!</v>
      </c>
      <c r="BI77" s="372" t="e">
        <f t="shared" ca="1" si="65"/>
        <v>#REF!</v>
      </c>
      <c r="BJ77" s="364" t="str">
        <f t="shared" ca="1" si="58"/>
        <v>NULL</v>
      </c>
      <c r="BK77" s="372" t="e">
        <f ca="1">VLOOKUP($BF77&amp;IF($BJ77="NULL",0,$BJ77),所有坦克升星属性,MATCH(BK$3,所有坦克升星属性标头,0),FALSE)+ROUND(BP77/VLOOKUP($BF77,坦克部件!#REF!,4,FALSE)*VLOOKUP($BF77&amp;0,所有坦克升星属性,MATCH(BK$3,所有坦克升星属性标头,0),FALSE),0)</f>
        <v>#N/A</v>
      </c>
      <c r="BL77" s="372" t="e">
        <f ca="1">VLOOKUP($BF77&amp;IF($BJ77="NULL",0,$BJ77),所有坦克升星属性,MATCH(BL$3,所有坦克升星属性标头,0),FALSE)+ROUND(BQ77/VLOOKUP($BF77,坦克部件!#REF!,4,FALSE)*VLOOKUP($BF77&amp;0,所有坦克升星属性,MATCH(BL$3,所有坦克升星属性标头,0),FALSE),0)</f>
        <v>#N/A</v>
      </c>
      <c r="BM77" s="372" t="e">
        <f t="shared" ca="1" si="44"/>
        <v>#N/A</v>
      </c>
      <c r="BN77" s="372" t="e">
        <f t="shared" ca="1" si="44"/>
        <v>#N/A</v>
      </c>
      <c r="BO77" s="372" t="e">
        <f ca="1">VLOOKUP($BF77&amp;IF($BJ77="NULL",0,$BJ77),所有坦克升星属性,MATCH(BO$3,所有坦克升星属性标头,0),FALSE)+ROUND(BR77/VLOOKUP($BF77,坦克部件!#REF!,4,FALSE)*VLOOKUP($BF77&amp;0,所有坦克升星属性,MATCH(BO$3,所有坦克升星属性标头,0),FALSE),0)</f>
        <v>#N/A</v>
      </c>
      <c r="BP77" s="372" t="e">
        <f ca="1">(VLOOKUP($BH77,坦克部件!#REF!,MATCH("标准值",坦克部件!#REF!,0),FALSE)+VLOOKUP($BI77,坦克部件!#REF!,MATCH("标准值",坦克部件!#REF!,0),FALSE))*2</f>
        <v>#REF!</v>
      </c>
      <c r="BQ77" s="372" t="e">
        <f ca="1">(VLOOKUP($BH77,坦克部件!#REF!,MATCH("标准值",坦克部件!#REF!,0),FALSE)+VLOOKUP($BI77,坦克部件!#REF!,MATCH("标准值",坦克部件!#REF!,0),FALSE))*2</f>
        <v>#REF!</v>
      </c>
      <c r="BR77" s="372" t="e">
        <f ca="1">(VLOOKUP($BH77,坦克部件!#REF!,MATCH("标准值",坦克部件!#REF!,0),FALSE)+VLOOKUP($BI77,坦克部件!#REF!,MATCH("标准值",坦克部件!#REF!,0),FALSE))*2</f>
        <v>#REF!</v>
      </c>
      <c r="BS77" s="372" t="e">
        <f ca="1">VLOOKUP($BF77,坦克属性统计!$B$3:$AY$33,MATCH(BS$3,坦克属性统计!$B$3:$AY$3,0),FALSE)</f>
        <v>#N/A</v>
      </c>
      <c r="BT77" s="372" t="e">
        <f t="shared" ca="1" si="45"/>
        <v>#N/A</v>
      </c>
      <c r="BU77" s="372" t="e">
        <f t="shared" ca="1" si="45"/>
        <v>#N/A</v>
      </c>
      <c r="BV77" s="372" t="e">
        <f t="shared" ca="1" si="45"/>
        <v>#N/A</v>
      </c>
      <c r="BW77" s="356">
        <f t="shared" ca="1" si="59"/>
        <v>0</v>
      </c>
      <c r="BX77" s="356" t="e">
        <f ca="1">VLOOKUP(BF77,坦克个性化设定!$B$18:$E$48,4,FALSE)</f>
        <v>#N/A</v>
      </c>
      <c r="BY77" s="357" t="e">
        <f t="shared" ca="1" si="66"/>
        <v>#N/A</v>
      </c>
    </row>
    <row r="78" spans="2:77" x14ac:dyDescent="0.35">
      <c r="B78" s="352">
        <v>29</v>
      </c>
      <c r="C78" s="367">
        <f>游戏时长规划!C140</f>
        <v>30</v>
      </c>
      <c r="D78" s="367">
        <f>游戏时长规划!D140</f>
        <v>580</v>
      </c>
      <c r="E78" s="367">
        <f>游戏时长规划!E140</f>
        <v>7</v>
      </c>
      <c r="F78" s="367">
        <f>游戏时长规划!F140</f>
        <v>15700</v>
      </c>
      <c r="O78" s="365">
        <v>75</v>
      </c>
      <c r="P78" s="360" t="e">
        <f t="shared" ca="1" si="69"/>
        <v>#REF!</v>
      </c>
      <c r="Q78" s="360" t="e">
        <f ca="1">ROUND(MIN((BD78-VLOOKUP(R78,$B$22:$F$46,2,FALSE))/(VLOOKUP(R78,$B$22:$F$46,3,FALSE)-VLOOKUP(R78,$B$22:$F$46,2,FALSE)),1)*((VLOOKUP(R78,$B$22:$F$46,4,FALSE)*(AG78/(AG78+VLOOKUP(P78,$D$49:$F$123,3,TRUE)))+VLOOKUP(R78,$B$22:$F$46,5,FALSE)*(1-AG78/(AG78+VLOOKUP(P78,$D$49:$F$123,3,TRUE))))/2)*游戏时长规划!$C$4,0)</f>
        <v>#REF!</v>
      </c>
      <c r="R78" s="360" t="e">
        <f t="shared" ca="1" si="46"/>
        <v>#REF!</v>
      </c>
      <c r="S78" s="360" t="e">
        <f t="shared" ca="1" si="67"/>
        <v>#REF!</v>
      </c>
      <c r="T78" s="360" t="e">
        <f t="shared" ca="1" si="70"/>
        <v>#REF!</v>
      </c>
      <c r="U78" s="370" t="e">
        <f t="shared" ca="1" si="47"/>
        <v>#REF!</v>
      </c>
      <c r="V78" s="363" t="e">
        <f t="shared" ca="1" si="68"/>
        <v>#REF!</v>
      </c>
      <c r="W78" s="360" t="e">
        <f t="shared" ca="1" si="48"/>
        <v>#REF!</v>
      </c>
      <c r="X78" s="81" t="e">
        <f t="shared" ca="1" si="60"/>
        <v>#REF!</v>
      </c>
      <c r="Y78" s="360" t="str">
        <f t="shared" ca="1" si="49"/>
        <v>NULL</v>
      </c>
      <c r="Z78" s="375" t="e">
        <f t="shared" ca="1" si="61"/>
        <v>#REF!</v>
      </c>
      <c r="AA78" s="360">
        <f ca="1">IFERROR(VLOOKUP(IF(V78="T1低",游戏时长规划!$C$67+Z78,Z78),INDIRECT(V78&amp;"星级"),2,TRUE),0)</f>
        <v>0</v>
      </c>
      <c r="AB78" s="375" t="e">
        <f t="shared" ca="1" si="50"/>
        <v>#REF!</v>
      </c>
      <c r="AC78" s="375">
        <f ca="1">($D$14+$D$17)*$L$4/坦克部件养成!$C$2+AC77-IFERROR(IF(RIGHT(AD77,3)*1&gt;RIGHT(VLOOKUP(AC77,INDIRECT(LEFT(AD76,2)&amp;"部件升阶"),5,TRUE),3)*1,VLOOKUP(AD76,INDIRECT(LEFT(AD76,2)&amp;"部件升阶消耗"),2,FALSE),0),0)</f>
        <v>887.50000000000091</v>
      </c>
      <c r="AD78" s="360" t="e">
        <f t="shared" ca="1" si="51"/>
        <v>#REF!</v>
      </c>
      <c r="AE78" s="375" t="e">
        <f ca="1">$D$15*$L$4/坦克部件养成!$C$2+AE77-IF(LEFT(AD78,2)&lt;&gt;LEFT(AD77,2),VLOOKUP(AF77,INDIRECT(LEFT(AD77,2)&amp;"部件升级消耗"),5,FALSE),0)</f>
        <v>#REF!</v>
      </c>
      <c r="AF78" s="360" t="e">
        <f ca="1">MIN(VLOOKUP(AE78,INDIRECT(LEFT(AD78,2)&amp;"部件升级"),2,TRUE),VLOOKUP(LEFT(AD78,2),坦克部件养成!#REF!,6,FALSE))</f>
        <v>#REF!</v>
      </c>
      <c r="AG78" s="378" t="e">
        <f ca="1">MAX(BD$4:BD78)</f>
        <v>#REF!</v>
      </c>
      <c r="AH78" s="378" t="str">
        <f t="shared" ca="1" si="52"/>
        <v/>
      </c>
      <c r="AI78" s="378">
        <f ca="1">IF(Y78="NULL",0,MAX(BY$4:BY78))</f>
        <v>0</v>
      </c>
      <c r="AK78" s="364" t="e">
        <f t="shared" ca="1" si="53"/>
        <v>#REF!</v>
      </c>
      <c r="AL78" s="364" t="e">
        <f ca="1">VLOOKUP(AK78,坦克个性化设定!$B$18:$F$48,5,FALSE)</f>
        <v>#REF!</v>
      </c>
      <c r="AM78" s="372" t="e">
        <f t="shared" ca="1" si="54"/>
        <v>#REF!</v>
      </c>
      <c r="AN78" s="372" t="e">
        <f t="shared" ca="1" si="62"/>
        <v>#REF!</v>
      </c>
      <c r="AO78" s="364">
        <f t="shared" ca="1" si="55"/>
        <v>0</v>
      </c>
      <c r="AP78" s="372" t="e">
        <f ca="1">VLOOKUP($AK78&amp;$AO78,所有坦克升星属性,MATCH(AP$3,所有坦克升星属性标头,0),FALSE)+ROUND(AU78/VLOOKUP($AK78,坦克部件!#REF!,4,FALSE)*VLOOKUP($AK78&amp;0,所有坦克升星属性,MATCH(AP$3,所有坦克升星属性标头,0),FALSE),0)</f>
        <v>#REF!</v>
      </c>
      <c r="AQ78" s="372" t="e">
        <f ca="1">VLOOKUP($AK78&amp;$AO78,所有坦克升星属性,MATCH(AQ$3,所有坦克升星属性标头,0),FALSE)+ROUND(AV78/VLOOKUP($AK78,坦克部件!#REF!,4,FALSE)*VLOOKUP($AK78&amp;0,所有坦克升星属性,MATCH(AQ$3,所有坦克升星属性标头,0),FALSE),0)</f>
        <v>#REF!</v>
      </c>
      <c r="AR78" s="372" t="e">
        <f t="shared" ca="1" si="42"/>
        <v>#REF!</v>
      </c>
      <c r="AS78" s="372" t="e">
        <f t="shared" ca="1" si="42"/>
        <v>#REF!</v>
      </c>
      <c r="AT78" s="372" t="e">
        <f ca="1">VLOOKUP($AK78&amp;$AO78,所有坦克升星属性,MATCH(AT$3,所有坦克升星属性标头,0),FALSE)+ROUND(AW78/VLOOKUP($AK78,坦克部件!#REF!,4,FALSE)*VLOOKUP($AK78&amp;0,所有坦克升星属性,MATCH(AT$3,所有坦克升星属性标头,0),FALSE),0)</f>
        <v>#REF!</v>
      </c>
      <c r="AU78" s="372" t="e">
        <f ca="1">(VLOOKUP($AM78,坦克部件!#REF!,MATCH("标准值",坦克部件!#REF!,0),FALSE)+VLOOKUP($AN78,坦克部件!#REF!,MATCH("标准值",坦克部件!#REF!,0),FALSE))*2</f>
        <v>#REF!</v>
      </c>
      <c r="AV78" s="372" t="e">
        <f ca="1">(VLOOKUP($AM78,坦克部件!#REF!,MATCH("标准值",坦克部件!#REF!,0),FALSE)+VLOOKUP($AN78,坦克部件!#REF!,MATCH("标准值",坦克部件!#REF!,0),FALSE))*2</f>
        <v>#REF!</v>
      </c>
      <c r="AW78" s="372" t="e">
        <f ca="1">(VLOOKUP($AM78,坦克部件!#REF!,MATCH("标准值",坦克部件!#REF!,0),FALSE)+VLOOKUP($AN78,坦克部件!#REF!,MATCH("标准值",坦克部件!#REF!,0),FALSE))*2</f>
        <v>#REF!</v>
      </c>
      <c r="AX78" s="372" t="e">
        <f ca="1">VLOOKUP($AK78,坦克属性统计!$B$3:$AY$33,MATCH(AX$3,坦克属性统计!$B$3:$AY$3,0),FALSE)</f>
        <v>#REF!</v>
      </c>
      <c r="AY78" s="372" t="e">
        <f t="shared" ca="1" si="43"/>
        <v>#REF!</v>
      </c>
      <c r="AZ78" s="372" t="e">
        <f t="shared" ca="1" si="43"/>
        <v>#REF!</v>
      </c>
      <c r="BA78" s="372" t="e">
        <f t="shared" ca="1" si="43"/>
        <v>#REF!</v>
      </c>
      <c r="BB78" s="356" t="e">
        <f t="shared" ca="1" si="56"/>
        <v>#REF!</v>
      </c>
      <c r="BC78" s="356" t="e">
        <f ca="1">VLOOKUP(AK78,坦克个性化设定!$B$18:$E$48,4,FALSE)</f>
        <v>#REF!</v>
      </c>
      <c r="BD78" s="357" t="e">
        <f t="shared" ca="1" si="63"/>
        <v>#REF!</v>
      </c>
      <c r="BF78" s="357" t="str">
        <f t="shared" ca="1" si="57"/>
        <v/>
      </c>
      <c r="BG78" s="372" t="str">
        <f ca="1">IFERROR(VLOOKUP(BF78,坦克个性化设定!$B$18:$F$48,5,FALSE),"")</f>
        <v/>
      </c>
      <c r="BH78" s="372" t="e">
        <f t="shared" ca="1" si="64"/>
        <v>#REF!</v>
      </c>
      <c r="BI78" s="372" t="e">
        <f t="shared" ca="1" si="65"/>
        <v>#REF!</v>
      </c>
      <c r="BJ78" s="364" t="str">
        <f t="shared" ca="1" si="58"/>
        <v>NULL</v>
      </c>
      <c r="BK78" s="372" t="e">
        <f ca="1">VLOOKUP($BF78&amp;IF($BJ78="NULL",0,$BJ78),所有坦克升星属性,MATCH(BK$3,所有坦克升星属性标头,0),FALSE)+ROUND(BP78/VLOOKUP($BF78,坦克部件!#REF!,4,FALSE)*VLOOKUP($BF78&amp;0,所有坦克升星属性,MATCH(BK$3,所有坦克升星属性标头,0),FALSE),0)</f>
        <v>#N/A</v>
      </c>
      <c r="BL78" s="372" t="e">
        <f ca="1">VLOOKUP($BF78&amp;IF($BJ78="NULL",0,$BJ78),所有坦克升星属性,MATCH(BL$3,所有坦克升星属性标头,0),FALSE)+ROUND(BQ78/VLOOKUP($BF78,坦克部件!#REF!,4,FALSE)*VLOOKUP($BF78&amp;0,所有坦克升星属性,MATCH(BL$3,所有坦克升星属性标头,0),FALSE),0)</f>
        <v>#N/A</v>
      </c>
      <c r="BM78" s="372" t="e">
        <f t="shared" ca="1" si="44"/>
        <v>#N/A</v>
      </c>
      <c r="BN78" s="372" t="e">
        <f t="shared" ca="1" si="44"/>
        <v>#N/A</v>
      </c>
      <c r="BO78" s="372" t="e">
        <f ca="1">VLOOKUP($BF78&amp;IF($BJ78="NULL",0,$BJ78),所有坦克升星属性,MATCH(BO$3,所有坦克升星属性标头,0),FALSE)+ROUND(BR78/VLOOKUP($BF78,坦克部件!#REF!,4,FALSE)*VLOOKUP($BF78&amp;0,所有坦克升星属性,MATCH(BO$3,所有坦克升星属性标头,0),FALSE),0)</f>
        <v>#N/A</v>
      </c>
      <c r="BP78" s="372" t="e">
        <f ca="1">(VLOOKUP($BH78,坦克部件!#REF!,MATCH("标准值",坦克部件!#REF!,0),FALSE)+VLOOKUP($BI78,坦克部件!#REF!,MATCH("标准值",坦克部件!#REF!,0),FALSE))*2</f>
        <v>#REF!</v>
      </c>
      <c r="BQ78" s="372" t="e">
        <f ca="1">(VLOOKUP($BH78,坦克部件!#REF!,MATCH("标准值",坦克部件!#REF!,0),FALSE)+VLOOKUP($BI78,坦克部件!#REF!,MATCH("标准值",坦克部件!#REF!,0),FALSE))*2</f>
        <v>#REF!</v>
      </c>
      <c r="BR78" s="372" t="e">
        <f ca="1">(VLOOKUP($BH78,坦克部件!#REF!,MATCH("标准值",坦克部件!#REF!,0),FALSE)+VLOOKUP($BI78,坦克部件!#REF!,MATCH("标准值",坦克部件!#REF!,0),FALSE))*2</f>
        <v>#REF!</v>
      </c>
      <c r="BS78" s="372" t="e">
        <f ca="1">VLOOKUP($BF78,坦克属性统计!$B$3:$AY$33,MATCH(BS$3,坦克属性统计!$B$3:$AY$3,0),FALSE)</f>
        <v>#N/A</v>
      </c>
      <c r="BT78" s="372" t="e">
        <f t="shared" ca="1" si="45"/>
        <v>#N/A</v>
      </c>
      <c r="BU78" s="372" t="e">
        <f t="shared" ca="1" si="45"/>
        <v>#N/A</v>
      </c>
      <c r="BV78" s="372" t="e">
        <f t="shared" ca="1" si="45"/>
        <v>#N/A</v>
      </c>
      <c r="BW78" s="356">
        <f t="shared" ca="1" si="59"/>
        <v>0</v>
      </c>
      <c r="BX78" s="356" t="e">
        <f ca="1">VLOOKUP(BF78,坦克个性化设定!$B$18:$E$48,4,FALSE)</f>
        <v>#N/A</v>
      </c>
      <c r="BY78" s="357" t="e">
        <f t="shared" ca="1" si="66"/>
        <v>#N/A</v>
      </c>
    </row>
    <row r="79" spans="2:77" x14ac:dyDescent="0.35">
      <c r="B79" s="352">
        <v>30</v>
      </c>
      <c r="C79" s="367">
        <f>游戏时长规划!C141</f>
        <v>30</v>
      </c>
      <c r="D79" s="367">
        <f>游戏时长规划!D141</f>
        <v>610</v>
      </c>
      <c r="E79" s="367">
        <f>游戏时长规划!E141</f>
        <v>7</v>
      </c>
      <c r="F79" s="367">
        <f>游戏时长规划!F141</f>
        <v>16500</v>
      </c>
      <c r="H79" s="360" t="s">
        <v>1143</v>
      </c>
      <c r="I79" s="374" t="s">
        <v>1789</v>
      </c>
      <c r="J79" s="374" t="s">
        <v>1790</v>
      </c>
      <c r="K79" s="374" t="s">
        <v>1791</v>
      </c>
      <c r="O79" s="365">
        <v>76</v>
      </c>
      <c r="P79" s="360" t="e">
        <f t="shared" ca="1" si="69"/>
        <v>#REF!</v>
      </c>
      <c r="Q79" s="360" t="e">
        <f ca="1">ROUND(MIN((BD79-VLOOKUP(R79,$B$22:$F$46,2,FALSE))/(VLOOKUP(R79,$B$22:$F$46,3,FALSE)-VLOOKUP(R79,$B$22:$F$46,2,FALSE)),1)*((VLOOKUP(R79,$B$22:$F$46,4,FALSE)*(AG79/(AG79+VLOOKUP(P79,$D$49:$F$123,3,TRUE)))+VLOOKUP(R79,$B$22:$F$46,5,FALSE)*(1-AG79/(AG79+VLOOKUP(P79,$D$49:$F$123,3,TRUE))))/2)*游戏时长规划!$C$4,0)</f>
        <v>#REF!</v>
      </c>
      <c r="R79" s="360" t="e">
        <f t="shared" ca="1" si="46"/>
        <v>#REF!</v>
      </c>
      <c r="S79" s="360" t="e">
        <f t="shared" ca="1" si="67"/>
        <v>#REF!</v>
      </c>
      <c r="T79" s="360" t="e">
        <f t="shared" ca="1" si="70"/>
        <v>#REF!</v>
      </c>
      <c r="U79" s="370" t="e">
        <f t="shared" ca="1" si="47"/>
        <v>#REF!</v>
      </c>
      <c r="V79" s="363" t="e">
        <f t="shared" ca="1" si="68"/>
        <v>#REF!</v>
      </c>
      <c r="W79" s="360" t="e">
        <f t="shared" ca="1" si="48"/>
        <v>#REF!</v>
      </c>
      <c r="X79" s="81" t="e">
        <f t="shared" ca="1" si="60"/>
        <v>#REF!</v>
      </c>
      <c r="Y79" s="360" t="str">
        <f t="shared" ca="1" si="49"/>
        <v>NULL</v>
      </c>
      <c r="Z79" s="375" t="e">
        <f t="shared" ca="1" si="61"/>
        <v>#REF!</v>
      </c>
      <c r="AA79" s="360">
        <f ca="1">IFERROR(VLOOKUP(IF(V79="T1低",游戏时长规划!$C$67+Z79,Z79),INDIRECT(V79&amp;"星级"),2,TRUE),0)</f>
        <v>0</v>
      </c>
      <c r="AB79" s="375" t="e">
        <f t="shared" ca="1" si="50"/>
        <v>#REF!</v>
      </c>
      <c r="AC79" s="375">
        <f ca="1">($D$14+$D$17)*$L$4/坦克部件养成!$C$2+AC78-IFERROR(IF(RIGHT(AD78,3)*1&gt;RIGHT(VLOOKUP(AC78,INDIRECT(LEFT(AD77,2)&amp;"部件升阶"),5,TRUE),3)*1,VLOOKUP(AD77,INDIRECT(LEFT(AD77,2)&amp;"部件升阶消耗"),2,FALSE),0),0)</f>
        <v>899.33333333333428</v>
      </c>
      <c r="AD79" s="360" t="e">
        <f t="shared" ca="1" si="51"/>
        <v>#REF!</v>
      </c>
      <c r="AE79" s="375" t="e">
        <f ca="1">$D$15*$L$4/坦克部件养成!$C$2+AE78-IF(LEFT(AD79,2)&lt;&gt;LEFT(AD78,2),VLOOKUP(AF78,INDIRECT(LEFT(AD78,2)&amp;"部件升级消耗"),5,FALSE),0)</f>
        <v>#REF!</v>
      </c>
      <c r="AF79" s="360" t="e">
        <f ca="1">MIN(VLOOKUP(AE79,INDIRECT(LEFT(AD79,2)&amp;"部件升级"),2,TRUE),VLOOKUP(LEFT(AD79,2),坦克部件养成!#REF!,6,FALSE))</f>
        <v>#REF!</v>
      </c>
      <c r="AG79" s="378" t="e">
        <f ca="1">MAX(BD$4:BD79)</f>
        <v>#REF!</v>
      </c>
      <c r="AH79" s="378" t="str">
        <f t="shared" ca="1" si="52"/>
        <v/>
      </c>
      <c r="AI79" s="378">
        <f ca="1">IF(Y79="NULL",0,MAX(BY$4:BY79))</f>
        <v>0</v>
      </c>
      <c r="AK79" s="364" t="e">
        <f t="shared" ca="1" si="53"/>
        <v>#REF!</v>
      </c>
      <c r="AL79" s="364" t="e">
        <f ca="1">VLOOKUP(AK79,坦克个性化设定!$B$18:$F$48,5,FALSE)</f>
        <v>#REF!</v>
      </c>
      <c r="AM79" s="372" t="e">
        <f t="shared" ca="1" si="54"/>
        <v>#REF!</v>
      </c>
      <c r="AN79" s="372" t="e">
        <f t="shared" ca="1" si="62"/>
        <v>#REF!</v>
      </c>
      <c r="AO79" s="364">
        <f t="shared" ca="1" si="55"/>
        <v>0</v>
      </c>
      <c r="AP79" s="372" t="e">
        <f ca="1">VLOOKUP($AK79&amp;$AO79,所有坦克升星属性,MATCH(AP$3,所有坦克升星属性标头,0),FALSE)+ROUND(AU79/VLOOKUP($AK79,坦克部件!#REF!,4,FALSE)*VLOOKUP($AK79&amp;0,所有坦克升星属性,MATCH(AP$3,所有坦克升星属性标头,0),FALSE),0)</f>
        <v>#REF!</v>
      </c>
      <c r="AQ79" s="372" t="e">
        <f ca="1">VLOOKUP($AK79&amp;$AO79,所有坦克升星属性,MATCH(AQ$3,所有坦克升星属性标头,0),FALSE)+ROUND(AV79/VLOOKUP($AK79,坦克部件!#REF!,4,FALSE)*VLOOKUP($AK79&amp;0,所有坦克升星属性,MATCH(AQ$3,所有坦克升星属性标头,0),FALSE),0)</f>
        <v>#REF!</v>
      </c>
      <c r="AR79" s="372" t="e">
        <f t="shared" ca="1" si="42"/>
        <v>#REF!</v>
      </c>
      <c r="AS79" s="372" t="e">
        <f t="shared" ca="1" si="42"/>
        <v>#REF!</v>
      </c>
      <c r="AT79" s="372" t="e">
        <f ca="1">VLOOKUP($AK79&amp;$AO79,所有坦克升星属性,MATCH(AT$3,所有坦克升星属性标头,0),FALSE)+ROUND(AW79/VLOOKUP($AK79,坦克部件!#REF!,4,FALSE)*VLOOKUP($AK79&amp;0,所有坦克升星属性,MATCH(AT$3,所有坦克升星属性标头,0),FALSE),0)</f>
        <v>#REF!</v>
      </c>
      <c r="AU79" s="372" t="e">
        <f ca="1">(VLOOKUP($AM79,坦克部件!#REF!,MATCH("标准值",坦克部件!#REF!,0),FALSE)+VLOOKUP($AN79,坦克部件!#REF!,MATCH("标准值",坦克部件!#REF!,0),FALSE))*2</f>
        <v>#REF!</v>
      </c>
      <c r="AV79" s="372" t="e">
        <f ca="1">(VLOOKUP($AM79,坦克部件!#REF!,MATCH("标准值",坦克部件!#REF!,0),FALSE)+VLOOKUP($AN79,坦克部件!#REF!,MATCH("标准值",坦克部件!#REF!,0),FALSE))*2</f>
        <v>#REF!</v>
      </c>
      <c r="AW79" s="372" t="e">
        <f ca="1">(VLOOKUP($AM79,坦克部件!#REF!,MATCH("标准值",坦克部件!#REF!,0),FALSE)+VLOOKUP($AN79,坦克部件!#REF!,MATCH("标准值",坦克部件!#REF!,0),FALSE))*2</f>
        <v>#REF!</v>
      </c>
      <c r="AX79" s="372" t="e">
        <f ca="1">VLOOKUP($AK79,坦克属性统计!$B$3:$AY$33,MATCH(AX$3,坦克属性统计!$B$3:$AY$3,0),FALSE)</f>
        <v>#REF!</v>
      </c>
      <c r="AY79" s="372" t="e">
        <f t="shared" ca="1" si="43"/>
        <v>#REF!</v>
      </c>
      <c r="AZ79" s="372" t="e">
        <f t="shared" ca="1" si="43"/>
        <v>#REF!</v>
      </c>
      <c r="BA79" s="372" t="e">
        <f t="shared" ca="1" si="43"/>
        <v>#REF!</v>
      </c>
      <c r="BB79" s="356" t="e">
        <f t="shared" ca="1" si="56"/>
        <v>#REF!</v>
      </c>
      <c r="BC79" s="356" t="e">
        <f ca="1">VLOOKUP(AK79,坦克个性化设定!$B$18:$E$48,4,FALSE)</f>
        <v>#REF!</v>
      </c>
      <c r="BD79" s="357" t="e">
        <f t="shared" ca="1" si="63"/>
        <v>#REF!</v>
      </c>
      <c r="BF79" s="357" t="str">
        <f t="shared" ca="1" si="57"/>
        <v/>
      </c>
      <c r="BG79" s="372" t="str">
        <f ca="1">IFERROR(VLOOKUP(BF79,坦克个性化设定!$B$18:$F$48,5,FALSE),"")</f>
        <v/>
      </c>
      <c r="BH79" s="372" t="e">
        <f t="shared" ca="1" si="64"/>
        <v>#REF!</v>
      </c>
      <c r="BI79" s="372" t="e">
        <f t="shared" ca="1" si="65"/>
        <v>#REF!</v>
      </c>
      <c r="BJ79" s="364" t="str">
        <f t="shared" ca="1" si="58"/>
        <v>NULL</v>
      </c>
      <c r="BK79" s="372" t="e">
        <f ca="1">VLOOKUP($BF79&amp;IF($BJ79="NULL",0,$BJ79),所有坦克升星属性,MATCH(BK$3,所有坦克升星属性标头,0),FALSE)+ROUND(BP79/VLOOKUP($BF79,坦克部件!#REF!,4,FALSE)*VLOOKUP($BF79&amp;0,所有坦克升星属性,MATCH(BK$3,所有坦克升星属性标头,0),FALSE),0)</f>
        <v>#N/A</v>
      </c>
      <c r="BL79" s="372" t="e">
        <f ca="1">VLOOKUP($BF79&amp;IF($BJ79="NULL",0,$BJ79),所有坦克升星属性,MATCH(BL$3,所有坦克升星属性标头,0),FALSE)+ROUND(BQ79/VLOOKUP($BF79,坦克部件!#REF!,4,FALSE)*VLOOKUP($BF79&amp;0,所有坦克升星属性,MATCH(BL$3,所有坦克升星属性标头,0),FALSE),0)</f>
        <v>#N/A</v>
      </c>
      <c r="BM79" s="372" t="e">
        <f t="shared" ca="1" si="44"/>
        <v>#N/A</v>
      </c>
      <c r="BN79" s="372" t="e">
        <f t="shared" ca="1" si="44"/>
        <v>#N/A</v>
      </c>
      <c r="BO79" s="372" t="e">
        <f ca="1">VLOOKUP($BF79&amp;IF($BJ79="NULL",0,$BJ79),所有坦克升星属性,MATCH(BO$3,所有坦克升星属性标头,0),FALSE)+ROUND(BR79/VLOOKUP($BF79,坦克部件!#REF!,4,FALSE)*VLOOKUP($BF79&amp;0,所有坦克升星属性,MATCH(BO$3,所有坦克升星属性标头,0),FALSE),0)</f>
        <v>#N/A</v>
      </c>
      <c r="BP79" s="372" t="e">
        <f ca="1">(VLOOKUP($BH79,坦克部件!#REF!,MATCH("标准值",坦克部件!#REF!,0),FALSE)+VLOOKUP($BI79,坦克部件!#REF!,MATCH("标准值",坦克部件!#REF!,0),FALSE))*2</f>
        <v>#REF!</v>
      </c>
      <c r="BQ79" s="372" t="e">
        <f ca="1">(VLOOKUP($BH79,坦克部件!#REF!,MATCH("标准值",坦克部件!#REF!,0),FALSE)+VLOOKUP($BI79,坦克部件!#REF!,MATCH("标准值",坦克部件!#REF!,0),FALSE))*2</f>
        <v>#REF!</v>
      </c>
      <c r="BR79" s="372" t="e">
        <f ca="1">(VLOOKUP($BH79,坦克部件!#REF!,MATCH("标准值",坦克部件!#REF!,0),FALSE)+VLOOKUP($BI79,坦克部件!#REF!,MATCH("标准值",坦克部件!#REF!,0),FALSE))*2</f>
        <v>#REF!</v>
      </c>
      <c r="BS79" s="372" t="e">
        <f ca="1">VLOOKUP($BF79,坦克属性统计!$B$3:$AY$33,MATCH(BS$3,坦克属性统计!$B$3:$AY$3,0),FALSE)</f>
        <v>#N/A</v>
      </c>
      <c r="BT79" s="372" t="e">
        <f t="shared" ca="1" si="45"/>
        <v>#N/A</v>
      </c>
      <c r="BU79" s="372" t="e">
        <f t="shared" ca="1" si="45"/>
        <v>#N/A</v>
      </c>
      <c r="BV79" s="372" t="e">
        <f t="shared" ca="1" si="45"/>
        <v>#N/A</v>
      </c>
      <c r="BW79" s="356">
        <f t="shared" ca="1" si="59"/>
        <v>0</v>
      </c>
      <c r="BX79" s="356" t="e">
        <f ca="1">VLOOKUP(BF79,坦克个性化设定!$B$18:$E$48,4,FALSE)</f>
        <v>#N/A</v>
      </c>
      <c r="BY79" s="357" t="e">
        <f t="shared" ca="1" si="66"/>
        <v>#N/A</v>
      </c>
    </row>
    <row r="80" spans="2:77" x14ac:dyDescent="0.35">
      <c r="B80" s="352">
        <v>31</v>
      </c>
      <c r="C80" s="367">
        <f>游戏时长规划!C142</f>
        <v>30</v>
      </c>
      <c r="D80" s="367">
        <f>游戏时长规划!D142</f>
        <v>640</v>
      </c>
      <c r="E80" s="367">
        <f>游戏时长规划!E142</f>
        <v>7</v>
      </c>
      <c r="F80" s="367">
        <f>游戏时长规划!F142</f>
        <v>17300</v>
      </c>
      <c r="H80" s="360" t="s">
        <v>1102</v>
      </c>
      <c r="I80" s="360" t="str">
        <f>H47</f>
        <v>雷诺FT</v>
      </c>
      <c r="J80" s="360" t="str">
        <f>H57</f>
        <v>Stuart</v>
      </c>
      <c r="K80" s="360" t="str">
        <f>H67</f>
        <v>B-1</v>
      </c>
      <c r="O80" s="365">
        <v>77</v>
      </c>
      <c r="P80" s="360" t="e">
        <f t="shared" ca="1" si="69"/>
        <v>#REF!</v>
      </c>
      <c r="Q80" s="360" t="e">
        <f ca="1">ROUND(MIN((BD80-VLOOKUP(R80,$B$22:$F$46,2,FALSE))/(VLOOKUP(R80,$B$22:$F$46,3,FALSE)-VLOOKUP(R80,$B$22:$F$46,2,FALSE)),1)*((VLOOKUP(R80,$B$22:$F$46,4,FALSE)*(AG80/(AG80+VLOOKUP(P80,$D$49:$F$123,3,TRUE)))+VLOOKUP(R80,$B$22:$F$46,5,FALSE)*(1-AG80/(AG80+VLOOKUP(P80,$D$49:$F$123,3,TRUE))))/2)*游戏时长规划!$C$4,0)</f>
        <v>#REF!</v>
      </c>
      <c r="R80" s="360" t="e">
        <f t="shared" ca="1" si="46"/>
        <v>#REF!</v>
      </c>
      <c r="S80" s="360" t="e">
        <f t="shared" ca="1" si="67"/>
        <v>#REF!</v>
      </c>
      <c r="T80" s="360" t="e">
        <f t="shared" ca="1" si="70"/>
        <v>#REF!</v>
      </c>
      <c r="U80" s="370" t="e">
        <f t="shared" ca="1" si="47"/>
        <v>#REF!</v>
      </c>
      <c r="V80" s="363" t="e">
        <f t="shared" ca="1" si="68"/>
        <v>#REF!</v>
      </c>
      <c r="W80" s="360" t="e">
        <f t="shared" ca="1" si="48"/>
        <v>#REF!</v>
      </c>
      <c r="X80" s="81" t="e">
        <f t="shared" ca="1" si="60"/>
        <v>#REF!</v>
      </c>
      <c r="Y80" s="360" t="str">
        <f t="shared" ca="1" si="49"/>
        <v>NULL</v>
      </c>
      <c r="Z80" s="375" t="e">
        <f t="shared" ca="1" si="61"/>
        <v>#REF!</v>
      </c>
      <c r="AA80" s="360">
        <f ca="1">IFERROR(VLOOKUP(IF(V80="T1低",游戏时长规划!$C$67+Z80,Z80),INDIRECT(V80&amp;"星级"),2,TRUE),0)</f>
        <v>0</v>
      </c>
      <c r="AB80" s="375" t="e">
        <f t="shared" ca="1" si="50"/>
        <v>#REF!</v>
      </c>
      <c r="AC80" s="375">
        <f ca="1">($D$14+$D$17)*$L$4/坦克部件养成!$C$2+AC79-IFERROR(IF(RIGHT(AD79,3)*1&gt;RIGHT(VLOOKUP(AC79,INDIRECT(LEFT(AD78,2)&amp;"部件升阶"),5,TRUE),3)*1,VLOOKUP(AD78,INDIRECT(LEFT(AD78,2)&amp;"部件升阶消耗"),2,FALSE),0),0)</f>
        <v>911.16666666666765</v>
      </c>
      <c r="AD80" s="360" t="e">
        <f t="shared" ca="1" si="51"/>
        <v>#REF!</v>
      </c>
      <c r="AE80" s="375" t="e">
        <f ca="1">$D$15*$L$4/坦克部件养成!$C$2+AE79-IF(LEFT(AD80,2)&lt;&gt;LEFT(AD79,2),VLOOKUP(AF79,INDIRECT(LEFT(AD79,2)&amp;"部件升级消耗"),5,FALSE),0)</f>
        <v>#REF!</v>
      </c>
      <c r="AF80" s="360" t="e">
        <f ca="1">MIN(VLOOKUP(AE80,INDIRECT(LEFT(AD80,2)&amp;"部件升级"),2,TRUE),VLOOKUP(LEFT(AD80,2),坦克部件养成!#REF!,6,FALSE))</f>
        <v>#REF!</v>
      </c>
      <c r="AG80" s="378" t="e">
        <f ca="1">MAX(BD$4:BD80)</f>
        <v>#REF!</v>
      </c>
      <c r="AH80" s="378" t="str">
        <f t="shared" ca="1" si="52"/>
        <v/>
      </c>
      <c r="AI80" s="378">
        <f ca="1">IF(Y80="NULL",0,MAX(BY$4:BY80))</f>
        <v>0</v>
      </c>
      <c r="AK80" s="364" t="e">
        <f t="shared" ca="1" si="53"/>
        <v>#REF!</v>
      </c>
      <c r="AL80" s="364" t="e">
        <f ca="1">VLOOKUP(AK80,坦克个性化设定!$B$18:$F$48,5,FALSE)</f>
        <v>#REF!</v>
      </c>
      <c r="AM80" s="372" t="e">
        <f t="shared" ca="1" si="54"/>
        <v>#REF!</v>
      </c>
      <c r="AN80" s="372" t="e">
        <f t="shared" ca="1" si="62"/>
        <v>#REF!</v>
      </c>
      <c r="AO80" s="364">
        <f t="shared" ca="1" si="55"/>
        <v>0</v>
      </c>
      <c r="AP80" s="372" t="e">
        <f ca="1">VLOOKUP($AK80&amp;$AO80,所有坦克升星属性,MATCH(AP$3,所有坦克升星属性标头,0),FALSE)+ROUND(AU80/VLOOKUP($AK80,坦克部件!#REF!,4,FALSE)*VLOOKUP($AK80&amp;0,所有坦克升星属性,MATCH(AP$3,所有坦克升星属性标头,0),FALSE),0)</f>
        <v>#REF!</v>
      </c>
      <c r="AQ80" s="372" t="e">
        <f ca="1">VLOOKUP($AK80&amp;$AO80,所有坦克升星属性,MATCH(AQ$3,所有坦克升星属性标头,0),FALSE)+ROUND(AV80/VLOOKUP($AK80,坦克部件!#REF!,4,FALSE)*VLOOKUP($AK80&amp;0,所有坦克升星属性,MATCH(AQ$3,所有坦克升星属性标头,0),FALSE),0)</f>
        <v>#REF!</v>
      </c>
      <c r="AR80" s="372" t="e">
        <f t="shared" ca="1" si="42"/>
        <v>#REF!</v>
      </c>
      <c r="AS80" s="372" t="e">
        <f t="shared" ca="1" si="42"/>
        <v>#REF!</v>
      </c>
      <c r="AT80" s="372" t="e">
        <f ca="1">VLOOKUP($AK80&amp;$AO80,所有坦克升星属性,MATCH(AT$3,所有坦克升星属性标头,0),FALSE)+ROUND(AW80/VLOOKUP($AK80,坦克部件!#REF!,4,FALSE)*VLOOKUP($AK80&amp;0,所有坦克升星属性,MATCH(AT$3,所有坦克升星属性标头,0),FALSE),0)</f>
        <v>#REF!</v>
      </c>
      <c r="AU80" s="372" t="e">
        <f ca="1">(VLOOKUP($AM80,坦克部件!#REF!,MATCH("标准值",坦克部件!#REF!,0),FALSE)+VLOOKUP($AN80,坦克部件!#REF!,MATCH("标准值",坦克部件!#REF!,0),FALSE))*2</f>
        <v>#REF!</v>
      </c>
      <c r="AV80" s="372" t="e">
        <f ca="1">(VLOOKUP($AM80,坦克部件!#REF!,MATCH("标准值",坦克部件!#REF!,0),FALSE)+VLOOKUP($AN80,坦克部件!#REF!,MATCH("标准值",坦克部件!#REF!,0),FALSE))*2</f>
        <v>#REF!</v>
      </c>
      <c r="AW80" s="372" t="e">
        <f ca="1">(VLOOKUP($AM80,坦克部件!#REF!,MATCH("标准值",坦克部件!#REF!,0),FALSE)+VLOOKUP($AN80,坦克部件!#REF!,MATCH("标准值",坦克部件!#REF!,0),FALSE))*2</f>
        <v>#REF!</v>
      </c>
      <c r="AX80" s="372" t="e">
        <f ca="1">VLOOKUP($AK80,坦克属性统计!$B$3:$AY$33,MATCH(AX$3,坦克属性统计!$B$3:$AY$3,0),FALSE)</f>
        <v>#REF!</v>
      </c>
      <c r="AY80" s="372" t="e">
        <f t="shared" ca="1" si="43"/>
        <v>#REF!</v>
      </c>
      <c r="AZ80" s="372" t="e">
        <f t="shared" ca="1" si="43"/>
        <v>#REF!</v>
      </c>
      <c r="BA80" s="372" t="e">
        <f t="shared" ca="1" si="43"/>
        <v>#REF!</v>
      </c>
      <c r="BB80" s="356" t="e">
        <f t="shared" ca="1" si="56"/>
        <v>#REF!</v>
      </c>
      <c r="BC80" s="356" t="e">
        <f ca="1">VLOOKUP(AK80,坦克个性化设定!$B$18:$E$48,4,FALSE)</f>
        <v>#REF!</v>
      </c>
      <c r="BD80" s="357" t="e">
        <f t="shared" ca="1" si="63"/>
        <v>#REF!</v>
      </c>
      <c r="BF80" s="357" t="str">
        <f t="shared" ca="1" si="57"/>
        <v/>
      </c>
      <c r="BG80" s="372" t="str">
        <f ca="1">IFERROR(VLOOKUP(BF80,坦克个性化设定!$B$18:$F$48,5,FALSE),"")</f>
        <v/>
      </c>
      <c r="BH80" s="372" t="e">
        <f t="shared" ca="1" si="64"/>
        <v>#REF!</v>
      </c>
      <c r="BI80" s="372" t="e">
        <f t="shared" ca="1" si="65"/>
        <v>#REF!</v>
      </c>
      <c r="BJ80" s="364" t="str">
        <f t="shared" ca="1" si="58"/>
        <v>NULL</v>
      </c>
      <c r="BK80" s="372" t="e">
        <f ca="1">VLOOKUP($BF80&amp;IF($BJ80="NULL",0,$BJ80),所有坦克升星属性,MATCH(BK$3,所有坦克升星属性标头,0),FALSE)+ROUND(BP80/VLOOKUP($BF80,坦克部件!#REF!,4,FALSE)*VLOOKUP($BF80&amp;0,所有坦克升星属性,MATCH(BK$3,所有坦克升星属性标头,0),FALSE),0)</f>
        <v>#N/A</v>
      </c>
      <c r="BL80" s="372" t="e">
        <f ca="1">VLOOKUP($BF80&amp;IF($BJ80="NULL",0,$BJ80),所有坦克升星属性,MATCH(BL$3,所有坦克升星属性标头,0),FALSE)+ROUND(BQ80/VLOOKUP($BF80,坦克部件!#REF!,4,FALSE)*VLOOKUP($BF80&amp;0,所有坦克升星属性,MATCH(BL$3,所有坦克升星属性标头,0),FALSE),0)</f>
        <v>#N/A</v>
      </c>
      <c r="BM80" s="372" t="e">
        <f t="shared" ca="1" si="44"/>
        <v>#N/A</v>
      </c>
      <c r="BN80" s="372" t="e">
        <f t="shared" ca="1" si="44"/>
        <v>#N/A</v>
      </c>
      <c r="BO80" s="372" t="e">
        <f ca="1">VLOOKUP($BF80&amp;IF($BJ80="NULL",0,$BJ80),所有坦克升星属性,MATCH(BO$3,所有坦克升星属性标头,0),FALSE)+ROUND(BR80/VLOOKUP($BF80,坦克部件!#REF!,4,FALSE)*VLOOKUP($BF80&amp;0,所有坦克升星属性,MATCH(BO$3,所有坦克升星属性标头,0),FALSE),0)</f>
        <v>#N/A</v>
      </c>
      <c r="BP80" s="372" t="e">
        <f ca="1">(VLOOKUP($BH80,坦克部件!#REF!,MATCH("标准值",坦克部件!#REF!,0),FALSE)+VLOOKUP($BI80,坦克部件!#REF!,MATCH("标准值",坦克部件!#REF!,0),FALSE))*2</f>
        <v>#REF!</v>
      </c>
      <c r="BQ80" s="372" t="e">
        <f ca="1">(VLOOKUP($BH80,坦克部件!#REF!,MATCH("标准值",坦克部件!#REF!,0),FALSE)+VLOOKUP($BI80,坦克部件!#REF!,MATCH("标准值",坦克部件!#REF!,0),FALSE))*2</f>
        <v>#REF!</v>
      </c>
      <c r="BR80" s="372" t="e">
        <f ca="1">(VLOOKUP($BH80,坦克部件!#REF!,MATCH("标准值",坦克部件!#REF!,0),FALSE)+VLOOKUP($BI80,坦克部件!#REF!,MATCH("标准值",坦克部件!#REF!,0),FALSE))*2</f>
        <v>#REF!</v>
      </c>
      <c r="BS80" s="372" t="e">
        <f ca="1">VLOOKUP($BF80,坦克属性统计!$B$3:$AY$33,MATCH(BS$3,坦克属性统计!$B$3:$AY$3,0),FALSE)</f>
        <v>#N/A</v>
      </c>
      <c r="BT80" s="372" t="e">
        <f t="shared" ca="1" si="45"/>
        <v>#N/A</v>
      </c>
      <c r="BU80" s="372" t="e">
        <f t="shared" ca="1" si="45"/>
        <v>#N/A</v>
      </c>
      <c r="BV80" s="372" t="e">
        <f t="shared" ca="1" si="45"/>
        <v>#N/A</v>
      </c>
      <c r="BW80" s="356">
        <f t="shared" ca="1" si="59"/>
        <v>0</v>
      </c>
      <c r="BX80" s="356" t="e">
        <f ca="1">VLOOKUP(BF80,坦克个性化设定!$B$18:$E$48,4,FALSE)</f>
        <v>#N/A</v>
      </c>
      <c r="BY80" s="357" t="e">
        <f t="shared" ca="1" si="66"/>
        <v>#N/A</v>
      </c>
    </row>
    <row r="81" spans="2:77" x14ac:dyDescent="0.35">
      <c r="B81" s="352">
        <v>32</v>
      </c>
      <c r="C81" s="367">
        <f>游戏时长规划!C143</f>
        <v>30</v>
      </c>
      <c r="D81" s="367">
        <f>游戏时长规划!D143</f>
        <v>670</v>
      </c>
      <c r="E81" s="367">
        <f>游戏时长规划!E143</f>
        <v>7</v>
      </c>
      <c r="F81" s="367">
        <f>游戏时长规划!F143</f>
        <v>18150</v>
      </c>
      <c r="H81" s="360" t="s">
        <v>1103</v>
      </c>
      <c r="I81" s="360" t="str">
        <f t="shared" ref="I81:I89" si="71">H48</f>
        <v>二号</v>
      </c>
      <c r="J81" s="360" t="str">
        <f t="shared" ref="J81:J89" si="72">H58</f>
        <v>T-34</v>
      </c>
      <c r="K81" s="360" t="str">
        <f t="shared" ref="K81:K89" si="73">H68</f>
        <v>KV-1</v>
      </c>
      <c r="N81" s="361">
        <f>O81-O61</f>
        <v>20</v>
      </c>
      <c r="O81" s="365">
        <v>78</v>
      </c>
      <c r="P81" s="360" t="e">
        <f t="shared" ca="1" si="69"/>
        <v>#REF!</v>
      </c>
      <c r="Q81" s="360" t="e">
        <f ca="1">ROUND(MIN((BD81-VLOOKUP(R81,$B$22:$F$46,2,FALSE))/(VLOOKUP(R81,$B$22:$F$46,3,FALSE)-VLOOKUP(R81,$B$22:$F$46,2,FALSE)),1)*((VLOOKUP(R81,$B$22:$F$46,4,FALSE)*(AG81/(AG81+VLOOKUP(P81,$D$49:$F$123,3,TRUE)))+VLOOKUP(R81,$B$22:$F$46,5,FALSE)*(1-AG81/(AG81+VLOOKUP(P81,$D$49:$F$123,3,TRUE))))/2)*游戏时长规划!$C$4,0)</f>
        <v>#REF!</v>
      </c>
      <c r="R81" s="360" t="e">
        <f t="shared" ca="1" si="46"/>
        <v>#REF!</v>
      </c>
      <c r="S81" s="360" t="e">
        <f t="shared" ca="1" si="67"/>
        <v>#REF!</v>
      </c>
      <c r="T81" s="360" t="e">
        <f t="shared" ca="1" si="70"/>
        <v>#REF!</v>
      </c>
      <c r="U81" s="370" t="e">
        <f t="shared" ca="1" si="47"/>
        <v>#REF!</v>
      </c>
      <c r="V81" s="363" t="e">
        <f t="shared" ca="1" si="68"/>
        <v>#REF!</v>
      </c>
      <c r="W81" s="360" t="e">
        <f t="shared" ca="1" si="48"/>
        <v>#REF!</v>
      </c>
      <c r="X81" s="81" t="e">
        <f t="shared" ca="1" si="60"/>
        <v>#REF!</v>
      </c>
      <c r="Y81" s="360" t="str">
        <f t="shared" ca="1" si="49"/>
        <v>NULL</v>
      </c>
      <c r="Z81" s="375" t="e">
        <f t="shared" ca="1" si="61"/>
        <v>#REF!</v>
      </c>
      <c r="AA81" s="360">
        <f ca="1">IFERROR(VLOOKUP(IF(V81="T1低",游戏时长规划!$C$67+Z81,Z81),INDIRECT(V81&amp;"星级"),2,TRUE),0)</f>
        <v>0</v>
      </c>
      <c r="AB81" s="375" t="e">
        <f t="shared" ca="1" si="50"/>
        <v>#REF!</v>
      </c>
      <c r="AC81" s="375">
        <f ca="1">($D$14+$D$17)*$L$4/坦克部件养成!$C$2+AC80-IFERROR(IF(RIGHT(AD80,3)*1&gt;RIGHT(VLOOKUP(AC80,INDIRECT(LEFT(AD79,2)&amp;"部件升阶"),5,TRUE),3)*1,VLOOKUP(AD79,INDIRECT(LEFT(AD79,2)&amp;"部件升阶消耗"),2,FALSE),0),0)</f>
        <v>923.00000000000102</v>
      </c>
      <c r="AD81" s="360" t="e">
        <f t="shared" ca="1" si="51"/>
        <v>#REF!</v>
      </c>
      <c r="AE81" s="375" t="e">
        <f ca="1">$D$15*$L$4/坦克部件养成!$C$2+AE80-IF(LEFT(AD81,2)&lt;&gt;LEFT(AD80,2),VLOOKUP(AF80,INDIRECT(LEFT(AD80,2)&amp;"部件升级消耗"),5,FALSE),0)</f>
        <v>#REF!</v>
      </c>
      <c r="AF81" s="360" t="e">
        <f ca="1">MIN(VLOOKUP(AE81,INDIRECT(LEFT(AD81,2)&amp;"部件升级"),2,TRUE),VLOOKUP(LEFT(AD81,2),坦克部件养成!#REF!,6,FALSE))</f>
        <v>#REF!</v>
      </c>
      <c r="AG81" s="378" t="e">
        <f ca="1">MAX(BD$4:BD81)</f>
        <v>#REF!</v>
      </c>
      <c r="AH81" s="378" t="str">
        <f t="shared" ca="1" si="52"/>
        <v/>
      </c>
      <c r="AI81" s="378">
        <f ca="1">IF(Y81="NULL",0,MAX(BY$4:BY81))</f>
        <v>0</v>
      </c>
      <c r="AK81" s="364" t="e">
        <f t="shared" ca="1" si="53"/>
        <v>#REF!</v>
      </c>
      <c r="AL81" s="364" t="e">
        <f ca="1">VLOOKUP(AK81,坦克个性化设定!$B$18:$F$48,5,FALSE)</f>
        <v>#REF!</v>
      </c>
      <c r="AM81" s="372" t="e">
        <f t="shared" ca="1" si="54"/>
        <v>#REF!</v>
      </c>
      <c r="AN81" s="372" t="e">
        <f t="shared" ca="1" si="62"/>
        <v>#REF!</v>
      </c>
      <c r="AO81" s="364">
        <f t="shared" ca="1" si="55"/>
        <v>0</v>
      </c>
      <c r="AP81" s="372" t="e">
        <f ca="1">VLOOKUP($AK81&amp;$AO81,所有坦克升星属性,MATCH(AP$3,所有坦克升星属性标头,0),FALSE)+ROUND(AU81/VLOOKUP($AK81,坦克部件!#REF!,4,FALSE)*VLOOKUP($AK81&amp;0,所有坦克升星属性,MATCH(AP$3,所有坦克升星属性标头,0),FALSE),0)</f>
        <v>#REF!</v>
      </c>
      <c r="AQ81" s="372" t="e">
        <f ca="1">VLOOKUP($AK81&amp;$AO81,所有坦克升星属性,MATCH(AQ$3,所有坦克升星属性标头,0),FALSE)+ROUND(AV81/VLOOKUP($AK81,坦克部件!#REF!,4,FALSE)*VLOOKUP($AK81&amp;0,所有坦克升星属性,MATCH(AQ$3,所有坦克升星属性标头,0),FALSE),0)</f>
        <v>#REF!</v>
      </c>
      <c r="AR81" s="372" t="e">
        <f t="shared" ca="1" si="42"/>
        <v>#REF!</v>
      </c>
      <c r="AS81" s="372" t="e">
        <f t="shared" ca="1" si="42"/>
        <v>#REF!</v>
      </c>
      <c r="AT81" s="372" t="e">
        <f ca="1">VLOOKUP($AK81&amp;$AO81,所有坦克升星属性,MATCH(AT$3,所有坦克升星属性标头,0),FALSE)+ROUND(AW81/VLOOKUP($AK81,坦克部件!#REF!,4,FALSE)*VLOOKUP($AK81&amp;0,所有坦克升星属性,MATCH(AT$3,所有坦克升星属性标头,0),FALSE),0)</f>
        <v>#REF!</v>
      </c>
      <c r="AU81" s="372" t="e">
        <f ca="1">(VLOOKUP($AM81,坦克部件!#REF!,MATCH("标准值",坦克部件!#REF!,0),FALSE)+VLOOKUP($AN81,坦克部件!#REF!,MATCH("标准值",坦克部件!#REF!,0),FALSE))*2</f>
        <v>#REF!</v>
      </c>
      <c r="AV81" s="372" t="e">
        <f ca="1">(VLOOKUP($AM81,坦克部件!#REF!,MATCH("标准值",坦克部件!#REF!,0),FALSE)+VLOOKUP($AN81,坦克部件!#REF!,MATCH("标准值",坦克部件!#REF!,0),FALSE))*2</f>
        <v>#REF!</v>
      </c>
      <c r="AW81" s="372" t="e">
        <f ca="1">(VLOOKUP($AM81,坦克部件!#REF!,MATCH("标准值",坦克部件!#REF!,0),FALSE)+VLOOKUP($AN81,坦克部件!#REF!,MATCH("标准值",坦克部件!#REF!,0),FALSE))*2</f>
        <v>#REF!</v>
      </c>
      <c r="AX81" s="372" t="e">
        <f ca="1">VLOOKUP($AK81,坦克属性统计!$B$3:$AY$33,MATCH(AX$3,坦克属性统计!$B$3:$AY$3,0),FALSE)</f>
        <v>#REF!</v>
      </c>
      <c r="AY81" s="372" t="e">
        <f t="shared" ca="1" si="43"/>
        <v>#REF!</v>
      </c>
      <c r="AZ81" s="372" t="e">
        <f t="shared" ca="1" si="43"/>
        <v>#REF!</v>
      </c>
      <c r="BA81" s="372" t="e">
        <f t="shared" ca="1" si="43"/>
        <v>#REF!</v>
      </c>
      <c r="BB81" s="356" t="e">
        <f t="shared" ca="1" si="56"/>
        <v>#REF!</v>
      </c>
      <c r="BC81" s="356" t="e">
        <f ca="1">VLOOKUP(AK81,坦克个性化设定!$B$18:$E$48,4,FALSE)</f>
        <v>#REF!</v>
      </c>
      <c r="BD81" s="357" t="e">
        <f t="shared" ca="1" si="63"/>
        <v>#REF!</v>
      </c>
      <c r="BF81" s="357" t="str">
        <f t="shared" ca="1" si="57"/>
        <v/>
      </c>
      <c r="BG81" s="372" t="str">
        <f ca="1">IFERROR(VLOOKUP(BF81,坦克个性化设定!$B$18:$F$48,5,FALSE),"")</f>
        <v/>
      </c>
      <c r="BH81" s="372" t="e">
        <f t="shared" ca="1" si="64"/>
        <v>#REF!</v>
      </c>
      <c r="BI81" s="372" t="e">
        <f t="shared" ca="1" si="65"/>
        <v>#REF!</v>
      </c>
      <c r="BJ81" s="364" t="str">
        <f t="shared" ca="1" si="58"/>
        <v>NULL</v>
      </c>
      <c r="BK81" s="372" t="e">
        <f ca="1">VLOOKUP($BF81&amp;IF($BJ81="NULL",0,$BJ81),所有坦克升星属性,MATCH(BK$3,所有坦克升星属性标头,0),FALSE)+ROUND(BP81/VLOOKUP($BF81,坦克部件!#REF!,4,FALSE)*VLOOKUP($BF81&amp;0,所有坦克升星属性,MATCH(BK$3,所有坦克升星属性标头,0),FALSE),0)</f>
        <v>#N/A</v>
      </c>
      <c r="BL81" s="372" t="e">
        <f ca="1">VLOOKUP($BF81&amp;IF($BJ81="NULL",0,$BJ81),所有坦克升星属性,MATCH(BL$3,所有坦克升星属性标头,0),FALSE)+ROUND(BQ81/VLOOKUP($BF81,坦克部件!#REF!,4,FALSE)*VLOOKUP($BF81&amp;0,所有坦克升星属性,MATCH(BL$3,所有坦克升星属性标头,0),FALSE),0)</f>
        <v>#N/A</v>
      </c>
      <c r="BM81" s="372" t="e">
        <f t="shared" ca="1" si="44"/>
        <v>#N/A</v>
      </c>
      <c r="BN81" s="372" t="e">
        <f t="shared" ca="1" si="44"/>
        <v>#N/A</v>
      </c>
      <c r="BO81" s="372" t="e">
        <f ca="1">VLOOKUP($BF81&amp;IF($BJ81="NULL",0,$BJ81),所有坦克升星属性,MATCH(BO$3,所有坦克升星属性标头,0),FALSE)+ROUND(BR81/VLOOKUP($BF81,坦克部件!#REF!,4,FALSE)*VLOOKUP($BF81&amp;0,所有坦克升星属性,MATCH(BO$3,所有坦克升星属性标头,0),FALSE),0)</f>
        <v>#N/A</v>
      </c>
      <c r="BP81" s="372" t="e">
        <f ca="1">(VLOOKUP($BH81,坦克部件!#REF!,MATCH("标准值",坦克部件!#REF!,0),FALSE)+VLOOKUP($BI81,坦克部件!#REF!,MATCH("标准值",坦克部件!#REF!,0),FALSE))*2</f>
        <v>#REF!</v>
      </c>
      <c r="BQ81" s="372" t="e">
        <f ca="1">(VLOOKUP($BH81,坦克部件!#REF!,MATCH("标准值",坦克部件!#REF!,0),FALSE)+VLOOKUP($BI81,坦克部件!#REF!,MATCH("标准值",坦克部件!#REF!,0),FALSE))*2</f>
        <v>#REF!</v>
      </c>
      <c r="BR81" s="372" t="e">
        <f ca="1">(VLOOKUP($BH81,坦克部件!#REF!,MATCH("标准值",坦克部件!#REF!,0),FALSE)+VLOOKUP($BI81,坦克部件!#REF!,MATCH("标准值",坦克部件!#REF!,0),FALSE))*2</f>
        <v>#REF!</v>
      </c>
      <c r="BS81" s="372" t="e">
        <f ca="1">VLOOKUP($BF81,坦克属性统计!$B$3:$AY$33,MATCH(BS$3,坦克属性统计!$B$3:$AY$3,0),FALSE)</f>
        <v>#N/A</v>
      </c>
      <c r="BT81" s="372" t="e">
        <f t="shared" ca="1" si="45"/>
        <v>#N/A</v>
      </c>
      <c r="BU81" s="372" t="e">
        <f t="shared" ca="1" si="45"/>
        <v>#N/A</v>
      </c>
      <c r="BV81" s="372" t="e">
        <f t="shared" ca="1" si="45"/>
        <v>#N/A</v>
      </c>
      <c r="BW81" s="356">
        <f t="shared" ca="1" si="59"/>
        <v>0</v>
      </c>
      <c r="BX81" s="356" t="e">
        <f ca="1">VLOOKUP(BF81,坦克个性化设定!$B$18:$E$48,4,FALSE)</f>
        <v>#N/A</v>
      </c>
      <c r="BY81" s="357" t="e">
        <f t="shared" ca="1" si="66"/>
        <v>#N/A</v>
      </c>
    </row>
    <row r="82" spans="2:77" x14ac:dyDescent="0.35">
      <c r="B82" s="352">
        <v>33</v>
      </c>
      <c r="C82" s="367">
        <f>游戏时长规划!C144</f>
        <v>30</v>
      </c>
      <c r="D82" s="367">
        <f>游戏时长规划!D144</f>
        <v>700</v>
      </c>
      <c r="E82" s="367">
        <f>游戏时长规划!E144</f>
        <v>7</v>
      </c>
      <c r="F82" s="367">
        <f>游戏时长规划!F144</f>
        <v>19000</v>
      </c>
      <c r="H82" s="360" t="s">
        <v>1104</v>
      </c>
      <c r="I82" s="360" t="str">
        <f t="shared" si="71"/>
        <v>Puma</v>
      </c>
      <c r="J82" s="360" t="str">
        <f t="shared" si="72"/>
        <v>四号</v>
      </c>
      <c r="K82" s="360" t="str">
        <f t="shared" si="73"/>
        <v>丘吉尔</v>
      </c>
      <c r="O82" s="365">
        <v>79</v>
      </c>
      <c r="P82" s="360" t="e">
        <f t="shared" ca="1" si="69"/>
        <v>#REF!</v>
      </c>
      <c r="Q82" s="360" t="e">
        <f ca="1">ROUND(MIN((BD82-VLOOKUP(R82,$B$22:$F$46,2,FALSE))/(VLOOKUP(R82,$B$22:$F$46,3,FALSE)-VLOOKUP(R82,$B$22:$F$46,2,FALSE)),1)*((VLOOKUP(R82,$B$22:$F$46,4,FALSE)*(AG82/(AG82+VLOOKUP(P82,$D$49:$F$123,3,TRUE)))+VLOOKUP(R82,$B$22:$F$46,5,FALSE)*(1-AG82/(AG82+VLOOKUP(P82,$D$49:$F$123,3,TRUE))))/2)*游戏时长规划!$C$4,0)</f>
        <v>#REF!</v>
      </c>
      <c r="R82" s="360" t="e">
        <f t="shared" ca="1" si="46"/>
        <v>#REF!</v>
      </c>
      <c r="S82" s="360" t="e">
        <f t="shared" ca="1" si="67"/>
        <v>#REF!</v>
      </c>
      <c r="T82" s="360" t="e">
        <f t="shared" ca="1" si="70"/>
        <v>#REF!</v>
      </c>
      <c r="U82" s="370" t="e">
        <f t="shared" ca="1" si="47"/>
        <v>#REF!</v>
      </c>
      <c r="V82" s="363" t="e">
        <f t="shared" ca="1" si="68"/>
        <v>#REF!</v>
      </c>
      <c r="W82" s="360" t="e">
        <f t="shared" ca="1" si="48"/>
        <v>#REF!</v>
      </c>
      <c r="X82" s="81" t="e">
        <f t="shared" ca="1" si="60"/>
        <v>#REF!</v>
      </c>
      <c r="Y82" s="360" t="str">
        <f t="shared" ca="1" si="49"/>
        <v>NULL</v>
      </c>
      <c r="Z82" s="375" t="e">
        <f t="shared" ca="1" si="61"/>
        <v>#REF!</v>
      </c>
      <c r="AA82" s="360">
        <f ca="1">IFERROR(VLOOKUP(IF(V82="T1低",游戏时长规划!$C$67+Z82,Z82),INDIRECT(V82&amp;"星级"),2,TRUE),0)</f>
        <v>0</v>
      </c>
      <c r="AB82" s="375" t="e">
        <f t="shared" ca="1" si="50"/>
        <v>#REF!</v>
      </c>
      <c r="AC82" s="375">
        <f ca="1">($D$14+$D$17)*$L$4/坦克部件养成!$C$2+AC81-IFERROR(IF(RIGHT(AD81,3)*1&gt;RIGHT(VLOOKUP(AC81,INDIRECT(LEFT(AD80,2)&amp;"部件升阶"),5,TRUE),3)*1,VLOOKUP(AD80,INDIRECT(LEFT(AD80,2)&amp;"部件升阶消耗"),2,FALSE),0),0)</f>
        <v>934.83333333333439</v>
      </c>
      <c r="AD82" s="360" t="e">
        <f t="shared" ca="1" si="51"/>
        <v>#REF!</v>
      </c>
      <c r="AE82" s="375" t="e">
        <f ca="1">$D$15*$L$4/坦克部件养成!$C$2+AE81-IF(LEFT(AD82,2)&lt;&gt;LEFT(AD81,2),VLOOKUP(AF81,INDIRECT(LEFT(AD81,2)&amp;"部件升级消耗"),5,FALSE),0)</f>
        <v>#REF!</v>
      </c>
      <c r="AF82" s="360" t="e">
        <f ca="1">MIN(VLOOKUP(AE82,INDIRECT(LEFT(AD82,2)&amp;"部件升级"),2,TRUE),VLOOKUP(LEFT(AD82,2),坦克部件养成!#REF!,6,FALSE))</f>
        <v>#REF!</v>
      </c>
      <c r="AG82" s="378" t="e">
        <f ca="1">MAX(BD$4:BD82)</f>
        <v>#REF!</v>
      </c>
      <c r="AH82" s="378" t="str">
        <f t="shared" ca="1" si="52"/>
        <v/>
      </c>
      <c r="AI82" s="378">
        <f ca="1">IF(Y82="NULL",0,MAX(BY$4:BY82))</f>
        <v>0</v>
      </c>
      <c r="AK82" s="364" t="e">
        <f t="shared" ca="1" si="53"/>
        <v>#REF!</v>
      </c>
      <c r="AL82" s="364" t="e">
        <f ca="1">VLOOKUP(AK82,坦克个性化设定!$B$18:$F$48,5,FALSE)</f>
        <v>#REF!</v>
      </c>
      <c r="AM82" s="372" t="e">
        <f t="shared" ca="1" si="54"/>
        <v>#REF!</v>
      </c>
      <c r="AN82" s="372" t="e">
        <f t="shared" ca="1" si="62"/>
        <v>#REF!</v>
      </c>
      <c r="AO82" s="364">
        <f t="shared" ca="1" si="55"/>
        <v>0</v>
      </c>
      <c r="AP82" s="372" t="e">
        <f ca="1">VLOOKUP($AK82&amp;$AO82,所有坦克升星属性,MATCH(AP$3,所有坦克升星属性标头,0),FALSE)+ROUND(AU82/VLOOKUP($AK82,坦克部件!#REF!,4,FALSE)*VLOOKUP($AK82&amp;0,所有坦克升星属性,MATCH(AP$3,所有坦克升星属性标头,0),FALSE),0)</f>
        <v>#REF!</v>
      </c>
      <c r="AQ82" s="372" t="e">
        <f ca="1">VLOOKUP($AK82&amp;$AO82,所有坦克升星属性,MATCH(AQ$3,所有坦克升星属性标头,0),FALSE)+ROUND(AV82/VLOOKUP($AK82,坦克部件!#REF!,4,FALSE)*VLOOKUP($AK82&amp;0,所有坦克升星属性,MATCH(AQ$3,所有坦克升星属性标头,0),FALSE),0)</f>
        <v>#REF!</v>
      </c>
      <c r="AR82" s="372" t="e">
        <f t="shared" ca="1" si="42"/>
        <v>#REF!</v>
      </c>
      <c r="AS82" s="372" t="e">
        <f t="shared" ca="1" si="42"/>
        <v>#REF!</v>
      </c>
      <c r="AT82" s="372" t="e">
        <f ca="1">VLOOKUP($AK82&amp;$AO82,所有坦克升星属性,MATCH(AT$3,所有坦克升星属性标头,0),FALSE)+ROUND(AW82/VLOOKUP($AK82,坦克部件!#REF!,4,FALSE)*VLOOKUP($AK82&amp;0,所有坦克升星属性,MATCH(AT$3,所有坦克升星属性标头,0),FALSE),0)</f>
        <v>#REF!</v>
      </c>
      <c r="AU82" s="372" t="e">
        <f ca="1">(VLOOKUP($AM82,坦克部件!#REF!,MATCH("标准值",坦克部件!#REF!,0),FALSE)+VLOOKUP($AN82,坦克部件!#REF!,MATCH("标准值",坦克部件!#REF!,0),FALSE))*2</f>
        <v>#REF!</v>
      </c>
      <c r="AV82" s="372" t="e">
        <f ca="1">(VLOOKUP($AM82,坦克部件!#REF!,MATCH("标准值",坦克部件!#REF!,0),FALSE)+VLOOKUP($AN82,坦克部件!#REF!,MATCH("标准值",坦克部件!#REF!,0),FALSE))*2</f>
        <v>#REF!</v>
      </c>
      <c r="AW82" s="372" t="e">
        <f ca="1">(VLOOKUP($AM82,坦克部件!#REF!,MATCH("标准值",坦克部件!#REF!,0),FALSE)+VLOOKUP($AN82,坦克部件!#REF!,MATCH("标准值",坦克部件!#REF!,0),FALSE))*2</f>
        <v>#REF!</v>
      </c>
      <c r="AX82" s="372" t="e">
        <f ca="1">VLOOKUP($AK82,坦克属性统计!$B$3:$AY$33,MATCH(AX$3,坦克属性统计!$B$3:$AY$3,0),FALSE)</f>
        <v>#REF!</v>
      </c>
      <c r="AY82" s="372" t="e">
        <f t="shared" ca="1" si="43"/>
        <v>#REF!</v>
      </c>
      <c r="AZ82" s="372" t="e">
        <f t="shared" ca="1" si="43"/>
        <v>#REF!</v>
      </c>
      <c r="BA82" s="372" t="e">
        <f t="shared" ca="1" si="43"/>
        <v>#REF!</v>
      </c>
      <c r="BB82" s="356" t="e">
        <f t="shared" ca="1" si="56"/>
        <v>#REF!</v>
      </c>
      <c r="BC82" s="356" t="e">
        <f ca="1">VLOOKUP(AK82,坦克个性化设定!$B$18:$E$48,4,FALSE)</f>
        <v>#REF!</v>
      </c>
      <c r="BD82" s="357" t="e">
        <f t="shared" ca="1" si="63"/>
        <v>#REF!</v>
      </c>
      <c r="BF82" s="357" t="str">
        <f t="shared" ca="1" si="57"/>
        <v/>
      </c>
      <c r="BG82" s="372" t="str">
        <f ca="1">IFERROR(VLOOKUP(BF82,坦克个性化设定!$B$18:$F$48,5,FALSE),"")</f>
        <v/>
      </c>
      <c r="BH82" s="372" t="e">
        <f t="shared" ca="1" si="64"/>
        <v>#REF!</v>
      </c>
      <c r="BI82" s="372" t="e">
        <f t="shared" ca="1" si="65"/>
        <v>#REF!</v>
      </c>
      <c r="BJ82" s="364" t="str">
        <f t="shared" ca="1" si="58"/>
        <v>NULL</v>
      </c>
      <c r="BK82" s="372" t="e">
        <f ca="1">VLOOKUP($BF82&amp;IF($BJ82="NULL",0,$BJ82),所有坦克升星属性,MATCH(BK$3,所有坦克升星属性标头,0),FALSE)+ROUND(BP82/VLOOKUP($BF82,坦克部件!#REF!,4,FALSE)*VLOOKUP($BF82&amp;0,所有坦克升星属性,MATCH(BK$3,所有坦克升星属性标头,0),FALSE),0)</f>
        <v>#N/A</v>
      </c>
      <c r="BL82" s="372" t="e">
        <f ca="1">VLOOKUP($BF82&amp;IF($BJ82="NULL",0,$BJ82),所有坦克升星属性,MATCH(BL$3,所有坦克升星属性标头,0),FALSE)+ROUND(BQ82/VLOOKUP($BF82,坦克部件!#REF!,4,FALSE)*VLOOKUP($BF82&amp;0,所有坦克升星属性,MATCH(BL$3,所有坦克升星属性标头,0),FALSE),0)</f>
        <v>#N/A</v>
      </c>
      <c r="BM82" s="372" t="e">
        <f t="shared" ca="1" si="44"/>
        <v>#N/A</v>
      </c>
      <c r="BN82" s="372" t="e">
        <f t="shared" ca="1" si="44"/>
        <v>#N/A</v>
      </c>
      <c r="BO82" s="372" t="e">
        <f ca="1">VLOOKUP($BF82&amp;IF($BJ82="NULL",0,$BJ82),所有坦克升星属性,MATCH(BO$3,所有坦克升星属性标头,0),FALSE)+ROUND(BR82/VLOOKUP($BF82,坦克部件!#REF!,4,FALSE)*VLOOKUP($BF82&amp;0,所有坦克升星属性,MATCH(BO$3,所有坦克升星属性标头,0),FALSE),0)</f>
        <v>#N/A</v>
      </c>
      <c r="BP82" s="372" t="e">
        <f ca="1">(VLOOKUP($BH82,坦克部件!#REF!,MATCH("标准值",坦克部件!#REF!,0),FALSE)+VLOOKUP($BI82,坦克部件!#REF!,MATCH("标准值",坦克部件!#REF!,0),FALSE))*2</f>
        <v>#REF!</v>
      </c>
      <c r="BQ82" s="372" t="e">
        <f ca="1">(VLOOKUP($BH82,坦克部件!#REF!,MATCH("标准值",坦克部件!#REF!,0),FALSE)+VLOOKUP($BI82,坦克部件!#REF!,MATCH("标准值",坦克部件!#REF!,0),FALSE))*2</f>
        <v>#REF!</v>
      </c>
      <c r="BR82" s="372" t="e">
        <f ca="1">(VLOOKUP($BH82,坦克部件!#REF!,MATCH("标准值",坦克部件!#REF!,0),FALSE)+VLOOKUP($BI82,坦克部件!#REF!,MATCH("标准值",坦克部件!#REF!,0),FALSE))*2</f>
        <v>#REF!</v>
      </c>
      <c r="BS82" s="372" t="e">
        <f ca="1">VLOOKUP($BF82,坦克属性统计!$B$3:$AY$33,MATCH(BS$3,坦克属性统计!$B$3:$AY$3,0),FALSE)</f>
        <v>#N/A</v>
      </c>
      <c r="BT82" s="372" t="e">
        <f t="shared" ca="1" si="45"/>
        <v>#N/A</v>
      </c>
      <c r="BU82" s="372" t="e">
        <f t="shared" ca="1" si="45"/>
        <v>#N/A</v>
      </c>
      <c r="BV82" s="372" t="e">
        <f t="shared" ca="1" si="45"/>
        <v>#N/A</v>
      </c>
      <c r="BW82" s="356">
        <f t="shared" ca="1" si="59"/>
        <v>0</v>
      </c>
      <c r="BX82" s="356" t="e">
        <f ca="1">VLOOKUP(BF82,坦克个性化设定!$B$18:$E$48,4,FALSE)</f>
        <v>#N/A</v>
      </c>
      <c r="BY82" s="357" t="e">
        <f t="shared" ca="1" si="66"/>
        <v>#N/A</v>
      </c>
    </row>
    <row r="83" spans="2:77" x14ac:dyDescent="0.35">
      <c r="B83" s="352">
        <v>34</v>
      </c>
      <c r="C83" s="367">
        <f>游戏时长规划!C145</f>
        <v>30</v>
      </c>
      <c r="D83" s="367">
        <f>游戏时长规划!D145</f>
        <v>730</v>
      </c>
      <c r="E83" s="367">
        <f>游戏时长规划!E145</f>
        <v>8</v>
      </c>
      <c r="F83" s="367">
        <f>游戏时长规划!F145</f>
        <v>16350</v>
      </c>
      <c r="H83" s="360" t="s">
        <v>1105</v>
      </c>
      <c r="I83" s="360" t="str">
        <f t="shared" si="71"/>
        <v>35(t)</v>
      </c>
      <c r="J83" s="360" t="str">
        <f t="shared" si="72"/>
        <v>玛蒂尔达</v>
      </c>
      <c r="K83" s="360" t="str">
        <f t="shared" si="73"/>
        <v>黑豹</v>
      </c>
      <c r="O83" s="365">
        <v>80</v>
      </c>
      <c r="P83" s="360" t="e">
        <f t="shared" ca="1" si="69"/>
        <v>#REF!</v>
      </c>
      <c r="Q83" s="360" t="e">
        <f ca="1">ROUND(MIN((BD83-VLOOKUP(R83,$B$22:$F$46,2,FALSE))/(VLOOKUP(R83,$B$22:$F$46,3,FALSE)-VLOOKUP(R83,$B$22:$F$46,2,FALSE)),1)*((VLOOKUP(R83,$B$22:$F$46,4,FALSE)*(AG83/(AG83+VLOOKUP(P83,$D$49:$F$123,3,TRUE)))+VLOOKUP(R83,$B$22:$F$46,5,FALSE)*(1-AG83/(AG83+VLOOKUP(P83,$D$49:$F$123,3,TRUE))))/2)*游戏时长规划!$C$4,0)</f>
        <v>#REF!</v>
      </c>
      <c r="R83" s="360" t="e">
        <f t="shared" ca="1" si="46"/>
        <v>#REF!</v>
      </c>
      <c r="S83" s="360" t="e">
        <f t="shared" ca="1" si="67"/>
        <v>#REF!</v>
      </c>
      <c r="T83" s="360" t="e">
        <f t="shared" ca="1" si="70"/>
        <v>#REF!</v>
      </c>
      <c r="U83" s="370" t="e">
        <f t="shared" ca="1" si="47"/>
        <v>#REF!</v>
      </c>
      <c r="V83" s="363" t="e">
        <f t="shared" ca="1" si="68"/>
        <v>#REF!</v>
      </c>
      <c r="W83" s="360" t="e">
        <f t="shared" ca="1" si="48"/>
        <v>#REF!</v>
      </c>
      <c r="X83" s="81" t="e">
        <f t="shared" ca="1" si="60"/>
        <v>#REF!</v>
      </c>
      <c r="Y83" s="360" t="str">
        <f t="shared" ca="1" si="49"/>
        <v>NULL</v>
      </c>
      <c r="Z83" s="375" t="e">
        <f t="shared" ca="1" si="61"/>
        <v>#REF!</v>
      </c>
      <c r="AA83" s="360">
        <f ca="1">IFERROR(VLOOKUP(IF(V83="T1低",游戏时长规划!$C$67+Z83,Z83),INDIRECT(V83&amp;"星级"),2,TRUE),0)</f>
        <v>0</v>
      </c>
      <c r="AB83" s="375" t="e">
        <f t="shared" ca="1" si="50"/>
        <v>#REF!</v>
      </c>
      <c r="AC83" s="375">
        <f ca="1">($D$14+$D$17)*$L$4/坦克部件养成!$C$2+AC82-IFERROR(IF(RIGHT(AD82,3)*1&gt;RIGHT(VLOOKUP(AC82,INDIRECT(LEFT(AD81,2)&amp;"部件升阶"),5,TRUE),3)*1,VLOOKUP(AD81,INDIRECT(LEFT(AD81,2)&amp;"部件升阶消耗"),2,FALSE),0),0)</f>
        <v>946.66666666666777</v>
      </c>
      <c r="AD83" s="360" t="e">
        <f t="shared" ca="1" si="51"/>
        <v>#REF!</v>
      </c>
      <c r="AE83" s="375" t="e">
        <f ca="1">$D$15*$L$4/坦克部件养成!$C$2+AE82-IF(LEFT(AD83,2)&lt;&gt;LEFT(AD82,2),VLOOKUP(AF82,INDIRECT(LEFT(AD82,2)&amp;"部件升级消耗"),5,FALSE),0)</f>
        <v>#REF!</v>
      </c>
      <c r="AF83" s="360" t="e">
        <f ca="1">MIN(VLOOKUP(AE83,INDIRECT(LEFT(AD83,2)&amp;"部件升级"),2,TRUE),VLOOKUP(LEFT(AD83,2),坦克部件养成!#REF!,6,FALSE))</f>
        <v>#REF!</v>
      </c>
      <c r="AG83" s="378" t="e">
        <f ca="1">MAX(BD$4:BD83)</f>
        <v>#REF!</v>
      </c>
      <c r="AH83" s="378" t="str">
        <f t="shared" ca="1" si="52"/>
        <v/>
      </c>
      <c r="AI83" s="378">
        <f ca="1">IF(Y83="NULL",0,MAX(BY$4:BY83))</f>
        <v>0</v>
      </c>
      <c r="AK83" s="364" t="e">
        <f t="shared" ca="1" si="53"/>
        <v>#REF!</v>
      </c>
      <c r="AL83" s="364" t="e">
        <f ca="1">VLOOKUP(AK83,坦克个性化设定!$B$18:$F$48,5,FALSE)</f>
        <v>#REF!</v>
      </c>
      <c r="AM83" s="372" t="e">
        <f t="shared" ca="1" si="54"/>
        <v>#REF!</v>
      </c>
      <c r="AN83" s="372" t="e">
        <f t="shared" ca="1" si="62"/>
        <v>#REF!</v>
      </c>
      <c r="AO83" s="364">
        <f t="shared" ca="1" si="55"/>
        <v>0</v>
      </c>
      <c r="AP83" s="372" t="e">
        <f ca="1">VLOOKUP($AK83&amp;$AO83,所有坦克升星属性,MATCH(AP$3,所有坦克升星属性标头,0),FALSE)+ROUND(AU83/VLOOKUP($AK83,坦克部件!#REF!,4,FALSE)*VLOOKUP($AK83&amp;0,所有坦克升星属性,MATCH(AP$3,所有坦克升星属性标头,0),FALSE),0)</f>
        <v>#REF!</v>
      </c>
      <c r="AQ83" s="372" t="e">
        <f ca="1">VLOOKUP($AK83&amp;$AO83,所有坦克升星属性,MATCH(AQ$3,所有坦克升星属性标头,0),FALSE)+ROUND(AV83/VLOOKUP($AK83,坦克部件!#REF!,4,FALSE)*VLOOKUP($AK83&amp;0,所有坦克升星属性,MATCH(AQ$3,所有坦克升星属性标头,0),FALSE),0)</f>
        <v>#REF!</v>
      </c>
      <c r="AR83" s="372" t="e">
        <f t="shared" ca="1" si="42"/>
        <v>#REF!</v>
      </c>
      <c r="AS83" s="372" t="e">
        <f t="shared" ca="1" si="42"/>
        <v>#REF!</v>
      </c>
      <c r="AT83" s="372" t="e">
        <f ca="1">VLOOKUP($AK83&amp;$AO83,所有坦克升星属性,MATCH(AT$3,所有坦克升星属性标头,0),FALSE)+ROUND(AW83/VLOOKUP($AK83,坦克部件!#REF!,4,FALSE)*VLOOKUP($AK83&amp;0,所有坦克升星属性,MATCH(AT$3,所有坦克升星属性标头,0),FALSE),0)</f>
        <v>#REF!</v>
      </c>
      <c r="AU83" s="372" t="e">
        <f ca="1">(VLOOKUP($AM83,坦克部件!#REF!,MATCH("标准值",坦克部件!#REF!,0),FALSE)+VLOOKUP($AN83,坦克部件!#REF!,MATCH("标准值",坦克部件!#REF!,0),FALSE))*2</f>
        <v>#REF!</v>
      </c>
      <c r="AV83" s="372" t="e">
        <f ca="1">(VLOOKUP($AM83,坦克部件!#REF!,MATCH("标准值",坦克部件!#REF!,0),FALSE)+VLOOKUP($AN83,坦克部件!#REF!,MATCH("标准值",坦克部件!#REF!,0),FALSE))*2</f>
        <v>#REF!</v>
      </c>
      <c r="AW83" s="372" t="e">
        <f ca="1">(VLOOKUP($AM83,坦克部件!#REF!,MATCH("标准值",坦克部件!#REF!,0),FALSE)+VLOOKUP($AN83,坦克部件!#REF!,MATCH("标准值",坦克部件!#REF!,0),FALSE))*2</f>
        <v>#REF!</v>
      </c>
      <c r="AX83" s="372" t="e">
        <f ca="1">VLOOKUP($AK83,坦克属性统计!$B$3:$AY$33,MATCH(AX$3,坦克属性统计!$B$3:$AY$3,0),FALSE)</f>
        <v>#REF!</v>
      </c>
      <c r="AY83" s="372" t="e">
        <f t="shared" ca="1" si="43"/>
        <v>#REF!</v>
      </c>
      <c r="AZ83" s="372" t="e">
        <f t="shared" ca="1" si="43"/>
        <v>#REF!</v>
      </c>
      <c r="BA83" s="372" t="e">
        <f t="shared" ca="1" si="43"/>
        <v>#REF!</v>
      </c>
      <c r="BB83" s="356" t="e">
        <f t="shared" ca="1" si="56"/>
        <v>#REF!</v>
      </c>
      <c r="BC83" s="356" t="e">
        <f ca="1">VLOOKUP(AK83,坦克个性化设定!$B$18:$E$48,4,FALSE)</f>
        <v>#REF!</v>
      </c>
      <c r="BD83" s="357" t="e">
        <f t="shared" ca="1" si="63"/>
        <v>#REF!</v>
      </c>
      <c r="BF83" s="357" t="str">
        <f t="shared" ca="1" si="57"/>
        <v/>
      </c>
      <c r="BG83" s="372" t="str">
        <f ca="1">IFERROR(VLOOKUP(BF83,坦克个性化设定!$B$18:$F$48,5,FALSE),"")</f>
        <v/>
      </c>
      <c r="BH83" s="372" t="e">
        <f t="shared" ca="1" si="64"/>
        <v>#REF!</v>
      </c>
      <c r="BI83" s="372" t="e">
        <f t="shared" ca="1" si="65"/>
        <v>#REF!</v>
      </c>
      <c r="BJ83" s="364" t="str">
        <f t="shared" ca="1" si="58"/>
        <v>NULL</v>
      </c>
      <c r="BK83" s="372" t="e">
        <f ca="1">VLOOKUP($BF83&amp;IF($BJ83="NULL",0,$BJ83),所有坦克升星属性,MATCH(BK$3,所有坦克升星属性标头,0),FALSE)+ROUND(BP83/VLOOKUP($BF83,坦克部件!#REF!,4,FALSE)*VLOOKUP($BF83&amp;0,所有坦克升星属性,MATCH(BK$3,所有坦克升星属性标头,0),FALSE),0)</f>
        <v>#N/A</v>
      </c>
      <c r="BL83" s="372" t="e">
        <f ca="1">VLOOKUP($BF83&amp;IF($BJ83="NULL",0,$BJ83),所有坦克升星属性,MATCH(BL$3,所有坦克升星属性标头,0),FALSE)+ROUND(BQ83/VLOOKUP($BF83,坦克部件!#REF!,4,FALSE)*VLOOKUP($BF83&amp;0,所有坦克升星属性,MATCH(BL$3,所有坦克升星属性标头,0),FALSE),0)</f>
        <v>#N/A</v>
      </c>
      <c r="BM83" s="372" t="e">
        <f t="shared" ca="1" si="44"/>
        <v>#N/A</v>
      </c>
      <c r="BN83" s="372" t="e">
        <f t="shared" ca="1" si="44"/>
        <v>#N/A</v>
      </c>
      <c r="BO83" s="372" t="e">
        <f ca="1">VLOOKUP($BF83&amp;IF($BJ83="NULL",0,$BJ83),所有坦克升星属性,MATCH(BO$3,所有坦克升星属性标头,0),FALSE)+ROUND(BR83/VLOOKUP($BF83,坦克部件!#REF!,4,FALSE)*VLOOKUP($BF83&amp;0,所有坦克升星属性,MATCH(BO$3,所有坦克升星属性标头,0),FALSE),0)</f>
        <v>#N/A</v>
      </c>
      <c r="BP83" s="372" t="e">
        <f ca="1">(VLOOKUP($BH83,坦克部件!#REF!,MATCH("标准值",坦克部件!#REF!,0),FALSE)+VLOOKUP($BI83,坦克部件!#REF!,MATCH("标准值",坦克部件!#REF!,0),FALSE))*2</f>
        <v>#REF!</v>
      </c>
      <c r="BQ83" s="372" t="e">
        <f ca="1">(VLOOKUP($BH83,坦克部件!#REF!,MATCH("标准值",坦克部件!#REF!,0),FALSE)+VLOOKUP($BI83,坦克部件!#REF!,MATCH("标准值",坦克部件!#REF!,0),FALSE))*2</f>
        <v>#REF!</v>
      </c>
      <c r="BR83" s="372" t="e">
        <f ca="1">(VLOOKUP($BH83,坦克部件!#REF!,MATCH("标准值",坦克部件!#REF!,0),FALSE)+VLOOKUP($BI83,坦克部件!#REF!,MATCH("标准值",坦克部件!#REF!,0),FALSE))*2</f>
        <v>#REF!</v>
      </c>
      <c r="BS83" s="372" t="e">
        <f ca="1">VLOOKUP($BF83,坦克属性统计!$B$3:$AY$33,MATCH(BS$3,坦克属性统计!$B$3:$AY$3,0),FALSE)</f>
        <v>#N/A</v>
      </c>
      <c r="BT83" s="372" t="e">
        <f t="shared" ca="1" si="45"/>
        <v>#N/A</v>
      </c>
      <c r="BU83" s="372" t="e">
        <f t="shared" ca="1" si="45"/>
        <v>#N/A</v>
      </c>
      <c r="BV83" s="372" t="e">
        <f t="shared" ca="1" si="45"/>
        <v>#N/A</v>
      </c>
      <c r="BW83" s="356">
        <f t="shared" ca="1" si="59"/>
        <v>0</v>
      </c>
      <c r="BX83" s="356" t="e">
        <f ca="1">VLOOKUP(BF83,坦克个性化设定!$B$18:$E$48,4,FALSE)</f>
        <v>#N/A</v>
      </c>
      <c r="BY83" s="357" t="e">
        <f t="shared" ca="1" si="66"/>
        <v>#N/A</v>
      </c>
    </row>
    <row r="84" spans="2:77" x14ac:dyDescent="0.35">
      <c r="B84" s="352">
        <v>35</v>
      </c>
      <c r="C84" s="367">
        <f>游戏时长规划!C146</f>
        <v>30</v>
      </c>
      <c r="D84" s="367">
        <f>游戏时长规划!D146</f>
        <v>760</v>
      </c>
      <c r="E84" s="367">
        <f>游戏时长规划!E146</f>
        <v>8</v>
      </c>
      <c r="F84" s="367">
        <f>游戏时长规划!F146</f>
        <v>17200</v>
      </c>
      <c r="H84" s="360" t="s">
        <v>1106</v>
      </c>
      <c r="I84" s="360" t="str">
        <f t="shared" si="71"/>
        <v>十字军</v>
      </c>
      <c r="J84" s="360" t="str">
        <f t="shared" si="72"/>
        <v>谢尔曼</v>
      </c>
      <c r="K84" s="360" t="str">
        <f t="shared" si="73"/>
        <v>虎式</v>
      </c>
      <c r="O84" s="365">
        <v>81</v>
      </c>
      <c r="P84" s="360" t="e">
        <f t="shared" ca="1" si="69"/>
        <v>#REF!</v>
      </c>
      <c r="Q84" s="360" t="e">
        <f ca="1">ROUND(MIN((BD84-VLOOKUP(R84,$B$22:$F$46,2,FALSE))/(VLOOKUP(R84,$B$22:$F$46,3,FALSE)-VLOOKUP(R84,$B$22:$F$46,2,FALSE)),1)*((VLOOKUP(R84,$B$22:$F$46,4,FALSE)*(AG84/(AG84+VLOOKUP(P84,$D$49:$F$123,3,TRUE)))+VLOOKUP(R84,$B$22:$F$46,5,FALSE)*(1-AG84/(AG84+VLOOKUP(P84,$D$49:$F$123,3,TRUE))))/2)*游戏时长规划!$C$4,0)</f>
        <v>#REF!</v>
      </c>
      <c r="R84" s="360" t="e">
        <f t="shared" ca="1" si="46"/>
        <v>#REF!</v>
      </c>
      <c r="S84" s="360" t="e">
        <f t="shared" ca="1" si="67"/>
        <v>#REF!</v>
      </c>
      <c r="T84" s="360" t="e">
        <f t="shared" ca="1" si="70"/>
        <v>#REF!</v>
      </c>
      <c r="U84" s="370" t="e">
        <f t="shared" ca="1" si="47"/>
        <v>#REF!</v>
      </c>
      <c r="V84" s="363" t="e">
        <f t="shared" ca="1" si="68"/>
        <v>#REF!</v>
      </c>
      <c r="W84" s="360" t="e">
        <f t="shared" ca="1" si="48"/>
        <v>#REF!</v>
      </c>
      <c r="X84" s="81" t="e">
        <f t="shared" ca="1" si="60"/>
        <v>#REF!</v>
      </c>
      <c r="Y84" s="360" t="str">
        <f t="shared" ca="1" si="49"/>
        <v>NULL</v>
      </c>
      <c r="Z84" s="375" t="e">
        <f t="shared" ca="1" si="61"/>
        <v>#REF!</v>
      </c>
      <c r="AA84" s="360">
        <f ca="1">IFERROR(VLOOKUP(IF(V84="T1低",游戏时长规划!$C$67+Z84,Z84),INDIRECT(V84&amp;"星级"),2,TRUE),0)</f>
        <v>0</v>
      </c>
      <c r="AB84" s="375" t="e">
        <f t="shared" ca="1" si="50"/>
        <v>#REF!</v>
      </c>
      <c r="AC84" s="375">
        <f ca="1">($D$14+$D$17)*$L$4/坦克部件养成!$C$2+AC83-IFERROR(IF(RIGHT(AD83,3)*1&gt;RIGHT(VLOOKUP(AC83,INDIRECT(LEFT(AD82,2)&amp;"部件升阶"),5,TRUE),3)*1,VLOOKUP(AD82,INDIRECT(LEFT(AD82,2)&amp;"部件升阶消耗"),2,FALSE),0),0)</f>
        <v>958.50000000000114</v>
      </c>
      <c r="AD84" s="360" t="e">
        <f t="shared" ca="1" si="51"/>
        <v>#REF!</v>
      </c>
      <c r="AE84" s="375" t="e">
        <f ca="1">$D$15*$L$4/坦克部件养成!$C$2+AE83-IF(LEFT(AD84,2)&lt;&gt;LEFT(AD83,2),VLOOKUP(AF83,INDIRECT(LEFT(AD83,2)&amp;"部件升级消耗"),5,FALSE),0)</f>
        <v>#REF!</v>
      </c>
      <c r="AF84" s="360" t="e">
        <f ca="1">MIN(VLOOKUP(AE84,INDIRECT(LEFT(AD84,2)&amp;"部件升级"),2,TRUE),VLOOKUP(LEFT(AD84,2),坦克部件养成!#REF!,6,FALSE))</f>
        <v>#REF!</v>
      </c>
      <c r="AG84" s="378" t="e">
        <f ca="1">MAX(BD$4:BD84)</f>
        <v>#REF!</v>
      </c>
      <c r="AH84" s="378" t="str">
        <f t="shared" ca="1" si="52"/>
        <v/>
      </c>
      <c r="AI84" s="378">
        <f ca="1">IF(Y84="NULL",0,MAX(BY$4:BY84))</f>
        <v>0</v>
      </c>
      <c r="AK84" s="364" t="e">
        <f t="shared" ca="1" si="53"/>
        <v>#REF!</v>
      </c>
      <c r="AL84" s="364" t="e">
        <f ca="1">VLOOKUP(AK84,坦克个性化设定!$B$18:$F$48,5,FALSE)</f>
        <v>#REF!</v>
      </c>
      <c r="AM84" s="372" t="e">
        <f t="shared" ca="1" si="54"/>
        <v>#REF!</v>
      </c>
      <c r="AN84" s="372" t="e">
        <f t="shared" ca="1" si="62"/>
        <v>#REF!</v>
      </c>
      <c r="AO84" s="364">
        <f t="shared" ca="1" si="55"/>
        <v>0</v>
      </c>
      <c r="AP84" s="372" t="e">
        <f ca="1">VLOOKUP($AK84&amp;$AO84,所有坦克升星属性,MATCH(AP$3,所有坦克升星属性标头,0),FALSE)+ROUND(AU84/VLOOKUP($AK84,坦克部件!#REF!,4,FALSE)*VLOOKUP($AK84&amp;0,所有坦克升星属性,MATCH(AP$3,所有坦克升星属性标头,0),FALSE),0)</f>
        <v>#REF!</v>
      </c>
      <c r="AQ84" s="372" t="e">
        <f ca="1">VLOOKUP($AK84&amp;$AO84,所有坦克升星属性,MATCH(AQ$3,所有坦克升星属性标头,0),FALSE)+ROUND(AV84/VLOOKUP($AK84,坦克部件!#REF!,4,FALSE)*VLOOKUP($AK84&amp;0,所有坦克升星属性,MATCH(AQ$3,所有坦克升星属性标头,0),FALSE),0)</f>
        <v>#REF!</v>
      </c>
      <c r="AR84" s="372" t="e">
        <f t="shared" ref="AR84:AS103" ca="1" si="74">VLOOKUP($AK84&amp;$AO84,所有坦克升星属性,MATCH(AR$3,所有坦克升星属性标头,0),FALSE)</f>
        <v>#REF!</v>
      </c>
      <c r="AS84" s="372" t="e">
        <f t="shared" ca="1" si="74"/>
        <v>#REF!</v>
      </c>
      <c r="AT84" s="372" t="e">
        <f ca="1">VLOOKUP($AK84&amp;$AO84,所有坦克升星属性,MATCH(AT$3,所有坦克升星属性标头,0),FALSE)+ROUND(AW84/VLOOKUP($AK84,坦克部件!#REF!,4,FALSE)*VLOOKUP($AK84&amp;0,所有坦克升星属性,MATCH(AT$3,所有坦克升星属性标头,0),FALSE),0)</f>
        <v>#REF!</v>
      </c>
      <c r="AU84" s="372" t="e">
        <f ca="1">(VLOOKUP($AM84,坦克部件!#REF!,MATCH("标准值",坦克部件!#REF!,0),FALSE)+VLOOKUP($AN84,坦克部件!#REF!,MATCH("标准值",坦克部件!#REF!,0),FALSE))*2</f>
        <v>#REF!</v>
      </c>
      <c r="AV84" s="372" t="e">
        <f ca="1">(VLOOKUP($AM84,坦克部件!#REF!,MATCH("标准值",坦克部件!#REF!,0),FALSE)+VLOOKUP($AN84,坦克部件!#REF!,MATCH("标准值",坦克部件!#REF!,0),FALSE))*2</f>
        <v>#REF!</v>
      </c>
      <c r="AW84" s="372" t="e">
        <f ca="1">(VLOOKUP($AM84,坦克部件!#REF!,MATCH("标准值",坦克部件!#REF!,0),FALSE)+VLOOKUP($AN84,坦克部件!#REF!,MATCH("标准值",坦克部件!#REF!,0),FALSE))*2</f>
        <v>#REF!</v>
      </c>
      <c r="AX84" s="372" t="e">
        <f ca="1">VLOOKUP($AK84,坦克属性统计!$B$3:$AY$33,MATCH(AX$3,坦克属性统计!$B$3:$AY$3,0),FALSE)</f>
        <v>#REF!</v>
      </c>
      <c r="AY84" s="372" t="e">
        <f t="shared" ref="AY84:BA103" ca="1" si="75">VLOOKUP($AK84&amp;$AO84,所有坦克升星属性,MATCH(AY$3,所有坦克升星属性标头,0),FALSE)</f>
        <v>#REF!</v>
      </c>
      <c r="AZ84" s="372" t="e">
        <f t="shared" ca="1" si="75"/>
        <v>#REF!</v>
      </c>
      <c r="BA84" s="372" t="e">
        <f t="shared" ca="1" si="75"/>
        <v>#REF!</v>
      </c>
      <c r="BB84" s="356" t="e">
        <f t="shared" ca="1" si="56"/>
        <v>#REF!</v>
      </c>
      <c r="BC84" s="356" t="e">
        <f ca="1">VLOOKUP(AK84,坦克个性化设定!$B$18:$E$48,4,FALSE)</f>
        <v>#REF!</v>
      </c>
      <c r="BD84" s="357" t="e">
        <f t="shared" ca="1" si="63"/>
        <v>#REF!</v>
      </c>
      <c r="BF84" s="357" t="str">
        <f t="shared" ca="1" si="57"/>
        <v/>
      </c>
      <c r="BG84" s="372" t="str">
        <f ca="1">IFERROR(VLOOKUP(BF84,坦克个性化设定!$B$18:$F$48,5,FALSE),"")</f>
        <v/>
      </c>
      <c r="BH84" s="372" t="e">
        <f t="shared" ca="1" si="64"/>
        <v>#REF!</v>
      </c>
      <c r="BI84" s="372" t="e">
        <f t="shared" ca="1" si="65"/>
        <v>#REF!</v>
      </c>
      <c r="BJ84" s="364" t="str">
        <f t="shared" ca="1" si="58"/>
        <v>NULL</v>
      </c>
      <c r="BK84" s="372" t="e">
        <f ca="1">VLOOKUP($BF84&amp;IF($BJ84="NULL",0,$BJ84),所有坦克升星属性,MATCH(BK$3,所有坦克升星属性标头,0),FALSE)+ROUND(BP84/VLOOKUP($BF84,坦克部件!#REF!,4,FALSE)*VLOOKUP($BF84&amp;0,所有坦克升星属性,MATCH(BK$3,所有坦克升星属性标头,0),FALSE),0)</f>
        <v>#N/A</v>
      </c>
      <c r="BL84" s="372" t="e">
        <f ca="1">VLOOKUP($BF84&amp;IF($BJ84="NULL",0,$BJ84),所有坦克升星属性,MATCH(BL$3,所有坦克升星属性标头,0),FALSE)+ROUND(BQ84/VLOOKUP($BF84,坦克部件!#REF!,4,FALSE)*VLOOKUP($BF84&amp;0,所有坦克升星属性,MATCH(BL$3,所有坦克升星属性标头,0),FALSE),0)</f>
        <v>#N/A</v>
      </c>
      <c r="BM84" s="372" t="e">
        <f t="shared" ref="BM84:BN103" ca="1" si="76">VLOOKUP($BF84&amp;IF($BJ84="NULL",0,$BJ84),所有坦克升星属性,MATCH(BM$3,所有坦克升星属性标头,0),FALSE)</f>
        <v>#N/A</v>
      </c>
      <c r="BN84" s="372" t="e">
        <f t="shared" ca="1" si="76"/>
        <v>#N/A</v>
      </c>
      <c r="BO84" s="372" t="e">
        <f ca="1">VLOOKUP($BF84&amp;IF($BJ84="NULL",0,$BJ84),所有坦克升星属性,MATCH(BO$3,所有坦克升星属性标头,0),FALSE)+ROUND(BR84/VLOOKUP($BF84,坦克部件!#REF!,4,FALSE)*VLOOKUP($BF84&amp;0,所有坦克升星属性,MATCH(BO$3,所有坦克升星属性标头,0),FALSE),0)</f>
        <v>#N/A</v>
      </c>
      <c r="BP84" s="372" t="e">
        <f ca="1">(VLOOKUP($BH84,坦克部件!#REF!,MATCH("标准值",坦克部件!#REF!,0),FALSE)+VLOOKUP($BI84,坦克部件!#REF!,MATCH("标准值",坦克部件!#REF!,0),FALSE))*2</f>
        <v>#REF!</v>
      </c>
      <c r="BQ84" s="372" t="e">
        <f ca="1">(VLOOKUP($BH84,坦克部件!#REF!,MATCH("标准值",坦克部件!#REF!,0),FALSE)+VLOOKUP($BI84,坦克部件!#REF!,MATCH("标准值",坦克部件!#REF!,0),FALSE))*2</f>
        <v>#REF!</v>
      </c>
      <c r="BR84" s="372" t="e">
        <f ca="1">(VLOOKUP($BH84,坦克部件!#REF!,MATCH("标准值",坦克部件!#REF!,0),FALSE)+VLOOKUP($BI84,坦克部件!#REF!,MATCH("标准值",坦克部件!#REF!,0),FALSE))*2</f>
        <v>#REF!</v>
      </c>
      <c r="BS84" s="372" t="e">
        <f ca="1">VLOOKUP($BF84,坦克属性统计!$B$3:$AY$33,MATCH(BS$3,坦克属性统计!$B$3:$AY$3,0),FALSE)</f>
        <v>#N/A</v>
      </c>
      <c r="BT84" s="372" t="e">
        <f t="shared" ref="BT84:BV103" ca="1" si="77">VLOOKUP($BF84&amp;IF($BJ84="NULL",0,$BJ84),所有坦克升星属性,MATCH(BT$3,所有坦克升星属性标头,0),FALSE)</f>
        <v>#N/A</v>
      </c>
      <c r="BU84" s="372" t="e">
        <f t="shared" ca="1" si="77"/>
        <v>#N/A</v>
      </c>
      <c r="BV84" s="372" t="e">
        <f t="shared" ca="1" si="77"/>
        <v>#N/A</v>
      </c>
      <c r="BW84" s="356">
        <f t="shared" ca="1" si="59"/>
        <v>0</v>
      </c>
      <c r="BX84" s="356" t="e">
        <f ca="1">VLOOKUP(BF84,坦克个性化设定!$B$18:$E$48,4,FALSE)</f>
        <v>#N/A</v>
      </c>
      <c r="BY84" s="357" t="e">
        <f t="shared" ca="1" si="66"/>
        <v>#N/A</v>
      </c>
    </row>
    <row r="85" spans="2:77" x14ac:dyDescent="0.35">
      <c r="B85" s="352">
        <v>36</v>
      </c>
      <c r="C85" s="367">
        <f>游戏时长规划!C147</f>
        <v>30</v>
      </c>
      <c r="D85" s="367">
        <f>游戏时长规划!D147</f>
        <v>790</v>
      </c>
      <c r="E85" s="367">
        <f>游戏时长规划!E147</f>
        <v>8</v>
      </c>
      <c r="F85" s="367">
        <f>游戏时长规划!F147</f>
        <v>18000</v>
      </c>
      <c r="H85" s="360" t="s">
        <v>1107</v>
      </c>
      <c r="I85" s="360" t="str">
        <f t="shared" si="71"/>
        <v>AMX-13</v>
      </c>
      <c r="J85" s="360" t="str">
        <f t="shared" si="72"/>
        <v>彗星</v>
      </c>
      <c r="K85" s="360" t="str">
        <f t="shared" si="73"/>
        <v>KV-2</v>
      </c>
      <c r="O85" s="365">
        <v>82</v>
      </c>
      <c r="P85" s="360" t="e">
        <f t="shared" ca="1" si="69"/>
        <v>#REF!</v>
      </c>
      <c r="Q85" s="360" t="e">
        <f ca="1">ROUND(MIN((BD85-VLOOKUP(R85,$B$22:$F$46,2,FALSE))/(VLOOKUP(R85,$B$22:$F$46,3,FALSE)-VLOOKUP(R85,$B$22:$F$46,2,FALSE)),1)*((VLOOKUP(R85,$B$22:$F$46,4,FALSE)*(AG85/(AG85+VLOOKUP(P85,$D$49:$F$123,3,TRUE)))+VLOOKUP(R85,$B$22:$F$46,5,FALSE)*(1-AG85/(AG85+VLOOKUP(P85,$D$49:$F$123,3,TRUE))))/2)*游戏时长规划!$C$4,0)</f>
        <v>#REF!</v>
      </c>
      <c r="R85" s="360" t="e">
        <f t="shared" ca="1" si="46"/>
        <v>#REF!</v>
      </c>
      <c r="S85" s="360" t="e">
        <f t="shared" ca="1" si="67"/>
        <v>#REF!</v>
      </c>
      <c r="T85" s="360" t="e">
        <f t="shared" ca="1" si="70"/>
        <v>#REF!</v>
      </c>
      <c r="U85" s="370" t="e">
        <f t="shared" ca="1" si="47"/>
        <v>#REF!</v>
      </c>
      <c r="V85" s="363" t="e">
        <f t="shared" ca="1" si="68"/>
        <v>#REF!</v>
      </c>
      <c r="W85" s="360" t="e">
        <f t="shared" ca="1" si="48"/>
        <v>#REF!</v>
      </c>
      <c r="X85" s="81" t="e">
        <f t="shared" ca="1" si="60"/>
        <v>#REF!</v>
      </c>
      <c r="Y85" s="360" t="str">
        <f t="shared" ca="1" si="49"/>
        <v>NULL</v>
      </c>
      <c r="Z85" s="375" t="e">
        <f t="shared" ca="1" si="61"/>
        <v>#REF!</v>
      </c>
      <c r="AA85" s="360">
        <f ca="1">IFERROR(VLOOKUP(IF(V85="T1低",游戏时长规划!$C$67+Z85,Z85),INDIRECT(V85&amp;"星级"),2,TRUE),0)</f>
        <v>0</v>
      </c>
      <c r="AB85" s="375" t="e">
        <f t="shared" ca="1" si="50"/>
        <v>#REF!</v>
      </c>
      <c r="AC85" s="375">
        <f ca="1">($D$14+$D$17)*$L$4/坦克部件养成!$C$2+AC84-IFERROR(IF(RIGHT(AD84,3)*1&gt;RIGHT(VLOOKUP(AC84,INDIRECT(LEFT(AD83,2)&amp;"部件升阶"),5,TRUE),3)*1,VLOOKUP(AD83,INDIRECT(LEFT(AD83,2)&amp;"部件升阶消耗"),2,FALSE),0),0)</f>
        <v>970.33333333333451</v>
      </c>
      <c r="AD85" s="360" t="e">
        <f t="shared" ca="1" si="51"/>
        <v>#REF!</v>
      </c>
      <c r="AE85" s="375" t="e">
        <f ca="1">$D$15*$L$4/坦克部件养成!$C$2+AE84-IF(LEFT(AD85,2)&lt;&gt;LEFT(AD84,2),VLOOKUP(AF84,INDIRECT(LEFT(AD84,2)&amp;"部件升级消耗"),5,FALSE),0)</f>
        <v>#REF!</v>
      </c>
      <c r="AF85" s="360" t="e">
        <f ca="1">MIN(VLOOKUP(AE85,INDIRECT(LEFT(AD85,2)&amp;"部件升级"),2,TRUE),VLOOKUP(LEFT(AD85,2),坦克部件养成!#REF!,6,FALSE))</f>
        <v>#REF!</v>
      </c>
      <c r="AG85" s="378" t="e">
        <f ca="1">MAX(BD$4:BD85)</f>
        <v>#REF!</v>
      </c>
      <c r="AH85" s="378" t="str">
        <f t="shared" ca="1" si="52"/>
        <v/>
      </c>
      <c r="AI85" s="378">
        <f ca="1">IF(Y85="NULL",0,MAX(BY$4:BY85))</f>
        <v>0</v>
      </c>
      <c r="AK85" s="364" t="e">
        <f t="shared" ca="1" si="53"/>
        <v>#REF!</v>
      </c>
      <c r="AL85" s="364" t="e">
        <f ca="1">VLOOKUP(AK85,坦克个性化设定!$B$18:$F$48,5,FALSE)</f>
        <v>#REF!</v>
      </c>
      <c r="AM85" s="372" t="e">
        <f t="shared" ca="1" si="54"/>
        <v>#REF!</v>
      </c>
      <c r="AN85" s="372" t="e">
        <f t="shared" ca="1" si="62"/>
        <v>#REF!</v>
      </c>
      <c r="AO85" s="364">
        <f t="shared" ca="1" si="55"/>
        <v>0</v>
      </c>
      <c r="AP85" s="372" t="e">
        <f ca="1">VLOOKUP($AK85&amp;$AO85,所有坦克升星属性,MATCH(AP$3,所有坦克升星属性标头,0),FALSE)+ROUND(AU85/VLOOKUP($AK85,坦克部件!#REF!,4,FALSE)*VLOOKUP($AK85&amp;0,所有坦克升星属性,MATCH(AP$3,所有坦克升星属性标头,0),FALSE),0)</f>
        <v>#REF!</v>
      </c>
      <c r="AQ85" s="372" t="e">
        <f ca="1">VLOOKUP($AK85&amp;$AO85,所有坦克升星属性,MATCH(AQ$3,所有坦克升星属性标头,0),FALSE)+ROUND(AV85/VLOOKUP($AK85,坦克部件!#REF!,4,FALSE)*VLOOKUP($AK85&amp;0,所有坦克升星属性,MATCH(AQ$3,所有坦克升星属性标头,0),FALSE),0)</f>
        <v>#REF!</v>
      </c>
      <c r="AR85" s="372" t="e">
        <f t="shared" ca="1" si="74"/>
        <v>#REF!</v>
      </c>
      <c r="AS85" s="372" t="e">
        <f t="shared" ca="1" si="74"/>
        <v>#REF!</v>
      </c>
      <c r="AT85" s="372" t="e">
        <f ca="1">VLOOKUP($AK85&amp;$AO85,所有坦克升星属性,MATCH(AT$3,所有坦克升星属性标头,0),FALSE)+ROUND(AW85/VLOOKUP($AK85,坦克部件!#REF!,4,FALSE)*VLOOKUP($AK85&amp;0,所有坦克升星属性,MATCH(AT$3,所有坦克升星属性标头,0),FALSE),0)</f>
        <v>#REF!</v>
      </c>
      <c r="AU85" s="372" t="e">
        <f ca="1">(VLOOKUP($AM85,坦克部件!#REF!,MATCH("标准值",坦克部件!#REF!,0),FALSE)+VLOOKUP($AN85,坦克部件!#REF!,MATCH("标准值",坦克部件!#REF!,0),FALSE))*2</f>
        <v>#REF!</v>
      </c>
      <c r="AV85" s="372" t="e">
        <f ca="1">(VLOOKUP($AM85,坦克部件!#REF!,MATCH("标准值",坦克部件!#REF!,0),FALSE)+VLOOKUP($AN85,坦克部件!#REF!,MATCH("标准值",坦克部件!#REF!,0),FALSE))*2</f>
        <v>#REF!</v>
      </c>
      <c r="AW85" s="372" t="e">
        <f ca="1">(VLOOKUP($AM85,坦克部件!#REF!,MATCH("标准值",坦克部件!#REF!,0),FALSE)+VLOOKUP($AN85,坦克部件!#REF!,MATCH("标准值",坦克部件!#REF!,0),FALSE))*2</f>
        <v>#REF!</v>
      </c>
      <c r="AX85" s="372" t="e">
        <f ca="1">VLOOKUP($AK85,坦克属性统计!$B$3:$AY$33,MATCH(AX$3,坦克属性统计!$B$3:$AY$3,0),FALSE)</f>
        <v>#REF!</v>
      </c>
      <c r="AY85" s="372" t="e">
        <f t="shared" ca="1" si="75"/>
        <v>#REF!</v>
      </c>
      <c r="AZ85" s="372" t="e">
        <f t="shared" ca="1" si="75"/>
        <v>#REF!</v>
      </c>
      <c r="BA85" s="372" t="e">
        <f t="shared" ca="1" si="75"/>
        <v>#REF!</v>
      </c>
      <c r="BB85" s="356" t="e">
        <f t="shared" ca="1" si="56"/>
        <v>#REF!</v>
      </c>
      <c r="BC85" s="356" t="e">
        <f ca="1">VLOOKUP(AK85,坦克个性化设定!$B$18:$E$48,4,FALSE)</f>
        <v>#REF!</v>
      </c>
      <c r="BD85" s="357" t="e">
        <f t="shared" ca="1" si="63"/>
        <v>#REF!</v>
      </c>
      <c r="BF85" s="357" t="str">
        <f t="shared" ca="1" si="57"/>
        <v/>
      </c>
      <c r="BG85" s="372" t="str">
        <f ca="1">IFERROR(VLOOKUP(BF85,坦克个性化设定!$B$18:$F$48,5,FALSE),"")</f>
        <v/>
      </c>
      <c r="BH85" s="372" t="e">
        <f t="shared" ca="1" si="64"/>
        <v>#REF!</v>
      </c>
      <c r="BI85" s="372" t="e">
        <f t="shared" ca="1" si="65"/>
        <v>#REF!</v>
      </c>
      <c r="BJ85" s="364" t="str">
        <f t="shared" ca="1" si="58"/>
        <v>NULL</v>
      </c>
      <c r="BK85" s="372" t="e">
        <f ca="1">VLOOKUP($BF85&amp;IF($BJ85="NULL",0,$BJ85),所有坦克升星属性,MATCH(BK$3,所有坦克升星属性标头,0),FALSE)+ROUND(BP85/VLOOKUP($BF85,坦克部件!#REF!,4,FALSE)*VLOOKUP($BF85&amp;0,所有坦克升星属性,MATCH(BK$3,所有坦克升星属性标头,0),FALSE),0)</f>
        <v>#N/A</v>
      </c>
      <c r="BL85" s="372" t="e">
        <f ca="1">VLOOKUP($BF85&amp;IF($BJ85="NULL",0,$BJ85),所有坦克升星属性,MATCH(BL$3,所有坦克升星属性标头,0),FALSE)+ROUND(BQ85/VLOOKUP($BF85,坦克部件!#REF!,4,FALSE)*VLOOKUP($BF85&amp;0,所有坦克升星属性,MATCH(BL$3,所有坦克升星属性标头,0),FALSE),0)</f>
        <v>#N/A</v>
      </c>
      <c r="BM85" s="372" t="e">
        <f t="shared" ca="1" si="76"/>
        <v>#N/A</v>
      </c>
      <c r="BN85" s="372" t="e">
        <f t="shared" ca="1" si="76"/>
        <v>#N/A</v>
      </c>
      <c r="BO85" s="372" t="e">
        <f ca="1">VLOOKUP($BF85&amp;IF($BJ85="NULL",0,$BJ85),所有坦克升星属性,MATCH(BO$3,所有坦克升星属性标头,0),FALSE)+ROUND(BR85/VLOOKUP($BF85,坦克部件!#REF!,4,FALSE)*VLOOKUP($BF85&amp;0,所有坦克升星属性,MATCH(BO$3,所有坦克升星属性标头,0),FALSE),0)</f>
        <v>#N/A</v>
      </c>
      <c r="BP85" s="372" t="e">
        <f ca="1">(VLOOKUP($BH85,坦克部件!#REF!,MATCH("标准值",坦克部件!#REF!,0),FALSE)+VLOOKUP($BI85,坦克部件!#REF!,MATCH("标准值",坦克部件!#REF!,0),FALSE))*2</f>
        <v>#REF!</v>
      </c>
      <c r="BQ85" s="372" t="e">
        <f ca="1">(VLOOKUP($BH85,坦克部件!#REF!,MATCH("标准值",坦克部件!#REF!,0),FALSE)+VLOOKUP($BI85,坦克部件!#REF!,MATCH("标准值",坦克部件!#REF!,0),FALSE))*2</f>
        <v>#REF!</v>
      </c>
      <c r="BR85" s="372" t="e">
        <f ca="1">(VLOOKUP($BH85,坦克部件!#REF!,MATCH("标准值",坦克部件!#REF!,0),FALSE)+VLOOKUP($BI85,坦克部件!#REF!,MATCH("标准值",坦克部件!#REF!,0),FALSE))*2</f>
        <v>#REF!</v>
      </c>
      <c r="BS85" s="372" t="e">
        <f ca="1">VLOOKUP($BF85,坦克属性统计!$B$3:$AY$33,MATCH(BS$3,坦克属性统计!$B$3:$AY$3,0),FALSE)</f>
        <v>#N/A</v>
      </c>
      <c r="BT85" s="372" t="e">
        <f t="shared" ca="1" si="77"/>
        <v>#N/A</v>
      </c>
      <c r="BU85" s="372" t="e">
        <f t="shared" ca="1" si="77"/>
        <v>#N/A</v>
      </c>
      <c r="BV85" s="372" t="e">
        <f t="shared" ca="1" si="77"/>
        <v>#N/A</v>
      </c>
      <c r="BW85" s="356">
        <f t="shared" ca="1" si="59"/>
        <v>0</v>
      </c>
      <c r="BX85" s="356" t="e">
        <f ca="1">VLOOKUP(BF85,坦克个性化设定!$B$18:$E$48,4,FALSE)</f>
        <v>#N/A</v>
      </c>
      <c r="BY85" s="357" t="e">
        <f t="shared" ca="1" si="66"/>
        <v>#N/A</v>
      </c>
    </row>
    <row r="86" spans="2:77" x14ac:dyDescent="0.35">
      <c r="B86" s="352">
        <v>37</v>
      </c>
      <c r="C86" s="367">
        <f>游戏时长规划!C148</f>
        <v>30</v>
      </c>
      <c r="D86" s="367">
        <f>游戏时长规划!D148</f>
        <v>820</v>
      </c>
      <c r="E86" s="367">
        <f>游戏时长规划!E148</f>
        <v>8</v>
      </c>
      <c r="F86" s="367">
        <f>游戏时长规划!F148</f>
        <v>18850</v>
      </c>
      <c r="H86" s="360" t="s">
        <v>1108</v>
      </c>
      <c r="I86" s="360" t="str">
        <f t="shared" si="71"/>
        <v>霞飞</v>
      </c>
      <c r="J86" s="360" t="str">
        <f t="shared" si="72"/>
        <v>M-48</v>
      </c>
      <c r="K86" s="360" t="str">
        <f t="shared" si="73"/>
        <v>征服者</v>
      </c>
      <c r="O86" s="365">
        <v>83</v>
      </c>
      <c r="P86" s="360" t="e">
        <f t="shared" ca="1" si="69"/>
        <v>#REF!</v>
      </c>
      <c r="Q86" s="360" t="e">
        <f ca="1">ROUND(MIN((BD86-VLOOKUP(R86,$B$22:$F$46,2,FALSE))/(VLOOKUP(R86,$B$22:$F$46,3,FALSE)-VLOOKUP(R86,$B$22:$F$46,2,FALSE)),1)*((VLOOKUP(R86,$B$22:$F$46,4,FALSE)*(AG86/(AG86+VLOOKUP(P86,$D$49:$F$123,3,TRUE)))+VLOOKUP(R86,$B$22:$F$46,5,FALSE)*(1-AG86/(AG86+VLOOKUP(P86,$D$49:$F$123,3,TRUE))))/2)*游戏时长规划!$C$4,0)</f>
        <v>#REF!</v>
      </c>
      <c r="R86" s="360" t="e">
        <f t="shared" ca="1" si="46"/>
        <v>#REF!</v>
      </c>
      <c r="S86" s="360" t="e">
        <f t="shared" ca="1" si="67"/>
        <v>#REF!</v>
      </c>
      <c r="T86" s="360" t="e">
        <f t="shared" ca="1" si="70"/>
        <v>#REF!</v>
      </c>
      <c r="U86" s="370" t="e">
        <f t="shared" ca="1" si="47"/>
        <v>#REF!</v>
      </c>
      <c r="V86" s="363" t="e">
        <f t="shared" ca="1" si="68"/>
        <v>#REF!</v>
      </c>
      <c r="W86" s="360" t="e">
        <f t="shared" ca="1" si="48"/>
        <v>#REF!</v>
      </c>
      <c r="X86" s="81" t="e">
        <f t="shared" ca="1" si="60"/>
        <v>#REF!</v>
      </c>
      <c r="Y86" s="360" t="str">
        <f t="shared" ca="1" si="49"/>
        <v>NULL</v>
      </c>
      <c r="Z86" s="375" t="e">
        <f t="shared" ca="1" si="61"/>
        <v>#REF!</v>
      </c>
      <c r="AA86" s="360">
        <f ca="1">IFERROR(VLOOKUP(IF(V86="T1低",游戏时长规划!$C$67+Z86,Z86),INDIRECT(V86&amp;"星级"),2,TRUE),0)</f>
        <v>0</v>
      </c>
      <c r="AB86" s="375" t="e">
        <f t="shared" ca="1" si="50"/>
        <v>#REF!</v>
      </c>
      <c r="AC86" s="375">
        <f ca="1">($D$14+$D$17)*$L$4/坦克部件养成!$C$2+AC85-IFERROR(IF(RIGHT(AD85,3)*1&gt;RIGHT(VLOOKUP(AC85,INDIRECT(LEFT(AD84,2)&amp;"部件升阶"),5,TRUE),3)*1,VLOOKUP(AD84,INDIRECT(LEFT(AD84,2)&amp;"部件升阶消耗"),2,FALSE),0),0)</f>
        <v>982.16666666666788</v>
      </c>
      <c r="AD86" s="360" t="e">
        <f t="shared" ca="1" si="51"/>
        <v>#REF!</v>
      </c>
      <c r="AE86" s="375" t="e">
        <f ca="1">$D$15*$L$4/坦克部件养成!$C$2+AE85-IF(LEFT(AD86,2)&lt;&gt;LEFT(AD85,2),VLOOKUP(AF85,INDIRECT(LEFT(AD85,2)&amp;"部件升级消耗"),5,FALSE),0)</f>
        <v>#REF!</v>
      </c>
      <c r="AF86" s="360" t="e">
        <f ca="1">MIN(VLOOKUP(AE86,INDIRECT(LEFT(AD86,2)&amp;"部件升级"),2,TRUE),VLOOKUP(LEFT(AD86,2),坦克部件养成!#REF!,6,FALSE))</f>
        <v>#REF!</v>
      </c>
      <c r="AG86" s="378" t="e">
        <f ca="1">MAX(BD$4:BD86)</f>
        <v>#REF!</v>
      </c>
      <c r="AH86" s="378" t="str">
        <f t="shared" ca="1" si="52"/>
        <v/>
      </c>
      <c r="AI86" s="378">
        <f ca="1">IF(Y86="NULL",0,MAX(BY$4:BY86))</f>
        <v>0</v>
      </c>
      <c r="AK86" s="364" t="e">
        <f t="shared" ca="1" si="53"/>
        <v>#REF!</v>
      </c>
      <c r="AL86" s="364" t="e">
        <f ca="1">VLOOKUP(AK86,坦克个性化设定!$B$18:$F$48,5,FALSE)</f>
        <v>#REF!</v>
      </c>
      <c r="AM86" s="372" t="e">
        <f t="shared" ca="1" si="54"/>
        <v>#REF!</v>
      </c>
      <c r="AN86" s="372" t="e">
        <f t="shared" ca="1" si="62"/>
        <v>#REF!</v>
      </c>
      <c r="AO86" s="364">
        <f t="shared" ca="1" si="55"/>
        <v>0</v>
      </c>
      <c r="AP86" s="372" t="e">
        <f ca="1">VLOOKUP($AK86&amp;$AO86,所有坦克升星属性,MATCH(AP$3,所有坦克升星属性标头,0),FALSE)+ROUND(AU86/VLOOKUP($AK86,坦克部件!#REF!,4,FALSE)*VLOOKUP($AK86&amp;0,所有坦克升星属性,MATCH(AP$3,所有坦克升星属性标头,0),FALSE),0)</f>
        <v>#REF!</v>
      </c>
      <c r="AQ86" s="372" t="e">
        <f ca="1">VLOOKUP($AK86&amp;$AO86,所有坦克升星属性,MATCH(AQ$3,所有坦克升星属性标头,0),FALSE)+ROUND(AV86/VLOOKUP($AK86,坦克部件!#REF!,4,FALSE)*VLOOKUP($AK86&amp;0,所有坦克升星属性,MATCH(AQ$3,所有坦克升星属性标头,0),FALSE),0)</f>
        <v>#REF!</v>
      </c>
      <c r="AR86" s="372" t="e">
        <f t="shared" ca="1" si="74"/>
        <v>#REF!</v>
      </c>
      <c r="AS86" s="372" t="e">
        <f t="shared" ca="1" si="74"/>
        <v>#REF!</v>
      </c>
      <c r="AT86" s="372" t="e">
        <f ca="1">VLOOKUP($AK86&amp;$AO86,所有坦克升星属性,MATCH(AT$3,所有坦克升星属性标头,0),FALSE)+ROUND(AW86/VLOOKUP($AK86,坦克部件!#REF!,4,FALSE)*VLOOKUP($AK86&amp;0,所有坦克升星属性,MATCH(AT$3,所有坦克升星属性标头,0),FALSE),0)</f>
        <v>#REF!</v>
      </c>
      <c r="AU86" s="372" t="e">
        <f ca="1">(VLOOKUP($AM86,坦克部件!#REF!,MATCH("标准值",坦克部件!#REF!,0),FALSE)+VLOOKUP($AN86,坦克部件!#REF!,MATCH("标准值",坦克部件!#REF!,0),FALSE))*2</f>
        <v>#REF!</v>
      </c>
      <c r="AV86" s="372" t="e">
        <f ca="1">(VLOOKUP($AM86,坦克部件!#REF!,MATCH("标准值",坦克部件!#REF!,0),FALSE)+VLOOKUP($AN86,坦克部件!#REF!,MATCH("标准值",坦克部件!#REF!,0),FALSE))*2</f>
        <v>#REF!</v>
      </c>
      <c r="AW86" s="372" t="e">
        <f ca="1">(VLOOKUP($AM86,坦克部件!#REF!,MATCH("标准值",坦克部件!#REF!,0),FALSE)+VLOOKUP($AN86,坦克部件!#REF!,MATCH("标准值",坦克部件!#REF!,0),FALSE))*2</f>
        <v>#REF!</v>
      </c>
      <c r="AX86" s="372" t="e">
        <f ca="1">VLOOKUP($AK86,坦克属性统计!$B$3:$AY$33,MATCH(AX$3,坦克属性统计!$B$3:$AY$3,0),FALSE)</f>
        <v>#REF!</v>
      </c>
      <c r="AY86" s="372" t="e">
        <f t="shared" ca="1" si="75"/>
        <v>#REF!</v>
      </c>
      <c r="AZ86" s="372" t="e">
        <f t="shared" ca="1" si="75"/>
        <v>#REF!</v>
      </c>
      <c r="BA86" s="372" t="e">
        <f t="shared" ca="1" si="75"/>
        <v>#REF!</v>
      </c>
      <c r="BB86" s="356" t="e">
        <f t="shared" ca="1" si="56"/>
        <v>#REF!</v>
      </c>
      <c r="BC86" s="356" t="e">
        <f ca="1">VLOOKUP(AK86,坦克个性化设定!$B$18:$E$48,4,FALSE)</f>
        <v>#REF!</v>
      </c>
      <c r="BD86" s="357" t="e">
        <f t="shared" ca="1" si="63"/>
        <v>#REF!</v>
      </c>
      <c r="BF86" s="357" t="str">
        <f t="shared" ca="1" si="57"/>
        <v/>
      </c>
      <c r="BG86" s="372" t="str">
        <f ca="1">IFERROR(VLOOKUP(BF86,坦克个性化设定!$B$18:$F$48,5,FALSE),"")</f>
        <v/>
      </c>
      <c r="BH86" s="372" t="e">
        <f t="shared" ca="1" si="64"/>
        <v>#REF!</v>
      </c>
      <c r="BI86" s="372" t="e">
        <f t="shared" ca="1" si="65"/>
        <v>#REF!</v>
      </c>
      <c r="BJ86" s="364" t="str">
        <f t="shared" ca="1" si="58"/>
        <v>NULL</v>
      </c>
      <c r="BK86" s="372" t="e">
        <f ca="1">VLOOKUP($BF86&amp;IF($BJ86="NULL",0,$BJ86),所有坦克升星属性,MATCH(BK$3,所有坦克升星属性标头,0),FALSE)+ROUND(BP86/VLOOKUP($BF86,坦克部件!#REF!,4,FALSE)*VLOOKUP($BF86&amp;0,所有坦克升星属性,MATCH(BK$3,所有坦克升星属性标头,0),FALSE),0)</f>
        <v>#N/A</v>
      </c>
      <c r="BL86" s="372" t="e">
        <f ca="1">VLOOKUP($BF86&amp;IF($BJ86="NULL",0,$BJ86),所有坦克升星属性,MATCH(BL$3,所有坦克升星属性标头,0),FALSE)+ROUND(BQ86/VLOOKUP($BF86,坦克部件!#REF!,4,FALSE)*VLOOKUP($BF86&amp;0,所有坦克升星属性,MATCH(BL$3,所有坦克升星属性标头,0),FALSE),0)</f>
        <v>#N/A</v>
      </c>
      <c r="BM86" s="372" t="e">
        <f t="shared" ca="1" si="76"/>
        <v>#N/A</v>
      </c>
      <c r="BN86" s="372" t="e">
        <f t="shared" ca="1" si="76"/>
        <v>#N/A</v>
      </c>
      <c r="BO86" s="372" t="e">
        <f ca="1">VLOOKUP($BF86&amp;IF($BJ86="NULL",0,$BJ86),所有坦克升星属性,MATCH(BO$3,所有坦克升星属性标头,0),FALSE)+ROUND(BR86/VLOOKUP($BF86,坦克部件!#REF!,4,FALSE)*VLOOKUP($BF86&amp;0,所有坦克升星属性,MATCH(BO$3,所有坦克升星属性标头,0),FALSE),0)</f>
        <v>#N/A</v>
      </c>
      <c r="BP86" s="372" t="e">
        <f ca="1">(VLOOKUP($BH86,坦克部件!#REF!,MATCH("标准值",坦克部件!#REF!,0),FALSE)+VLOOKUP($BI86,坦克部件!#REF!,MATCH("标准值",坦克部件!#REF!,0),FALSE))*2</f>
        <v>#REF!</v>
      </c>
      <c r="BQ86" s="372" t="e">
        <f ca="1">(VLOOKUP($BH86,坦克部件!#REF!,MATCH("标准值",坦克部件!#REF!,0),FALSE)+VLOOKUP($BI86,坦克部件!#REF!,MATCH("标准值",坦克部件!#REF!,0),FALSE))*2</f>
        <v>#REF!</v>
      </c>
      <c r="BR86" s="372" t="e">
        <f ca="1">(VLOOKUP($BH86,坦克部件!#REF!,MATCH("标准值",坦克部件!#REF!,0),FALSE)+VLOOKUP($BI86,坦克部件!#REF!,MATCH("标准值",坦克部件!#REF!,0),FALSE))*2</f>
        <v>#REF!</v>
      </c>
      <c r="BS86" s="372" t="e">
        <f ca="1">VLOOKUP($BF86,坦克属性统计!$B$3:$AY$33,MATCH(BS$3,坦克属性统计!$B$3:$AY$3,0),FALSE)</f>
        <v>#N/A</v>
      </c>
      <c r="BT86" s="372" t="e">
        <f t="shared" ca="1" si="77"/>
        <v>#N/A</v>
      </c>
      <c r="BU86" s="372" t="e">
        <f t="shared" ca="1" si="77"/>
        <v>#N/A</v>
      </c>
      <c r="BV86" s="372" t="e">
        <f t="shared" ca="1" si="77"/>
        <v>#N/A</v>
      </c>
      <c r="BW86" s="356">
        <f t="shared" ca="1" si="59"/>
        <v>0</v>
      </c>
      <c r="BX86" s="356" t="e">
        <f ca="1">VLOOKUP(BF86,坦克个性化设定!$B$18:$E$48,4,FALSE)</f>
        <v>#N/A</v>
      </c>
      <c r="BY86" s="357" t="e">
        <f t="shared" ca="1" si="66"/>
        <v>#N/A</v>
      </c>
    </row>
    <row r="87" spans="2:77" x14ac:dyDescent="0.35">
      <c r="B87" s="352">
        <v>38</v>
      </c>
      <c r="C87" s="367">
        <f>游戏时长规划!C149</f>
        <v>30</v>
      </c>
      <c r="D87" s="367">
        <f>游戏时长规划!D149</f>
        <v>850</v>
      </c>
      <c r="E87" s="367">
        <f>游戏时长规划!E149</f>
        <v>8</v>
      </c>
      <c r="F87" s="367">
        <f>游戏时长规划!F149</f>
        <v>19750</v>
      </c>
      <c r="H87" s="360" t="s">
        <v>1109</v>
      </c>
      <c r="I87" s="360" t="str">
        <f t="shared" si="71"/>
        <v>M-41</v>
      </c>
      <c r="J87" s="360" t="str">
        <f t="shared" si="72"/>
        <v>潘兴</v>
      </c>
      <c r="K87" s="360" t="str">
        <f t="shared" si="73"/>
        <v>IS-4</v>
      </c>
      <c r="O87" s="365">
        <v>84</v>
      </c>
      <c r="P87" s="360" t="e">
        <f t="shared" ref="P87:P150" ca="1" si="78">P86+Q86</f>
        <v>#REF!</v>
      </c>
      <c r="Q87" s="360" t="e">
        <f ca="1">ROUND(MIN((BD87-VLOOKUP(R87,$B$22:$F$46,2,FALSE))/(VLOOKUP(R87,$B$22:$F$46,3,FALSE)-VLOOKUP(R87,$B$22:$F$46,2,FALSE)),1)*((VLOOKUP(R87,$B$22:$F$46,4,FALSE)*(AG87/(AG87+VLOOKUP(P87,$D$49:$F$123,3,TRUE)))+VLOOKUP(R87,$B$22:$F$46,5,FALSE)*(1-AG87/(AG87+VLOOKUP(P87,$D$49:$F$123,3,TRUE))))/2)*游戏时长规划!$C$4,0)</f>
        <v>#REF!</v>
      </c>
      <c r="R87" s="360" t="e">
        <f t="shared" ca="1" si="46"/>
        <v>#REF!</v>
      </c>
      <c r="S87" s="360" t="e">
        <f t="shared" ca="1" si="67"/>
        <v>#REF!</v>
      </c>
      <c r="T87" s="360" t="e">
        <f t="shared" ref="T87:T150" ca="1" si="79">VLOOKUP(R87,$H$16:$J$28,3,FALSE)</f>
        <v>#REF!</v>
      </c>
      <c r="U87" s="370" t="e">
        <f t="shared" ca="1" si="47"/>
        <v>#REF!</v>
      </c>
      <c r="V87" s="363" t="e">
        <f t="shared" ca="1" si="68"/>
        <v>#REF!</v>
      </c>
      <c r="W87" s="360" t="e">
        <f t="shared" ca="1" si="48"/>
        <v>#REF!</v>
      </c>
      <c r="X87" s="81" t="e">
        <f t="shared" ca="1" si="60"/>
        <v>#REF!</v>
      </c>
      <c r="Y87" s="360" t="str">
        <f t="shared" ca="1" si="49"/>
        <v>NULL</v>
      </c>
      <c r="Z87" s="375" t="e">
        <f t="shared" ca="1" si="61"/>
        <v>#REF!</v>
      </c>
      <c r="AA87" s="360">
        <f ca="1">IFERROR(VLOOKUP(IF(V87="T1低",游戏时长规划!$C$67+Z87,Z87),INDIRECT(V87&amp;"星级"),2,TRUE),0)</f>
        <v>0</v>
      </c>
      <c r="AB87" s="375" t="e">
        <f t="shared" ca="1" si="50"/>
        <v>#REF!</v>
      </c>
      <c r="AC87" s="375">
        <f ca="1">($D$14+$D$17)*$L$4/坦克部件养成!$C$2+AC86-IFERROR(IF(RIGHT(AD86,3)*1&gt;RIGHT(VLOOKUP(AC86,INDIRECT(LEFT(AD85,2)&amp;"部件升阶"),5,TRUE),3)*1,VLOOKUP(AD85,INDIRECT(LEFT(AD85,2)&amp;"部件升阶消耗"),2,FALSE),0),0)</f>
        <v>994.00000000000125</v>
      </c>
      <c r="AD87" s="360" t="e">
        <f t="shared" ca="1" si="51"/>
        <v>#REF!</v>
      </c>
      <c r="AE87" s="375" t="e">
        <f ca="1">$D$15*$L$4/坦克部件养成!$C$2+AE86-IF(LEFT(AD87,2)&lt;&gt;LEFT(AD86,2),VLOOKUP(AF86,INDIRECT(LEFT(AD86,2)&amp;"部件升级消耗"),5,FALSE),0)</f>
        <v>#REF!</v>
      </c>
      <c r="AF87" s="360" t="e">
        <f ca="1">MIN(VLOOKUP(AE87,INDIRECT(LEFT(AD87,2)&amp;"部件升级"),2,TRUE),VLOOKUP(LEFT(AD87,2),坦克部件养成!#REF!,6,FALSE))</f>
        <v>#REF!</v>
      </c>
      <c r="AG87" s="378" t="e">
        <f ca="1">MAX(BD$4:BD87)</f>
        <v>#REF!</v>
      </c>
      <c r="AH87" s="378" t="str">
        <f t="shared" ca="1" si="52"/>
        <v/>
      </c>
      <c r="AI87" s="378">
        <f ca="1">IF(Y87="NULL",0,MAX(BY$4:BY87))</f>
        <v>0</v>
      </c>
      <c r="AK87" s="364" t="e">
        <f t="shared" ca="1" si="53"/>
        <v>#REF!</v>
      </c>
      <c r="AL87" s="364" t="e">
        <f ca="1">VLOOKUP(AK87,坦克个性化设定!$B$18:$F$48,5,FALSE)</f>
        <v>#REF!</v>
      </c>
      <c r="AM87" s="372" t="e">
        <f t="shared" ca="1" si="54"/>
        <v>#REF!</v>
      </c>
      <c r="AN87" s="372" t="e">
        <f t="shared" ca="1" si="62"/>
        <v>#REF!</v>
      </c>
      <c r="AO87" s="364">
        <f t="shared" ca="1" si="55"/>
        <v>0</v>
      </c>
      <c r="AP87" s="372" t="e">
        <f ca="1">VLOOKUP($AK87&amp;$AO87,所有坦克升星属性,MATCH(AP$3,所有坦克升星属性标头,0),FALSE)+ROUND(AU87/VLOOKUP($AK87,坦克部件!#REF!,4,FALSE)*VLOOKUP($AK87&amp;0,所有坦克升星属性,MATCH(AP$3,所有坦克升星属性标头,0),FALSE),0)</f>
        <v>#REF!</v>
      </c>
      <c r="AQ87" s="372" t="e">
        <f ca="1">VLOOKUP($AK87&amp;$AO87,所有坦克升星属性,MATCH(AQ$3,所有坦克升星属性标头,0),FALSE)+ROUND(AV87/VLOOKUP($AK87,坦克部件!#REF!,4,FALSE)*VLOOKUP($AK87&amp;0,所有坦克升星属性,MATCH(AQ$3,所有坦克升星属性标头,0),FALSE),0)</f>
        <v>#REF!</v>
      </c>
      <c r="AR87" s="372" t="e">
        <f t="shared" ca="1" si="74"/>
        <v>#REF!</v>
      </c>
      <c r="AS87" s="372" t="e">
        <f t="shared" ca="1" si="74"/>
        <v>#REF!</v>
      </c>
      <c r="AT87" s="372" t="e">
        <f ca="1">VLOOKUP($AK87&amp;$AO87,所有坦克升星属性,MATCH(AT$3,所有坦克升星属性标头,0),FALSE)+ROUND(AW87/VLOOKUP($AK87,坦克部件!#REF!,4,FALSE)*VLOOKUP($AK87&amp;0,所有坦克升星属性,MATCH(AT$3,所有坦克升星属性标头,0),FALSE),0)</f>
        <v>#REF!</v>
      </c>
      <c r="AU87" s="372" t="e">
        <f ca="1">(VLOOKUP($AM87,坦克部件!#REF!,MATCH("标准值",坦克部件!#REF!,0),FALSE)+VLOOKUP($AN87,坦克部件!#REF!,MATCH("标准值",坦克部件!#REF!,0),FALSE))*2</f>
        <v>#REF!</v>
      </c>
      <c r="AV87" s="372" t="e">
        <f ca="1">(VLOOKUP($AM87,坦克部件!#REF!,MATCH("标准值",坦克部件!#REF!,0),FALSE)+VLOOKUP($AN87,坦克部件!#REF!,MATCH("标准值",坦克部件!#REF!,0),FALSE))*2</f>
        <v>#REF!</v>
      </c>
      <c r="AW87" s="372" t="e">
        <f ca="1">(VLOOKUP($AM87,坦克部件!#REF!,MATCH("标准值",坦克部件!#REF!,0),FALSE)+VLOOKUP($AN87,坦克部件!#REF!,MATCH("标准值",坦克部件!#REF!,0),FALSE))*2</f>
        <v>#REF!</v>
      </c>
      <c r="AX87" s="372" t="e">
        <f ca="1">VLOOKUP($AK87,坦克属性统计!$B$3:$AY$33,MATCH(AX$3,坦克属性统计!$B$3:$AY$3,0),FALSE)</f>
        <v>#REF!</v>
      </c>
      <c r="AY87" s="372" t="e">
        <f t="shared" ca="1" si="75"/>
        <v>#REF!</v>
      </c>
      <c r="AZ87" s="372" t="e">
        <f t="shared" ca="1" si="75"/>
        <v>#REF!</v>
      </c>
      <c r="BA87" s="372" t="e">
        <f t="shared" ca="1" si="75"/>
        <v>#REF!</v>
      </c>
      <c r="BB87" s="356" t="e">
        <f t="shared" ca="1" si="56"/>
        <v>#REF!</v>
      </c>
      <c r="BC87" s="356" t="e">
        <f ca="1">VLOOKUP(AK87,坦克个性化设定!$B$18:$E$48,4,FALSE)</f>
        <v>#REF!</v>
      </c>
      <c r="BD87" s="357" t="e">
        <f t="shared" ca="1" si="63"/>
        <v>#REF!</v>
      </c>
      <c r="BF87" s="357" t="str">
        <f t="shared" ca="1" si="57"/>
        <v/>
      </c>
      <c r="BG87" s="372" t="str">
        <f ca="1">IFERROR(VLOOKUP(BF87,坦克个性化设定!$B$18:$F$48,5,FALSE),"")</f>
        <v/>
      </c>
      <c r="BH87" s="372" t="e">
        <f t="shared" ca="1" si="64"/>
        <v>#REF!</v>
      </c>
      <c r="BI87" s="372" t="e">
        <f t="shared" ca="1" si="65"/>
        <v>#REF!</v>
      </c>
      <c r="BJ87" s="364" t="str">
        <f t="shared" ca="1" si="58"/>
        <v>NULL</v>
      </c>
      <c r="BK87" s="372" t="e">
        <f ca="1">VLOOKUP($BF87&amp;IF($BJ87="NULL",0,$BJ87),所有坦克升星属性,MATCH(BK$3,所有坦克升星属性标头,0),FALSE)+ROUND(BP87/VLOOKUP($BF87,坦克部件!#REF!,4,FALSE)*VLOOKUP($BF87&amp;0,所有坦克升星属性,MATCH(BK$3,所有坦克升星属性标头,0),FALSE),0)</f>
        <v>#N/A</v>
      </c>
      <c r="BL87" s="372" t="e">
        <f ca="1">VLOOKUP($BF87&amp;IF($BJ87="NULL",0,$BJ87),所有坦克升星属性,MATCH(BL$3,所有坦克升星属性标头,0),FALSE)+ROUND(BQ87/VLOOKUP($BF87,坦克部件!#REF!,4,FALSE)*VLOOKUP($BF87&amp;0,所有坦克升星属性,MATCH(BL$3,所有坦克升星属性标头,0),FALSE),0)</f>
        <v>#N/A</v>
      </c>
      <c r="BM87" s="372" t="e">
        <f t="shared" ca="1" si="76"/>
        <v>#N/A</v>
      </c>
      <c r="BN87" s="372" t="e">
        <f t="shared" ca="1" si="76"/>
        <v>#N/A</v>
      </c>
      <c r="BO87" s="372" t="e">
        <f ca="1">VLOOKUP($BF87&amp;IF($BJ87="NULL",0,$BJ87),所有坦克升星属性,MATCH(BO$3,所有坦克升星属性标头,0),FALSE)+ROUND(BR87/VLOOKUP($BF87,坦克部件!#REF!,4,FALSE)*VLOOKUP($BF87&amp;0,所有坦克升星属性,MATCH(BO$3,所有坦克升星属性标头,0),FALSE),0)</f>
        <v>#N/A</v>
      </c>
      <c r="BP87" s="372" t="e">
        <f ca="1">(VLOOKUP($BH87,坦克部件!#REF!,MATCH("标准值",坦克部件!#REF!,0),FALSE)+VLOOKUP($BI87,坦克部件!#REF!,MATCH("标准值",坦克部件!#REF!,0),FALSE))*2</f>
        <v>#REF!</v>
      </c>
      <c r="BQ87" s="372" t="e">
        <f ca="1">(VLOOKUP($BH87,坦克部件!#REF!,MATCH("标准值",坦克部件!#REF!,0),FALSE)+VLOOKUP($BI87,坦克部件!#REF!,MATCH("标准值",坦克部件!#REF!,0),FALSE))*2</f>
        <v>#REF!</v>
      </c>
      <c r="BR87" s="372" t="e">
        <f ca="1">(VLOOKUP($BH87,坦克部件!#REF!,MATCH("标准值",坦克部件!#REF!,0),FALSE)+VLOOKUP($BI87,坦克部件!#REF!,MATCH("标准值",坦克部件!#REF!,0),FALSE))*2</f>
        <v>#REF!</v>
      </c>
      <c r="BS87" s="372" t="e">
        <f ca="1">VLOOKUP($BF87,坦克属性统计!$B$3:$AY$33,MATCH(BS$3,坦克属性统计!$B$3:$AY$3,0),FALSE)</f>
        <v>#N/A</v>
      </c>
      <c r="BT87" s="372" t="e">
        <f t="shared" ca="1" si="77"/>
        <v>#N/A</v>
      </c>
      <c r="BU87" s="372" t="e">
        <f t="shared" ca="1" si="77"/>
        <v>#N/A</v>
      </c>
      <c r="BV87" s="372" t="e">
        <f t="shared" ca="1" si="77"/>
        <v>#N/A</v>
      </c>
      <c r="BW87" s="356">
        <f t="shared" ca="1" si="59"/>
        <v>0</v>
      </c>
      <c r="BX87" s="356" t="e">
        <f ca="1">VLOOKUP(BF87,坦克个性化设定!$B$18:$E$48,4,FALSE)</f>
        <v>#N/A</v>
      </c>
      <c r="BY87" s="357" t="e">
        <f t="shared" ca="1" si="66"/>
        <v>#N/A</v>
      </c>
    </row>
    <row r="88" spans="2:77" x14ac:dyDescent="0.35">
      <c r="B88" s="352">
        <v>39</v>
      </c>
      <c r="C88" s="367">
        <f>游戏时长规划!C150</f>
        <v>30</v>
      </c>
      <c r="D88" s="367">
        <f>游戏时长规划!D150</f>
        <v>880</v>
      </c>
      <c r="E88" s="367">
        <f>游戏时长规划!E150</f>
        <v>8</v>
      </c>
      <c r="F88" s="367">
        <f>游戏时长规划!F150</f>
        <v>20600</v>
      </c>
      <c r="H88" s="360" t="s">
        <v>1110</v>
      </c>
      <c r="I88" s="360" t="str">
        <f t="shared" si="71"/>
        <v>BMP-3</v>
      </c>
      <c r="J88" s="360" t="str">
        <f t="shared" si="72"/>
        <v>百夫长</v>
      </c>
      <c r="K88" s="360" t="str">
        <f t="shared" si="73"/>
        <v>T-32</v>
      </c>
      <c r="O88" s="365">
        <v>85</v>
      </c>
      <c r="P88" s="360" t="e">
        <f t="shared" ca="1" si="78"/>
        <v>#REF!</v>
      </c>
      <c r="Q88" s="360" t="e">
        <f ca="1">ROUND(MIN((BD88-VLOOKUP(R88,$B$22:$F$46,2,FALSE))/(VLOOKUP(R88,$B$22:$F$46,3,FALSE)-VLOOKUP(R88,$B$22:$F$46,2,FALSE)),1)*((VLOOKUP(R88,$B$22:$F$46,4,FALSE)*(AG88/(AG88+VLOOKUP(P88,$D$49:$F$123,3,TRUE)))+VLOOKUP(R88,$B$22:$F$46,5,FALSE)*(1-AG88/(AG88+VLOOKUP(P88,$D$49:$F$123,3,TRUE))))/2)*游戏时长规划!$C$4,0)</f>
        <v>#REF!</v>
      </c>
      <c r="R88" s="360" t="e">
        <f t="shared" ca="1" si="46"/>
        <v>#REF!</v>
      </c>
      <c r="S88" s="360" t="e">
        <f t="shared" ca="1" si="67"/>
        <v>#REF!</v>
      </c>
      <c r="T88" s="360" t="e">
        <f t="shared" ca="1" si="79"/>
        <v>#REF!</v>
      </c>
      <c r="U88" s="370" t="e">
        <f t="shared" ca="1" si="47"/>
        <v>#REF!</v>
      </c>
      <c r="V88" s="363" t="e">
        <f t="shared" ca="1" si="68"/>
        <v>#REF!</v>
      </c>
      <c r="W88" s="360" t="e">
        <f t="shared" ca="1" si="48"/>
        <v>#REF!</v>
      </c>
      <c r="X88" s="81" t="e">
        <f t="shared" ca="1" si="60"/>
        <v>#REF!</v>
      </c>
      <c r="Y88" s="360" t="str">
        <f t="shared" ca="1" si="49"/>
        <v>NULL</v>
      </c>
      <c r="Z88" s="375" t="e">
        <f t="shared" ca="1" si="61"/>
        <v>#REF!</v>
      </c>
      <c r="AA88" s="360">
        <f ca="1">IFERROR(VLOOKUP(IF(V88="T1低",游戏时长规划!$C$67+Z88,Z88),INDIRECT(V88&amp;"星级"),2,TRUE),0)</f>
        <v>0</v>
      </c>
      <c r="AB88" s="375" t="e">
        <f t="shared" ca="1" si="50"/>
        <v>#REF!</v>
      </c>
      <c r="AC88" s="375">
        <f ca="1">($D$14+$D$17)*$L$4/坦克部件养成!$C$2+AC87-IFERROR(IF(RIGHT(AD87,3)*1&gt;RIGHT(VLOOKUP(AC87,INDIRECT(LEFT(AD86,2)&amp;"部件升阶"),5,TRUE),3)*1,VLOOKUP(AD86,INDIRECT(LEFT(AD86,2)&amp;"部件升阶消耗"),2,FALSE),0),0)</f>
        <v>1005.8333333333346</v>
      </c>
      <c r="AD88" s="360" t="e">
        <f t="shared" ca="1" si="51"/>
        <v>#REF!</v>
      </c>
      <c r="AE88" s="375" t="e">
        <f ca="1">$D$15*$L$4/坦克部件养成!$C$2+AE87-IF(LEFT(AD88,2)&lt;&gt;LEFT(AD87,2),VLOOKUP(AF87,INDIRECT(LEFT(AD87,2)&amp;"部件升级消耗"),5,FALSE),0)</f>
        <v>#REF!</v>
      </c>
      <c r="AF88" s="360" t="e">
        <f ca="1">MIN(VLOOKUP(AE88,INDIRECT(LEFT(AD88,2)&amp;"部件升级"),2,TRUE),VLOOKUP(LEFT(AD88,2),坦克部件养成!#REF!,6,FALSE))</f>
        <v>#REF!</v>
      </c>
      <c r="AG88" s="378" t="e">
        <f ca="1">MAX(BD$4:BD88)</f>
        <v>#REF!</v>
      </c>
      <c r="AH88" s="378" t="str">
        <f t="shared" ca="1" si="52"/>
        <v/>
      </c>
      <c r="AI88" s="378">
        <f ca="1">IF(Y88="NULL",0,MAX(BY$4:BY88))</f>
        <v>0</v>
      </c>
      <c r="AK88" s="364" t="e">
        <f t="shared" ca="1" si="53"/>
        <v>#REF!</v>
      </c>
      <c r="AL88" s="364" t="e">
        <f ca="1">VLOOKUP(AK88,坦克个性化设定!$B$18:$F$48,5,FALSE)</f>
        <v>#REF!</v>
      </c>
      <c r="AM88" s="372" t="e">
        <f t="shared" ca="1" si="54"/>
        <v>#REF!</v>
      </c>
      <c r="AN88" s="372" t="e">
        <f t="shared" ca="1" si="62"/>
        <v>#REF!</v>
      </c>
      <c r="AO88" s="364">
        <f t="shared" ca="1" si="55"/>
        <v>0</v>
      </c>
      <c r="AP88" s="372" t="e">
        <f ca="1">VLOOKUP($AK88&amp;$AO88,所有坦克升星属性,MATCH(AP$3,所有坦克升星属性标头,0),FALSE)+ROUND(AU88/VLOOKUP($AK88,坦克部件!#REF!,4,FALSE)*VLOOKUP($AK88&amp;0,所有坦克升星属性,MATCH(AP$3,所有坦克升星属性标头,0),FALSE),0)</f>
        <v>#REF!</v>
      </c>
      <c r="AQ88" s="372" t="e">
        <f ca="1">VLOOKUP($AK88&amp;$AO88,所有坦克升星属性,MATCH(AQ$3,所有坦克升星属性标头,0),FALSE)+ROUND(AV88/VLOOKUP($AK88,坦克部件!#REF!,4,FALSE)*VLOOKUP($AK88&amp;0,所有坦克升星属性,MATCH(AQ$3,所有坦克升星属性标头,0),FALSE),0)</f>
        <v>#REF!</v>
      </c>
      <c r="AR88" s="372" t="e">
        <f t="shared" ca="1" si="74"/>
        <v>#REF!</v>
      </c>
      <c r="AS88" s="372" t="e">
        <f t="shared" ca="1" si="74"/>
        <v>#REF!</v>
      </c>
      <c r="AT88" s="372" t="e">
        <f ca="1">VLOOKUP($AK88&amp;$AO88,所有坦克升星属性,MATCH(AT$3,所有坦克升星属性标头,0),FALSE)+ROUND(AW88/VLOOKUP($AK88,坦克部件!#REF!,4,FALSE)*VLOOKUP($AK88&amp;0,所有坦克升星属性,MATCH(AT$3,所有坦克升星属性标头,0),FALSE),0)</f>
        <v>#REF!</v>
      </c>
      <c r="AU88" s="372" t="e">
        <f ca="1">(VLOOKUP($AM88,坦克部件!#REF!,MATCH("标准值",坦克部件!#REF!,0),FALSE)+VLOOKUP($AN88,坦克部件!#REF!,MATCH("标准值",坦克部件!#REF!,0),FALSE))*2</f>
        <v>#REF!</v>
      </c>
      <c r="AV88" s="372" t="e">
        <f ca="1">(VLOOKUP($AM88,坦克部件!#REF!,MATCH("标准值",坦克部件!#REF!,0),FALSE)+VLOOKUP($AN88,坦克部件!#REF!,MATCH("标准值",坦克部件!#REF!,0),FALSE))*2</f>
        <v>#REF!</v>
      </c>
      <c r="AW88" s="372" t="e">
        <f ca="1">(VLOOKUP($AM88,坦克部件!#REF!,MATCH("标准值",坦克部件!#REF!,0),FALSE)+VLOOKUP($AN88,坦克部件!#REF!,MATCH("标准值",坦克部件!#REF!,0),FALSE))*2</f>
        <v>#REF!</v>
      </c>
      <c r="AX88" s="372" t="e">
        <f ca="1">VLOOKUP($AK88,坦克属性统计!$B$3:$AY$33,MATCH(AX$3,坦克属性统计!$B$3:$AY$3,0),FALSE)</f>
        <v>#REF!</v>
      </c>
      <c r="AY88" s="372" t="e">
        <f t="shared" ca="1" si="75"/>
        <v>#REF!</v>
      </c>
      <c r="AZ88" s="372" t="e">
        <f t="shared" ca="1" si="75"/>
        <v>#REF!</v>
      </c>
      <c r="BA88" s="372" t="e">
        <f t="shared" ca="1" si="75"/>
        <v>#REF!</v>
      </c>
      <c r="BB88" s="356" t="e">
        <f t="shared" ca="1" si="56"/>
        <v>#REF!</v>
      </c>
      <c r="BC88" s="356" t="e">
        <f ca="1">VLOOKUP(AK88,坦克个性化设定!$B$18:$E$48,4,FALSE)</f>
        <v>#REF!</v>
      </c>
      <c r="BD88" s="357" t="e">
        <f t="shared" ca="1" si="63"/>
        <v>#REF!</v>
      </c>
      <c r="BF88" s="357" t="str">
        <f t="shared" ca="1" si="57"/>
        <v/>
      </c>
      <c r="BG88" s="372" t="str">
        <f ca="1">IFERROR(VLOOKUP(BF88,坦克个性化设定!$B$18:$F$48,5,FALSE),"")</f>
        <v/>
      </c>
      <c r="BH88" s="372" t="e">
        <f t="shared" ca="1" si="64"/>
        <v>#REF!</v>
      </c>
      <c r="BI88" s="372" t="e">
        <f t="shared" ca="1" si="65"/>
        <v>#REF!</v>
      </c>
      <c r="BJ88" s="364" t="str">
        <f t="shared" ca="1" si="58"/>
        <v>NULL</v>
      </c>
      <c r="BK88" s="372" t="e">
        <f ca="1">VLOOKUP($BF88&amp;IF($BJ88="NULL",0,$BJ88),所有坦克升星属性,MATCH(BK$3,所有坦克升星属性标头,0),FALSE)+ROUND(BP88/VLOOKUP($BF88,坦克部件!#REF!,4,FALSE)*VLOOKUP($BF88&amp;0,所有坦克升星属性,MATCH(BK$3,所有坦克升星属性标头,0),FALSE),0)</f>
        <v>#N/A</v>
      </c>
      <c r="BL88" s="372" t="e">
        <f ca="1">VLOOKUP($BF88&amp;IF($BJ88="NULL",0,$BJ88),所有坦克升星属性,MATCH(BL$3,所有坦克升星属性标头,0),FALSE)+ROUND(BQ88/VLOOKUP($BF88,坦克部件!#REF!,4,FALSE)*VLOOKUP($BF88&amp;0,所有坦克升星属性,MATCH(BL$3,所有坦克升星属性标头,0),FALSE),0)</f>
        <v>#N/A</v>
      </c>
      <c r="BM88" s="372" t="e">
        <f t="shared" ca="1" si="76"/>
        <v>#N/A</v>
      </c>
      <c r="BN88" s="372" t="e">
        <f t="shared" ca="1" si="76"/>
        <v>#N/A</v>
      </c>
      <c r="BO88" s="372" t="e">
        <f ca="1">VLOOKUP($BF88&amp;IF($BJ88="NULL",0,$BJ88),所有坦克升星属性,MATCH(BO$3,所有坦克升星属性标头,0),FALSE)+ROUND(BR88/VLOOKUP($BF88,坦克部件!#REF!,4,FALSE)*VLOOKUP($BF88&amp;0,所有坦克升星属性,MATCH(BO$3,所有坦克升星属性标头,0),FALSE),0)</f>
        <v>#N/A</v>
      </c>
      <c r="BP88" s="372" t="e">
        <f ca="1">(VLOOKUP($BH88,坦克部件!#REF!,MATCH("标准值",坦克部件!#REF!,0),FALSE)+VLOOKUP($BI88,坦克部件!#REF!,MATCH("标准值",坦克部件!#REF!,0),FALSE))*2</f>
        <v>#REF!</v>
      </c>
      <c r="BQ88" s="372" t="e">
        <f ca="1">(VLOOKUP($BH88,坦克部件!#REF!,MATCH("标准值",坦克部件!#REF!,0),FALSE)+VLOOKUP($BI88,坦克部件!#REF!,MATCH("标准值",坦克部件!#REF!,0),FALSE))*2</f>
        <v>#REF!</v>
      </c>
      <c r="BR88" s="372" t="e">
        <f ca="1">(VLOOKUP($BH88,坦克部件!#REF!,MATCH("标准值",坦克部件!#REF!,0),FALSE)+VLOOKUP($BI88,坦克部件!#REF!,MATCH("标准值",坦克部件!#REF!,0),FALSE))*2</f>
        <v>#REF!</v>
      </c>
      <c r="BS88" s="372" t="e">
        <f ca="1">VLOOKUP($BF88,坦克属性统计!$B$3:$AY$33,MATCH(BS$3,坦克属性统计!$B$3:$AY$3,0),FALSE)</f>
        <v>#N/A</v>
      </c>
      <c r="BT88" s="372" t="e">
        <f t="shared" ca="1" si="77"/>
        <v>#N/A</v>
      </c>
      <c r="BU88" s="372" t="e">
        <f t="shared" ca="1" si="77"/>
        <v>#N/A</v>
      </c>
      <c r="BV88" s="372" t="e">
        <f t="shared" ca="1" si="77"/>
        <v>#N/A</v>
      </c>
      <c r="BW88" s="356">
        <f t="shared" ca="1" si="59"/>
        <v>0</v>
      </c>
      <c r="BX88" s="356" t="e">
        <f ca="1">VLOOKUP(BF88,坦克个性化设定!$B$18:$E$48,4,FALSE)</f>
        <v>#N/A</v>
      </c>
      <c r="BY88" s="357" t="e">
        <f t="shared" ca="1" si="66"/>
        <v>#N/A</v>
      </c>
    </row>
    <row r="89" spans="2:77" x14ac:dyDescent="0.35">
      <c r="B89" s="352">
        <v>40</v>
      </c>
      <c r="C89" s="367">
        <f>游戏时长规划!C151</f>
        <v>30</v>
      </c>
      <c r="D89" s="367">
        <f>游戏时长规划!D151</f>
        <v>910</v>
      </c>
      <c r="E89" s="367">
        <f>游戏时长规划!E151</f>
        <v>9</v>
      </c>
      <c r="F89" s="367">
        <f>游戏时长规划!F151</f>
        <v>17750</v>
      </c>
      <c r="H89" s="360" t="s">
        <v>1111</v>
      </c>
      <c r="I89" s="360" t="str">
        <f t="shared" si="71"/>
        <v>59式</v>
      </c>
      <c r="J89" s="360" t="str">
        <f t="shared" si="72"/>
        <v>挑战者</v>
      </c>
      <c r="K89" s="360" t="str">
        <f t="shared" si="73"/>
        <v>M1A2</v>
      </c>
      <c r="O89" s="365">
        <v>86</v>
      </c>
      <c r="P89" s="360" t="e">
        <f t="shared" ca="1" si="78"/>
        <v>#REF!</v>
      </c>
      <c r="Q89" s="360" t="e">
        <f ca="1">ROUND(MIN((BD89-VLOOKUP(R89,$B$22:$F$46,2,FALSE))/(VLOOKUP(R89,$B$22:$F$46,3,FALSE)-VLOOKUP(R89,$B$22:$F$46,2,FALSE)),1)*((VLOOKUP(R89,$B$22:$F$46,4,FALSE)*(AG89/(AG89+VLOOKUP(P89,$D$49:$F$123,3,TRUE)))+VLOOKUP(R89,$B$22:$F$46,5,FALSE)*(1-AG89/(AG89+VLOOKUP(P89,$D$49:$F$123,3,TRUE))))/2)*游戏时长规划!$C$4,0)</f>
        <v>#REF!</v>
      </c>
      <c r="R89" s="360" t="e">
        <f t="shared" ca="1" si="46"/>
        <v>#REF!</v>
      </c>
      <c r="S89" s="360" t="e">
        <f t="shared" ca="1" si="67"/>
        <v>#REF!</v>
      </c>
      <c r="T89" s="360" t="e">
        <f t="shared" ca="1" si="79"/>
        <v>#REF!</v>
      </c>
      <c r="U89" s="370" t="e">
        <f t="shared" ca="1" si="47"/>
        <v>#REF!</v>
      </c>
      <c r="V89" s="363" t="e">
        <f t="shared" ca="1" si="68"/>
        <v>#REF!</v>
      </c>
      <c r="W89" s="360" t="e">
        <f t="shared" ca="1" si="48"/>
        <v>#REF!</v>
      </c>
      <c r="X89" s="81" t="e">
        <f t="shared" ca="1" si="60"/>
        <v>#REF!</v>
      </c>
      <c r="Y89" s="360" t="str">
        <f t="shared" ca="1" si="49"/>
        <v>NULL</v>
      </c>
      <c r="Z89" s="375" t="e">
        <f t="shared" ca="1" si="61"/>
        <v>#REF!</v>
      </c>
      <c r="AA89" s="360">
        <f ca="1">IFERROR(VLOOKUP(IF(V89="T1低",游戏时长规划!$C$67+Z89,Z89),INDIRECT(V89&amp;"星级"),2,TRUE),0)</f>
        <v>0</v>
      </c>
      <c r="AB89" s="375" t="e">
        <f t="shared" ca="1" si="50"/>
        <v>#REF!</v>
      </c>
      <c r="AC89" s="375">
        <f ca="1">($D$14+$D$17)*$L$4/坦克部件养成!$C$2+AC88-IFERROR(IF(RIGHT(AD88,3)*1&gt;RIGHT(VLOOKUP(AC88,INDIRECT(LEFT(AD87,2)&amp;"部件升阶"),5,TRUE),3)*1,VLOOKUP(AD87,INDIRECT(LEFT(AD87,2)&amp;"部件升阶消耗"),2,FALSE),0),0)</f>
        <v>1017.666666666668</v>
      </c>
      <c r="AD89" s="360" t="e">
        <f t="shared" ca="1" si="51"/>
        <v>#REF!</v>
      </c>
      <c r="AE89" s="375" t="e">
        <f ca="1">$D$15*$L$4/坦克部件养成!$C$2+AE88-IF(LEFT(AD89,2)&lt;&gt;LEFT(AD88,2),VLOOKUP(AF88,INDIRECT(LEFT(AD88,2)&amp;"部件升级消耗"),5,FALSE),0)</f>
        <v>#REF!</v>
      </c>
      <c r="AF89" s="360" t="e">
        <f ca="1">MIN(VLOOKUP(AE89,INDIRECT(LEFT(AD89,2)&amp;"部件升级"),2,TRUE),VLOOKUP(LEFT(AD89,2),坦克部件养成!#REF!,6,FALSE))</f>
        <v>#REF!</v>
      </c>
      <c r="AG89" s="378" t="e">
        <f ca="1">MAX(BD$4:BD89)</f>
        <v>#REF!</v>
      </c>
      <c r="AH89" s="378" t="str">
        <f t="shared" ca="1" si="52"/>
        <v/>
      </c>
      <c r="AI89" s="378">
        <f ca="1">IF(Y89="NULL",0,MAX(BY$4:BY89))</f>
        <v>0</v>
      </c>
      <c r="AK89" s="364" t="e">
        <f t="shared" ca="1" si="53"/>
        <v>#REF!</v>
      </c>
      <c r="AL89" s="364" t="e">
        <f ca="1">VLOOKUP(AK89,坦克个性化设定!$B$18:$F$48,5,FALSE)</f>
        <v>#REF!</v>
      </c>
      <c r="AM89" s="372" t="e">
        <f t="shared" ca="1" si="54"/>
        <v>#REF!</v>
      </c>
      <c r="AN89" s="372" t="e">
        <f t="shared" ca="1" si="62"/>
        <v>#REF!</v>
      </c>
      <c r="AO89" s="364">
        <f t="shared" ca="1" si="55"/>
        <v>0</v>
      </c>
      <c r="AP89" s="372" t="e">
        <f ca="1">VLOOKUP($AK89&amp;$AO89,所有坦克升星属性,MATCH(AP$3,所有坦克升星属性标头,0),FALSE)+ROUND(AU89/VLOOKUP($AK89,坦克部件!#REF!,4,FALSE)*VLOOKUP($AK89&amp;0,所有坦克升星属性,MATCH(AP$3,所有坦克升星属性标头,0),FALSE),0)</f>
        <v>#REF!</v>
      </c>
      <c r="AQ89" s="372" t="e">
        <f ca="1">VLOOKUP($AK89&amp;$AO89,所有坦克升星属性,MATCH(AQ$3,所有坦克升星属性标头,0),FALSE)+ROUND(AV89/VLOOKUP($AK89,坦克部件!#REF!,4,FALSE)*VLOOKUP($AK89&amp;0,所有坦克升星属性,MATCH(AQ$3,所有坦克升星属性标头,0),FALSE),0)</f>
        <v>#REF!</v>
      </c>
      <c r="AR89" s="372" t="e">
        <f t="shared" ca="1" si="74"/>
        <v>#REF!</v>
      </c>
      <c r="AS89" s="372" t="e">
        <f t="shared" ca="1" si="74"/>
        <v>#REF!</v>
      </c>
      <c r="AT89" s="372" t="e">
        <f ca="1">VLOOKUP($AK89&amp;$AO89,所有坦克升星属性,MATCH(AT$3,所有坦克升星属性标头,0),FALSE)+ROUND(AW89/VLOOKUP($AK89,坦克部件!#REF!,4,FALSE)*VLOOKUP($AK89&amp;0,所有坦克升星属性,MATCH(AT$3,所有坦克升星属性标头,0),FALSE),0)</f>
        <v>#REF!</v>
      </c>
      <c r="AU89" s="372" t="e">
        <f ca="1">(VLOOKUP($AM89,坦克部件!#REF!,MATCH("标准值",坦克部件!#REF!,0),FALSE)+VLOOKUP($AN89,坦克部件!#REF!,MATCH("标准值",坦克部件!#REF!,0),FALSE))*2</f>
        <v>#REF!</v>
      </c>
      <c r="AV89" s="372" t="e">
        <f ca="1">(VLOOKUP($AM89,坦克部件!#REF!,MATCH("标准值",坦克部件!#REF!,0),FALSE)+VLOOKUP($AN89,坦克部件!#REF!,MATCH("标准值",坦克部件!#REF!,0),FALSE))*2</f>
        <v>#REF!</v>
      </c>
      <c r="AW89" s="372" t="e">
        <f ca="1">(VLOOKUP($AM89,坦克部件!#REF!,MATCH("标准值",坦克部件!#REF!,0),FALSE)+VLOOKUP($AN89,坦克部件!#REF!,MATCH("标准值",坦克部件!#REF!,0),FALSE))*2</f>
        <v>#REF!</v>
      </c>
      <c r="AX89" s="372" t="e">
        <f ca="1">VLOOKUP($AK89,坦克属性统计!$B$3:$AY$33,MATCH(AX$3,坦克属性统计!$B$3:$AY$3,0),FALSE)</f>
        <v>#REF!</v>
      </c>
      <c r="AY89" s="372" t="e">
        <f t="shared" ca="1" si="75"/>
        <v>#REF!</v>
      </c>
      <c r="AZ89" s="372" t="e">
        <f t="shared" ca="1" si="75"/>
        <v>#REF!</v>
      </c>
      <c r="BA89" s="372" t="e">
        <f t="shared" ca="1" si="75"/>
        <v>#REF!</v>
      </c>
      <c r="BB89" s="356" t="e">
        <f t="shared" ca="1" si="56"/>
        <v>#REF!</v>
      </c>
      <c r="BC89" s="356" t="e">
        <f ca="1">VLOOKUP(AK89,坦克个性化设定!$B$18:$E$48,4,FALSE)</f>
        <v>#REF!</v>
      </c>
      <c r="BD89" s="357" t="e">
        <f t="shared" ca="1" si="63"/>
        <v>#REF!</v>
      </c>
      <c r="BF89" s="357" t="str">
        <f t="shared" ca="1" si="57"/>
        <v/>
      </c>
      <c r="BG89" s="372" t="str">
        <f ca="1">IFERROR(VLOOKUP(BF89,坦克个性化设定!$B$18:$F$48,5,FALSE),"")</f>
        <v/>
      </c>
      <c r="BH89" s="372" t="e">
        <f t="shared" ca="1" si="64"/>
        <v>#REF!</v>
      </c>
      <c r="BI89" s="372" t="e">
        <f t="shared" ca="1" si="65"/>
        <v>#REF!</v>
      </c>
      <c r="BJ89" s="364" t="str">
        <f t="shared" ca="1" si="58"/>
        <v>NULL</v>
      </c>
      <c r="BK89" s="372" t="e">
        <f ca="1">VLOOKUP($BF89&amp;IF($BJ89="NULL",0,$BJ89),所有坦克升星属性,MATCH(BK$3,所有坦克升星属性标头,0),FALSE)+ROUND(BP89/VLOOKUP($BF89,坦克部件!#REF!,4,FALSE)*VLOOKUP($BF89&amp;0,所有坦克升星属性,MATCH(BK$3,所有坦克升星属性标头,0),FALSE),0)</f>
        <v>#N/A</v>
      </c>
      <c r="BL89" s="372" t="e">
        <f ca="1">VLOOKUP($BF89&amp;IF($BJ89="NULL",0,$BJ89),所有坦克升星属性,MATCH(BL$3,所有坦克升星属性标头,0),FALSE)+ROUND(BQ89/VLOOKUP($BF89,坦克部件!#REF!,4,FALSE)*VLOOKUP($BF89&amp;0,所有坦克升星属性,MATCH(BL$3,所有坦克升星属性标头,0),FALSE),0)</f>
        <v>#N/A</v>
      </c>
      <c r="BM89" s="372" t="e">
        <f t="shared" ca="1" si="76"/>
        <v>#N/A</v>
      </c>
      <c r="BN89" s="372" t="e">
        <f t="shared" ca="1" si="76"/>
        <v>#N/A</v>
      </c>
      <c r="BO89" s="372" t="e">
        <f ca="1">VLOOKUP($BF89&amp;IF($BJ89="NULL",0,$BJ89),所有坦克升星属性,MATCH(BO$3,所有坦克升星属性标头,0),FALSE)+ROUND(BR89/VLOOKUP($BF89,坦克部件!#REF!,4,FALSE)*VLOOKUP($BF89&amp;0,所有坦克升星属性,MATCH(BO$3,所有坦克升星属性标头,0),FALSE),0)</f>
        <v>#N/A</v>
      </c>
      <c r="BP89" s="372" t="e">
        <f ca="1">(VLOOKUP($BH89,坦克部件!#REF!,MATCH("标准值",坦克部件!#REF!,0),FALSE)+VLOOKUP($BI89,坦克部件!#REF!,MATCH("标准值",坦克部件!#REF!,0),FALSE))*2</f>
        <v>#REF!</v>
      </c>
      <c r="BQ89" s="372" t="e">
        <f ca="1">(VLOOKUP($BH89,坦克部件!#REF!,MATCH("标准值",坦克部件!#REF!,0),FALSE)+VLOOKUP($BI89,坦克部件!#REF!,MATCH("标准值",坦克部件!#REF!,0),FALSE))*2</f>
        <v>#REF!</v>
      </c>
      <c r="BR89" s="372" t="e">
        <f ca="1">(VLOOKUP($BH89,坦克部件!#REF!,MATCH("标准值",坦克部件!#REF!,0),FALSE)+VLOOKUP($BI89,坦克部件!#REF!,MATCH("标准值",坦克部件!#REF!,0),FALSE))*2</f>
        <v>#REF!</v>
      </c>
      <c r="BS89" s="372" t="e">
        <f ca="1">VLOOKUP($BF89,坦克属性统计!$B$3:$AY$33,MATCH(BS$3,坦克属性统计!$B$3:$AY$3,0),FALSE)</f>
        <v>#N/A</v>
      </c>
      <c r="BT89" s="372" t="e">
        <f t="shared" ca="1" si="77"/>
        <v>#N/A</v>
      </c>
      <c r="BU89" s="372" t="e">
        <f t="shared" ca="1" si="77"/>
        <v>#N/A</v>
      </c>
      <c r="BV89" s="372" t="e">
        <f t="shared" ca="1" si="77"/>
        <v>#N/A</v>
      </c>
      <c r="BW89" s="356">
        <f t="shared" ca="1" si="59"/>
        <v>0</v>
      </c>
      <c r="BX89" s="356" t="e">
        <f ca="1">VLOOKUP(BF89,坦克个性化设定!$B$18:$E$48,4,FALSE)</f>
        <v>#N/A</v>
      </c>
      <c r="BY89" s="357" t="e">
        <f t="shared" ca="1" si="66"/>
        <v>#N/A</v>
      </c>
    </row>
    <row r="90" spans="2:77" x14ac:dyDescent="0.35">
      <c r="B90" s="352">
        <v>41</v>
      </c>
      <c r="C90" s="367">
        <f>游戏时长规划!C152</f>
        <v>30</v>
      </c>
      <c r="D90" s="367">
        <f>游戏时长规划!D152</f>
        <v>940</v>
      </c>
      <c r="E90" s="367">
        <f>游戏时长规划!E152</f>
        <v>9</v>
      </c>
      <c r="F90" s="367">
        <f>游戏时长规划!F152</f>
        <v>18600</v>
      </c>
      <c r="O90" s="365">
        <v>87</v>
      </c>
      <c r="P90" s="360" t="e">
        <f t="shared" ca="1" si="78"/>
        <v>#REF!</v>
      </c>
      <c r="Q90" s="360" t="e">
        <f ca="1">ROUND(MIN((BD90-VLOOKUP(R90,$B$22:$F$46,2,FALSE))/(VLOOKUP(R90,$B$22:$F$46,3,FALSE)-VLOOKUP(R90,$B$22:$F$46,2,FALSE)),1)*((VLOOKUP(R90,$B$22:$F$46,4,FALSE)*(AG90/(AG90+VLOOKUP(P90,$D$49:$F$123,3,TRUE)))+VLOOKUP(R90,$B$22:$F$46,5,FALSE)*(1-AG90/(AG90+VLOOKUP(P90,$D$49:$F$123,3,TRUE))))/2)*游戏时长规划!$C$4,0)</f>
        <v>#REF!</v>
      </c>
      <c r="R90" s="360" t="e">
        <f t="shared" ca="1" si="46"/>
        <v>#REF!</v>
      </c>
      <c r="S90" s="360" t="e">
        <f t="shared" ca="1" si="67"/>
        <v>#REF!</v>
      </c>
      <c r="T90" s="360" t="e">
        <f t="shared" ca="1" si="79"/>
        <v>#REF!</v>
      </c>
      <c r="U90" s="370" t="e">
        <f t="shared" ca="1" si="47"/>
        <v>#REF!</v>
      </c>
      <c r="V90" s="363" t="e">
        <f t="shared" ca="1" si="68"/>
        <v>#REF!</v>
      </c>
      <c r="W90" s="360" t="e">
        <f t="shared" ca="1" si="48"/>
        <v>#REF!</v>
      </c>
      <c r="X90" s="81" t="e">
        <f t="shared" ca="1" si="60"/>
        <v>#REF!</v>
      </c>
      <c r="Y90" s="360" t="str">
        <f t="shared" ca="1" si="49"/>
        <v>NULL</v>
      </c>
      <c r="Z90" s="375" t="e">
        <f t="shared" ca="1" si="61"/>
        <v>#REF!</v>
      </c>
      <c r="AA90" s="360">
        <f ca="1">IFERROR(VLOOKUP(IF(V90="T1低",游戏时长规划!$C$67+Z90,Z90),INDIRECT(V90&amp;"星级"),2,TRUE),0)</f>
        <v>0</v>
      </c>
      <c r="AB90" s="375" t="e">
        <f t="shared" ca="1" si="50"/>
        <v>#REF!</v>
      </c>
      <c r="AC90" s="375">
        <f ca="1">($D$14+$D$17)*$L$4/坦克部件养成!$C$2+AC89-IFERROR(IF(RIGHT(AD89,3)*1&gt;RIGHT(VLOOKUP(AC89,INDIRECT(LEFT(AD88,2)&amp;"部件升阶"),5,TRUE),3)*1,VLOOKUP(AD88,INDIRECT(LEFT(AD88,2)&amp;"部件升阶消耗"),2,FALSE),0),0)</f>
        <v>1029.5000000000014</v>
      </c>
      <c r="AD90" s="360" t="e">
        <f t="shared" ca="1" si="51"/>
        <v>#REF!</v>
      </c>
      <c r="AE90" s="375" t="e">
        <f ca="1">$D$15*$L$4/坦克部件养成!$C$2+AE89-IF(LEFT(AD90,2)&lt;&gt;LEFT(AD89,2),VLOOKUP(AF89,INDIRECT(LEFT(AD89,2)&amp;"部件升级消耗"),5,FALSE),0)</f>
        <v>#REF!</v>
      </c>
      <c r="AF90" s="360" t="e">
        <f ca="1">MIN(VLOOKUP(AE90,INDIRECT(LEFT(AD90,2)&amp;"部件升级"),2,TRUE),VLOOKUP(LEFT(AD90,2),坦克部件养成!#REF!,6,FALSE))</f>
        <v>#REF!</v>
      </c>
      <c r="AG90" s="378" t="e">
        <f ca="1">MAX(BD$4:BD90)</f>
        <v>#REF!</v>
      </c>
      <c r="AH90" s="378" t="str">
        <f t="shared" ca="1" si="52"/>
        <v/>
      </c>
      <c r="AI90" s="378">
        <f ca="1">IF(Y90="NULL",0,MAX(BY$4:BY90))</f>
        <v>0</v>
      </c>
      <c r="AK90" s="364" t="e">
        <f t="shared" ca="1" si="53"/>
        <v>#REF!</v>
      </c>
      <c r="AL90" s="364" t="e">
        <f ca="1">VLOOKUP(AK90,坦克个性化设定!$B$18:$F$48,5,FALSE)</f>
        <v>#REF!</v>
      </c>
      <c r="AM90" s="372" t="e">
        <f t="shared" ca="1" si="54"/>
        <v>#REF!</v>
      </c>
      <c r="AN90" s="372" t="e">
        <f t="shared" ca="1" si="62"/>
        <v>#REF!</v>
      </c>
      <c r="AO90" s="364">
        <f t="shared" ca="1" si="55"/>
        <v>0</v>
      </c>
      <c r="AP90" s="372" t="e">
        <f ca="1">VLOOKUP($AK90&amp;$AO90,所有坦克升星属性,MATCH(AP$3,所有坦克升星属性标头,0),FALSE)+ROUND(AU90/VLOOKUP($AK90,坦克部件!#REF!,4,FALSE)*VLOOKUP($AK90&amp;0,所有坦克升星属性,MATCH(AP$3,所有坦克升星属性标头,0),FALSE),0)</f>
        <v>#REF!</v>
      </c>
      <c r="AQ90" s="372" t="e">
        <f ca="1">VLOOKUP($AK90&amp;$AO90,所有坦克升星属性,MATCH(AQ$3,所有坦克升星属性标头,0),FALSE)+ROUND(AV90/VLOOKUP($AK90,坦克部件!#REF!,4,FALSE)*VLOOKUP($AK90&amp;0,所有坦克升星属性,MATCH(AQ$3,所有坦克升星属性标头,0),FALSE),0)</f>
        <v>#REF!</v>
      </c>
      <c r="AR90" s="372" t="e">
        <f t="shared" ca="1" si="74"/>
        <v>#REF!</v>
      </c>
      <c r="AS90" s="372" t="e">
        <f t="shared" ca="1" si="74"/>
        <v>#REF!</v>
      </c>
      <c r="AT90" s="372" t="e">
        <f ca="1">VLOOKUP($AK90&amp;$AO90,所有坦克升星属性,MATCH(AT$3,所有坦克升星属性标头,0),FALSE)+ROUND(AW90/VLOOKUP($AK90,坦克部件!#REF!,4,FALSE)*VLOOKUP($AK90&amp;0,所有坦克升星属性,MATCH(AT$3,所有坦克升星属性标头,0),FALSE),0)</f>
        <v>#REF!</v>
      </c>
      <c r="AU90" s="372" t="e">
        <f ca="1">(VLOOKUP($AM90,坦克部件!#REF!,MATCH("标准值",坦克部件!#REF!,0),FALSE)+VLOOKUP($AN90,坦克部件!#REF!,MATCH("标准值",坦克部件!#REF!,0),FALSE))*2</f>
        <v>#REF!</v>
      </c>
      <c r="AV90" s="372" t="e">
        <f ca="1">(VLOOKUP($AM90,坦克部件!#REF!,MATCH("标准值",坦克部件!#REF!,0),FALSE)+VLOOKUP($AN90,坦克部件!#REF!,MATCH("标准值",坦克部件!#REF!,0),FALSE))*2</f>
        <v>#REF!</v>
      </c>
      <c r="AW90" s="372" t="e">
        <f ca="1">(VLOOKUP($AM90,坦克部件!#REF!,MATCH("标准值",坦克部件!#REF!,0),FALSE)+VLOOKUP($AN90,坦克部件!#REF!,MATCH("标准值",坦克部件!#REF!,0),FALSE))*2</f>
        <v>#REF!</v>
      </c>
      <c r="AX90" s="372" t="e">
        <f ca="1">VLOOKUP($AK90,坦克属性统计!$B$3:$AY$33,MATCH(AX$3,坦克属性统计!$B$3:$AY$3,0),FALSE)</f>
        <v>#REF!</v>
      </c>
      <c r="AY90" s="372" t="e">
        <f t="shared" ca="1" si="75"/>
        <v>#REF!</v>
      </c>
      <c r="AZ90" s="372" t="e">
        <f t="shared" ca="1" si="75"/>
        <v>#REF!</v>
      </c>
      <c r="BA90" s="372" t="e">
        <f t="shared" ca="1" si="75"/>
        <v>#REF!</v>
      </c>
      <c r="BB90" s="356" t="e">
        <f t="shared" ca="1" si="56"/>
        <v>#REF!</v>
      </c>
      <c r="BC90" s="356" t="e">
        <f ca="1">VLOOKUP(AK90,坦克个性化设定!$B$18:$E$48,4,FALSE)</f>
        <v>#REF!</v>
      </c>
      <c r="BD90" s="357" t="e">
        <f t="shared" ca="1" si="63"/>
        <v>#REF!</v>
      </c>
      <c r="BF90" s="357" t="str">
        <f t="shared" ca="1" si="57"/>
        <v/>
      </c>
      <c r="BG90" s="372" t="str">
        <f ca="1">IFERROR(VLOOKUP(BF90,坦克个性化设定!$B$18:$F$48,5,FALSE),"")</f>
        <v/>
      </c>
      <c r="BH90" s="372" t="e">
        <f t="shared" ca="1" si="64"/>
        <v>#REF!</v>
      </c>
      <c r="BI90" s="372" t="e">
        <f t="shared" ca="1" si="65"/>
        <v>#REF!</v>
      </c>
      <c r="BJ90" s="364" t="str">
        <f t="shared" ca="1" si="58"/>
        <v>NULL</v>
      </c>
      <c r="BK90" s="372" t="e">
        <f ca="1">VLOOKUP($BF90&amp;IF($BJ90="NULL",0,$BJ90),所有坦克升星属性,MATCH(BK$3,所有坦克升星属性标头,0),FALSE)+ROUND(BP90/VLOOKUP($BF90,坦克部件!#REF!,4,FALSE)*VLOOKUP($BF90&amp;0,所有坦克升星属性,MATCH(BK$3,所有坦克升星属性标头,0),FALSE),0)</f>
        <v>#N/A</v>
      </c>
      <c r="BL90" s="372" t="e">
        <f ca="1">VLOOKUP($BF90&amp;IF($BJ90="NULL",0,$BJ90),所有坦克升星属性,MATCH(BL$3,所有坦克升星属性标头,0),FALSE)+ROUND(BQ90/VLOOKUP($BF90,坦克部件!#REF!,4,FALSE)*VLOOKUP($BF90&amp;0,所有坦克升星属性,MATCH(BL$3,所有坦克升星属性标头,0),FALSE),0)</f>
        <v>#N/A</v>
      </c>
      <c r="BM90" s="372" t="e">
        <f t="shared" ca="1" si="76"/>
        <v>#N/A</v>
      </c>
      <c r="BN90" s="372" t="e">
        <f t="shared" ca="1" si="76"/>
        <v>#N/A</v>
      </c>
      <c r="BO90" s="372" t="e">
        <f ca="1">VLOOKUP($BF90&amp;IF($BJ90="NULL",0,$BJ90),所有坦克升星属性,MATCH(BO$3,所有坦克升星属性标头,0),FALSE)+ROUND(BR90/VLOOKUP($BF90,坦克部件!#REF!,4,FALSE)*VLOOKUP($BF90&amp;0,所有坦克升星属性,MATCH(BO$3,所有坦克升星属性标头,0),FALSE),0)</f>
        <v>#N/A</v>
      </c>
      <c r="BP90" s="372" t="e">
        <f ca="1">(VLOOKUP($BH90,坦克部件!#REF!,MATCH("标准值",坦克部件!#REF!,0),FALSE)+VLOOKUP($BI90,坦克部件!#REF!,MATCH("标准值",坦克部件!#REF!,0),FALSE))*2</f>
        <v>#REF!</v>
      </c>
      <c r="BQ90" s="372" t="e">
        <f ca="1">(VLOOKUP($BH90,坦克部件!#REF!,MATCH("标准值",坦克部件!#REF!,0),FALSE)+VLOOKUP($BI90,坦克部件!#REF!,MATCH("标准值",坦克部件!#REF!,0),FALSE))*2</f>
        <v>#REF!</v>
      </c>
      <c r="BR90" s="372" t="e">
        <f ca="1">(VLOOKUP($BH90,坦克部件!#REF!,MATCH("标准值",坦克部件!#REF!,0),FALSE)+VLOOKUP($BI90,坦克部件!#REF!,MATCH("标准值",坦克部件!#REF!,0),FALSE))*2</f>
        <v>#REF!</v>
      </c>
      <c r="BS90" s="372" t="e">
        <f ca="1">VLOOKUP($BF90,坦克属性统计!$B$3:$AY$33,MATCH(BS$3,坦克属性统计!$B$3:$AY$3,0),FALSE)</f>
        <v>#N/A</v>
      </c>
      <c r="BT90" s="372" t="e">
        <f t="shared" ca="1" si="77"/>
        <v>#N/A</v>
      </c>
      <c r="BU90" s="372" t="e">
        <f t="shared" ca="1" si="77"/>
        <v>#N/A</v>
      </c>
      <c r="BV90" s="372" t="e">
        <f t="shared" ca="1" si="77"/>
        <v>#N/A</v>
      </c>
      <c r="BW90" s="356">
        <f t="shared" ca="1" si="59"/>
        <v>0</v>
      </c>
      <c r="BX90" s="356" t="e">
        <f ca="1">VLOOKUP(BF90,坦克个性化设定!$B$18:$E$48,4,FALSE)</f>
        <v>#N/A</v>
      </c>
      <c r="BY90" s="357" t="e">
        <f t="shared" ca="1" si="66"/>
        <v>#N/A</v>
      </c>
    </row>
    <row r="91" spans="2:77" x14ac:dyDescent="0.35">
      <c r="B91" s="352">
        <v>42</v>
      </c>
      <c r="C91" s="367">
        <f>游戏时长规划!C153</f>
        <v>30</v>
      </c>
      <c r="D91" s="367">
        <f>游戏时长规划!D153</f>
        <v>970</v>
      </c>
      <c r="E91" s="367">
        <f>游戏时长规划!E153</f>
        <v>9</v>
      </c>
      <c r="F91" s="367">
        <f>游戏时长规划!F153</f>
        <v>19450</v>
      </c>
      <c r="O91" s="365">
        <v>88</v>
      </c>
      <c r="P91" s="360" t="e">
        <f t="shared" ca="1" si="78"/>
        <v>#REF!</v>
      </c>
      <c r="Q91" s="360" t="e">
        <f ca="1">ROUND(MIN((BD91-VLOOKUP(R91,$B$22:$F$46,2,FALSE))/(VLOOKUP(R91,$B$22:$F$46,3,FALSE)-VLOOKUP(R91,$B$22:$F$46,2,FALSE)),1)*((VLOOKUP(R91,$B$22:$F$46,4,FALSE)*(AG91/(AG91+VLOOKUP(P91,$D$49:$F$123,3,TRUE)))+VLOOKUP(R91,$B$22:$F$46,5,FALSE)*(1-AG91/(AG91+VLOOKUP(P91,$D$49:$F$123,3,TRUE))))/2)*游戏时长规划!$C$4,0)</f>
        <v>#REF!</v>
      </c>
      <c r="R91" s="360" t="e">
        <f t="shared" ca="1" si="46"/>
        <v>#REF!</v>
      </c>
      <c r="S91" s="360" t="e">
        <f t="shared" ca="1" si="67"/>
        <v>#REF!</v>
      </c>
      <c r="T91" s="360" t="e">
        <f t="shared" ca="1" si="79"/>
        <v>#REF!</v>
      </c>
      <c r="U91" s="370" t="e">
        <f t="shared" ca="1" si="47"/>
        <v>#REF!</v>
      </c>
      <c r="V91" s="363" t="e">
        <f t="shared" ca="1" si="68"/>
        <v>#REF!</v>
      </c>
      <c r="W91" s="360" t="e">
        <f t="shared" ca="1" si="48"/>
        <v>#REF!</v>
      </c>
      <c r="X91" s="81" t="e">
        <f t="shared" ca="1" si="60"/>
        <v>#REF!</v>
      </c>
      <c r="Y91" s="360" t="str">
        <f t="shared" ca="1" si="49"/>
        <v>NULL</v>
      </c>
      <c r="Z91" s="375" t="e">
        <f t="shared" ca="1" si="61"/>
        <v>#REF!</v>
      </c>
      <c r="AA91" s="360">
        <f ca="1">IFERROR(VLOOKUP(IF(V91="T1低",游戏时长规划!$C$67+Z91,Z91),INDIRECT(V91&amp;"星级"),2,TRUE),0)</f>
        <v>0</v>
      </c>
      <c r="AB91" s="375" t="e">
        <f t="shared" ca="1" si="50"/>
        <v>#REF!</v>
      </c>
      <c r="AC91" s="375">
        <f ca="1">($D$14+$D$17)*$L$4/坦克部件养成!$C$2+AC90-IFERROR(IF(RIGHT(AD90,3)*1&gt;RIGHT(VLOOKUP(AC90,INDIRECT(LEFT(AD89,2)&amp;"部件升阶"),5,TRUE),3)*1,VLOOKUP(AD89,INDIRECT(LEFT(AD89,2)&amp;"部件升阶消耗"),2,FALSE),0),0)</f>
        <v>1041.3333333333346</v>
      </c>
      <c r="AD91" s="360" t="e">
        <f t="shared" ca="1" si="51"/>
        <v>#REF!</v>
      </c>
      <c r="AE91" s="375" t="e">
        <f ca="1">$D$15*$L$4/坦克部件养成!$C$2+AE90-IF(LEFT(AD91,2)&lt;&gt;LEFT(AD90,2),VLOOKUP(AF90,INDIRECT(LEFT(AD90,2)&amp;"部件升级消耗"),5,FALSE),0)</f>
        <v>#REF!</v>
      </c>
      <c r="AF91" s="360" t="e">
        <f ca="1">MIN(VLOOKUP(AE91,INDIRECT(LEFT(AD91,2)&amp;"部件升级"),2,TRUE),VLOOKUP(LEFT(AD91,2),坦克部件养成!#REF!,6,FALSE))</f>
        <v>#REF!</v>
      </c>
      <c r="AG91" s="378" t="e">
        <f ca="1">MAX(BD$4:BD91)</f>
        <v>#REF!</v>
      </c>
      <c r="AH91" s="378" t="str">
        <f t="shared" ca="1" si="52"/>
        <v/>
      </c>
      <c r="AI91" s="378">
        <f ca="1">IF(Y91="NULL",0,MAX(BY$4:BY91))</f>
        <v>0</v>
      </c>
      <c r="AK91" s="364" t="e">
        <f t="shared" ca="1" si="53"/>
        <v>#REF!</v>
      </c>
      <c r="AL91" s="364" t="e">
        <f ca="1">VLOOKUP(AK91,坦克个性化设定!$B$18:$F$48,5,FALSE)</f>
        <v>#REF!</v>
      </c>
      <c r="AM91" s="372" t="e">
        <f t="shared" ca="1" si="54"/>
        <v>#REF!</v>
      </c>
      <c r="AN91" s="372" t="e">
        <f t="shared" ca="1" si="62"/>
        <v>#REF!</v>
      </c>
      <c r="AO91" s="364">
        <f t="shared" ca="1" si="55"/>
        <v>0</v>
      </c>
      <c r="AP91" s="372" t="e">
        <f ca="1">VLOOKUP($AK91&amp;$AO91,所有坦克升星属性,MATCH(AP$3,所有坦克升星属性标头,0),FALSE)+ROUND(AU91/VLOOKUP($AK91,坦克部件!#REF!,4,FALSE)*VLOOKUP($AK91&amp;0,所有坦克升星属性,MATCH(AP$3,所有坦克升星属性标头,0),FALSE),0)</f>
        <v>#REF!</v>
      </c>
      <c r="AQ91" s="372" t="e">
        <f ca="1">VLOOKUP($AK91&amp;$AO91,所有坦克升星属性,MATCH(AQ$3,所有坦克升星属性标头,0),FALSE)+ROUND(AV91/VLOOKUP($AK91,坦克部件!#REF!,4,FALSE)*VLOOKUP($AK91&amp;0,所有坦克升星属性,MATCH(AQ$3,所有坦克升星属性标头,0),FALSE),0)</f>
        <v>#REF!</v>
      </c>
      <c r="AR91" s="372" t="e">
        <f t="shared" ca="1" si="74"/>
        <v>#REF!</v>
      </c>
      <c r="AS91" s="372" t="e">
        <f t="shared" ca="1" si="74"/>
        <v>#REF!</v>
      </c>
      <c r="AT91" s="372" t="e">
        <f ca="1">VLOOKUP($AK91&amp;$AO91,所有坦克升星属性,MATCH(AT$3,所有坦克升星属性标头,0),FALSE)+ROUND(AW91/VLOOKUP($AK91,坦克部件!#REF!,4,FALSE)*VLOOKUP($AK91&amp;0,所有坦克升星属性,MATCH(AT$3,所有坦克升星属性标头,0),FALSE),0)</f>
        <v>#REF!</v>
      </c>
      <c r="AU91" s="372" t="e">
        <f ca="1">(VLOOKUP($AM91,坦克部件!#REF!,MATCH("标准值",坦克部件!#REF!,0),FALSE)+VLOOKUP($AN91,坦克部件!#REF!,MATCH("标准值",坦克部件!#REF!,0),FALSE))*2</f>
        <v>#REF!</v>
      </c>
      <c r="AV91" s="372" t="e">
        <f ca="1">(VLOOKUP($AM91,坦克部件!#REF!,MATCH("标准值",坦克部件!#REF!,0),FALSE)+VLOOKUP($AN91,坦克部件!#REF!,MATCH("标准值",坦克部件!#REF!,0),FALSE))*2</f>
        <v>#REF!</v>
      </c>
      <c r="AW91" s="372" t="e">
        <f ca="1">(VLOOKUP($AM91,坦克部件!#REF!,MATCH("标准值",坦克部件!#REF!,0),FALSE)+VLOOKUP($AN91,坦克部件!#REF!,MATCH("标准值",坦克部件!#REF!,0),FALSE))*2</f>
        <v>#REF!</v>
      </c>
      <c r="AX91" s="372" t="e">
        <f ca="1">VLOOKUP($AK91,坦克属性统计!$B$3:$AY$33,MATCH(AX$3,坦克属性统计!$B$3:$AY$3,0),FALSE)</f>
        <v>#REF!</v>
      </c>
      <c r="AY91" s="372" t="e">
        <f t="shared" ca="1" si="75"/>
        <v>#REF!</v>
      </c>
      <c r="AZ91" s="372" t="e">
        <f t="shared" ca="1" si="75"/>
        <v>#REF!</v>
      </c>
      <c r="BA91" s="372" t="e">
        <f t="shared" ca="1" si="75"/>
        <v>#REF!</v>
      </c>
      <c r="BB91" s="356" t="e">
        <f t="shared" ca="1" si="56"/>
        <v>#REF!</v>
      </c>
      <c r="BC91" s="356" t="e">
        <f ca="1">VLOOKUP(AK91,坦克个性化设定!$B$18:$E$48,4,FALSE)</f>
        <v>#REF!</v>
      </c>
      <c r="BD91" s="357" t="e">
        <f t="shared" ca="1" si="63"/>
        <v>#REF!</v>
      </c>
      <c r="BF91" s="357" t="str">
        <f t="shared" ca="1" si="57"/>
        <v/>
      </c>
      <c r="BG91" s="372" t="str">
        <f ca="1">IFERROR(VLOOKUP(BF91,坦克个性化设定!$B$18:$F$48,5,FALSE),"")</f>
        <v/>
      </c>
      <c r="BH91" s="372" t="e">
        <f t="shared" ca="1" si="64"/>
        <v>#REF!</v>
      </c>
      <c r="BI91" s="372" t="e">
        <f t="shared" ca="1" si="65"/>
        <v>#REF!</v>
      </c>
      <c r="BJ91" s="364" t="str">
        <f t="shared" ca="1" si="58"/>
        <v>NULL</v>
      </c>
      <c r="BK91" s="372" t="e">
        <f ca="1">VLOOKUP($BF91&amp;IF($BJ91="NULL",0,$BJ91),所有坦克升星属性,MATCH(BK$3,所有坦克升星属性标头,0),FALSE)+ROUND(BP91/VLOOKUP($BF91,坦克部件!#REF!,4,FALSE)*VLOOKUP($BF91&amp;0,所有坦克升星属性,MATCH(BK$3,所有坦克升星属性标头,0),FALSE),0)</f>
        <v>#N/A</v>
      </c>
      <c r="BL91" s="372" t="e">
        <f ca="1">VLOOKUP($BF91&amp;IF($BJ91="NULL",0,$BJ91),所有坦克升星属性,MATCH(BL$3,所有坦克升星属性标头,0),FALSE)+ROUND(BQ91/VLOOKUP($BF91,坦克部件!#REF!,4,FALSE)*VLOOKUP($BF91&amp;0,所有坦克升星属性,MATCH(BL$3,所有坦克升星属性标头,0),FALSE),0)</f>
        <v>#N/A</v>
      </c>
      <c r="BM91" s="372" t="e">
        <f t="shared" ca="1" si="76"/>
        <v>#N/A</v>
      </c>
      <c r="BN91" s="372" t="e">
        <f t="shared" ca="1" si="76"/>
        <v>#N/A</v>
      </c>
      <c r="BO91" s="372" t="e">
        <f ca="1">VLOOKUP($BF91&amp;IF($BJ91="NULL",0,$BJ91),所有坦克升星属性,MATCH(BO$3,所有坦克升星属性标头,0),FALSE)+ROUND(BR91/VLOOKUP($BF91,坦克部件!#REF!,4,FALSE)*VLOOKUP($BF91&amp;0,所有坦克升星属性,MATCH(BO$3,所有坦克升星属性标头,0),FALSE),0)</f>
        <v>#N/A</v>
      </c>
      <c r="BP91" s="372" t="e">
        <f ca="1">(VLOOKUP($BH91,坦克部件!#REF!,MATCH("标准值",坦克部件!#REF!,0),FALSE)+VLOOKUP($BI91,坦克部件!#REF!,MATCH("标准值",坦克部件!#REF!,0),FALSE))*2</f>
        <v>#REF!</v>
      </c>
      <c r="BQ91" s="372" t="e">
        <f ca="1">(VLOOKUP($BH91,坦克部件!#REF!,MATCH("标准值",坦克部件!#REF!,0),FALSE)+VLOOKUP($BI91,坦克部件!#REF!,MATCH("标准值",坦克部件!#REF!,0),FALSE))*2</f>
        <v>#REF!</v>
      </c>
      <c r="BR91" s="372" t="e">
        <f ca="1">(VLOOKUP($BH91,坦克部件!#REF!,MATCH("标准值",坦克部件!#REF!,0),FALSE)+VLOOKUP($BI91,坦克部件!#REF!,MATCH("标准值",坦克部件!#REF!,0),FALSE))*2</f>
        <v>#REF!</v>
      </c>
      <c r="BS91" s="372" t="e">
        <f ca="1">VLOOKUP($BF91,坦克属性统计!$B$3:$AY$33,MATCH(BS$3,坦克属性统计!$B$3:$AY$3,0),FALSE)</f>
        <v>#N/A</v>
      </c>
      <c r="BT91" s="372" t="e">
        <f t="shared" ca="1" si="77"/>
        <v>#N/A</v>
      </c>
      <c r="BU91" s="372" t="e">
        <f t="shared" ca="1" si="77"/>
        <v>#N/A</v>
      </c>
      <c r="BV91" s="372" t="e">
        <f t="shared" ca="1" si="77"/>
        <v>#N/A</v>
      </c>
      <c r="BW91" s="356">
        <f t="shared" ca="1" si="59"/>
        <v>0</v>
      </c>
      <c r="BX91" s="356" t="e">
        <f ca="1">VLOOKUP(BF91,坦克个性化设定!$B$18:$E$48,4,FALSE)</f>
        <v>#N/A</v>
      </c>
      <c r="BY91" s="357" t="e">
        <f t="shared" ca="1" si="66"/>
        <v>#N/A</v>
      </c>
    </row>
    <row r="92" spans="2:77" x14ac:dyDescent="0.35">
      <c r="B92" s="352">
        <v>43</v>
      </c>
      <c r="C92" s="367">
        <f>游戏时长规划!C154</f>
        <v>30</v>
      </c>
      <c r="D92" s="367">
        <f>游戏时长规划!D154</f>
        <v>1000</v>
      </c>
      <c r="E92" s="367">
        <f>游戏时长规划!E154</f>
        <v>9</v>
      </c>
      <c r="F92" s="367">
        <f>游戏时长规划!F154</f>
        <v>20350</v>
      </c>
      <c r="O92" s="365">
        <v>89</v>
      </c>
      <c r="P92" s="360" t="e">
        <f t="shared" ca="1" si="78"/>
        <v>#REF!</v>
      </c>
      <c r="Q92" s="360" t="e">
        <f ca="1">ROUND(MIN((BD92-VLOOKUP(R92,$B$22:$F$46,2,FALSE))/(VLOOKUP(R92,$B$22:$F$46,3,FALSE)-VLOOKUP(R92,$B$22:$F$46,2,FALSE)),1)*((VLOOKUP(R92,$B$22:$F$46,4,FALSE)*(AG92/(AG92+VLOOKUP(P92,$D$49:$F$123,3,TRUE)))+VLOOKUP(R92,$B$22:$F$46,5,FALSE)*(1-AG92/(AG92+VLOOKUP(P92,$D$49:$F$123,3,TRUE))))/2)*游戏时长规划!$C$4,0)</f>
        <v>#REF!</v>
      </c>
      <c r="R92" s="360" t="e">
        <f t="shared" ca="1" si="46"/>
        <v>#REF!</v>
      </c>
      <c r="S92" s="360" t="e">
        <f t="shared" ca="1" si="67"/>
        <v>#REF!</v>
      </c>
      <c r="T92" s="360" t="e">
        <f t="shared" ca="1" si="79"/>
        <v>#REF!</v>
      </c>
      <c r="U92" s="370" t="e">
        <f t="shared" ca="1" si="47"/>
        <v>#REF!</v>
      </c>
      <c r="V92" s="363" t="e">
        <f t="shared" ca="1" si="68"/>
        <v>#REF!</v>
      </c>
      <c r="W92" s="360" t="e">
        <f t="shared" ca="1" si="48"/>
        <v>#REF!</v>
      </c>
      <c r="X92" s="81" t="e">
        <f t="shared" ca="1" si="60"/>
        <v>#REF!</v>
      </c>
      <c r="Y92" s="360" t="str">
        <f t="shared" ca="1" si="49"/>
        <v>NULL</v>
      </c>
      <c r="Z92" s="375" t="e">
        <f t="shared" ca="1" si="61"/>
        <v>#REF!</v>
      </c>
      <c r="AA92" s="360">
        <f ca="1">IFERROR(VLOOKUP(IF(V92="T1低",游戏时长规划!$C$67+Z92,Z92),INDIRECT(V92&amp;"星级"),2,TRUE),0)</f>
        <v>0</v>
      </c>
      <c r="AB92" s="375" t="e">
        <f t="shared" ca="1" si="50"/>
        <v>#REF!</v>
      </c>
      <c r="AC92" s="375">
        <f ca="1">($D$14+$D$17)*$L$4/坦克部件养成!$C$2+AC91-IFERROR(IF(RIGHT(AD91,3)*1&gt;RIGHT(VLOOKUP(AC91,INDIRECT(LEFT(AD90,2)&amp;"部件升阶"),5,TRUE),3)*1,VLOOKUP(AD90,INDIRECT(LEFT(AD90,2)&amp;"部件升阶消耗"),2,FALSE),0),0)</f>
        <v>1053.1666666666679</v>
      </c>
      <c r="AD92" s="360" t="e">
        <f t="shared" ca="1" si="51"/>
        <v>#REF!</v>
      </c>
      <c r="AE92" s="375" t="e">
        <f ca="1">$D$15*$L$4/坦克部件养成!$C$2+AE91-IF(LEFT(AD92,2)&lt;&gt;LEFT(AD91,2),VLOOKUP(AF91,INDIRECT(LEFT(AD91,2)&amp;"部件升级消耗"),5,FALSE),0)</f>
        <v>#REF!</v>
      </c>
      <c r="AF92" s="360" t="e">
        <f ca="1">MIN(VLOOKUP(AE92,INDIRECT(LEFT(AD92,2)&amp;"部件升级"),2,TRUE),VLOOKUP(LEFT(AD92,2),坦克部件养成!#REF!,6,FALSE))</f>
        <v>#REF!</v>
      </c>
      <c r="AG92" s="378" t="e">
        <f ca="1">MAX(BD$4:BD92)</f>
        <v>#REF!</v>
      </c>
      <c r="AH92" s="378" t="str">
        <f t="shared" ca="1" si="52"/>
        <v/>
      </c>
      <c r="AI92" s="378">
        <f ca="1">IF(Y92="NULL",0,MAX(BY$4:BY92))</f>
        <v>0</v>
      </c>
      <c r="AK92" s="364" t="e">
        <f t="shared" ca="1" si="53"/>
        <v>#REF!</v>
      </c>
      <c r="AL92" s="364" t="e">
        <f ca="1">VLOOKUP(AK92,坦克个性化设定!$B$18:$F$48,5,FALSE)</f>
        <v>#REF!</v>
      </c>
      <c r="AM92" s="372" t="e">
        <f t="shared" ca="1" si="54"/>
        <v>#REF!</v>
      </c>
      <c r="AN92" s="372" t="e">
        <f t="shared" ca="1" si="62"/>
        <v>#REF!</v>
      </c>
      <c r="AO92" s="364">
        <f t="shared" ca="1" si="55"/>
        <v>0</v>
      </c>
      <c r="AP92" s="372" t="e">
        <f ca="1">VLOOKUP($AK92&amp;$AO92,所有坦克升星属性,MATCH(AP$3,所有坦克升星属性标头,0),FALSE)+ROUND(AU92/VLOOKUP($AK92,坦克部件!#REF!,4,FALSE)*VLOOKUP($AK92&amp;0,所有坦克升星属性,MATCH(AP$3,所有坦克升星属性标头,0),FALSE),0)</f>
        <v>#REF!</v>
      </c>
      <c r="AQ92" s="372" t="e">
        <f ca="1">VLOOKUP($AK92&amp;$AO92,所有坦克升星属性,MATCH(AQ$3,所有坦克升星属性标头,0),FALSE)+ROUND(AV92/VLOOKUP($AK92,坦克部件!#REF!,4,FALSE)*VLOOKUP($AK92&amp;0,所有坦克升星属性,MATCH(AQ$3,所有坦克升星属性标头,0),FALSE),0)</f>
        <v>#REF!</v>
      </c>
      <c r="AR92" s="372" t="e">
        <f t="shared" ca="1" si="74"/>
        <v>#REF!</v>
      </c>
      <c r="AS92" s="372" t="e">
        <f t="shared" ca="1" si="74"/>
        <v>#REF!</v>
      </c>
      <c r="AT92" s="372" t="e">
        <f ca="1">VLOOKUP($AK92&amp;$AO92,所有坦克升星属性,MATCH(AT$3,所有坦克升星属性标头,0),FALSE)+ROUND(AW92/VLOOKUP($AK92,坦克部件!#REF!,4,FALSE)*VLOOKUP($AK92&amp;0,所有坦克升星属性,MATCH(AT$3,所有坦克升星属性标头,0),FALSE),0)</f>
        <v>#REF!</v>
      </c>
      <c r="AU92" s="372" t="e">
        <f ca="1">(VLOOKUP($AM92,坦克部件!#REF!,MATCH("标准值",坦克部件!#REF!,0),FALSE)+VLOOKUP($AN92,坦克部件!#REF!,MATCH("标准值",坦克部件!#REF!,0),FALSE))*2</f>
        <v>#REF!</v>
      </c>
      <c r="AV92" s="372" t="e">
        <f ca="1">(VLOOKUP($AM92,坦克部件!#REF!,MATCH("标准值",坦克部件!#REF!,0),FALSE)+VLOOKUP($AN92,坦克部件!#REF!,MATCH("标准值",坦克部件!#REF!,0),FALSE))*2</f>
        <v>#REF!</v>
      </c>
      <c r="AW92" s="372" t="e">
        <f ca="1">(VLOOKUP($AM92,坦克部件!#REF!,MATCH("标准值",坦克部件!#REF!,0),FALSE)+VLOOKUP($AN92,坦克部件!#REF!,MATCH("标准值",坦克部件!#REF!,0),FALSE))*2</f>
        <v>#REF!</v>
      </c>
      <c r="AX92" s="372" t="e">
        <f ca="1">VLOOKUP($AK92,坦克属性统计!$B$3:$AY$33,MATCH(AX$3,坦克属性统计!$B$3:$AY$3,0),FALSE)</f>
        <v>#REF!</v>
      </c>
      <c r="AY92" s="372" t="e">
        <f t="shared" ca="1" si="75"/>
        <v>#REF!</v>
      </c>
      <c r="AZ92" s="372" t="e">
        <f t="shared" ca="1" si="75"/>
        <v>#REF!</v>
      </c>
      <c r="BA92" s="372" t="e">
        <f t="shared" ca="1" si="75"/>
        <v>#REF!</v>
      </c>
      <c r="BB92" s="356" t="e">
        <f t="shared" ca="1" si="56"/>
        <v>#REF!</v>
      </c>
      <c r="BC92" s="356" t="e">
        <f ca="1">VLOOKUP(AK92,坦克个性化设定!$B$18:$E$48,4,FALSE)</f>
        <v>#REF!</v>
      </c>
      <c r="BD92" s="357" t="e">
        <f t="shared" ca="1" si="63"/>
        <v>#REF!</v>
      </c>
      <c r="BF92" s="357" t="str">
        <f t="shared" ca="1" si="57"/>
        <v/>
      </c>
      <c r="BG92" s="372" t="str">
        <f ca="1">IFERROR(VLOOKUP(BF92,坦克个性化设定!$B$18:$F$48,5,FALSE),"")</f>
        <v/>
      </c>
      <c r="BH92" s="372" t="e">
        <f t="shared" ca="1" si="64"/>
        <v>#REF!</v>
      </c>
      <c r="BI92" s="372" t="e">
        <f t="shared" ca="1" si="65"/>
        <v>#REF!</v>
      </c>
      <c r="BJ92" s="364" t="str">
        <f t="shared" ca="1" si="58"/>
        <v>NULL</v>
      </c>
      <c r="BK92" s="372" t="e">
        <f ca="1">VLOOKUP($BF92&amp;IF($BJ92="NULL",0,$BJ92),所有坦克升星属性,MATCH(BK$3,所有坦克升星属性标头,0),FALSE)+ROUND(BP92/VLOOKUP($BF92,坦克部件!#REF!,4,FALSE)*VLOOKUP($BF92&amp;0,所有坦克升星属性,MATCH(BK$3,所有坦克升星属性标头,0),FALSE),0)</f>
        <v>#N/A</v>
      </c>
      <c r="BL92" s="372" t="e">
        <f ca="1">VLOOKUP($BF92&amp;IF($BJ92="NULL",0,$BJ92),所有坦克升星属性,MATCH(BL$3,所有坦克升星属性标头,0),FALSE)+ROUND(BQ92/VLOOKUP($BF92,坦克部件!#REF!,4,FALSE)*VLOOKUP($BF92&amp;0,所有坦克升星属性,MATCH(BL$3,所有坦克升星属性标头,0),FALSE),0)</f>
        <v>#N/A</v>
      </c>
      <c r="BM92" s="372" t="e">
        <f t="shared" ca="1" si="76"/>
        <v>#N/A</v>
      </c>
      <c r="BN92" s="372" t="e">
        <f t="shared" ca="1" si="76"/>
        <v>#N/A</v>
      </c>
      <c r="BO92" s="372" t="e">
        <f ca="1">VLOOKUP($BF92&amp;IF($BJ92="NULL",0,$BJ92),所有坦克升星属性,MATCH(BO$3,所有坦克升星属性标头,0),FALSE)+ROUND(BR92/VLOOKUP($BF92,坦克部件!#REF!,4,FALSE)*VLOOKUP($BF92&amp;0,所有坦克升星属性,MATCH(BO$3,所有坦克升星属性标头,0),FALSE),0)</f>
        <v>#N/A</v>
      </c>
      <c r="BP92" s="372" t="e">
        <f ca="1">(VLOOKUP($BH92,坦克部件!#REF!,MATCH("标准值",坦克部件!#REF!,0),FALSE)+VLOOKUP($BI92,坦克部件!#REF!,MATCH("标准值",坦克部件!#REF!,0),FALSE))*2</f>
        <v>#REF!</v>
      </c>
      <c r="BQ92" s="372" t="e">
        <f ca="1">(VLOOKUP($BH92,坦克部件!#REF!,MATCH("标准值",坦克部件!#REF!,0),FALSE)+VLOOKUP($BI92,坦克部件!#REF!,MATCH("标准值",坦克部件!#REF!,0),FALSE))*2</f>
        <v>#REF!</v>
      </c>
      <c r="BR92" s="372" t="e">
        <f ca="1">(VLOOKUP($BH92,坦克部件!#REF!,MATCH("标准值",坦克部件!#REF!,0),FALSE)+VLOOKUP($BI92,坦克部件!#REF!,MATCH("标准值",坦克部件!#REF!,0),FALSE))*2</f>
        <v>#REF!</v>
      </c>
      <c r="BS92" s="372" t="e">
        <f ca="1">VLOOKUP($BF92,坦克属性统计!$B$3:$AY$33,MATCH(BS$3,坦克属性统计!$B$3:$AY$3,0),FALSE)</f>
        <v>#N/A</v>
      </c>
      <c r="BT92" s="372" t="e">
        <f t="shared" ca="1" si="77"/>
        <v>#N/A</v>
      </c>
      <c r="BU92" s="372" t="e">
        <f t="shared" ca="1" si="77"/>
        <v>#N/A</v>
      </c>
      <c r="BV92" s="372" t="e">
        <f t="shared" ca="1" si="77"/>
        <v>#N/A</v>
      </c>
      <c r="BW92" s="356">
        <f t="shared" ca="1" si="59"/>
        <v>0</v>
      </c>
      <c r="BX92" s="356" t="e">
        <f ca="1">VLOOKUP(BF92,坦克个性化设定!$B$18:$E$48,4,FALSE)</f>
        <v>#N/A</v>
      </c>
      <c r="BY92" s="357" t="e">
        <f t="shared" ca="1" si="66"/>
        <v>#N/A</v>
      </c>
    </row>
    <row r="93" spans="2:77" x14ac:dyDescent="0.35">
      <c r="B93" s="352">
        <v>44</v>
      </c>
      <c r="C93" s="367">
        <f>游戏时长规划!C155</f>
        <v>30</v>
      </c>
      <c r="D93" s="367">
        <f>游戏时长规划!D155</f>
        <v>1030</v>
      </c>
      <c r="E93" s="367">
        <f>游戏时长规划!E155</f>
        <v>9</v>
      </c>
      <c r="F93" s="367">
        <f>游戏时长规划!F155</f>
        <v>21250</v>
      </c>
      <c r="O93" s="365">
        <v>90</v>
      </c>
      <c r="P93" s="360" t="e">
        <f t="shared" ca="1" si="78"/>
        <v>#REF!</v>
      </c>
      <c r="Q93" s="360" t="e">
        <f ca="1">ROUND(MIN((BD93-VLOOKUP(R93,$B$22:$F$46,2,FALSE))/(VLOOKUP(R93,$B$22:$F$46,3,FALSE)-VLOOKUP(R93,$B$22:$F$46,2,FALSE)),1)*((VLOOKUP(R93,$B$22:$F$46,4,FALSE)*(AG93/(AG93+VLOOKUP(P93,$D$49:$F$123,3,TRUE)))+VLOOKUP(R93,$B$22:$F$46,5,FALSE)*(1-AG93/(AG93+VLOOKUP(P93,$D$49:$F$123,3,TRUE))))/2)*游戏时长规划!$C$4,0)</f>
        <v>#REF!</v>
      </c>
      <c r="R93" s="360" t="e">
        <f t="shared" ca="1" si="46"/>
        <v>#REF!</v>
      </c>
      <c r="S93" s="360" t="e">
        <f t="shared" ca="1" si="67"/>
        <v>#REF!</v>
      </c>
      <c r="T93" s="360" t="e">
        <f t="shared" ca="1" si="79"/>
        <v>#REF!</v>
      </c>
      <c r="U93" s="370" t="e">
        <f t="shared" ca="1" si="47"/>
        <v>#REF!</v>
      </c>
      <c r="V93" s="363" t="e">
        <f t="shared" ca="1" si="68"/>
        <v>#REF!</v>
      </c>
      <c r="W93" s="360" t="e">
        <f t="shared" ca="1" si="48"/>
        <v>#REF!</v>
      </c>
      <c r="X93" s="81" t="e">
        <f t="shared" ca="1" si="60"/>
        <v>#REF!</v>
      </c>
      <c r="Y93" s="360" t="str">
        <f t="shared" ca="1" si="49"/>
        <v>NULL</v>
      </c>
      <c r="Z93" s="375" t="e">
        <f t="shared" ca="1" si="61"/>
        <v>#REF!</v>
      </c>
      <c r="AA93" s="360">
        <f ca="1">IFERROR(VLOOKUP(IF(V93="T1低",游戏时长规划!$C$67+Z93,Z93),INDIRECT(V93&amp;"星级"),2,TRUE),0)</f>
        <v>0</v>
      </c>
      <c r="AB93" s="375" t="e">
        <f t="shared" ca="1" si="50"/>
        <v>#REF!</v>
      </c>
      <c r="AC93" s="375">
        <f ca="1">($D$14+$D$17)*$L$4/坦克部件养成!$C$2+AC92-IFERROR(IF(RIGHT(AD92,3)*1&gt;RIGHT(VLOOKUP(AC92,INDIRECT(LEFT(AD91,2)&amp;"部件升阶"),5,TRUE),3)*1,VLOOKUP(AD91,INDIRECT(LEFT(AD91,2)&amp;"部件升阶消耗"),2,FALSE),0),0)</f>
        <v>1065.0000000000011</v>
      </c>
      <c r="AD93" s="360" t="e">
        <f t="shared" ca="1" si="51"/>
        <v>#REF!</v>
      </c>
      <c r="AE93" s="375" t="e">
        <f ca="1">$D$15*$L$4/坦克部件养成!$C$2+AE92-IF(LEFT(AD93,2)&lt;&gt;LEFT(AD92,2),VLOOKUP(AF92,INDIRECT(LEFT(AD92,2)&amp;"部件升级消耗"),5,FALSE),0)</f>
        <v>#REF!</v>
      </c>
      <c r="AF93" s="360" t="e">
        <f ca="1">MIN(VLOOKUP(AE93,INDIRECT(LEFT(AD93,2)&amp;"部件升级"),2,TRUE),VLOOKUP(LEFT(AD93,2),坦克部件养成!#REF!,6,FALSE))</f>
        <v>#REF!</v>
      </c>
      <c r="AG93" s="378" t="e">
        <f ca="1">MAX(BD$4:BD93)</f>
        <v>#REF!</v>
      </c>
      <c r="AH93" s="378" t="str">
        <f t="shared" ca="1" si="52"/>
        <v/>
      </c>
      <c r="AI93" s="378">
        <f ca="1">IF(Y93="NULL",0,MAX(BY$4:BY93))</f>
        <v>0</v>
      </c>
      <c r="AK93" s="364" t="e">
        <f t="shared" ca="1" si="53"/>
        <v>#REF!</v>
      </c>
      <c r="AL93" s="364" t="e">
        <f ca="1">VLOOKUP(AK93,坦克个性化设定!$B$18:$F$48,5,FALSE)</f>
        <v>#REF!</v>
      </c>
      <c r="AM93" s="372" t="e">
        <f t="shared" ca="1" si="54"/>
        <v>#REF!</v>
      </c>
      <c r="AN93" s="372" t="e">
        <f t="shared" ca="1" si="62"/>
        <v>#REF!</v>
      </c>
      <c r="AO93" s="364">
        <f t="shared" ca="1" si="55"/>
        <v>0</v>
      </c>
      <c r="AP93" s="372" t="e">
        <f ca="1">VLOOKUP($AK93&amp;$AO93,所有坦克升星属性,MATCH(AP$3,所有坦克升星属性标头,0),FALSE)+ROUND(AU93/VLOOKUP($AK93,坦克部件!#REF!,4,FALSE)*VLOOKUP($AK93&amp;0,所有坦克升星属性,MATCH(AP$3,所有坦克升星属性标头,0),FALSE),0)</f>
        <v>#REF!</v>
      </c>
      <c r="AQ93" s="372" t="e">
        <f ca="1">VLOOKUP($AK93&amp;$AO93,所有坦克升星属性,MATCH(AQ$3,所有坦克升星属性标头,0),FALSE)+ROUND(AV93/VLOOKUP($AK93,坦克部件!#REF!,4,FALSE)*VLOOKUP($AK93&amp;0,所有坦克升星属性,MATCH(AQ$3,所有坦克升星属性标头,0),FALSE),0)</f>
        <v>#REF!</v>
      </c>
      <c r="AR93" s="372" t="e">
        <f t="shared" ca="1" si="74"/>
        <v>#REF!</v>
      </c>
      <c r="AS93" s="372" t="e">
        <f t="shared" ca="1" si="74"/>
        <v>#REF!</v>
      </c>
      <c r="AT93" s="372" t="e">
        <f ca="1">VLOOKUP($AK93&amp;$AO93,所有坦克升星属性,MATCH(AT$3,所有坦克升星属性标头,0),FALSE)+ROUND(AW93/VLOOKUP($AK93,坦克部件!#REF!,4,FALSE)*VLOOKUP($AK93&amp;0,所有坦克升星属性,MATCH(AT$3,所有坦克升星属性标头,0),FALSE),0)</f>
        <v>#REF!</v>
      </c>
      <c r="AU93" s="372" t="e">
        <f ca="1">(VLOOKUP($AM93,坦克部件!#REF!,MATCH("标准值",坦克部件!#REF!,0),FALSE)+VLOOKUP($AN93,坦克部件!#REF!,MATCH("标准值",坦克部件!#REF!,0),FALSE))*2</f>
        <v>#REF!</v>
      </c>
      <c r="AV93" s="372" t="e">
        <f ca="1">(VLOOKUP($AM93,坦克部件!#REF!,MATCH("标准值",坦克部件!#REF!,0),FALSE)+VLOOKUP($AN93,坦克部件!#REF!,MATCH("标准值",坦克部件!#REF!,0),FALSE))*2</f>
        <v>#REF!</v>
      </c>
      <c r="AW93" s="372" t="e">
        <f ca="1">(VLOOKUP($AM93,坦克部件!#REF!,MATCH("标准值",坦克部件!#REF!,0),FALSE)+VLOOKUP($AN93,坦克部件!#REF!,MATCH("标准值",坦克部件!#REF!,0),FALSE))*2</f>
        <v>#REF!</v>
      </c>
      <c r="AX93" s="372" t="e">
        <f ca="1">VLOOKUP($AK93,坦克属性统计!$B$3:$AY$33,MATCH(AX$3,坦克属性统计!$B$3:$AY$3,0),FALSE)</f>
        <v>#REF!</v>
      </c>
      <c r="AY93" s="372" t="e">
        <f t="shared" ca="1" si="75"/>
        <v>#REF!</v>
      </c>
      <c r="AZ93" s="372" t="e">
        <f t="shared" ca="1" si="75"/>
        <v>#REF!</v>
      </c>
      <c r="BA93" s="372" t="e">
        <f t="shared" ca="1" si="75"/>
        <v>#REF!</v>
      </c>
      <c r="BB93" s="356" t="e">
        <f t="shared" ca="1" si="56"/>
        <v>#REF!</v>
      </c>
      <c r="BC93" s="356" t="e">
        <f ca="1">VLOOKUP(AK93,坦克个性化设定!$B$18:$E$48,4,FALSE)</f>
        <v>#REF!</v>
      </c>
      <c r="BD93" s="357" t="e">
        <f t="shared" ca="1" si="63"/>
        <v>#REF!</v>
      </c>
      <c r="BF93" s="357" t="str">
        <f t="shared" ca="1" si="57"/>
        <v/>
      </c>
      <c r="BG93" s="372" t="str">
        <f ca="1">IFERROR(VLOOKUP(BF93,坦克个性化设定!$B$18:$F$48,5,FALSE),"")</f>
        <v/>
      </c>
      <c r="BH93" s="372" t="e">
        <f t="shared" ca="1" si="64"/>
        <v>#REF!</v>
      </c>
      <c r="BI93" s="372" t="e">
        <f t="shared" ca="1" si="65"/>
        <v>#REF!</v>
      </c>
      <c r="BJ93" s="364" t="str">
        <f t="shared" ca="1" si="58"/>
        <v>NULL</v>
      </c>
      <c r="BK93" s="372" t="e">
        <f ca="1">VLOOKUP($BF93&amp;IF($BJ93="NULL",0,$BJ93),所有坦克升星属性,MATCH(BK$3,所有坦克升星属性标头,0),FALSE)+ROUND(BP93/VLOOKUP($BF93,坦克部件!#REF!,4,FALSE)*VLOOKUP($BF93&amp;0,所有坦克升星属性,MATCH(BK$3,所有坦克升星属性标头,0),FALSE),0)</f>
        <v>#N/A</v>
      </c>
      <c r="BL93" s="372" t="e">
        <f ca="1">VLOOKUP($BF93&amp;IF($BJ93="NULL",0,$BJ93),所有坦克升星属性,MATCH(BL$3,所有坦克升星属性标头,0),FALSE)+ROUND(BQ93/VLOOKUP($BF93,坦克部件!#REF!,4,FALSE)*VLOOKUP($BF93&amp;0,所有坦克升星属性,MATCH(BL$3,所有坦克升星属性标头,0),FALSE),0)</f>
        <v>#N/A</v>
      </c>
      <c r="BM93" s="372" t="e">
        <f t="shared" ca="1" si="76"/>
        <v>#N/A</v>
      </c>
      <c r="BN93" s="372" t="e">
        <f t="shared" ca="1" si="76"/>
        <v>#N/A</v>
      </c>
      <c r="BO93" s="372" t="e">
        <f ca="1">VLOOKUP($BF93&amp;IF($BJ93="NULL",0,$BJ93),所有坦克升星属性,MATCH(BO$3,所有坦克升星属性标头,0),FALSE)+ROUND(BR93/VLOOKUP($BF93,坦克部件!#REF!,4,FALSE)*VLOOKUP($BF93&amp;0,所有坦克升星属性,MATCH(BO$3,所有坦克升星属性标头,0),FALSE),0)</f>
        <v>#N/A</v>
      </c>
      <c r="BP93" s="372" t="e">
        <f ca="1">(VLOOKUP($BH93,坦克部件!#REF!,MATCH("标准值",坦克部件!#REF!,0),FALSE)+VLOOKUP($BI93,坦克部件!#REF!,MATCH("标准值",坦克部件!#REF!,0),FALSE))*2</f>
        <v>#REF!</v>
      </c>
      <c r="BQ93" s="372" t="e">
        <f ca="1">(VLOOKUP($BH93,坦克部件!#REF!,MATCH("标准值",坦克部件!#REF!,0),FALSE)+VLOOKUP($BI93,坦克部件!#REF!,MATCH("标准值",坦克部件!#REF!,0),FALSE))*2</f>
        <v>#REF!</v>
      </c>
      <c r="BR93" s="372" t="e">
        <f ca="1">(VLOOKUP($BH93,坦克部件!#REF!,MATCH("标准值",坦克部件!#REF!,0),FALSE)+VLOOKUP($BI93,坦克部件!#REF!,MATCH("标准值",坦克部件!#REF!,0),FALSE))*2</f>
        <v>#REF!</v>
      </c>
      <c r="BS93" s="372" t="e">
        <f ca="1">VLOOKUP($BF93,坦克属性统计!$B$3:$AY$33,MATCH(BS$3,坦克属性统计!$B$3:$AY$3,0),FALSE)</f>
        <v>#N/A</v>
      </c>
      <c r="BT93" s="372" t="e">
        <f t="shared" ca="1" si="77"/>
        <v>#N/A</v>
      </c>
      <c r="BU93" s="372" t="e">
        <f t="shared" ca="1" si="77"/>
        <v>#N/A</v>
      </c>
      <c r="BV93" s="372" t="e">
        <f t="shared" ca="1" si="77"/>
        <v>#N/A</v>
      </c>
      <c r="BW93" s="356">
        <f t="shared" ca="1" si="59"/>
        <v>0</v>
      </c>
      <c r="BX93" s="356" t="e">
        <f ca="1">VLOOKUP(BF93,坦克个性化设定!$B$18:$E$48,4,FALSE)</f>
        <v>#N/A</v>
      </c>
      <c r="BY93" s="357" t="e">
        <f t="shared" ca="1" si="66"/>
        <v>#N/A</v>
      </c>
    </row>
    <row r="94" spans="2:77" x14ac:dyDescent="0.35">
      <c r="B94" s="352">
        <v>45</v>
      </c>
      <c r="C94" s="367">
        <f>游戏时长规划!C156</f>
        <v>30</v>
      </c>
      <c r="D94" s="367">
        <f>游戏时长规划!D156</f>
        <v>1060</v>
      </c>
      <c r="E94" s="367">
        <f>游戏时长规划!E156</f>
        <v>9</v>
      </c>
      <c r="F94" s="367">
        <f>游戏时长规划!F156</f>
        <v>22150</v>
      </c>
      <c r="O94" s="365">
        <v>91</v>
      </c>
      <c r="P94" s="360" t="e">
        <f t="shared" ca="1" si="78"/>
        <v>#REF!</v>
      </c>
      <c r="Q94" s="360" t="e">
        <f ca="1">ROUND(MIN((BD94-VLOOKUP(R94,$B$22:$F$46,2,FALSE))/(VLOOKUP(R94,$B$22:$F$46,3,FALSE)-VLOOKUP(R94,$B$22:$F$46,2,FALSE)),1)*((VLOOKUP(R94,$B$22:$F$46,4,FALSE)*(AG94/(AG94+VLOOKUP(P94,$D$49:$F$123,3,TRUE)))+VLOOKUP(R94,$B$22:$F$46,5,FALSE)*(1-AG94/(AG94+VLOOKUP(P94,$D$49:$F$123,3,TRUE))))/2)*游戏时长规划!$C$4,0)</f>
        <v>#REF!</v>
      </c>
      <c r="R94" s="360" t="e">
        <f t="shared" ca="1" si="46"/>
        <v>#REF!</v>
      </c>
      <c r="S94" s="360" t="e">
        <f t="shared" ca="1" si="67"/>
        <v>#REF!</v>
      </c>
      <c r="T94" s="360" t="e">
        <f t="shared" ca="1" si="79"/>
        <v>#REF!</v>
      </c>
      <c r="U94" s="370" t="e">
        <f t="shared" ca="1" si="47"/>
        <v>#REF!</v>
      </c>
      <c r="V94" s="363" t="e">
        <f t="shared" ca="1" si="68"/>
        <v>#REF!</v>
      </c>
      <c r="W94" s="360" t="e">
        <f t="shared" ca="1" si="48"/>
        <v>#REF!</v>
      </c>
      <c r="X94" s="81" t="e">
        <f t="shared" ca="1" si="60"/>
        <v>#REF!</v>
      </c>
      <c r="Y94" s="360" t="str">
        <f t="shared" ca="1" si="49"/>
        <v>NULL</v>
      </c>
      <c r="Z94" s="375" t="e">
        <f t="shared" ca="1" si="61"/>
        <v>#REF!</v>
      </c>
      <c r="AA94" s="360">
        <f ca="1">IFERROR(VLOOKUP(IF(V94="T1低",游戏时长规划!$C$67+Z94,Z94),INDIRECT(V94&amp;"星级"),2,TRUE),0)</f>
        <v>0</v>
      </c>
      <c r="AB94" s="375" t="e">
        <f t="shared" ca="1" si="50"/>
        <v>#REF!</v>
      </c>
      <c r="AC94" s="375">
        <f ca="1">($D$14+$D$17)*$L$4/坦克部件养成!$C$2+AC93-IFERROR(IF(RIGHT(AD93,3)*1&gt;RIGHT(VLOOKUP(AC93,INDIRECT(LEFT(AD92,2)&amp;"部件升阶"),5,TRUE),3)*1,VLOOKUP(AD92,INDIRECT(LEFT(AD92,2)&amp;"部件升阶消耗"),2,FALSE),0),0)</f>
        <v>1076.8333333333344</v>
      </c>
      <c r="AD94" s="360" t="e">
        <f t="shared" ca="1" si="51"/>
        <v>#REF!</v>
      </c>
      <c r="AE94" s="375" t="e">
        <f ca="1">$D$15*$L$4/坦克部件养成!$C$2+AE93-IF(LEFT(AD94,2)&lt;&gt;LEFT(AD93,2),VLOOKUP(AF93,INDIRECT(LEFT(AD93,2)&amp;"部件升级消耗"),5,FALSE),0)</f>
        <v>#REF!</v>
      </c>
      <c r="AF94" s="360" t="e">
        <f ca="1">MIN(VLOOKUP(AE94,INDIRECT(LEFT(AD94,2)&amp;"部件升级"),2,TRUE),VLOOKUP(LEFT(AD94,2),坦克部件养成!#REF!,6,FALSE))</f>
        <v>#REF!</v>
      </c>
      <c r="AG94" s="378" t="e">
        <f ca="1">MAX(BD$4:BD94)</f>
        <v>#REF!</v>
      </c>
      <c r="AH94" s="378" t="str">
        <f t="shared" ca="1" si="52"/>
        <v/>
      </c>
      <c r="AI94" s="378">
        <f ca="1">IF(Y94="NULL",0,MAX(BY$4:BY94))</f>
        <v>0</v>
      </c>
      <c r="AK94" s="364" t="e">
        <f t="shared" ca="1" si="53"/>
        <v>#REF!</v>
      </c>
      <c r="AL94" s="364" t="e">
        <f ca="1">VLOOKUP(AK94,坦克个性化设定!$B$18:$F$48,5,FALSE)</f>
        <v>#REF!</v>
      </c>
      <c r="AM94" s="372" t="e">
        <f t="shared" ca="1" si="54"/>
        <v>#REF!</v>
      </c>
      <c r="AN94" s="372" t="e">
        <f t="shared" ca="1" si="62"/>
        <v>#REF!</v>
      </c>
      <c r="AO94" s="364">
        <f t="shared" ca="1" si="55"/>
        <v>0</v>
      </c>
      <c r="AP94" s="372" t="e">
        <f ca="1">VLOOKUP($AK94&amp;$AO94,所有坦克升星属性,MATCH(AP$3,所有坦克升星属性标头,0),FALSE)+ROUND(AU94/VLOOKUP($AK94,坦克部件!#REF!,4,FALSE)*VLOOKUP($AK94&amp;0,所有坦克升星属性,MATCH(AP$3,所有坦克升星属性标头,0),FALSE),0)</f>
        <v>#REF!</v>
      </c>
      <c r="AQ94" s="372" t="e">
        <f ca="1">VLOOKUP($AK94&amp;$AO94,所有坦克升星属性,MATCH(AQ$3,所有坦克升星属性标头,0),FALSE)+ROUND(AV94/VLOOKUP($AK94,坦克部件!#REF!,4,FALSE)*VLOOKUP($AK94&amp;0,所有坦克升星属性,MATCH(AQ$3,所有坦克升星属性标头,0),FALSE),0)</f>
        <v>#REF!</v>
      </c>
      <c r="AR94" s="372" t="e">
        <f t="shared" ca="1" si="74"/>
        <v>#REF!</v>
      </c>
      <c r="AS94" s="372" t="e">
        <f t="shared" ca="1" si="74"/>
        <v>#REF!</v>
      </c>
      <c r="AT94" s="372" t="e">
        <f ca="1">VLOOKUP($AK94&amp;$AO94,所有坦克升星属性,MATCH(AT$3,所有坦克升星属性标头,0),FALSE)+ROUND(AW94/VLOOKUP($AK94,坦克部件!#REF!,4,FALSE)*VLOOKUP($AK94&amp;0,所有坦克升星属性,MATCH(AT$3,所有坦克升星属性标头,0),FALSE),0)</f>
        <v>#REF!</v>
      </c>
      <c r="AU94" s="372" t="e">
        <f ca="1">(VLOOKUP($AM94,坦克部件!#REF!,MATCH("标准值",坦克部件!#REF!,0),FALSE)+VLOOKUP($AN94,坦克部件!#REF!,MATCH("标准值",坦克部件!#REF!,0),FALSE))*2</f>
        <v>#REF!</v>
      </c>
      <c r="AV94" s="372" t="e">
        <f ca="1">(VLOOKUP($AM94,坦克部件!#REF!,MATCH("标准值",坦克部件!#REF!,0),FALSE)+VLOOKUP($AN94,坦克部件!#REF!,MATCH("标准值",坦克部件!#REF!,0),FALSE))*2</f>
        <v>#REF!</v>
      </c>
      <c r="AW94" s="372" t="e">
        <f ca="1">(VLOOKUP($AM94,坦克部件!#REF!,MATCH("标准值",坦克部件!#REF!,0),FALSE)+VLOOKUP($AN94,坦克部件!#REF!,MATCH("标准值",坦克部件!#REF!,0),FALSE))*2</f>
        <v>#REF!</v>
      </c>
      <c r="AX94" s="372" t="e">
        <f ca="1">VLOOKUP($AK94,坦克属性统计!$B$3:$AY$33,MATCH(AX$3,坦克属性统计!$B$3:$AY$3,0),FALSE)</f>
        <v>#REF!</v>
      </c>
      <c r="AY94" s="372" t="e">
        <f t="shared" ca="1" si="75"/>
        <v>#REF!</v>
      </c>
      <c r="AZ94" s="372" t="e">
        <f t="shared" ca="1" si="75"/>
        <v>#REF!</v>
      </c>
      <c r="BA94" s="372" t="e">
        <f t="shared" ca="1" si="75"/>
        <v>#REF!</v>
      </c>
      <c r="BB94" s="356" t="e">
        <f t="shared" ca="1" si="56"/>
        <v>#REF!</v>
      </c>
      <c r="BC94" s="356" t="e">
        <f ca="1">VLOOKUP(AK94,坦克个性化设定!$B$18:$E$48,4,FALSE)</f>
        <v>#REF!</v>
      </c>
      <c r="BD94" s="357" t="e">
        <f t="shared" ca="1" si="63"/>
        <v>#REF!</v>
      </c>
      <c r="BF94" s="357" t="str">
        <f t="shared" ca="1" si="57"/>
        <v/>
      </c>
      <c r="BG94" s="372" t="str">
        <f ca="1">IFERROR(VLOOKUP(BF94,坦克个性化设定!$B$18:$F$48,5,FALSE),"")</f>
        <v/>
      </c>
      <c r="BH94" s="372" t="e">
        <f t="shared" ca="1" si="64"/>
        <v>#REF!</v>
      </c>
      <c r="BI94" s="372" t="e">
        <f t="shared" ca="1" si="65"/>
        <v>#REF!</v>
      </c>
      <c r="BJ94" s="364" t="str">
        <f t="shared" ca="1" si="58"/>
        <v>NULL</v>
      </c>
      <c r="BK94" s="372" t="e">
        <f ca="1">VLOOKUP($BF94&amp;IF($BJ94="NULL",0,$BJ94),所有坦克升星属性,MATCH(BK$3,所有坦克升星属性标头,0),FALSE)+ROUND(BP94/VLOOKUP($BF94,坦克部件!#REF!,4,FALSE)*VLOOKUP($BF94&amp;0,所有坦克升星属性,MATCH(BK$3,所有坦克升星属性标头,0),FALSE),0)</f>
        <v>#N/A</v>
      </c>
      <c r="BL94" s="372" t="e">
        <f ca="1">VLOOKUP($BF94&amp;IF($BJ94="NULL",0,$BJ94),所有坦克升星属性,MATCH(BL$3,所有坦克升星属性标头,0),FALSE)+ROUND(BQ94/VLOOKUP($BF94,坦克部件!#REF!,4,FALSE)*VLOOKUP($BF94&amp;0,所有坦克升星属性,MATCH(BL$3,所有坦克升星属性标头,0),FALSE),0)</f>
        <v>#N/A</v>
      </c>
      <c r="BM94" s="372" t="e">
        <f t="shared" ca="1" si="76"/>
        <v>#N/A</v>
      </c>
      <c r="BN94" s="372" t="e">
        <f t="shared" ca="1" si="76"/>
        <v>#N/A</v>
      </c>
      <c r="BO94" s="372" t="e">
        <f ca="1">VLOOKUP($BF94&amp;IF($BJ94="NULL",0,$BJ94),所有坦克升星属性,MATCH(BO$3,所有坦克升星属性标头,0),FALSE)+ROUND(BR94/VLOOKUP($BF94,坦克部件!#REF!,4,FALSE)*VLOOKUP($BF94&amp;0,所有坦克升星属性,MATCH(BO$3,所有坦克升星属性标头,0),FALSE),0)</f>
        <v>#N/A</v>
      </c>
      <c r="BP94" s="372" t="e">
        <f ca="1">(VLOOKUP($BH94,坦克部件!#REF!,MATCH("标准值",坦克部件!#REF!,0),FALSE)+VLOOKUP($BI94,坦克部件!#REF!,MATCH("标准值",坦克部件!#REF!,0),FALSE))*2</f>
        <v>#REF!</v>
      </c>
      <c r="BQ94" s="372" t="e">
        <f ca="1">(VLOOKUP($BH94,坦克部件!#REF!,MATCH("标准值",坦克部件!#REF!,0),FALSE)+VLOOKUP($BI94,坦克部件!#REF!,MATCH("标准值",坦克部件!#REF!,0),FALSE))*2</f>
        <v>#REF!</v>
      </c>
      <c r="BR94" s="372" t="e">
        <f ca="1">(VLOOKUP($BH94,坦克部件!#REF!,MATCH("标准值",坦克部件!#REF!,0),FALSE)+VLOOKUP($BI94,坦克部件!#REF!,MATCH("标准值",坦克部件!#REF!,0),FALSE))*2</f>
        <v>#REF!</v>
      </c>
      <c r="BS94" s="372" t="e">
        <f ca="1">VLOOKUP($BF94,坦克属性统计!$B$3:$AY$33,MATCH(BS$3,坦克属性统计!$B$3:$AY$3,0),FALSE)</f>
        <v>#N/A</v>
      </c>
      <c r="BT94" s="372" t="e">
        <f t="shared" ca="1" si="77"/>
        <v>#N/A</v>
      </c>
      <c r="BU94" s="372" t="e">
        <f t="shared" ca="1" si="77"/>
        <v>#N/A</v>
      </c>
      <c r="BV94" s="372" t="e">
        <f t="shared" ca="1" si="77"/>
        <v>#N/A</v>
      </c>
      <c r="BW94" s="356">
        <f t="shared" ca="1" si="59"/>
        <v>0</v>
      </c>
      <c r="BX94" s="356" t="e">
        <f ca="1">VLOOKUP(BF94,坦克个性化设定!$B$18:$E$48,4,FALSE)</f>
        <v>#N/A</v>
      </c>
      <c r="BY94" s="357" t="e">
        <f t="shared" ca="1" si="66"/>
        <v>#N/A</v>
      </c>
    </row>
    <row r="95" spans="2:77" x14ac:dyDescent="0.35">
      <c r="B95" s="352">
        <v>46</v>
      </c>
      <c r="C95" s="367">
        <f>游戏时长规划!C157</f>
        <v>30</v>
      </c>
      <c r="D95" s="367">
        <f>游戏时长规划!D157</f>
        <v>1090</v>
      </c>
      <c r="E95" s="367">
        <f>游戏时长规划!E157</f>
        <v>10</v>
      </c>
      <c r="F95" s="367">
        <f>游戏时长规划!F157</f>
        <v>19200</v>
      </c>
      <c r="O95" s="365">
        <v>92</v>
      </c>
      <c r="P95" s="360" t="e">
        <f t="shared" ca="1" si="78"/>
        <v>#REF!</v>
      </c>
      <c r="Q95" s="360" t="e">
        <f ca="1">ROUND(MIN((BD95-VLOOKUP(R95,$B$22:$F$46,2,FALSE))/(VLOOKUP(R95,$B$22:$F$46,3,FALSE)-VLOOKUP(R95,$B$22:$F$46,2,FALSE)),1)*((VLOOKUP(R95,$B$22:$F$46,4,FALSE)*(AG95/(AG95+VLOOKUP(P95,$D$49:$F$123,3,TRUE)))+VLOOKUP(R95,$B$22:$F$46,5,FALSE)*(1-AG95/(AG95+VLOOKUP(P95,$D$49:$F$123,3,TRUE))))/2)*游戏时长规划!$C$4,0)</f>
        <v>#REF!</v>
      </c>
      <c r="R95" s="360" t="e">
        <f t="shared" ca="1" si="46"/>
        <v>#REF!</v>
      </c>
      <c r="S95" s="360" t="e">
        <f t="shared" ca="1" si="67"/>
        <v>#REF!</v>
      </c>
      <c r="T95" s="360" t="e">
        <f t="shared" ca="1" si="79"/>
        <v>#REF!</v>
      </c>
      <c r="U95" s="370" t="e">
        <f t="shared" ca="1" si="47"/>
        <v>#REF!</v>
      </c>
      <c r="V95" s="363" t="e">
        <f t="shared" ca="1" si="68"/>
        <v>#REF!</v>
      </c>
      <c r="W95" s="360" t="e">
        <f t="shared" ca="1" si="48"/>
        <v>#REF!</v>
      </c>
      <c r="X95" s="81" t="e">
        <f t="shared" ca="1" si="60"/>
        <v>#REF!</v>
      </c>
      <c r="Y95" s="360" t="str">
        <f t="shared" ca="1" si="49"/>
        <v>NULL</v>
      </c>
      <c r="Z95" s="375" t="e">
        <f t="shared" ca="1" si="61"/>
        <v>#REF!</v>
      </c>
      <c r="AA95" s="360">
        <f ca="1">IFERROR(VLOOKUP(IF(V95="T1低",游戏时长规划!$C$67+Z95,Z95),INDIRECT(V95&amp;"星级"),2,TRUE),0)</f>
        <v>0</v>
      </c>
      <c r="AB95" s="375" t="e">
        <f t="shared" ca="1" si="50"/>
        <v>#REF!</v>
      </c>
      <c r="AC95" s="375">
        <f ca="1">($D$14+$D$17)*$L$4/坦克部件养成!$C$2+AC94-IFERROR(IF(RIGHT(AD94,3)*1&gt;RIGHT(VLOOKUP(AC94,INDIRECT(LEFT(AD93,2)&amp;"部件升阶"),5,TRUE),3)*1,VLOOKUP(AD93,INDIRECT(LEFT(AD93,2)&amp;"部件升阶消耗"),2,FALSE),0),0)</f>
        <v>1088.6666666666677</v>
      </c>
      <c r="AD95" s="360" t="e">
        <f t="shared" ca="1" si="51"/>
        <v>#REF!</v>
      </c>
      <c r="AE95" s="375" t="e">
        <f ca="1">$D$15*$L$4/坦克部件养成!$C$2+AE94-IF(LEFT(AD95,2)&lt;&gt;LEFT(AD94,2),VLOOKUP(AF94,INDIRECT(LEFT(AD94,2)&amp;"部件升级消耗"),5,FALSE),0)</f>
        <v>#REF!</v>
      </c>
      <c r="AF95" s="360" t="e">
        <f ca="1">MIN(VLOOKUP(AE95,INDIRECT(LEFT(AD95,2)&amp;"部件升级"),2,TRUE),VLOOKUP(LEFT(AD95,2),坦克部件养成!#REF!,6,FALSE))</f>
        <v>#REF!</v>
      </c>
      <c r="AG95" s="378" t="e">
        <f ca="1">MAX(BD$4:BD95)</f>
        <v>#REF!</v>
      </c>
      <c r="AH95" s="378" t="str">
        <f t="shared" ca="1" si="52"/>
        <v/>
      </c>
      <c r="AI95" s="378">
        <f ca="1">IF(Y95="NULL",0,MAX(BY$4:BY95))</f>
        <v>0</v>
      </c>
      <c r="AK95" s="364" t="e">
        <f t="shared" ca="1" si="53"/>
        <v>#REF!</v>
      </c>
      <c r="AL95" s="364" t="e">
        <f ca="1">VLOOKUP(AK95,坦克个性化设定!$B$18:$F$48,5,FALSE)</f>
        <v>#REF!</v>
      </c>
      <c r="AM95" s="372" t="e">
        <f t="shared" ca="1" si="54"/>
        <v>#REF!</v>
      </c>
      <c r="AN95" s="372" t="e">
        <f t="shared" ca="1" si="62"/>
        <v>#REF!</v>
      </c>
      <c r="AO95" s="364">
        <f t="shared" ca="1" si="55"/>
        <v>0</v>
      </c>
      <c r="AP95" s="372" t="e">
        <f ca="1">VLOOKUP($AK95&amp;$AO95,所有坦克升星属性,MATCH(AP$3,所有坦克升星属性标头,0),FALSE)+ROUND(AU95/VLOOKUP($AK95,坦克部件!#REF!,4,FALSE)*VLOOKUP($AK95&amp;0,所有坦克升星属性,MATCH(AP$3,所有坦克升星属性标头,0),FALSE),0)</f>
        <v>#REF!</v>
      </c>
      <c r="AQ95" s="372" t="e">
        <f ca="1">VLOOKUP($AK95&amp;$AO95,所有坦克升星属性,MATCH(AQ$3,所有坦克升星属性标头,0),FALSE)+ROUND(AV95/VLOOKUP($AK95,坦克部件!#REF!,4,FALSE)*VLOOKUP($AK95&amp;0,所有坦克升星属性,MATCH(AQ$3,所有坦克升星属性标头,0),FALSE),0)</f>
        <v>#REF!</v>
      </c>
      <c r="AR95" s="372" t="e">
        <f t="shared" ca="1" si="74"/>
        <v>#REF!</v>
      </c>
      <c r="AS95" s="372" t="e">
        <f t="shared" ca="1" si="74"/>
        <v>#REF!</v>
      </c>
      <c r="AT95" s="372" t="e">
        <f ca="1">VLOOKUP($AK95&amp;$AO95,所有坦克升星属性,MATCH(AT$3,所有坦克升星属性标头,0),FALSE)+ROUND(AW95/VLOOKUP($AK95,坦克部件!#REF!,4,FALSE)*VLOOKUP($AK95&amp;0,所有坦克升星属性,MATCH(AT$3,所有坦克升星属性标头,0),FALSE),0)</f>
        <v>#REF!</v>
      </c>
      <c r="AU95" s="372" t="e">
        <f ca="1">(VLOOKUP($AM95,坦克部件!#REF!,MATCH("标准值",坦克部件!#REF!,0),FALSE)+VLOOKUP($AN95,坦克部件!#REF!,MATCH("标准值",坦克部件!#REF!,0),FALSE))*2</f>
        <v>#REF!</v>
      </c>
      <c r="AV95" s="372" t="e">
        <f ca="1">(VLOOKUP($AM95,坦克部件!#REF!,MATCH("标准值",坦克部件!#REF!,0),FALSE)+VLOOKUP($AN95,坦克部件!#REF!,MATCH("标准值",坦克部件!#REF!,0),FALSE))*2</f>
        <v>#REF!</v>
      </c>
      <c r="AW95" s="372" t="e">
        <f ca="1">(VLOOKUP($AM95,坦克部件!#REF!,MATCH("标准值",坦克部件!#REF!,0),FALSE)+VLOOKUP($AN95,坦克部件!#REF!,MATCH("标准值",坦克部件!#REF!,0),FALSE))*2</f>
        <v>#REF!</v>
      </c>
      <c r="AX95" s="372" t="e">
        <f ca="1">VLOOKUP($AK95,坦克属性统计!$B$3:$AY$33,MATCH(AX$3,坦克属性统计!$B$3:$AY$3,0),FALSE)</f>
        <v>#REF!</v>
      </c>
      <c r="AY95" s="372" t="e">
        <f t="shared" ca="1" si="75"/>
        <v>#REF!</v>
      </c>
      <c r="AZ95" s="372" t="e">
        <f t="shared" ca="1" si="75"/>
        <v>#REF!</v>
      </c>
      <c r="BA95" s="372" t="e">
        <f t="shared" ca="1" si="75"/>
        <v>#REF!</v>
      </c>
      <c r="BB95" s="356" t="e">
        <f t="shared" ca="1" si="56"/>
        <v>#REF!</v>
      </c>
      <c r="BC95" s="356" t="e">
        <f ca="1">VLOOKUP(AK95,坦克个性化设定!$B$18:$E$48,4,FALSE)</f>
        <v>#REF!</v>
      </c>
      <c r="BD95" s="357" t="e">
        <f t="shared" ca="1" si="63"/>
        <v>#REF!</v>
      </c>
      <c r="BF95" s="357" t="str">
        <f t="shared" ca="1" si="57"/>
        <v/>
      </c>
      <c r="BG95" s="372" t="str">
        <f ca="1">IFERROR(VLOOKUP(BF95,坦克个性化设定!$B$18:$F$48,5,FALSE),"")</f>
        <v/>
      </c>
      <c r="BH95" s="372" t="e">
        <f t="shared" ca="1" si="64"/>
        <v>#REF!</v>
      </c>
      <c r="BI95" s="372" t="e">
        <f t="shared" ca="1" si="65"/>
        <v>#REF!</v>
      </c>
      <c r="BJ95" s="364" t="str">
        <f t="shared" ca="1" si="58"/>
        <v>NULL</v>
      </c>
      <c r="BK95" s="372" t="e">
        <f ca="1">VLOOKUP($BF95&amp;IF($BJ95="NULL",0,$BJ95),所有坦克升星属性,MATCH(BK$3,所有坦克升星属性标头,0),FALSE)+ROUND(BP95/VLOOKUP($BF95,坦克部件!#REF!,4,FALSE)*VLOOKUP($BF95&amp;0,所有坦克升星属性,MATCH(BK$3,所有坦克升星属性标头,0),FALSE),0)</f>
        <v>#N/A</v>
      </c>
      <c r="BL95" s="372" t="e">
        <f ca="1">VLOOKUP($BF95&amp;IF($BJ95="NULL",0,$BJ95),所有坦克升星属性,MATCH(BL$3,所有坦克升星属性标头,0),FALSE)+ROUND(BQ95/VLOOKUP($BF95,坦克部件!#REF!,4,FALSE)*VLOOKUP($BF95&amp;0,所有坦克升星属性,MATCH(BL$3,所有坦克升星属性标头,0),FALSE),0)</f>
        <v>#N/A</v>
      </c>
      <c r="BM95" s="372" t="e">
        <f t="shared" ca="1" si="76"/>
        <v>#N/A</v>
      </c>
      <c r="BN95" s="372" t="e">
        <f t="shared" ca="1" si="76"/>
        <v>#N/A</v>
      </c>
      <c r="BO95" s="372" t="e">
        <f ca="1">VLOOKUP($BF95&amp;IF($BJ95="NULL",0,$BJ95),所有坦克升星属性,MATCH(BO$3,所有坦克升星属性标头,0),FALSE)+ROUND(BR95/VLOOKUP($BF95,坦克部件!#REF!,4,FALSE)*VLOOKUP($BF95&amp;0,所有坦克升星属性,MATCH(BO$3,所有坦克升星属性标头,0),FALSE),0)</f>
        <v>#N/A</v>
      </c>
      <c r="BP95" s="372" t="e">
        <f ca="1">(VLOOKUP($BH95,坦克部件!#REF!,MATCH("标准值",坦克部件!#REF!,0),FALSE)+VLOOKUP($BI95,坦克部件!#REF!,MATCH("标准值",坦克部件!#REF!,0),FALSE))*2</f>
        <v>#REF!</v>
      </c>
      <c r="BQ95" s="372" t="e">
        <f ca="1">(VLOOKUP($BH95,坦克部件!#REF!,MATCH("标准值",坦克部件!#REF!,0),FALSE)+VLOOKUP($BI95,坦克部件!#REF!,MATCH("标准值",坦克部件!#REF!,0),FALSE))*2</f>
        <v>#REF!</v>
      </c>
      <c r="BR95" s="372" t="e">
        <f ca="1">(VLOOKUP($BH95,坦克部件!#REF!,MATCH("标准值",坦克部件!#REF!,0),FALSE)+VLOOKUP($BI95,坦克部件!#REF!,MATCH("标准值",坦克部件!#REF!,0),FALSE))*2</f>
        <v>#REF!</v>
      </c>
      <c r="BS95" s="372" t="e">
        <f ca="1">VLOOKUP($BF95,坦克属性统计!$B$3:$AY$33,MATCH(BS$3,坦克属性统计!$B$3:$AY$3,0),FALSE)</f>
        <v>#N/A</v>
      </c>
      <c r="BT95" s="372" t="e">
        <f t="shared" ca="1" si="77"/>
        <v>#N/A</v>
      </c>
      <c r="BU95" s="372" t="e">
        <f t="shared" ca="1" si="77"/>
        <v>#N/A</v>
      </c>
      <c r="BV95" s="372" t="e">
        <f t="shared" ca="1" si="77"/>
        <v>#N/A</v>
      </c>
      <c r="BW95" s="356">
        <f t="shared" ca="1" si="59"/>
        <v>0</v>
      </c>
      <c r="BX95" s="356" t="e">
        <f ca="1">VLOOKUP(BF95,坦克个性化设定!$B$18:$E$48,4,FALSE)</f>
        <v>#N/A</v>
      </c>
      <c r="BY95" s="357" t="e">
        <f t="shared" ca="1" si="66"/>
        <v>#N/A</v>
      </c>
    </row>
    <row r="96" spans="2:77" x14ac:dyDescent="0.35">
      <c r="B96" s="352">
        <v>47</v>
      </c>
      <c r="C96" s="367">
        <f>游戏时长规划!C158</f>
        <v>30</v>
      </c>
      <c r="D96" s="367">
        <f>游戏时长规划!D158</f>
        <v>1120</v>
      </c>
      <c r="E96" s="367">
        <f>游戏时长规划!E158</f>
        <v>10</v>
      </c>
      <c r="F96" s="367">
        <f>游戏时长规划!F158</f>
        <v>19850</v>
      </c>
      <c r="O96" s="365">
        <v>93</v>
      </c>
      <c r="P96" s="360" t="e">
        <f t="shared" ca="1" si="78"/>
        <v>#REF!</v>
      </c>
      <c r="Q96" s="360" t="e">
        <f ca="1">ROUND(MIN((BD96-VLOOKUP(R96,$B$22:$F$46,2,FALSE))/(VLOOKUP(R96,$B$22:$F$46,3,FALSE)-VLOOKUP(R96,$B$22:$F$46,2,FALSE)),1)*((VLOOKUP(R96,$B$22:$F$46,4,FALSE)*(AG96/(AG96+VLOOKUP(P96,$D$49:$F$123,3,TRUE)))+VLOOKUP(R96,$B$22:$F$46,5,FALSE)*(1-AG96/(AG96+VLOOKUP(P96,$D$49:$F$123,3,TRUE))))/2)*游戏时长规划!$C$4,0)</f>
        <v>#REF!</v>
      </c>
      <c r="R96" s="360" t="e">
        <f t="shared" ca="1" si="46"/>
        <v>#REF!</v>
      </c>
      <c r="S96" s="360" t="e">
        <f t="shared" ca="1" si="67"/>
        <v>#REF!</v>
      </c>
      <c r="T96" s="360" t="e">
        <f t="shared" ca="1" si="79"/>
        <v>#REF!</v>
      </c>
      <c r="U96" s="370" t="e">
        <f t="shared" ca="1" si="47"/>
        <v>#REF!</v>
      </c>
      <c r="V96" s="363" t="e">
        <f t="shared" ca="1" si="68"/>
        <v>#REF!</v>
      </c>
      <c r="W96" s="360" t="e">
        <f t="shared" ca="1" si="48"/>
        <v>#REF!</v>
      </c>
      <c r="X96" s="81" t="e">
        <f t="shared" ca="1" si="60"/>
        <v>#REF!</v>
      </c>
      <c r="Y96" s="360" t="str">
        <f t="shared" ca="1" si="49"/>
        <v>NULL</v>
      </c>
      <c r="Z96" s="375" t="e">
        <f t="shared" ca="1" si="61"/>
        <v>#REF!</v>
      </c>
      <c r="AA96" s="360">
        <f ca="1">IFERROR(VLOOKUP(IF(V96="T1低",游戏时长规划!$C$67+Z96,Z96),INDIRECT(V96&amp;"星级"),2,TRUE),0)</f>
        <v>0</v>
      </c>
      <c r="AB96" s="375" t="e">
        <f t="shared" ca="1" si="50"/>
        <v>#REF!</v>
      </c>
      <c r="AC96" s="375">
        <f ca="1">($D$14+$D$17)*$L$4/坦克部件养成!$C$2+AC95-IFERROR(IF(RIGHT(AD95,3)*1&gt;RIGHT(VLOOKUP(AC95,INDIRECT(LEFT(AD94,2)&amp;"部件升阶"),5,TRUE),3)*1,VLOOKUP(AD94,INDIRECT(LEFT(AD94,2)&amp;"部件升阶消耗"),2,FALSE),0),0)</f>
        <v>1100.5000000000009</v>
      </c>
      <c r="AD96" s="360" t="e">
        <f t="shared" ca="1" si="51"/>
        <v>#REF!</v>
      </c>
      <c r="AE96" s="375" t="e">
        <f ca="1">$D$15*$L$4/坦克部件养成!$C$2+AE95-IF(LEFT(AD96,2)&lt;&gt;LEFT(AD95,2),VLOOKUP(AF95,INDIRECT(LEFT(AD95,2)&amp;"部件升级消耗"),5,FALSE),0)</f>
        <v>#REF!</v>
      </c>
      <c r="AF96" s="360" t="e">
        <f ca="1">MIN(VLOOKUP(AE96,INDIRECT(LEFT(AD96,2)&amp;"部件升级"),2,TRUE),VLOOKUP(LEFT(AD96,2),坦克部件养成!#REF!,6,FALSE))</f>
        <v>#REF!</v>
      </c>
      <c r="AG96" s="378" t="e">
        <f ca="1">MAX(BD$4:BD96)</f>
        <v>#REF!</v>
      </c>
      <c r="AH96" s="378" t="str">
        <f t="shared" ca="1" si="52"/>
        <v/>
      </c>
      <c r="AI96" s="378">
        <f ca="1">IF(Y96="NULL",0,MAX(BY$4:BY96))</f>
        <v>0</v>
      </c>
      <c r="AK96" s="364" t="e">
        <f t="shared" ca="1" si="53"/>
        <v>#REF!</v>
      </c>
      <c r="AL96" s="364" t="e">
        <f ca="1">VLOOKUP(AK96,坦克个性化设定!$B$18:$F$48,5,FALSE)</f>
        <v>#REF!</v>
      </c>
      <c r="AM96" s="372" t="e">
        <f t="shared" ca="1" si="54"/>
        <v>#REF!</v>
      </c>
      <c r="AN96" s="372" t="e">
        <f t="shared" ca="1" si="62"/>
        <v>#REF!</v>
      </c>
      <c r="AO96" s="364">
        <f t="shared" ca="1" si="55"/>
        <v>0</v>
      </c>
      <c r="AP96" s="372" t="e">
        <f ca="1">VLOOKUP($AK96&amp;$AO96,所有坦克升星属性,MATCH(AP$3,所有坦克升星属性标头,0),FALSE)+ROUND(AU96/VLOOKUP($AK96,坦克部件!#REF!,4,FALSE)*VLOOKUP($AK96&amp;0,所有坦克升星属性,MATCH(AP$3,所有坦克升星属性标头,0),FALSE),0)</f>
        <v>#REF!</v>
      </c>
      <c r="AQ96" s="372" t="e">
        <f ca="1">VLOOKUP($AK96&amp;$AO96,所有坦克升星属性,MATCH(AQ$3,所有坦克升星属性标头,0),FALSE)+ROUND(AV96/VLOOKUP($AK96,坦克部件!#REF!,4,FALSE)*VLOOKUP($AK96&amp;0,所有坦克升星属性,MATCH(AQ$3,所有坦克升星属性标头,0),FALSE),0)</f>
        <v>#REF!</v>
      </c>
      <c r="AR96" s="372" t="e">
        <f t="shared" ca="1" si="74"/>
        <v>#REF!</v>
      </c>
      <c r="AS96" s="372" t="e">
        <f t="shared" ca="1" si="74"/>
        <v>#REF!</v>
      </c>
      <c r="AT96" s="372" t="e">
        <f ca="1">VLOOKUP($AK96&amp;$AO96,所有坦克升星属性,MATCH(AT$3,所有坦克升星属性标头,0),FALSE)+ROUND(AW96/VLOOKUP($AK96,坦克部件!#REF!,4,FALSE)*VLOOKUP($AK96&amp;0,所有坦克升星属性,MATCH(AT$3,所有坦克升星属性标头,0),FALSE),0)</f>
        <v>#REF!</v>
      </c>
      <c r="AU96" s="372" t="e">
        <f ca="1">(VLOOKUP($AM96,坦克部件!#REF!,MATCH("标准值",坦克部件!#REF!,0),FALSE)+VLOOKUP($AN96,坦克部件!#REF!,MATCH("标准值",坦克部件!#REF!,0),FALSE))*2</f>
        <v>#REF!</v>
      </c>
      <c r="AV96" s="372" t="e">
        <f ca="1">(VLOOKUP($AM96,坦克部件!#REF!,MATCH("标准值",坦克部件!#REF!,0),FALSE)+VLOOKUP($AN96,坦克部件!#REF!,MATCH("标准值",坦克部件!#REF!,0),FALSE))*2</f>
        <v>#REF!</v>
      </c>
      <c r="AW96" s="372" t="e">
        <f ca="1">(VLOOKUP($AM96,坦克部件!#REF!,MATCH("标准值",坦克部件!#REF!,0),FALSE)+VLOOKUP($AN96,坦克部件!#REF!,MATCH("标准值",坦克部件!#REF!,0),FALSE))*2</f>
        <v>#REF!</v>
      </c>
      <c r="AX96" s="372" t="e">
        <f ca="1">VLOOKUP($AK96,坦克属性统计!$B$3:$AY$33,MATCH(AX$3,坦克属性统计!$B$3:$AY$3,0),FALSE)</f>
        <v>#REF!</v>
      </c>
      <c r="AY96" s="372" t="e">
        <f t="shared" ca="1" si="75"/>
        <v>#REF!</v>
      </c>
      <c r="AZ96" s="372" t="e">
        <f t="shared" ca="1" si="75"/>
        <v>#REF!</v>
      </c>
      <c r="BA96" s="372" t="e">
        <f t="shared" ca="1" si="75"/>
        <v>#REF!</v>
      </c>
      <c r="BB96" s="356" t="e">
        <f t="shared" ca="1" si="56"/>
        <v>#REF!</v>
      </c>
      <c r="BC96" s="356" t="e">
        <f ca="1">VLOOKUP(AK96,坦克个性化设定!$B$18:$E$48,4,FALSE)</f>
        <v>#REF!</v>
      </c>
      <c r="BD96" s="357" t="e">
        <f t="shared" ca="1" si="63"/>
        <v>#REF!</v>
      </c>
      <c r="BF96" s="357" t="str">
        <f t="shared" ca="1" si="57"/>
        <v/>
      </c>
      <c r="BG96" s="372" t="str">
        <f ca="1">IFERROR(VLOOKUP(BF96,坦克个性化设定!$B$18:$F$48,5,FALSE),"")</f>
        <v/>
      </c>
      <c r="BH96" s="372" t="e">
        <f t="shared" ca="1" si="64"/>
        <v>#REF!</v>
      </c>
      <c r="BI96" s="372" t="e">
        <f t="shared" ca="1" si="65"/>
        <v>#REF!</v>
      </c>
      <c r="BJ96" s="364" t="str">
        <f t="shared" ca="1" si="58"/>
        <v>NULL</v>
      </c>
      <c r="BK96" s="372" t="e">
        <f ca="1">VLOOKUP($BF96&amp;IF($BJ96="NULL",0,$BJ96),所有坦克升星属性,MATCH(BK$3,所有坦克升星属性标头,0),FALSE)+ROUND(BP96/VLOOKUP($BF96,坦克部件!#REF!,4,FALSE)*VLOOKUP($BF96&amp;0,所有坦克升星属性,MATCH(BK$3,所有坦克升星属性标头,0),FALSE),0)</f>
        <v>#N/A</v>
      </c>
      <c r="BL96" s="372" t="e">
        <f ca="1">VLOOKUP($BF96&amp;IF($BJ96="NULL",0,$BJ96),所有坦克升星属性,MATCH(BL$3,所有坦克升星属性标头,0),FALSE)+ROUND(BQ96/VLOOKUP($BF96,坦克部件!#REF!,4,FALSE)*VLOOKUP($BF96&amp;0,所有坦克升星属性,MATCH(BL$3,所有坦克升星属性标头,0),FALSE),0)</f>
        <v>#N/A</v>
      </c>
      <c r="BM96" s="372" t="e">
        <f t="shared" ca="1" si="76"/>
        <v>#N/A</v>
      </c>
      <c r="BN96" s="372" t="e">
        <f t="shared" ca="1" si="76"/>
        <v>#N/A</v>
      </c>
      <c r="BO96" s="372" t="e">
        <f ca="1">VLOOKUP($BF96&amp;IF($BJ96="NULL",0,$BJ96),所有坦克升星属性,MATCH(BO$3,所有坦克升星属性标头,0),FALSE)+ROUND(BR96/VLOOKUP($BF96,坦克部件!#REF!,4,FALSE)*VLOOKUP($BF96&amp;0,所有坦克升星属性,MATCH(BO$3,所有坦克升星属性标头,0),FALSE),0)</f>
        <v>#N/A</v>
      </c>
      <c r="BP96" s="372" t="e">
        <f ca="1">(VLOOKUP($BH96,坦克部件!#REF!,MATCH("标准值",坦克部件!#REF!,0),FALSE)+VLOOKUP($BI96,坦克部件!#REF!,MATCH("标准值",坦克部件!#REF!,0),FALSE))*2</f>
        <v>#REF!</v>
      </c>
      <c r="BQ96" s="372" t="e">
        <f ca="1">(VLOOKUP($BH96,坦克部件!#REF!,MATCH("标准值",坦克部件!#REF!,0),FALSE)+VLOOKUP($BI96,坦克部件!#REF!,MATCH("标准值",坦克部件!#REF!,0),FALSE))*2</f>
        <v>#REF!</v>
      </c>
      <c r="BR96" s="372" t="e">
        <f ca="1">(VLOOKUP($BH96,坦克部件!#REF!,MATCH("标准值",坦克部件!#REF!,0),FALSE)+VLOOKUP($BI96,坦克部件!#REF!,MATCH("标准值",坦克部件!#REF!,0),FALSE))*2</f>
        <v>#REF!</v>
      </c>
      <c r="BS96" s="372" t="e">
        <f ca="1">VLOOKUP($BF96,坦克属性统计!$B$3:$AY$33,MATCH(BS$3,坦克属性统计!$B$3:$AY$3,0),FALSE)</f>
        <v>#N/A</v>
      </c>
      <c r="BT96" s="372" t="e">
        <f t="shared" ca="1" si="77"/>
        <v>#N/A</v>
      </c>
      <c r="BU96" s="372" t="e">
        <f t="shared" ca="1" si="77"/>
        <v>#N/A</v>
      </c>
      <c r="BV96" s="372" t="e">
        <f t="shared" ca="1" si="77"/>
        <v>#N/A</v>
      </c>
      <c r="BW96" s="356">
        <f t="shared" ca="1" si="59"/>
        <v>0</v>
      </c>
      <c r="BX96" s="356" t="e">
        <f ca="1">VLOOKUP(BF96,坦克个性化设定!$B$18:$E$48,4,FALSE)</f>
        <v>#N/A</v>
      </c>
      <c r="BY96" s="357" t="e">
        <f t="shared" ca="1" si="66"/>
        <v>#N/A</v>
      </c>
    </row>
    <row r="97" spans="2:77" x14ac:dyDescent="0.35">
      <c r="B97" s="392">
        <v>48</v>
      </c>
      <c r="C97" s="392">
        <f>游戏时长规划!C159</f>
        <v>30</v>
      </c>
      <c r="D97" s="392">
        <f>游戏时长规划!D159</f>
        <v>1150</v>
      </c>
      <c r="E97" s="392">
        <f>游戏时长规划!E159</f>
        <v>10</v>
      </c>
      <c r="F97" s="392">
        <f>游戏时长规划!F159</f>
        <v>20450</v>
      </c>
      <c r="O97" s="365">
        <v>94</v>
      </c>
      <c r="P97" s="360" t="e">
        <f t="shared" ca="1" si="78"/>
        <v>#REF!</v>
      </c>
      <c r="Q97" s="360" t="e">
        <f ca="1">ROUND(MIN((BD97-VLOOKUP(R97,$B$22:$F$46,2,FALSE))/(VLOOKUP(R97,$B$22:$F$46,3,FALSE)-VLOOKUP(R97,$B$22:$F$46,2,FALSE)),1)*((VLOOKUP(R97,$B$22:$F$46,4,FALSE)*(AG97/(AG97+VLOOKUP(P97,$D$49:$F$123,3,TRUE)))+VLOOKUP(R97,$B$22:$F$46,5,FALSE)*(1-AG97/(AG97+VLOOKUP(P97,$D$49:$F$123,3,TRUE))))/2)*游戏时长规划!$C$4,0)</f>
        <v>#REF!</v>
      </c>
      <c r="R97" s="360" t="e">
        <f t="shared" ca="1" si="46"/>
        <v>#REF!</v>
      </c>
      <c r="S97" s="360" t="e">
        <f t="shared" ca="1" si="67"/>
        <v>#REF!</v>
      </c>
      <c r="T97" s="360" t="e">
        <f t="shared" ca="1" si="79"/>
        <v>#REF!</v>
      </c>
      <c r="U97" s="370" t="e">
        <f t="shared" ca="1" si="47"/>
        <v>#REF!</v>
      </c>
      <c r="V97" s="363" t="e">
        <f t="shared" ca="1" si="68"/>
        <v>#REF!</v>
      </c>
      <c r="W97" s="360" t="e">
        <f t="shared" ca="1" si="48"/>
        <v>#REF!</v>
      </c>
      <c r="X97" s="81" t="e">
        <f t="shared" ca="1" si="60"/>
        <v>#REF!</v>
      </c>
      <c r="Y97" s="360" t="str">
        <f t="shared" ca="1" si="49"/>
        <v>NULL</v>
      </c>
      <c r="Z97" s="375" t="e">
        <f t="shared" ca="1" si="61"/>
        <v>#REF!</v>
      </c>
      <c r="AA97" s="360">
        <f ca="1">IFERROR(VLOOKUP(IF(V97="T1低",游戏时长规划!$C$67+Z97,Z97),INDIRECT(V97&amp;"星级"),2,TRUE),0)</f>
        <v>0</v>
      </c>
      <c r="AB97" s="375" t="e">
        <f t="shared" ca="1" si="50"/>
        <v>#REF!</v>
      </c>
      <c r="AC97" s="375">
        <f ca="1">($D$14+$D$17)*$L$4/坦克部件养成!$C$2+AC96-IFERROR(IF(RIGHT(AD96,3)*1&gt;RIGHT(VLOOKUP(AC96,INDIRECT(LEFT(AD95,2)&amp;"部件升阶"),5,TRUE),3)*1,VLOOKUP(AD95,INDIRECT(LEFT(AD95,2)&amp;"部件升阶消耗"),2,FALSE),0),0)</f>
        <v>1112.3333333333342</v>
      </c>
      <c r="AD97" s="360" t="e">
        <f t="shared" ca="1" si="51"/>
        <v>#REF!</v>
      </c>
      <c r="AE97" s="375" t="e">
        <f ca="1">$D$15*$L$4/坦克部件养成!$C$2+AE96-IF(LEFT(AD97,2)&lt;&gt;LEFT(AD96,2),VLOOKUP(AF96,INDIRECT(LEFT(AD96,2)&amp;"部件升级消耗"),5,FALSE),0)</f>
        <v>#REF!</v>
      </c>
      <c r="AF97" s="360" t="e">
        <f ca="1">MIN(VLOOKUP(AE97,INDIRECT(LEFT(AD97,2)&amp;"部件升级"),2,TRUE),VLOOKUP(LEFT(AD97,2),坦克部件养成!#REF!,6,FALSE))</f>
        <v>#REF!</v>
      </c>
      <c r="AG97" s="378" t="e">
        <f ca="1">MAX(BD$4:BD97)</f>
        <v>#REF!</v>
      </c>
      <c r="AH97" s="378" t="str">
        <f t="shared" ca="1" si="52"/>
        <v/>
      </c>
      <c r="AI97" s="378">
        <f ca="1">IF(Y97="NULL",0,MAX(BY$4:BY97))</f>
        <v>0</v>
      </c>
      <c r="AK97" s="364" t="e">
        <f t="shared" ca="1" si="53"/>
        <v>#REF!</v>
      </c>
      <c r="AL97" s="364" t="e">
        <f ca="1">VLOOKUP(AK97,坦克个性化设定!$B$18:$F$48,5,FALSE)</f>
        <v>#REF!</v>
      </c>
      <c r="AM97" s="372" t="e">
        <f t="shared" ca="1" si="54"/>
        <v>#REF!</v>
      </c>
      <c r="AN97" s="372" t="e">
        <f t="shared" ca="1" si="62"/>
        <v>#REF!</v>
      </c>
      <c r="AO97" s="364">
        <f t="shared" ca="1" si="55"/>
        <v>0</v>
      </c>
      <c r="AP97" s="372" t="e">
        <f ca="1">VLOOKUP($AK97&amp;$AO97,所有坦克升星属性,MATCH(AP$3,所有坦克升星属性标头,0),FALSE)+ROUND(AU97/VLOOKUP($AK97,坦克部件!#REF!,4,FALSE)*VLOOKUP($AK97&amp;0,所有坦克升星属性,MATCH(AP$3,所有坦克升星属性标头,0),FALSE),0)</f>
        <v>#REF!</v>
      </c>
      <c r="AQ97" s="372" t="e">
        <f ca="1">VLOOKUP($AK97&amp;$AO97,所有坦克升星属性,MATCH(AQ$3,所有坦克升星属性标头,0),FALSE)+ROUND(AV97/VLOOKUP($AK97,坦克部件!#REF!,4,FALSE)*VLOOKUP($AK97&amp;0,所有坦克升星属性,MATCH(AQ$3,所有坦克升星属性标头,0),FALSE),0)</f>
        <v>#REF!</v>
      </c>
      <c r="AR97" s="372" t="e">
        <f t="shared" ca="1" si="74"/>
        <v>#REF!</v>
      </c>
      <c r="AS97" s="372" t="e">
        <f t="shared" ca="1" si="74"/>
        <v>#REF!</v>
      </c>
      <c r="AT97" s="372" t="e">
        <f ca="1">VLOOKUP($AK97&amp;$AO97,所有坦克升星属性,MATCH(AT$3,所有坦克升星属性标头,0),FALSE)+ROUND(AW97/VLOOKUP($AK97,坦克部件!#REF!,4,FALSE)*VLOOKUP($AK97&amp;0,所有坦克升星属性,MATCH(AT$3,所有坦克升星属性标头,0),FALSE),0)</f>
        <v>#REF!</v>
      </c>
      <c r="AU97" s="372" t="e">
        <f ca="1">(VLOOKUP($AM97,坦克部件!#REF!,MATCH("标准值",坦克部件!#REF!,0),FALSE)+VLOOKUP($AN97,坦克部件!#REF!,MATCH("标准值",坦克部件!#REF!,0),FALSE))*2</f>
        <v>#REF!</v>
      </c>
      <c r="AV97" s="372" t="e">
        <f ca="1">(VLOOKUP($AM97,坦克部件!#REF!,MATCH("标准值",坦克部件!#REF!,0),FALSE)+VLOOKUP($AN97,坦克部件!#REF!,MATCH("标准值",坦克部件!#REF!,0),FALSE))*2</f>
        <v>#REF!</v>
      </c>
      <c r="AW97" s="372" t="e">
        <f ca="1">(VLOOKUP($AM97,坦克部件!#REF!,MATCH("标准值",坦克部件!#REF!,0),FALSE)+VLOOKUP($AN97,坦克部件!#REF!,MATCH("标准值",坦克部件!#REF!,0),FALSE))*2</f>
        <v>#REF!</v>
      </c>
      <c r="AX97" s="372" t="e">
        <f ca="1">VLOOKUP($AK97,坦克属性统计!$B$3:$AY$33,MATCH(AX$3,坦克属性统计!$B$3:$AY$3,0),FALSE)</f>
        <v>#REF!</v>
      </c>
      <c r="AY97" s="372" t="e">
        <f t="shared" ca="1" si="75"/>
        <v>#REF!</v>
      </c>
      <c r="AZ97" s="372" t="e">
        <f t="shared" ca="1" si="75"/>
        <v>#REF!</v>
      </c>
      <c r="BA97" s="372" t="e">
        <f t="shared" ca="1" si="75"/>
        <v>#REF!</v>
      </c>
      <c r="BB97" s="356" t="e">
        <f t="shared" ca="1" si="56"/>
        <v>#REF!</v>
      </c>
      <c r="BC97" s="356" t="e">
        <f ca="1">VLOOKUP(AK97,坦克个性化设定!$B$18:$E$48,4,FALSE)</f>
        <v>#REF!</v>
      </c>
      <c r="BD97" s="357" t="e">
        <f t="shared" ca="1" si="63"/>
        <v>#REF!</v>
      </c>
      <c r="BF97" s="357" t="str">
        <f t="shared" ca="1" si="57"/>
        <v/>
      </c>
      <c r="BG97" s="372" t="str">
        <f ca="1">IFERROR(VLOOKUP(BF97,坦克个性化设定!$B$18:$F$48,5,FALSE),"")</f>
        <v/>
      </c>
      <c r="BH97" s="372" t="e">
        <f t="shared" ca="1" si="64"/>
        <v>#REF!</v>
      </c>
      <c r="BI97" s="372" t="e">
        <f t="shared" ca="1" si="65"/>
        <v>#REF!</v>
      </c>
      <c r="BJ97" s="364" t="str">
        <f t="shared" ca="1" si="58"/>
        <v>NULL</v>
      </c>
      <c r="BK97" s="372" t="e">
        <f ca="1">VLOOKUP($BF97&amp;IF($BJ97="NULL",0,$BJ97),所有坦克升星属性,MATCH(BK$3,所有坦克升星属性标头,0),FALSE)+ROUND(BP97/VLOOKUP($BF97,坦克部件!#REF!,4,FALSE)*VLOOKUP($BF97&amp;0,所有坦克升星属性,MATCH(BK$3,所有坦克升星属性标头,0),FALSE),0)</f>
        <v>#N/A</v>
      </c>
      <c r="BL97" s="372" t="e">
        <f ca="1">VLOOKUP($BF97&amp;IF($BJ97="NULL",0,$BJ97),所有坦克升星属性,MATCH(BL$3,所有坦克升星属性标头,0),FALSE)+ROUND(BQ97/VLOOKUP($BF97,坦克部件!#REF!,4,FALSE)*VLOOKUP($BF97&amp;0,所有坦克升星属性,MATCH(BL$3,所有坦克升星属性标头,0),FALSE),0)</f>
        <v>#N/A</v>
      </c>
      <c r="BM97" s="372" t="e">
        <f t="shared" ca="1" si="76"/>
        <v>#N/A</v>
      </c>
      <c r="BN97" s="372" t="e">
        <f t="shared" ca="1" si="76"/>
        <v>#N/A</v>
      </c>
      <c r="BO97" s="372" t="e">
        <f ca="1">VLOOKUP($BF97&amp;IF($BJ97="NULL",0,$BJ97),所有坦克升星属性,MATCH(BO$3,所有坦克升星属性标头,0),FALSE)+ROUND(BR97/VLOOKUP($BF97,坦克部件!#REF!,4,FALSE)*VLOOKUP($BF97&amp;0,所有坦克升星属性,MATCH(BO$3,所有坦克升星属性标头,0),FALSE),0)</f>
        <v>#N/A</v>
      </c>
      <c r="BP97" s="372" t="e">
        <f ca="1">(VLOOKUP($BH97,坦克部件!#REF!,MATCH("标准值",坦克部件!#REF!,0),FALSE)+VLOOKUP($BI97,坦克部件!#REF!,MATCH("标准值",坦克部件!#REF!,0),FALSE))*2</f>
        <v>#REF!</v>
      </c>
      <c r="BQ97" s="372" t="e">
        <f ca="1">(VLOOKUP($BH97,坦克部件!#REF!,MATCH("标准值",坦克部件!#REF!,0),FALSE)+VLOOKUP($BI97,坦克部件!#REF!,MATCH("标准值",坦克部件!#REF!,0),FALSE))*2</f>
        <v>#REF!</v>
      </c>
      <c r="BR97" s="372" t="e">
        <f ca="1">(VLOOKUP($BH97,坦克部件!#REF!,MATCH("标准值",坦克部件!#REF!,0),FALSE)+VLOOKUP($BI97,坦克部件!#REF!,MATCH("标准值",坦克部件!#REF!,0),FALSE))*2</f>
        <v>#REF!</v>
      </c>
      <c r="BS97" s="372" t="e">
        <f ca="1">VLOOKUP($BF97,坦克属性统计!$B$3:$AY$33,MATCH(BS$3,坦克属性统计!$B$3:$AY$3,0),FALSE)</f>
        <v>#N/A</v>
      </c>
      <c r="BT97" s="372" t="e">
        <f t="shared" ca="1" si="77"/>
        <v>#N/A</v>
      </c>
      <c r="BU97" s="372" t="e">
        <f t="shared" ca="1" si="77"/>
        <v>#N/A</v>
      </c>
      <c r="BV97" s="372" t="e">
        <f t="shared" ca="1" si="77"/>
        <v>#N/A</v>
      </c>
      <c r="BW97" s="356">
        <f t="shared" ca="1" si="59"/>
        <v>0</v>
      </c>
      <c r="BX97" s="356" t="e">
        <f ca="1">VLOOKUP(BF97,坦克个性化设定!$B$18:$E$48,4,FALSE)</f>
        <v>#N/A</v>
      </c>
      <c r="BY97" s="357" t="e">
        <f t="shared" ca="1" si="66"/>
        <v>#N/A</v>
      </c>
    </row>
    <row r="98" spans="2:77" x14ac:dyDescent="0.35">
      <c r="B98" s="392">
        <v>49</v>
      </c>
      <c r="C98" s="392">
        <f>游戏时长规划!C160</f>
        <v>30</v>
      </c>
      <c r="D98" s="392">
        <f>游戏时长规划!D160</f>
        <v>1180</v>
      </c>
      <c r="E98" s="392">
        <f>游戏时长规划!E160</f>
        <v>10</v>
      </c>
      <c r="F98" s="392">
        <f>游戏时长规划!F160</f>
        <v>21050</v>
      </c>
      <c r="O98" s="365">
        <v>95</v>
      </c>
      <c r="P98" s="360" t="e">
        <f t="shared" ca="1" si="78"/>
        <v>#REF!</v>
      </c>
      <c r="Q98" s="360" t="e">
        <f ca="1">ROUND(MIN((BD98-VLOOKUP(R98,$B$22:$F$46,2,FALSE))/(VLOOKUP(R98,$B$22:$F$46,3,FALSE)-VLOOKUP(R98,$B$22:$F$46,2,FALSE)),1)*((VLOOKUP(R98,$B$22:$F$46,4,FALSE)*(AG98/(AG98+VLOOKUP(P98,$D$49:$F$123,3,TRUE)))+VLOOKUP(R98,$B$22:$F$46,5,FALSE)*(1-AG98/(AG98+VLOOKUP(P98,$D$49:$F$123,3,TRUE))))/2)*游戏时长规划!$C$4,0)</f>
        <v>#REF!</v>
      </c>
      <c r="R98" s="360" t="e">
        <f t="shared" ca="1" si="46"/>
        <v>#REF!</v>
      </c>
      <c r="S98" s="360" t="e">
        <f t="shared" ca="1" si="67"/>
        <v>#REF!</v>
      </c>
      <c r="T98" s="360" t="e">
        <f t="shared" ca="1" si="79"/>
        <v>#REF!</v>
      </c>
      <c r="U98" s="370" t="e">
        <f t="shared" ca="1" si="47"/>
        <v>#REF!</v>
      </c>
      <c r="V98" s="363" t="e">
        <f t="shared" ca="1" si="68"/>
        <v>#REF!</v>
      </c>
      <c r="W98" s="360" t="e">
        <f t="shared" ca="1" si="48"/>
        <v>#REF!</v>
      </c>
      <c r="X98" s="81" t="e">
        <f t="shared" ca="1" si="60"/>
        <v>#REF!</v>
      </c>
      <c r="Y98" s="360" t="str">
        <f t="shared" ca="1" si="49"/>
        <v>NULL</v>
      </c>
      <c r="Z98" s="375" t="e">
        <f t="shared" ca="1" si="61"/>
        <v>#REF!</v>
      </c>
      <c r="AA98" s="360">
        <f ca="1">IFERROR(VLOOKUP(IF(V98="T1低",游戏时长规划!$C$67+Z98,Z98),INDIRECT(V98&amp;"星级"),2,TRUE),0)</f>
        <v>0</v>
      </c>
      <c r="AB98" s="375" t="e">
        <f t="shared" ca="1" si="50"/>
        <v>#REF!</v>
      </c>
      <c r="AC98" s="375">
        <f ca="1">($D$14+$D$17)*$L$4/坦克部件养成!$C$2+AC97-IFERROR(IF(RIGHT(AD97,3)*1&gt;RIGHT(VLOOKUP(AC97,INDIRECT(LEFT(AD96,2)&amp;"部件升阶"),5,TRUE),3)*1,VLOOKUP(AD96,INDIRECT(LEFT(AD96,2)&amp;"部件升阶消耗"),2,FALSE),0),0)</f>
        <v>1124.1666666666674</v>
      </c>
      <c r="AD98" s="360" t="e">
        <f t="shared" ca="1" si="51"/>
        <v>#REF!</v>
      </c>
      <c r="AE98" s="375" t="e">
        <f ca="1">$D$15*$L$4/坦克部件养成!$C$2+AE97-IF(LEFT(AD98,2)&lt;&gt;LEFT(AD97,2),VLOOKUP(AF97,INDIRECT(LEFT(AD97,2)&amp;"部件升级消耗"),5,FALSE),0)</f>
        <v>#REF!</v>
      </c>
      <c r="AF98" s="360" t="e">
        <f ca="1">MIN(VLOOKUP(AE98,INDIRECT(LEFT(AD98,2)&amp;"部件升级"),2,TRUE),VLOOKUP(LEFT(AD98,2),坦克部件养成!#REF!,6,FALSE))</f>
        <v>#REF!</v>
      </c>
      <c r="AG98" s="378" t="e">
        <f ca="1">MAX(BD$4:BD98)</f>
        <v>#REF!</v>
      </c>
      <c r="AH98" s="378" t="str">
        <f t="shared" ca="1" si="52"/>
        <v/>
      </c>
      <c r="AI98" s="378">
        <f ca="1">IF(Y98="NULL",0,MAX(BY$4:BY98))</f>
        <v>0</v>
      </c>
      <c r="AK98" s="364" t="e">
        <f t="shared" ca="1" si="53"/>
        <v>#REF!</v>
      </c>
      <c r="AL98" s="364" t="e">
        <f ca="1">VLOOKUP(AK98,坦克个性化设定!$B$18:$F$48,5,FALSE)</f>
        <v>#REF!</v>
      </c>
      <c r="AM98" s="372" t="e">
        <f t="shared" ca="1" si="54"/>
        <v>#REF!</v>
      </c>
      <c r="AN98" s="372" t="e">
        <f t="shared" ca="1" si="62"/>
        <v>#REF!</v>
      </c>
      <c r="AO98" s="364">
        <f t="shared" ca="1" si="55"/>
        <v>0</v>
      </c>
      <c r="AP98" s="372" t="e">
        <f ca="1">VLOOKUP($AK98&amp;$AO98,所有坦克升星属性,MATCH(AP$3,所有坦克升星属性标头,0),FALSE)+ROUND(AU98/VLOOKUP($AK98,坦克部件!#REF!,4,FALSE)*VLOOKUP($AK98&amp;0,所有坦克升星属性,MATCH(AP$3,所有坦克升星属性标头,0),FALSE),0)</f>
        <v>#REF!</v>
      </c>
      <c r="AQ98" s="372" t="e">
        <f ca="1">VLOOKUP($AK98&amp;$AO98,所有坦克升星属性,MATCH(AQ$3,所有坦克升星属性标头,0),FALSE)+ROUND(AV98/VLOOKUP($AK98,坦克部件!#REF!,4,FALSE)*VLOOKUP($AK98&amp;0,所有坦克升星属性,MATCH(AQ$3,所有坦克升星属性标头,0),FALSE),0)</f>
        <v>#REF!</v>
      </c>
      <c r="AR98" s="372" t="e">
        <f t="shared" ca="1" si="74"/>
        <v>#REF!</v>
      </c>
      <c r="AS98" s="372" t="e">
        <f t="shared" ca="1" si="74"/>
        <v>#REF!</v>
      </c>
      <c r="AT98" s="372" t="e">
        <f ca="1">VLOOKUP($AK98&amp;$AO98,所有坦克升星属性,MATCH(AT$3,所有坦克升星属性标头,0),FALSE)+ROUND(AW98/VLOOKUP($AK98,坦克部件!#REF!,4,FALSE)*VLOOKUP($AK98&amp;0,所有坦克升星属性,MATCH(AT$3,所有坦克升星属性标头,0),FALSE),0)</f>
        <v>#REF!</v>
      </c>
      <c r="AU98" s="372" t="e">
        <f ca="1">(VLOOKUP($AM98,坦克部件!#REF!,MATCH("标准值",坦克部件!#REF!,0),FALSE)+VLOOKUP($AN98,坦克部件!#REF!,MATCH("标准值",坦克部件!#REF!,0),FALSE))*2</f>
        <v>#REF!</v>
      </c>
      <c r="AV98" s="372" t="e">
        <f ca="1">(VLOOKUP($AM98,坦克部件!#REF!,MATCH("标准值",坦克部件!#REF!,0),FALSE)+VLOOKUP($AN98,坦克部件!#REF!,MATCH("标准值",坦克部件!#REF!,0),FALSE))*2</f>
        <v>#REF!</v>
      </c>
      <c r="AW98" s="372" t="e">
        <f ca="1">(VLOOKUP($AM98,坦克部件!#REF!,MATCH("标准值",坦克部件!#REF!,0),FALSE)+VLOOKUP($AN98,坦克部件!#REF!,MATCH("标准值",坦克部件!#REF!,0),FALSE))*2</f>
        <v>#REF!</v>
      </c>
      <c r="AX98" s="372" t="e">
        <f ca="1">VLOOKUP($AK98,坦克属性统计!$B$3:$AY$33,MATCH(AX$3,坦克属性统计!$B$3:$AY$3,0),FALSE)</f>
        <v>#REF!</v>
      </c>
      <c r="AY98" s="372" t="e">
        <f t="shared" ca="1" si="75"/>
        <v>#REF!</v>
      </c>
      <c r="AZ98" s="372" t="e">
        <f t="shared" ca="1" si="75"/>
        <v>#REF!</v>
      </c>
      <c r="BA98" s="372" t="e">
        <f t="shared" ca="1" si="75"/>
        <v>#REF!</v>
      </c>
      <c r="BB98" s="356" t="e">
        <f t="shared" ca="1" si="56"/>
        <v>#REF!</v>
      </c>
      <c r="BC98" s="356" t="e">
        <f ca="1">VLOOKUP(AK98,坦克个性化设定!$B$18:$E$48,4,FALSE)</f>
        <v>#REF!</v>
      </c>
      <c r="BD98" s="357" t="e">
        <f t="shared" ca="1" si="63"/>
        <v>#REF!</v>
      </c>
      <c r="BF98" s="357" t="str">
        <f t="shared" ca="1" si="57"/>
        <v/>
      </c>
      <c r="BG98" s="372" t="str">
        <f ca="1">IFERROR(VLOOKUP(BF98,坦克个性化设定!$B$18:$F$48,5,FALSE),"")</f>
        <v/>
      </c>
      <c r="BH98" s="372" t="e">
        <f t="shared" ca="1" si="64"/>
        <v>#REF!</v>
      </c>
      <c r="BI98" s="372" t="e">
        <f t="shared" ca="1" si="65"/>
        <v>#REF!</v>
      </c>
      <c r="BJ98" s="364" t="str">
        <f t="shared" ca="1" si="58"/>
        <v>NULL</v>
      </c>
      <c r="BK98" s="372" t="e">
        <f ca="1">VLOOKUP($BF98&amp;IF($BJ98="NULL",0,$BJ98),所有坦克升星属性,MATCH(BK$3,所有坦克升星属性标头,0),FALSE)+ROUND(BP98/VLOOKUP($BF98,坦克部件!#REF!,4,FALSE)*VLOOKUP($BF98&amp;0,所有坦克升星属性,MATCH(BK$3,所有坦克升星属性标头,0),FALSE),0)</f>
        <v>#N/A</v>
      </c>
      <c r="BL98" s="372" t="e">
        <f ca="1">VLOOKUP($BF98&amp;IF($BJ98="NULL",0,$BJ98),所有坦克升星属性,MATCH(BL$3,所有坦克升星属性标头,0),FALSE)+ROUND(BQ98/VLOOKUP($BF98,坦克部件!#REF!,4,FALSE)*VLOOKUP($BF98&amp;0,所有坦克升星属性,MATCH(BL$3,所有坦克升星属性标头,0),FALSE),0)</f>
        <v>#N/A</v>
      </c>
      <c r="BM98" s="372" t="e">
        <f t="shared" ca="1" si="76"/>
        <v>#N/A</v>
      </c>
      <c r="BN98" s="372" t="e">
        <f t="shared" ca="1" si="76"/>
        <v>#N/A</v>
      </c>
      <c r="BO98" s="372" t="e">
        <f ca="1">VLOOKUP($BF98&amp;IF($BJ98="NULL",0,$BJ98),所有坦克升星属性,MATCH(BO$3,所有坦克升星属性标头,0),FALSE)+ROUND(BR98/VLOOKUP($BF98,坦克部件!#REF!,4,FALSE)*VLOOKUP($BF98&amp;0,所有坦克升星属性,MATCH(BO$3,所有坦克升星属性标头,0),FALSE),0)</f>
        <v>#N/A</v>
      </c>
      <c r="BP98" s="372" t="e">
        <f ca="1">(VLOOKUP($BH98,坦克部件!#REF!,MATCH("标准值",坦克部件!#REF!,0),FALSE)+VLOOKUP($BI98,坦克部件!#REF!,MATCH("标准值",坦克部件!#REF!,0),FALSE))*2</f>
        <v>#REF!</v>
      </c>
      <c r="BQ98" s="372" t="e">
        <f ca="1">(VLOOKUP($BH98,坦克部件!#REF!,MATCH("标准值",坦克部件!#REF!,0),FALSE)+VLOOKUP($BI98,坦克部件!#REF!,MATCH("标准值",坦克部件!#REF!,0),FALSE))*2</f>
        <v>#REF!</v>
      </c>
      <c r="BR98" s="372" t="e">
        <f ca="1">(VLOOKUP($BH98,坦克部件!#REF!,MATCH("标准值",坦克部件!#REF!,0),FALSE)+VLOOKUP($BI98,坦克部件!#REF!,MATCH("标准值",坦克部件!#REF!,0),FALSE))*2</f>
        <v>#REF!</v>
      </c>
      <c r="BS98" s="372" t="e">
        <f ca="1">VLOOKUP($BF98,坦克属性统计!$B$3:$AY$33,MATCH(BS$3,坦克属性统计!$B$3:$AY$3,0),FALSE)</f>
        <v>#N/A</v>
      </c>
      <c r="BT98" s="372" t="e">
        <f t="shared" ca="1" si="77"/>
        <v>#N/A</v>
      </c>
      <c r="BU98" s="372" t="e">
        <f t="shared" ca="1" si="77"/>
        <v>#N/A</v>
      </c>
      <c r="BV98" s="372" t="e">
        <f t="shared" ca="1" si="77"/>
        <v>#N/A</v>
      </c>
      <c r="BW98" s="356">
        <f t="shared" ca="1" si="59"/>
        <v>0</v>
      </c>
      <c r="BX98" s="356" t="e">
        <f ca="1">VLOOKUP(BF98,坦克个性化设定!$B$18:$E$48,4,FALSE)</f>
        <v>#N/A</v>
      </c>
      <c r="BY98" s="357" t="e">
        <f t="shared" ca="1" si="66"/>
        <v>#N/A</v>
      </c>
    </row>
    <row r="99" spans="2:77" x14ac:dyDescent="0.35">
      <c r="B99" s="392">
        <v>50</v>
      </c>
      <c r="C99" s="392">
        <f>游戏时长规划!C161</f>
        <v>30</v>
      </c>
      <c r="D99" s="392">
        <f>游戏时长规划!D161</f>
        <v>1210</v>
      </c>
      <c r="E99" s="392">
        <f>游戏时长规划!E161</f>
        <v>10</v>
      </c>
      <c r="F99" s="392">
        <f>游戏时长规划!F161</f>
        <v>21700</v>
      </c>
      <c r="O99" s="365">
        <v>96</v>
      </c>
      <c r="P99" s="360" t="e">
        <f t="shared" ca="1" si="78"/>
        <v>#REF!</v>
      </c>
      <c r="Q99" s="360" t="e">
        <f ca="1">ROUND(MIN((BD99-VLOOKUP(R99,$B$22:$F$46,2,FALSE))/(VLOOKUP(R99,$B$22:$F$46,3,FALSE)-VLOOKUP(R99,$B$22:$F$46,2,FALSE)),1)*((VLOOKUP(R99,$B$22:$F$46,4,FALSE)*(AG99/(AG99+VLOOKUP(P99,$D$49:$F$123,3,TRUE)))+VLOOKUP(R99,$B$22:$F$46,5,FALSE)*(1-AG99/(AG99+VLOOKUP(P99,$D$49:$F$123,3,TRUE))))/2)*游戏时长规划!$C$4,0)</f>
        <v>#REF!</v>
      </c>
      <c r="R99" s="360" t="e">
        <f t="shared" ca="1" si="46"/>
        <v>#REF!</v>
      </c>
      <c r="S99" s="360" t="e">
        <f t="shared" ca="1" si="67"/>
        <v>#REF!</v>
      </c>
      <c r="T99" s="360" t="e">
        <f t="shared" ca="1" si="79"/>
        <v>#REF!</v>
      </c>
      <c r="U99" s="370" t="e">
        <f t="shared" ca="1" si="47"/>
        <v>#REF!</v>
      </c>
      <c r="V99" s="363" t="e">
        <f t="shared" ca="1" si="68"/>
        <v>#REF!</v>
      </c>
      <c r="W99" s="360" t="e">
        <f t="shared" ca="1" si="48"/>
        <v>#REF!</v>
      </c>
      <c r="X99" s="81" t="e">
        <f t="shared" ca="1" si="60"/>
        <v>#REF!</v>
      </c>
      <c r="Y99" s="360" t="str">
        <f t="shared" ca="1" si="49"/>
        <v>NULL</v>
      </c>
      <c r="Z99" s="375" t="e">
        <f t="shared" ca="1" si="61"/>
        <v>#REF!</v>
      </c>
      <c r="AA99" s="360">
        <f ca="1">IFERROR(VLOOKUP(IF(V99="T1低",游戏时长规划!$C$67+Z99,Z99),INDIRECT(V99&amp;"星级"),2,TRUE),0)</f>
        <v>0</v>
      </c>
      <c r="AB99" s="375" t="e">
        <f t="shared" ca="1" si="50"/>
        <v>#REF!</v>
      </c>
      <c r="AC99" s="375">
        <f ca="1">($D$14+$D$17)*$L$4/坦克部件养成!$C$2+AC98-IFERROR(IF(RIGHT(AD98,3)*1&gt;RIGHT(VLOOKUP(AC98,INDIRECT(LEFT(AD97,2)&amp;"部件升阶"),5,TRUE),3)*1,VLOOKUP(AD97,INDIRECT(LEFT(AD97,2)&amp;"部件升阶消耗"),2,FALSE),0),0)</f>
        <v>1136.0000000000007</v>
      </c>
      <c r="AD99" s="360" t="e">
        <f t="shared" ca="1" si="51"/>
        <v>#REF!</v>
      </c>
      <c r="AE99" s="375" t="e">
        <f ca="1">$D$15*$L$4/坦克部件养成!$C$2+AE98-IF(LEFT(AD99,2)&lt;&gt;LEFT(AD98,2),VLOOKUP(AF98,INDIRECT(LEFT(AD98,2)&amp;"部件升级消耗"),5,FALSE),0)</f>
        <v>#REF!</v>
      </c>
      <c r="AF99" s="360" t="e">
        <f ca="1">MIN(VLOOKUP(AE99,INDIRECT(LEFT(AD99,2)&amp;"部件升级"),2,TRUE),VLOOKUP(LEFT(AD99,2),坦克部件养成!#REF!,6,FALSE))</f>
        <v>#REF!</v>
      </c>
      <c r="AG99" s="378" t="e">
        <f ca="1">MAX(BD$4:BD99)</f>
        <v>#REF!</v>
      </c>
      <c r="AH99" s="378" t="str">
        <f t="shared" ca="1" si="52"/>
        <v/>
      </c>
      <c r="AI99" s="378">
        <f ca="1">IF(Y99="NULL",0,MAX(BY$4:BY99))</f>
        <v>0</v>
      </c>
      <c r="AK99" s="364" t="e">
        <f t="shared" ca="1" si="53"/>
        <v>#REF!</v>
      </c>
      <c r="AL99" s="364" t="e">
        <f ca="1">VLOOKUP(AK99,坦克个性化设定!$B$18:$F$48,5,FALSE)</f>
        <v>#REF!</v>
      </c>
      <c r="AM99" s="372" t="e">
        <f t="shared" ca="1" si="54"/>
        <v>#REF!</v>
      </c>
      <c r="AN99" s="372" t="e">
        <f t="shared" ca="1" si="62"/>
        <v>#REF!</v>
      </c>
      <c r="AO99" s="364">
        <f t="shared" ca="1" si="55"/>
        <v>0</v>
      </c>
      <c r="AP99" s="372" t="e">
        <f ca="1">VLOOKUP($AK99&amp;$AO99,所有坦克升星属性,MATCH(AP$3,所有坦克升星属性标头,0),FALSE)+ROUND(AU99/VLOOKUP($AK99,坦克部件!#REF!,4,FALSE)*VLOOKUP($AK99&amp;0,所有坦克升星属性,MATCH(AP$3,所有坦克升星属性标头,0),FALSE),0)</f>
        <v>#REF!</v>
      </c>
      <c r="AQ99" s="372" t="e">
        <f ca="1">VLOOKUP($AK99&amp;$AO99,所有坦克升星属性,MATCH(AQ$3,所有坦克升星属性标头,0),FALSE)+ROUND(AV99/VLOOKUP($AK99,坦克部件!#REF!,4,FALSE)*VLOOKUP($AK99&amp;0,所有坦克升星属性,MATCH(AQ$3,所有坦克升星属性标头,0),FALSE),0)</f>
        <v>#REF!</v>
      </c>
      <c r="AR99" s="372" t="e">
        <f t="shared" ca="1" si="74"/>
        <v>#REF!</v>
      </c>
      <c r="AS99" s="372" t="e">
        <f t="shared" ca="1" si="74"/>
        <v>#REF!</v>
      </c>
      <c r="AT99" s="372" t="e">
        <f ca="1">VLOOKUP($AK99&amp;$AO99,所有坦克升星属性,MATCH(AT$3,所有坦克升星属性标头,0),FALSE)+ROUND(AW99/VLOOKUP($AK99,坦克部件!#REF!,4,FALSE)*VLOOKUP($AK99&amp;0,所有坦克升星属性,MATCH(AT$3,所有坦克升星属性标头,0),FALSE),0)</f>
        <v>#REF!</v>
      </c>
      <c r="AU99" s="372" t="e">
        <f ca="1">(VLOOKUP($AM99,坦克部件!#REF!,MATCH("标准值",坦克部件!#REF!,0),FALSE)+VLOOKUP($AN99,坦克部件!#REF!,MATCH("标准值",坦克部件!#REF!,0),FALSE))*2</f>
        <v>#REF!</v>
      </c>
      <c r="AV99" s="372" t="e">
        <f ca="1">(VLOOKUP($AM99,坦克部件!#REF!,MATCH("标准值",坦克部件!#REF!,0),FALSE)+VLOOKUP($AN99,坦克部件!#REF!,MATCH("标准值",坦克部件!#REF!,0),FALSE))*2</f>
        <v>#REF!</v>
      </c>
      <c r="AW99" s="372" t="e">
        <f ca="1">(VLOOKUP($AM99,坦克部件!#REF!,MATCH("标准值",坦克部件!#REF!,0),FALSE)+VLOOKUP($AN99,坦克部件!#REF!,MATCH("标准值",坦克部件!#REF!,0),FALSE))*2</f>
        <v>#REF!</v>
      </c>
      <c r="AX99" s="372" t="e">
        <f ca="1">VLOOKUP($AK99,坦克属性统计!$B$3:$AY$33,MATCH(AX$3,坦克属性统计!$B$3:$AY$3,0),FALSE)</f>
        <v>#REF!</v>
      </c>
      <c r="AY99" s="372" t="e">
        <f t="shared" ca="1" si="75"/>
        <v>#REF!</v>
      </c>
      <c r="AZ99" s="372" t="e">
        <f t="shared" ca="1" si="75"/>
        <v>#REF!</v>
      </c>
      <c r="BA99" s="372" t="e">
        <f t="shared" ca="1" si="75"/>
        <v>#REF!</v>
      </c>
      <c r="BB99" s="356" t="e">
        <f t="shared" ca="1" si="56"/>
        <v>#REF!</v>
      </c>
      <c r="BC99" s="356" t="e">
        <f ca="1">VLOOKUP(AK99,坦克个性化设定!$B$18:$E$48,4,FALSE)</f>
        <v>#REF!</v>
      </c>
      <c r="BD99" s="357" t="e">
        <f t="shared" ca="1" si="63"/>
        <v>#REF!</v>
      </c>
      <c r="BF99" s="357" t="str">
        <f t="shared" ca="1" si="57"/>
        <v/>
      </c>
      <c r="BG99" s="372" t="str">
        <f ca="1">IFERROR(VLOOKUP(BF99,坦克个性化设定!$B$18:$F$48,5,FALSE),"")</f>
        <v/>
      </c>
      <c r="BH99" s="372" t="e">
        <f t="shared" ca="1" si="64"/>
        <v>#REF!</v>
      </c>
      <c r="BI99" s="372" t="e">
        <f t="shared" ca="1" si="65"/>
        <v>#REF!</v>
      </c>
      <c r="BJ99" s="364" t="str">
        <f t="shared" ca="1" si="58"/>
        <v>NULL</v>
      </c>
      <c r="BK99" s="372" t="e">
        <f ca="1">VLOOKUP($BF99&amp;IF($BJ99="NULL",0,$BJ99),所有坦克升星属性,MATCH(BK$3,所有坦克升星属性标头,0),FALSE)+ROUND(BP99/VLOOKUP($BF99,坦克部件!#REF!,4,FALSE)*VLOOKUP($BF99&amp;0,所有坦克升星属性,MATCH(BK$3,所有坦克升星属性标头,0),FALSE),0)</f>
        <v>#N/A</v>
      </c>
      <c r="BL99" s="372" t="e">
        <f ca="1">VLOOKUP($BF99&amp;IF($BJ99="NULL",0,$BJ99),所有坦克升星属性,MATCH(BL$3,所有坦克升星属性标头,0),FALSE)+ROUND(BQ99/VLOOKUP($BF99,坦克部件!#REF!,4,FALSE)*VLOOKUP($BF99&amp;0,所有坦克升星属性,MATCH(BL$3,所有坦克升星属性标头,0),FALSE),0)</f>
        <v>#N/A</v>
      </c>
      <c r="BM99" s="372" t="e">
        <f t="shared" ca="1" si="76"/>
        <v>#N/A</v>
      </c>
      <c r="BN99" s="372" t="e">
        <f t="shared" ca="1" si="76"/>
        <v>#N/A</v>
      </c>
      <c r="BO99" s="372" t="e">
        <f ca="1">VLOOKUP($BF99&amp;IF($BJ99="NULL",0,$BJ99),所有坦克升星属性,MATCH(BO$3,所有坦克升星属性标头,0),FALSE)+ROUND(BR99/VLOOKUP($BF99,坦克部件!#REF!,4,FALSE)*VLOOKUP($BF99&amp;0,所有坦克升星属性,MATCH(BO$3,所有坦克升星属性标头,0),FALSE),0)</f>
        <v>#N/A</v>
      </c>
      <c r="BP99" s="372" t="e">
        <f ca="1">(VLOOKUP($BH99,坦克部件!#REF!,MATCH("标准值",坦克部件!#REF!,0),FALSE)+VLOOKUP($BI99,坦克部件!#REF!,MATCH("标准值",坦克部件!#REF!,0),FALSE))*2</f>
        <v>#REF!</v>
      </c>
      <c r="BQ99" s="372" t="e">
        <f ca="1">(VLOOKUP($BH99,坦克部件!#REF!,MATCH("标准值",坦克部件!#REF!,0),FALSE)+VLOOKUP($BI99,坦克部件!#REF!,MATCH("标准值",坦克部件!#REF!,0),FALSE))*2</f>
        <v>#REF!</v>
      </c>
      <c r="BR99" s="372" t="e">
        <f ca="1">(VLOOKUP($BH99,坦克部件!#REF!,MATCH("标准值",坦克部件!#REF!,0),FALSE)+VLOOKUP($BI99,坦克部件!#REF!,MATCH("标准值",坦克部件!#REF!,0),FALSE))*2</f>
        <v>#REF!</v>
      </c>
      <c r="BS99" s="372" t="e">
        <f ca="1">VLOOKUP($BF99,坦克属性统计!$B$3:$AY$33,MATCH(BS$3,坦克属性统计!$B$3:$AY$3,0),FALSE)</f>
        <v>#N/A</v>
      </c>
      <c r="BT99" s="372" t="e">
        <f t="shared" ca="1" si="77"/>
        <v>#N/A</v>
      </c>
      <c r="BU99" s="372" t="e">
        <f t="shared" ca="1" si="77"/>
        <v>#N/A</v>
      </c>
      <c r="BV99" s="372" t="e">
        <f t="shared" ca="1" si="77"/>
        <v>#N/A</v>
      </c>
      <c r="BW99" s="356">
        <f t="shared" ca="1" si="59"/>
        <v>0</v>
      </c>
      <c r="BX99" s="356" t="e">
        <f ca="1">VLOOKUP(BF99,坦克个性化设定!$B$18:$E$48,4,FALSE)</f>
        <v>#N/A</v>
      </c>
      <c r="BY99" s="357" t="e">
        <f t="shared" ca="1" si="66"/>
        <v>#N/A</v>
      </c>
    </row>
    <row r="100" spans="2:77" x14ac:dyDescent="0.35">
      <c r="B100" s="392">
        <v>51</v>
      </c>
      <c r="C100" s="392">
        <f>游戏时长规划!C162</f>
        <v>30</v>
      </c>
      <c r="D100" s="392">
        <f>游戏时长规划!D162</f>
        <v>1240</v>
      </c>
      <c r="E100" s="392">
        <f>游戏时长规划!E162</f>
        <v>10</v>
      </c>
      <c r="F100" s="392">
        <f>游戏时长规划!F162</f>
        <v>22350</v>
      </c>
      <c r="O100" s="365">
        <v>97</v>
      </c>
      <c r="P100" s="360" t="e">
        <f t="shared" ca="1" si="78"/>
        <v>#REF!</v>
      </c>
      <c r="Q100" s="360" t="e">
        <f ca="1">ROUND(MIN((BD100-VLOOKUP(R100,$B$22:$F$46,2,FALSE))/(VLOOKUP(R100,$B$22:$F$46,3,FALSE)-VLOOKUP(R100,$B$22:$F$46,2,FALSE)),1)*((VLOOKUP(R100,$B$22:$F$46,4,FALSE)*(AG100/(AG100+VLOOKUP(P100,$D$49:$F$123,3,TRUE)))+VLOOKUP(R100,$B$22:$F$46,5,FALSE)*(1-AG100/(AG100+VLOOKUP(P100,$D$49:$F$123,3,TRUE))))/2)*游戏时长规划!$C$4,0)</f>
        <v>#REF!</v>
      </c>
      <c r="R100" s="360" t="e">
        <f t="shared" ca="1" si="46"/>
        <v>#REF!</v>
      </c>
      <c r="S100" s="360" t="e">
        <f t="shared" ca="1" si="67"/>
        <v>#REF!</v>
      </c>
      <c r="T100" s="360" t="e">
        <f t="shared" ca="1" si="79"/>
        <v>#REF!</v>
      </c>
      <c r="U100" s="370" t="e">
        <f t="shared" ca="1" si="47"/>
        <v>#REF!</v>
      </c>
      <c r="V100" s="363" t="e">
        <f t="shared" ca="1" si="68"/>
        <v>#REF!</v>
      </c>
      <c r="W100" s="360" t="e">
        <f t="shared" ca="1" si="48"/>
        <v>#REF!</v>
      </c>
      <c r="X100" s="81" t="e">
        <f t="shared" ca="1" si="60"/>
        <v>#REF!</v>
      </c>
      <c r="Y100" s="360" t="str">
        <f t="shared" ca="1" si="49"/>
        <v>NULL</v>
      </c>
      <c r="Z100" s="375" t="e">
        <f t="shared" ca="1" si="61"/>
        <v>#REF!</v>
      </c>
      <c r="AA100" s="360">
        <f ca="1">IFERROR(VLOOKUP(IF(V100="T1低",游戏时长规划!$C$67+Z100,Z100),INDIRECT(V100&amp;"星级"),2,TRUE),0)</f>
        <v>0</v>
      </c>
      <c r="AB100" s="375" t="e">
        <f t="shared" ca="1" si="50"/>
        <v>#REF!</v>
      </c>
      <c r="AC100" s="375">
        <f ca="1">($D$14+$D$17)*$L$4/坦克部件养成!$C$2+AC99-IFERROR(IF(RIGHT(AD99,3)*1&gt;RIGHT(VLOOKUP(AC99,INDIRECT(LEFT(AD98,2)&amp;"部件升阶"),5,TRUE),3)*1,VLOOKUP(AD98,INDIRECT(LEFT(AD98,2)&amp;"部件升阶消耗"),2,FALSE),0),0)</f>
        <v>1147.8333333333339</v>
      </c>
      <c r="AD100" s="360" t="e">
        <f t="shared" ca="1" si="51"/>
        <v>#REF!</v>
      </c>
      <c r="AE100" s="375" t="e">
        <f ca="1">$D$15*$L$4/坦克部件养成!$C$2+AE99-IF(LEFT(AD100,2)&lt;&gt;LEFT(AD99,2),VLOOKUP(AF99,INDIRECT(LEFT(AD99,2)&amp;"部件升级消耗"),5,FALSE),0)</f>
        <v>#REF!</v>
      </c>
      <c r="AF100" s="360" t="e">
        <f ca="1">MIN(VLOOKUP(AE100,INDIRECT(LEFT(AD100,2)&amp;"部件升级"),2,TRUE),VLOOKUP(LEFT(AD100,2),坦克部件养成!#REF!,6,FALSE))</f>
        <v>#REF!</v>
      </c>
      <c r="AG100" s="378" t="e">
        <f ca="1">MAX(BD$4:BD100)</f>
        <v>#REF!</v>
      </c>
      <c r="AH100" s="378" t="str">
        <f t="shared" ca="1" si="52"/>
        <v/>
      </c>
      <c r="AI100" s="378">
        <f ca="1">IF(Y100="NULL",0,MAX(BY$4:BY100))</f>
        <v>0</v>
      </c>
      <c r="AK100" s="364" t="e">
        <f t="shared" ca="1" si="53"/>
        <v>#REF!</v>
      </c>
      <c r="AL100" s="364" t="e">
        <f ca="1">VLOOKUP(AK100,坦克个性化设定!$B$18:$F$48,5,FALSE)</f>
        <v>#REF!</v>
      </c>
      <c r="AM100" s="372" t="e">
        <f t="shared" ca="1" si="54"/>
        <v>#REF!</v>
      </c>
      <c r="AN100" s="372" t="e">
        <f t="shared" ca="1" si="62"/>
        <v>#REF!</v>
      </c>
      <c r="AO100" s="364">
        <f t="shared" ca="1" si="55"/>
        <v>0</v>
      </c>
      <c r="AP100" s="372" t="e">
        <f ca="1">VLOOKUP($AK100&amp;$AO100,所有坦克升星属性,MATCH(AP$3,所有坦克升星属性标头,0),FALSE)+ROUND(AU100/VLOOKUP($AK100,坦克部件!#REF!,4,FALSE)*VLOOKUP($AK100&amp;0,所有坦克升星属性,MATCH(AP$3,所有坦克升星属性标头,0),FALSE),0)</f>
        <v>#REF!</v>
      </c>
      <c r="AQ100" s="372" t="e">
        <f ca="1">VLOOKUP($AK100&amp;$AO100,所有坦克升星属性,MATCH(AQ$3,所有坦克升星属性标头,0),FALSE)+ROUND(AV100/VLOOKUP($AK100,坦克部件!#REF!,4,FALSE)*VLOOKUP($AK100&amp;0,所有坦克升星属性,MATCH(AQ$3,所有坦克升星属性标头,0),FALSE),0)</f>
        <v>#REF!</v>
      </c>
      <c r="AR100" s="372" t="e">
        <f t="shared" ca="1" si="74"/>
        <v>#REF!</v>
      </c>
      <c r="AS100" s="372" t="e">
        <f t="shared" ca="1" si="74"/>
        <v>#REF!</v>
      </c>
      <c r="AT100" s="372" t="e">
        <f ca="1">VLOOKUP($AK100&amp;$AO100,所有坦克升星属性,MATCH(AT$3,所有坦克升星属性标头,0),FALSE)+ROUND(AW100/VLOOKUP($AK100,坦克部件!#REF!,4,FALSE)*VLOOKUP($AK100&amp;0,所有坦克升星属性,MATCH(AT$3,所有坦克升星属性标头,0),FALSE),0)</f>
        <v>#REF!</v>
      </c>
      <c r="AU100" s="372" t="e">
        <f ca="1">(VLOOKUP($AM100,坦克部件!#REF!,MATCH("标准值",坦克部件!#REF!,0),FALSE)+VLOOKUP($AN100,坦克部件!#REF!,MATCH("标准值",坦克部件!#REF!,0),FALSE))*2</f>
        <v>#REF!</v>
      </c>
      <c r="AV100" s="372" t="e">
        <f ca="1">(VLOOKUP($AM100,坦克部件!#REF!,MATCH("标准值",坦克部件!#REF!,0),FALSE)+VLOOKUP($AN100,坦克部件!#REF!,MATCH("标准值",坦克部件!#REF!,0),FALSE))*2</f>
        <v>#REF!</v>
      </c>
      <c r="AW100" s="372" t="e">
        <f ca="1">(VLOOKUP($AM100,坦克部件!#REF!,MATCH("标准值",坦克部件!#REF!,0),FALSE)+VLOOKUP($AN100,坦克部件!#REF!,MATCH("标准值",坦克部件!#REF!,0),FALSE))*2</f>
        <v>#REF!</v>
      </c>
      <c r="AX100" s="372" t="e">
        <f ca="1">VLOOKUP($AK100,坦克属性统计!$B$3:$AY$33,MATCH(AX$3,坦克属性统计!$B$3:$AY$3,0),FALSE)</f>
        <v>#REF!</v>
      </c>
      <c r="AY100" s="372" t="e">
        <f t="shared" ca="1" si="75"/>
        <v>#REF!</v>
      </c>
      <c r="AZ100" s="372" t="e">
        <f t="shared" ca="1" si="75"/>
        <v>#REF!</v>
      </c>
      <c r="BA100" s="372" t="e">
        <f t="shared" ca="1" si="75"/>
        <v>#REF!</v>
      </c>
      <c r="BB100" s="356" t="e">
        <f t="shared" ca="1" si="56"/>
        <v>#REF!</v>
      </c>
      <c r="BC100" s="356" t="e">
        <f ca="1">VLOOKUP(AK100,坦克个性化设定!$B$18:$E$48,4,FALSE)</f>
        <v>#REF!</v>
      </c>
      <c r="BD100" s="357" t="e">
        <f t="shared" ca="1" si="63"/>
        <v>#REF!</v>
      </c>
      <c r="BF100" s="357" t="str">
        <f t="shared" ca="1" si="57"/>
        <v/>
      </c>
      <c r="BG100" s="372" t="str">
        <f ca="1">IFERROR(VLOOKUP(BF100,坦克个性化设定!$B$18:$F$48,5,FALSE),"")</f>
        <v/>
      </c>
      <c r="BH100" s="372" t="e">
        <f t="shared" ca="1" si="64"/>
        <v>#REF!</v>
      </c>
      <c r="BI100" s="372" t="e">
        <f t="shared" ca="1" si="65"/>
        <v>#REF!</v>
      </c>
      <c r="BJ100" s="364" t="str">
        <f t="shared" ca="1" si="58"/>
        <v>NULL</v>
      </c>
      <c r="BK100" s="372" t="e">
        <f ca="1">VLOOKUP($BF100&amp;IF($BJ100="NULL",0,$BJ100),所有坦克升星属性,MATCH(BK$3,所有坦克升星属性标头,0),FALSE)+ROUND(BP100/VLOOKUP($BF100,坦克部件!#REF!,4,FALSE)*VLOOKUP($BF100&amp;0,所有坦克升星属性,MATCH(BK$3,所有坦克升星属性标头,0),FALSE),0)</f>
        <v>#N/A</v>
      </c>
      <c r="BL100" s="372" t="e">
        <f ca="1">VLOOKUP($BF100&amp;IF($BJ100="NULL",0,$BJ100),所有坦克升星属性,MATCH(BL$3,所有坦克升星属性标头,0),FALSE)+ROUND(BQ100/VLOOKUP($BF100,坦克部件!#REF!,4,FALSE)*VLOOKUP($BF100&amp;0,所有坦克升星属性,MATCH(BL$3,所有坦克升星属性标头,0),FALSE),0)</f>
        <v>#N/A</v>
      </c>
      <c r="BM100" s="372" t="e">
        <f t="shared" ca="1" si="76"/>
        <v>#N/A</v>
      </c>
      <c r="BN100" s="372" t="e">
        <f t="shared" ca="1" si="76"/>
        <v>#N/A</v>
      </c>
      <c r="BO100" s="372" t="e">
        <f ca="1">VLOOKUP($BF100&amp;IF($BJ100="NULL",0,$BJ100),所有坦克升星属性,MATCH(BO$3,所有坦克升星属性标头,0),FALSE)+ROUND(BR100/VLOOKUP($BF100,坦克部件!#REF!,4,FALSE)*VLOOKUP($BF100&amp;0,所有坦克升星属性,MATCH(BO$3,所有坦克升星属性标头,0),FALSE),0)</f>
        <v>#N/A</v>
      </c>
      <c r="BP100" s="372" t="e">
        <f ca="1">(VLOOKUP($BH100,坦克部件!#REF!,MATCH("标准值",坦克部件!#REF!,0),FALSE)+VLOOKUP($BI100,坦克部件!#REF!,MATCH("标准值",坦克部件!#REF!,0),FALSE))*2</f>
        <v>#REF!</v>
      </c>
      <c r="BQ100" s="372" t="e">
        <f ca="1">(VLOOKUP($BH100,坦克部件!#REF!,MATCH("标准值",坦克部件!#REF!,0),FALSE)+VLOOKUP($BI100,坦克部件!#REF!,MATCH("标准值",坦克部件!#REF!,0),FALSE))*2</f>
        <v>#REF!</v>
      </c>
      <c r="BR100" s="372" t="e">
        <f ca="1">(VLOOKUP($BH100,坦克部件!#REF!,MATCH("标准值",坦克部件!#REF!,0),FALSE)+VLOOKUP($BI100,坦克部件!#REF!,MATCH("标准值",坦克部件!#REF!,0),FALSE))*2</f>
        <v>#REF!</v>
      </c>
      <c r="BS100" s="372" t="e">
        <f ca="1">VLOOKUP($BF100,坦克属性统计!$B$3:$AY$33,MATCH(BS$3,坦克属性统计!$B$3:$AY$3,0),FALSE)</f>
        <v>#N/A</v>
      </c>
      <c r="BT100" s="372" t="e">
        <f t="shared" ca="1" si="77"/>
        <v>#N/A</v>
      </c>
      <c r="BU100" s="372" t="e">
        <f t="shared" ca="1" si="77"/>
        <v>#N/A</v>
      </c>
      <c r="BV100" s="372" t="e">
        <f t="shared" ca="1" si="77"/>
        <v>#N/A</v>
      </c>
      <c r="BW100" s="356">
        <f t="shared" ca="1" si="59"/>
        <v>0</v>
      </c>
      <c r="BX100" s="356" t="e">
        <f ca="1">VLOOKUP(BF100,坦克个性化设定!$B$18:$E$48,4,FALSE)</f>
        <v>#N/A</v>
      </c>
      <c r="BY100" s="357" t="e">
        <f t="shared" ca="1" si="66"/>
        <v>#N/A</v>
      </c>
    </row>
    <row r="101" spans="2:77" x14ac:dyDescent="0.35">
      <c r="B101" s="392">
        <v>52</v>
      </c>
      <c r="C101" s="392">
        <f>游戏时长规划!C163</f>
        <v>30</v>
      </c>
      <c r="D101" s="392">
        <f>游戏时长规划!D163</f>
        <v>1270</v>
      </c>
      <c r="E101" s="392">
        <f>游戏时长规划!E163</f>
        <v>10</v>
      </c>
      <c r="F101" s="392">
        <f>游戏时长规划!F163</f>
        <v>22950</v>
      </c>
      <c r="O101" s="365">
        <v>98</v>
      </c>
      <c r="P101" s="360" t="e">
        <f t="shared" ca="1" si="78"/>
        <v>#REF!</v>
      </c>
      <c r="Q101" s="360" t="e">
        <f ca="1">ROUND(MIN((BD101-VLOOKUP(R101,$B$22:$F$46,2,FALSE))/(VLOOKUP(R101,$B$22:$F$46,3,FALSE)-VLOOKUP(R101,$B$22:$F$46,2,FALSE)),1)*((VLOOKUP(R101,$B$22:$F$46,4,FALSE)*(AG101/(AG101+VLOOKUP(P101,$D$49:$F$123,3,TRUE)))+VLOOKUP(R101,$B$22:$F$46,5,FALSE)*(1-AG101/(AG101+VLOOKUP(P101,$D$49:$F$123,3,TRUE))))/2)*游戏时长规划!$C$4,0)</f>
        <v>#REF!</v>
      </c>
      <c r="R101" s="360" t="e">
        <f t="shared" ca="1" si="46"/>
        <v>#REF!</v>
      </c>
      <c r="S101" s="360" t="e">
        <f t="shared" ca="1" si="67"/>
        <v>#REF!</v>
      </c>
      <c r="T101" s="360" t="e">
        <f t="shared" ca="1" si="79"/>
        <v>#REF!</v>
      </c>
      <c r="U101" s="370" t="e">
        <f t="shared" ca="1" si="47"/>
        <v>#REF!</v>
      </c>
      <c r="V101" s="363" t="e">
        <f t="shared" ca="1" si="68"/>
        <v>#REF!</v>
      </c>
      <c r="W101" s="360" t="e">
        <f t="shared" ca="1" si="48"/>
        <v>#REF!</v>
      </c>
      <c r="X101" s="81" t="e">
        <f t="shared" ca="1" si="60"/>
        <v>#REF!</v>
      </c>
      <c r="Y101" s="360" t="str">
        <f t="shared" ca="1" si="49"/>
        <v>NULL</v>
      </c>
      <c r="Z101" s="375" t="e">
        <f t="shared" ca="1" si="61"/>
        <v>#REF!</v>
      </c>
      <c r="AA101" s="360">
        <f ca="1">IFERROR(VLOOKUP(IF(V101="T1低",游戏时长规划!$C$67+Z101,Z101),INDIRECT(V101&amp;"星级"),2,TRUE),0)</f>
        <v>0</v>
      </c>
      <c r="AB101" s="375" t="e">
        <f t="shared" ca="1" si="50"/>
        <v>#REF!</v>
      </c>
      <c r="AC101" s="375">
        <f ca="1">($D$14+$D$17)*$L$4/坦克部件养成!$C$2+AC100-IFERROR(IF(RIGHT(AD100,3)*1&gt;RIGHT(VLOOKUP(AC100,INDIRECT(LEFT(AD99,2)&amp;"部件升阶"),5,TRUE),3)*1,VLOOKUP(AD99,INDIRECT(LEFT(AD99,2)&amp;"部件升阶消耗"),2,FALSE),0),0)</f>
        <v>1159.6666666666672</v>
      </c>
      <c r="AD101" s="360" t="e">
        <f t="shared" ca="1" si="51"/>
        <v>#REF!</v>
      </c>
      <c r="AE101" s="375" t="e">
        <f ca="1">$D$15*$L$4/坦克部件养成!$C$2+AE100-IF(LEFT(AD101,2)&lt;&gt;LEFT(AD100,2),VLOOKUP(AF100,INDIRECT(LEFT(AD100,2)&amp;"部件升级消耗"),5,FALSE),0)</f>
        <v>#REF!</v>
      </c>
      <c r="AF101" s="360" t="e">
        <f ca="1">MIN(VLOOKUP(AE101,INDIRECT(LEFT(AD101,2)&amp;"部件升级"),2,TRUE),VLOOKUP(LEFT(AD101,2),坦克部件养成!#REF!,6,FALSE))</f>
        <v>#REF!</v>
      </c>
      <c r="AG101" s="378" t="e">
        <f ca="1">MAX(BD$4:BD101)</f>
        <v>#REF!</v>
      </c>
      <c r="AH101" s="378" t="str">
        <f t="shared" ca="1" si="52"/>
        <v/>
      </c>
      <c r="AI101" s="378">
        <f ca="1">IF(Y101="NULL",0,MAX(BY$4:BY101))</f>
        <v>0</v>
      </c>
      <c r="AK101" s="364" t="e">
        <f t="shared" ca="1" si="53"/>
        <v>#REF!</v>
      </c>
      <c r="AL101" s="364" t="e">
        <f ca="1">VLOOKUP(AK101,坦克个性化设定!$B$18:$F$48,5,FALSE)</f>
        <v>#REF!</v>
      </c>
      <c r="AM101" s="372" t="e">
        <f t="shared" ca="1" si="54"/>
        <v>#REF!</v>
      </c>
      <c r="AN101" s="372" t="e">
        <f t="shared" ca="1" si="62"/>
        <v>#REF!</v>
      </c>
      <c r="AO101" s="364">
        <f t="shared" ca="1" si="55"/>
        <v>0</v>
      </c>
      <c r="AP101" s="372" t="e">
        <f ca="1">VLOOKUP($AK101&amp;$AO101,所有坦克升星属性,MATCH(AP$3,所有坦克升星属性标头,0),FALSE)+ROUND(AU101/VLOOKUP($AK101,坦克部件!#REF!,4,FALSE)*VLOOKUP($AK101&amp;0,所有坦克升星属性,MATCH(AP$3,所有坦克升星属性标头,0),FALSE),0)</f>
        <v>#REF!</v>
      </c>
      <c r="AQ101" s="372" t="e">
        <f ca="1">VLOOKUP($AK101&amp;$AO101,所有坦克升星属性,MATCH(AQ$3,所有坦克升星属性标头,0),FALSE)+ROUND(AV101/VLOOKUP($AK101,坦克部件!#REF!,4,FALSE)*VLOOKUP($AK101&amp;0,所有坦克升星属性,MATCH(AQ$3,所有坦克升星属性标头,0),FALSE),0)</f>
        <v>#REF!</v>
      </c>
      <c r="AR101" s="372" t="e">
        <f t="shared" ca="1" si="74"/>
        <v>#REF!</v>
      </c>
      <c r="AS101" s="372" t="e">
        <f t="shared" ca="1" si="74"/>
        <v>#REF!</v>
      </c>
      <c r="AT101" s="372" t="e">
        <f ca="1">VLOOKUP($AK101&amp;$AO101,所有坦克升星属性,MATCH(AT$3,所有坦克升星属性标头,0),FALSE)+ROUND(AW101/VLOOKUP($AK101,坦克部件!#REF!,4,FALSE)*VLOOKUP($AK101&amp;0,所有坦克升星属性,MATCH(AT$3,所有坦克升星属性标头,0),FALSE),0)</f>
        <v>#REF!</v>
      </c>
      <c r="AU101" s="372" t="e">
        <f ca="1">(VLOOKUP($AM101,坦克部件!#REF!,MATCH("标准值",坦克部件!#REF!,0),FALSE)+VLOOKUP($AN101,坦克部件!#REF!,MATCH("标准值",坦克部件!#REF!,0),FALSE))*2</f>
        <v>#REF!</v>
      </c>
      <c r="AV101" s="372" t="e">
        <f ca="1">(VLOOKUP($AM101,坦克部件!#REF!,MATCH("标准值",坦克部件!#REF!,0),FALSE)+VLOOKUP($AN101,坦克部件!#REF!,MATCH("标准值",坦克部件!#REF!,0),FALSE))*2</f>
        <v>#REF!</v>
      </c>
      <c r="AW101" s="372" t="e">
        <f ca="1">(VLOOKUP($AM101,坦克部件!#REF!,MATCH("标准值",坦克部件!#REF!,0),FALSE)+VLOOKUP($AN101,坦克部件!#REF!,MATCH("标准值",坦克部件!#REF!,0),FALSE))*2</f>
        <v>#REF!</v>
      </c>
      <c r="AX101" s="372" t="e">
        <f ca="1">VLOOKUP($AK101,坦克属性统计!$B$3:$AY$33,MATCH(AX$3,坦克属性统计!$B$3:$AY$3,0),FALSE)</f>
        <v>#REF!</v>
      </c>
      <c r="AY101" s="372" t="e">
        <f t="shared" ca="1" si="75"/>
        <v>#REF!</v>
      </c>
      <c r="AZ101" s="372" t="e">
        <f t="shared" ca="1" si="75"/>
        <v>#REF!</v>
      </c>
      <c r="BA101" s="372" t="e">
        <f t="shared" ca="1" si="75"/>
        <v>#REF!</v>
      </c>
      <c r="BB101" s="356" t="e">
        <f t="shared" ca="1" si="56"/>
        <v>#REF!</v>
      </c>
      <c r="BC101" s="356" t="e">
        <f ca="1">VLOOKUP(AK101,坦克个性化设定!$B$18:$E$48,4,FALSE)</f>
        <v>#REF!</v>
      </c>
      <c r="BD101" s="357" t="e">
        <f t="shared" ca="1" si="63"/>
        <v>#REF!</v>
      </c>
      <c r="BF101" s="357" t="str">
        <f t="shared" ca="1" si="57"/>
        <v/>
      </c>
      <c r="BG101" s="372" t="str">
        <f ca="1">IFERROR(VLOOKUP(BF101,坦克个性化设定!$B$18:$F$48,5,FALSE),"")</f>
        <v/>
      </c>
      <c r="BH101" s="372" t="e">
        <f t="shared" ca="1" si="64"/>
        <v>#REF!</v>
      </c>
      <c r="BI101" s="372" t="e">
        <f t="shared" ca="1" si="65"/>
        <v>#REF!</v>
      </c>
      <c r="BJ101" s="364" t="str">
        <f t="shared" ca="1" si="58"/>
        <v>NULL</v>
      </c>
      <c r="BK101" s="372" t="e">
        <f ca="1">VLOOKUP($BF101&amp;IF($BJ101="NULL",0,$BJ101),所有坦克升星属性,MATCH(BK$3,所有坦克升星属性标头,0),FALSE)+ROUND(BP101/VLOOKUP($BF101,坦克部件!#REF!,4,FALSE)*VLOOKUP($BF101&amp;0,所有坦克升星属性,MATCH(BK$3,所有坦克升星属性标头,0),FALSE),0)</f>
        <v>#N/A</v>
      </c>
      <c r="BL101" s="372" t="e">
        <f ca="1">VLOOKUP($BF101&amp;IF($BJ101="NULL",0,$BJ101),所有坦克升星属性,MATCH(BL$3,所有坦克升星属性标头,0),FALSE)+ROUND(BQ101/VLOOKUP($BF101,坦克部件!#REF!,4,FALSE)*VLOOKUP($BF101&amp;0,所有坦克升星属性,MATCH(BL$3,所有坦克升星属性标头,0),FALSE),0)</f>
        <v>#N/A</v>
      </c>
      <c r="BM101" s="372" t="e">
        <f t="shared" ca="1" si="76"/>
        <v>#N/A</v>
      </c>
      <c r="BN101" s="372" t="e">
        <f t="shared" ca="1" si="76"/>
        <v>#N/A</v>
      </c>
      <c r="BO101" s="372" t="e">
        <f ca="1">VLOOKUP($BF101&amp;IF($BJ101="NULL",0,$BJ101),所有坦克升星属性,MATCH(BO$3,所有坦克升星属性标头,0),FALSE)+ROUND(BR101/VLOOKUP($BF101,坦克部件!#REF!,4,FALSE)*VLOOKUP($BF101&amp;0,所有坦克升星属性,MATCH(BO$3,所有坦克升星属性标头,0),FALSE),0)</f>
        <v>#N/A</v>
      </c>
      <c r="BP101" s="372" t="e">
        <f ca="1">(VLOOKUP($BH101,坦克部件!#REF!,MATCH("标准值",坦克部件!#REF!,0),FALSE)+VLOOKUP($BI101,坦克部件!#REF!,MATCH("标准值",坦克部件!#REF!,0),FALSE))*2</f>
        <v>#REF!</v>
      </c>
      <c r="BQ101" s="372" t="e">
        <f ca="1">(VLOOKUP($BH101,坦克部件!#REF!,MATCH("标准值",坦克部件!#REF!,0),FALSE)+VLOOKUP($BI101,坦克部件!#REF!,MATCH("标准值",坦克部件!#REF!,0),FALSE))*2</f>
        <v>#REF!</v>
      </c>
      <c r="BR101" s="372" t="e">
        <f ca="1">(VLOOKUP($BH101,坦克部件!#REF!,MATCH("标准值",坦克部件!#REF!,0),FALSE)+VLOOKUP($BI101,坦克部件!#REF!,MATCH("标准值",坦克部件!#REF!,0),FALSE))*2</f>
        <v>#REF!</v>
      </c>
      <c r="BS101" s="372" t="e">
        <f ca="1">VLOOKUP($BF101,坦克属性统计!$B$3:$AY$33,MATCH(BS$3,坦克属性统计!$B$3:$AY$3,0),FALSE)</f>
        <v>#N/A</v>
      </c>
      <c r="BT101" s="372" t="e">
        <f t="shared" ca="1" si="77"/>
        <v>#N/A</v>
      </c>
      <c r="BU101" s="372" t="e">
        <f t="shared" ca="1" si="77"/>
        <v>#N/A</v>
      </c>
      <c r="BV101" s="372" t="e">
        <f t="shared" ca="1" si="77"/>
        <v>#N/A</v>
      </c>
      <c r="BW101" s="356">
        <f t="shared" ca="1" si="59"/>
        <v>0</v>
      </c>
      <c r="BX101" s="356" t="e">
        <f ca="1">VLOOKUP(BF101,坦克个性化设定!$B$18:$E$48,4,FALSE)</f>
        <v>#N/A</v>
      </c>
      <c r="BY101" s="357" t="e">
        <f t="shared" ca="1" si="66"/>
        <v>#N/A</v>
      </c>
    </row>
    <row r="102" spans="2:77" x14ac:dyDescent="0.35">
      <c r="B102" s="392">
        <v>53</v>
      </c>
      <c r="C102" s="392">
        <f>游戏时长规划!C164</f>
        <v>30</v>
      </c>
      <c r="D102" s="392">
        <f>游戏时长规划!D164</f>
        <v>1300</v>
      </c>
      <c r="E102" s="392">
        <f>游戏时长规划!E164</f>
        <v>10</v>
      </c>
      <c r="F102" s="392">
        <f>游戏时长规划!F164</f>
        <v>23600</v>
      </c>
      <c r="O102" s="365">
        <v>99</v>
      </c>
      <c r="P102" s="360" t="e">
        <f t="shared" ca="1" si="78"/>
        <v>#REF!</v>
      </c>
      <c r="Q102" s="360" t="e">
        <f ca="1">ROUND(MIN((BD102-VLOOKUP(R102,$B$22:$F$46,2,FALSE))/(VLOOKUP(R102,$B$22:$F$46,3,FALSE)-VLOOKUP(R102,$B$22:$F$46,2,FALSE)),1)*((VLOOKUP(R102,$B$22:$F$46,4,FALSE)*(AG102/(AG102+VLOOKUP(P102,$D$49:$F$123,3,TRUE)))+VLOOKUP(R102,$B$22:$F$46,5,FALSE)*(1-AG102/(AG102+VLOOKUP(P102,$D$49:$F$123,3,TRUE))))/2)*游戏时长规划!$C$4,0)</f>
        <v>#REF!</v>
      </c>
      <c r="R102" s="360" t="e">
        <f t="shared" ca="1" si="46"/>
        <v>#REF!</v>
      </c>
      <c r="S102" s="360" t="e">
        <f t="shared" ca="1" si="67"/>
        <v>#REF!</v>
      </c>
      <c r="T102" s="360" t="e">
        <f t="shared" ca="1" si="79"/>
        <v>#REF!</v>
      </c>
      <c r="U102" s="370" t="e">
        <f t="shared" ca="1" si="47"/>
        <v>#REF!</v>
      </c>
      <c r="V102" s="363" t="e">
        <f t="shared" ca="1" si="68"/>
        <v>#REF!</v>
      </c>
      <c r="W102" s="360" t="e">
        <f t="shared" ca="1" si="48"/>
        <v>#REF!</v>
      </c>
      <c r="X102" s="81" t="e">
        <f t="shared" ca="1" si="60"/>
        <v>#REF!</v>
      </c>
      <c r="Y102" s="360" t="str">
        <f t="shared" ca="1" si="49"/>
        <v>NULL</v>
      </c>
      <c r="Z102" s="375" t="e">
        <f t="shared" ca="1" si="61"/>
        <v>#REF!</v>
      </c>
      <c r="AA102" s="360">
        <f ca="1">IFERROR(VLOOKUP(IF(V102="T1低",游戏时长规划!$C$67+Z102,Z102),INDIRECT(V102&amp;"星级"),2,TRUE),0)</f>
        <v>0</v>
      </c>
      <c r="AB102" s="375" t="e">
        <f t="shared" ca="1" si="50"/>
        <v>#REF!</v>
      </c>
      <c r="AC102" s="375">
        <f ca="1">($D$14+$D$17)*$L$4/坦克部件养成!$C$2+AC101-IFERROR(IF(RIGHT(AD101,3)*1&gt;RIGHT(VLOOKUP(AC101,INDIRECT(LEFT(AD100,2)&amp;"部件升阶"),5,TRUE),3)*1,VLOOKUP(AD100,INDIRECT(LEFT(AD100,2)&amp;"部件升阶消耗"),2,FALSE),0),0)</f>
        <v>1171.5000000000005</v>
      </c>
      <c r="AD102" s="360" t="e">
        <f t="shared" ca="1" si="51"/>
        <v>#REF!</v>
      </c>
      <c r="AE102" s="375" t="e">
        <f ca="1">$D$15*$L$4/坦克部件养成!$C$2+AE101-IF(LEFT(AD102,2)&lt;&gt;LEFT(AD101,2),VLOOKUP(AF101,INDIRECT(LEFT(AD101,2)&amp;"部件升级消耗"),5,FALSE),0)</f>
        <v>#REF!</v>
      </c>
      <c r="AF102" s="360" t="e">
        <f ca="1">MIN(VLOOKUP(AE102,INDIRECT(LEFT(AD102,2)&amp;"部件升级"),2,TRUE),VLOOKUP(LEFT(AD102,2),坦克部件养成!#REF!,6,FALSE))</f>
        <v>#REF!</v>
      </c>
      <c r="AG102" s="378" t="e">
        <f ca="1">MAX(BD$4:BD102)</f>
        <v>#REF!</v>
      </c>
      <c r="AH102" s="378" t="str">
        <f t="shared" ca="1" si="52"/>
        <v/>
      </c>
      <c r="AI102" s="378">
        <f ca="1">IF(Y102="NULL",0,MAX(BY$4:BY102))</f>
        <v>0</v>
      </c>
      <c r="AK102" s="364" t="e">
        <f t="shared" ca="1" si="53"/>
        <v>#REF!</v>
      </c>
      <c r="AL102" s="364" t="e">
        <f ca="1">VLOOKUP(AK102,坦克个性化设定!$B$18:$F$48,5,FALSE)</f>
        <v>#REF!</v>
      </c>
      <c r="AM102" s="372" t="e">
        <f t="shared" ca="1" si="54"/>
        <v>#REF!</v>
      </c>
      <c r="AN102" s="372" t="e">
        <f t="shared" ca="1" si="62"/>
        <v>#REF!</v>
      </c>
      <c r="AO102" s="364">
        <f t="shared" ca="1" si="55"/>
        <v>0</v>
      </c>
      <c r="AP102" s="372" t="e">
        <f ca="1">VLOOKUP($AK102&amp;$AO102,所有坦克升星属性,MATCH(AP$3,所有坦克升星属性标头,0),FALSE)+ROUND(AU102/VLOOKUP($AK102,坦克部件!#REF!,4,FALSE)*VLOOKUP($AK102&amp;0,所有坦克升星属性,MATCH(AP$3,所有坦克升星属性标头,0),FALSE),0)</f>
        <v>#REF!</v>
      </c>
      <c r="AQ102" s="372" t="e">
        <f ca="1">VLOOKUP($AK102&amp;$AO102,所有坦克升星属性,MATCH(AQ$3,所有坦克升星属性标头,0),FALSE)+ROUND(AV102/VLOOKUP($AK102,坦克部件!#REF!,4,FALSE)*VLOOKUP($AK102&amp;0,所有坦克升星属性,MATCH(AQ$3,所有坦克升星属性标头,0),FALSE),0)</f>
        <v>#REF!</v>
      </c>
      <c r="AR102" s="372" t="e">
        <f t="shared" ca="1" si="74"/>
        <v>#REF!</v>
      </c>
      <c r="AS102" s="372" t="e">
        <f t="shared" ca="1" si="74"/>
        <v>#REF!</v>
      </c>
      <c r="AT102" s="372" t="e">
        <f ca="1">VLOOKUP($AK102&amp;$AO102,所有坦克升星属性,MATCH(AT$3,所有坦克升星属性标头,0),FALSE)+ROUND(AW102/VLOOKUP($AK102,坦克部件!#REF!,4,FALSE)*VLOOKUP($AK102&amp;0,所有坦克升星属性,MATCH(AT$3,所有坦克升星属性标头,0),FALSE),0)</f>
        <v>#REF!</v>
      </c>
      <c r="AU102" s="372" t="e">
        <f ca="1">(VLOOKUP($AM102,坦克部件!#REF!,MATCH("标准值",坦克部件!#REF!,0),FALSE)+VLOOKUP($AN102,坦克部件!#REF!,MATCH("标准值",坦克部件!#REF!,0),FALSE))*2</f>
        <v>#REF!</v>
      </c>
      <c r="AV102" s="372" t="e">
        <f ca="1">(VLOOKUP($AM102,坦克部件!#REF!,MATCH("标准值",坦克部件!#REF!,0),FALSE)+VLOOKUP($AN102,坦克部件!#REF!,MATCH("标准值",坦克部件!#REF!,0),FALSE))*2</f>
        <v>#REF!</v>
      </c>
      <c r="AW102" s="372" t="e">
        <f ca="1">(VLOOKUP($AM102,坦克部件!#REF!,MATCH("标准值",坦克部件!#REF!,0),FALSE)+VLOOKUP($AN102,坦克部件!#REF!,MATCH("标准值",坦克部件!#REF!,0),FALSE))*2</f>
        <v>#REF!</v>
      </c>
      <c r="AX102" s="372" t="e">
        <f ca="1">VLOOKUP($AK102,坦克属性统计!$B$3:$AY$33,MATCH(AX$3,坦克属性统计!$B$3:$AY$3,0),FALSE)</f>
        <v>#REF!</v>
      </c>
      <c r="AY102" s="372" t="e">
        <f t="shared" ca="1" si="75"/>
        <v>#REF!</v>
      </c>
      <c r="AZ102" s="372" t="e">
        <f t="shared" ca="1" si="75"/>
        <v>#REF!</v>
      </c>
      <c r="BA102" s="372" t="e">
        <f t="shared" ca="1" si="75"/>
        <v>#REF!</v>
      </c>
      <c r="BB102" s="356" t="e">
        <f t="shared" ca="1" si="56"/>
        <v>#REF!</v>
      </c>
      <c r="BC102" s="356" t="e">
        <f ca="1">VLOOKUP(AK102,坦克个性化设定!$B$18:$E$48,4,FALSE)</f>
        <v>#REF!</v>
      </c>
      <c r="BD102" s="357" t="e">
        <f t="shared" ca="1" si="63"/>
        <v>#REF!</v>
      </c>
      <c r="BF102" s="357" t="str">
        <f t="shared" ca="1" si="57"/>
        <v/>
      </c>
      <c r="BG102" s="372" t="str">
        <f ca="1">IFERROR(VLOOKUP(BF102,坦克个性化设定!$B$18:$F$48,5,FALSE),"")</f>
        <v/>
      </c>
      <c r="BH102" s="372" t="e">
        <f t="shared" ca="1" si="64"/>
        <v>#REF!</v>
      </c>
      <c r="BI102" s="372" t="e">
        <f t="shared" ca="1" si="65"/>
        <v>#REF!</v>
      </c>
      <c r="BJ102" s="364" t="str">
        <f t="shared" ca="1" si="58"/>
        <v>NULL</v>
      </c>
      <c r="BK102" s="372" t="e">
        <f ca="1">VLOOKUP($BF102&amp;IF($BJ102="NULL",0,$BJ102),所有坦克升星属性,MATCH(BK$3,所有坦克升星属性标头,0),FALSE)+ROUND(BP102/VLOOKUP($BF102,坦克部件!#REF!,4,FALSE)*VLOOKUP($BF102&amp;0,所有坦克升星属性,MATCH(BK$3,所有坦克升星属性标头,0),FALSE),0)</f>
        <v>#N/A</v>
      </c>
      <c r="BL102" s="372" t="e">
        <f ca="1">VLOOKUP($BF102&amp;IF($BJ102="NULL",0,$BJ102),所有坦克升星属性,MATCH(BL$3,所有坦克升星属性标头,0),FALSE)+ROUND(BQ102/VLOOKUP($BF102,坦克部件!#REF!,4,FALSE)*VLOOKUP($BF102&amp;0,所有坦克升星属性,MATCH(BL$3,所有坦克升星属性标头,0),FALSE),0)</f>
        <v>#N/A</v>
      </c>
      <c r="BM102" s="372" t="e">
        <f t="shared" ca="1" si="76"/>
        <v>#N/A</v>
      </c>
      <c r="BN102" s="372" t="e">
        <f t="shared" ca="1" si="76"/>
        <v>#N/A</v>
      </c>
      <c r="BO102" s="372" t="e">
        <f ca="1">VLOOKUP($BF102&amp;IF($BJ102="NULL",0,$BJ102),所有坦克升星属性,MATCH(BO$3,所有坦克升星属性标头,0),FALSE)+ROUND(BR102/VLOOKUP($BF102,坦克部件!#REF!,4,FALSE)*VLOOKUP($BF102&amp;0,所有坦克升星属性,MATCH(BO$3,所有坦克升星属性标头,0),FALSE),0)</f>
        <v>#N/A</v>
      </c>
      <c r="BP102" s="372" t="e">
        <f ca="1">(VLOOKUP($BH102,坦克部件!#REF!,MATCH("标准值",坦克部件!#REF!,0),FALSE)+VLOOKUP($BI102,坦克部件!#REF!,MATCH("标准值",坦克部件!#REF!,0),FALSE))*2</f>
        <v>#REF!</v>
      </c>
      <c r="BQ102" s="372" t="e">
        <f ca="1">(VLOOKUP($BH102,坦克部件!#REF!,MATCH("标准值",坦克部件!#REF!,0),FALSE)+VLOOKUP($BI102,坦克部件!#REF!,MATCH("标准值",坦克部件!#REF!,0),FALSE))*2</f>
        <v>#REF!</v>
      </c>
      <c r="BR102" s="372" t="e">
        <f ca="1">(VLOOKUP($BH102,坦克部件!#REF!,MATCH("标准值",坦克部件!#REF!,0),FALSE)+VLOOKUP($BI102,坦克部件!#REF!,MATCH("标准值",坦克部件!#REF!,0),FALSE))*2</f>
        <v>#REF!</v>
      </c>
      <c r="BS102" s="372" t="e">
        <f ca="1">VLOOKUP($BF102,坦克属性统计!$B$3:$AY$33,MATCH(BS$3,坦克属性统计!$B$3:$AY$3,0),FALSE)</f>
        <v>#N/A</v>
      </c>
      <c r="BT102" s="372" t="e">
        <f t="shared" ca="1" si="77"/>
        <v>#N/A</v>
      </c>
      <c r="BU102" s="372" t="e">
        <f t="shared" ca="1" si="77"/>
        <v>#N/A</v>
      </c>
      <c r="BV102" s="372" t="e">
        <f t="shared" ca="1" si="77"/>
        <v>#N/A</v>
      </c>
      <c r="BW102" s="356">
        <f t="shared" ca="1" si="59"/>
        <v>0</v>
      </c>
      <c r="BX102" s="356" t="e">
        <f ca="1">VLOOKUP(BF102,坦克个性化设定!$B$18:$E$48,4,FALSE)</f>
        <v>#N/A</v>
      </c>
      <c r="BY102" s="357" t="e">
        <f t="shared" ca="1" si="66"/>
        <v>#N/A</v>
      </c>
    </row>
    <row r="103" spans="2:77" x14ac:dyDescent="0.35">
      <c r="B103" s="392">
        <v>54</v>
      </c>
      <c r="C103" s="392">
        <f>游戏时长规划!C165</f>
        <v>30</v>
      </c>
      <c r="D103" s="392">
        <f>游戏时长规划!D165</f>
        <v>1330</v>
      </c>
      <c r="E103" s="392">
        <f>游戏时长规划!E165</f>
        <v>11</v>
      </c>
      <c r="F103" s="392">
        <f>游戏时长规划!F165</f>
        <v>20450</v>
      </c>
      <c r="O103" s="365">
        <v>100</v>
      </c>
      <c r="P103" s="360" t="e">
        <f t="shared" ca="1" si="78"/>
        <v>#REF!</v>
      </c>
      <c r="Q103" s="360" t="e">
        <f ca="1">ROUND(MIN((BD103-VLOOKUP(R103,$B$22:$F$46,2,FALSE))/(VLOOKUP(R103,$B$22:$F$46,3,FALSE)-VLOOKUP(R103,$B$22:$F$46,2,FALSE)),1)*((VLOOKUP(R103,$B$22:$F$46,4,FALSE)*(AG103/(AG103+VLOOKUP(P103,$D$49:$F$123,3,TRUE)))+VLOOKUP(R103,$B$22:$F$46,5,FALSE)*(1-AG103/(AG103+VLOOKUP(P103,$D$49:$F$123,3,TRUE))))/2)*游戏时长规划!$C$4,0)</f>
        <v>#REF!</v>
      </c>
      <c r="R103" s="360" t="e">
        <f t="shared" ca="1" si="46"/>
        <v>#REF!</v>
      </c>
      <c r="S103" s="360" t="e">
        <f t="shared" ca="1" si="67"/>
        <v>#REF!</v>
      </c>
      <c r="T103" s="360" t="e">
        <f t="shared" ca="1" si="79"/>
        <v>#REF!</v>
      </c>
      <c r="U103" s="370" t="e">
        <f t="shared" ca="1" si="47"/>
        <v>#REF!</v>
      </c>
      <c r="V103" s="363" t="e">
        <f t="shared" ca="1" si="68"/>
        <v>#REF!</v>
      </c>
      <c r="W103" s="360" t="e">
        <f t="shared" ca="1" si="48"/>
        <v>#REF!</v>
      </c>
      <c r="X103" s="81" t="e">
        <f t="shared" ca="1" si="60"/>
        <v>#REF!</v>
      </c>
      <c r="Y103" s="360" t="str">
        <f t="shared" ca="1" si="49"/>
        <v>NULL</v>
      </c>
      <c r="Z103" s="375" t="e">
        <f t="shared" ca="1" si="61"/>
        <v>#REF!</v>
      </c>
      <c r="AA103" s="360">
        <f ca="1">IFERROR(VLOOKUP(IF(V103="T1低",游戏时长规划!$C$67+Z103,Z103),INDIRECT(V103&amp;"星级"),2,TRUE),0)</f>
        <v>0</v>
      </c>
      <c r="AB103" s="375" t="e">
        <f t="shared" ca="1" si="50"/>
        <v>#REF!</v>
      </c>
      <c r="AC103" s="375">
        <f ca="1">($D$14+$D$17)*$L$4/坦克部件养成!$C$2+AC102-IFERROR(IF(RIGHT(AD102,3)*1&gt;RIGHT(VLOOKUP(AC102,INDIRECT(LEFT(AD101,2)&amp;"部件升阶"),5,TRUE),3)*1,VLOOKUP(AD101,INDIRECT(LEFT(AD101,2)&amp;"部件升阶消耗"),2,FALSE),0),0)</f>
        <v>1183.3333333333337</v>
      </c>
      <c r="AD103" s="360" t="e">
        <f t="shared" ca="1" si="51"/>
        <v>#REF!</v>
      </c>
      <c r="AE103" s="375" t="e">
        <f ca="1">$D$15*$L$4/坦克部件养成!$C$2+AE102-IF(LEFT(AD103,2)&lt;&gt;LEFT(AD102,2),VLOOKUP(AF102,INDIRECT(LEFT(AD102,2)&amp;"部件升级消耗"),5,FALSE),0)</f>
        <v>#REF!</v>
      </c>
      <c r="AF103" s="360" t="e">
        <f ca="1">MIN(VLOOKUP(AE103,INDIRECT(LEFT(AD103,2)&amp;"部件升级"),2,TRUE),VLOOKUP(LEFT(AD103,2),坦克部件养成!#REF!,6,FALSE))</f>
        <v>#REF!</v>
      </c>
      <c r="AG103" s="378" t="e">
        <f ca="1">MAX(BD$4:BD103)</f>
        <v>#REF!</v>
      </c>
      <c r="AH103" s="378" t="str">
        <f t="shared" ca="1" si="52"/>
        <v/>
      </c>
      <c r="AI103" s="378">
        <f ca="1">IF(Y103="NULL",0,MAX(BY$4:BY103))</f>
        <v>0</v>
      </c>
      <c r="AK103" s="364" t="e">
        <f t="shared" ca="1" si="53"/>
        <v>#REF!</v>
      </c>
      <c r="AL103" s="364" t="e">
        <f ca="1">VLOOKUP(AK103,坦克个性化设定!$B$18:$F$48,5,FALSE)</f>
        <v>#REF!</v>
      </c>
      <c r="AM103" s="372" t="e">
        <f t="shared" ca="1" si="54"/>
        <v>#REF!</v>
      </c>
      <c r="AN103" s="372" t="e">
        <f t="shared" ca="1" si="62"/>
        <v>#REF!</v>
      </c>
      <c r="AO103" s="364">
        <f t="shared" ca="1" si="55"/>
        <v>0</v>
      </c>
      <c r="AP103" s="372" t="e">
        <f ca="1">VLOOKUP($AK103&amp;$AO103,所有坦克升星属性,MATCH(AP$3,所有坦克升星属性标头,0),FALSE)+ROUND(AU103/VLOOKUP($AK103,坦克部件!#REF!,4,FALSE)*VLOOKUP($AK103&amp;0,所有坦克升星属性,MATCH(AP$3,所有坦克升星属性标头,0),FALSE),0)</f>
        <v>#REF!</v>
      </c>
      <c r="AQ103" s="372" t="e">
        <f ca="1">VLOOKUP($AK103&amp;$AO103,所有坦克升星属性,MATCH(AQ$3,所有坦克升星属性标头,0),FALSE)+ROUND(AV103/VLOOKUP($AK103,坦克部件!#REF!,4,FALSE)*VLOOKUP($AK103&amp;0,所有坦克升星属性,MATCH(AQ$3,所有坦克升星属性标头,0),FALSE),0)</f>
        <v>#REF!</v>
      </c>
      <c r="AR103" s="372" t="e">
        <f t="shared" ca="1" si="74"/>
        <v>#REF!</v>
      </c>
      <c r="AS103" s="372" t="e">
        <f t="shared" ca="1" si="74"/>
        <v>#REF!</v>
      </c>
      <c r="AT103" s="372" t="e">
        <f ca="1">VLOOKUP($AK103&amp;$AO103,所有坦克升星属性,MATCH(AT$3,所有坦克升星属性标头,0),FALSE)+ROUND(AW103/VLOOKUP($AK103,坦克部件!#REF!,4,FALSE)*VLOOKUP($AK103&amp;0,所有坦克升星属性,MATCH(AT$3,所有坦克升星属性标头,0),FALSE),0)</f>
        <v>#REF!</v>
      </c>
      <c r="AU103" s="372" t="e">
        <f ca="1">(VLOOKUP($AM103,坦克部件!#REF!,MATCH("标准值",坦克部件!#REF!,0),FALSE)+VLOOKUP($AN103,坦克部件!#REF!,MATCH("标准值",坦克部件!#REF!,0),FALSE))*2</f>
        <v>#REF!</v>
      </c>
      <c r="AV103" s="372" t="e">
        <f ca="1">(VLOOKUP($AM103,坦克部件!#REF!,MATCH("标准值",坦克部件!#REF!,0),FALSE)+VLOOKUP($AN103,坦克部件!#REF!,MATCH("标准值",坦克部件!#REF!,0),FALSE))*2</f>
        <v>#REF!</v>
      </c>
      <c r="AW103" s="372" t="e">
        <f ca="1">(VLOOKUP($AM103,坦克部件!#REF!,MATCH("标准值",坦克部件!#REF!,0),FALSE)+VLOOKUP($AN103,坦克部件!#REF!,MATCH("标准值",坦克部件!#REF!,0),FALSE))*2</f>
        <v>#REF!</v>
      </c>
      <c r="AX103" s="372" t="e">
        <f ca="1">VLOOKUP($AK103,坦克属性统计!$B$3:$AY$33,MATCH(AX$3,坦克属性统计!$B$3:$AY$3,0),FALSE)</f>
        <v>#REF!</v>
      </c>
      <c r="AY103" s="372" t="e">
        <f t="shared" ca="1" si="75"/>
        <v>#REF!</v>
      </c>
      <c r="AZ103" s="372" t="e">
        <f t="shared" ca="1" si="75"/>
        <v>#REF!</v>
      </c>
      <c r="BA103" s="372" t="e">
        <f t="shared" ca="1" si="75"/>
        <v>#REF!</v>
      </c>
      <c r="BB103" s="356" t="e">
        <f t="shared" ca="1" si="56"/>
        <v>#REF!</v>
      </c>
      <c r="BC103" s="356" t="e">
        <f ca="1">VLOOKUP(AK103,坦克个性化设定!$B$18:$E$48,4,FALSE)</f>
        <v>#REF!</v>
      </c>
      <c r="BD103" s="357" t="e">
        <f t="shared" ca="1" si="63"/>
        <v>#REF!</v>
      </c>
      <c r="BF103" s="357" t="str">
        <f t="shared" ca="1" si="57"/>
        <v/>
      </c>
      <c r="BG103" s="372" t="str">
        <f ca="1">IFERROR(VLOOKUP(BF103,坦克个性化设定!$B$18:$F$48,5,FALSE),"")</f>
        <v/>
      </c>
      <c r="BH103" s="372" t="e">
        <f t="shared" ca="1" si="64"/>
        <v>#REF!</v>
      </c>
      <c r="BI103" s="372" t="e">
        <f t="shared" ca="1" si="65"/>
        <v>#REF!</v>
      </c>
      <c r="BJ103" s="364" t="str">
        <f t="shared" ca="1" si="58"/>
        <v>NULL</v>
      </c>
      <c r="BK103" s="372" t="e">
        <f ca="1">VLOOKUP($BF103&amp;IF($BJ103="NULL",0,$BJ103),所有坦克升星属性,MATCH(BK$3,所有坦克升星属性标头,0),FALSE)+ROUND(BP103/VLOOKUP($BF103,坦克部件!#REF!,4,FALSE)*VLOOKUP($BF103&amp;0,所有坦克升星属性,MATCH(BK$3,所有坦克升星属性标头,0),FALSE),0)</f>
        <v>#N/A</v>
      </c>
      <c r="BL103" s="372" t="e">
        <f ca="1">VLOOKUP($BF103&amp;IF($BJ103="NULL",0,$BJ103),所有坦克升星属性,MATCH(BL$3,所有坦克升星属性标头,0),FALSE)+ROUND(BQ103/VLOOKUP($BF103,坦克部件!#REF!,4,FALSE)*VLOOKUP($BF103&amp;0,所有坦克升星属性,MATCH(BL$3,所有坦克升星属性标头,0),FALSE),0)</f>
        <v>#N/A</v>
      </c>
      <c r="BM103" s="372" t="e">
        <f t="shared" ca="1" si="76"/>
        <v>#N/A</v>
      </c>
      <c r="BN103" s="372" t="e">
        <f t="shared" ca="1" si="76"/>
        <v>#N/A</v>
      </c>
      <c r="BO103" s="372" t="e">
        <f ca="1">VLOOKUP($BF103&amp;IF($BJ103="NULL",0,$BJ103),所有坦克升星属性,MATCH(BO$3,所有坦克升星属性标头,0),FALSE)+ROUND(BR103/VLOOKUP($BF103,坦克部件!#REF!,4,FALSE)*VLOOKUP($BF103&amp;0,所有坦克升星属性,MATCH(BO$3,所有坦克升星属性标头,0),FALSE),0)</f>
        <v>#N/A</v>
      </c>
      <c r="BP103" s="372" t="e">
        <f ca="1">(VLOOKUP($BH103,坦克部件!#REF!,MATCH("标准值",坦克部件!#REF!,0),FALSE)+VLOOKUP($BI103,坦克部件!#REF!,MATCH("标准值",坦克部件!#REF!,0),FALSE))*2</f>
        <v>#REF!</v>
      </c>
      <c r="BQ103" s="372" t="e">
        <f ca="1">(VLOOKUP($BH103,坦克部件!#REF!,MATCH("标准值",坦克部件!#REF!,0),FALSE)+VLOOKUP($BI103,坦克部件!#REF!,MATCH("标准值",坦克部件!#REF!,0),FALSE))*2</f>
        <v>#REF!</v>
      </c>
      <c r="BR103" s="372" t="e">
        <f ca="1">(VLOOKUP($BH103,坦克部件!#REF!,MATCH("标准值",坦克部件!#REF!,0),FALSE)+VLOOKUP($BI103,坦克部件!#REF!,MATCH("标准值",坦克部件!#REF!,0),FALSE))*2</f>
        <v>#REF!</v>
      </c>
      <c r="BS103" s="372" t="e">
        <f ca="1">VLOOKUP($BF103,坦克属性统计!$B$3:$AY$33,MATCH(BS$3,坦克属性统计!$B$3:$AY$3,0),FALSE)</f>
        <v>#N/A</v>
      </c>
      <c r="BT103" s="372" t="e">
        <f t="shared" ca="1" si="77"/>
        <v>#N/A</v>
      </c>
      <c r="BU103" s="372" t="e">
        <f t="shared" ca="1" si="77"/>
        <v>#N/A</v>
      </c>
      <c r="BV103" s="372" t="e">
        <f t="shared" ca="1" si="77"/>
        <v>#N/A</v>
      </c>
      <c r="BW103" s="356">
        <f t="shared" ca="1" si="59"/>
        <v>0</v>
      </c>
      <c r="BX103" s="356" t="e">
        <f ca="1">VLOOKUP(BF103,坦克个性化设定!$B$18:$E$48,4,FALSE)</f>
        <v>#N/A</v>
      </c>
      <c r="BY103" s="357" t="e">
        <f t="shared" ca="1" si="66"/>
        <v>#N/A</v>
      </c>
    </row>
    <row r="104" spans="2:77" x14ac:dyDescent="0.35">
      <c r="B104" s="392">
        <v>55</v>
      </c>
      <c r="C104" s="392">
        <f>游戏时长规划!C166</f>
        <v>30</v>
      </c>
      <c r="D104" s="392">
        <f>游戏时长规划!D166</f>
        <v>1360</v>
      </c>
      <c r="E104" s="392">
        <f>游戏时长规划!E166</f>
        <v>11</v>
      </c>
      <c r="F104" s="392">
        <f>游戏时长规划!F166</f>
        <v>21100</v>
      </c>
      <c r="O104" s="365">
        <v>101</v>
      </c>
      <c r="P104" s="360" t="e">
        <f t="shared" ca="1" si="78"/>
        <v>#REF!</v>
      </c>
      <c r="Q104" s="360" t="e">
        <f ca="1">ROUND(MIN((BD104-VLOOKUP(R104,$B$22:$F$46,2,FALSE))/(VLOOKUP(R104,$B$22:$F$46,3,FALSE)-VLOOKUP(R104,$B$22:$F$46,2,FALSE)),1)*((VLOOKUP(R104,$B$22:$F$46,4,FALSE)*(AG104/(AG104+VLOOKUP(P104,$D$49:$F$123,3,TRUE)))+VLOOKUP(R104,$B$22:$F$46,5,FALSE)*(1-AG104/(AG104+VLOOKUP(P104,$D$49:$F$123,3,TRUE))))/2)*游戏时长规划!$C$4,0)</f>
        <v>#REF!</v>
      </c>
      <c r="R104" s="360" t="e">
        <f t="shared" ca="1" si="46"/>
        <v>#REF!</v>
      </c>
      <c r="S104" s="360" t="e">
        <f t="shared" ca="1" si="67"/>
        <v>#REF!</v>
      </c>
      <c r="T104" s="360" t="e">
        <f t="shared" ca="1" si="79"/>
        <v>#REF!</v>
      </c>
      <c r="U104" s="370" t="e">
        <f t="shared" ca="1" si="47"/>
        <v>#REF!</v>
      </c>
      <c r="V104" s="363" t="e">
        <f t="shared" ca="1" si="68"/>
        <v>#REF!</v>
      </c>
      <c r="W104" s="360" t="e">
        <f t="shared" ca="1" si="48"/>
        <v>#REF!</v>
      </c>
      <c r="X104" s="81" t="e">
        <f t="shared" ca="1" si="60"/>
        <v>#REF!</v>
      </c>
      <c r="Y104" s="360" t="str">
        <f t="shared" ca="1" si="49"/>
        <v>NULL</v>
      </c>
      <c r="Z104" s="375" t="e">
        <f t="shared" ca="1" si="61"/>
        <v>#REF!</v>
      </c>
      <c r="AA104" s="360">
        <f ca="1">IFERROR(VLOOKUP(IF(V104="T1低",游戏时长规划!$C$67+Z104,Z104),INDIRECT(V104&amp;"星级"),2,TRUE),0)</f>
        <v>0</v>
      </c>
      <c r="AB104" s="375" t="e">
        <f t="shared" ca="1" si="50"/>
        <v>#REF!</v>
      </c>
      <c r="AC104" s="375">
        <f ca="1">($D$14+$D$17)*$L$4/坦克部件养成!$C$2+AC103-IFERROR(IF(RIGHT(AD103,3)*1&gt;RIGHT(VLOOKUP(AC103,INDIRECT(LEFT(AD102,2)&amp;"部件升阶"),5,TRUE),3)*1,VLOOKUP(AD102,INDIRECT(LEFT(AD102,2)&amp;"部件升阶消耗"),2,FALSE),0),0)</f>
        <v>1195.166666666667</v>
      </c>
      <c r="AD104" s="360" t="e">
        <f t="shared" ca="1" si="51"/>
        <v>#REF!</v>
      </c>
      <c r="AE104" s="375" t="e">
        <f ca="1">$D$15*$L$4/坦克部件养成!$C$2+AE103-IF(LEFT(AD104,2)&lt;&gt;LEFT(AD103,2),VLOOKUP(AF103,INDIRECT(LEFT(AD103,2)&amp;"部件升级消耗"),5,FALSE),0)</f>
        <v>#REF!</v>
      </c>
      <c r="AF104" s="360" t="e">
        <f ca="1">MIN(VLOOKUP(AE104,INDIRECT(LEFT(AD104,2)&amp;"部件升级"),2,TRUE),VLOOKUP(LEFT(AD104,2),坦克部件养成!#REF!,6,FALSE))</f>
        <v>#REF!</v>
      </c>
      <c r="AG104" s="378" t="e">
        <f ca="1">MAX(BD$4:BD104)</f>
        <v>#REF!</v>
      </c>
      <c r="AH104" s="378" t="str">
        <f t="shared" ca="1" si="52"/>
        <v/>
      </c>
      <c r="AI104" s="378">
        <f ca="1">IF(Y104="NULL",0,MAX(BY$4:BY104))</f>
        <v>0</v>
      </c>
      <c r="AK104" s="364" t="e">
        <f t="shared" ca="1" si="53"/>
        <v>#REF!</v>
      </c>
      <c r="AL104" s="364" t="e">
        <f ca="1">VLOOKUP(AK104,坦克个性化设定!$B$18:$F$48,5,FALSE)</f>
        <v>#REF!</v>
      </c>
      <c r="AM104" s="372" t="e">
        <f t="shared" ca="1" si="54"/>
        <v>#REF!</v>
      </c>
      <c r="AN104" s="372" t="e">
        <f t="shared" ca="1" si="62"/>
        <v>#REF!</v>
      </c>
      <c r="AO104" s="364">
        <f t="shared" ca="1" si="55"/>
        <v>0</v>
      </c>
      <c r="AP104" s="372" t="e">
        <f ca="1">VLOOKUP($AK104&amp;$AO104,所有坦克升星属性,MATCH(AP$3,所有坦克升星属性标头,0),FALSE)+ROUND(AU104/VLOOKUP($AK104,坦克部件!#REF!,4,FALSE)*VLOOKUP($AK104&amp;0,所有坦克升星属性,MATCH(AP$3,所有坦克升星属性标头,0),FALSE),0)</f>
        <v>#REF!</v>
      </c>
      <c r="AQ104" s="372" t="e">
        <f ca="1">VLOOKUP($AK104&amp;$AO104,所有坦克升星属性,MATCH(AQ$3,所有坦克升星属性标头,0),FALSE)+ROUND(AV104/VLOOKUP($AK104,坦克部件!#REF!,4,FALSE)*VLOOKUP($AK104&amp;0,所有坦克升星属性,MATCH(AQ$3,所有坦克升星属性标头,0),FALSE),0)</f>
        <v>#REF!</v>
      </c>
      <c r="AR104" s="372" t="e">
        <f t="shared" ref="AR104:AS123" ca="1" si="80">VLOOKUP($AK104&amp;$AO104,所有坦克升星属性,MATCH(AR$3,所有坦克升星属性标头,0),FALSE)</f>
        <v>#REF!</v>
      </c>
      <c r="AS104" s="372" t="e">
        <f t="shared" ca="1" si="80"/>
        <v>#REF!</v>
      </c>
      <c r="AT104" s="372" t="e">
        <f ca="1">VLOOKUP($AK104&amp;$AO104,所有坦克升星属性,MATCH(AT$3,所有坦克升星属性标头,0),FALSE)+ROUND(AW104/VLOOKUP($AK104,坦克部件!#REF!,4,FALSE)*VLOOKUP($AK104&amp;0,所有坦克升星属性,MATCH(AT$3,所有坦克升星属性标头,0),FALSE),0)</f>
        <v>#REF!</v>
      </c>
      <c r="AU104" s="372" t="e">
        <f ca="1">(VLOOKUP($AM104,坦克部件!#REF!,MATCH("标准值",坦克部件!#REF!,0),FALSE)+VLOOKUP($AN104,坦克部件!#REF!,MATCH("标准值",坦克部件!#REF!,0),FALSE))*2</f>
        <v>#REF!</v>
      </c>
      <c r="AV104" s="372" t="e">
        <f ca="1">(VLOOKUP($AM104,坦克部件!#REF!,MATCH("标准值",坦克部件!#REF!,0),FALSE)+VLOOKUP($AN104,坦克部件!#REF!,MATCH("标准值",坦克部件!#REF!,0),FALSE))*2</f>
        <v>#REF!</v>
      </c>
      <c r="AW104" s="372" t="e">
        <f ca="1">(VLOOKUP($AM104,坦克部件!#REF!,MATCH("标准值",坦克部件!#REF!,0),FALSE)+VLOOKUP($AN104,坦克部件!#REF!,MATCH("标准值",坦克部件!#REF!,0),FALSE))*2</f>
        <v>#REF!</v>
      </c>
      <c r="AX104" s="372" t="e">
        <f ca="1">VLOOKUP($AK104,坦克属性统计!$B$3:$AY$33,MATCH(AX$3,坦克属性统计!$B$3:$AY$3,0),FALSE)</f>
        <v>#REF!</v>
      </c>
      <c r="AY104" s="372" t="e">
        <f t="shared" ref="AY104:BA123" ca="1" si="81">VLOOKUP($AK104&amp;$AO104,所有坦克升星属性,MATCH(AY$3,所有坦克升星属性标头,0),FALSE)</f>
        <v>#REF!</v>
      </c>
      <c r="AZ104" s="372" t="e">
        <f t="shared" ca="1" si="81"/>
        <v>#REF!</v>
      </c>
      <c r="BA104" s="372" t="e">
        <f t="shared" ca="1" si="81"/>
        <v>#REF!</v>
      </c>
      <c r="BB104" s="356" t="e">
        <f t="shared" ca="1" si="56"/>
        <v>#REF!</v>
      </c>
      <c r="BC104" s="356" t="e">
        <f ca="1">VLOOKUP(AK104,坦克个性化设定!$B$18:$E$48,4,FALSE)</f>
        <v>#REF!</v>
      </c>
      <c r="BD104" s="357" t="e">
        <f t="shared" ca="1" si="63"/>
        <v>#REF!</v>
      </c>
      <c r="BF104" s="357" t="str">
        <f t="shared" ca="1" si="57"/>
        <v/>
      </c>
      <c r="BG104" s="372" t="str">
        <f ca="1">IFERROR(VLOOKUP(BF104,坦克个性化设定!$B$18:$F$48,5,FALSE),"")</f>
        <v/>
      </c>
      <c r="BH104" s="372" t="e">
        <f t="shared" ca="1" si="64"/>
        <v>#REF!</v>
      </c>
      <c r="BI104" s="372" t="e">
        <f t="shared" ca="1" si="65"/>
        <v>#REF!</v>
      </c>
      <c r="BJ104" s="364" t="str">
        <f t="shared" ca="1" si="58"/>
        <v>NULL</v>
      </c>
      <c r="BK104" s="372" t="e">
        <f ca="1">VLOOKUP($BF104&amp;IF($BJ104="NULL",0,$BJ104),所有坦克升星属性,MATCH(BK$3,所有坦克升星属性标头,0),FALSE)+ROUND(BP104/VLOOKUP($BF104,坦克部件!#REF!,4,FALSE)*VLOOKUP($BF104&amp;0,所有坦克升星属性,MATCH(BK$3,所有坦克升星属性标头,0),FALSE),0)</f>
        <v>#N/A</v>
      </c>
      <c r="BL104" s="372" t="e">
        <f ca="1">VLOOKUP($BF104&amp;IF($BJ104="NULL",0,$BJ104),所有坦克升星属性,MATCH(BL$3,所有坦克升星属性标头,0),FALSE)+ROUND(BQ104/VLOOKUP($BF104,坦克部件!#REF!,4,FALSE)*VLOOKUP($BF104&amp;0,所有坦克升星属性,MATCH(BL$3,所有坦克升星属性标头,0),FALSE),0)</f>
        <v>#N/A</v>
      </c>
      <c r="BM104" s="372" t="e">
        <f t="shared" ref="BM104:BN123" ca="1" si="82">VLOOKUP($BF104&amp;IF($BJ104="NULL",0,$BJ104),所有坦克升星属性,MATCH(BM$3,所有坦克升星属性标头,0),FALSE)</f>
        <v>#N/A</v>
      </c>
      <c r="BN104" s="372" t="e">
        <f t="shared" ca="1" si="82"/>
        <v>#N/A</v>
      </c>
      <c r="BO104" s="372" t="e">
        <f ca="1">VLOOKUP($BF104&amp;IF($BJ104="NULL",0,$BJ104),所有坦克升星属性,MATCH(BO$3,所有坦克升星属性标头,0),FALSE)+ROUND(BR104/VLOOKUP($BF104,坦克部件!#REF!,4,FALSE)*VLOOKUP($BF104&amp;0,所有坦克升星属性,MATCH(BO$3,所有坦克升星属性标头,0),FALSE),0)</f>
        <v>#N/A</v>
      </c>
      <c r="BP104" s="372" t="e">
        <f ca="1">(VLOOKUP($BH104,坦克部件!#REF!,MATCH("标准值",坦克部件!#REF!,0),FALSE)+VLOOKUP($BI104,坦克部件!#REF!,MATCH("标准值",坦克部件!#REF!,0),FALSE))*2</f>
        <v>#REF!</v>
      </c>
      <c r="BQ104" s="372" t="e">
        <f ca="1">(VLOOKUP($BH104,坦克部件!#REF!,MATCH("标准值",坦克部件!#REF!,0),FALSE)+VLOOKUP($BI104,坦克部件!#REF!,MATCH("标准值",坦克部件!#REF!,0),FALSE))*2</f>
        <v>#REF!</v>
      </c>
      <c r="BR104" s="372" t="e">
        <f ca="1">(VLOOKUP($BH104,坦克部件!#REF!,MATCH("标准值",坦克部件!#REF!,0),FALSE)+VLOOKUP($BI104,坦克部件!#REF!,MATCH("标准值",坦克部件!#REF!,0),FALSE))*2</f>
        <v>#REF!</v>
      </c>
      <c r="BS104" s="372" t="e">
        <f ca="1">VLOOKUP($BF104,坦克属性统计!$B$3:$AY$33,MATCH(BS$3,坦克属性统计!$B$3:$AY$3,0),FALSE)</f>
        <v>#N/A</v>
      </c>
      <c r="BT104" s="372" t="e">
        <f t="shared" ref="BT104:BV123" ca="1" si="83">VLOOKUP($BF104&amp;IF($BJ104="NULL",0,$BJ104),所有坦克升星属性,MATCH(BT$3,所有坦克升星属性标头,0),FALSE)</f>
        <v>#N/A</v>
      </c>
      <c r="BU104" s="372" t="e">
        <f t="shared" ca="1" si="83"/>
        <v>#N/A</v>
      </c>
      <c r="BV104" s="372" t="e">
        <f t="shared" ca="1" si="83"/>
        <v>#N/A</v>
      </c>
      <c r="BW104" s="356">
        <f t="shared" ca="1" si="59"/>
        <v>0</v>
      </c>
      <c r="BX104" s="356" t="e">
        <f ca="1">VLOOKUP(BF104,坦克个性化设定!$B$18:$E$48,4,FALSE)</f>
        <v>#N/A</v>
      </c>
      <c r="BY104" s="357" t="e">
        <f t="shared" ca="1" si="66"/>
        <v>#N/A</v>
      </c>
    </row>
    <row r="105" spans="2:77" x14ac:dyDescent="0.35">
      <c r="B105" s="392">
        <v>56</v>
      </c>
      <c r="C105" s="392">
        <f>游戏时长规划!C167</f>
        <v>30</v>
      </c>
      <c r="D105" s="392">
        <f>游戏时长规划!D167</f>
        <v>1390</v>
      </c>
      <c r="E105" s="392">
        <f>游戏时长规划!E167</f>
        <v>11</v>
      </c>
      <c r="F105" s="392">
        <f>游戏时长规划!F167</f>
        <v>21700</v>
      </c>
      <c r="O105" s="365">
        <v>102</v>
      </c>
      <c r="P105" s="360" t="e">
        <f t="shared" ca="1" si="78"/>
        <v>#REF!</v>
      </c>
      <c r="Q105" s="360" t="e">
        <f ca="1">ROUND(MIN((BD105-VLOOKUP(R105,$B$22:$F$46,2,FALSE))/(VLOOKUP(R105,$B$22:$F$46,3,FALSE)-VLOOKUP(R105,$B$22:$F$46,2,FALSE)),1)*((VLOOKUP(R105,$B$22:$F$46,4,FALSE)*(AG105/(AG105+VLOOKUP(P105,$D$49:$F$123,3,TRUE)))+VLOOKUP(R105,$B$22:$F$46,5,FALSE)*(1-AG105/(AG105+VLOOKUP(P105,$D$49:$F$123,3,TRUE))))/2)*游戏时长规划!$C$4,0)</f>
        <v>#REF!</v>
      </c>
      <c r="R105" s="360" t="e">
        <f t="shared" ca="1" si="46"/>
        <v>#REF!</v>
      </c>
      <c r="S105" s="360" t="e">
        <f t="shared" ca="1" si="67"/>
        <v>#REF!</v>
      </c>
      <c r="T105" s="360" t="e">
        <f t="shared" ca="1" si="79"/>
        <v>#REF!</v>
      </c>
      <c r="U105" s="370" t="e">
        <f t="shared" ca="1" si="47"/>
        <v>#REF!</v>
      </c>
      <c r="V105" s="363" t="e">
        <f t="shared" ca="1" si="68"/>
        <v>#REF!</v>
      </c>
      <c r="W105" s="360" t="e">
        <f t="shared" ca="1" si="48"/>
        <v>#REF!</v>
      </c>
      <c r="X105" s="81" t="e">
        <f t="shared" ca="1" si="60"/>
        <v>#REF!</v>
      </c>
      <c r="Y105" s="360" t="str">
        <f t="shared" ca="1" si="49"/>
        <v>NULL</v>
      </c>
      <c r="Z105" s="375" t="e">
        <f t="shared" ca="1" si="61"/>
        <v>#REF!</v>
      </c>
      <c r="AA105" s="360">
        <f ca="1">IFERROR(VLOOKUP(IF(V105="T1低",游戏时长规划!$C$67+Z105,Z105),INDIRECT(V105&amp;"星级"),2,TRUE),0)</f>
        <v>0</v>
      </c>
      <c r="AB105" s="375" t="e">
        <f t="shared" ca="1" si="50"/>
        <v>#REF!</v>
      </c>
      <c r="AC105" s="375">
        <f ca="1">($D$14+$D$17)*$L$4/坦克部件养成!$C$2+AC104-IFERROR(IF(RIGHT(AD104,3)*1&gt;RIGHT(VLOOKUP(AC104,INDIRECT(LEFT(AD103,2)&amp;"部件升阶"),5,TRUE),3)*1,VLOOKUP(AD103,INDIRECT(LEFT(AD103,2)&amp;"部件升阶消耗"),2,FALSE),0),0)</f>
        <v>1207.0000000000002</v>
      </c>
      <c r="AD105" s="360" t="e">
        <f t="shared" ca="1" si="51"/>
        <v>#REF!</v>
      </c>
      <c r="AE105" s="375" t="e">
        <f ca="1">$D$15*$L$4/坦克部件养成!$C$2+AE104-IF(LEFT(AD105,2)&lt;&gt;LEFT(AD104,2),VLOOKUP(AF104,INDIRECT(LEFT(AD104,2)&amp;"部件升级消耗"),5,FALSE),0)</f>
        <v>#REF!</v>
      </c>
      <c r="AF105" s="360" t="e">
        <f ca="1">MIN(VLOOKUP(AE105,INDIRECT(LEFT(AD105,2)&amp;"部件升级"),2,TRUE),VLOOKUP(LEFT(AD105,2),坦克部件养成!#REF!,6,FALSE))</f>
        <v>#REF!</v>
      </c>
      <c r="AG105" s="378" t="e">
        <f ca="1">MAX(BD$4:BD105)</f>
        <v>#REF!</v>
      </c>
      <c r="AH105" s="378" t="str">
        <f t="shared" ca="1" si="52"/>
        <v/>
      </c>
      <c r="AI105" s="378">
        <f ca="1">IF(Y105="NULL",0,MAX(BY$4:BY105))</f>
        <v>0</v>
      </c>
      <c r="AK105" s="364" t="e">
        <f t="shared" ca="1" si="53"/>
        <v>#REF!</v>
      </c>
      <c r="AL105" s="364" t="e">
        <f ca="1">VLOOKUP(AK105,坦克个性化设定!$B$18:$F$48,5,FALSE)</f>
        <v>#REF!</v>
      </c>
      <c r="AM105" s="372" t="e">
        <f t="shared" ca="1" si="54"/>
        <v>#REF!</v>
      </c>
      <c r="AN105" s="372" t="e">
        <f t="shared" ca="1" si="62"/>
        <v>#REF!</v>
      </c>
      <c r="AO105" s="364">
        <f t="shared" ca="1" si="55"/>
        <v>0</v>
      </c>
      <c r="AP105" s="372" t="e">
        <f ca="1">VLOOKUP($AK105&amp;$AO105,所有坦克升星属性,MATCH(AP$3,所有坦克升星属性标头,0),FALSE)+ROUND(AU105/VLOOKUP($AK105,坦克部件!#REF!,4,FALSE)*VLOOKUP($AK105&amp;0,所有坦克升星属性,MATCH(AP$3,所有坦克升星属性标头,0),FALSE),0)</f>
        <v>#REF!</v>
      </c>
      <c r="AQ105" s="372" t="e">
        <f ca="1">VLOOKUP($AK105&amp;$AO105,所有坦克升星属性,MATCH(AQ$3,所有坦克升星属性标头,0),FALSE)+ROUND(AV105/VLOOKUP($AK105,坦克部件!#REF!,4,FALSE)*VLOOKUP($AK105&amp;0,所有坦克升星属性,MATCH(AQ$3,所有坦克升星属性标头,0),FALSE),0)</f>
        <v>#REF!</v>
      </c>
      <c r="AR105" s="372" t="e">
        <f t="shared" ca="1" si="80"/>
        <v>#REF!</v>
      </c>
      <c r="AS105" s="372" t="e">
        <f t="shared" ca="1" si="80"/>
        <v>#REF!</v>
      </c>
      <c r="AT105" s="372" t="e">
        <f ca="1">VLOOKUP($AK105&amp;$AO105,所有坦克升星属性,MATCH(AT$3,所有坦克升星属性标头,0),FALSE)+ROUND(AW105/VLOOKUP($AK105,坦克部件!#REF!,4,FALSE)*VLOOKUP($AK105&amp;0,所有坦克升星属性,MATCH(AT$3,所有坦克升星属性标头,0),FALSE),0)</f>
        <v>#REF!</v>
      </c>
      <c r="AU105" s="372" t="e">
        <f ca="1">(VLOOKUP($AM105,坦克部件!#REF!,MATCH("标准值",坦克部件!#REF!,0),FALSE)+VLOOKUP($AN105,坦克部件!#REF!,MATCH("标准值",坦克部件!#REF!,0),FALSE))*2</f>
        <v>#REF!</v>
      </c>
      <c r="AV105" s="372" t="e">
        <f ca="1">(VLOOKUP($AM105,坦克部件!#REF!,MATCH("标准值",坦克部件!#REF!,0),FALSE)+VLOOKUP($AN105,坦克部件!#REF!,MATCH("标准值",坦克部件!#REF!,0),FALSE))*2</f>
        <v>#REF!</v>
      </c>
      <c r="AW105" s="372" t="e">
        <f ca="1">(VLOOKUP($AM105,坦克部件!#REF!,MATCH("标准值",坦克部件!#REF!,0),FALSE)+VLOOKUP($AN105,坦克部件!#REF!,MATCH("标准值",坦克部件!#REF!,0),FALSE))*2</f>
        <v>#REF!</v>
      </c>
      <c r="AX105" s="372" t="e">
        <f ca="1">VLOOKUP($AK105,坦克属性统计!$B$3:$AY$33,MATCH(AX$3,坦克属性统计!$B$3:$AY$3,0),FALSE)</f>
        <v>#REF!</v>
      </c>
      <c r="AY105" s="372" t="e">
        <f t="shared" ca="1" si="81"/>
        <v>#REF!</v>
      </c>
      <c r="AZ105" s="372" t="e">
        <f t="shared" ca="1" si="81"/>
        <v>#REF!</v>
      </c>
      <c r="BA105" s="372" t="e">
        <f t="shared" ca="1" si="81"/>
        <v>#REF!</v>
      </c>
      <c r="BB105" s="356" t="e">
        <f t="shared" ca="1" si="56"/>
        <v>#REF!</v>
      </c>
      <c r="BC105" s="356" t="e">
        <f ca="1">VLOOKUP(AK105,坦克个性化设定!$B$18:$E$48,4,FALSE)</f>
        <v>#REF!</v>
      </c>
      <c r="BD105" s="357" t="e">
        <f t="shared" ca="1" si="63"/>
        <v>#REF!</v>
      </c>
      <c r="BF105" s="357" t="str">
        <f t="shared" ca="1" si="57"/>
        <v/>
      </c>
      <c r="BG105" s="372" t="str">
        <f ca="1">IFERROR(VLOOKUP(BF105,坦克个性化设定!$B$18:$F$48,5,FALSE),"")</f>
        <v/>
      </c>
      <c r="BH105" s="372" t="e">
        <f t="shared" ca="1" si="64"/>
        <v>#REF!</v>
      </c>
      <c r="BI105" s="372" t="e">
        <f t="shared" ca="1" si="65"/>
        <v>#REF!</v>
      </c>
      <c r="BJ105" s="364" t="str">
        <f t="shared" ca="1" si="58"/>
        <v>NULL</v>
      </c>
      <c r="BK105" s="372" t="e">
        <f ca="1">VLOOKUP($BF105&amp;IF($BJ105="NULL",0,$BJ105),所有坦克升星属性,MATCH(BK$3,所有坦克升星属性标头,0),FALSE)+ROUND(BP105/VLOOKUP($BF105,坦克部件!#REF!,4,FALSE)*VLOOKUP($BF105&amp;0,所有坦克升星属性,MATCH(BK$3,所有坦克升星属性标头,0),FALSE),0)</f>
        <v>#N/A</v>
      </c>
      <c r="BL105" s="372" t="e">
        <f ca="1">VLOOKUP($BF105&amp;IF($BJ105="NULL",0,$BJ105),所有坦克升星属性,MATCH(BL$3,所有坦克升星属性标头,0),FALSE)+ROUND(BQ105/VLOOKUP($BF105,坦克部件!#REF!,4,FALSE)*VLOOKUP($BF105&amp;0,所有坦克升星属性,MATCH(BL$3,所有坦克升星属性标头,0),FALSE),0)</f>
        <v>#N/A</v>
      </c>
      <c r="BM105" s="372" t="e">
        <f t="shared" ca="1" si="82"/>
        <v>#N/A</v>
      </c>
      <c r="BN105" s="372" t="e">
        <f t="shared" ca="1" si="82"/>
        <v>#N/A</v>
      </c>
      <c r="BO105" s="372" t="e">
        <f ca="1">VLOOKUP($BF105&amp;IF($BJ105="NULL",0,$BJ105),所有坦克升星属性,MATCH(BO$3,所有坦克升星属性标头,0),FALSE)+ROUND(BR105/VLOOKUP($BF105,坦克部件!#REF!,4,FALSE)*VLOOKUP($BF105&amp;0,所有坦克升星属性,MATCH(BO$3,所有坦克升星属性标头,0),FALSE),0)</f>
        <v>#N/A</v>
      </c>
      <c r="BP105" s="372" t="e">
        <f ca="1">(VLOOKUP($BH105,坦克部件!#REF!,MATCH("标准值",坦克部件!#REF!,0),FALSE)+VLOOKUP($BI105,坦克部件!#REF!,MATCH("标准值",坦克部件!#REF!,0),FALSE))*2</f>
        <v>#REF!</v>
      </c>
      <c r="BQ105" s="372" t="e">
        <f ca="1">(VLOOKUP($BH105,坦克部件!#REF!,MATCH("标准值",坦克部件!#REF!,0),FALSE)+VLOOKUP($BI105,坦克部件!#REF!,MATCH("标准值",坦克部件!#REF!,0),FALSE))*2</f>
        <v>#REF!</v>
      </c>
      <c r="BR105" s="372" t="e">
        <f ca="1">(VLOOKUP($BH105,坦克部件!#REF!,MATCH("标准值",坦克部件!#REF!,0),FALSE)+VLOOKUP($BI105,坦克部件!#REF!,MATCH("标准值",坦克部件!#REF!,0),FALSE))*2</f>
        <v>#REF!</v>
      </c>
      <c r="BS105" s="372" t="e">
        <f ca="1">VLOOKUP($BF105,坦克属性统计!$B$3:$AY$33,MATCH(BS$3,坦克属性统计!$B$3:$AY$3,0),FALSE)</f>
        <v>#N/A</v>
      </c>
      <c r="BT105" s="372" t="e">
        <f t="shared" ca="1" si="83"/>
        <v>#N/A</v>
      </c>
      <c r="BU105" s="372" t="e">
        <f t="shared" ca="1" si="83"/>
        <v>#N/A</v>
      </c>
      <c r="BV105" s="372" t="e">
        <f t="shared" ca="1" si="83"/>
        <v>#N/A</v>
      </c>
      <c r="BW105" s="356">
        <f t="shared" ca="1" si="59"/>
        <v>0</v>
      </c>
      <c r="BX105" s="356" t="e">
        <f ca="1">VLOOKUP(BF105,坦克个性化设定!$B$18:$E$48,4,FALSE)</f>
        <v>#N/A</v>
      </c>
      <c r="BY105" s="357" t="e">
        <f t="shared" ca="1" si="66"/>
        <v>#N/A</v>
      </c>
    </row>
    <row r="106" spans="2:77" x14ac:dyDescent="0.35">
      <c r="B106" s="392">
        <v>57</v>
      </c>
      <c r="C106" s="392">
        <f>游戏时长规划!C168</f>
        <v>30</v>
      </c>
      <c r="D106" s="392">
        <f>游戏时长规划!D168</f>
        <v>1420</v>
      </c>
      <c r="E106" s="392">
        <f>游戏时长规划!E168</f>
        <v>11</v>
      </c>
      <c r="F106" s="392">
        <f>游戏时长规划!F168</f>
        <v>22350</v>
      </c>
      <c r="O106" s="365">
        <v>103</v>
      </c>
      <c r="P106" s="360" t="e">
        <f t="shared" ca="1" si="78"/>
        <v>#REF!</v>
      </c>
      <c r="Q106" s="360" t="e">
        <f ca="1">ROUND(MIN((BD106-VLOOKUP(R106,$B$22:$F$46,2,FALSE))/(VLOOKUP(R106,$B$22:$F$46,3,FALSE)-VLOOKUP(R106,$B$22:$F$46,2,FALSE)),1)*((VLOOKUP(R106,$B$22:$F$46,4,FALSE)*(AG106/(AG106+VLOOKUP(P106,$D$49:$F$123,3,TRUE)))+VLOOKUP(R106,$B$22:$F$46,5,FALSE)*(1-AG106/(AG106+VLOOKUP(P106,$D$49:$F$123,3,TRUE))))/2)*游戏时长规划!$C$4,0)</f>
        <v>#REF!</v>
      </c>
      <c r="R106" s="360" t="e">
        <f t="shared" ca="1" si="46"/>
        <v>#REF!</v>
      </c>
      <c r="S106" s="360" t="e">
        <f t="shared" ca="1" si="67"/>
        <v>#REF!</v>
      </c>
      <c r="T106" s="360" t="e">
        <f t="shared" ca="1" si="79"/>
        <v>#REF!</v>
      </c>
      <c r="U106" s="370" t="e">
        <f t="shared" ca="1" si="47"/>
        <v>#REF!</v>
      </c>
      <c r="V106" s="363" t="e">
        <f t="shared" ca="1" si="68"/>
        <v>#REF!</v>
      </c>
      <c r="W106" s="360" t="e">
        <f t="shared" ca="1" si="48"/>
        <v>#REF!</v>
      </c>
      <c r="X106" s="81" t="e">
        <f t="shared" ca="1" si="60"/>
        <v>#REF!</v>
      </c>
      <c r="Y106" s="360" t="str">
        <f t="shared" ca="1" si="49"/>
        <v>NULL</v>
      </c>
      <c r="Z106" s="375" t="e">
        <f t="shared" ca="1" si="61"/>
        <v>#REF!</v>
      </c>
      <c r="AA106" s="360">
        <f ca="1">IFERROR(VLOOKUP(IF(V106="T1低",游戏时长规划!$C$67+Z106,Z106),INDIRECT(V106&amp;"星级"),2,TRUE),0)</f>
        <v>0</v>
      </c>
      <c r="AB106" s="375" t="e">
        <f t="shared" ca="1" si="50"/>
        <v>#REF!</v>
      </c>
      <c r="AC106" s="375">
        <f ca="1">($D$14+$D$17)*$L$4/坦克部件养成!$C$2+AC105-IFERROR(IF(RIGHT(AD105,3)*1&gt;RIGHT(VLOOKUP(AC105,INDIRECT(LEFT(AD104,2)&amp;"部件升阶"),5,TRUE),3)*1,VLOOKUP(AD104,INDIRECT(LEFT(AD104,2)&amp;"部件升阶消耗"),2,FALSE),0),0)</f>
        <v>1218.8333333333335</v>
      </c>
      <c r="AD106" s="360" t="e">
        <f t="shared" ca="1" si="51"/>
        <v>#REF!</v>
      </c>
      <c r="AE106" s="375" t="e">
        <f ca="1">$D$15*$L$4/坦克部件养成!$C$2+AE105-IF(LEFT(AD106,2)&lt;&gt;LEFT(AD105,2),VLOOKUP(AF105,INDIRECT(LEFT(AD105,2)&amp;"部件升级消耗"),5,FALSE),0)</f>
        <v>#REF!</v>
      </c>
      <c r="AF106" s="360" t="e">
        <f ca="1">MIN(VLOOKUP(AE106,INDIRECT(LEFT(AD106,2)&amp;"部件升级"),2,TRUE),VLOOKUP(LEFT(AD106,2),坦克部件养成!#REF!,6,FALSE))</f>
        <v>#REF!</v>
      </c>
      <c r="AG106" s="378" t="e">
        <f ca="1">MAX(BD$4:BD106)</f>
        <v>#REF!</v>
      </c>
      <c r="AH106" s="378" t="str">
        <f t="shared" ca="1" si="52"/>
        <v/>
      </c>
      <c r="AI106" s="378">
        <f ca="1">IF(Y106="NULL",0,MAX(BY$4:BY106))</f>
        <v>0</v>
      </c>
      <c r="AK106" s="364" t="e">
        <f t="shared" ca="1" si="53"/>
        <v>#REF!</v>
      </c>
      <c r="AL106" s="364" t="e">
        <f ca="1">VLOOKUP(AK106,坦克个性化设定!$B$18:$F$48,5,FALSE)</f>
        <v>#REF!</v>
      </c>
      <c r="AM106" s="372" t="e">
        <f t="shared" ca="1" si="54"/>
        <v>#REF!</v>
      </c>
      <c r="AN106" s="372" t="e">
        <f t="shared" ca="1" si="62"/>
        <v>#REF!</v>
      </c>
      <c r="AO106" s="364">
        <f t="shared" ca="1" si="55"/>
        <v>0</v>
      </c>
      <c r="AP106" s="372" t="e">
        <f ca="1">VLOOKUP($AK106&amp;$AO106,所有坦克升星属性,MATCH(AP$3,所有坦克升星属性标头,0),FALSE)+ROUND(AU106/VLOOKUP($AK106,坦克部件!#REF!,4,FALSE)*VLOOKUP($AK106&amp;0,所有坦克升星属性,MATCH(AP$3,所有坦克升星属性标头,0),FALSE),0)</f>
        <v>#REF!</v>
      </c>
      <c r="AQ106" s="372" t="e">
        <f ca="1">VLOOKUP($AK106&amp;$AO106,所有坦克升星属性,MATCH(AQ$3,所有坦克升星属性标头,0),FALSE)+ROUND(AV106/VLOOKUP($AK106,坦克部件!#REF!,4,FALSE)*VLOOKUP($AK106&amp;0,所有坦克升星属性,MATCH(AQ$3,所有坦克升星属性标头,0),FALSE),0)</f>
        <v>#REF!</v>
      </c>
      <c r="AR106" s="372" t="e">
        <f t="shared" ca="1" si="80"/>
        <v>#REF!</v>
      </c>
      <c r="AS106" s="372" t="e">
        <f t="shared" ca="1" si="80"/>
        <v>#REF!</v>
      </c>
      <c r="AT106" s="372" t="e">
        <f ca="1">VLOOKUP($AK106&amp;$AO106,所有坦克升星属性,MATCH(AT$3,所有坦克升星属性标头,0),FALSE)+ROUND(AW106/VLOOKUP($AK106,坦克部件!#REF!,4,FALSE)*VLOOKUP($AK106&amp;0,所有坦克升星属性,MATCH(AT$3,所有坦克升星属性标头,0),FALSE),0)</f>
        <v>#REF!</v>
      </c>
      <c r="AU106" s="372" t="e">
        <f ca="1">(VLOOKUP($AM106,坦克部件!#REF!,MATCH("标准值",坦克部件!#REF!,0),FALSE)+VLOOKUP($AN106,坦克部件!#REF!,MATCH("标准值",坦克部件!#REF!,0),FALSE))*2</f>
        <v>#REF!</v>
      </c>
      <c r="AV106" s="372" t="e">
        <f ca="1">(VLOOKUP($AM106,坦克部件!#REF!,MATCH("标准值",坦克部件!#REF!,0),FALSE)+VLOOKUP($AN106,坦克部件!#REF!,MATCH("标准值",坦克部件!#REF!,0),FALSE))*2</f>
        <v>#REF!</v>
      </c>
      <c r="AW106" s="372" t="e">
        <f ca="1">(VLOOKUP($AM106,坦克部件!#REF!,MATCH("标准值",坦克部件!#REF!,0),FALSE)+VLOOKUP($AN106,坦克部件!#REF!,MATCH("标准值",坦克部件!#REF!,0),FALSE))*2</f>
        <v>#REF!</v>
      </c>
      <c r="AX106" s="372" t="e">
        <f ca="1">VLOOKUP($AK106,坦克属性统计!$B$3:$AY$33,MATCH(AX$3,坦克属性统计!$B$3:$AY$3,0),FALSE)</f>
        <v>#REF!</v>
      </c>
      <c r="AY106" s="372" t="e">
        <f t="shared" ca="1" si="81"/>
        <v>#REF!</v>
      </c>
      <c r="AZ106" s="372" t="e">
        <f t="shared" ca="1" si="81"/>
        <v>#REF!</v>
      </c>
      <c r="BA106" s="372" t="e">
        <f t="shared" ca="1" si="81"/>
        <v>#REF!</v>
      </c>
      <c r="BB106" s="356" t="e">
        <f t="shared" ca="1" si="56"/>
        <v>#REF!</v>
      </c>
      <c r="BC106" s="356" t="e">
        <f ca="1">VLOOKUP(AK106,坦克个性化设定!$B$18:$E$48,4,FALSE)</f>
        <v>#REF!</v>
      </c>
      <c r="BD106" s="357" t="e">
        <f t="shared" ca="1" si="63"/>
        <v>#REF!</v>
      </c>
      <c r="BF106" s="357" t="str">
        <f t="shared" ca="1" si="57"/>
        <v/>
      </c>
      <c r="BG106" s="372" t="str">
        <f ca="1">IFERROR(VLOOKUP(BF106,坦克个性化设定!$B$18:$F$48,5,FALSE),"")</f>
        <v/>
      </c>
      <c r="BH106" s="372" t="e">
        <f t="shared" ca="1" si="64"/>
        <v>#REF!</v>
      </c>
      <c r="BI106" s="372" t="e">
        <f t="shared" ca="1" si="65"/>
        <v>#REF!</v>
      </c>
      <c r="BJ106" s="364" t="str">
        <f t="shared" ca="1" si="58"/>
        <v>NULL</v>
      </c>
      <c r="BK106" s="372" t="e">
        <f ca="1">VLOOKUP($BF106&amp;IF($BJ106="NULL",0,$BJ106),所有坦克升星属性,MATCH(BK$3,所有坦克升星属性标头,0),FALSE)+ROUND(BP106/VLOOKUP($BF106,坦克部件!#REF!,4,FALSE)*VLOOKUP($BF106&amp;0,所有坦克升星属性,MATCH(BK$3,所有坦克升星属性标头,0),FALSE),0)</f>
        <v>#N/A</v>
      </c>
      <c r="BL106" s="372" t="e">
        <f ca="1">VLOOKUP($BF106&amp;IF($BJ106="NULL",0,$BJ106),所有坦克升星属性,MATCH(BL$3,所有坦克升星属性标头,0),FALSE)+ROUND(BQ106/VLOOKUP($BF106,坦克部件!#REF!,4,FALSE)*VLOOKUP($BF106&amp;0,所有坦克升星属性,MATCH(BL$3,所有坦克升星属性标头,0),FALSE),0)</f>
        <v>#N/A</v>
      </c>
      <c r="BM106" s="372" t="e">
        <f t="shared" ca="1" si="82"/>
        <v>#N/A</v>
      </c>
      <c r="BN106" s="372" t="e">
        <f t="shared" ca="1" si="82"/>
        <v>#N/A</v>
      </c>
      <c r="BO106" s="372" t="e">
        <f ca="1">VLOOKUP($BF106&amp;IF($BJ106="NULL",0,$BJ106),所有坦克升星属性,MATCH(BO$3,所有坦克升星属性标头,0),FALSE)+ROUND(BR106/VLOOKUP($BF106,坦克部件!#REF!,4,FALSE)*VLOOKUP($BF106&amp;0,所有坦克升星属性,MATCH(BO$3,所有坦克升星属性标头,0),FALSE),0)</f>
        <v>#N/A</v>
      </c>
      <c r="BP106" s="372" t="e">
        <f ca="1">(VLOOKUP($BH106,坦克部件!#REF!,MATCH("标准值",坦克部件!#REF!,0),FALSE)+VLOOKUP($BI106,坦克部件!#REF!,MATCH("标准值",坦克部件!#REF!,0),FALSE))*2</f>
        <v>#REF!</v>
      </c>
      <c r="BQ106" s="372" t="e">
        <f ca="1">(VLOOKUP($BH106,坦克部件!#REF!,MATCH("标准值",坦克部件!#REF!,0),FALSE)+VLOOKUP($BI106,坦克部件!#REF!,MATCH("标准值",坦克部件!#REF!,0),FALSE))*2</f>
        <v>#REF!</v>
      </c>
      <c r="BR106" s="372" t="e">
        <f ca="1">(VLOOKUP($BH106,坦克部件!#REF!,MATCH("标准值",坦克部件!#REF!,0),FALSE)+VLOOKUP($BI106,坦克部件!#REF!,MATCH("标准值",坦克部件!#REF!,0),FALSE))*2</f>
        <v>#REF!</v>
      </c>
      <c r="BS106" s="372" t="e">
        <f ca="1">VLOOKUP($BF106,坦克属性统计!$B$3:$AY$33,MATCH(BS$3,坦克属性统计!$B$3:$AY$3,0),FALSE)</f>
        <v>#N/A</v>
      </c>
      <c r="BT106" s="372" t="e">
        <f t="shared" ca="1" si="83"/>
        <v>#N/A</v>
      </c>
      <c r="BU106" s="372" t="e">
        <f t="shared" ca="1" si="83"/>
        <v>#N/A</v>
      </c>
      <c r="BV106" s="372" t="e">
        <f t="shared" ca="1" si="83"/>
        <v>#N/A</v>
      </c>
      <c r="BW106" s="356">
        <f t="shared" ca="1" si="59"/>
        <v>0</v>
      </c>
      <c r="BX106" s="356" t="e">
        <f ca="1">VLOOKUP(BF106,坦克个性化设定!$B$18:$E$48,4,FALSE)</f>
        <v>#N/A</v>
      </c>
      <c r="BY106" s="357" t="e">
        <f t="shared" ca="1" si="66"/>
        <v>#N/A</v>
      </c>
    </row>
    <row r="107" spans="2:77" x14ac:dyDescent="0.35">
      <c r="B107" s="392">
        <v>58</v>
      </c>
      <c r="C107" s="392">
        <f>游戏时长规划!C169</f>
        <v>30</v>
      </c>
      <c r="D107" s="392">
        <f>游戏时长规划!D169</f>
        <v>1450</v>
      </c>
      <c r="E107" s="392">
        <f>游戏时长规划!E169</f>
        <v>11</v>
      </c>
      <c r="F107" s="392">
        <f>游戏时长规划!F169</f>
        <v>23000</v>
      </c>
      <c r="O107" s="365">
        <v>104</v>
      </c>
      <c r="P107" s="360" t="e">
        <f t="shared" ca="1" si="78"/>
        <v>#REF!</v>
      </c>
      <c r="Q107" s="360" t="e">
        <f ca="1">ROUND(MIN((BD107-VLOOKUP(R107,$B$22:$F$46,2,FALSE))/(VLOOKUP(R107,$B$22:$F$46,3,FALSE)-VLOOKUP(R107,$B$22:$F$46,2,FALSE)),1)*((VLOOKUP(R107,$B$22:$F$46,4,FALSE)*(AG107/(AG107+VLOOKUP(P107,$D$49:$F$123,3,TRUE)))+VLOOKUP(R107,$B$22:$F$46,5,FALSE)*(1-AG107/(AG107+VLOOKUP(P107,$D$49:$F$123,3,TRUE))))/2)*游戏时长规划!$C$4,0)</f>
        <v>#REF!</v>
      </c>
      <c r="R107" s="360" t="e">
        <f t="shared" ca="1" si="46"/>
        <v>#REF!</v>
      </c>
      <c r="S107" s="360" t="e">
        <f t="shared" ca="1" si="67"/>
        <v>#REF!</v>
      </c>
      <c r="T107" s="360" t="e">
        <f t="shared" ca="1" si="79"/>
        <v>#REF!</v>
      </c>
      <c r="U107" s="370" t="e">
        <f t="shared" ca="1" si="47"/>
        <v>#REF!</v>
      </c>
      <c r="V107" s="363" t="e">
        <f t="shared" ca="1" si="68"/>
        <v>#REF!</v>
      </c>
      <c r="W107" s="360" t="e">
        <f t="shared" ca="1" si="48"/>
        <v>#REF!</v>
      </c>
      <c r="X107" s="81" t="e">
        <f t="shared" ca="1" si="60"/>
        <v>#REF!</v>
      </c>
      <c r="Y107" s="360" t="str">
        <f t="shared" ca="1" si="49"/>
        <v>NULL</v>
      </c>
      <c r="Z107" s="375" t="e">
        <f t="shared" ca="1" si="61"/>
        <v>#REF!</v>
      </c>
      <c r="AA107" s="360">
        <f ca="1">IFERROR(VLOOKUP(IF(V107="T1低",游戏时长规划!$C$67+Z107,Z107),INDIRECT(V107&amp;"星级"),2,TRUE),0)</f>
        <v>0</v>
      </c>
      <c r="AB107" s="375" t="e">
        <f t="shared" ca="1" si="50"/>
        <v>#REF!</v>
      </c>
      <c r="AC107" s="375">
        <f ca="1">($D$14+$D$17)*$L$4/坦克部件养成!$C$2+AC106-IFERROR(IF(RIGHT(AD106,3)*1&gt;RIGHT(VLOOKUP(AC106,INDIRECT(LEFT(AD105,2)&amp;"部件升阶"),5,TRUE),3)*1,VLOOKUP(AD105,INDIRECT(LEFT(AD105,2)&amp;"部件升阶消耗"),2,FALSE),0),0)</f>
        <v>1230.6666666666667</v>
      </c>
      <c r="AD107" s="360" t="e">
        <f t="shared" ca="1" si="51"/>
        <v>#REF!</v>
      </c>
      <c r="AE107" s="375" t="e">
        <f ca="1">$D$15*$L$4/坦克部件养成!$C$2+AE106-IF(LEFT(AD107,2)&lt;&gt;LEFT(AD106,2),VLOOKUP(AF106,INDIRECT(LEFT(AD106,2)&amp;"部件升级消耗"),5,FALSE),0)</f>
        <v>#REF!</v>
      </c>
      <c r="AF107" s="360" t="e">
        <f ca="1">MIN(VLOOKUP(AE107,INDIRECT(LEFT(AD107,2)&amp;"部件升级"),2,TRUE),VLOOKUP(LEFT(AD107,2),坦克部件养成!#REF!,6,FALSE))</f>
        <v>#REF!</v>
      </c>
      <c r="AG107" s="378" t="e">
        <f ca="1">MAX(BD$4:BD107)</f>
        <v>#REF!</v>
      </c>
      <c r="AH107" s="378" t="str">
        <f t="shared" ca="1" si="52"/>
        <v/>
      </c>
      <c r="AI107" s="378">
        <f ca="1">IF(Y107="NULL",0,MAX(BY$4:BY107))</f>
        <v>0</v>
      </c>
      <c r="AK107" s="364" t="e">
        <f t="shared" ca="1" si="53"/>
        <v>#REF!</v>
      </c>
      <c r="AL107" s="364" t="e">
        <f ca="1">VLOOKUP(AK107,坦克个性化设定!$B$18:$F$48,5,FALSE)</f>
        <v>#REF!</v>
      </c>
      <c r="AM107" s="372" t="e">
        <f t="shared" ca="1" si="54"/>
        <v>#REF!</v>
      </c>
      <c r="AN107" s="372" t="e">
        <f t="shared" ca="1" si="62"/>
        <v>#REF!</v>
      </c>
      <c r="AO107" s="364">
        <f t="shared" ca="1" si="55"/>
        <v>0</v>
      </c>
      <c r="AP107" s="372" t="e">
        <f ca="1">VLOOKUP($AK107&amp;$AO107,所有坦克升星属性,MATCH(AP$3,所有坦克升星属性标头,0),FALSE)+ROUND(AU107/VLOOKUP($AK107,坦克部件!#REF!,4,FALSE)*VLOOKUP($AK107&amp;0,所有坦克升星属性,MATCH(AP$3,所有坦克升星属性标头,0),FALSE),0)</f>
        <v>#REF!</v>
      </c>
      <c r="AQ107" s="372" t="e">
        <f ca="1">VLOOKUP($AK107&amp;$AO107,所有坦克升星属性,MATCH(AQ$3,所有坦克升星属性标头,0),FALSE)+ROUND(AV107/VLOOKUP($AK107,坦克部件!#REF!,4,FALSE)*VLOOKUP($AK107&amp;0,所有坦克升星属性,MATCH(AQ$3,所有坦克升星属性标头,0),FALSE),0)</f>
        <v>#REF!</v>
      </c>
      <c r="AR107" s="372" t="e">
        <f t="shared" ca="1" si="80"/>
        <v>#REF!</v>
      </c>
      <c r="AS107" s="372" t="e">
        <f t="shared" ca="1" si="80"/>
        <v>#REF!</v>
      </c>
      <c r="AT107" s="372" t="e">
        <f ca="1">VLOOKUP($AK107&amp;$AO107,所有坦克升星属性,MATCH(AT$3,所有坦克升星属性标头,0),FALSE)+ROUND(AW107/VLOOKUP($AK107,坦克部件!#REF!,4,FALSE)*VLOOKUP($AK107&amp;0,所有坦克升星属性,MATCH(AT$3,所有坦克升星属性标头,0),FALSE),0)</f>
        <v>#REF!</v>
      </c>
      <c r="AU107" s="372" t="e">
        <f ca="1">(VLOOKUP($AM107,坦克部件!#REF!,MATCH("标准值",坦克部件!#REF!,0),FALSE)+VLOOKUP($AN107,坦克部件!#REF!,MATCH("标准值",坦克部件!#REF!,0),FALSE))*2</f>
        <v>#REF!</v>
      </c>
      <c r="AV107" s="372" t="e">
        <f ca="1">(VLOOKUP($AM107,坦克部件!#REF!,MATCH("标准值",坦克部件!#REF!,0),FALSE)+VLOOKUP($AN107,坦克部件!#REF!,MATCH("标准值",坦克部件!#REF!,0),FALSE))*2</f>
        <v>#REF!</v>
      </c>
      <c r="AW107" s="372" t="e">
        <f ca="1">(VLOOKUP($AM107,坦克部件!#REF!,MATCH("标准值",坦克部件!#REF!,0),FALSE)+VLOOKUP($AN107,坦克部件!#REF!,MATCH("标准值",坦克部件!#REF!,0),FALSE))*2</f>
        <v>#REF!</v>
      </c>
      <c r="AX107" s="372" t="e">
        <f ca="1">VLOOKUP($AK107,坦克属性统计!$B$3:$AY$33,MATCH(AX$3,坦克属性统计!$B$3:$AY$3,0),FALSE)</f>
        <v>#REF!</v>
      </c>
      <c r="AY107" s="372" t="e">
        <f t="shared" ca="1" si="81"/>
        <v>#REF!</v>
      </c>
      <c r="AZ107" s="372" t="e">
        <f t="shared" ca="1" si="81"/>
        <v>#REF!</v>
      </c>
      <c r="BA107" s="372" t="e">
        <f t="shared" ca="1" si="81"/>
        <v>#REF!</v>
      </c>
      <c r="BB107" s="356" t="e">
        <f t="shared" ca="1" si="56"/>
        <v>#REF!</v>
      </c>
      <c r="BC107" s="356" t="e">
        <f ca="1">VLOOKUP(AK107,坦克个性化设定!$B$18:$E$48,4,FALSE)</f>
        <v>#REF!</v>
      </c>
      <c r="BD107" s="357" t="e">
        <f t="shared" ca="1" si="63"/>
        <v>#REF!</v>
      </c>
      <c r="BF107" s="357" t="str">
        <f t="shared" ca="1" si="57"/>
        <v/>
      </c>
      <c r="BG107" s="372" t="str">
        <f ca="1">IFERROR(VLOOKUP(BF107,坦克个性化设定!$B$18:$F$48,5,FALSE),"")</f>
        <v/>
      </c>
      <c r="BH107" s="372" t="e">
        <f t="shared" ca="1" si="64"/>
        <v>#REF!</v>
      </c>
      <c r="BI107" s="372" t="e">
        <f t="shared" ca="1" si="65"/>
        <v>#REF!</v>
      </c>
      <c r="BJ107" s="364" t="str">
        <f t="shared" ca="1" si="58"/>
        <v>NULL</v>
      </c>
      <c r="BK107" s="372" t="e">
        <f ca="1">VLOOKUP($BF107&amp;IF($BJ107="NULL",0,$BJ107),所有坦克升星属性,MATCH(BK$3,所有坦克升星属性标头,0),FALSE)+ROUND(BP107/VLOOKUP($BF107,坦克部件!#REF!,4,FALSE)*VLOOKUP($BF107&amp;0,所有坦克升星属性,MATCH(BK$3,所有坦克升星属性标头,0),FALSE),0)</f>
        <v>#N/A</v>
      </c>
      <c r="BL107" s="372" t="e">
        <f ca="1">VLOOKUP($BF107&amp;IF($BJ107="NULL",0,$BJ107),所有坦克升星属性,MATCH(BL$3,所有坦克升星属性标头,0),FALSE)+ROUND(BQ107/VLOOKUP($BF107,坦克部件!#REF!,4,FALSE)*VLOOKUP($BF107&amp;0,所有坦克升星属性,MATCH(BL$3,所有坦克升星属性标头,0),FALSE),0)</f>
        <v>#N/A</v>
      </c>
      <c r="BM107" s="372" t="e">
        <f t="shared" ca="1" si="82"/>
        <v>#N/A</v>
      </c>
      <c r="BN107" s="372" t="e">
        <f t="shared" ca="1" si="82"/>
        <v>#N/A</v>
      </c>
      <c r="BO107" s="372" t="e">
        <f ca="1">VLOOKUP($BF107&amp;IF($BJ107="NULL",0,$BJ107),所有坦克升星属性,MATCH(BO$3,所有坦克升星属性标头,0),FALSE)+ROUND(BR107/VLOOKUP($BF107,坦克部件!#REF!,4,FALSE)*VLOOKUP($BF107&amp;0,所有坦克升星属性,MATCH(BO$3,所有坦克升星属性标头,0),FALSE),0)</f>
        <v>#N/A</v>
      </c>
      <c r="BP107" s="372" t="e">
        <f ca="1">(VLOOKUP($BH107,坦克部件!#REF!,MATCH("标准值",坦克部件!#REF!,0),FALSE)+VLOOKUP($BI107,坦克部件!#REF!,MATCH("标准值",坦克部件!#REF!,0),FALSE))*2</f>
        <v>#REF!</v>
      </c>
      <c r="BQ107" s="372" t="e">
        <f ca="1">(VLOOKUP($BH107,坦克部件!#REF!,MATCH("标准值",坦克部件!#REF!,0),FALSE)+VLOOKUP($BI107,坦克部件!#REF!,MATCH("标准值",坦克部件!#REF!,0),FALSE))*2</f>
        <v>#REF!</v>
      </c>
      <c r="BR107" s="372" t="e">
        <f ca="1">(VLOOKUP($BH107,坦克部件!#REF!,MATCH("标准值",坦克部件!#REF!,0),FALSE)+VLOOKUP($BI107,坦克部件!#REF!,MATCH("标准值",坦克部件!#REF!,0),FALSE))*2</f>
        <v>#REF!</v>
      </c>
      <c r="BS107" s="372" t="e">
        <f ca="1">VLOOKUP($BF107,坦克属性统计!$B$3:$AY$33,MATCH(BS$3,坦克属性统计!$B$3:$AY$3,0),FALSE)</f>
        <v>#N/A</v>
      </c>
      <c r="BT107" s="372" t="e">
        <f t="shared" ca="1" si="83"/>
        <v>#N/A</v>
      </c>
      <c r="BU107" s="372" t="e">
        <f t="shared" ca="1" si="83"/>
        <v>#N/A</v>
      </c>
      <c r="BV107" s="372" t="e">
        <f t="shared" ca="1" si="83"/>
        <v>#N/A</v>
      </c>
      <c r="BW107" s="356">
        <f t="shared" ca="1" si="59"/>
        <v>0</v>
      </c>
      <c r="BX107" s="356" t="e">
        <f ca="1">VLOOKUP(BF107,坦克个性化设定!$B$18:$E$48,4,FALSE)</f>
        <v>#N/A</v>
      </c>
      <c r="BY107" s="357" t="e">
        <f t="shared" ca="1" si="66"/>
        <v>#N/A</v>
      </c>
    </row>
    <row r="108" spans="2:77" x14ac:dyDescent="0.35">
      <c r="B108" s="392">
        <v>59</v>
      </c>
      <c r="C108" s="392">
        <f>游戏时长规划!C170</f>
        <v>30</v>
      </c>
      <c r="D108" s="392">
        <f>游戏时长规划!D170</f>
        <v>1480</v>
      </c>
      <c r="E108" s="392">
        <f>游戏时长规划!E170</f>
        <v>11</v>
      </c>
      <c r="F108" s="392">
        <f>游戏时长规划!F170</f>
        <v>23650</v>
      </c>
      <c r="O108" s="365">
        <v>105</v>
      </c>
      <c r="P108" s="360" t="e">
        <f t="shared" ca="1" si="78"/>
        <v>#REF!</v>
      </c>
      <c r="Q108" s="360" t="e">
        <f ca="1">ROUND(MIN((BD108-VLOOKUP(R108,$B$22:$F$46,2,FALSE))/(VLOOKUP(R108,$B$22:$F$46,3,FALSE)-VLOOKUP(R108,$B$22:$F$46,2,FALSE)),1)*((VLOOKUP(R108,$B$22:$F$46,4,FALSE)*(AG108/(AG108+VLOOKUP(P108,$D$49:$F$123,3,TRUE)))+VLOOKUP(R108,$B$22:$F$46,5,FALSE)*(1-AG108/(AG108+VLOOKUP(P108,$D$49:$F$123,3,TRUE))))/2)*游戏时长规划!$C$4,0)</f>
        <v>#REF!</v>
      </c>
      <c r="R108" s="360" t="e">
        <f t="shared" ca="1" si="46"/>
        <v>#REF!</v>
      </c>
      <c r="S108" s="360" t="e">
        <f t="shared" ca="1" si="67"/>
        <v>#REF!</v>
      </c>
      <c r="T108" s="360" t="e">
        <f t="shared" ca="1" si="79"/>
        <v>#REF!</v>
      </c>
      <c r="U108" s="370" t="e">
        <f t="shared" ca="1" si="47"/>
        <v>#REF!</v>
      </c>
      <c r="V108" s="363" t="e">
        <f t="shared" ca="1" si="68"/>
        <v>#REF!</v>
      </c>
      <c r="W108" s="360" t="e">
        <f t="shared" ca="1" si="48"/>
        <v>#REF!</v>
      </c>
      <c r="X108" s="81" t="e">
        <f t="shared" ca="1" si="60"/>
        <v>#REF!</v>
      </c>
      <c r="Y108" s="360" t="str">
        <f t="shared" ca="1" si="49"/>
        <v>NULL</v>
      </c>
      <c r="Z108" s="375" t="e">
        <f t="shared" ca="1" si="61"/>
        <v>#REF!</v>
      </c>
      <c r="AA108" s="360">
        <f ca="1">IFERROR(VLOOKUP(IF(V108="T1低",游戏时长规划!$C$67+Z108,Z108),INDIRECT(V108&amp;"星级"),2,TRUE),0)</f>
        <v>0</v>
      </c>
      <c r="AB108" s="375" t="e">
        <f t="shared" ca="1" si="50"/>
        <v>#REF!</v>
      </c>
      <c r="AC108" s="375">
        <f ca="1">($D$14+$D$17)*$L$4/坦克部件养成!$C$2+AC107-IFERROR(IF(RIGHT(AD107,3)*1&gt;RIGHT(VLOOKUP(AC107,INDIRECT(LEFT(AD106,2)&amp;"部件升阶"),5,TRUE),3)*1,VLOOKUP(AD106,INDIRECT(LEFT(AD106,2)&amp;"部件升阶消耗"),2,FALSE),0),0)</f>
        <v>1242.5</v>
      </c>
      <c r="AD108" s="360" t="e">
        <f t="shared" ca="1" si="51"/>
        <v>#REF!</v>
      </c>
      <c r="AE108" s="375" t="e">
        <f ca="1">$D$15*$L$4/坦克部件养成!$C$2+AE107-IF(LEFT(AD108,2)&lt;&gt;LEFT(AD107,2),VLOOKUP(AF107,INDIRECT(LEFT(AD107,2)&amp;"部件升级消耗"),5,FALSE),0)</f>
        <v>#REF!</v>
      </c>
      <c r="AF108" s="360" t="e">
        <f ca="1">MIN(VLOOKUP(AE108,INDIRECT(LEFT(AD108,2)&amp;"部件升级"),2,TRUE),VLOOKUP(LEFT(AD108,2),坦克部件养成!#REF!,6,FALSE))</f>
        <v>#REF!</v>
      </c>
      <c r="AG108" s="378" t="e">
        <f ca="1">MAX(BD$4:BD108)</f>
        <v>#REF!</v>
      </c>
      <c r="AH108" s="378" t="str">
        <f t="shared" ca="1" si="52"/>
        <v/>
      </c>
      <c r="AI108" s="378">
        <f ca="1">IF(Y108="NULL",0,MAX(BY$4:BY108))</f>
        <v>0</v>
      </c>
      <c r="AK108" s="364" t="e">
        <f t="shared" ca="1" si="53"/>
        <v>#REF!</v>
      </c>
      <c r="AL108" s="364" t="e">
        <f ca="1">VLOOKUP(AK108,坦克个性化设定!$B$18:$F$48,5,FALSE)</f>
        <v>#REF!</v>
      </c>
      <c r="AM108" s="372" t="e">
        <f t="shared" ca="1" si="54"/>
        <v>#REF!</v>
      </c>
      <c r="AN108" s="372" t="e">
        <f t="shared" ca="1" si="62"/>
        <v>#REF!</v>
      </c>
      <c r="AO108" s="364">
        <f t="shared" ca="1" si="55"/>
        <v>0</v>
      </c>
      <c r="AP108" s="372" t="e">
        <f ca="1">VLOOKUP($AK108&amp;$AO108,所有坦克升星属性,MATCH(AP$3,所有坦克升星属性标头,0),FALSE)+ROUND(AU108/VLOOKUP($AK108,坦克部件!#REF!,4,FALSE)*VLOOKUP($AK108&amp;0,所有坦克升星属性,MATCH(AP$3,所有坦克升星属性标头,0),FALSE),0)</f>
        <v>#REF!</v>
      </c>
      <c r="AQ108" s="372" t="e">
        <f ca="1">VLOOKUP($AK108&amp;$AO108,所有坦克升星属性,MATCH(AQ$3,所有坦克升星属性标头,0),FALSE)+ROUND(AV108/VLOOKUP($AK108,坦克部件!#REF!,4,FALSE)*VLOOKUP($AK108&amp;0,所有坦克升星属性,MATCH(AQ$3,所有坦克升星属性标头,0),FALSE),0)</f>
        <v>#REF!</v>
      </c>
      <c r="AR108" s="372" t="e">
        <f t="shared" ca="1" si="80"/>
        <v>#REF!</v>
      </c>
      <c r="AS108" s="372" t="e">
        <f t="shared" ca="1" si="80"/>
        <v>#REF!</v>
      </c>
      <c r="AT108" s="372" t="e">
        <f ca="1">VLOOKUP($AK108&amp;$AO108,所有坦克升星属性,MATCH(AT$3,所有坦克升星属性标头,0),FALSE)+ROUND(AW108/VLOOKUP($AK108,坦克部件!#REF!,4,FALSE)*VLOOKUP($AK108&amp;0,所有坦克升星属性,MATCH(AT$3,所有坦克升星属性标头,0),FALSE),0)</f>
        <v>#REF!</v>
      </c>
      <c r="AU108" s="372" t="e">
        <f ca="1">(VLOOKUP($AM108,坦克部件!#REF!,MATCH("标准值",坦克部件!#REF!,0),FALSE)+VLOOKUP($AN108,坦克部件!#REF!,MATCH("标准值",坦克部件!#REF!,0),FALSE))*2</f>
        <v>#REF!</v>
      </c>
      <c r="AV108" s="372" t="e">
        <f ca="1">(VLOOKUP($AM108,坦克部件!#REF!,MATCH("标准值",坦克部件!#REF!,0),FALSE)+VLOOKUP($AN108,坦克部件!#REF!,MATCH("标准值",坦克部件!#REF!,0),FALSE))*2</f>
        <v>#REF!</v>
      </c>
      <c r="AW108" s="372" t="e">
        <f ca="1">(VLOOKUP($AM108,坦克部件!#REF!,MATCH("标准值",坦克部件!#REF!,0),FALSE)+VLOOKUP($AN108,坦克部件!#REF!,MATCH("标准值",坦克部件!#REF!,0),FALSE))*2</f>
        <v>#REF!</v>
      </c>
      <c r="AX108" s="372" t="e">
        <f ca="1">VLOOKUP($AK108,坦克属性统计!$B$3:$AY$33,MATCH(AX$3,坦克属性统计!$B$3:$AY$3,0),FALSE)</f>
        <v>#REF!</v>
      </c>
      <c r="AY108" s="372" t="e">
        <f t="shared" ca="1" si="81"/>
        <v>#REF!</v>
      </c>
      <c r="AZ108" s="372" t="e">
        <f t="shared" ca="1" si="81"/>
        <v>#REF!</v>
      </c>
      <c r="BA108" s="372" t="e">
        <f t="shared" ca="1" si="81"/>
        <v>#REF!</v>
      </c>
      <c r="BB108" s="356" t="e">
        <f t="shared" ca="1" si="56"/>
        <v>#REF!</v>
      </c>
      <c r="BC108" s="356" t="e">
        <f ca="1">VLOOKUP(AK108,坦克个性化设定!$B$18:$E$48,4,FALSE)</f>
        <v>#REF!</v>
      </c>
      <c r="BD108" s="357" t="e">
        <f t="shared" ca="1" si="63"/>
        <v>#REF!</v>
      </c>
      <c r="BF108" s="357" t="str">
        <f t="shared" ca="1" si="57"/>
        <v/>
      </c>
      <c r="BG108" s="372" t="str">
        <f ca="1">IFERROR(VLOOKUP(BF108,坦克个性化设定!$B$18:$F$48,5,FALSE),"")</f>
        <v/>
      </c>
      <c r="BH108" s="372" t="e">
        <f t="shared" ca="1" si="64"/>
        <v>#REF!</v>
      </c>
      <c r="BI108" s="372" t="e">
        <f t="shared" ca="1" si="65"/>
        <v>#REF!</v>
      </c>
      <c r="BJ108" s="364" t="str">
        <f t="shared" ca="1" si="58"/>
        <v>NULL</v>
      </c>
      <c r="BK108" s="372" t="e">
        <f ca="1">VLOOKUP($BF108&amp;IF($BJ108="NULL",0,$BJ108),所有坦克升星属性,MATCH(BK$3,所有坦克升星属性标头,0),FALSE)+ROUND(BP108/VLOOKUP($BF108,坦克部件!#REF!,4,FALSE)*VLOOKUP($BF108&amp;0,所有坦克升星属性,MATCH(BK$3,所有坦克升星属性标头,0),FALSE),0)</f>
        <v>#N/A</v>
      </c>
      <c r="BL108" s="372" t="e">
        <f ca="1">VLOOKUP($BF108&amp;IF($BJ108="NULL",0,$BJ108),所有坦克升星属性,MATCH(BL$3,所有坦克升星属性标头,0),FALSE)+ROUND(BQ108/VLOOKUP($BF108,坦克部件!#REF!,4,FALSE)*VLOOKUP($BF108&amp;0,所有坦克升星属性,MATCH(BL$3,所有坦克升星属性标头,0),FALSE),0)</f>
        <v>#N/A</v>
      </c>
      <c r="BM108" s="372" t="e">
        <f t="shared" ca="1" si="82"/>
        <v>#N/A</v>
      </c>
      <c r="BN108" s="372" t="e">
        <f t="shared" ca="1" si="82"/>
        <v>#N/A</v>
      </c>
      <c r="BO108" s="372" t="e">
        <f ca="1">VLOOKUP($BF108&amp;IF($BJ108="NULL",0,$BJ108),所有坦克升星属性,MATCH(BO$3,所有坦克升星属性标头,0),FALSE)+ROUND(BR108/VLOOKUP($BF108,坦克部件!#REF!,4,FALSE)*VLOOKUP($BF108&amp;0,所有坦克升星属性,MATCH(BO$3,所有坦克升星属性标头,0),FALSE),0)</f>
        <v>#N/A</v>
      </c>
      <c r="BP108" s="372" t="e">
        <f ca="1">(VLOOKUP($BH108,坦克部件!#REF!,MATCH("标准值",坦克部件!#REF!,0),FALSE)+VLOOKUP($BI108,坦克部件!#REF!,MATCH("标准值",坦克部件!#REF!,0),FALSE))*2</f>
        <v>#REF!</v>
      </c>
      <c r="BQ108" s="372" t="e">
        <f ca="1">(VLOOKUP($BH108,坦克部件!#REF!,MATCH("标准值",坦克部件!#REF!,0),FALSE)+VLOOKUP($BI108,坦克部件!#REF!,MATCH("标准值",坦克部件!#REF!,0),FALSE))*2</f>
        <v>#REF!</v>
      </c>
      <c r="BR108" s="372" t="e">
        <f ca="1">(VLOOKUP($BH108,坦克部件!#REF!,MATCH("标准值",坦克部件!#REF!,0),FALSE)+VLOOKUP($BI108,坦克部件!#REF!,MATCH("标准值",坦克部件!#REF!,0),FALSE))*2</f>
        <v>#REF!</v>
      </c>
      <c r="BS108" s="372" t="e">
        <f ca="1">VLOOKUP($BF108,坦克属性统计!$B$3:$AY$33,MATCH(BS$3,坦克属性统计!$B$3:$AY$3,0),FALSE)</f>
        <v>#N/A</v>
      </c>
      <c r="BT108" s="372" t="e">
        <f t="shared" ca="1" si="83"/>
        <v>#N/A</v>
      </c>
      <c r="BU108" s="372" t="e">
        <f t="shared" ca="1" si="83"/>
        <v>#N/A</v>
      </c>
      <c r="BV108" s="372" t="e">
        <f t="shared" ca="1" si="83"/>
        <v>#N/A</v>
      </c>
      <c r="BW108" s="356">
        <f t="shared" ca="1" si="59"/>
        <v>0</v>
      </c>
      <c r="BX108" s="356" t="e">
        <f ca="1">VLOOKUP(BF108,坦克个性化设定!$B$18:$E$48,4,FALSE)</f>
        <v>#N/A</v>
      </c>
      <c r="BY108" s="357" t="e">
        <f t="shared" ca="1" si="66"/>
        <v>#N/A</v>
      </c>
    </row>
    <row r="109" spans="2:77" x14ac:dyDescent="0.35">
      <c r="B109" s="392">
        <v>60</v>
      </c>
      <c r="C109" s="392">
        <f>游戏时长规划!C171</f>
        <v>30</v>
      </c>
      <c r="D109" s="392">
        <f>游戏时长规划!D171</f>
        <v>1510</v>
      </c>
      <c r="E109" s="392">
        <f>游戏时长规划!E171</f>
        <v>11</v>
      </c>
      <c r="F109" s="392">
        <f>游戏时长规划!F171</f>
        <v>24300</v>
      </c>
      <c r="O109" s="365">
        <v>106</v>
      </c>
      <c r="P109" s="360" t="e">
        <f t="shared" ca="1" si="78"/>
        <v>#REF!</v>
      </c>
      <c r="Q109" s="360" t="e">
        <f ca="1">ROUND(MIN((BD109-VLOOKUP(R109,$B$22:$F$46,2,FALSE))/(VLOOKUP(R109,$B$22:$F$46,3,FALSE)-VLOOKUP(R109,$B$22:$F$46,2,FALSE)),1)*((VLOOKUP(R109,$B$22:$F$46,4,FALSE)*(AG109/(AG109+VLOOKUP(P109,$D$49:$F$123,3,TRUE)))+VLOOKUP(R109,$B$22:$F$46,5,FALSE)*(1-AG109/(AG109+VLOOKUP(P109,$D$49:$F$123,3,TRUE))))/2)*游戏时长规划!$C$4,0)</f>
        <v>#REF!</v>
      </c>
      <c r="R109" s="360" t="e">
        <f t="shared" ca="1" si="46"/>
        <v>#REF!</v>
      </c>
      <c r="S109" s="360" t="e">
        <f t="shared" ca="1" si="67"/>
        <v>#REF!</v>
      </c>
      <c r="T109" s="360" t="e">
        <f t="shared" ca="1" si="79"/>
        <v>#REF!</v>
      </c>
      <c r="U109" s="370" t="e">
        <f t="shared" ca="1" si="47"/>
        <v>#REF!</v>
      </c>
      <c r="V109" s="363" t="e">
        <f t="shared" ca="1" si="68"/>
        <v>#REF!</v>
      </c>
      <c r="W109" s="360" t="e">
        <f t="shared" ca="1" si="48"/>
        <v>#REF!</v>
      </c>
      <c r="X109" s="81" t="e">
        <f t="shared" ca="1" si="60"/>
        <v>#REF!</v>
      </c>
      <c r="Y109" s="360" t="str">
        <f t="shared" ca="1" si="49"/>
        <v>NULL</v>
      </c>
      <c r="Z109" s="375" t="e">
        <f t="shared" ca="1" si="61"/>
        <v>#REF!</v>
      </c>
      <c r="AA109" s="360">
        <f ca="1">IFERROR(VLOOKUP(IF(V109="T1低",游戏时长规划!$C$67+Z109,Z109),INDIRECT(V109&amp;"星级"),2,TRUE),0)</f>
        <v>0</v>
      </c>
      <c r="AB109" s="375" t="e">
        <f t="shared" ca="1" si="50"/>
        <v>#REF!</v>
      </c>
      <c r="AC109" s="375">
        <f ca="1">($D$14+$D$17)*$L$4/坦克部件养成!$C$2+AC108-IFERROR(IF(RIGHT(AD108,3)*1&gt;RIGHT(VLOOKUP(AC108,INDIRECT(LEFT(AD107,2)&amp;"部件升阶"),5,TRUE),3)*1,VLOOKUP(AD107,INDIRECT(LEFT(AD107,2)&amp;"部件升阶消耗"),2,FALSE),0),0)</f>
        <v>1254.3333333333333</v>
      </c>
      <c r="AD109" s="360" t="e">
        <f t="shared" ca="1" si="51"/>
        <v>#REF!</v>
      </c>
      <c r="AE109" s="375" t="e">
        <f ca="1">$D$15*$L$4/坦克部件养成!$C$2+AE108-IF(LEFT(AD109,2)&lt;&gt;LEFT(AD108,2),VLOOKUP(AF108,INDIRECT(LEFT(AD108,2)&amp;"部件升级消耗"),5,FALSE),0)</f>
        <v>#REF!</v>
      </c>
      <c r="AF109" s="360" t="e">
        <f ca="1">MIN(VLOOKUP(AE109,INDIRECT(LEFT(AD109,2)&amp;"部件升级"),2,TRUE),VLOOKUP(LEFT(AD109,2),坦克部件养成!#REF!,6,FALSE))</f>
        <v>#REF!</v>
      </c>
      <c r="AG109" s="378" t="e">
        <f ca="1">MAX(BD$4:BD109)</f>
        <v>#REF!</v>
      </c>
      <c r="AH109" s="378" t="str">
        <f t="shared" ca="1" si="52"/>
        <v/>
      </c>
      <c r="AI109" s="378">
        <f ca="1">IF(Y109="NULL",0,MAX(BY$4:BY109))</f>
        <v>0</v>
      </c>
      <c r="AK109" s="364" t="e">
        <f t="shared" ca="1" si="53"/>
        <v>#REF!</v>
      </c>
      <c r="AL109" s="364" t="e">
        <f ca="1">VLOOKUP(AK109,坦克个性化设定!$B$18:$F$48,5,FALSE)</f>
        <v>#REF!</v>
      </c>
      <c r="AM109" s="372" t="e">
        <f t="shared" ca="1" si="54"/>
        <v>#REF!</v>
      </c>
      <c r="AN109" s="372" t="e">
        <f t="shared" ca="1" si="62"/>
        <v>#REF!</v>
      </c>
      <c r="AO109" s="364">
        <f t="shared" ca="1" si="55"/>
        <v>0</v>
      </c>
      <c r="AP109" s="372" t="e">
        <f ca="1">VLOOKUP($AK109&amp;$AO109,所有坦克升星属性,MATCH(AP$3,所有坦克升星属性标头,0),FALSE)+ROUND(AU109/VLOOKUP($AK109,坦克部件!#REF!,4,FALSE)*VLOOKUP($AK109&amp;0,所有坦克升星属性,MATCH(AP$3,所有坦克升星属性标头,0),FALSE),0)</f>
        <v>#REF!</v>
      </c>
      <c r="AQ109" s="372" t="e">
        <f ca="1">VLOOKUP($AK109&amp;$AO109,所有坦克升星属性,MATCH(AQ$3,所有坦克升星属性标头,0),FALSE)+ROUND(AV109/VLOOKUP($AK109,坦克部件!#REF!,4,FALSE)*VLOOKUP($AK109&amp;0,所有坦克升星属性,MATCH(AQ$3,所有坦克升星属性标头,0),FALSE),0)</f>
        <v>#REF!</v>
      </c>
      <c r="AR109" s="372" t="e">
        <f t="shared" ca="1" si="80"/>
        <v>#REF!</v>
      </c>
      <c r="AS109" s="372" t="e">
        <f t="shared" ca="1" si="80"/>
        <v>#REF!</v>
      </c>
      <c r="AT109" s="372" t="e">
        <f ca="1">VLOOKUP($AK109&amp;$AO109,所有坦克升星属性,MATCH(AT$3,所有坦克升星属性标头,0),FALSE)+ROUND(AW109/VLOOKUP($AK109,坦克部件!#REF!,4,FALSE)*VLOOKUP($AK109&amp;0,所有坦克升星属性,MATCH(AT$3,所有坦克升星属性标头,0),FALSE),0)</f>
        <v>#REF!</v>
      </c>
      <c r="AU109" s="372" t="e">
        <f ca="1">(VLOOKUP($AM109,坦克部件!#REF!,MATCH("标准值",坦克部件!#REF!,0),FALSE)+VLOOKUP($AN109,坦克部件!#REF!,MATCH("标准值",坦克部件!#REF!,0),FALSE))*2</f>
        <v>#REF!</v>
      </c>
      <c r="AV109" s="372" t="e">
        <f ca="1">(VLOOKUP($AM109,坦克部件!#REF!,MATCH("标准值",坦克部件!#REF!,0),FALSE)+VLOOKUP($AN109,坦克部件!#REF!,MATCH("标准值",坦克部件!#REF!,0),FALSE))*2</f>
        <v>#REF!</v>
      </c>
      <c r="AW109" s="372" t="e">
        <f ca="1">(VLOOKUP($AM109,坦克部件!#REF!,MATCH("标准值",坦克部件!#REF!,0),FALSE)+VLOOKUP($AN109,坦克部件!#REF!,MATCH("标准值",坦克部件!#REF!,0),FALSE))*2</f>
        <v>#REF!</v>
      </c>
      <c r="AX109" s="372" t="e">
        <f ca="1">VLOOKUP($AK109,坦克属性统计!$B$3:$AY$33,MATCH(AX$3,坦克属性统计!$B$3:$AY$3,0),FALSE)</f>
        <v>#REF!</v>
      </c>
      <c r="AY109" s="372" t="e">
        <f t="shared" ca="1" si="81"/>
        <v>#REF!</v>
      </c>
      <c r="AZ109" s="372" t="e">
        <f t="shared" ca="1" si="81"/>
        <v>#REF!</v>
      </c>
      <c r="BA109" s="372" t="e">
        <f t="shared" ca="1" si="81"/>
        <v>#REF!</v>
      </c>
      <c r="BB109" s="356" t="e">
        <f t="shared" ca="1" si="56"/>
        <v>#REF!</v>
      </c>
      <c r="BC109" s="356" t="e">
        <f ca="1">VLOOKUP(AK109,坦克个性化设定!$B$18:$E$48,4,FALSE)</f>
        <v>#REF!</v>
      </c>
      <c r="BD109" s="357" t="e">
        <f t="shared" ca="1" si="63"/>
        <v>#REF!</v>
      </c>
      <c r="BF109" s="357" t="str">
        <f t="shared" ca="1" si="57"/>
        <v/>
      </c>
      <c r="BG109" s="372" t="str">
        <f ca="1">IFERROR(VLOOKUP(BF109,坦克个性化设定!$B$18:$F$48,5,FALSE),"")</f>
        <v/>
      </c>
      <c r="BH109" s="372" t="e">
        <f t="shared" ca="1" si="64"/>
        <v>#REF!</v>
      </c>
      <c r="BI109" s="372" t="e">
        <f t="shared" ca="1" si="65"/>
        <v>#REF!</v>
      </c>
      <c r="BJ109" s="364" t="str">
        <f t="shared" ca="1" si="58"/>
        <v>NULL</v>
      </c>
      <c r="BK109" s="372" t="e">
        <f ca="1">VLOOKUP($BF109&amp;IF($BJ109="NULL",0,$BJ109),所有坦克升星属性,MATCH(BK$3,所有坦克升星属性标头,0),FALSE)+ROUND(BP109/VLOOKUP($BF109,坦克部件!#REF!,4,FALSE)*VLOOKUP($BF109&amp;0,所有坦克升星属性,MATCH(BK$3,所有坦克升星属性标头,0),FALSE),0)</f>
        <v>#N/A</v>
      </c>
      <c r="BL109" s="372" t="e">
        <f ca="1">VLOOKUP($BF109&amp;IF($BJ109="NULL",0,$BJ109),所有坦克升星属性,MATCH(BL$3,所有坦克升星属性标头,0),FALSE)+ROUND(BQ109/VLOOKUP($BF109,坦克部件!#REF!,4,FALSE)*VLOOKUP($BF109&amp;0,所有坦克升星属性,MATCH(BL$3,所有坦克升星属性标头,0),FALSE),0)</f>
        <v>#N/A</v>
      </c>
      <c r="BM109" s="372" t="e">
        <f t="shared" ca="1" si="82"/>
        <v>#N/A</v>
      </c>
      <c r="BN109" s="372" t="e">
        <f t="shared" ca="1" si="82"/>
        <v>#N/A</v>
      </c>
      <c r="BO109" s="372" t="e">
        <f ca="1">VLOOKUP($BF109&amp;IF($BJ109="NULL",0,$BJ109),所有坦克升星属性,MATCH(BO$3,所有坦克升星属性标头,0),FALSE)+ROUND(BR109/VLOOKUP($BF109,坦克部件!#REF!,4,FALSE)*VLOOKUP($BF109&amp;0,所有坦克升星属性,MATCH(BO$3,所有坦克升星属性标头,0),FALSE),0)</f>
        <v>#N/A</v>
      </c>
      <c r="BP109" s="372" t="e">
        <f ca="1">(VLOOKUP($BH109,坦克部件!#REF!,MATCH("标准值",坦克部件!#REF!,0),FALSE)+VLOOKUP($BI109,坦克部件!#REF!,MATCH("标准值",坦克部件!#REF!,0),FALSE))*2</f>
        <v>#REF!</v>
      </c>
      <c r="BQ109" s="372" t="e">
        <f ca="1">(VLOOKUP($BH109,坦克部件!#REF!,MATCH("标准值",坦克部件!#REF!,0),FALSE)+VLOOKUP($BI109,坦克部件!#REF!,MATCH("标准值",坦克部件!#REF!,0),FALSE))*2</f>
        <v>#REF!</v>
      </c>
      <c r="BR109" s="372" t="e">
        <f ca="1">(VLOOKUP($BH109,坦克部件!#REF!,MATCH("标准值",坦克部件!#REF!,0),FALSE)+VLOOKUP($BI109,坦克部件!#REF!,MATCH("标准值",坦克部件!#REF!,0),FALSE))*2</f>
        <v>#REF!</v>
      </c>
      <c r="BS109" s="372" t="e">
        <f ca="1">VLOOKUP($BF109,坦克属性统计!$B$3:$AY$33,MATCH(BS$3,坦克属性统计!$B$3:$AY$3,0),FALSE)</f>
        <v>#N/A</v>
      </c>
      <c r="BT109" s="372" t="e">
        <f t="shared" ca="1" si="83"/>
        <v>#N/A</v>
      </c>
      <c r="BU109" s="372" t="e">
        <f t="shared" ca="1" si="83"/>
        <v>#N/A</v>
      </c>
      <c r="BV109" s="372" t="e">
        <f t="shared" ca="1" si="83"/>
        <v>#N/A</v>
      </c>
      <c r="BW109" s="356">
        <f t="shared" ca="1" si="59"/>
        <v>0</v>
      </c>
      <c r="BX109" s="356" t="e">
        <f ca="1">VLOOKUP(BF109,坦克个性化设定!$B$18:$E$48,4,FALSE)</f>
        <v>#N/A</v>
      </c>
      <c r="BY109" s="357" t="e">
        <f t="shared" ca="1" si="66"/>
        <v>#N/A</v>
      </c>
    </row>
    <row r="110" spans="2:77" x14ac:dyDescent="0.35">
      <c r="B110" s="392">
        <v>61</v>
      </c>
      <c r="C110" s="392">
        <f>游戏时长规划!C172</f>
        <v>30</v>
      </c>
      <c r="D110" s="392">
        <f>游戏时长规划!D172</f>
        <v>1540</v>
      </c>
      <c r="E110" s="392">
        <f>游戏时长规划!E172</f>
        <v>11</v>
      </c>
      <c r="F110" s="392">
        <f>游戏时长规划!F172</f>
        <v>25000</v>
      </c>
      <c r="O110" s="365">
        <v>107</v>
      </c>
      <c r="P110" s="360" t="e">
        <f t="shared" ca="1" si="78"/>
        <v>#REF!</v>
      </c>
      <c r="Q110" s="360" t="e">
        <f ca="1">ROUND(MIN((BD110-VLOOKUP(R110,$B$22:$F$46,2,FALSE))/(VLOOKUP(R110,$B$22:$F$46,3,FALSE)-VLOOKUP(R110,$B$22:$F$46,2,FALSE)),1)*((VLOOKUP(R110,$B$22:$F$46,4,FALSE)*(AG110/(AG110+VLOOKUP(P110,$D$49:$F$123,3,TRUE)))+VLOOKUP(R110,$B$22:$F$46,5,FALSE)*(1-AG110/(AG110+VLOOKUP(P110,$D$49:$F$123,3,TRUE))))/2)*游戏时长规划!$C$4,0)</f>
        <v>#REF!</v>
      </c>
      <c r="R110" s="360" t="e">
        <f t="shared" ca="1" si="46"/>
        <v>#REF!</v>
      </c>
      <c r="S110" s="360" t="e">
        <f t="shared" ca="1" si="67"/>
        <v>#REF!</v>
      </c>
      <c r="T110" s="360" t="e">
        <f t="shared" ca="1" si="79"/>
        <v>#REF!</v>
      </c>
      <c r="U110" s="370" t="e">
        <f t="shared" ca="1" si="47"/>
        <v>#REF!</v>
      </c>
      <c r="V110" s="363" t="e">
        <f t="shared" ca="1" si="68"/>
        <v>#REF!</v>
      </c>
      <c r="W110" s="360" t="e">
        <f t="shared" ca="1" si="48"/>
        <v>#REF!</v>
      </c>
      <c r="X110" s="81" t="e">
        <f t="shared" ca="1" si="60"/>
        <v>#REF!</v>
      </c>
      <c r="Y110" s="360" t="str">
        <f t="shared" ca="1" si="49"/>
        <v>NULL</v>
      </c>
      <c r="Z110" s="375" t="e">
        <f t="shared" ca="1" si="61"/>
        <v>#REF!</v>
      </c>
      <c r="AA110" s="360">
        <f ca="1">IFERROR(VLOOKUP(IF(V110="T1低",游戏时长规划!$C$67+Z110,Z110),INDIRECT(V110&amp;"星级"),2,TRUE),0)</f>
        <v>0</v>
      </c>
      <c r="AB110" s="375" t="e">
        <f t="shared" ca="1" si="50"/>
        <v>#REF!</v>
      </c>
      <c r="AC110" s="375">
        <f ca="1">($D$14+$D$17)*$L$4/坦克部件养成!$C$2+AC109-IFERROR(IF(RIGHT(AD109,3)*1&gt;RIGHT(VLOOKUP(AC109,INDIRECT(LEFT(AD108,2)&amp;"部件升阶"),5,TRUE),3)*1,VLOOKUP(AD108,INDIRECT(LEFT(AD108,2)&amp;"部件升阶消耗"),2,FALSE),0),0)</f>
        <v>1266.1666666666665</v>
      </c>
      <c r="AD110" s="360" t="e">
        <f t="shared" ca="1" si="51"/>
        <v>#REF!</v>
      </c>
      <c r="AE110" s="375" t="e">
        <f ca="1">$D$15*$L$4/坦克部件养成!$C$2+AE109-IF(LEFT(AD110,2)&lt;&gt;LEFT(AD109,2),VLOOKUP(AF109,INDIRECT(LEFT(AD109,2)&amp;"部件升级消耗"),5,FALSE),0)</f>
        <v>#REF!</v>
      </c>
      <c r="AF110" s="360" t="e">
        <f ca="1">MIN(VLOOKUP(AE110,INDIRECT(LEFT(AD110,2)&amp;"部件升级"),2,TRUE),VLOOKUP(LEFT(AD110,2),坦克部件养成!#REF!,6,FALSE))</f>
        <v>#REF!</v>
      </c>
      <c r="AG110" s="378" t="e">
        <f ca="1">MAX(BD$4:BD110)</f>
        <v>#REF!</v>
      </c>
      <c r="AH110" s="378" t="str">
        <f t="shared" ca="1" si="52"/>
        <v/>
      </c>
      <c r="AI110" s="378">
        <f ca="1">IF(Y110="NULL",0,MAX(BY$4:BY110))</f>
        <v>0</v>
      </c>
      <c r="AK110" s="364" t="e">
        <f t="shared" ca="1" si="53"/>
        <v>#REF!</v>
      </c>
      <c r="AL110" s="364" t="e">
        <f ca="1">VLOOKUP(AK110,坦克个性化设定!$B$18:$F$48,5,FALSE)</f>
        <v>#REF!</v>
      </c>
      <c r="AM110" s="372" t="e">
        <f t="shared" ca="1" si="54"/>
        <v>#REF!</v>
      </c>
      <c r="AN110" s="372" t="e">
        <f t="shared" ca="1" si="62"/>
        <v>#REF!</v>
      </c>
      <c r="AO110" s="364">
        <f t="shared" ca="1" si="55"/>
        <v>0</v>
      </c>
      <c r="AP110" s="372" t="e">
        <f ca="1">VLOOKUP($AK110&amp;$AO110,所有坦克升星属性,MATCH(AP$3,所有坦克升星属性标头,0),FALSE)+ROUND(AU110/VLOOKUP($AK110,坦克部件!#REF!,4,FALSE)*VLOOKUP($AK110&amp;0,所有坦克升星属性,MATCH(AP$3,所有坦克升星属性标头,0),FALSE),0)</f>
        <v>#REF!</v>
      </c>
      <c r="AQ110" s="372" t="e">
        <f ca="1">VLOOKUP($AK110&amp;$AO110,所有坦克升星属性,MATCH(AQ$3,所有坦克升星属性标头,0),FALSE)+ROUND(AV110/VLOOKUP($AK110,坦克部件!#REF!,4,FALSE)*VLOOKUP($AK110&amp;0,所有坦克升星属性,MATCH(AQ$3,所有坦克升星属性标头,0),FALSE),0)</f>
        <v>#REF!</v>
      </c>
      <c r="AR110" s="372" t="e">
        <f t="shared" ca="1" si="80"/>
        <v>#REF!</v>
      </c>
      <c r="AS110" s="372" t="e">
        <f t="shared" ca="1" si="80"/>
        <v>#REF!</v>
      </c>
      <c r="AT110" s="372" t="e">
        <f ca="1">VLOOKUP($AK110&amp;$AO110,所有坦克升星属性,MATCH(AT$3,所有坦克升星属性标头,0),FALSE)+ROUND(AW110/VLOOKUP($AK110,坦克部件!#REF!,4,FALSE)*VLOOKUP($AK110&amp;0,所有坦克升星属性,MATCH(AT$3,所有坦克升星属性标头,0),FALSE),0)</f>
        <v>#REF!</v>
      </c>
      <c r="AU110" s="372" t="e">
        <f ca="1">(VLOOKUP($AM110,坦克部件!#REF!,MATCH("标准值",坦克部件!#REF!,0),FALSE)+VLOOKUP($AN110,坦克部件!#REF!,MATCH("标准值",坦克部件!#REF!,0),FALSE))*2</f>
        <v>#REF!</v>
      </c>
      <c r="AV110" s="372" t="e">
        <f ca="1">(VLOOKUP($AM110,坦克部件!#REF!,MATCH("标准值",坦克部件!#REF!,0),FALSE)+VLOOKUP($AN110,坦克部件!#REF!,MATCH("标准值",坦克部件!#REF!,0),FALSE))*2</f>
        <v>#REF!</v>
      </c>
      <c r="AW110" s="372" t="e">
        <f ca="1">(VLOOKUP($AM110,坦克部件!#REF!,MATCH("标准值",坦克部件!#REF!,0),FALSE)+VLOOKUP($AN110,坦克部件!#REF!,MATCH("标准值",坦克部件!#REF!,0),FALSE))*2</f>
        <v>#REF!</v>
      </c>
      <c r="AX110" s="372" t="e">
        <f ca="1">VLOOKUP($AK110,坦克属性统计!$B$3:$AY$33,MATCH(AX$3,坦克属性统计!$B$3:$AY$3,0),FALSE)</f>
        <v>#REF!</v>
      </c>
      <c r="AY110" s="372" t="e">
        <f t="shared" ca="1" si="81"/>
        <v>#REF!</v>
      </c>
      <c r="AZ110" s="372" t="e">
        <f t="shared" ca="1" si="81"/>
        <v>#REF!</v>
      </c>
      <c r="BA110" s="372" t="e">
        <f t="shared" ca="1" si="81"/>
        <v>#REF!</v>
      </c>
      <c r="BB110" s="356" t="e">
        <f t="shared" ca="1" si="56"/>
        <v>#REF!</v>
      </c>
      <c r="BC110" s="356" t="e">
        <f ca="1">VLOOKUP(AK110,坦克个性化设定!$B$18:$E$48,4,FALSE)</f>
        <v>#REF!</v>
      </c>
      <c r="BD110" s="357" t="e">
        <f t="shared" ca="1" si="63"/>
        <v>#REF!</v>
      </c>
      <c r="BF110" s="357" t="str">
        <f t="shared" ca="1" si="57"/>
        <v/>
      </c>
      <c r="BG110" s="372" t="str">
        <f ca="1">IFERROR(VLOOKUP(BF110,坦克个性化设定!$B$18:$F$48,5,FALSE),"")</f>
        <v/>
      </c>
      <c r="BH110" s="372" t="e">
        <f t="shared" ca="1" si="64"/>
        <v>#REF!</v>
      </c>
      <c r="BI110" s="372" t="e">
        <f t="shared" ca="1" si="65"/>
        <v>#REF!</v>
      </c>
      <c r="BJ110" s="364" t="str">
        <f t="shared" ca="1" si="58"/>
        <v>NULL</v>
      </c>
      <c r="BK110" s="372" t="e">
        <f ca="1">VLOOKUP($BF110&amp;IF($BJ110="NULL",0,$BJ110),所有坦克升星属性,MATCH(BK$3,所有坦克升星属性标头,0),FALSE)+ROUND(BP110/VLOOKUP($BF110,坦克部件!#REF!,4,FALSE)*VLOOKUP($BF110&amp;0,所有坦克升星属性,MATCH(BK$3,所有坦克升星属性标头,0),FALSE),0)</f>
        <v>#N/A</v>
      </c>
      <c r="BL110" s="372" t="e">
        <f ca="1">VLOOKUP($BF110&amp;IF($BJ110="NULL",0,$BJ110),所有坦克升星属性,MATCH(BL$3,所有坦克升星属性标头,0),FALSE)+ROUND(BQ110/VLOOKUP($BF110,坦克部件!#REF!,4,FALSE)*VLOOKUP($BF110&amp;0,所有坦克升星属性,MATCH(BL$3,所有坦克升星属性标头,0),FALSE),0)</f>
        <v>#N/A</v>
      </c>
      <c r="BM110" s="372" t="e">
        <f t="shared" ca="1" si="82"/>
        <v>#N/A</v>
      </c>
      <c r="BN110" s="372" t="e">
        <f t="shared" ca="1" si="82"/>
        <v>#N/A</v>
      </c>
      <c r="BO110" s="372" t="e">
        <f ca="1">VLOOKUP($BF110&amp;IF($BJ110="NULL",0,$BJ110),所有坦克升星属性,MATCH(BO$3,所有坦克升星属性标头,0),FALSE)+ROUND(BR110/VLOOKUP($BF110,坦克部件!#REF!,4,FALSE)*VLOOKUP($BF110&amp;0,所有坦克升星属性,MATCH(BO$3,所有坦克升星属性标头,0),FALSE),0)</f>
        <v>#N/A</v>
      </c>
      <c r="BP110" s="372" t="e">
        <f ca="1">(VLOOKUP($BH110,坦克部件!#REF!,MATCH("标准值",坦克部件!#REF!,0),FALSE)+VLOOKUP($BI110,坦克部件!#REF!,MATCH("标准值",坦克部件!#REF!,0),FALSE))*2</f>
        <v>#REF!</v>
      </c>
      <c r="BQ110" s="372" t="e">
        <f ca="1">(VLOOKUP($BH110,坦克部件!#REF!,MATCH("标准值",坦克部件!#REF!,0),FALSE)+VLOOKUP($BI110,坦克部件!#REF!,MATCH("标准值",坦克部件!#REF!,0),FALSE))*2</f>
        <v>#REF!</v>
      </c>
      <c r="BR110" s="372" t="e">
        <f ca="1">(VLOOKUP($BH110,坦克部件!#REF!,MATCH("标准值",坦克部件!#REF!,0),FALSE)+VLOOKUP($BI110,坦克部件!#REF!,MATCH("标准值",坦克部件!#REF!,0),FALSE))*2</f>
        <v>#REF!</v>
      </c>
      <c r="BS110" s="372" t="e">
        <f ca="1">VLOOKUP($BF110,坦克属性统计!$B$3:$AY$33,MATCH(BS$3,坦克属性统计!$B$3:$AY$3,0),FALSE)</f>
        <v>#N/A</v>
      </c>
      <c r="BT110" s="372" t="e">
        <f t="shared" ca="1" si="83"/>
        <v>#N/A</v>
      </c>
      <c r="BU110" s="372" t="e">
        <f t="shared" ca="1" si="83"/>
        <v>#N/A</v>
      </c>
      <c r="BV110" s="372" t="e">
        <f t="shared" ca="1" si="83"/>
        <v>#N/A</v>
      </c>
      <c r="BW110" s="356">
        <f t="shared" ca="1" si="59"/>
        <v>0</v>
      </c>
      <c r="BX110" s="356" t="e">
        <f ca="1">VLOOKUP(BF110,坦克个性化设定!$B$18:$E$48,4,FALSE)</f>
        <v>#N/A</v>
      </c>
      <c r="BY110" s="357" t="e">
        <f t="shared" ca="1" si="66"/>
        <v>#N/A</v>
      </c>
    </row>
    <row r="111" spans="2:77" x14ac:dyDescent="0.35">
      <c r="B111" s="392">
        <v>62</v>
      </c>
      <c r="C111" s="392">
        <f>游戏时长规划!C173</f>
        <v>30</v>
      </c>
      <c r="D111" s="392">
        <f>游戏时长规划!D173</f>
        <v>1570</v>
      </c>
      <c r="E111" s="392">
        <f>游戏时长规划!E173</f>
        <v>12</v>
      </c>
      <c r="F111" s="392">
        <f>游戏时长规划!F173</f>
        <v>21600</v>
      </c>
      <c r="O111" s="365">
        <v>108</v>
      </c>
      <c r="P111" s="360" t="e">
        <f t="shared" ca="1" si="78"/>
        <v>#REF!</v>
      </c>
      <c r="Q111" s="360" t="e">
        <f ca="1">ROUND(MIN((BD111-VLOOKUP(R111,$B$22:$F$46,2,FALSE))/(VLOOKUP(R111,$B$22:$F$46,3,FALSE)-VLOOKUP(R111,$B$22:$F$46,2,FALSE)),1)*((VLOOKUP(R111,$B$22:$F$46,4,FALSE)*(AG111/(AG111+VLOOKUP(P111,$D$49:$F$123,3,TRUE)))+VLOOKUP(R111,$B$22:$F$46,5,FALSE)*(1-AG111/(AG111+VLOOKUP(P111,$D$49:$F$123,3,TRUE))))/2)*游戏时长规划!$C$4,0)</f>
        <v>#REF!</v>
      </c>
      <c r="R111" s="360" t="e">
        <f t="shared" ca="1" si="46"/>
        <v>#REF!</v>
      </c>
      <c r="S111" s="360" t="e">
        <f t="shared" ca="1" si="67"/>
        <v>#REF!</v>
      </c>
      <c r="T111" s="360" t="e">
        <f t="shared" ca="1" si="79"/>
        <v>#REF!</v>
      </c>
      <c r="U111" s="370" t="e">
        <f t="shared" ca="1" si="47"/>
        <v>#REF!</v>
      </c>
      <c r="V111" s="363" t="e">
        <f t="shared" ca="1" si="68"/>
        <v>#REF!</v>
      </c>
      <c r="W111" s="360" t="e">
        <f t="shared" ca="1" si="48"/>
        <v>#REF!</v>
      </c>
      <c r="X111" s="81" t="e">
        <f t="shared" ca="1" si="60"/>
        <v>#REF!</v>
      </c>
      <c r="Y111" s="360" t="str">
        <f t="shared" ca="1" si="49"/>
        <v>NULL</v>
      </c>
      <c r="Z111" s="375" t="e">
        <f t="shared" ca="1" si="61"/>
        <v>#REF!</v>
      </c>
      <c r="AA111" s="360">
        <f ca="1">IFERROR(VLOOKUP(IF(V111="T1低",游戏时长规划!$C$67+Z111,Z111),INDIRECT(V111&amp;"星级"),2,TRUE),0)</f>
        <v>0</v>
      </c>
      <c r="AB111" s="375" t="e">
        <f t="shared" ca="1" si="50"/>
        <v>#REF!</v>
      </c>
      <c r="AC111" s="375">
        <f ca="1">($D$14+$D$17)*$L$4/坦克部件养成!$C$2+AC110-IFERROR(IF(RIGHT(AD110,3)*1&gt;RIGHT(VLOOKUP(AC110,INDIRECT(LEFT(AD109,2)&amp;"部件升阶"),5,TRUE),3)*1,VLOOKUP(AD109,INDIRECT(LEFT(AD109,2)&amp;"部件升阶消耗"),2,FALSE),0),0)</f>
        <v>1277.9999999999998</v>
      </c>
      <c r="AD111" s="360" t="e">
        <f t="shared" ca="1" si="51"/>
        <v>#REF!</v>
      </c>
      <c r="AE111" s="375" t="e">
        <f ca="1">$D$15*$L$4/坦克部件养成!$C$2+AE110-IF(LEFT(AD111,2)&lt;&gt;LEFT(AD110,2),VLOOKUP(AF110,INDIRECT(LEFT(AD110,2)&amp;"部件升级消耗"),5,FALSE),0)</f>
        <v>#REF!</v>
      </c>
      <c r="AF111" s="360" t="e">
        <f ca="1">MIN(VLOOKUP(AE111,INDIRECT(LEFT(AD111,2)&amp;"部件升级"),2,TRUE),VLOOKUP(LEFT(AD111,2),坦克部件养成!#REF!,6,FALSE))</f>
        <v>#REF!</v>
      </c>
      <c r="AG111" s="378" t="e">
        <f ca="1">MAX(BD$4:BD111)</f>
        <v>#REF!</v>
      </c>
      <c r="AH111" s="378" t="str">
        <f t="shared" ca="1" si="52"/>
        <v/>
      </c>
      <c r="AI111" s="378">
        <f ca="1">IF(Y111="NULL",0,MAX(BY$4:BY111))</f>
        <v>0</v>
      </c>
      <c r="AK111" s="364" t="e">
        <f t="shared" ca="1" si="53"/>
        <v>#REF!</v>
      </c>
      <c r="AL111" s="364" t="e">
        <f ca="1">VLOOKUP(AK111,坦克个性化设定!$B$18:$F$48,5,FALSE)</f>
        <v>#REF!</v>
      </c>
      <c r="AM111" s="372" t="e">
        <f t="shared" ca="1" si="54"/>
        <v>#REF!</v>
      </c>
      <c r="AN111" s="372" t="e">
        <f t="shared" ca="1" si="62"/>
        <v>#REF!</v>
      </c>
      <c r="AO111" s="364">
        <f t="shared" ca="1" si="55"/>
        <v>0</v>
      </c>
      <c r="AP111" s="372" t="e">
        <f ca="1">VLOOKUP($AK111&amp;$AO111,所有坦克升星属性,MATCH(AP$3,所有坦克升星属性标头,0),FALSE)+ROUND(AU111/VLOOKUP($AK111,坦克部件!#REF!,4,FALSE)*VLOOKUP($AK111&amp;0,所有坦克升星属性,MATCH(AP$3,所有坦克升星属性标头,0),FALSE),0)</f>
        <v>#REF!</v>
      </c>
      <c r="AQ111" s="372" t="e">
        <f ca="1">VLOOKUP($AK111&amp;$AO111,所有坦克升星属性,MATCH(AQ$3,所有坦克升星属性标头,0),FALSE)+ROUND(AV111/VLOOKUP($AK111,坦克部件!#REF!,4,FALSE)*VLOOKUP($AK111&amp;0,所有坦克升星属性,MATCH(AQ$3,所有坦克升星属性标头,0),FALSE),0)</f>
        <v>#REF!</v>
      </c>
      <c r="AR111" s="372" t="e">
        <f t="shared" ca="1" si="80"/>
        <v>#REF!</v>
      </c>
      <c r="AS111" s="372" t="e">
        <f t="shared" ca="1" si="80"/>
        <v>#REF!</v>
      </c>
      <c r="AT111" s="372" t="e">
        <f ca="1">VLOOKUP($AK111&amp;$AO111,所有坦克升星属性,MATCH(AT$3,所有坦克升星属性标头,0),FALSE)+ROUND(AW111/VLOOKUP($AK111,坦克部件!#REF!,4,FALSE)*VLOOKUP($AK111&amp;0,所有坦克升星属性,MATCH(AT$3,所有坦克升星属性标头,0),FALSE),0)</f>
        <v>#REF!</v>
      </c>
      <c r="AU111" s="372" t="e">
        <f ca="1">(VLOOKUP($AM111,坦克部件!#REF!,MATCH("标准值",坦克部件!#REF!,0),FALSE)+VLOOKUP($AN111,坦克部件!#REF!,MATCH("标准值",坦克部件!#REF!,0),FALSE))*2</f>
        <v>#REF!</v>
      </c>
      <c r="AV111" s="372" t="e">
        <f ca="1">(VLOOKUP($AM111,坦克部件!#REF!,MATCH("标准值",坦克部件!#REF!,0),FALSE)+VLOOKUP($AN111,坦克部件!#REF!,MATCH("标准值",坦克部件!#REF!,0),FALSE))*2</f>
        <v>#REF!</v>
      </c>
      <c r="AW111" s="372" t="e">
        <f ca="1">(VLOOKUP($AM111,坦克部件!#REF!,MATCH("标准值",坦克部件!#REF!,0),FALSE)+VLOOKUP($AN111,坦克部件!#REF!,MATCH("标准值",坦克部件!#REF!,0),FALSE))*2</f>
        <v>#REF!</v>
      </c>
      <c r="AX111" s="372" t="e">
        <f ca="1">VLOOKUP($AK111,坦克属性统计!$B$3:$AY$33,MATCH(AX$3,坦克属性统计!$B$3:$AY$3,0),FALSE)</f>
        <v>#REF!</v>
      </c>
      <c r="AY111" s="372" t="e">
        <f t="shared" ca="1" si="81"/>
        <v>#REF!</v>
      </c>
      <c r="AZ111" s="372" t="e">
        <f t="shared" ca="1" si="81"/>
        <v>#REF!</v>
      </c>
      <c r="BA111" s="372" t="e">
        <f t="shared" ca="1" si="81"/>
        <v>#REF!</v>
      </c>
      <c r="BB111" s="356" t="e">
        <f t="shared" ca="1" si="56"/>
        <v>#REF!</v>
      </c>
      <c r="BC111" s="356" t="e">
        <f ca="1">VLOOKUP(AK111,坦克个性化设定!$B$18:$E$48,4,FALSE)</f>
        <v>#REF!</v>
      </c>
      <c r="BD111" s="357" t="e">
        <f t="shared" ca="1" si="63"/>
        <v>#REF!</v>
      </c>
      <c r="BF111" s="357" t="str">
        <f t="shared" ca="1" si="57"/>
        <v/>
      </c>
      <c r="BG111" s="372" t="str">
        <f ca="1">IFERROR(VLOOKUP(BF111,坦克个性化设定!$B$18:$F$48,5,FALSE),"")</f>
        <v/>
      </c>
      <c r="BH111" s="372" t="e">
        <f t="shared" ca="1" si="64"/>
        <v>#REF!</v>
      </c>
      <c r="BI111" s="372" t="e">
        <f t="shared" ca="1" si="65"/>
        <v>#REF!</v>
      </c>
      <c r="BJ111" s="364" t="str">
        <f t="shared" ca="1" si="58"/>
        <v>NULL</v>
      </c>
      <c r="BK111" s="372" t="e">
        <f ca="1">VLOOKUP($BF111&amp;IF($BJ111="NULL",0,$BJ111),所有坦克升星属性,MATCH(BK$3,所有坦克升星属性标头,0),FALSE)+ROUND(BP111/VLOOKUP($BF111,坦克部件!#REF!,4,FALSE)*VLOOKUP($BF111&amp;0,所有坦克升星属性,MATCH(BK$3,所有坦克升星属性标头,0),FALSE),0)</f>
        <v>#N/A</v>
      </c>
      <c r="BL111" s="372" t="e">
        <f ca="1">VLOOKUP($BF111&amp;IF($BJ111="NULL",0,$BJ111),所有坦克升星属性,MATCH(BL$3,所有坦克升星属性标头,0),FALSE)+ROUND(BQ111/VLOOKUP($BF111,坦克部件!#REF!,4,FALSE)*VLOOKUP($BF111&amp;0,所有坦克升星属性,MATCH(BL$3,所有坦克升星属性标头,0),FALSE),0)</f>
        <v>#N/A</v>
      </c>
      <c r="BM111" s="372" t="e">
        <f t="shared" ca="1" si="82"/>
        <v>#N/A</v>
      </c>
      <c r="BN111" s="372" t="e">
        <f t="shared" ca="1" si="82"/>
        <v>#N/A</v>
      </c>
      <c r="BO111" s="372" t="e">
        <f ca="1">VLOOKUP($BF111&amp;IF($BJ111="NULL",0,$BJ111),所有坦克升星属性,MATCH(BO$3,所有坦克升星属性标头,0),FALSE)+ROUND(BR111/VLOOKUP($BF111,坦克部件!#REF!,4,FALSE)*VLOOKUP($BF111&amp;0,所有坦克升星属性,MATCH(BO$3,所有坦克升星属性标头,0),FALSE),0)</f>
        <v>#N/A</v>
      </c>
      <c r="BP111" s="372" t="e">
        <f ca="1">(VLOOKUP($BH111,坦克部件!#REF!,MATCH("标准值",坦克部件!#REF!,0),FALSE)+VLOOKUP($BI111,坦克部件!#REF!,MATCH("标准值",坦克部件!#REF!,0),FALSE))*2</f>
        <v>#REF!</v>
      </c>
      <c r="BQ111" s="372" t="e">
        <f ca="1">(VLOOKUP($BH111,坦克部件!#REF!,MATCH("标准值",坦克部件!#REF!,0),FALSE)+VLOOKUP($BI111,坦克部件!#REF!,MATCH("标准值",坦克部件!#REF!,0),FALSE))*2</f>
        <v>#REF!</v>
      </c>
      <c r="BR111" s="372" t="e">
        <f ca="1">(VLOOKUP($BH111,坦克部件!#REF!,MATCH("标准值",坦克部件!#REF!,0),FALSE)+VLOOKUP($BI111,坦克部件!#REF!,MATCH("标准值",坦克部件!#REF!,0),FALSE))*2</f>
        <v>#REF!</v>
      </c>
      <c r="BS111" s="372" t="e">
        <f ca="1">VLOOKUP($BF111,坦克属性统计!$B$3:$AY$33,MATCH(BS$3,坦克属性统计!$B$3:$AY$3,0),FALSE)</f>
        <v>#N/A</v>
      </c>
      <c r="BT111" s="372" t="e">
        <f t="shared" ca="1" si="83"/>
        <v>#N/A</v>
      </c>
      <c r="BU111" s="372" t="e">
        <f t="shared" ca="1" si="83"/>
        <v>#N/A</v>
      </c>
      <c r="BV111" s="372" t="e">
        <f t="shared" ca="1" si="83"/>
        <v>#N/A</v>
      </c>
      <c r="BW111" s="356">
        <f t="shared" ca="1" si="59"/>
        <v>0</v>
      </c>
      <c r="BX111" s="356" t="e">
        <f ca="1">VLOOKUP(BF111,坦克个性化设定!$B$18:$E$48,4,FALSE)</f>
        <v>#N/A</v>
      </c>
      <c r="BY111" s="357" t="e">
        <f t="shared" ca="1" si="66"/>
        <v>#N/A</v>
      </c>
    </row>
    <row r="112" spans="2:77" x14ac:dyDescent="0.35">
      <c r="B112" s="392">
        <v>63</v>
      </c>
      <c r="C112" s="392">
        <f>游戏时长规划!C174</f>
        <v>30</v>
      </c>
      <c r="D112" s="392">
        <f>游戏时长规划!D174</f>
        <v>1600</v>
      </c>
      <c r="E112" s="392">
        <f>游戏时长规划!E174</f>
        <v>12</v>
      </c>
      <c r="F112" s="392">
        <f>游戏时长规划!F174</f>
        <v>22150</v>
      </c>
      <c r="O112" s="365">
        <v>109</v>
      </c>
      <c r="P112" s="360" t="e">
        <f t="shared" ca="1" si="78"/>
        <v>#REF!</v>
      </c>
      <c r="Q112" s="360" t="e">
        <f ca="1">ROUND(MIN((BD112-VLOOKUP(R112,$B$22:$F$46,2,FALSE))/(VLOOKUP(R112,$B$22:$F$46,3,FALSE)-VLOOKUP(R112,$B$22:$F$46,2,FALSE)),1)*((VLOOKUP(R112,$B$22:$F$46,4,FALSE)*(AG112/(AG112+VLOOKUP(P112,$D$49:$F$123,3,TRUE)))+VLOOKUP(R112,$B$22:$F$46,5,FALSE)*(1-AG112/(AG112+VLOOKUP(P112,$D$49:$F$123,3,TRUE))))/2)*游戏时长规划!$C$4,0)</f>
        <v>#REF!</v>
      </c>
      <c r="R112" s="360" t="e">
        <f t="shared" ca="1" si="46"/>
        <v>#REF!</v>
      </c>
      <c r="S112" s="360" t="e">
        <f t="shared" ca="1" si="67"/>
        <v>#REF!</v>
      </c>
      <c r="T112" s="360" t="e">
        <f t="shared" ca="1" si="79"/>
        <v>#REF!</v>
      </c>
      <c r="U112" s="370" t="e">
        <f t="shared" ca="1" si="47"/>
        <v>#REF!</v>
      </c>
      <c r="V112" s="363" t="e">
        <f t="shared" ca="1" si="68"/>
        <v>#REF!</v>
      </c>
      <c r="W112" s="360" t="e">
        <f t="shared" ca="1" si="48"/>
        <v>#REF!</v>
      </c>
      <c r="X112" s="81" t="e">
        <f t="shared" ca="1" si="60"/>
        <v>#REF!</v>
      </c>
      <c r="Y112" s="360" t="str">
        <f t="shared" ca="1" si="49"/>
        <v>NULL</v>
      </c>
      <c r="Z112" s="375" t="e">
        <f t="shared" ca="1" si="61"/>
        <v>#REF!</v>
      </c>
      <c r="AA112" s="360">
        <f ca="1">IFERROR(VLOOKUP(IF(V112="T1低",游戏时长规划!$C$67+Z112,Z112),INDIRECT(V112&amp;"星级"),2,TRUE),0)</f>
        <v>0</v>
      </c>
      <c r="AB112" s="375" t="e">
        <f t="shared" ca="1" si="50"/>
        <v>#REF!</v>
      </c>
      <c r="AC112" s="375">
        <f ca="1">($D$14+$D$17)*$L$4/坦克部件养成!$C$2+AC111-IFERROR(IF(RIGHT(AD111,3)*1&gt;RIGHT(VLOOKUP(AC111,INDIRECT(LEFT(AD110,2)&amp;"部件升阶"),5,TRUE),3)*1,VLOOKUP(AD110,INDIRECT(LEFT(AD110,2)&amp;"部件升阶消耗"),2,FALSE),0),0)</f>
        <v>1289.833333333333</v>
      </c>
      <c r="AD112" s="360" t="e">
        <f t="shared" ca="1" si="51"/>
        <v>#REF!</v>
      </c>
      <c r="AE112" s="375" t="e">
        <f ca="1">$D$15*$L$4/坦克部件养成!$C$2+AE111-IF(LEFT(AD112,2)&lt;&gt;LEFT(AD111,2),VLOOKUP(AF111,INDIRECT(LEFT(AD111,2)&amp;"部件升级消耗"),5,FALSE),0)</f>
        <v>#REF!</v>
      </c>
      <c r="AF112" s="360" t="e">
        <f ca="1">MIN(VLOOKUP(AE112,INDIRECT(LEFT(AD112,2)&amp;"部件升级"),2,TRUE),VLOOKUP(LEFT(AD112,2),坦克部件养成!#REF!,6,FALSE))</f>
        <v>#REF!</v>
      </c>
      <c r="AG112" s="378" t="e">
        <f ca="1">MAX(BD$4:BD112)</f>
        <v>#REF!</v>
      </c>
      <c r="AH112" s="378" t="str">
        <f t="shared" ca="1" si="52"/>
        <v/>
      </c>
      <c r="AI112" s="378">
        <f ca="1">IF(Y112="NULL",0,MAX(BY$4:BY112))</f>
        <v>0</v>
      </c>
      <c r="AK112" s="364" t="e">
        <f t="shared" ca="1" si="53"/>
        <v>#REF!</v>
      </c>
      <c r="AL112" s="364" t="e">
        <f ca="1">VLOOKUP(AK112,坦克个性化设定!$B$18:$F$48,5,FALSE)</f>
        <v>#REF!</v>
      </c>
      <c r="AM112" s="372" t="e">
        <f t="shared" ca="1" si="54"/>
        <v>#REF!</v>
      </c>
      <c r="AN112" s="372" t="e">
        <f t="shared" ca="1" si="62"/>
        <v>#REF!</v>
      </c>
      <c r="AO112" s="364">
        <f t="shared" ca="1" si="55"/>
        <v>0</v>
      </c>
      <c r="AP112" s="372" t="e">
        <f ca="1">VLOOKUP($AK112&amp;$AO112,所有坦克升星属性,MATCH(AP$3,所有坦克升星属性标头,0),FALSE)+ROUND(AU112/VLOOKUP($AK112,坦克部件!#REF!,4,FALSE)*VLOOKUP($AK112&amp;0,所有坦克升星属性,MATCH(AP$3,所有坦克升星属性标头,0),FALSE),0)</f>
        <v>#REF!</v>
      </c>
      <c r="AQ112" s="372" t="e">
        <f ca="1">VLOOKUP($AK112&amp;$AO112,所有坦克升星属性,MATCH(AQ$3,所有坦克升星属性标头,0),FALSE)+ROUND(AV112/VLOOKUP($AK112,坦克部件!#REF!,4,FALSE)*VLOOKUP($AK112&amp;0,所有坦克升星属性,MATCH(AQ$3,所有坦克升星属性标头,0),FALSE),0)</f>
        <v>#REF!</v>
      </c>
      <c r="AR112" s="372" t="e">
        <f t="shared" ca="1" si="80"/>
        <v>#REF!</v>
      </c>
      <c r="AS112" s="372" t="e">
        <f t="shared" ca="1" si="80"/>
        <v>#REF!</v>
      </c>
      <c r="AT112" s="372" t="e">
        <f ca="1">VLOOKUP($AK112&amp;$AO112,所有坦克升星属性,MATCH(AT$3,所有坦克升星属性标头,0),FALSE)+ROUND(AW112/VLOOKUP($AK112,坦克部件!#REF!,4,FALSE)*VLOOKUP($AK112&amp;0,所有坦克升星属性,MATCH(AT$3,所有坦克升星属性标头,0),FALSE),0)</f>
        <v>#REF!</v>
      </c>
      <c r="AU112" s="372" t="e">
        <f ca="1">(VLOOKUP($AM112,坦克部件!#REF!,MATCH("标准值",坦克部件!#REF!,0),FALSE)+VLOOKUP($AN112,坦克部件!#REF!,MATCH("标准值",坦克部件!#REF!,0),FALSE))*2</f>
        <v>#REF!</v>
      </c>
      <c r="AV112" s="372" t="e">
        <f ca="1">(VLOOKUP($AM112,坦克部件!#REF!,MATCH("标准值",坦克部件!#REF!,0),FALSE)+VLOOKUP($AN112,坦克部件!#REF!,MATCH("标准值",坦克部件!#REF!,0),FALSE))*2</f>
        <v>#REF!</v>
      </c>
      <c r="AW112" s="372" t="e">
        <f ca="1">(VLOOKUP($AM112,坦克部件!#REF!,MATCH("标准值",坦克部件!#REF!,0),FALSE)+VLOOKUP($AN112,坦克部件!#REF!,MATCH("标准值",坦克部件!#REF!,0),FALSE))*2</f>
        <v>#REF!</v>
      </c>
      <c r="AX112" s="372" t="e">
        <f ca="1">VLOOKUP($AK112,坦克属性统计!$B$3:$AY$33,MATCH(AX$3,坦克属性统计!$B$3:$AY$3,0),FALSE)</f>
        <v>#REF!</v>
      </c>
      <c r="AY112" s="372" t="e">
        <f t="shared" ca="1" si="81"/>
        <v>#REF!</v>
      </c>
      <c r="AZ112" s="372" t="e">
        <f t="shared" ca="1" si="81"/>
        <v>#REF!</v>
      </c>
      <c r="BA112" s="372" t="e">
        <f t="shared" ca="1" si="81"/>
        <v>#REF!</v>
      </c>
      <c r="BB112" s="356" t="e">
        <f t="shared" ca="1" si="56"/>
        <v>#REF!</v>
      </c>
      <c r="BC112" s="356" t="e">
        <f ca="1">VLOOKUP(AK112,坦克个性化设定!$B$18:$E$48,4,FALSE)</f>
        <v>#REF!</v>
      </c>
      <c r="BD112" s="357" t="e">
        <f t="shared" ca="1" si="63"/>
        <v>#REF!</v>
      </c>
      <c r="BF112" s="357" t="str">
        <f t="shared" ca="1" si="57"/>
        <v/>
      </c>
      <c r="BG112" s="372" t="str">
        <f ca="1">IFERROR(VLOOKUP(BF112,坦克个性化设定!$B$18:$F$48,5,FALSE),"")</f>
        <v/>
      </c>
      <c r="BH112" s="372" t="e">
        <f t="shared" ca="1" si="64"/>
        <v>#REF!</v>
      </c>
      <c r="BI112" s="372" t="e">
        <f t="shared" ca="1" si="65"/>
        <v>#REF!</v>
      </c>
      <c r="BJ112" s="364" t="str">
        <f t="shared" ca="1" si="58"/>
        <v>NULL</v>
      </c>
      <c r="BK112" s="372" t="e">
        <f ca="1">VLOOKUP($BF112&amp;IF($BJ112="NULL",0,$BJ112),所有坦克升星属性,MATCH(BK$3,所有坦克升星属性标头,0),FALSE)+ROUND(BP112/VLOOKUP($BF112,坦克部件!#REF!,4,FALSE)*VLOOKUP($BF112&amp;0,所有坦克升星属性,MATCH(BK$3,所有坦克升星属性标头,0),FALSE),0)</f>
        <v>#N/A</v>
      </c>
      <c r="BL112" s="372" t="e">
        <f ca="1">VLOOKUP($BF112&amp;IF($BJ112="NULL",0,$BJ112),所有坦克升星属性,MATCH(BL$3,所有坦克升星属性标头,0),FALSE)+ROUND(BQ112/VLOOKUP($BF112,坦克部件!#REF!,4,FALSE)*VLOOKUP($BF112&amp;0,所有坦克升星属性,MATCH(BL$3,所有坦克升星属性标头,0),FALSE),0)</f>
        <v>#N/A</v>
      </c>
      <c r="BM112" s="372" t="e">
        <f t="shared" ca="1" si="82"/>
        <v>#N/A</v>
      </c>
      <c r="BN112" s="372" t="e">
        <f t="shared" ca="1" si="82"/>
        <v>#N/A</v>
      </c>
      <c r="BO112" s="372" t="e">
        <f ca="1">VLOOKUP($BF112&amp;IF($BJ112="NULL",0,$BJ112),所有坦克升星属性,MATCH(BO$3,所有坦克升星属性标头,0),FALSE)+ROUND(BR112/VLOOKUP($BF112,坦克部件!#REF!,4,FALSE)*VLOOKUP($BF112&amp;0,所有坦克升星属性,MATCH(BO$3,所有坦克升星属性标头,0),FALSE),0)</f>
        <v>#N/A</v>
      </c>
      <c r="BP112" s="372" t="e">
        <f ca="1">(VLOOKUP($BH112,坦克部件!#REF!,MATCH("标准值",坦克部件!#REF!,0),FALSE)+VLOOKUP($BI112,坦克部件!#REF!,MATCH("标准值",坦克部件!#REF!,0),FALSE))*2</f>
        <v>#REF!</v>
      </c>
      <c r="BQ112" s="372" t="e">
        <f ca="1">(VLOOKUP($BH112,坦克部件!#REF!,MATCH("标准值",坦克部件!#REF!,0),FALSE)+VLOOKUP($BI112,坦克部件!#REF!,MATCH("标准值",坦克部件!#REF!,0),FALSE))*2</f>
        <v>#REF!</v>
      </c>
      <c r="BR112" s="372" t="e">
        <f ca="1">(VLOOKUP($BH112,坦克部件!#REF!,MATCH("标准值",坦克部件!#REF!,0),FALSE)+VLOOKUP($BI112,坦克部件!#REF!,MATCH("标准值",坦克部件!#REF!,0),FALSE))*2</f>
        <v>#REF!</v>
      </c>
      <c r="BS112" s="372" t="e">
        <f ca="1">VLOOKUP($BF112,坦克属性统计!$B$3:$AY$33,MATCH(BS$3,坦克属性统计!$B$3:$AY$3,0),FALSE)</f>
        <v>#N/A</v>
      </c>
      <c r="BT112" s="372" t="e">
        <f t="shared" ca="1" si="83"/>
        <v>#N/A</v>
      </c>
      <c r="BU112" s="372" t="e">
        <f t="shared" ca="1" si="83"/>
        <v>#N/A</v>
      </c>
      <c r="BV112" s="372" t="e">
        <f t="shared" ca="1" si="83"/>
        <v>#N/A</v>
      </c>
      <c r="BW112" s="356">
        <f t="shared" ca="1" si="59"/>
        <v>0</v>
      </c>
      <c r="BX112" s="356" t="e">
        <f ca="1">VLOOKUP(BF112,坦克个性化设定!$B$18:$E$48,4,FALSE)</f>
        <v>#N/A</v>
      </c>
      <c r="BY112" s="357" t="e">
        <f t="shared" ca="1" si="66"/>
        <v>#N/A</v>
      </c>
    </row>
    <row r="113" spans="2:77" x14ac:dyDescent="0.35">
      <c r="B113" s="392">
        <v>64</v>
      </c>
      <c r="C113" s="392">
        <f>游戏时长规划!C175</f>
        <v>30</v>
      </c>
      <c r="D113" s="392">
        <f>游戏时长规划!D175</f>
        <v>1630</v>
      </c>
      <c r="E113" s="392">
        <f>游戏时长规划!E175</f>
        <v>12</v>
      </c>
      <c r="F113" s="392">
        <f>游戏时长规划!F175</f>
        <v>22750</v>
      </c>
      <c r="O113" s="365">
        <v>110</v>
      </c>
      <c r="P113" s="360" t="e">
        <f t="shared" ca="1" si="78"/>
        <v>#REF!</v>
      </c>
      <c r="Q113" s="360" t="e">
        <f ca="1">ROUND(MIN((BD113-VLOOKUP(R113,$B$22:$F$46,2,FALSE))/(VLOOKUP(R113,$B$22:$F$46,3,FALSE)-VLOOKUP(R113,$B$22:$F$46,2,FALSE)),1)*((VLOOKUP(R113,$B$22:$F$46,4,FALSE)*(AG113/(AG113+VLOOKUP(P113,$D$49:$F$123,3,TRUE)))+VLOOKUP(R113,$B$22:$F$46,5,FALSE)*(1-AG113/(AG113+VLOOKUP(P113,$D$49:$F$123,3,TRUE))))/2)*游戏时长规划!$C$4,0)</f>
        <v>#REF!</v>
      </c>
      <c r="R113" s="360" t="e">
        <f t="shared" ca="1" si="46"/>
        <v>#REF!</v>
      </c>
      <c r="S113" s="360" t="e">
        <f t="shared" ca="1" si="67"/>
        <v>#REF!</v>
      </c>
      <c r="T113" s="360" t="e">
        <f t="shared" ca="1" si="79"/>
        <v>#REF!</v>
      </c>
      <c r="U113" s="370" t="e">
        <f t="shared" ca="1" si="47"/>
        <v>#REF!</v>
      </c>
      <c r="V113" s="363" t="e">
        <f t="shared" ca="1" si="68"/>
        <v>#REF!</v>
      </c>
      <c r="W113" s="360" t="e">
        <f t="shared" ca="1" si="48"/>
        <v>#REF!</v>
      </c>
      <c r="X113" s="81" t="e">
        <f t="shared" ca="1" si="60"/>
        <v>#REF!</v>
      </c>
      <c r="Y113" s="360" t="str">
        <f t="shared" ca="1" si="49"/>
        <v>NULL</v>
      </c>
      <c r="Z113" s="375" t="e">
        <f t="shared" ca="1" si="61"/>
        <v>#REF!</v>
      </c>
      <c r="AA113" s="360">
        <f ca="1">IFERROR(VLOOKUP(IF(V113="T1低",游戏时长规划!$C$67+Z113,Z113),INDIRECT(V113&amp;"星级"),2,TRUE),0)</f>
        <v>0</v>
      </c>
      <c r="AB113" s="375" t="e">
        <f t="shared" ca="1" si="50"/>
        <v>#REF!</v>
      </c>
      <c r="AC113" s="375">
        <f ca="1">($D$14+$D$17)*$L$4/坦克部件养成!$C$2+AC112-IFERROR(IF(RIGHT(AD112,3)*1&gt;RIGHT(VLOOKUP(AC112,INDIRECT(LEFT(AD111,2)&amp;"部件升阶"),5,TRUE),3)*1,VLOOKUP(AD111,INDIRECT(LEFT(AD111,2)&amp;"部件升阶消耗"),2,FALSE),0),0)</f>
        <v>1301.6666666666663</v>
      </c>
      <c r="AD113" s="360" t="e">
        <f t="shared" ca="1" si="51"/>
        <v>#REF!</v>
      </c>
      <c r="AE113" s="375" t="e">
        <f ca="1">$D$15*$L$4/坦克部件养成!$C$2+AE112-IF(LEFT(AD113,2)&lt;&gt;LEFT(AD112,2),VLOOKUP(AF112,INDIRECT(LEFT(AD112,2)&amp;"部件升级消耗"),5,FALSE),0)</f>
        <v>#REF!</v>
      </c>
      <c r="AF113" s="360" t="e">
        <f ca="1">MIN(VLOOKUP(AE113,INDIRECT(LEFT(AD113,2)&amp;"部件升级"),2,TRUE),VLOOKUP(LEFT(AD113,2),坦克部件养成!#REF!,6,FALSE))</f>
        <v>#REF!</v>
      </c>
      <c r="AG113" s="378" t="e">
        <f ca="1">MAX(BD$4:BD113)</f>
        <v>#REF!</v>
      </c>
      <c r="AH113" s="378" t="str">
        <f t="shared" ca="1" si="52"/>
        <v/>
      </c>
      <c r="AI113" s="378">
        <f ca="1">IF(Y113="NULL",0,MAX(BY$4:BY113))</f>
        <v>0</v>
      </c>
      <c r="AK113" s="364" t="e">
        <f t="shared" ca="1" si="53"/>
        <v>#REF!</v>
      </c>
      <c r="AL113" s="364" t="e">
        <f ca="1">VLOOKUP(AK113,坦克个性化设定!$B$18:$F$48,5,FALSE)</f>
        <v>#REF!</v>
      </c>
      <c r="AM113" s="372" t="e">
        <f t="shared" ca="1" si="54"/>
        <v>#REF!</v>
      </c>
      <c r="AN113" s="372" t="e">
        <f t="shared" ca="1" si="62"/>
        <v>#REF!</v>
      </c>
      <c r="AO113" s="364">
        <f t="shared" ca="1" si="55"/>
        <v>0</v>
      </c>
      <c r="AP113" s="372" t="e">
        <f ca="1">VLOOKUP($AK113&amp;$AO113,所有坦克升星属性,MATCH(AP$3,所有坦克升星属性标头,0),FALSE)+ROUND(AU113/VLOOKUP($AK113,坦克部件!#REF!,4,FALSE)*VLOOKUP($AK113&amp;0,所有坦克升星属性,MATCH(AP$3,所有坦克升星属性标头,0),FALSE),0)</f>
        <v>#REF!</v>
      </c>
      <c r="AQ113" s="372" t="e">
        <f ca="1">VLOOKUP($AK113&amp;$AO113,所有坦克升星属性,MATCH(AQ$3,所有坦克升星属性标头,0),FALSE)+ROUND(AV113/VLOOKUP($AK113,坦克部件!#REF!,4,FALSE)*VLOOKUP($AK113&amp;0,所有坦克升星属性,MATCH(AQ$3,所有坦克升星属性标头,0),FALSE),0)</f>
        <v>#REF!</v>
      </c>
      <c r="AR113" s="372" t="e">
        <f t="shared" ca="1" si="80"/>
        <v>#REF!</v>
      </c>
      <c r="AS113" s="372" t="e">
        <f t="shared" ca="1" si="80"/>
        <v>#REF!</v>
      </c>
      <c r="AT113" s="372" t="e">
        <f ca="1">VLOOKUP($AK113&amp;$AO113,所有坦克升星属性,MATCH(AT$3,所有坦克升星属性标头,0),FALSE)+ROUND(AW113/VLOOKUP($AK113,坦克部件!#REF!,4,FALSE)*VLOOKUP($AK113&amp;0,所有坦克升星属性,MATCH(AT$3,所有坦克升星属性标头,0),FALSE),0)</f>
        <v>#REF!</v>
      </c>
      <c r="AU113" s="372" t="e">
        <f ca="1">(VLOOKUP($AM113,坦克部件!#REF!,MATCH("标准值",坦克部件!#REF!,0),FALSE)+VLOOKUP($AN113,坦克部件!#REF!,MATCH("标准值",坦克部件!#REF!,0),FALSE))*2</f>
        <v>#REF!</v>
      </c>
      <c r="AV113" s="372" t="e">
        <f ca="1">(VLOOKUP($AM113,坦克部件!#REF!,MATCH("标准值",坦克部件!#REF!,0),FALSE)+VLOOKUP($AN113,坦克部件!#REF!,MATCH("标准值",坦克部件!#REF!,0),FALSE))*2</f>
        <v>#REF!</v>
      </c>
      <c r="AW113" s="372" t="e">
        <f ca="1">(VLOOKUP($AM113,坦克部件!#REF!,MATCH("标准值",坦克部件!#REF!,0),FALSE)+VLOOKUP($AN113,坦克部件!#REF!,MATCH("标准值",坦克部件!#REF!,0),FALSE))*2</f>
        <v>#REF!</v>
      </c>
      <c r="AX113" s="372" t="e">
        <f ca="1">VLOOKUP($AK113,坦克属性统计!$B$3:$AY$33,MATCH(AX$3,坦克属性统计!$B$3:$AY$3,0),FALSE)</f>
        <v>#REF!</v>
      </c>
      <c r="AY113" s="372" t="e">
        <f t="shared" ca="1" si="81"/>
        <v>#REF!</v>
      </c>
      <c r="AZ113" s="372" t="e">
        <f t="shared" ca="1" si="81"/>
        <v>#REF!</v>
      </c>
      <c r="BA113" s="372" t="e">
        <f t="shared" ca="1" si="81"/>
        <v>#REF!</v>
      </c>
      <c r="BB113" s="356" t="e">
        <f t="shared" ca="1" si="56"/>
        <v>#REF!</v>
      </c>
      <c r="BC113" s="356" t="e">
        <f ca="1">VLOOKUP(AK113,坦克个性化设定!$B$18:$E$48,4,FALSE)</f>
        <v>#REF!</v>
      </c>
      <c r="BD113" s="357" t="e">
        <f t="shared" ca="1" si="63"/>
        <v>#REF!</v>
      </c>
      <c r="BF113" s="357" t="str">
        <f t="shared" ca="1" si="57"/>
        <v/>
      </c>
      <c r="BG113" s="372" t="str">
        <f ca="1">IFERROR(VLOOKUP(BF113,坦克个性化设定!$B$18:$F$48,5,FALSE),"")</f>
        <v/>
      </c>
      <c r="BH113" s="372" t="e">
        <f t="shared" ca="1" si="64"/>
        <v>#REF!</v>
      </c>
      <c r="BI113" s="372" t="e">
        <f t="shared" ca="1" si="65"/>
        <v>#REF!</v>
      </c>
      <c r="BJ113" s="364" t="str">
        <f t="shared" ca="1" si="58"/>
        <v>NULL</v>
      </c>
      <c r="BK113" s="372" t="e">
        <f ca="1">VLOOKUP($BF113&amp;IF($BJ113="NULL",0,$BJ113),所有坦克升星属性,MATCH(BK$3,所有坦克升星属性标头,0),FALSE)+ROUND(BP113/VLOOKUP($BF113,坦克部件!#REF!,4,FALSE)*VLOOKUP($BF113&amp;0,所有坦克升星属性,MATCH(BK$3,所有坦克升星属性标头,0),FALSE),0)</f>
        <v>#N/A</v>
      </c>
      <c r="BL113" s="372" t="e">
        <f ca="1">VLOOKUP($BF113&amp;IF($BJ113="NULL",0,$BJ113),所有坦克升星属性,MATCH(BL$3,所有坦克升星属性标头,0),FALSE)+ROUND(BQ113/VLOOKUP($BF113,坦克部件!#REF!,4,FALSE)*VLOOKUP($BF113&amp;0,所有坦克升星属性,MATCH(BL$3,所有坦克升星属性标头,0),FALSE),0)</f>
        <v>#N/A</v>
      </c>
      <c r="BM113" s="372" t="e">
        <f t="shared" ca="1" si="82"/>
        <v>#N/A</v>
      </c>
      <c r="BN113" s="372" t="e">
        <f t="shared" ca="1" si="82"/>
        <v>#N/A</v>
      </c>
      <c r="BO113" s="372" t="e">
        <f ca="1">VLOOKUP($BF113&amp;IF($BJ113="NULL",0,$BJ113),所有坦克升星属性,MATCH(BO$3,所有坦克升星属性标头,0),FALSE)+ROUND(BR113/VLOOKUP($BF113,坦克部件!#REF!,4,FALSE)*VLOOKUP($BF113&amp;0,所有坦克升星属性,MATCH(BO$3,所有坦克升星属性标头,0),FALSE),0)</f>
        <v>#N/A</v>
      </c>
      <c r="BP113" s="372" t="e">
        <f ca="1">(VLOOKUP($BH113,坦克部件!#REF!,MATCH("标准值",坦克部件!#REF!,0),FALSE)+VLOOKUP($BI113,坦克部件!#REF!,MATCH("标准值",坦克部件!#REF!,0),FALSE))*2</f>
        <v>#REF!</v>
      </c>
      <c r="BQ113" s="372" t="e">
        <f ca="1">(VLOOKUP($BH113,坦克部件!#REF!,MATCH("标准值",坦克部件!#REF!,0),FALSE)+VLOOKUP($BI113,坦克部件!#REF!,MATCH("标准值",坦克部件!#REF!,0),FALSE))*2</f>
        <v>#REF!</v>
      </c>
      <c r="BR113" s="372" t="e">
        <f ca="1">(VLOOKUP($BH113,坦克部件!#REF!,MATCH("标准值",坦克部件!#REF!,0),FALSE)+VLOOKUP($BI113,坦克部件!#REF!,MATCH("标准值",坦克部件!#REF!,0),FALSE))*2</f>
        <v>#REF!</v>
      </c>
      <c r="BS113" s="372" t="e">
        <f ca="1">VLOOKUP($BF113,坦克属性统计!$B$3:$AY$33,MATCH(BS$3,坦克属性统计!$B$3:$AY$3,0),FALSE)</f>
        <v>#N/A</v>
      </c>
      <c r="BT113" s="372" t="e">
        <f t="shared" ca="1" si="83"/>
        <v>#N/A</v>
      </c>
      <c r="BU113" s="372" t="e">
        <f t="shared" ca="1" si="83"/>
        <v>#N/A</v>
      </c>
      <c r="BV113" s="372" t="e">
        <f t="shared" ca="1" si="83"/>
        <v>#N/A</v>
      </c>
      <c r="BW113" s="356">
        <f t="shared" ca="1" si="59"/>
        <v>0</v>
      </c>
      <c r="BX113" s="356" t="e">
        <f ca="1">VLOOKUP(BF113,坦克个性化设定!$B$18:$E$48,4,FALSE)</f>
        <v>#N/A</v>
      </c>
      <c r="BY113" s="357" t="e">
        <f t="shared" ca="1" si="66"/>
        <v>#N/A</v>
      </c>
    </row>
    <row r="114" spans="2:77" x14ac:dyDescent="0.35">
      <c r="B114" s="392">
        <v>65</v>
      </c>
      <c r="C114" s="392">
        <f>游戏时长规划!C176</f>
        <v>10</v>
      </c>
      <c r="D114" s="392">
        <f>游戏时长规划!D176</f>
        <v>1640</v>
      </c>
      <c r="E114" s="392">
        <f>游戏时长规划!E176</f>
        <v>12</v>
      </c>
      <c r="F114" s="392">
        <f>游戏时长规划!F176</f>
        <v>23350</v>
      </c>
      <c r="O114" s="365">
        <v>111</v>
      </c>
      <c r="P114" s="360" t="e">
        <f t="shared" ca="1" si="78"/>
        <v>#REF!</v>
      </c>
      <c r="Q114" s="360" t="e">
        <f ca="1">ROUND(MIN((BD114-VLOOKUP(R114,$B$22:$F$46,2,FALSE))/(VLOOKUP(R114,$B$22:$F$46,3,FALSE)-VLOOKUP(R114,$B$22:$F$46,2,FALSE)),1)*((VLOOKUP(R114,$B$22:$F$46,4,FALSE)*(AG114/(AG114+VLOOKUP(P114,$D$49:$F$123,3,TRUE)))+VLOOKUP(R114,$B$22:$F$46,5,FALSE)*(1-AG114/(AG114+VLOOKUP(P114,$D$49:$F$123,3,TRUE))))/2)*游戏时长规划!$C$4,0)</f>
        <v>#REF!</v>
      </c>
      <c r="R114" s="360" t="e">
        <f t="shared" ca="1" si="46"/>
        <v>#REF!</v>
      </c>
      <c r="S114" s="360" t="e">
        <f t="shared" ca="1" si="67"/>
        <v>#REF!</v>
      </c>
      <c r="T114" s="360" t="e">
        <f t="shared" ca="1" si="79"/>
        <v>#REF!</v>
      </c>
      <c r="U114" s="370" t="e">
        <f t="shared" ca="1" si="47"/>
        <v>#REF!</v>
      </c>
      <c r="V114" s="363" t="e">
        <f t="shared" ca="1" si="68"/>
        <v>#REF!</v>
      </c>
      <c r="W114" s="360" t="e">
        <f t="shared" ca="1" si="48"/>
        <v>#REF!</v>
      </c>
      <c r="X114" s="81" t="e">
        <f t="shared" ca="1" si="60"/>
        <v>#REF!</v>
      </c>
      <c r="Y114" s="360" t="str">
        <f t="shared" ca="1" si="49"/>
        <v>NULL</v>
      </c>
      <c r="Z114" s="375" t="e">
        <f t="shared" ca="1" si="61"/>
        <v>#REF!</v>
      </c>
      <c r="AA114" s="360">
        <f ca="1">IFERROR(VLOOKUP(IF(V114="T1低",游戏时长规划!$C$67+Z114,Z114),INDIRECT(V114&amp;"星级"),2,TRUE),0)</f>
        <v>0</v>
      </c>
      <c r="AB114" s="375" t="e">
        <f t="shared" ca="1" si="50"/>
        <v>#REF!</v>
      </c>
      <c r="AC114" s="375">
        <f ca="1">($D$14+$D$17)*$L$4/坦克部件养成!$C$2+AC113-IFERROR(IF(RIGHT(AD113,3)*1&gt;RIGHT(VLOOKUP(AC113,INDIRECT(LEFT(AD112,2)&amp;"部件升阶"),5,TRUE),3)*1,VLOOKUP(AD112,INDIRECT(LEFT(AD112,2)&amp;"部件升阶消耗"),2,FALSE),0),0)</f>
        <v>1313.4999999999995</v>
      </c>
      <c r="AD114" s="360" t="e">
        <f t="shared" ca="1" si="51"/>
        <v>#REF!</v>
      </c>
      <c r="AE114" s="375" t="e">
        <f ca="1">$D$15*$L$4/坦克部件养成!$C$2+AE113-IF(LEFT(AD114,2)&lt;&gt;LEFT(AD113,2),VLOOKUP(AF113,INDIRECT(LEFT(AD113,2)&amp;"部件升级消耗"),5,FALSE),0)</f>
        <v>#REF!</v>
      </c>
      <c r="AF114" s="360" t="e">
        <f ca="1">MIN(VLOOKUP(AE114,INDIRECT(LEFT(AD114,2)&amp;"部件升级"),2,TRUE),VLOOKUP(LEFT(AD114,2),坦克部件养成!#REF!,6,FALSE))</f>
        <v>#REF!</v>
      </c>
      <c r="AG114" s="378" t="e">
        <f ca="1">MAX(BD$4:BD114)</f>
        <v>#REF!</v>
      </c>
      <c r="AH114" s="378" t="str">
        <f t="shared" ca="1" si="52"/>
        <v/>
      </c>
      <c r="AI114" s="378">
        <f ca="1">IF(Y114="NULL",0,MAX(BY$4:BY114))</f>
        <v>0</v>
      </c>
      <c r="AK114" s="364" t="e">
        <f t="shared" ca="1" si="53"/>
        <v>#REF!</v>
      </c>
      <c r="AL114" s="364" t="e">
        <f ca="1">VLOOKUP(AK114,坦克个性化设定!$B$18:$F$48,5,FALSE)</f>
        <v>#REF!</v>
      </c>
      <c r="AM114" s="372" t="e">
        <f t="shared" ca="1" si="54"/>
        <v>#REF!</v>
      </c>
      <c r="AN114" s="372" t="e">
        <f t="shared" ca="1" si="62"/>
        <v>#REF!</v>
      </c>
      <c r="AO114" s="364">
        <f t="shared" ca="1" si="55"/>
        <v>0</v>
      </c>
      <c r="AP114" s="372" t="e">
        <f ca="1">VLOOKUP($AK114&amp;$AO114,所有坦克升星属性,MATCH(AP$3,所有坦克升星属性标头,0),FALSE)+ROUND(AU114/VLOOKUP($AK114,坦克部件!#REF!,4,FALSE)*VLOOKUP($AK114&amp;0,所有坦克升星属性,MATCH(AP$3,所有坦克升星属性标头,0),FALSE),0)</f>
        <v>#REF!</v>
      </c>
      <c r="AQ114" s="372" t="e">
        <f ca="1">VLOOKUP($AK114&amp;$AO114,所有坦克升星属性,MATCH(AQ$3,所有坦克升星属性标头,0),FALSE)+ROUND(AV114/VLOOKUP($AK114,坦克部件!#REF!,4,FALSE)*VLOOKUP($AK114&amp;0,所有坦克升星属性,MATCH(AQ$3,所有坦克升星属性标头,0),FALSE),0)</f>
        <v>#REF!</v>
      </c>
      <c r="AR114" s="372" t="e">
        <f t="shared" ca="1" si="80"/>
        <v>#REF!</v>
      </c>
      <c r="AS114" s="372" t="e">
        <f t="shared" ca="1" si="80"/>
        <v>#REF!</v>
      </c>
      <c r="AT114" s="372" t="e">
        <f ca="1">VLOOKUP($AK114&amp;$AO114,所有坦克升星属性,MATCH(AT$3,所有坦克升星属性标头,0),FALSE)+ROUND(AW114/VLOOKUP($AK114,坦克部件!#REF!,4,FALSE)*VLOOKUP($AK114&amp;0,所有坦克升星属性,MATCH(AT$3,所有坦克升星属性标头,0),FALSE),0)</f>
        <v>#REF!</v>
      </c>
      <c r="AU114" s="372" t="e">
        <f ca="1">(VLOOKUP($AM114,坦克部件!#REF!,MATCH("标准值",坦克部件!#REF!,0),FALSE)+VLOOKUP($AN114,坦克部件!#REF!,MATCH("标准值",坦克部件!#REF!,0),FALSE))*2</f>
        <v>#REF!</v>
      </c>
      <c r="AV114" s="372" t="e">
        <f ca="1">(VLOOKUP($AM114,坦克部件!#REF!,MATCH("标准值",坦克部件!#REF!,0),FALSE)+VLOOKUP($AN114,坦克部件!#REF!,MATCH("标准值",坦克部件!#REF!,0),FALSE))*2</f>
        <v>#REF!</v>
      </c>
      <c r="AW114" s="372" t="e">
        <f ca="1">(VLOOKUP($AM114,坦克部件!#REF!,MATCH("标准值",坦克部件!#REF!,0),FALSE)+VLOOKUP($AN114,坦克部件!#REF!,MATCH("标准值",坦克部件!#REF!,0),FALSE))*2</f>
        <v>#REF!</v>
      </c>
      <c r="AX114" s="372" t="e">
        <f ca="1">VLOOKUP($AK114,坦克属性统计!$B$3:$AY$33,MATCH(AX$3,坦克属性统计!$B$3:$AY$3,0),FALSE)</f>
        <v>#REF!</v>
      </c>
      <c r="AY114" s="372" t="e">
        <f t="shared" ca="1" si="81"/>
        <v>#REF!</v>
      </c>
      <c r="AZ114" s="372" t="e">
        <f t="shared" ca="1" si="81"/>
        <v>#REF!</v>
      </c>
      <c r="BA114" s="372" t="e">
        <f t="shared" ca="1" si="81"/>
        <v>#REF!</v>
      </c>
      <c r="BB114" s="356" t="e">
        <f t="shared" ca="1" si="56"/>
        <v>#REF!</v>
      </c>
      <c r="BC114" s="356" t="e">
        <f ca="1">VLOOKUP(AK114,坦克个性化设定!$B$18:$E$48,4,FALSE)</f>
        <v>#REF!</v>
      </c>
      <c r="BD114" s="357" t="e">
        <f t="shared" ca="1" si="63"/>
        <v>#REF!</v>
      </c>
      <c r="BF114" s="357" t="str">
        <f t="shared" ca="1" si="57"/>
        <v/>
      </c>
      <c r="BG114" s="372" t="str">
        <f ca="1">IFERROR(VLOOKUP(BF114,坦克个性化设定!$B$18:$F$48,5,FALSE),"")</f>
        <v/>
      </c>
      <c r="BH114" s="372" t="e">
        <f t="shared" ca="1" si="64"/>
        <v>#REF!</v>
      </c>
      <c r="BI114" s="372" t="e">
        <f t="shared" ca="1" si="65"/>
        <v>#REF!</v>
      </c>
      <c r="BJ114" s="364" t="str">
        <f t="shared" ca="1" si="58"/>
        <v>NULL</v>
      </c>
      <c r="BK114" s="372" t="e">
        <f ca="1">VLOOKUP($BF114&amp;IF($BJ114="NULL",0,$BJ114),所有坦克升星属性,MATCH(BK$3,所有坦克升星属性标头,0),FALSE)+ROUND(BP114/VLOOKUP($BF114,坦克部件!#REF!,4,FALSE)*VLOOKUP($BF114&amp;0,所有坦克升星属性,MATCH(BK$3,所有坦克升星属性标头,0),FALSE),0)</f>
        <v>#N/A</v>
      </c>
      <c r="BL114" s="372" t="e">
        <f ca="1">VLOOKUP($BF114&amp;IF($BJ114="NULL",0,$BJ114),所有坦克升星属性,MATCH(BL$3,所有坦克升星属性标头,0),FALSE)+ROUND(BQ114/VLOOKUP($BF114,坦克部件!#REF!,4,FALSE)*VLOOKUP($BF114&amp;0,所有坦克升星属性,MATCH(BL$3,所有坦克升星属性标头,0),FALSE),0)</f>
        <v>#N/A</v>
      </c>
      <c r="BM114" s="372" t="e">
        <f t="shared" ca="1" si="82"/>
        <v>#N/A</v>
      </c>
      <c r="BN114" s="372" t="e">
        <f t="shared" ca="1" si="82"/>
        <v>#N/A</v>
      </c>
      <c r="BO114" s="372" t="e">
        <f ca="1">VLOOKUP($BF114&amp;IF($BJ114="NULL",0,$BJ114),所有坦克升星属性,MATCH(BO$3,所有坦克升星属性标头,0),FALSE)+ROUND(BR114/VLOOKUP($BF114,坦克部件!#REF!,4,FALSE)*VLOOKUP($BF114&amp;0,所有坦克升星属性,MATCH(BO$3,所有坦克升星属性标头,0),FALSE),0)</f>
        <v>#N/A</v>
      </c>
      <c r="BP114" s="372" t="e">
        <f ca="1">(VLOOKUP($BH114,坦克部件!#REF!,MATCH("标准值",坦克部件!#REF!,0),FALSE)+VLOOKUP($BI114,坦克部件!#REF!,MATCH("标准值",坦克部件!#REF!,0),FALSE))*2</f>
        <v>#REF!</v>
      </c>
      <c r="BQ114" s="372" t="e">
        <f ca="1">(VLOOKUP($BH114,坦克部件!#REF!,MATCH("标准值",坦克部件!#REF!,0),FALSE)+VLOOKUP($BI114,坦克部件!#REF!,MATCH("标准值",坦克部件!#REF!,0),FALSE))*2</f>
        <v>#REF!</v>
      </c>
      <c r="BR114" s="372" t="e">
        <f ca="1">(VLOOKUP($BH114,坦克部件!#REF!,MATCH("标准值",坦克部件!#REF!,0),FALSE)+VLOOKUP($BI114,坦克部件!#REF!,MATCH("标准值",坦克部件!#REF!,0),FALSE))*2</f>
        <v>#REF!</v>
      </c>
      <c r="BS114" s="372" t="e">
        <f ca="1">VLOOKUP($BF114,坦克属性统计!$B$3:$AY$33,MATCH(BS$3,坦克属性统计!$B$3:$AY$3,0),FALSE)</f>
        <v>#N/A</v>
      </c>
      <c r="BT114" s="372" t="e">
        <f t="shared" ca="1" si="83"/>
        <v>#N/A</v>
      </c>
      <c r="BU114" s="372" t="e">
        <f t="shared" ca="1" si="83"/>
        <v>#N/A</v>
      </c>
      <c r="BV114" s="372" t="e">
        <f t="shared" ca="1" si="83"/>
        <v>#N/A</v>
      </c>
      <c r="BW114" s="356">
        <f t="shared" ca="1" si="59"/>
        <v>0</v>
      </c>
      <c r="BX114" s="356" t="e">
        <f ca="1">VLOOKUP(BF114,坦克个性化设定!$B$18:$E$48,4,FALSE)</f>
        <v>#N/A</v>
      </c>
      <c r="BY114" s="357" t="e">
        <f t="shared" ca="1" si="66"/>
        <v>#N/A</v>
      </c>
    </row>
    <row r="115" spans="2:77" x14ac:dyDescent="0.35">
      <c r="B115" s="392">
        <v>66</v>
      </c>
      <c r="C115" s="392">
        <f>游戏时长规划!C177</f>
        <v>10</v>
      </c>
      <c r="D115" s="392">
        <f>游戏时长规划!D177</f>
        <v>1650</v>
      </c>
      <c r="E115" s="392">
        <f>游戏时长规划!E177</f>
        <v>12</v>
      </c>
      <c r="F115" s="392">
        <f>游戏时长规划!F177</f>
        <v>23950</v>
      </c>
      <c r="O115" s="365">
        <v>112</v>
      </c>
      <c r="P115" s="360" t="e">
        <f t="shared" ca="1" si="78"/>
        <v>#REF!</v>
      </c>
      <c r="Q115" s="360" t="e">
        <f ca="1">ROUND(MIN((BD115-VLOOKUP(R115,$B$22:$F$46,2,FALSE))/(VLOOKUP(R115,$B$22:$F$46,3,FALSE)-VLOOKUP(R115,$B$22:$F$46,2,FALSE)),1)*((VLOOKUP(R115,$B$22:$F$46,4,FALSE)*(AG115/(AG115+VLOOKUP(P115,$D$49:$F$123,3,TRUE)))+VLOOKUP(R115,$B$22:$F$46,5,FALSE)*(1-AG115/(AG115+VLOOKUP(P115,$D$49:$F$123,3,TRUE))))/2)*游戏时长规划!$C$4,0)</f>
        <v>#REF!</v>
      </c>
      <c r="R115" s="360" t="e">
        <f t="shared" ca="1" si="46"/>
        <v>#REF!</v>
      </c>
      <c r="S115" s="360" t="e">
        <f t="shared" ca="1" si="67"/>
        <v>#REF!</v>
      </c>
      <c r="T115" s="360" t="e">
        <f t="shared" ca="1" si="79"/>
        <v>#REF!</v>
      </c>
      <c r="U115" s="370" t="e">
        <f t="shared" ca="1" si="47"/>
        <v>#REF!</v>
      </c>
      <c r="V115" s="363" t="e">
        <f t="shared" ca="1" si="68"/>
        <v>#REF!</v>
      </c>
      <c r="W115" s="360" t="e">
        <f t="shared" ca="1" si="48"/>
        <v>#REF!</v>
      </c>
      <c r="X115" s="81" t="e">
        <f t="shared" ca="1" si="60"/>
        <v>#REF!</v>
      </c>
      <c r="Y115" s="360" t="str">
        <f t="shared" ca="1" si="49"/>
        <v>NULL</v>
      </c>
      <c r="Z115" s="375" t="e">
        <f t="shared" ca="1" si="61"/>
        <v>#REF!</v>
      </c>
      <c r="AA115" s="360">
        <f ca="1">IFERROR(VLOOKUP(IF(V115="T1低",游戏时长规划!$C$67+Z115,Z115),INDIRECT(V115&amp;"星级"),2,TRUE),0)</f>
        <v>0</v>
      </c>
      <c r="AB115" s="375" t="e">
        <f t="shared" ca="1" si="50"/>
        <v>#REF!</v>
      </c>
      <c r="AC115" s="375">
        <f ca="1">($D$14+$D$17)*$L$4/坦克部件养成!$C$2+AC114-IFERROR(IF(RIGHT(AD114,3)*1&gt;RIGHT(VLOOKUP(AC114,INDIRECT(LEFT(AD113,2)&amp;"部件升阶"),5,TRUE),3)*1,VLOOKUP(AD113,INDIRECT(LEFT(AD113,2)&amp;"部件升阶消耗"),2,FALSE),0),0)</f>
        <v>1325.3333333333328</v>
      </c>
      <c r="AD115" s="360" t="e">
        <f t="shared" ca="1" si="51"/>
        <v>#REF!</v>
      </c>
      <c r="AE115" s="375" t="e">
        <f ca="1">$D$15*$L$4/坦克部件养成!$C$2+AE114-IF(LEFT(AD115,2)&lt;&gt;LEFT(AD114,2),VLOOKUP(AF114,INDIRECT(LEFT(AD114,2)&amp;"部件升级消耗"),5,FALSE),0)</f>
        <v>#REF!</v>
      </c>
      <c r="AF115" s="360" t="e">
        <f ca="1">MIN(VLOOKUP(AE115,INDIRECT(LEFT(AD115,2)&amp;"部件升级"),2,TRUE),VLOOKUP(LEFT(AD115,2),坦克部件养成!#REF!,6,FALSE))</f>
        <v>#REF!</v>
      </c>
      <c r="AG115" s="378" t="e">
        <f ca="1">MAX(BD$4:BD115)</f>
        <v>#REF!</v>
      </c>
      <c r="AH115" s="378" t="str">
        <f t="shared" ca="1" si="52"/>
        <v/>
      </c>
      <c r="AI115" s="378">
        <f ca="1">IF(Y115="NULL",0,MAX(BY$4:BY115))</f>
        <v>0</v>
      </c>
      <c r="AK115" s="364" t="e">
        <f t="shared" ca="1" si="53"/>
        <v>#REF!</v>
      </c>
      <c r="AL115" s="364" t="e">
        <f ca="1">VLOOKUP(AK115,坦克个性化设定!$B$18:$F$48,5,FALSE)</f>
        <v>#REF!</v>
      </c>
      <c r="AM115" s="372" t="e">
        <f t="shared" ca="1" si="54"/>
        <v>#REF!</v>
      </c>
      <c r="AN115" s="372" t="e">
        <f t="shared" ca="1" si="62"/>
        <v>#REF!</v>
      </c>
      <c r="AO115" s="364">
        <f t="shared" ca="1" si="55"/>
        <v>0</v>
      </c>
      <c r="AP115" s="372" t="e">
        <f ca="1">VLOOKUP($AK115&amp;$AO115,所有坦克升星属性,MATCH(AP$3,所有坦克升星属性标头,0),FALSE)+ROUND(AU115/VLOOKUP($AK115,坦克部件!#REF!,4,FALSE)*VLOOKUP($AK115&amp;0,所有坦克升星属性,MATCH(AP$3,所有坦克升星属性标头,0),FALSE),0)</f>
        <v>#REF!</v>
      </c>
      <c r="AQ115" s="372" t="e">
        <f ca="1">VLOOKUP($AK115&amp;$AO115,所有坦克升星属性,MATCH(AQ$3,所有坦克升星属性标头,0),FALSE)+ROUND(AV115/VLOOKUP($AK115,坦克部件!#REF!,4,FALSE)*VLOOKUP($AK115&amp;0,所有坦克升星属性,MATCH(AQ$3,所有坦克升星属性标头,0),FALSE),0)</f>
        <v>#REF!</v>
      </c>
      <c r="AR115" s="372" t="e">
        <f t="shared" ca="1" si="80"/>
        <v>#REF!</v>
      </c>
      <c r="AS115" s="372" t="e">
        <f t="shared" ca="1" si="80"/>
        <v>#REF!</v>
      </c>
      <c r="AT115" s="372" t="e">
        <f ca="1">VLOOKUP($AK115&amp;$AO115,所有坦克升星属性,MATCH(AT$3,所有坦克升星属性标头,0),FALSE)+ROUND(AW115/VLOOKUP($AK115,坦克部件!#REF!,4,FALSE)*VLOOKUP($AK115&amp;0,所有坦克升星属性,MATCH(AT$3,所有坦克升星属性标头,0),FALSE),0)</f>
        <v>#REF!</v>
      </c>
      <c r="AU115" s="372" t="e">
        <f ca="1">(VLOOKUP($AM115,坦克部件!#REF!,MATCH("标准值",坦克部件!#REF!,0),FALSE)+VLOOKUP($AN115,坦克部件!#REF!,MATCH("标准值",坦克部件!#REF!,0),FALSE))*2</f>
        <v>#REF!</v>
      </c>
      <c r="AV115" s="372" t="e">
        <f ca="1">(VLOOKUP($AM115,坦克部件!#REF!,MATCH("标准值",坦克部件!#REF!,0),FALSE)+VLOOKUP($AN115,坦克部件!#REF!,MATCH("标准值",坦克部件!#REF!,0),FALSE))*2</f>
        <v>#REF!</v>
      </c>
      <c r="AW115" s="372" t="e">
        <f ca="1">(VLOOKUP($AM115,坦克部件!#REF!,MATCH("标准值",坦克部件!#REF!,0),FALSE)+VLOOKUP($AN115,坦克部件!#REF!,MATCH("标准值",坦克部件!#REF!,0),FALSE))*2</f>
        <v>#REF!</v>
      </c>
      <c r="AX115" s="372" t="e">
        <f ca="1">VLOOKUP($AK115,坦克属性统计!$B$3:$AY$33,MATCH(AX$3,坦克属性统计!$B$3:$AY$3,0),FALSE)</f>
        <v>#REF!</v>
      </c>
      <c r="AY115" s="372" t="e">
        <f t="shared" ca="1" si="81"/>
        <v>#REF!</v>
      </c>
      <c r="AZ115" s="372" t="e">
        <f t="shared" ca="1" si="81"/>
        <v>#REF!</v>
      </c>
      <c r="BA115" s="372" t="e">
        <f t="shared" ca="1" si="81"/>
        <v>#REF!</v>
      </c>
      <c r="BB115" s="356" t="e">
        <f t="shared" ca="1" si="56"/>
        <v>#REF!</v>
      </c>
      <c r="BC115" s="356" t="e">
        <f ca="1">VLOOKUP(AK115,坦克个性化设定!$B$18:$E$48,4,FALSE)</f>
        <v>#REF!</v>
      </c>
      <c r="BD115" s="357" t="e">
        <f t="shared" ca="1" si="63"/>
        <v>#REF!</v>
      </c>
      <c r="BF115" s="357" t="str">
        <f t="shared" ca="1" si="57"/>
        <v/>
      </c>
      <c r="BG115" s="372" t="str">
        <f ca="1">IFERROR(VLOOKUP(BF115,坦克个性化设定!$B$18:$F$48,5,FALSE),"")</f>
        <v/>
      </c>
      <c r="BH115" s="372" t="e">
        <f t="shared" ca="1" si="64"/>
        <v>#REF!</v>
      </c>
      <c r="BI115" s="372" t="e">
        <f t="shared" ca="1" si="65"/>
        <v>#REF!</v>
      </c>
      <c r="BJ115" s="364" t="str">
        <f t="shared" ca="1" si="58"/>
        <v>NULL</v>
      </c>
      <c r="BK115" s="372" t="e">
        <f ca="1">VLOOKUP($BF115&amp;IF($BJ115="NULL",0,$BJ115),所有坦克升星属性,MATCH(BK$3,所有坦克升星属性标头,0),FALSE)+ROUND(BP115/VLOOKUP($BF115,坦克部件!#REF!,4,FALSE)*VLOOKUP($BF115&amp;0,所有坦克升星属性,MATCH(BK$3,所有坦克升星属性标头,0),FALSE),0)</f>
        <v>#N/A</v>
      </c>
      <c r="BL115" s="372" t="e">
        <f ca="1">VLOOKUP($BF115&amp;IF($BJ115="NULL",0,$BJ115),所有坦克升星属性,MATCH(BL$3,所有坦克升星属性标头,0),FALSE)+ROUND(BQ115/VLOOKUP($BF115,坦克部件!#REF!,4,FALSE)*VLOOKUP($BF115&amp;0,所有坦克升星属性,MATCH(BL$3,所有坦克升星属性标头,0),FALSE),0)</f>
        <v>#N/A</v>
      </c>
      <c r="BM115" s="372" t="e">
        <f t="shared" ca="1" si="82"/>
        <v>#N/A</v>
      </c>
      <c r="BN115" s="372" t="e">
        <f t="shared" ca="1" si="82"/>
        <v>#N/A</v>
      </c>
      <c r="BO115" s="372" t="e">
        <f ca="1">VLOOKUP($BF115&amp;IF($BJ115="NULL",0,$BJ115),所有坦克升星属性,MATCH(BO$3,所有坦克升星属性标头,0),FALSE)+ROUND(BR115/VLOOKUP($BF115,坦克部件!#REF!,4,FALSE)*VLOOKUP($BF115&amp;0,所有坦克升星属性,MATCH(BO$3,所有坦克升星属性标头,0),FALSE),0)</f>
        <v>#N/A</v>
      </c>
      <c r="BP115" s="372" t="e">
        <f ca="1">(VLOOKUP($BH115,坦克部件!#REF!,MATCH("标准值",坦克部件!#REF!,0),FALSE)+VLOOKUP($BI115,坦克部件!#REF!,MATCH("标准值",坦克部件!#REF!,0),FALSE))*2</f>
        <v>#REF!</v>
      </c>
      <c r="BQ115" s="372" t="e">
        <f ca="1">(VLOOKUP($BH115,坦克部件!#REF!,MATCH("标准值",坦克部件!#REF!,0),FALSE)+VLOOKUP($BI115,坦克部件!#REF!,MATCH("标准值",坦克部件!#REF!,0),FALSE))*2</f>
        <v>#REF!</v>
      </c>
      <c r="BR115" s="372" t="e">
        <f ca="1">(VLOOKUP($BH115,坦克部件!#REF!,MATCH("标准值",坦克部件!#REF!,0),FALSE)+VLOOKUP($BI115,坦克部件!#REF!,MATCH("标准值",坦克部件!#REF!,0),FALSE))*2</f>
        <v>#REF!</v>
      </c>
      <c r="BS115" s="372" t="e">
        <f ca="1">VLOOKUP($BF115,坦克属性统计!$B$3:$AY$33,MATCH(BS$3,坦克属性统计!$B$3:$AY$3,0),FALSE)</f>
        <v>#N/A</v>
      </c>
      <c r="BT115" s="372" t="e">
        <f t="shared" ca="1" si="83"/>
        <v>#N/A</v>
      </c>
      <c r="BU115" s="372" t="e">
        <f t="shared" ca="1" si="83"/>
        <v>#N/A</v>
      </c>
      <c r="BV115" s="372" t="e">
        <f t="shared" ca="1" si="83"/>
        <v>#N/A</v>
      </c>
      <c r="BW115" s="356">
        <f t="shared" ca="1" si="59"/>
        <v>0</v>
      </c>
      <c r="BX115" s="356" t="e">
        <f ca="1">VLOOKUP(BF115,坦克个性化设定!$B$18:$E$48,4,FALSE)</f>
        <v>#N/A</v>
      </c>
      <c r="BY115" s="357" t="e">
        <f t="shared" ca="1" si="66"/>
        <v>#N/A</v>
      </c>
    </row>
    <row r="116" spans="2:77" x14ac:dyDescent="0.35">
      <c r="B116" s="392">
        <v>67</v>
      </c>
      <c r="C116" s="392">
        <f>游戏时长规划!C178</f>
        <v>10</v>
      </c>
      <c r="D116" s="392">
        <f>游戏时长规划!D178</f>
        <v>1660</v>
      </c>
      <c r="E116" s="392">
        <f>游戏时长规划!E178</f>
        <v>12</v>
      </c>
      <c r="F116" s="392">
        <f>游戏时长规划!F178</f>
        <v>24550</v>
      </c>
      <c r="O116" s="365">
        <v>113</v>
      </c>
      <c r="P116" s="360" t="e">
        <f t="shared" ca="1" si="78"/>
        <v>#REF!</v>
      </c>
      <c r="Q116" s="360" t="e">
        <f ca="1">ROUND(MIN((BD116-VLOOKUP(R116,$B$22:$F$46,2,FALSE))/(VLOOKUP(R116,$B$22:$F$46,3,FALSE)-VLOOKUP(R116,$B$22:$F$46,2,FALSE)),1)*((VLOOKUP(R116,$B$22:$F$46,4,FALSE)*(AG116/(AG116+VLOOKUP(P116,$D$49:$F$123,3,TRUE)))+VLOOKUP(R116,$B$22:$F$46,5,FALSE)*(1-AG116/(AG116+VLOOKUP(P116,$D$49:$F$123,3,TRUE))))/2)*游戏时长规划!$C$4,0)</f>
        <v>#REF!</v>
      </c>
      <c r="R116" s="360" t="e">
        <f t="shared" ca="1" si="46"/>
        <v>#REF!</v>
      </c>
      <c r="S116" s="360" t="e">
        <f t="shared" ca="1" si="67"/>
        <v>#REF!</v>
      </c>
      <c r="T116" s="360" t="e">
        <f t="shared" ca="1" si="79"/>
        <v>#REF!</v>
      </c>
      <c r="U116" s="370" t="e">
        <f t="shared" ca="1" si="47"/>
        <v>#REF!</v>
      </c>
      <c r="V116" s="363" t="e">
        <f t="shared" ca="1" si="68"/>
        <v>#REF!</v>
      </c>
      <c r="W116" s="360" t="e">
        <f t="shared" ca="1" si="48"/>
        <v>#REF!</v>
      </c>
      <c r="X116" s="81" t="e">
        <f t="shared" ca="1" si="60"/>
        <v>#REF!</v>
      </c>
      <c r="Y116" s="360" t="str">
        <f t="shared" ca="1" si="49"/>
        <v>NULL</v>
      </c>
      <c r="Z116" s="375" t="e">
        <f t="shared" ca="1" si="61"/>
        <v>#REF!</v>
      </c>
      <c r="AA116" s="360">
        <f ca="1">IFERROR(VLOOKUP(IF(V116="T1低",游戏时长规划!$C$67+Z116,Z116),INDIRECT(V116&amp;"星级"),2,TRUE),0)</f>
        <v>0</v>
      </c>
      <c r="AB116" s="375" t="e">
        <f t="shared" ca="1" si="50"/>
        <v>#REF!</v>
      </c>
      <c r="AC116" s="375">
        <f ca="1">($D$14+$D$17)*$L$4/坦克部件养成!$C$2+AC115-IFERROR(IF(RIGHT(AD115,3)*1&gt;RIGHT(VLOOKUP(AC115,INDIRECT(LEFT(AD114,2)&amp;"部件升阶"),5,TRUE),3)*1,VLOOKUP(AD114,INDIRECT(LEFT(AD114,2)&amp;"部件升阶消耗"),2,FALSE),0),0)</f>
        <v>1337.1666666666661</v>
      </c>
      <c r="AD116" s="360" t="e">
        <f t="shared" ca="1" si="51"/>
        <v>#REF!</v>
      </c>
      <c r="AE116" s="375" t="e">
        <f ca="1">$D$15*$L$4/坦克部件养成!$C$2+AE115-IF(LEFT(AD116,2)&lt;&gt;LEFT(AD115,2),VLOOKUP(AF115,INDIRECT(LEFT(AD115,2)&amp;"部件升级消耗"),5,FALSE),0)</f>
        <v>#REF!</v>
      </c>
      <c r="AF116" s="360" t="e">
        <f ca="1">MIN(VLOOKUP(AE116,INDIRECT(LEFT(AD116,2)&amp;"部件升级"),2,TRUE),VLOOKUP(LEFT(AD116,2),坦克部件养成!#REF!,6,FALSE))</f>
        <v>#REF!</v>
      </c>
      <c r="AG116" s="378" t="e">
        <f ca="1">MAX(BD$4:BD116)</f>
        <v>#REF!</v>
      </c>
      <c r="AH116" s="378" t="str">
        <f t="shared" ca="1" si="52"/>
        <v/>
      </c>
      <c r="AI116" s="378">
        <f ca="1">IF(Y116="NULL",0,MAX(BY$4:BY116))</f>
        <v>0</v>
      </c>
      <c r="AK116" s="364" t="e">
        <f t="shared" ca="1" si="53"/>
        <v>#REF!</v>
      </c>
      <c r="AL116" s="364" t="e">
        <f ca="1">VLOOKUP(AK116,坦克个性化设定!$B$18:$F$48,5,FALSE)</f>
        <v>#REF!</v>
      </c>
      <c r="AM116" s="372" t="e">
        <f t="shared" ca="1" si="54"/>
        <v>#REF!</v>
      </c>
      <c r="AN116" s="372" t="e">
        <f t="shared" ca="1" si="62"/>
        <v>#REF!</v>
      </c>
      <c r="AO116" s="364">
        <f t="shared" ca="1" si="55"/>
        <v>0</v>
      </c>
      <c r="AP116" s="372" t="e">
        <f ca="1">VLOOKUP($AK116&amp;$AO116,所有坦克升星属性,MATCH(AP$3,所有坦克升星属性标头,0),FALSE)+ROUND(AU116/VLOOKUP($AK116,坦克部件!#REF!,4,FALSE)*VLOOKUP($AK116&amp;0,所有坦克升星属性,MATCH(AP$3,所有坦克升星属性标头,0),FALSE),0)</f>
        <v>#REF!</v>
      </c>
      <c r="AQ116" s="372" t="e">
        <f ca="1">VLOOKUP($AK116&amp;$AO116,所有坦克升星属性,MATCH(AQ$3,所有坦克升星属性标头,0),FALSE)+ROUND(AV116/VLOOKUP($AK116,坦克部件!#REF!,4,FALSE)*VLOOKUP($AK116&amp;0,所有坦克升星属性,MATCH(AQ$3,所有坦克升星属性标头,0),FALSE),0)</f>
        <v>#REF!</v>
      </c>
      <c r="AR116" s="372" t="e">
        <f t="shared" ca="1" si="80"/>
        <v>#REF!</v>
      </c>
      <c r="AS116" s="372" t="e">
        <f t="shared" ca="1" si="80"/>
        <v>#REF!</v>
      </c>
      <c r="AT116" s="372" t="e">
        <f ca="1">VLOOKUP($AK116&amp;$AO116,所有坦克升星属性,MATCH(AT$3,所有坦克升星属性标头,0),FALSE)+ROUND(AW116/VLOOKUP($AK116,坦克部件!#REF!,4,FALSE)*VLOOKUP($AK116&amp;0,所有坦克升星属性,MATCH(AT$3,所有坦克升星属性标头,0),FALSE),0)</f>
        <v>#REF!</v>
      </c>
      <c r="AU116" s="372" t="e">
        <f ca="1">(VLOOKUP($AM116,坦克部件!#REF!,MATCH("标准值",坦克部件!#REF!,0),FALSE)+VLOOKUP($AN116,坦克部件!#REF!,MATCH("标准值",坦克部件!#REF!,0),FALSE))*2</f>
        <v>#REF!</v>
      </c>
      <c r="AV116" s="372" t="e">
        <f ca="1">(VLOOKUP($AM116,坦克部件!#REF!,MATCH("标准值",坦克部件!#REF!,0),FALSE)+VLOOKUP($AN116,坦克部件!#REF!,MATCH("标准值",坦克部件!#REF!,0),FALSE))*2</f>
        <v>#REF!</v>
      </c>
      <c r="AW116" s="372" t="e">
        <f ca="1">(VLOOKUP($AM116,坦克部件!#REF!,MATCH("标准值",坦克部件!#REF!,0),FALSE)+VLOOKUP($AN116,坦克部件!#REF!,MATCH("标准值",坦克部件!#REF!,0),FALSE))*2</f>
        <v>#REF!</v>
      </c>
      <c r="AX116" s="372" t="e">
        <f ca="1">VLOOKUP($AK116,坦克属性统计!$B$3:$AY$33,MATCH(AX$3,坦克属性统计!$B$3:$AY$3,0),FALSE)</f>
        <v>#REF!</v>
      </c>
      <c r="AY116" s="372" t="e">
        <f t="shared" ca="1" si="81"/>
        <v>#REF!</v>
      </c>
      <c r="AZ116" s="372" t="e">
        <f t="shared" ca="1" si="81"/>
        <v>#REF!</v>
      </c>
      <c r="BA116" s="372" t="e">
        <f t="shared" ca="1" si="81"/>
        <v>#REF!</v>
      </c>
      <c r="BB116" s="356" t="e">
        <f t="shared" ca="1" si="56"/>
        <v>#REF!</v>
      </c>
      <c r="BC116" s="356" t="e">
        <f ca="1">VLOOKUP(AK116,坦克个性化设定!$B$18:$E$48,4,FALSE)</f>
        <v>#REF!</v>
      </c>
      <c r="BD116" s="357" t="e">
        <f t="shared" ca="1" si="63"/>
        <v>#REF!</v>
      </c>
      <c r="BF116" s="357" t="str">
        <f t="shared" ca="1" si="57"/>
        <v/>
      </c>
      <c r="BG116" s="372" t="str">
        <f ca="1">IFERROR(VLOOKUP(BF116,坦克个性化设定!$B$18:$F$48,5,FALSE),"")</f>
        <v/>
      </c>
      <c r="BH116" s="372" t="e">
        <f t="shared" ca="1" si="64"/>
        <v>#REF!</v>
      </c>
      <c r="BI116" s="372" t="e">
        <f t="shared" ca="1" si="65"/>
        <v>#REF!</v>
      </c>
      <c r="BJ116" s="364" t="str">
        <f t="shared" ca="1" si="58"/>
        <v>NULL</v>
      </c>
      <c r="BK116" s="372" t="e">
        <f ca="1">VLOOKUP($BF116&amp;IF($BJ116="NULL",0,$BJ116),所有坦克升星属性,MATCH(BK$3,所有坦克升星属性标头,0),FALSE)+ROUND(BP116/VLOOKUP($BF116,坦克部件!#REF!,4,FALSE)*VLOOKUP($BF116&amp;0,所有坦克升星属性,MATCH(BK$3,所有坦克升星属性标头,0),FALSE),0)</f>
        <v>#N/A</v>
      </c>
      <c r="BL116" s="372" t="e">
        <f ca="1">VLOOKUP($BF116&amp;IF($BJ116="NULL",0,$BJ116),所有坦克升星属性,MATCH(BL$3,所有坦克升星属性标头,0),FALSE)+ROUND(BQ116/VLOOKUP($BF116,坦克部件!#REF!,4,FALSE)*VLOOKUP($BF116&amp;0,所有坦克升星属性,MATCH(BL$3,所有坦克升星属性标头,0),FALSE),0)</f>
        <v>#N/A</v>
      </c>
      <c r="BM116" s="372" t="e">
        <f t="shared" ca="1" si="82"/>
        <v>#N/A</v>
      </c>
      <c r="BN116" s="372" t="e">
        <f t="shared" ca="1" si="82"/>
        <v>#N/A</v>
      </c>
      <c r="BO116" s="372" t="e">
        <f ca="1">VLOOKUP($BF116&amp;IF($BJ116="NULL",0,$BJ116),所有坦克升星属性,MATCH(BO$3,所有坦克升星属性标头,0),FALSE)+ROUND(BR116/VLOOKUP($BF116,坦克部件!#REF!,4,FALSE)*VLOOKUP($BF116&amp;0,所有坦克升星属性,MATCH(BO$3,所有坦克升星属性标头,0),FALSE),0)</f>
        <v>#N/A</v>
      </c>
      <c r="BP116" s="372" t="e">
        <f ca="1">(VLOOKUP($BH116,坦克部件!#REF!,MATCH("标准值",坦克部件!#REF!,0),FALSE)+VLOOKUP($BI116,坦克部件!#REF!,MATCH("标准值",坦克部件!#REF!,0),FALSE))*2</f>
        <v>#REF!</v>
      </c>
      <c r="BQ116" s="372" t="e">
        <f ca="1">(VLOOKUP($BH116,坦克部件!#REF!,MATCH("标准值",坦克部件!#REF!,0),FALSE)+VLOOKUP($BI116,坦克部件!#REF!,MATCH("标准值",坦克部件!#REF!,0),FALSE))*2</f>
        <v>#REF!</v>
      </c>
      <c r="BR116" s="372" t="e">
        <f ca="1">(VLOOKUP($BH116,坦克部件!#REF!,MATCH("标准值",坦克部件!#REF!,0),FALSE)+VLOOKUP($BI116,坦克部件!#REF!,MATCH("标准值",坦克部件!#REF!,0),FALSE))*2</f>
        <v>#REF!</v>
      </c>
      <c r="BS116" s="372" t="e">
        <f ca="1">VLOOKUP($BF116,坦克属性统计!$B$3:$AY$33,MATCH(BS$3,坦克属性统计!$B$3:$AY$3,0),FALSE)</f>
        <v>#N/A</v>
      </c>
      <c r="BT116" s="372" t="e">
        <f t="shared" ca="1" si="83"/>
        <v>#N/A</v>
      </c>
      <c r="BU116" s="372" t="e">
        <f t="shared" ca="1" si="83"/>
        <v>#N/A</v>
      </c>
      <c r="BV116" s="372" t="e">
        <f t="shared" ca="1" si="83"/>
        <v>#N/A</v>
      </c>
      <c r="BW116" s="356">
        <f t="shared" ca="1" si="59"/>
        <v>0</v>
      </c>
      <c r="BX116" s="356" t="e">
        <f ca="1">VLOOKUP(BF116,坦克个性化设定!$B$18:$E$48,4,FALSE)</f>
        <v>#N/A</v>
      </c>
      <c r="BY116" s="357" t="e">
        <f t="shared" ca="1" si="66"/>
        <v>#N/A</v>
      </c>
    </row>
    <row r="117" spans="2:77" x14ac:dyDescent="0.35">
      <c r="B117" s="392">
        <v>68</v>
      </c>
      <c r="C117" s="392">
        <f>游戏时长规划!C179</f>
        <v>10</v>
      </c>
      <c r="D117" s="392">
        <f>游戏时长规划!D179</f>
        <v>1670</v>
      </c>
      <c r="E117" s="392">
        <f>游戏时长规划!E179</f>
        <v>12</v>
      </c>
      <c r="F117" s="392">
        <f>游戏时长规划!F179</f>
        <v>25150</v>
      </c>
      <c r="O117" s="365">
        <v>114</v>
      </c>
      <c r="P117" s="360" t="e">
        <f t="shared" ca="1" si="78"/>
        <v>#REF!</v>
      </c>
      <c r="Q117" s="360" t="e">
        <f ca="1">ROUND(MIN((BD117-VLOOKUP(R117,$B$22:$F$46,2,FALSE))/(VLOOKUP(R117,$B$22:$F$46,3,FALSE)-VLOOKUP(R117,$B$22:$F$46,2,FALSE)),1)*((VLOOKUP(R117,$B$22:$F$46,4,FALSE)*(AG117/(AG117+VLOOKUP(P117,$D$49:$F$123,3,TRUE)))+VLOOKUP(R117,$B$22:$F$46,5,FALSE)*(1-AG117/(AG117+VLOOKUP(P117,$D$49:$F$123,3,TRUE))))/2)*游戏时长规划!$C$4,0)</f>
        <v>#REF!</v>
      </c>
      <c r="R117" s="360" t="e">
        <f t="shared" ca="1" si="46"/>
        <v>#REF!</v>
      </c>
      <c r="S117" s="360" t="e">
        <f t="shared" ca="1" si="67"/>
        <v>#REF!</v>
      </c>
      <c r="T117" s="360" t="e">
        <f t="shared" ca="1" si="79"/>
        <v>#REF!</v>
      </c>
      <c r="U117" s="370" t="e">
        <f t="shared" ca="1" si="47"/>
        <v>#REF!</v>
      </c>
      <c r="V117" s="363" t="e">
        <f t="shared" ca="1" si="68"/>
        <v>#REF!</v>
      </c>
      <c r="W117" s="360" t="e">
        <f t="shared" ca="1" si="48"/>
        <v>#REF!</v>
      </c>
      <c r="X117" s="81" t="e">
        <f t="shared" ca="1" si="60"/>
        <v>#REF!</v>
      </c>
      <c r="Y117" s="360" t="str">
        <f t="shared" ca="1" si="49"/>
        <v>NULL</v>
      </c>
      <c r="Z117" s="375" t="e">
        <f t="shared" ca="1" si="61"/>
        <v>#REF!</v>
      </c>
      <c r="AA117" s="360">
        <f ca="1">IFERROR(VLOOKUP(IF(V117="T1低",游戏时长规划!$C$67+Z117,Z117),INDIRECT(V117&amp;"星级"),2,TRUE),0)</f>
        <v>0</v>
      </c>
      <c r="AB117" s="375" t="e">
        <f t="shared" ca="1" si="50"/>
        <v>#REF!</v>
      </c>
      <c r="AC117" s="375">
        <f ca="1">($D$14+$D$17)*$L$4/坦克部件养成!$C$2+AC116-IFERROR(IF(RIGHT(AD116,3)*1&gt;RIGHT(VLOOKUP(AC116,INDIRECT(LEFT(AD115,2)&amp;"部件升阶"),5,TRUE),3)*1,VLOOKUP(AD115,INDIRECT(LEFT(AD115,2)&amp;"部件升阶消耗"),2,FALSE),0),0)</f>
        <v>1348.9999999999993</v>
      </c>
      <c r="AD117" s="360" t="e">
        <f t="shared" ca="1" si="51"/>
        <v>#REF!</v>
      </c>
      <c r="AE117" s="375" t="e">
        <f ca="1">$D$15*$L$4/坦克部件养成!$C$2+AE116-IF(LEFT(AD117,2)&lt;&gt;LEFT(AD116,2),VLOOKUP(AF116,INDIRECT(LEFT(AD116,2)&amp;"部件升级消耗"),5,FALSE),0)</f>
        <v>#REF!</v>
      </c>
      <c r="AF117" s="360" t="e">
        <f ca="1">MIN(VLOOKUP(AE117,INDIRECT(LEFT(AD117,2)&amp;"部件升级"),2,TRUE),VLOOKUP(LEFT(AD117,2),坦克部件养成!#REF!,6,FALSE))</f>
        <v>#REF!</v>
      </c>
      <c r="AG117" s="378" t="e">
        <f ca="1">MAX(BD$4:BD117)</f>
        <v>#REF!</v>
      </c>
      <c r="AH117" s="378" t="str">
        <f t="shared" ca="1" si="52"/>
        <v/>
      </c>
      <c r="AI117" s="378">
        <f ca="1">IF(Y117="NULL",0,MAX(BY$4:BY117))</f>
        <v>0</v>
      </c>
      <c r="AK117" s="364" t="e">
        <f t="shared" ca="1" si="53"/>
        <v>#REF!</v>
      </c>
      <c r="AL117" s="364" t="e">
        <f ca="1">VLOOKUP(AK117,坦克个性化设定!$B$18:$F$48,5,FALSE)</f>
        <v>#REF!</v>
      </c>
      <c r="AM117" s="372" t="e">
        <f t="shared" ca="1" si="54"/>
        <v>#REF!</v>
      </c>
      <c r="AN117" s="372" t="e">
        <f t="shared" ca="1" si="62"/>
        <v>#REF!</v>
      </c>
      <c r="AO117" s="364">
        <f t="shared" ca="1" si="55"/>
        <v>0</v>
      </c>
      <c r="AP117" s="372" t="e">
        <f ca="1">VLOOKUP($AK117&amp;$AO117,所有坦克升星属性,MATCH(AP$3,所有坦克升星属性标头,0),FALSE)+ROUND(AU117/VLOOKUP($AK117,坦克部件!#REF!,4,FALSE)*VLOOKUP($AK117&amp;0,所有坦克升星属性,MATCH(AP$3,所有坦克升星属性标头,0),FALSE),0)</f>
        <v>#REF!</v>
      </c>
      <c r="AQ117" s="372" t="e">
        <f ca="1">VLOOKUP($AK117&amp;$AO117,所有坦克升星属性,MATCH(AQ$3,所有坦克升星属性标头,0),FALSE)+ROUND(AV117/VLOOKUP($AK117,坦克部件!#REF!,4,FALSE)*VLOOKUP($AK117&amp;0,所有坦克升星属性,MATCH(AQ$3,所有坦克升星属性标头,0),FALSE),0)</f>
        <v>#REF!</v>
      </c>
      <c r="AR117" s="372" t="e">
        <f t="shared" ca="1" si="80"/>
        <v>#REF!</v>
      </c>
      <c r="AS117" s="372" t="e">
        <f t="shared" ca="1" si="80"/>
        <v>#REF!</v>
      </c>
      <c r="AT117" s="372" t="e">
        <f ca="1">VLOOKUP($AK117&amp;$AO117,所有坦克升星属性,MATCH(AT$3,所有坦克升星属性标头,0),FALSE)+ROUND(AW117/VLOOKUP($AK117,坦克部件!#REF!,4,FALSE)*VLOOKUP($AK117&amp;0,所有坦克升星属性,MATCH(AT$3,所有坦克升星属性标头,0),FALSE),0)</f>
        <v>#REF!</v>
      </c>
      <c r="AU117" s="372" t="e">
        <f ca="1">(VLOOKUP($AM117,坦克部件!#REF!,MATCH("标准值",坦克部件!#REF!,0),FALSE)+VLOOKUP($AN117,坦克部件!#REF!,MATCH("标准值",坦克部件!#REF!,0),FALSE))*2</f>
        <v>#REF!</v>
      </c>
      <c r="AV117" s="372" t="e">
        <f ca="1">(VLOOKUP($AM117,坦克部件!#REF!,MATCH("标准值",坦克部件!#REF!,0),FALSE)+VLOOKUP($AN117,坦克部件!#REF!,MATCH("标准值",坦克部件!#REF!,0),FALSE))*2</f>
        <v>#REF!</v>
      </c>
      <c r="AW117" s="372" t="e">
        <f ca="1">(VLOOKUP($AM117,坦克部件!#REF!,MATCH("标准值",坦克部件!#REF!,0),FALSE)+VLOOKUP($AN117,坦克部件!#REF!,MATCH("标准值",坦克部件!#REF!,0),FALSE))*2</f>
        <v>#REF!</v>
      </c>
      <c r="AX117" s="372" t="e">
        <f ca="1">VLOOKUP($AK117,坦克属性统计!$B$3:$AY$33,MATCH(AX$3,坦克属性统计!$B$3:$AY$3,0),FALSE)</f>
        <v>#REF!</v>
      </c>
      <c r="AY117" s="372" t="e">
        <f t="shared" ca="1" si="81"/>
        <v>#REF!</v>
      </c>
      <c r="AZ117" s="372" t="e">
        <f t="shared" ca="1" si="81"/>
        <v>#REF!</v>
      </c>
      <c r="BA117" s="372" t="e">
        <f t="shared" ca="1" si="81"/>
        <v>#REF!</v>
      </c>
      <c r="BB117" s="356" t="e">
        <f t="shared" ca="1" si="56"/>
        <v>#REF!</v>
      </c>
      <c r="BC117" s="356" t="e">
        <f ca="1">VLOOKUP(AK117,坦克个性化设定!$B$18:$E$48,4,FALSE)</f>
        <v>#REF!</v>
      </c>
      <c r="BD117" s="357" t="e">
        <f t="shared" ca="1" si="63"/>
        <v>#REF!</v>
      </c>
      <c r="BF117" s="357" t="str">
        <f t="shared" ca="1" si="57"/>
        <v/>
      </c>
      <c r="BG117" s="372" t="str">
        <f ca="1">IFERROR(VLOOKUP(BF117,坦克个性化设定!$B$18:$F$48,5,FALSE),"")</f>
        <v/>
      </c>
      <c r="BH117" s="372" t="e">
        <f t="shared" ca="1" si="64"/>
        <v>#REF!</v>
      </c>
      <c r="BI117" s="372" t="e">
        <f t="shared" ca="1" si="65"/>
        <v>#REF!</v>
      </c>
      <c r="BJ117" s="364" t="str">
        <f t="shared" ca="1" si="58"/>
        <v>NULL</v>
      </c>
      <c r="BK117" s="372" t="e">
        <f ca="1">VLOOKUP($BF117&amp;IF($BJ117="NULL",0,$BJ117),所有坦克升星属性,MATCH(BK$3,所有坦克升星属性标头,0),FALSE)+ROUND(BP117/VLOOKUP($BF117,坦克部件!#REF!,4,FALSE)*VLOOKUP($BF117&amp;0,所有坦克升星属性,MATCH(BK$3,所有坦克升星属性标头,0),FALSE),0)</f>
        <v>#N/A</v>
      </c>
      <c r="BL117" s="372" t="e">
        <f ca="1">VLOOKUP($BF117&amp;IF($BJ117="NULL",0,$BJ117),所有坦克升星属性,MATCH(BL$3,所有坦克升星属性标头,0),FALSE)+ROUND(BQ117/VLOOKUP($BF117,坦克部件!#REF!,4,FALSE)*VLOOKUP($BF117&amp;0,所有坦克升星属性,MATCH(BL$3,所有坦克升星属性标头,0),FALSE),0)</f>
        <v>#N/A</v>
      </c>
      <c r="BM117" s="372" t="e">
        <f t="shared" ca="1" si="82"/>
        <v>#N/A</v>
      </c>
      <c r="BN117" s="372" t="e">
        <f t="shared" ca="1" si="82"/>
        <v>#N/A</v>
      </c>
      <c r="BO117" s="372" t="e">
        <f ca="1">VLOOKUP($BF117&amp;IF($BJ117="NULL",0,$BJ117),所有坦克升星属性,MATCH(BO$3,所有坦克升星属性标头,0),FALSE)+ROUND(BR117/VLOOKUP($BF117,坦克部件!#REF!,4,FALSE)*VLOOKUP($BF117&amp;0,所有坦克升星属性,MATCH(BO$3,所有坦克升星属性标头,0),FALSE),0)</f>
        <v>#N/A</v>
      </c>
      <c r="BP117" s="372" t="e">
        <f ca="1">(VLOOKUP($BH117,坦克部件!#REF!,MATCH("标准值",坦克部件!#REF!,0),FALSE)+VLOOKUP($BI117,坦克部件!#REF!,MATCH("标准值",坦克部件!#REF!,0),FALSE))*2</f>
        <v>#REF!</v>
      </c>
      <c r="BQ117" s="372" t="e">
        <f ca="1">(VLOOKUP($BH117,坦克部件!#REF!,MATCH("标准值",坦克部件!#REF!,0),FALSE)+VLOOKUP($BI117,坦克部件!#REF!,MATCH("标准值",坦克部件!#REF!,0),FALSE))*2</f>
        <v>#REF!</v>
      </c>
      <c r="BR117" s="372" t="e">
        <f ca="1">(VLOOKUP($BH117,坦克部件!#REF!,MATCH("标准值",坦克部件!#REF!,0),FALSE)+VLOOKUP($BI117,坦克部件!#REF!,MATCH("标准值",坦克部件!#REF!,0),FALSE))*2</f>
        <v>#REF!</v>
      </c>
      <c r="BS117" s="372" t="e">
        <f ca="1">VLOOKUP($BF117,坦克属性统计!$B$3:$AY$33,MATCH(BS$3,坦克属性统计!$B$3:$AY$3,0),FALSE)</f>
        <v>#N/A</v>
      </c>
      <c r="BT117" s="372" t="e">
        <f t="shared" ca="1" si="83"/>
        <v>#N/A</v>
      </c>
      <c r="BU117" s="372" t="e">
        <f t="shared" ca="1" si="83"/>
        <v>#N/A</v>
      </c>
      <c r="BV117" s="372" t="e">
        <f t="shared" ca="1" si="83"/>
        <v>#N/A</v>
      </c>
      <c r="BW117" s="356">
        <f t="shared" ca="1" si="59"/>
        <v>0</v>
      </c>
      <c r="BX117" s="356" t="e">
        <f ca="1">VLOOKUP(BF117,坦克个性化设定!$B$18:$E$48,4,FALSE)</f>
        <v>#N/A</v>
      </c>
      <c r="BY117" s="357" t="e">
        <f t="shared" ca="1" si="66"/>
        <v>#N/A</v>
      </c>
    </row>
    <row r="118" spans="2:77" x14ac:dyDescent="0.35">
      <c r="B118" s="392">
        <v>69</v>
      </c>
      <c r="C118" s="392">
        <f>游戏时长规划!C180</f>
        <v>10</v>
      </c>
      <c r="D118" s="392">
        <f>游戏时长规划!D180</f>
        <v>1680</v>
      </c>
      <c r="E118" s="392">
        <f>游戏时长规划!E180</f>
        <v>12</v>
      </c>
      <c r="F118" s="392">
        <f>游戏时长规划!F180</f>
        <v>25800</v>
      </c>
      <c r="O118" s="365">
        <v>115</v>
      </c>
      <c r="P118" s="360" t="e">
        <f t="shared" ca="1" si="78"/>
        <v>#REF!</v>
      </c>
      <c r="Q118" s="360" t="e">
        <f ca="1">ROUND(MIN((BD118-VLOOKUP(R118,$B$22:$F$46,2,FALSE))/(VLOOKUP(R118,$B$22:$F$46,3,FALSE)-VLOOKUP(R118,$B$22:$F$46,2,FALSE)),1)*((VLOOKUP(R118,$B$22:$F$46,4,FALSE)*(AG118/(AG118+VLOOKUP(P118,$D$49:$F$123,3,TRUE)))+VLOOKUP(R118,$B$22:$F$46,5,FALSE)*(1-AG118/(AG118+VLOOKUP(P118,$D$49:$F$123,3,TRUE))))/2)*游戏时长规划!$C$4,0)</f>
        <v>#REF!</v>
      </c>
      <c r="R118" s="360" t="e">
        <f t="shared" ca="1" si="46"/>
        <v>#REF!</v>
      </c>
      <c r="S118" s="360" t="e">
        <f t="shared" ca="1" si="67"/>
        <v>#REF!</v>
      </c>
      <c r="T118" s="360" t="e">
        <f t="shared" ca="1" si="79"/>
        <v>#REF!</v>
      </c>
      <c r="U118" s="370" t="e">
        <f t="shared" ca="1" si="47"/>
        <v>#REF!</v>
      </c>
      <c r="V118" s="363" t="e">
        <f t="shared" ca="1" si="68"/>
        <v>#REF!</v>
      </c>
      <c r="W118" s="360" t="e">
        <f t="shared" ca="1" si="48"/>
        <v>#REF!</v>
      </c>
      <c r="X118" s="81" t="e">
        <f t="shared" ca="1" si="60"/>
        <v>#REF!</v>
      </c>
      <c r="Y118" s="360" t="str">
        <f t="shared" ca="1" si="49"/>
        <v>NULL</v>
      </c>
      <c r="Z118" s="375" t="e">
        <f t="shared" ca="1" si="61"/>
        <v>#REF!</v>
      </c>
      <c r="AA118" s="360">
        <f ca="1">IFERROR(VLOOKUP(IF(V118="T1低",游戏时长规划!$C$67+Z118,Z118),INDIRECT(V118&amp;"星级"),2,TRUE),0)</f>
        <v>0</v>
      </c>
      <c r="AB118" s="375" t="e">
        <f t="shared" ca="1" si="50"/>
        <v>#REF!</v>
      </c>
      <c r="AC118" s="375">
        <f ca="1">($D$14+$D$17)*$L$4/坦克部件养成!$C$2+AC117-IFERROR(IF(RIGHT(AD117,3)*1&gt;RIGHT(VLOOKUP(AC117,INDIRECT(LEFT(AD116,2)&amp;"部件升阶"),5,TRUE),3)*1,VLOOKUP(AD116,INDIRECT(LEFT(AD116,2)&amp;"部件升阶消耗"),2,FALSE),0),0)</f>
        <v>1360.8333333333326</v>
      </c>
      <c r="AD118" s="360" t="e">
        <f t="shared" ca="1" si="51"/>
        <v>#REF!</v>
      </c>
      <c r="AE118" s="375" t="e">
        <f ca="1">$D$15*$L$4/坦克部件养成!$C$2+AE117-IF(LEFT(AD118,2)&lt;&gt;LEFT(AD117,2),VLOOKUP(AF117,INDIRECT(LEFT(AD117,2)&amp;"部件升级消耗"),5,FALSE),0)</f>
        <v>#REF!</v>
      </c>
      <c r="AF118" s="360" t="e">
        <f ca="1">MIN(VLOOKUP(AE118,INDIRECT(LEFT(AD118,2)&amp;"部件升级"),2,TRUE),VLOOKUP(LEFT(AD118,2),坦克部件养成!#REF!,6,FALSE))</f>
        <v>#REF!</v>
      </c>
      <c r="AG118" s="378" t="e">
        <f ca="1">MAX(BD$4:BD118)</f>
        <v>#REF!</v>
      </c>
      <c r="AH118" s="378" t="str">
        <f t="shared" ca="1" si="52"/>
        <v/>
      </c>
      <c r="AI118" s="378">
        <f ca="1">IF(Y118="NULL",0,MAX(BY$4:BY118))</f>
        <v>0</v>
      </c>
      <c r="AK118" s="364" t="e">
        <f t="shared" ca="1" si="53"/>
        <v>#REF!</v>
      </c>
      <c r="AL118" s="364" t="e">
        <f ca="1">VLOOKUP(AK118,坦克个性化设定!$B$18:$F$48,5,FALSE)</f>
        <v>#REF!</v>
      </c>
      <c r="AM118" s="372" t="e">
        <f t="shared" ca="1" si="54"/>
        <v>#REF!</v>
      </c>
      <c r="AN118" s="372" t="e">
        <f t="shared" ca="1" si="62"/>
        <v>#REF!</v>
      </c>
      <c r="AO118" s="364">
        <f t="shared" ca="1" si="55"/>
        <v>0</v>
      </c>
      <c r="AP118" s="372" t="e">
        <f ca="1">VLOOKUP($AK118&amp;$AO118,所有坦克升星属性,MATCH(AP$3,所有坦克升星属性标头,0),FALSE)+ROUND(AU118/VLOOKUP($AK118,坦克部件!#REF!,4,FALSE)*VLOOKUP($AK118&amp;0,所有坦克升星属性,MATCH(AP$3,所有坦克升星属性标头,0),FALSE),0)</f>
        <v>#REF!</v>
      </c>
      <c r="AQ118" s="372" t="e">
        <f ca="1">VLOOKUP($AK118&amp;$AO118,所有坦克升星属性,MATCH(AQ$3,所有坦克升星属性标头,0),FALSE)+ROUND(AV118/VLOOKUP($AK118,坦克部件!#REF!,4,FALSE)*VLOOKUP($AK118&amp;0,所有坦克升星属性,MATCH(AQ$3,所有坦克升星属性标头,0),FALSE),0)</f>
        <v>#REF!</v>
      </c>
      <c r="AR118" s="372" t="e">
        <f t="shared" ca="1" si="80"/>
        <v>#REF!</v>
      </c>
      <c r="AS118" s="372" t="e">
        <f t="shared" ca="1" si="80"/>
        <v>#REF!</v>
      </c>
      <c r="AT118" s="372" t="e">
        <f ca="1">VLOOKUP($AK118&amp;$AO118,所有坦克升星属性,MATCH(AT$3,所有坦克升星属性标头,0),FALSE)+ROUND(AW118/VLOOKUP($AK118,坦克部件!#REF!,4,FALSE)*VLOOKUP($AK118&amp;0,所有坦克升星属性,MATCH(AT$3,所有坦克升星属性标头,0),FALSE),0)</f>
        <v>#REF!</v>
      </c>
      <c r="AU118" s="372" t="e">
        <f ca="1">(VLOOKUP($AM118,坦克部件!#REF!,MATCH("标准值",坦克部件!#REF!,0),FALSE)+VLOOKUP($AN118,坦克部件!#REF!,MATCH("标准值",坦克部件!#REF!,0),FALSE))*2</f>
        <v>#REF!</v>
      </c>
      <c r="AV118" s="372" t="e">
        <f ca="1">(VLOOKUP($AM118,坦克部件!#REF!,MATCH("标准值",坦克部件!#REF!,0),FALSE)+VLOOKUP($AN118,坦克部件!#REF!,MATCH("标准值",坦克部件!#REF!,0),FALSE))*2</f>
        <v>#REF!</v>
      </c>
      <c r="AW118" s="372" t="e">
        <f ca="1">(VLOOKUP($AM118,坦克部件!#REF!,MATCH("标准值",坦克部件!#REF!,0),FALSE)+VLOOKUP($AN118,坦克部件!#REF!,MATCH("标准值",坦克部件!#REF!,0),FALSE))*2</f>
        <v>#REF!</v>
      </c>
      <c r="AX118" s="372" t="e">
        <f ca="1">VLOOKUP($AK118,坦克属性统计!$B$3:$AY$33,MATCH(AX$3,坦克属性统计!$B$3:$AY$3,0),FALSE)</f>
        <v>#REF!</v>
      </c>
      <c r="AY118" s="372" t="e">
        <f t="shared" ca="1" si="81"/>
        <v>#REF!</v>
      </c>
      <c r="AZ118" s="372" t="e">
        <f t="shared" ca="1" si="81"/>
        <v>#REF!</v>
      </c>
      <c r="BA118" s="372" t="e">
        <f t="shared" ca="1" si="81"/>
        <v>#REF!</v>
      </c>
      <c r="BB118" s="356" t="e">
        <f t="shared" ca="1" si="56"/>
        <v>#REF!</v>
      </c>
      <c r="BC118" s="356" t="e">
        <f ca="1">VLOOKUP(AK118,坦克个性化设定!$B$18:$E$48,4,FALSE)</f>
        <v>#REF!</v>
      </c>
      <c r="BD118" s="357" t="e">
        <f t="shared" ca="1" si="63"/>
        <v>#REF!</v>
      </c>
      <c r="BF118" s="357" t="str">
        <f t="shared" ca="1" si="57"/>
        <v/>
      </c>
      <c r="BG118" s="372" t="str">
        <f ca="1">IFERROR(VLOOKUP(BF118,坦克个性化设定!$B$18:$F$48,5,FALSE),"")</f>
        <v/>
      </c>
      <c r="BH118" s="372" t="e">
        <f t="shared" ca="1" si="64"/>
        <v>#REF!</v>
      </c>
      <c r="BI118" s="372" t="e">
        <f t="shared" ca="1" si="65"/>
        <v>#REF!</v>
      </c>
      <c r="BJ118" s="364" t="str">
        <f t="shared" ca="1" si="58"/>
        <v>NULL</v>
      </c>
      <c r="BK118" s="372" t="e">
        <f ca="1">VLOOKUP($BF118&amp;IF($BJ118="NULL",0,$BJ118),所有坦克升星属性,MATCH(BK$3,所有坦克升星属性标头,0),FALSE)+ROUND(BP118/VLOOKUP($BF118,坦克部件!#REF!,4,FALSE)*VLOOKUP($BF118&amp;0,所有坦克升星属性,MATCH(BK$3,所有坦克升星属性标头,0),FALSE),0)</f>
        <v>#N/A</v>
      </c>
      <c r="BL118" s="372" t="e">
        <f ca="1">VLOOKUP($BF118&amp;IF($BJ118="NULL",0,$BJ118),所有坦克升星属性,MATCH(BL$3,所有坦克升星属性标头,0),FALSE)+ROUND(BQ118/VLOOKUP($BF118,坦克部件!#REF!,4,FALSE)*VLOOKUP($BF118&amp;0,所有坦克升星属性,MATCH(BL$3,所有坦克升星属性标头,0),FALSE),0)</f>
        <v>#N/A</v>
      </c>
      <c r="BM118" s="372" t="e">
        <f t="shared" ca="1" si="82"/>
        <v>#N/A</v>
      </c>
      <c r="BN118" s="372" t="e">
        <f t="shared" ca="1" si="82"/>
        <v>#N/A</v>
      </c>
      <c r="BO118" s="372" t="e">
        <f ca="1">VLOOKUP($BF118&amp;IF($BJ118="NULL",0,$BJ118),所有坦克升星属性,MATCH(BO$3,所有坦克升星属性标头,0),FALSE)+ROUND(BR118/VLOOKUP($BF118,坦克部件!#REF!,4,FALSE)*VLOOKUP($BF118&amp;0,所有坦克升星属性,MATCH(BO$3,所有坦克升星属性标头,0),FALSE),0)</f>
        <v>#N/A</v>
      </c>
      <c r="BP118" s="372" t="e">
        <f ca="1">(VLOOKUP($BH118,坦克部件!#REF!,MATCH("标准值",坦克部件!#REF!,0),FALSE)+VLOOKUP($BI118,坦克部件!#REF!,MATCH("标准值",坦克部件!#REF!,0),FALSE))*2</f>
        <v>#REF!</v>
      </c>
      <c r="BQ118" s="372" t="e">
        <f ca="1">(VLOOKUP($BH118,坦克部件!#REF!,MATCH("标准值",坦克部件!#REF!,0),FALSE)+VLOOKUP($BI118,坦克部件!#REF!,MATCH("标准值",坦克部件!#REF!,0),FALSE))*2</f>
        <v>#REF!</v>
      </c>
      <c r="BR118" s="372" t="e">
        <f ca="1">(VLOOKUP($BH118,坦克部件!#REF!,MATCH("标准值",坦克部件!#REF!,0),FALSE)+VLOOKUP($BI118,坦克部件!#REF!,MATCH("标准值",坦克部件!#REF!,0),FALSE))*2</f>
        <v>#REF!</v>
      </c>
      <c r="BS118" s="372" t="e">
        <f ca="1">VLOOKUP($BF118,坦克属性统计!$B$3:$AY$33,MATCH(BS$3,坦克属性统计!$B$3:$AY$3,0),FALSE)</f>
        <v>#N/A</v>
      </c>
      <c r="BT118" s="372" t="e">
        <f t="shared" ca="1" si="83"/>
        <v>#N/A</v>
      </c>
      <c r="BU118" s="372" t="e">
        <f t="shared" ca="1" si="83"/>
        <v>#N/A</v>
      </c>
      <c r="BV118" s="372" t="e">
        <f t="shared" ca="1" si="83"/>
        <v>#N/A</v>
      </c>
      <c r="BW118" s="356">
        <f t="shared" ca="1" si="59"/>
        <v>0</v>
      </c>
      <c r="BX118" s="356" t="e">
        <f ca="1">VLOOKUP(BF118,坦克个性化设定!$B$18:$E$48,4,FALSE)</f>
        <v>#N/A</v>
      </c>
      <c r="BY118" s="357" t="e">
        <f t="shared" ca="1" si="66"/>
        <v>#N/A</v>
      </c>
    </row>
    <row r="119" spans="2:77" x14ac:dyDescent="0.35">
      <c r="B119" s="392">
        <v>70</v>
      </c>
      <c r="C119" s="392">
        <f>游戏时长规划!C181</f>
        <v>10</v>
      </c>
      <c r="D119" s="392">
        <f>游戏时长规划!D181</f>
        <v>1690</v>
      </c>
      <c r="E119" s="392">
        <f>游戏时长规划!E181</f>
        <v>12</v>
      </c>
      <c r="F119" s="392">
        <f>游戏时长规划!F181</f>
        <v>21750</v>
      </c>
      <c r="O119" s="365">
        <v>116</v>
      </c>
      <c r="P119" s="360" t="e">
        <f t="shared" ca="1" si="78"/>
        <v>#REF!</v>
      </c>
      <c r="Q119" s="360" t="e">
        <f ca="1">ROUND(MIN((BD119-VLOOKUP(R119,$B$22:$F$46,2,FALSE))/(VLOOKUP(R119,$B$22:$F$46,3,FALSE)-VLOOKUP(R119,$B$22:$F$46,2,FALSE)),1)*((VLOOKUP(R119,$B$22:$F$46,4,FALSE)*(AG119/(AG119+VLOOKUP(P119,$D$49:$F$123,3,TRUE)))+VLOOKUP(R119,$B$22:$F$46,5,FALSE)*(1-AG119/(AG119+VLOOKUP(P119,$D$49:$F$123,3,TRUE))))/2)*游戏时长规划!$C$4,0)</f>
        <v>#REF!</v>
      </c>
      <c r="R119" s="360" t="e">
        <f t="shared" ca="1" si="46"/>
        <v>#REF!</v>
      </c>
      <c r="S119" s="360" t="e">
        <f t="shared" ca="1" si="67"/>
        <v>#REF!</v>
      </c>
      <c r="T119" s="360" t="e">
        <f t="shared" ca="1" si="79"/>
        <v>#REF!</v>
      </c>
      <c r="U119" s="370" t="e">
        <f t="shared" ca="1" si="47"/>
        <v>#REF!</v>
      </c>
      <c r="V119" s="363" t="e">
        <f t="shared" ca="1" si="68"/>
        <v>#REF!</v>
      </c>
      <c r="W119" s="360" t="e">
        <f t="shared" ca="1" si="48"/>
        <v>#REF!</v>
      </c>
      <c r="X119" s="81" t="e">
        <f t="shared" ca="1" si="60"/>
        <v>#REF!</v>
      </c>
      <c r="Y119" s="360" t="str">
        <f t="shared" ca="1" si="49"/>
        <v>NULL</v>
      </c>
      <c r="Z119" s="375" t="e">
        <f t="shared" ca="1" si="61"/>
        <v>#REF!</v>
      </c>
      <c r="AA119" s="360">
        <f ca="1">IFERROR(VLOOKUP(IF(V119="T1低",游戏时长规划!$C$67+Z119,Z119),INDIRECT(V119&amp;"星级"),2,TRUE),0)</f>
        <v>0</v>
      </c>
      <c r="AB119" s="375" t="e">
        <f t="shared" ca="1" si="50"/>
        <v>#REF!</v>
      </c>
      <c r="AC119" s="375">
        <f ca="1">($D$14+$D$17)*$L$4/坦克部件养成!$C$2+AC118-IFERROR(IF(RIGHT(AD118,3)*1&gt;RIGHT(VLOOKUP(AC118,INDIRECT(LEFT(AD117,2)&amp;"部件升阶"),5,TRUE),3)*1,VLOOKUP(AD117,INDIRECT(LEFT(AD117,2)&amp;"部件升阶消耗"),2,FALSE),0),0)</f>
        <v>1372.6666666666658</v>
      </c>
      <c r="AD119" s="360" t="e">
        <f t="shared" ca="1" si="51"/>
        <v>#REF!</v>
      </c>
      <c r="AE119" s="375" t="e">
        <f ca="1">$D$15*$L$4/坦克部件养成!$C$2+AE118-IF(LEFT(AD119,2)&lt;&gt;LEFT(AD118,2),VLOOKUP(AF118,INDIRECT(LEFT(AD118,2)&amp;"部件升级消耗"),5,FALSE),0)</f>
        <v>#REF!</v>
      </c>
      <c r="AF119" s="360" t="e">
        <f ca="1">MIN(VLOOKUP(AE119,INDIRECT(LEFT(AD119,2)&amp;"部件升级"),2,TRUE),VLOOKUP(LEFT(AD119,2),坦克部件养成!#REF!,6,FALSE))</f>
        <v>#REF!</v>
      </c>
      <c r="AG119" s="378" t="e">
        <f ca="1">MAX(BD$4:BD119)</f>
        <v>#REF!</v>
      </c>
      <c r="AH119" s="378" t="str">
        <f t="shared" ca="1" si="52"/>
        <v/>
      </c>
      <c r="AI119" s="378">
        <f ca="1">IF(Y119="NULL",0,MAX(BY$4:BY119))</f>
        <v>0</v>
      </c>
      <c r="AK119" s="364" t="e">
        <f t="shared" ca="1" si="53"/>
        <v>#REF!</v>
      </c>
      <c r="AL119" s="364" t="e">
        <f ca="1">VLOOKUP(AK119,坦克个性化设定!$B$18:$F$48,5,FALSE)</f>
        <v>#REF!</v>
      </c>
      <c r="AM119" s="372" t="e">
        <f t="shared" ca="1" si="54"/>
        <v>#REF!</v>
      </c>
      <c r="AN119" s="372" t="e">
        <f t="shared" ca="1" si="62"/>
        <v>#REF!</v>
      </c>
      <c r="AO119" s="364">
        <f t="shared" ca="1" si="55"/>
        <v>0</v>
      </c>
      <c r="AP119" s="372" t="e">
        <f ca="1">VLOOKUP($AK119&amp;$AO119,所有坦克升星属性,MATCH(AP$3,所有坦克升星属性标头,0),FALSE)+ROUND(AU119/VLOOKUP($AK119,坦克部件!#REF!,4,FALSE)*VLOOKUP($AK119&amp;0,所有坦克升星属性,MATCH(AP$3,所有坦克升星属性标头,0),FALSE),0)</f>
        <v>#REF!</v>
      </c>
      <c r="AQ119" s="372" t="e">
        <f ca="1">VLOOKUP($AK119&amp;$AO119,所有坦克升星属性,MATCH(AQ$3,所有坦克升星属性标头,0),FALSE)+ROUND(AV119/VLOOKUP($AK119,坦克部件!#REF!,4,FALSE)*VLOOKUP($AK119&amp;0,所有坦克升星属性,MATCH(AQ$3,所有坦克升星属性标头,0),FALSE),0)</f>
        <v>#REF!</v>
      </c>
      <c r="AR119" s="372" t="e">
        <f t="shared" ca="1" si="80"/>
        <v>#REF!</v>
      </c>
      <c r="AS119" s="372" t="e">
        <f t="shared" ca="1" si="80"/>
        <v>#REF!</v>
      </c>
      <c r="AT119" s="372" t="e">
        <f ca="1">VLOOKUP($AK119&amp;$AO119,所有坦克升星属性,MATCH(AT$3,所有坦克升星属性标头,0),FALSE)+ROUND(AW119/VLOOKUP($AK119,坦克部件!#REF!,4,FALSE)*VLOOKUP($AK119&amp;0,所有坦克升星属性,MATCH(AT$3,所有坦克升星属性标头,0),FALSE),0)</f>
        <v>#REF!</v>
      </c>
      <c r="AU119" s="372" t="e">
        <f ca="1">(VLOOKUP($AM119,坦克部件!#REF!,MATCH("标准值",坦克部件!#REF!,0),FALSE)+VLOOKUP($AN119,坦克部件!#REF!,MATCH("标准值",坦克部件!#REF!,0),FALSE))*2</f>
        <v>#REF!</v>
      </c>
      <c r="AV119" s="372" t="e">
        <f ca="1">(VLOOKUP($AM119,坦克部件!#REF!,MATCH("标准值",坦克部件!#REF!,0),FALSE)+VLOOKUP($AN119,坦克部件!#REF!,MATCH("标准值",坦克部件!#REF!,0),FALSE))*2</f>
        <v>#REF!</v>
      </c>
      <c r="AW119" s="372" t="e">
        <f ca="1">(VLOOKUP($AM119,坦克部件!#REF!,MATCH("标准值",坦克部件!#REF!,0),FALSE)+VLOOKUP($AN119,坦克部件!#REF!,MATCH("标准值",坦克部件!#REF!,0),FALSE))*2</f>
        <v>#REF!</v>
      </c>
      <c r="AX119" s="372" t="e">
        <f ca="1">VLOOKUP($AK119,坦克属性统计!$B$3:$AY$33,MATCH(AX$3,坦克属性统计!$B$3:$AY$3,0),FALSE)</f>
        <v>#REF!</v>
      </c>
      <c r="AY119" s="372" t="e">
        <f t="shared" ca="1" si="81"/>
        <v>#REF!</v>
      </c>
      <c r="AZ119" s="372" t="e">
        <f t="shared" ca="1" si="81"/>
        <v>#REF!</v>
      </c>
      <c r="BA119" s="372" t="e">
        <f t="shared" ca="1" si="81"/>
        <v>#REF!</v>
      </c>
      <c r="BB119" s="356" t="e">
        <f t="shared" ca="1" si="56"/>
        <v>#REF!</v>
      </c>
      <c r="BC119" s="356" t="e">
        <f ca="1">VLOOKUP(AK119,坦克个性化设定!$B$18:$E$48,4,FALSE)</f>
        <v>#REF!</v>
      </c>
      <c r="BD119" s="357" t="e">
        <f t="shared" ca="1" si="63"/>
        <v>#REF!</v>
      </c>
      <c r="BF119" s="357" t="str">
        <f t="shared" ca="1" si="57"/>
        <v/>
      </c>
      <c r="BG119" s="372" t="str">
        <f ca="1">IFERROR(VLOOKUP(BF119,坦克个性化设定!$B$18:$F$48,5,FALSE),"")</f>
        <v/>
      </c>
      <c r="BH119" s="372" t="e">
        <f t="shared" ca="1" si="64"/>
        <v>#REF!</v>
      </c>
      <c r="BI119" s="372" t="e">
        <f t="shared" ca="1" si="65"/>
        <v>#REF!</v>
      </c>
      <c r="BJ119" s="364" t="str">
        <f t="shared" ca="1" si="58"/>
        <v>NULL</v>
      </c>
      <c r="BK119" s="372" t="e">
        <f ca="1">VLOOKUP($BF119&amp;IF($BJ119="NULL",0,$BJ119),所有坦克升星属性,MATCH(BK$3,所有坦克升星属性标头,0),FALSE)+ROUND(BP119/VLOOKUP($BF119,坦克部件!#REF!,4,FALSE)*VLOOKUP($BF119&amp;0,所有坦克升星属性,MATCH(BK$3,所有坦克升星属性标头,0),FALSE),0)</f>
        <v>#N/A</v>
      </c>
      <c r="BL119" s="372" t="e">
        <f ca="1">VLOOKUP($BF119&amp;IF($BJ119="NULL",0,$BJ119),所有坦克升星属性,MATCH(BL$3,所有坦克升星属性标头,0),FALSE)+ROUND(BQ119/VLOOKUP($BF119,坦克部件!#REF!,4,FALSE)*VLOOKUP($BF119&amp;0,所有坦克升星属性,MATCH(BL$3,所有坦克升星属性标头,0),FALSE),0)</f>
        <v>#N/A</v>
      </c>
      <c r="BM119" s="372" t="e">
        <f t="shared" ca="1" si="82"/>
        <v>#N/A</v>
      </c>
      <c r="BN119" s="372" t="e">
        <f t="shared" ca="1" si="82"/>
        <v>#N/A</v>
      </c>
      <c r="BO119" s="372" t="e">
        <f ca="1">VLOOKUP($BF119&amp;IF($BJ119="NULL",0,$BJ119),所有坦克升星属性,MATCH(BO$3,所有坦克升星属性标头,0),FALSE)+ROUND(BR119/VLOOKUP($BF119,坦克部件!#REF!,4,FALSE)*VLOOKUP($BF119&amp;0,所有坦克升星属性,MATCH(BO$3,所有坦克升星属性标头,0),FALSE),0)</f>
        <v>#N/A</v>
      </c>
      <c r="BP119" s="372" t="e">
        <f ca="1">(VLOOKUP($BH119,坦克部件!#REF!,MATCH("标准值",坦克部件!#REF!,0),FALSE)+VLOOKUP($BI119,坦克部件!#REF!,MATCH("标准值",坦克部件!#REF!,0),FALSE))*2</f>
        <v>#REF!</v>
      </c>
      <c r="BQ119" s="372" t="e">
        <f ca="1">(VLOOKUP($BH119,坦克部件!#REF!,MATCH("标准值",坦克部件!#REF!,0),FALSE)+VLOOKUP($BI119,坦克部件!#REF!,MATCH("标准值",坦克部件!#REF!,0),FALSE))*2</f>
        <v>#REF!</v>
      </c>
      <c r="BR119" s="372" t="e">
        <f ca="1">(VLOOKUP($BH119,坦克部件!#REF!,MATCH("标准值",坦克部件!#REF!,0),FALSE)+VLOOKUP($BI119,坦克部件!#REF!,MATCH("标准值",坦克部件!#REF!,0),FALSE))*2</f>
        <v>#REF!</v>
      </c>
      <c r="BS119" s="372" t="e">
        <f ca="1">VLOOKUP($BF119,坦克属性统计!$B$3:$AY$33,MATCH(BS$3,坦克属性统计!$B$3:$AY$3,0),FALSE)</f>
        <v>#N/A</v>
      </c>
      <c r="BT119" s="372" t="e">
        <f t="shared" ca="1" si="83"/>
        <v>#N/A</v>
      </c>
      <c r="BU119" s="372" t="e">
        <f t="shared" ca="1" si="83"/>
        <v>#N/A</v>
      </c>
      <c r="BV119" s="372" t="e">
        <f t="shared" ca="1" si="83"/>
        <v>#N/A</v>
      </c>
      <c r="BW119" s="356">
        <f t="shared" ca="1" si="59"/>
        <v>0</v>
      </c>
      <c r="BX119" s="356" t="e">
        <f ca="1">VLOOKUP(BF119,坦克个性化设定!$B$18:$E$48,4,FALSE)</f>
        <v>#N/A</v>
      </c>
      <c r="BY119" s="357" t="e">
        <f t="shared" ca="1" si="66"/>
        <v>#N/A</v>
      </c>
    </row>
    <row r="120" spans="2:77" x14ac:dyDescent="0.35">
      <c r="B120" s="392">
        <v>71</v>
      </c>
      <c r="C120" s="392">
        <f>游戏时长规划!C182</f>
        <v>10</v>
      </c>
      <c r="D120" s="392">
        <f>游戏时长规划!D182</f>
        <v>1700</v>
      </c>
      <c r="E120" s="392">
        <f>游戏时长规划!E182</f>
        <v>12</v>
      </c>
      <c r="F120" s="392">
        <f>游戏时长规划!F182</f>
        <v>22850</v>
      </c>
      <c r="O120" s="365">
        <v>117</v>
      </c>
      <c r="P120" s="360" t="e">
        <f t="shared" ca="1" si="78"/>
        <v>#REF!</v>
      </c>
      <c r="Q120" s="360" t="e">
        <f ca="1">ROUND(MIN((BD120-VLOOKUP(R120,$B$22:$F$46,2,FALSE))/(VLOOKUP(R120,$B$22:$F$46,3,FALSE)-VLOOKUP(R120,$B$22:$F$46,2,FALSE)),1)*((VLOOKUP(R120,$B$22:$F$46,4,FALSE)*(AG120/(AG120+VLOOKUP(P120,$D$49:$F$123,3,TRUE)))+VLOOKUP(R120,$B$22:$F$46,5,FALSE)*(1-AG120/(AG120+VLOOKUP(P120,$D$49:$F$123,3,TRUE))))/2)*游戏时长规划!$C$4,0)</f>
        <v>#REF!</v>
      </c>
      <c r="R120" s="360" t="e">
        <f t="shared" ca="1" si="46"/>
        <v>#REF!</v>
      </c>
      <c r="S120" s="360" t="e">
        <f t="shared" ca="1" si="67"/>
        <v>#REF!</v>
      </c>
      <c r="T120" s="360" t="e">
        <f t="shared" ca="1" si="79"/>
        <v>#REF!</v>
      </c>
      <c r="U120" s="370" t="e">
        <f t="shared" ca="1" si="47"/>
        <v>#REF!</v>
      </c>
      <c r="V120" s="363" t="e">
        <f t="shared" ca="1" si="68"/>
        <v>#REF!</v>
      </c>
      <c r="W120" s="360" t="e">
        <f t="shared" ca="1" si="48"/>
        <v>#REF!</v>
      </c>
      <c r="X120" s="81" t="e">
        <f t="shared" ca="1" si="60"/>
        <v>#REF!</v>
      </c>
      <c r="Y120" s="360" t="str">
        <f t="shared" ca="1" si="49"/>
        <v>NULL</v>
      </c>
      <c r="Z120" s="375" t="e">
        <f t="shared" ca="1" si="61"/>
        <v>#REF!</v>
      </c>
      <c r="AA120" s="360">
        <f ca="1">IFERROR(VLOOKUP(IF(V120="T1低",游戏时长规划!$C$67+Z120,Z120),INDIRECT(V120&amp;"星级"),2,TRUE),0)</f>
        <v>0</v>
      </c>
      <c r="AB120" s="375" t="e">
        <f t="shared" ca="1" si="50"/>
        <v>#REF!</v>
      </c>
      <c r="AC120" s="375">
        <f ca="1">($D$14+$D$17)*$L$4/坦克部件养成!$C$2+AC119-IFERROR(IF(RIGHT(AD119,3)*1&gt;RIGHT(VLOOKUP(AC119,INDIRECT(LEFT(AD118,2)&amp;"部件升阶"),5,TRUE),3)*1,VLOOKUP(AD118,INDIRECT(LEFT(AD118,2)&amp;"部件升阶消耗"),2,FALSE),0),0)</f>
        <v>1384.4999999999991</v>
      </c>
      <c r="AD120" s="360" t="e">
        <f t="shared" ca="1" si="51"/>
        <v>#REF!</v>
      </c>
      <c r="AE120" s="375" t="e">
        <f ca="1">$D$15*$L$4/坦克部件养成!$C$2+AE119-IF(LEFT(AD120,2)&lt;&gt;LEFT(AD119,2),VLOOKUP(AF119,INDIRECT(LEFT(AD119,2)&amp;"部件升级消耗"),5,FALSE),0)</f>
        <v>#REF!</v>
      </c>
      <c r="AF120" s="360" t="e">
        <f ca="1">MIN(VLOOKUP(AE120,INDIRECT(LEFT(AD120,2)&amp;"部件升级"),2,TRUE),VLOOKUP(LEFT(AD120,2),坦克部件养成!#REF!,6,FALSE))</f>
        <v>#REF!</v>
      </c>
      <c r="AG120" s="378" t="e">
        <f ca="1">MAX(BD$4:BD120)</f>
        <v>#REF!</v>
      </c>
      <c r="AH120" s="378" t="str">
        <f t="shared" ca="1" si="52"/>
        <v/>
      </c>
      <c r="AI120" s="378">
        <f ca="1">IF(Y120="NULL",0,MAX(BY$4:BY120))</f>
        <v>0</v>
      </c>
      <c r="AK120" s="364" t="e">
        <f t="shared" ca="1" si="53"/>
        <v>#REF!</v>
      </c>
      <c r="AL120" s="364" t="e">
        <f ca="1">VLOOKUP(AK120,坦克个性化设定!$B$18:$F$48,5,FALSE)</f>
        <v>#REF!</v>
      </c>
      <c r="AM120" s="372" t="e">
        <f t="shared" ca="1" si="54"/>
        <v>#REF!</v>
      </c>
      <c r="AN120" s="372" t="e">
        <f t="shared" ca="1" si="62"/>
        <v>#REF!</v>
      </c>
      <c r="AO120" s="364">
        <f t="shared" ca="1" si="55"/>
        <v>0</v>
      </c>
      <c r="AP120" s="372" t="e">
        <f ca="1">VLOOKUP($AK120&amp;$AO120,所有坦克升星属性,MATCH(AP$3,所有坦克升星属性标头,0),FALSE)+ROUND(AU120/VLOOKUP($AK120,坦克部件!#REF!,4,FALSE)*VLOOKUP($AK120&amp;0,所有坦克升星属性,MATCH(AP$3,所有坦克升星属性标头,0),FALSE),0)</f>
        <v>#REF!</v>
      </c>
      <c r="AQ120" s="372" t="e">
        <f ca="1">VLOOKUP($AK120&amp;$AO120,所有坦克升星属性,MATCH(AQ$3,所有坦克升星属性标头,0),FALSE)+ROUND(AV120/VLOOKUP($AK120,坦克部件!#REF!,4,FALSE)*VLOOKUP($AK120&amp;0,所有坦克升星属性,MATCH(AQ$3,所有坦克升星属性标头,0),FALSE),0)</f>
        <v>#REF!</v>
      </c>
      <c r="AR120" s="372" t="e">
        <f t="shared" ca="1" si="80"/>
        <v>#REF!</v>
      </c>
      <c r="AS120" s="372" t="e">
        <f t="shared" ca="1" si="80"/>
        <v>#REF!</v>
      </c>
      <c r="AT120" s="372" t="e">
        <f ca="1">VLOOKUP($AK120&amp;$AO120,所有坦克升星属性,MATCH(AT$3,所有坦克升星属性标头,0),FALSE)+ROUND(AW120/VLOOKUP($AK120,坦克部件!#REF!,4,FALSE)*VLOOKUP($AK120&amp;0,所有坦克升星属性,MATCH(AT$3,所有坦克升星属性标头,0),FALSE),0)</f>
        <v>#REF!</v>
      </c>
      <c r="AU120" s="372" t="e">
        <f ca="1">(VLOOKUP($AM120,坦克部件!#REF!,MATCH("标准值",坦克部件!#REF!,0),FALSE)+VLOOKUP($AN120,坦克部件!#REF!,MATCH("标准值",坦克部件!#REF!,0),FALSE))*2</f>
        <v>#REF!</v>
      </c>
      <c r="AV120" s="372" t="e">
        <f ca="1">(VLOOKUP($AM120,坦克部件!#REF!,MATCH("标准值",坦克部件!#REF!,0),FALSE)+VLOOKUP($AN120,坦克部件!#REF!,MATCH("标准值",坦克部件!#REF!,0),FALSE))*2</f>
        <v>#REF!</v>
      </c>
      <c r="AW120" s="372" t="e">
        <f ca="1">(VLOOKUP($AM120,坦克部件!#REF!,MATCH("标准值",坦克部件!#REF!,0),FALSE)+VLOOKUP($AN120,坦克部件!#REF!,MATCH("标准值",坦克部件!#REF!,0),FALSE))*2</f>
        <v>#REF!</v>
      </c>
      <c r="AX120" s="372" t="e">
        <f ca="1">VLOOKUP($AK120,坦克属性统计!$B$3:$AY$33,MATCH(AX$3,坦克属性统计!$B$3:$AY$3,0),FALSE)</f>
        <v>#REF!</v>
      </c>
      <c r="AY120" s="372" t="e">
        <f t="shared" ca="1" si="81"/>
        <v>#REF!</v>
      </c>
      <c r="AZ120" s="372" t="e">
        <f t="shared" ca="1" si="81"/>
        <v>#REF!</v>
      </c>
      <c r="BA120" s="372" t="e">
        <f t="shared" ca="1" si="81"/>
        <v>#REF!</v>
      </c>
      <c r="BB120" s="356" t="e">
        <f t="shared" ca="1" si="56"/>
        <v>#REF!</v>
      </c>
      <c r="BC120" s="356" t="e">
        <f ca="1">VLOOKUP(AK120,坦克个性化设定!$B$18:$E$48,4,FALSE)</f>
        <v>#REF!</v>
      </c>
      <c r="BD120" s="357" t="e">
        <f t="shared" ca="1" si="63"/>
        <v>#REF!</v>
      </c>
      <c r="BF120" s="357" t="str">
        <f t="shared" ca="1" si="57"/>
        <v/>
      </c>
      <c r="BG120" s="372" t="str">
        <f ca="1">IFERROR(VLOOKUP(BF120,坦克个性化设定!$B$18:$F$48,5,FALSE),"")</f>
        <v/>
      </c>
      <c r="BH120" s="372" t="e">
        <f t="shared" ca="1" si="64"/>
        <v>#REF!</v>
      </c>
      <c r="BI120" s="372" t="e">
        <f t="shared" ca="1" si="65"/>
        <v>#REF!</v>
      </c>
      <c r="BJ120" s="364" t="str">
        <f t="shared" ca="1" si="58"/>
        <v>NULL</v>
      </c>
      <c r="BK120" s="372" t="e">
        <f ca="1">VLOOKUP($BF120&amp;IF($BJ120="NULL",0,$BJ120),所有坦克升星属性,MATCH(BK$3,所有坦克升星属性标头,0),FALSE)+ROUND(BP120/VLOOKUP($BF120,坦克部件!#REF!,4,FALSE)*VLOOKUP($BF120&amp;0,所有坦克升星属性,MATCH(BK$3,所有坦克升星属性标头,0),FALSE),0)</f>
        <v>#N/A</v>
      </c>
      <c r="BL120" s="372" t="e">
        <f ca="1">VLOOKUP($BF120&amp;IF($BJ120="NULL",0,$BJ120),所有坦克升星属性,MATCH(BL$3,所有坦克升星属性标头,0),FALSE)+ROUND(BQ120/VLOOKUP($BF120,坦克部件!#REF!,4,FALSE)*VLOOKUP($BF120&amp;0,所有坦克升星属性,MATCH(BL$3,所有坦克升星属性标头,0),FALSE),0)</f>
        <v>#N/A</v>
      </c>
      <c r="BM120" s="372" t="e">
        <f t="shared" ca="1" si="82"/>
        <v>#N/A</v>
      </c>
      <c r="BN120" s="372" t="e">
        <f t="shared" ca="1" si="82"/>
        <v>#N/A</v>
      </c>
      <c r="BO120" s="372" t="e">
        <f ca="1">VLOOKUP($BF120&amp;IF($BJ120="NULL",0,$BJ120),所有坦克升星属性,MATCH(BO$3,所有坦克升星属性标头,0),FALSE)+ROUND(BR120/VLOOKUP($BF120,坦克部件!#REF!,4,FALSE)*VLOOKUP($BF120&amp;0,所有坦克升星属性,MATCH(BO$3,所有坦克升星属性标头,0),FALSE),0)</f>
        <v>#N/A</v>
      </c>
      <c r="BP120" s="372" t="e">
        <f ca="1">(VLOOKUP($BH120,坦克部件!#REF!,MATCH("标准值",坦克部件!#REF!,0),FALSE)+VLOOKUP($BI120,坦克部件!#REF!,MATCH("标准值",坦克部件!#REF!,0),FALSE))*2</f>
        <v>#REF!</v>
      </c>
      <c r="BQ120" s="372" t="e">
        <f ca="1">(VLOOKUP($BH120,坦克部件!#REF!,MATCH("标准值",坦克部件!#REF!,0),FALSE)+VLOOKUP($BI120,坦克部件!#REF!,MATCH("标准值",坦克部件!#REF!,0),FALSE))*2</f>
        <v>#REF!</v>
      </c>
      <c r="BR120" s="372" t="e">
        <f ca="1">(VLOOKUP($BH120,坦克部件!#REF!,MATCH("标准值",坦克部件!#REF!,0),FALSE)+VLOOKUP($BI120,坦克部件!#REF!,MATCH("标准值",坦克部件!#REF!,0),FALSE))*2</f>
        <v>#REF!</v>
      </c>
      <c r="BS120" s="372" t="e">
        <f ca="1">VLOOKUP($BF120,坦克属性统计!$B$3:$AY$33,MATCH(BS$3,坦克属性统计!$B$3:$AY$3,0),FALSE)</f>
        <v>#N/A</v>
      </c>
      <c r="BT120" s="372" t="e">
        <f t="shared" ca="1" si="83"/>
        <v>#N/A</v>
      </c>
      <c r="BU120" s="372" t="e">
        <f t="shared" ca="1" si="83"/>
        <v>#N/A</v>
      </c>
      <c r="BV120" s="372" t="e">
        <f t="shared" ca="1" si="83"/>
        <v>#N/A</v>
      </c>
      <c r="BW120" s="356">
        <f t="shared" ca="1" si="59"/>
        <v>0</v>
      </c>
      <c r="BX120" s="356" t="e">
        <f ca="1">VLOOKUP(BF120,坦克个性化设定!$B$18:$E$48,4,FALSE)</f>
        <v>#N/A</v>
      </c>
      <c r="BY120" s="357" t="e">
        <f t="shared" ca="1" si="66"/>
        <v>#N/A</v>
      </c>
    </row>
    <row r="121" spans="2:77" x14ac:dyDescent="0.35">
      <c r="B121" s="392">
        <v>72</v>
      </c>
      <c r="C121" s="392">
        <f>游戏时长规划!C183</f>
        <v>10</v>
      </c>
      <c r="D121" s="392">
        <f>游戏时长规划!D183</f>
        <v>1710</v>
      </c>
      <c r="E121" s="392">
        <f>游戏时长规划!E183</f>
        <v>12</v>
      </c>
      <c r="F121" s="392">
        <f>游戏时长规划!F183</f>
        <v>24000</v>
      </c>
      <c r="O121" s="365">
        <v>118</v>
      </c>
      <c r="P121" s="360" t="e">
        <f t="shared" ca="1" si="78"/>
        <v>#REF!</v>
      </c>
      <c r="Q121" s="360" t="e">
        <f ca="1">ROUND(MIN((BD121-VLOOKUP(R121,$B$22:$F$46,2,FALSE))/(VLOOKUP(R121,$B$22:$F$46,3,FALSE)-VLOOKUP(R121,$B$22:$F$46,2,FALSE)),1)*((VLOOKUP(R121,$B$22:$F$46,4,FALSE)*(AG121/(AG121+VLOOKUP(P121,$D$49:$F$123,3,TRUE)))+VLOOKUP(R121,$B$22:$F$46,5,FALSE)*(1-AG121/(AG121+VLOOKUP(P121,$D$49:$F$123,3,TRUE))))/2)*游戏时长规划!$C$4,0)</f>
        <v>#REF!</v>
      </c>
      <c r="R121" s="360" t="e">
        <f t="shared" ca="1" si="46"/>
        <v>#REF!</v>
      </c>
      <c r="S121" s="360" t="e">
        <f t="shared" ca="1" si="67"/>
        <v>#REF!</v>
      </c>
      <c r="T121" s="360" t="e">
        <f t="shared" ca="1" si="79"/>
        <v>#REF!</v>
      </c>
      <c r="U121" s="370" t="e">
        <f t="shared" ca="1" si="47"/>
        <v>#REF!</v>
      </c>
      <c r="V121" s="363" t="e">
        <f t="shared" ca="1" si="68"/>
        <v>#REF!</v>
      </c>
      <c r="W121" s="360" t="e">
        <f t="shared" ca="1" si="48"/>
        <v>#REF!</v>
      </c>
      <c r="X121" s="81" t="e">
        <f t="shared" ca="1" si="60"/>
        <v>#REF!</v>
      </c>
      <c r="Y121" s="360" t="str">
        <f t="shared" ca="1" si="49"/>
        <v>NULL</v>
      </c>
      <c r="Z121" s="375" t="e">
        <f t="shared" ca="1" si="61"/>
        <v>#REF!</v>
      </c>
      <c r="AA121" s="360">
        <f ca="1">IFERROR(VLOOKUP(IF(V121="T1低",游戏时长规划!$C$67+Z121,Z121),INDIRECT(V121&amp;"星级"),2,TRUE),0)</f>
        <v>0</v>
      </c>
      <c r="AB121" s="375" t="e">
        <f t="shared" ca="1" si="50"/>
        <v>#REF!</v>
      </c>
      <c r="AC121" s="375">
        <f ca="1">($D$14+$D$17)*$L$4/坦克部件养成!$C$2+AC120-IFERROR(IF(RIGHT(AD120,3)*1&gt;RIGHT(VLOOKUP(AC120,INDIRECT(LEFT(AD119,2)&amp;"部件升阶"),5,TRUE),3)*1,VLOOKUP(AD119,INDIRECT(LEFT(AD119,2)&amp;"部件升阶消耗"),2,FALSE),0),0)</f>
        <v>1396.3333333333323</v>
      </c>
      <c r="AD121" s="360" t="e">
        <f t="shared" ca="1" si="51"/>
        <v>#REF!</v>
      </c>
      <c r="AE121" s="375" t="e">
        <f ca="1">$D$15*$L$4/坦克部件养成!$C$2+AE120-IF(LEFT(AD121,2)&lt;&gt;LEFT(AD120,2),VLOOKUP(AF120,INDIRECT(LEFT(AD120,2)&amp;"部件升级消耗"),5,FALSE),0)</f>
        <v>#REF!</v>
      </c>
      <c r="AF121" s="360" t="e">
        <f ca="1">MIN(VLOOKUP(AE121,INDIRECT(LEFT(AD121,2)&amp;"部件升级"),2,TRUE),VLOOKUP(LEFT(AD121,2),坦克部件养成!#REF!,6,FALSE))</f>
        <v>#REF!</v>
      </c>
      <c r="AG121" s="378" t="e">
        <f ca="1">MAX(BD$4:BD121)</f>
        <v>#REF!</v>
      </c>
      <c r="AH121" s="378" t="str">
        <f t="shared" ca="1" si="52"/>
        <v/>
      </c>
      <c r="AI121" s="378">
        <f ca="1">IF(Y121="NULL",0,MAX(BY$4:BY121))</f>
        <v>0</v>
      </c>
      <c r="AK121" s="364" t="e">
        <f t="shared" ca="1" si="53"/>
        <v>#REF!</v>
      </c>
      <c r="AL121" s="364" t="e">
        <f ca="1">VLOOKUP(AK121,坦克个性化设定!$B$18:$F$48,5,FALSE)</f>
        <v>#REF!</v>
      </c>
      <c r="AM121" s="372" t="e">
        <f t="shared" ca="1" si="54"/>
        <v>#REF!</v>
      </c>
      <c r="AN121" s="372" t="e">
        <f t="shared" ca="1" si="62"/>
        <v>#REF!</v>
      </c>
      <c r="AO121" s="364">
        <f t="shared" ca="1" si="55"/>
        <v>0</v>
      </c>
      <c r="AP121" s="372" t="e">
        <f ca="1">VLOOKUP($AK121&amp;$AO121,所有坦克升星属性,MATCH(AP$3,所有坦克升星属性标头,0),FALSE)+ROUND(AU121/VLOOKUP($AK121,坦克部件!#REF!,4,FALSE)*VLOOKUP($AK121&amp;0,所有坦克升星属性,MATCH(AP$3,所有坦克升星属性标头,0),FALSE),0)</f>
        <v>#REF!</v>
      </c>
      <c r="AQ121" s="372" t="e">
        <f ca="1">VLOOKUP($AK121&amp;$AO121,所有坦克升星属性,MATCH(AQ$3,所有坦克升星属性标头,0),FALSE)+ROUND(AV121/VLOOKUP($AK121,坦克部件!#REF!,4,FALSE)*VLOOKUP($AK121&amp;0,所有坦克升星属性,MATCH(AQ$3,所有坦克升星属性标头,0),FALSE),0)</f>
        <v>#REF!</v>
      </c>
      <c r="AR121" s="372" t="e">
        <f t="shared" ca="1" si="80"/>
        <v>#REF!</v>
      </c>
      <c r="AS121" s="372" t="e">
        <f t="shared" ca="1" si="80"/>
        <v>#REF!</v>
      </c>
      <c r="AT121" s="372" t="e">
        <f ca="1">VLOOKUP($AK121&amp;$AO121,所有坦克升星属性,MATCH(AT$3,所有坦克升星属性标头,0),FALSE)+ROUND(AW121/VLOOKUP($AK121,坦克部件!#REF!,4,FALSE)*VLOOKUP($AK121&amp;0,所有坦克升星属性,MATCH(AT$3,所有坦克升星属性标头,0),FALSE),0)</f>
        <v>#REF!</v>
      </c>
      <c r="AU121" s="372" t="e">
        <f ca="1">(VLOOKUP($AM121,坦克部件!#REF!,MATCH("标准值",坦克部件!#REF!,0),FALSE)+VLOOKUP($AN121,坦克部件!#REF!,MATCH("标准值",坦克部件!#REF!,0),FALSE))*2</f>
        <v>#REF!</v>
      </c>
      <c r="AV121" s="372" t="e">
        <f ca="1">(VLOOKUP($AM121,坦克部件!#REF!,MATCH("标准值",坦克部件!#REF!,0),FALSE)+VLOOKUP($AN121,坦克部件!#REF!,MATCH("标准值",坦克部件!#REF!,0),FALSE))*2</f>
        <v>#REF!</v>
      </c>
      <c r="AW121" s="372" t="e">
        <f ca="1">(VLOOKUP($AM121,坦克部件!#REF!,MATCH("标准值",坦克部件!#REF!,0),FALSE)+VLOOKUP($AN121,坦克部件!#REF!,MATCH("标准值",坦克部件!#REF!,0),FALSE))*2</f>
        <v>#REF!</v>
      </c>
      <c r="AX121" s="372" t="e">
        <f ca="1">VLOOKUP($AK121,坦克属性统计!$B$3:$AY$33,MATCH(AX$3,坦克属性统计!$B$3:$AY$3,0),FALSE)</f>
        <v>#REF!</v>
      </c>
      <c r="AY121" s="372" t="e">
        <f t="shared" ca="1" si="81"/>
        <v>#REF!</v>
      </c>
      <c r="AZ121" s="372" t="e">
        <f t="shared" ca="1" si="81"/>
        <v>#REF!</v>
      </c>
      <c r="BA121" s="372" t="e">
        <f t="shared" ca="1" si="81"/>
        <v>#REF!</v>
      </c>
      <c r="BB121" s="356" t="e">
        <f t="shared" ca="1" si="56"/>
        <v>#REF!</v>
      </c>
      <c r="BC121" s="356" t="e">
        <f ca="1">VLOOKUP(AK121,坦克个性化设定!$B$18:$E$48,4,FALSE)</f>
        <v>#REF!</v>
      </c>
      <c r="BD121" s="357" t="e">
        <f t="shared" ca="1" si="63"/>
        <v>#REF!</v>
      </c>
      <c r="BF121" s="357" t="str">
        <f t="shared" ca="1" si="57"/>
        <v/>
      </c>
      <c r="BG121" s="372" t="str">
        <f ca="1">IFERROR(VLOOKUP(BF121,坦克个性化设定!$B$18:$F$48,5,FALSE),"")</f>
        <v/>
      </c>
      <c r="BH121" s="372" t="e">
        <f t="shared" ca="1" si="64"/>
        <v>#REF!</v>
      </c>
      <c r="BI121" s="372" t="e">
        <f t="shared" ca="1" si="65"/>
        <v>#REF!</v>
      </c>
      <c r="BJ121" s="364" t="str">
        <f t="shared" ca="1" si="58"/>
        <v>NULL</v>
      </c>
      <c r="BK121" s="372" t="e">
        <f ca="1">VLOOKUP($BF121&amp;IF($BJ121="NULL",0,$BJ121),所有坦克升星属性,MATCH(BK$3,所有坦克升星属性标头,0),FALSE)+ROUND(BP121/VLOOKUP($BF121,坦克部件!#REF!,4,FALSE)*VLOOKUP($BF121&amp;0,所有坦克升星属性,MATCH(BK$3,所有坦克升星属性标头,0),FALSE),0)</f>
        <v>#N/A</v>
      </c>
      <c r="BL121" s="372" t="e">
        <f ca="1">VLOOKUP($BF121&amp;IF($BJ121="NULL",0,$BJ121),所有坦克升星属性,MATCH(BL$3,所有坦克升星属性标头,0),FALSE)+ROUND(BQ121/VLOOKUP($BF121,坦克部件!#REF!,4,FALSE)*VLOOKUP($BF121&amp;0,所有坦克升星属性,MATCH(BL$3,所有坦克升星属性标头,0),FALSE),0)</f>
        <v>#N/A</v>
      </c>
      <c r="BM121" s="372" t="e">
        <f t="shared" ca="1" si="82"/>
        <v>#N/A</v>
      </c>
      <c r="BN121" s="372" t="e">
        <f t="shared" ca="1" si="82"/>
        <v>#N/A</v>
      </c>
      <c r="BO121" s="372" t="e">
        <f ca="1">VLOOKUP($BF121&amp;IF($BJ121="NULL",0,$BJ121),所有坦克升星属性,MATCH(BO$3,所有坦克升星属性标头,0),FALSE)+ROUND(BR121/VLOOKUP($BF121,坦克部件!#REF!,4,FALSE)*VLOOKUP($BF121&amp;0,所有坦克升星属性,MATCH(BO$3,所有坦克升星属性标头,0),FALSE),0)</f>
        <v>#N/A</v>
      </c>
      <c r="BP121" s="372" t="e">
        <f ca="1">(VLOOKUP($BH121,坦克部件!#REF!,MATCH("标准值",坦克部件!#REF!,0),FALSE)+VLOOKUP($BI121,坦克部件!#REF!,MATCH("标准值",坦克部件!#REF!,0),FALSE))*2</f>
        <v>#REF!</v>
      </c>
      <c r="BQ121" s="372" t="e">
        <f ca="1">(VLOOKUP($BH121,坦克部件!#REF!,MATCH("标准值",坦克部件!#REF!,0),FALSE)+VLOOKUP($BI121,坦克部件!#REF!,MATCH("标准值",坦克部件!#REF!,0),FALSE))*2</f>
        <v>#REF!</v>
      </c>
      <c r="BR121" s="372" t="e">
        <f ca="1">(VLOOKUP($BH121,坦克部件!#REF!,MATCH("标准值",坦克部件!#REF!,0),FALSE)+VLOOKUP($BI121,坦克部件!#REF!,MATCH("标准值",坦克部件!#REF!,0),FALSE))*2</f>
        <v>#REF!</v>
      </c>
      <c r="BS121" s="372" t="e">
        <f ca="1">VLOOKUP($BF121,坦克属性统计!$B$3:$AY$33,MATCH(BS$3,坦克属性统计!$B$3:$AY$3,0),FALSE)</f>
        <v>#N/A</v>
      </c>
      <c r="BT121" s="372" t="e">
        <f t="shared" ca="1" si="83"/>
        <v>#N/A</v>
      </c>
      <c r="BU121" s="372" t="e">
        <f t="shared" ca="1" si="83"/>
        <v>#N/A</v>
      </c>
      <c r="BV121" s="372" t="e">
        <f t="shared" ca="1" si="83"/>
        <v>#N/A</v>
      </c>
      <c r="BW121" s="356">
        <f t="shared" ca="1" si="59"/>
        <v>0</v>
      </c>
      <c r="BX121" s="356" t="e">
        <f ca="1">VLOOKUP(BF121,坦克个性化设定!$B$18:$E$48,4,FALSE)</f>
        <v>#N/A</v>
      </c>
      <c r="BY121" s="357" t="e">
        <f t="shared" ca="1" si="66"/>
        <v>#N/A</v>
      </c>
    </row>
    <row r="122" spans="2:77" x14ac:dyDescent="0.35">
      <c r="B122" s="392">
        <v>73</v>
      </c>
      <c r="C122" s="392">
        <f>游戏时长规划!C184</f>
        <v>10</v>
      </c>
      <c r="D122" s="392">
        <f>游戏时长规划!D184</f>
        <v>1720</v>
      </c>
      <c r="E122" s="392">
        <f>游戏时长规划!E184</f>
        <v>12</v>
      </c>
      <c r="F122" s="392">
        <f>游戏时长规划!F184</f>
        <v>25150</v>
      </c>
      <c r="O122" s="365">
        <v>119</v>
      </c>
      <c r="P122" s="360" t="e">
        <f t="shared" ca="1" si="78"/>
        <v>#REF!</v>
      </c>
      <c r="Q122" s="360" t="e">
        <f ca="1">ROUND(MIN((BD122-VLOOKUP(R122,$B$22:$F$46,2,FALSE))/(VLOOKUP(R122,$B$22:$F$46,3,FALSE)-VLOOKUP(R122,$B$22:$F$46,2,FALSE)),1)*((VLOOKUP(R122,$B$22:$F$46,4,FALSE)*(AG122/(AG122+VLOOKUP(P122,$D$49:$F$123,3,TRUE)))+VLOOKUP(R122,$B$22:$F$46,5,FALSE)*(1-AG122/(AG122+VLOOKUP(P122,$D$49:$F$123,3,TRUE))))/2)*游戏时长规划!$C$4,0)</f>
        <v>#REF!</v>
      </c>
      <c r="R122" s="360" t="e">
        <f t="shared" ca="1" si="46"/>
        <v>#REF!</v>
      </c>
      <c r="S122" s="360" t="e">
        <f t="shared" ca="1" si="67"/>
        <v>#REF!</v>
      </c>
      <c r="T122" s="360" t="e">
        <f t="shared" ca="1" si="79"/>
        <v>#REF!</v>
      </c>
      <c r="U122" s="370" t="e">
        <f t="shared" ca="1" si="47"/>
        <v>#REF!</v>
      </c>
      <c r="V122" s="363" t="e">
        <f t="shared" ca="1" si="68"/>
        <v>#REF!</v>
      </c>
      <c r="W122" s="360" t="e">
        <f t="shared" ca="1" si="48"/>
        <v>#REF!</v>
      </c>
      <c r="X122" s="81" t="e">
        <f t="shared" ca="1" si="60"/>
        <v>#REF!</v>
      </c>
      <c r="Y122" s="360" t="str">
        <f t="shared" ca="1" si="49"/>
        <v>NULL</v>
      </c>
      <c r="Z122" s="375" t="e">
        <f t="shared" ca="1" si="61"/>
        <v>#REF!</v>
      </c>
      <c r="AA122" s="360">
        <f ca="1">IFERROR(VLOOKUP(IF(V122="T1低",游戏时长规划!$C$67+Z122,Z122),INDIRECT(V122&amp;"星级"),2,TRUE),0)</f>
        <v>0</v>
      </c>
      <c r="AB122" s="375" t="e">
        <f t="shared" ca="1" si="50"/>
        <v>#REF!</v>
      </c>
      <c r="AC122" s="375">
        <f ca="1">($D$14+$D$17)*$L$4/坦克部件养成!$C$2+AC121-IFERROR(IF(RIGHT(AD121,3)*1&gt;RIGHT(VLOOKUP(AC121,INDIRECT(LEFT(AD120,2)&amp;"部件升阶"),5,TRUE),3)*1,VLOOKUP(AD120,INDIRECT(LEFT(AD120,2)&amp;"部件升阶消耗"),2,FALSE),0),0)</f>
        <v>1408.1666666666656</v>
      </c>
      <c r="AD122" s="360" t="e">
        <f t="shared" ca="1" si="51"/>
        <v>#REF!</v>
      </c>
      <c r="AE122" s="375" t="e">
        <f ca="1">$D$15*$L$4/坦克部件养成!$C$2+AE121-IF(LEFT(AD122,2)&lt;&gt;LEFT(AD121,2),VLOOKUP(AF121,INDIRECT(LEFT(AD121,2)&amp;"部件升级消耗"),5,FALSE),0)</f>
        <v>#REF!</v>
      </c>
      <c r="AF122" s="360" t="e">
        <f ca="1">MIN(VLOOKUP(AE122,INDIRECT(LEFT(AD122,2)&amp;"部件升级"),2,TRUE),VLOOKUP(LEFT(AD122,2),坦克部件养成!#REF!,6,FALSE))</f>
        <v>#REF!</v>
      </c>
      <c r="AG122" s="378" t="e">
        <f ca="1">MAX(BD$4:BD122)</f>
        <v>#REF!</v>
      </c>
      <c r="AH122" s="378" t="str">
        <f t="shared" ca="1" si="52"/>
        <v/>
      </c>
      <c r="AI122" s="378">
        <f ca="1">IF(Y122="NULL",0,MAX(BY$4:BY122))</f>
        <v>0</v>
      </c>
      <c r="AK122" s="364" t="e">
        <f t="shared" ca="1" si="53"/>
        <v>#REF!</v>
      </c>
      <c r="AL122" s="364" t="e">
        <f ca="1">VLOOKUP(AK122,坦克个性化设定!$B$18:$F$48,5,FALSE)</f>
        <v>#REF!</v>
      </c>
      <c r="AM122" s="372" t="e">
        <f t="shared" ca="1" si="54"/>
        <v>#REF!</v>
      </c>
      <c r="AN122" s="372" t="e">
        <f t="shared" ca="1" si="62"/>
        <v>#REF!</v>
      </c>
      <c r="AO122" s="364">
        <f t="shared" ca="1" si="55"/>
        <v>0</v>
      </c>
      <c r="AP122" s="372" t="e">
        <f ca="1">VLOOKUP($AK122&amp;$AO122,所有坦克升星属性,MATCH(AP$3,所有坦克升星属性标头,0),FALSE)+ROUND(AU122/VLOOKUP($AK122,坦克部件!#REF!,4,FALSE)*VLOOKUP($AK122&amp;0,所有坦克升星属性,MATCH(AP$3,所有坦克升星属性标头,0),FALSE),0)</f>
        <v>#REF!</v>
      </c>
      <c r="AQ122" s="372" t="e">
        <f ca="1">VLOOKUP($AK122&amp;$AO122,所有坦克升星属性,MATCH(AQ$3,所有坦克升星属性标头,0),FALSE)+ROUND(AV122/VLOOKUP($AK122,坦克部件!#REF!,4,FALSE)*VLOOKUP($AK122&amp;0,所有坦克升星属性,MATCH(AQ$3,所有坦克升星属性标头,0),FALSE),0)</f>
        <v>#REF!</v>
      </c>
      <c r="AR122" s="372" t="e">
        <f t="shared" ca="1" si="80"/>
        <v>#REF!</v>
      </c>
      <c r="AS122" s="372" t="e">
        <f t="shared" ca="1" si="80"/>
        <v>#REF!</v>
      </c>
      <c r="AT122" s="372" t="e">
        <f ca="1">VLOOKUP($AK122&amp;$AO122,所有坦克升星属性,MATCH(AT$3,所有坦克升星属性标头,0),FALSE)+ROUND(AW122/VLOOKUP($AK122,坦克部件!#REF!,4,FALSE)*VLOOKUP($AK122&amp;0,所有坦克升星属性,MATCH(AT$3,所有坦克升星属性标头,0),FALSE),0)</f>
        <v>#REF!</v>
      </c>
      <c r="AU122" s="372" t="e">
        <f ca="1">(VLOOKUP($AM122,坦克部件!#REF!,MATCH("标准值",坦克部件!#REF!,0),FALSE)+VLOOKUP($AN122,坦克部件!#REF!,MATCH("标准值",坦克部件!#REF!,0),FALSE))*2</f>
        <v>#REF!</v>
      </c>
      <c r="AV122" s="372" t="e">
        <f ca="1">(VLOOKUP($AM122,坦克部件!#REF!,MATCH("标准值",坦克部件!#REF!,0),FALSE)+VLOOKUP($AN122,坦克部件!#REF!,MATCH("标准值",坦克部件!#REF!,0),FALSE))*2</f>
        <v>#REF!</v>
      </c>
      <c r="AW122" s="372" t="e">
        <f ca="1">(VLOOKUP($AM122,坦克部件!#REF!,MATCH("标准值",坦克部件!#REF!,0),FALSE)+VLOOKUP($AN122,坦克部件!#REF!,MATCH("标准值",坦克部件!#REF!,0),FALSE))*2</f>
        <v>#REF!</v>
      </c>
      <c r="AX122" s="372" t="e">
        <f ca="1">VLOOKUP($AK122,坦克属性统计!$B$3:$AY$33,MATCH(AX$3,坦克属性统计!$B$3:$AY$3,0),FALSE)</f>
        <v>#REF!</v>
      </c>
      <c r="AY122" s="372" t="e">
        <f t="shared" ca="1" si="81"/>
        <v>#REF!</v>
      </c>
      <c r="AZ122" s="372" t="e">
        <f t="shared" ca="1" si="81"/>
        <v>#REF!</v>
      </c>
      <c r="BA122" s="372" t="e">
        <f t="shared" ca="1" si="81"/>
        <v>#REF!</v>
      </c>
      <c r="BB122" s="356" t="e">
        <f t="shared" ca="1" si="56"/>
        <v>#REF!</v>
      </c>
      <c r="BC122" s="356" t="e">
        <f ca="1">VLOOKUP(AK122,坦克个性化设定!$B$18:$E$48,4,FALSE)</f>
        <v>#REF!</v>
      </c>
      <c r="BD122" s="357" t="e">
        <f t="shared" ca="1" si="63"/>
        <v>#REF!</v>
      </c>
      <c r="BF122" s="357" t="str">
        <f t="shared" ca="1" si="57"/>
        <v/>
      </c>
      <c r="BG122" s="372" t="str">
        <f ca="1">IFERROR(VLOOKUP(BF122,坦克个性化设定!$B$18:$F$48,5,FALSE),"")</f>
        <v/>
      </c>
      <c r="BH122" s="372" t="e">
        <f t="shared" ca="1" si="64"/>
        <v>#REF!</v>
      </c>
      <c r="BI122" s="372" t="e">
        <f t="shared" ca="1" si="65"/>
        <v>#REF!</v>
      </c>
      <c r="BJ122" s="364" t="str">
        <f t="shared" ca="1" si="58"/>
        <v>NULL</v>
      </c>
      <c r="BK122" s="372" t="e">
        <f ca="1">VLOOKUP($BF122&amp;IF($BJ122="NULL",0,$BJ122),所有坦克升星属性,MATCH(BK$3,所有坦克升星属性标头,0),FALSE)+ROUND(BP122/VLOOKUP($BF122,坦克部件!#REF!,4,FALSE)*VLOOKUP($BF122&amp;0,所有坦克升星属性,MATCH(BK$3,所有坦克升星属性标头,0),FALSE),0)</f>
        <v>#N/A</v>
      </c>
      <c r="BL122" s="372" t="e">
        <f ca="1">VLOOKUP($BF122&amp;IF($BJ122="NULL",0,$BJ122),所有坦克升星属性,MATCH(BL$3,所有坦克升星属性标头,0),FALSE)+ROUND(BQ122/VLOOKUP($BF122,坦克部件!#REF!,4,FALSE)*VLOOKUP($BF122&amp;0,所有坦克升星属性,MATCH(BL$3,所有坦克升星属性标头,0),FALSE),0)</f>
        <v>#N/A</v>
      </c>
      <c r="BM122" s="372" t="e">
        <f t="shared" ca="1" si="82"/>
        <v>#N/A</v>
      </c>
      <c r="BN122" s="372" t="e">
        <f t="shared" ca="1" si="82"/>
        <v>#N/A</v>
      </c>
      <c r="BO122" s="372" t="e">
        <f ca="1">VLOOKUP($BF122&amp;IF($BJ122="NULL",0,$BJ122),所有坦克升星属性,MATCH(BO$3,所有坦克升星属性标头,0),FALSE)+ROUND(BR122/VLOOKUP($BF122,坦克部件!#REF!,4,FALSE)*VLOOKUP($BF122&amp;0,所有坦克升星属性,MATCH(BO$3,所有坦克升星属性标头,0),FALSE),0)</f>
        <v>#N/A</v>
      </c>
      <c r="BP122" s="372" t="e">
        <f ca="1">(VLOOKUP($BH122,坦克部件!#REF!,MATCH("标准值",坦克部件!#REF!,0),FALSE)+VLOOKUP($BI122,坦克部件!#REF!,MATCH("标准值",坦克部件!#REF!,0),FALSE))*2</f>
        <v>#REF!</v>
      </c>
      <c r="BQ122" s="372" t="e">
        <f ca="1">(VLOOKUP($BH122,坦克部件!#REF!,MATCH("标准值",坦克部件!#REF!,0),FALSE)+VLOOKUP($BI122,坦克部件!#REF!,MATCH("标准值",坦克部件!#REF!,0),FALSE))*2</f>
        <v>#REF!</v>
      </c>
      <c r="BR122" s="372" t="e">
        <f ca="1">(VLOOKUP($BH122,坦克部件!#REF!,MATCH("标准值",坦克部件!#REF!,0),FALSE)+VLOOKUP($BI122,坦克部件!#REF!,MATCH("标准值",坦克部件!#REF!,0),FALSE))*2</f>
        <v>#REF!</v>
      </c>
      <c r="BS122" s="372" t="e">
        <f ca="1">VLOOKUP($BF122,坦克属性统计!$B$3:$AY$33,MATCH(BS$3,坦克属性统计!$B$3:$AY$3,0),FALSE)</f>
        <v>#N/A</v>
      </c>
      <c r="BT122" s="372" t="e">
        <f t="shared" ca="1" si="83"/>
        <v>#N/A</v>
      </c>
      <c r="BU122" s="372" t="e">
        <f t="shared" ca="1" si="83"/>
        <v>#N/A</v>
      </c>
      <c r="BV122" s="372" t="e">
        <f t="shared" ca="1" si="83"/>
        <v>#N/A</v>
      </c>
      <c r="BW122" s="356">
        <f t="shared" ca="1" si="59"/>
        <v>0</v>
      </c>
      <c r="BX122" s="356" t="e">
        <f ca="1">VLOOKUP(BF122,坦克个性化设定!$B$18:$E$48,4,FALSE)</f>
        <v>#N/A</v>
      </c>
      <c r="BY122" s="357" t="e">
        <f t="shared" ca="1" si="66"/>
        <v>#N/A</v>
      </c>
    </row>
    <row r="123" spans="2:77" x14ac:dyDescent="0.35">
      <c r="B123" s="392">
        <v>74</v>
      </c>
      <c r="C123" s="392">
        <f>游戏时长规划!C185</f>
        <v>10</v>
      </c>
      <c r="D123" s="392">
        <f>游戏时长规划!D185</f>
        <v>1730</v>
      </c>
      <c r="E123" s="392">
        <f>游戏时长规划!E185</f>
        <v>12</v>
      </c>
      <c r="F123" s="392">
        <f>游戏时长规划!F185</f>
        <v>26250</v>
      </c>
      <c r="O123" s="365">
        <v>120</v>
      </c>
      <c r="P123" s="360" t="e">
        <f t="shared" ca="1" si="78"/>
        <v>#REF!</v>
      </c>
      <c r="Q123" s="360" t="e">
        <f ca="1">ROUND(MIN((BD123-VLOOKUP(R123,$B$22:$F$46,2,FALSE))/(VLOOKUP(R123,$B$22:$F$46,3,FALSE)-VLOOKUP(R123,$B$22:$F$46,2,FALSE)),1)*((VLOOKUP(R123,$B$22:$F$46,4,FALSE)*(AG123/(AG123+VLOOKUP(P123,$D$49:$F$123,3,TRUE)))+VLOOKUP(R123,$B$22:$F$46,5,FALSE)*(1-AG123/(AG123+VLOOKUP(P123,$D$49:$F$123,3,TRUE))))/2)*游戏时长规划!$C$4,0)</f>
        <v>#REF!</v>
      </c>
      <c r="R123" s="360" t="e">
        <f t="shared" ca="1" si="46"/>
        <v>#REF!</v>
      </c>
      <c r="S123" s="360" t="e">
        <f t="shared" ca="1" si="67"/>
        <v>#REF!</v>
      </c>
      <c r="T123" s="360" t="e">
        <f t="shared" ca="1" si="79"/>
        <v>#REF!</v>
      </c>
      <c r="U123" s="370" t="e">
        <f t="shared" ca="1" si="47"/>
        <v>#REF!</v>
      </c>
      <c r="V123" s="363" t="e">
        <f t="shared" ca="1" si="68"/>
        <v>#REF!</v>
      </c>
      <c r="W123" s="360" t="e">
        <f t="shared" ca="1" si="48"/>
        <v>#REF!</v>
      </c>
      <c r="X123" s="81" t="e">
        <f t="shared" ca="1" si="60"/>
        <v>#REF!</v>
      </c>
      <c r="Y123" s="360" t="str">
        <f t="shared" ca="1" si="49"/>
        <v>NULL</v>
      </c>
      <c r="Z123" s="375" t="e">
        <f t="shared" ca="1" si="61"/>
        <v>#REF!</v>
      </c>
      <c r="AA123" s="360">
        <f ca="1">IFERROR(VLOOKUP(IF(V123="T1低",游戏时长规划!$C$67+Z123,Z123),INDIRECT(V123&amp;"星级"),2,TRUE),0)</f>
        <v>0</v>
      </c>
      <c r="AB123" s="375" t="e">
        <f t="shared" ca="1" si="50"/>
        <v>#REF!</v>
      </c>
      <c r="AC123" s="375">
        <f ca="1">($D$14+$D$17)*$L$4/坦克部件养成!$C$2+AC122-IFERROR(IF(RIGHT(AD122,3)*1&gt;RIGHT(VLOOKUP(AC122,INDIRECT(LEFT(AD121,2)&amp;"部件升阶"),5,TRUE),3)*1,VLOOKUP(AD121,INDIRECT(LEFT(AD121,2)&amp;"部件升阶消耗"),2,FALSE),0),0)</f>
        <v>1419.9999999999989</v>
      </c>
      <c r="AD123" s="360" t="e">
        <f t="shared" ca="1" si="51"/>
        <v>#REF!</v>
      </c>
      <c r="AE123" s="375" t="e">
        <f ca="1">$D$15*$L$4/坦克部件养成!$C$2+AE122-IF(LEFT(AD123,2)&lt;&gt;LEFT(AD122,2),VLOOKUP(AF122,INDIRECT(LEFT(AD122,2)&amp;"部件升级消耗"),5,FALSE),0)</f>
        <v>#REF!</v>
      </c>
      <c r="AF123" s="360" t="e">
        <f ca="1">MIN(VLOOKUP(AE123,INDIRECT(LEFT(AD123,2)&amp;"部件升级"),2,TRUE),VLOOKUP(LEFT(AD123,2),坦克部件养成!#REF!,6,FALSE))</f>
        <v>#REF!</v>
      </c>
      <c r="AG123" s="378" t="e">
        <f ca="1">MAX(BD$4:BD123)</f>
        <v>#REF!</v>
      </c>
      <c r="AH123" s="378" t="str">
        <f t="shared" ca="1" si="52"/>
        <v/>
      </c>
      <c r="AI123" s="378">
        <f ca="1">IF(Y123="NULL",0,MAX(BY$4:BY123))</f>
        <v>0</v>
      </c>
      <c r="AK123" s="364" t="e">
        <f t="shared" ca="1" si="53"/>
        <v>#REF!</v>
      </c>
      <c r="AL123" s="364" t="e">
        <f ca="1">VLOOKUP(AK123,坦克个性化设定!$B$18:$F$48,5,FALSE)</f>
        <v>#REF!</v>
      </c>
      <c r="AM123" s="372" t="e">
        <f t="shared" ca="1" si="54"/>
        <v>#REF!</v>
      </c>
      <c r="AN123" s="372" t="e">
        <f t="shared" ca="1" si="62"/>
        <v>#REF!</v>
      </c>
      <c r="AO123" s="364">
        <f t="shared" ca="1" si="55"/>
        <v>0</v>
      </c>
      <c r="AP123" s="372" t="e">
        <f ca="1">VLOOKUP($AK123&amp;$AO123,所有坦克升星属性,MATCH(AP$3,所有坦克升星属性标头,0),FALSE)+ROUND(AU123/VLOOKUP($AK123,坦克部件!#REF!,4,FALSE)*VLOOKUP($AK123&amp;0,所有坦克升星属性,MATCH(AP$3,所有坦克升星属性标头,0),FALSE),0)</f>
        <v>#REF!</v>
      </c>
      <c r="AQ123" s="372" t="e">
        <f ca="1">VLOOKUP($AK123&amp;$AO123,所有坦克升星属性,MATCH(AQ$3,所有坦克升星属性标头,0),FALSE)+ROUND(AV123/VLOOKUP($AK123,坦克部件!#REF!,4,FALSE)*VLOOKUP($AK123&amp;0,所有坦克升星属性,MATCH(AQ$3,所有坦克升星属性标头,0),FALSE),0)</f>
        <v>#REF!</v>
      </c>
      <c r="AR123" s="372" t="e">
        <f t="shared" ca="1" si="80"/>
        <v>#REF!</v>
      </c>
      <c r="AS123" s="372" t="e">
        <f t="shared" ca="1" si="80"/>
        <v>#REF!</v>
      </c>
      <c r="AT123" s="372" t="e">
        <f ca="1">VLOOKUP($AK123&amp;$AO123,所有坦克升星属性,MATCH(AT$3,所有坦克升星属性标头,0),FALSE)+ROUND(AW123/VLOOKUP($AK123,坦克部件!#REF!,4,FALSE)*VLOOKUP($AK123&amp;0,所有坦克升星属性,MATCH(AT$3,所有坦克升星属性标头,0),FALSE),0)</f>
        <v>#REF!</v>
      </c>
      <c r="AU123" s="372" t="e">
        <f ca="1">(VLOOKUP($AM123,坦克部件!#REF!,MATCH("标准值",坦克部件!#REF!,0),FALSE)+VLOOKUP($AN123,坦克部件!#REF!,MATCH("标准值",坦克部件!#REF!,0),FALSE))*2</f>
        <v>#REF!</v>
      </c>
      <c r="AV123" s="372" t="e">
        <f ca="1">(VLOOKUP($AM123,坦克部件!#REF!,MATCH("标准值",坦克部件!#REF!,0),FALSE)+VLOOKUP($AN123,坦克部件!#REF!,MATCH("标准值",坦克部件!#REF!,0),FALSE))*2</f>
        <v>#REF!</v>
      </c>
      <c r="AW123" s="372" t="e">
        <f ca="1">(VLOOKUP($AM123,坦克部件!#REF!,MATCH("标准值",坦克部件!#REF!,0),FALSE)+VLOOKUP($AN123,坦克部件!#REF!,MATCH("标准值",坦克部件!#REF!,0),FALSE))*2</f>
        <v>#REF!</v>
      </c>
      <c r="AX123" s="372" t="e">
        <f ca="1">VLOOKUP($AK123,坦克属性统计!$B$3:$AY$33,MATCH(AX$3,坦克属性统计!$B$3:$AY$3,0),FALSE)</f>
        <v>#REF!</v>
      </c>
      <c r="AY123" s="372" t="e">
        <f t="shared" ca="1" si="81"/>
        <v>#REF!</v>
      </c>
      <c r="AZ123" s="372" t="e">
        <f t="shared" ca="1" si="81"/>
        <v>#REF!</v>
      </c>
      <c r="BA123" s="372" t="e">
        <f t="shared" ca="1" si="81"/>
        <v>#REF!</v>
      </c>
      <c r="BB123" s="356" t="e">
        <f t="shared" ca="1" si="56"/>
        <v>#REF!</v>
      </c>
      <c r="BC123" s="356" t="e">
        <f ca="1">VLOOKUP(AK123,坦克个性化设定!$B$18:$E$48,4,FALSE)</f>
        <v>#REF!</v>
      </c>
      <c r="BD123" s="357" t="e">
        <f t="shared" ca="1" si="63"/>
        <v>#REF!</v>
      </c>
      <c r="BF123" s="357" t="str">
        <f t="shared" ca="1" si="57"/>
        <v/>
      </c>
      <c r="BG123" s="372" t="str">
        <f ca="1">IFERROR(VLOOKUP(BF123,坦克个性化设定!$B$18:$F$48,5,FALSE),"")</f>
        <v/>
      </c>
      <c r="BH123" s="372" t="e">
        <f t="shared" ca="1" si="64"/>
        <v>#REF!</v>
      </c>
      <c r="BI123" s="372" t="e">
        <f t="shared" ca="1" si="65"/>
        <v>#REF!</v>
      </c>
      <c r="BJ123" s="364" t="str">
        <f t="shared" ca="1" si="58"/>
        <v>NULL</v>
      </c>
      <c r="BK123" s="372" t="e">
        <f ca="1">VLOOKUP($BF123&amp;IF($BJ123="NULL",0,$BJ123),所有坦克升星属性,MATCH(BK$3,所有坦克升星属性标头,0),FALSE)+ROUND(BP123/VLOOKUP($BF123,坦克部件!#REF!,4,FALSE)*VLOOKUP($BF123&amp;0,所有坦克升星属性,MATCH(BK$3,所有坦克升星属性标头,0),FALSE),0)</f>
        <v>#N/A</v>
      </c>
      <c r="BL123" s="372" t="e">
        <f ca="1">VLOOKUP($BF123&amp;IF($BJ123="NULL",0,$BJ123),所有坦克升星属性,MATCH(BL$3,所有坦克升星属性标头,0),FALSE)+ROUND(BQ123/VLOOKUP($BF123,坦克部件!#REF!,4,FALSE)*VLOOKUP($BF123&amp;0,所有坦克升星属性,MATCH(BL$3,所有坦克升星属性标头,0),FALSE),0)</f>
        <v>#N/A</v>
      </c>
      <c r="BM123" s="372" t="e">
        <f t="shared" ca="1" si="82"/>
        <v>#N/A</v>
      </c>
      <c r="BN123" s="372" t="e">
        <f t="shared" ca="1" si="82"/>
        <v>#N/A</v>
      </c>
      <c r="BO123" s="372" t="e">
        <f ca="1">VLOOKUP($BF123&amp;IF($BJ123="NULL",0,$BJ123),所有坦克升星属性,MATCH(BO$3,所有坦克升星属性标头,0),FALSE)+ROUND(BR123/VLOOKUP($BF123,坦克部件!#REF!,4,FALSE)*VLOOKUP($BF123&amp;0,所有坦克升星属性,MATCH(BO$3,所有坦克升星属性标头,0),FALSE),0)</f>
        <v>#N/A</v>
      </c>
      <c r="BP123" s="372" t="e">
        <f ca="1">(VLOOKUP($BH123,坦克部件!#REF!,MATCH("标准值",坦克部件!#REF!,0),FALSE)+VLOOKUP($BI123,坦克部件!#REF!,MATCH("标准值",坦克部件!#REF!,0),FALSE))*2</f>
        <v>#REF!</v>
      </c>
      <c r="BQ123" s="372" t="e">
        <f ca="1">(VLOOKUP($BH123,坦克部件!#REF!,MATCH("标准值",坦克部件!#REF!,0),FALSE)+VLOOKUP($BI123,坦克部件!#REF!,MATCH("标准值",坦克部件!#REF!,0),FALSE))*2</f>
        <v>#REF!</v>
      </c>
      <c r="BR123" s="372" t="e">
        <f ca="1">(VLOOKUP($BH123,坦克部件!#REF!,MATCH("标准值",坦克部件!#REF!,0),FALSE)+VLOOKUP($BI123,坦克部件!#REF!,MATCH("标准值",坦克部件!#REF!,0),FALSE))*2</f>
        <v>#REF!</v>
      </c>
      <c r="BS123" s="372" t="e">
        <f ca="1">VLOOKUP($BF123,坦克属性统计!$B$3:$AY$33,MATCH(BS$3,坦克属性统计!$B$3:$AY$3,0),FALSE)</f>
        <v>#N/A</v>
      </c>
      <c r="BT123" s="372" t="e">
        <f t="shared" ca="1" si="83"/>
        <v>#N/A</v>
      </c>
      <c r="BU123" s="372" t="e">
        <f t="shared" ca="1" si="83"/>
        <v>#N/A</v>
      </c>
      <c r="BV123" s="372" t="e">
        <f t="shared" ca="1" si="83"/>
        <v>#N/A</v>
      </c>
      <c r="BW123" s="356">
        <f t="shared" ca="1" si="59"/>
        <v>0</v>
      </c>
      <c r="BX123" s="356" t="e">
        <f ca="1">VLOOKUP(BF123,坦克个性化设定!$B$18:$E$48,4,FALSE)</f>
        <v>#N/A</v>
      </c>
      <c r="BY123" s="357" t="e">
        <f t="shared" ca="1" si="66"/>
        <v>#N/A</v>
      </c>
    </row>
    <row r="124" spans="2:77" x14ac:dyDescent="0.35">
      <c r="O124" s="365">
        <v>121</v>
      </c>
      <c r="P124" s="360" t="e">
        <f t="shared" ca="1" si="78"/>
        <v>#REF!</v>
      </c>
      <c r="Q124" s="360" t="e">
        <f ca="1">ROUND(MIN((BD124-VLOOKUP(R124,$B$22:$F$46,2,FALSE))/(VLOOKUP(R124,$B$22:$F$46,3,FALSE)-VLOOKUP(R124,$B$22:$F$46,2,FALSE)),1)*((VLOOKUP(R124,$B$22:$F$46,4,FALSE)*(AG124/(AG124+VLOOKUP(P124,$D$49:$F$123,3,TRUE)))+VLOOKUP(R124,$B$22:$F$46,5,FALSE)*(1-AG124/(AG124+VLOOKUP(P124,$D$49:$F$123,3,TRUE))))/2)*游戏时长规划!$C$4,0)</f>
        <v>#REF!</v>
      </c>
      <c r="R124" s="360" t="e">
        <f t="shared" ca="1" si="46"/>
        <v>#REF!</v>
      </c>
      <c r="S124" s="360" t="e">
        <f t="shared" ca="1" si="67"/>
        <v>#REF!</v>
      </c>
      <c r="T124" s="360" t="e">
        <f t="shared" ca="1" si="79"/>
        <v>#REF!</v>
      </c>
      <c r="U124" s="370" t="e">
        <f t="shared" ca="1" si="47"/>
        <v>#REF!</v>
      </c>
      <c r="V124" s="363" t="e">
        <f t="shared" ca="1" si="68"/>
        <v>#REF!</v>
      </c>
      <c r="W124" s="360" t="e">
        <f t="shared" ca="1" si="48"/>
        <v>#REF!</v>
      </c>
      <c r="X124" s="81" t="e">
        <f t="shared" ca="1" si="60"/>
        <v>#REF!</v>
      </c>
      <c r="Y124" s="360" t="str">
        <f t="shared" ca="1" si="49"/>
        <v>NULL</v>
      </c>
      <c r="Z124" s="375" t="e">
        <f t="shared" ca="1" si="61"/>
        <v>#REF!</v>
      </c>
      <c r="AA124" s="360">
        <f ca="1">IFERROR(VLOOKUP(IF(V124="T1低",游戏时长规划!$C$67+Z124,Z124),INDIRECT(V124&amp;"星级"),2,TRUE),0)</f>
        <v>0</v>
      </c>
      <c r="AB124" s="375" t="e">
        <f t="shared" ca="1" si="50"/>
        <v>#REF!</v>
      </c>
      <c r="AC124" s="375">
        <f ca="1">($D$14+$D$17)*$L$4/坦克部件养成!$C$2+AC123-IFERROR(IF(RIGHT(AD123,3)*1&gt;RIGHT(VLOOKUP(AC123,INDIRECT(LEFT(AD122,2)&amp;"部件升阶"),5,TRUE),3)*1,VLOOKUP(AD122,INDIRECT(LEFT(AD122,2)&amp;"部件升阶消耗"),2,FALSE),0),0)</f>
        <v>1431.8333333333321</v>
      </c>
      <c r="AD124" s="360" t="e">
        <f t="shared" ca="1" si="51"/>
        <v>#REF!</v>
      </c>
      <c r="AE124" s="375" t="e">
        <f ca="1">$D$15*$L$4/坦克部件养成!$C$2+AE123-IF(LEFT(AD124,2)&lt;&gt;LEFT(AD123,2),VLOOKUP(AF123,INDIRECT(LEFT(AD123,2)&amp;"部件升级消耗"),5,FALSE),0)</f>
        <v>#REF!</v>
      </c>
      <c r="AF124" s="360" t="e">
        <f ca="1">MIN(VLOOKUP(AE124,INDIRECT(LEFT(AD124,2)&amp;"部件升级"),2,TRUE),VLOOKUP(LEFT(AD124,2),坦克部件养成!#REF!,6,FALSE))</f>
        <v>#REF!</v>
      </c>
      <c r="AG124" s="378" t="e">
        <f ca="1">MAX(BD$4:BD124)</f>
        <v>#REF!</v>
      </c>
      <c r="AH124" s="378" t="str">
        <f t="shared" ca="1" si="52"/>
        <v/>
      </c>
      <c r="AI124" s="378">
        <f ca="1">IF(Y124="NULL",0,MAX(BY$4:BY124))</f>
        <v>0</v>
      </c>
      <c r="AK124" s="364" t="e">
        <f t="shared" ca="1" si="53"/>
        <v>#REF!</v>
      </c>
      <c r="AL124" s="364" t="e">
        <f ca="1">VLOOKUP(AK124,坦克个性化设定!$B$18:$F$48,5,FALSE)</f>
        <v>#REF!</v>
      </c>
      <c r="AM124" s="372" t="e">
        <f t="shared" ca="1" si="54"/>
        <v>#REF!</v>
      </c>
      <c r="AN124" s="372" t="e">
        <f t="shared" ca="1" si="62"/>
        <v>#REF!</v>
      </c>
      <c r="AO124" s="364">
        <f t="shared" ca="1" si="55"/>
        <v>0</v>
      </c>
      <c r="AP124" s="372" t="e">
        <f ca="1">VLOOKUP($AK124&amp;$AO124,所有坦克升星属性,MATCH(AP$3,所有坦克升星属性标头,0),FALSE)+ROUND(AU124/VLOOKUP($AK124,坦克部件!#REF!,4,FALSE)*VLOOKUP($AK124&amp;0,所有坦克升星属性,MATCH(AP$3,所有坦克升星属性标头,0),FALSE),0)</f>
        <v>#REF!</v>
      </c>
      <c r="AQ124" s="372" t="e">
        <f ca="1">VLOOKUP($AK124&amp;$AO124,所有坦克升星属性,MATCH(AQ$3,所有坦克升星属性标头,0),FALSE)+ROUND(AV124/VLOOKUP($AK124,坦克部件!#REF!,4,FALSE)*VLOOKUP($AK124&amp;0,所有坦克升星属性,MATCH(AQ$3,所有坦克升星属性标头,0),FALSE),0)</f>
        <v>#REF!</v>
      </c>
      <c r="AR124" s="372" t="e">
        <f t="shared" ref="AR124:AS143" ca="1" si="84">VLOOKUP($AK124&amp;$AO124,所有坦克升星属性,MATCH(AR$3,所有坦克升星属性标头,0),FALSE)</f>
        <v>#REF!</v>
      </c>
      <c r="AS124" s="372" t="e">
        <f t="shared" ca="1" si="84"/>
        <v>#REF!</v>
      </c>
      <c r="AT124" s="372" t="e">
        <f ca="1">VLOOKUP($AK124&amp;$AO124,所有坦克升星属性,MATCH(AT$3,所有坦克升星属性标头,0),FALSE)+ROUND(AW124/VLOOKUP($AK124,坦克部件!#REF!,4,FALSE)*VLOOKUP($AK124&amp;0,所有坦克升星属性,MATCH(AT$3,所有坦克升星属性标头,0),FALSE),0)</f>
        <v>#REF!</v>
      </c>
      <c r="AU124" s="372" t="e">
        <f ca="1">(VLOOKUP($AM124,坦克部件!#REF!,MATCH("标准值",坦克部件!#REF!,0),FALSE)+VLOOKUP($AN124,坦克部件!#REF!,MATCH("标准值",坦克部件!#REF!,0),FALSE))*2</f>
        <v>#REF!</v>
      </c>
      <c r="AV124" s="372" t="e">
        <f ca="1">(VLOOKUP($AM124,坦克部件!#REF!,MATCH("标准值",坦克部件!#REF!,0),FALSE)+VLOOKUP($AN124,坦克部件!#REF!,MATCH("标准值",坦克部件!#REF!,0),FALSE))*2</f>
        <v>#REF!</v>
      </c>
      <c r="AW124" s="372" t="e">
        <f ca="1">(VLOOKUP($AM124,坦克部件!#REF!,MATCH("标准值",坦克部件!#REF!,0),FALSE)+VLOOKUP($AN124,坦克部件!#REF!,MATCH("标准值",坦克部件!#REF!,0),FALSE))*2</f>
        <v>#REF!</v>
      </c>
      <c r="AX124" s="372" t="e">
        <f ca="1">VLOOKUP($AK124,坦克属性统计!$B$3:$AY$33,MATCH(AX$3,坦克属性统计!$B$3:$AY$3,0),FALSE)</f>
        <v>#REF!</v>
      </c>
      <c r="AY124" s="372" t="e">
        <f t="shared" ref="AY124:BA143" ca="1" si="85">VLOOKUP($AK124&amp;$AO124,所有坦克升星属性,MATCH(AY$3,所有坦克升星属性标头,0),FALSE)</f>
        <v>#REF!</v>
      </c>
      <c r="AZ124" s="372" t="e">
        <f t="shared" ca="1" si="85"/>
        <v>#REF!</v>
      </c>
      <c r="BA124" s="372" t="e">
        <f t="shared" ca="1" si="85"/>
        <v>#REF!</v>
      </c>
      <c r="BB124" s="356" t="e">
        <f t="shared" ca="1" si="56"/>
        <v>#REF!</v>
      </c>
      <c r="BC124" s="356" t="e">
        <f ca="1">VLOOKUP(AK124,坦克个性化设定!$B$18:$E$48,4,FALSE)</f>
        <v>#REF!</v>
      </c>
      <c r="BD124" s="357" t="e">
        <f t="shared" ca="1" si="63"/>
        <v>#REF!</v>
      </c>
      <c r="BF124" s="357" t="str">
        <f t="shared" ca="1" si="57"/>
        <v/>
      </c>
      <c r="BG124" s="372" t="str">
        <f ca="1">IFERROR(VLOOKUP(BF124,坦克个性化设定!$B$18:$F$48,5,FALSE),"")</f>
        <v/>
      </c>
      <c r="BH124" s="372" t="e">
        <f t="shared" ca="1" si="64"/>
        <v>#REF!</v>
      </c>
      <c r="BI124" s="372" t="e">
        <f t="shared" ca="1" si="65"/>
        <v>#REF!</v>
      </c>
      <c r="BJ124" s="364" t="str">
        <f t="shared" ca="1" si="58"/>
        <v>NULL</v>
      </c>
      <c r="BK124" s="372" t="e">
        <f ca="1">VLOOKUP($BF124&amp;IF($BJ124="NULL",0,$BJ124),所有坦克升星属性,MATCH(BK$3,所有坦克升星属性标头,0),FALSE)+ROUND(BP124/VLOOKUP($BF124,坦克部件!#REF!,4,FALSE)*VLOOKUP($BF124&amp;0,所有坦克升星属性,MATCH(BK$3,所有坦克升星属性标头,0),FALSE),0)</f>
        <v>#N/A</v>
      </c>
      <c r="BL124" s="372" t="e">
        <f ca="1">VLOOKUP($BF124&amp;IF($BJ124="NULL",0,$BJ124),所有坦克升星属性,MATCH(BL$3,所有坦克升星属性标头,0),FALSE)+ROUND(BQ124/VLOOKUP($BF124,坦克部件!#REF!,4,FALSE)*VLOOKUP($BF124&amp;0,所有坦克升星属性,MATCH(BL$3,所有坦克升星属性标头,0),FALSE),0)</f>
        <v>#N/A</v>
      </c>
      <c r="BM124" s="372" t="e">
        <f t="shared" ref="BM124:BN143" ca="1" si="86">VLOOKUP($BF124&amp;IF($BJ124="NULL",0,$BJ124),所有坦克升星属性,MATCH(BM$3,所有坦克升星属性标头,0),FALSE)</f>
        <v>#N/A</v>
      </c>
      <c r="BN124" s="372" t="e">
        <f t="shared" ca="1" si="86"/>
        <v>#N/A</v>
      </c>
      <c r="BO124" s="372" t="e">
        <f ca="1">VLOOKUP($BF124&amp;IF($BJ124="NULL",0,$BJ124),所有坦克升星属性,MATCH(BO$3,所有坦克升星属性标头,0),FALSE)+ROUND(BR124/VLOOKUP($BF124,坦克部件!#REF!,4,FALSE)*VLOOKUP($BF124&amp;0,所有坦克升星属性,MATCH(BO$3,所有坦克升星属性标头,0),FALSE),0)</f>
        <v>#N/A</v>
      </c>
      <c r="BP124" s="372" t="e">
        <f ca="1">(VLOOKUP($BH124,坦克部件!#REF!,MATCH("标准值",坦克部件!#REF!,0),FALSE)+VLOOKUP($BI124,坦克部件!#REF!,MATCH("标准值",坦克部件!#REF!,0),FALSE))*2</f>
        <v>#REF!</v>
      </c>
      <c r="BQ124" s="372" t="e">
        <f ca="1">(VLOOKUP($BH124,坦克部件!#REF!,MATCH("标准值",坦克部件!#REF!,0),FALSE)+VLOOKUP($BI124,坦克部件!#REF!,MATCH("标准值",坦克部件!#REF!,0),FALSE))*2</f>
        <v>#REF!</v>
      </c>
      <c r="BR124" s="372" t="e">
        <f ca="1">(VLOOKUP($BH124,坦克部件!#REF!,MATCH("标准值",坦克部件!#REF!,0),FALSE)+VLOOKUP($BI124,坦克部件!#REF!,MATCH("标准值",坦克部件!#REF!,0),FALSE))*2</f>
        <v>#REF!</v>
      </c>
      <c r="BS124" s="372" t="e">
        <f ca="1">VLOOKUP($BF124,坦克属性统计!$B$3:$AY$33,MATCH(BS$3,坦克属性统计!$B$3:$AY$3,0),FALSE)</f>
        <v>#N/A</v>
      </c>
      <c r="BT124" s="372" t="e">
        <f t="shared" ref="BT124:BV143" ca="1" si="87">VLOOKUP($BF124&amp;IF($BJ124="NULL",0,$BJ124),所有坦克升星属性,MATCH(BT$3,所有坦克升星属性标头,0),FALSE)</f>
        <v>#N/A</v>
      </c>
      <c r="BU124" s="372" t="e">
        <f t="shared" ca="1" si="87"/>
        <v>#N/A</v>
      </c>
      <c r="BV124" s="372" t="e">
        <f t="shared" ca="1" si="87"/>
        <v>#N/A</v>
      </c>
      <c r="BW124" s="356">
        <f t="shared" ca="1" si="59"/>
        <v>0</v>
      </c>
      <c r="BX124" s="356" t="e">
        <f ca="1">VLOOKUP(BF124,坦克个性化设定!$B$18:$E$48,4,FALSE)</f>
        <v>#N/A</v>
      </c>
      <c r="BY124" s="357" t="e">
        <f t="shared" ca="1" si="66"/>
        <v>#N/A</v>
      </c>
    </row>
    <row r="125" spans="2:77" x14ac:dyDescent="0.35">
      <c r="O125" s="365">
        <v>122</v>
      </c>
      <c r="P125" s="360" t="e">
        <f t="shared" ca="1" si="78"/>
        <v>#REF!</v>
      </c>
      <c r="Q125" s="360" t="e">
        <f ca="1">ROUND(MIN((BD125-VLOOKUP(R125,$B$22:$F$46,2,FALSE))/(VLOOKUP(R125,$B$22:$F$46,3,FALSE)-VLOOKUP(R125,$B$22:$F$46,2,FALSE)),1)*((VLOOKUP(R125,$B$22:$F$46,4,FALSE)*(AG125/(AG125+VLOOKUP(P125,$D$49:$F$123,3,TRUE)))+VLOOKUP(R125,$B$22:$F$46,5,FALSE)*(1-AG125/(AG125+VLOOKUP(P125,$D$49:$F$123,3,TRUE))))/2)*游戏时长规划!$C$4,0)</f>
        <v>#REF!</v>
      </c>
      <c r="R125" s="360" t="e">
        <f t="shared" ca="1" si="46"/>
        <v>#REF!</v>
      </c>
      <c r="S125" s="360" t="e">
        <f t="shared" ca="1" si="67"/>
        <v>#REF!</v>
      </c>
      <c r="T125" s="360" t="e">
        <f t="shared" ca="1" si="79"/>
        <v>#REF!</v>
      </c>
      <c r="U125" s="370" t="e">
        <f t="shared" ca="1" si="47"/>
        <v>#REF!</v>
      </c>
      <c r="V125" s="363" t="e">
        <f t="shared" ca="1" si="68"/>
        <v>#REF!</v>
      </c>
      <c r="W125" s="360" t="e">
        <f t="shared" ca="1" si="48"/>
        <v>#REF!</v>
      </c>
      <c r="X125" s="81" t="e">
        <f t="shared" ca="1" si="60"/>
        <v>#REF!</v>
      </c>
      <c r="Y125" s="360" t="str">
        <f t="shared" ca="1" si="49"/>
        <v>NULL</v>
      </c>
      <c r="Z125" s="375" t="e">
        <f t="shared" ca="1" si="61"/>
        <v>#REF!</v>
      </c>
      <c r="AA125" s="360">
        <f ca="1">IFERROR(VLOOKUP(IF(V125="T1低",游戏时长规划!$C$67+Z125,Z125),INDIRECT(V125&amp;"星级"),2,TRUE),0)</f>
        <v>0</v>
      </c>
      <c r="AB125" s="375" t="e">
        <f t="shared" ca="1" si="50"/>
        <v>#REF!</v>
      </c>
      <c r="AC125" s="375">
        <f ca="1">($D$14+$D$17)*$L$4/坦克部件养成!$C$2+AC124-IFERROR(IF(RIGHT(AD124,3)*1&gt;RIGHT(VLOOKUP(AC124,INDIRECT(LEFT(AD123,2)&amp;"部件升阶"),5,TRUE),3)*1,VLOOKUP(AD123,INDIRECT(LEFT(AD123,2)&amp;"部件升阶消耗"),2,FALSE),0),0)</f>
        <v>1443.6666666666654</v>
      </c>
      <c r="AD125" s="360" t="e">
        <f t="shared" ca="1" si="51"/>
        <v>#REF!</v>
      </c>
      <c r="AE125" s="375" t="e">
        <f ca="1">$D$15*$L$4/坦克部件养成!$C$2+AE124-IF(LEFT(AD125,2)&lt;&gt;LEFT(AD124,2),VLOOKUP(AF124,INDIRECT(LEFT(AD124,2)&amp;"部件升级消耗"),5,FALSE),0)</f>
        <v>#REF!</v>
      </c>
      <c r="AF125" s="360" t="e">
        <f ca="1">MIN(VLOOKUP(AE125,INDIRECT(LEFT(AD125,2)&amp;"部件升级"),2,TRUE),VLOOKUP(LEFT(AD125,2),坦克部件养成!#REF!,6,FALSE))</f>
        <v>#REF!</v>
      </c>
      <c r="AG125" s="378" t="e">
        <f ca="1">MAX(BD$4:BD125)</f>
        <v>#REF!</v>
      </c>
      <c r="AH125" s="378" t="str">
        <f t="shared" ca="1" si="52"/>
        <v/>
      </c>
      <c r="AI125" s="378">
        <f ca="1">IF(Y125="NULL",0,MAX(BY$4:BY125))</f>
        <v>0</v>
      </c>
      <c r="AK125" s="364" t="e">
        <f t="shared" ca="1" si="53"/>
        <v>#REF!</v>
      </c>
      <c r="AL125" s="364" t="e">
        <f ca="1">VLOOKUP(AK125,坦克个性化设定!$B$18:$F$48,5,FALSE)</f>
        <v>#REF!</v>
      </c>
      <c r="AM125" s="372" t="e">
        <f t="shared" ca="1" si="54"/>
        <v>#REF!</v>
      </c>
      <c r="AN125" s="372" t="e">
        <f t="shared" ca="1" si="62"/>
        <v>#REF!</v>
      </c>
      <c r="AO125" s="364">
        <f t="shared" ca="1" si="55"/>
        <v>0</v>
      </c>
      <c r="AP125" s="372" t="e">
        <f ca="1">VLOOKUP($AK125&amp;$AO125,所有坦克升星属性,MATCH(AP$3,所有坦克升星属性标头,0),FALSE)+ROUND(AU125/VLOOKUP($AK125,坦克部件!#REF!,4,FALSE)*VLOOKUP($AK125&amp;0,所有坦克升星属性,MATCH(AP$3,所有坦克升星属性标头,0),FALSE),0)</f>
        <v>#REF!</v>
      </c>
      <c r="AQ125" s="372" t="e">
        <f ca="1">VLOOKUP($AK125&amp;$AO125,所有坦克升星属性,MATCH(AQ$3,所有坦克升星属性标头,0),FALSE)+ROUND(AV125/VLOOKUP($AK125,坦克部件!#REF!,4,FALSE)*VLOOKUP($AK125&amp;0,所有坦克升星属性,MATCH(AQ$3,所有坦克升星属性标头,0),FALSE),0)</f>
        <v>#REF!</v>
      </c>
      <c r="AR125" s="372" t="e">
        <f t="shared" ca="1" si="84"/>
        <v>#REF!</v>
      </c>
      <c r="AS125" s="372" t="e">
        <f t="shared" ca="1" si="84"/>
        <v>#REF!</v>
      </c>
      <c r="AT125" s="372" t="e">
        <f ca="1">VLOOKUP($AK125&amp;$AO125,所有坦克升星属性,MATCH(AT$3,所有坦克升星属性标头,0),FALSE)+ROUND(AW125/VLOOKUP($AK125,坦克部件!#REF!,4,FALSE)*VLOOKUP($AK125&amp;0,所有坦克升星属性,MATCH(AT$3,所有坦克升星属性标头,0),FALSE),0)</f>
        <v>#REF!</v>
      </c>
      <c r="AU125" s="372" t="e">
        <f ca="1">(VLOOKUP($AM125,坦克部件!#REF!,MATCH("标准值",坦克部件!#REF!,0),FALSE)+VLOOKUP($AN125,坦克部件!#REF!,MATCH("标准值",坦克部件!#REF!,0),FALSE))*2</f>
        <v>#REF!</v>
      </c>
      <c r="AV125" s="372" t="e">
        <f ca="1">(VLOOKUP($AM125,坦克部件!#REF!,MATCH("标准值",坦克部件!#REF!,0),FALSE)+VLOOKUP($AN125,坦克部件!#REF!,MATCH("标准值",坦克部件!#REF!,0),FALSE))*2</f>
        <v>#REF!</v>
      </c>
      <c r="AW125" s="372" t="e">
        <f ca="1">(VLOOKUP($AM125,坦克部件!#REF!,MATCH("标准值",坦克部件!#REF!,0),FALSE)+VLOOKUP($AN125,坦克部件!#REF!,MATCH("标准值",坦克部件!#REF!,0),FALSE))*2</f>
        <v>#REF!</v>
      </c>
      <c r="AX125" s="372" t="e">
        <f ca="1">VLOOKUP($AK125,坦克属性统计!$B$3:$AY$33,MATCH(AX$3,坦克属性统计!$B$3:$AY$3,0),FALSE)</f>
        <v>#REF!</v>
      </c>
      <c r="AY125" s="372" t="e">
        <f t="shared" ca="1" si="85"/>
        <v>#REF!</v>
      </c>
      <c r="AZ125" s="372" t="e">
        <f t="shared" ca="1" si="85"/>
        <v>#REF!</v>
      </c>
      <c r="BA125" s="372" t="e">
        <f t="shared" ca="1" si="85"/>
        <v>#REF!</v>
      </c>
      <c r="BB125" s="356" t="e">
        <f t="shared" ca="1" si="56"/>
        <v>#REF!</v>
      </c>
      <c r="BC125" s="356" t="e">
        <f ca="1">VLOOKUP(AK125,坦克个性化设定!$B$18:$E$48,4,FALSE)</f>
        <v>#REF!</v>
      </c>
      <c r="BD125" s="357" t="e">
        <f t="shared" ca="1" si="63"/>
        <v>#REF!</v>
      </c>
      <c r="BF125" s="357" t="str">
        <f t="shared" ca="1" si="57"/>
        <v/>
      </c>
      <c r="BG125" s="372" t="str">
        <f ca="1">IFERROR(VLOOKUP(BF125,坦克个性化设定!$B$18:$F$48,5,FALSE),"")</f>
        <v/>
      </c>
      <c r="BH125" s="372" t="e">
        <f t="shared" ca="1" si="64"/>
        <v>#REF!</v>
      </c>
      <c r="BI125" s="372" t="e">
        <f t="shared" ca="1" si="65"/>
        <v>#REF!</v>
      </c>
      <c r="BJ125" s="364" t="str">
        <f t="shared" ca="1" si="58"/>
        <v>NULL</v>
      </c>
      <c r="BK125" s="372" t="e">
        <f ca="1">VLOOKUP($BF125&amp;IF($BJ125="NULL",0,$BJ125),所有坦克升星属性,MATCH(BK$3,所有坦克升星属性标头,0),FALSE)+ROUND(BP125/VLOOKUP($BF125,坦克部件!#REF!,4,FALSE)*VLOOKUP($BF125&amp;0,所有坦克升星属性,MATCH(BK$3,所有坦克升星属性标头,0),FALSE),0)</f>
        <v>#N/A</v>
      </c>
      <c r="BL125" s="372" t="e">
        <f ca="1">VLOOKUP($BF125&amp;IF($BJ125="NULL",0,$BJ125),所有坦克升星属性,MATCH(BL$3,所有坦克升星属性标头,0),FALSE)+ROUND(BQ125/VLOOKUP($BF125,坦克部件!#REF!,4,FALSE)*VLOOKUP($BF125&amp;0,所有坦克升星属性,MATCH(BL$3,所有坦克升星属性标头,0),FALSE),0)</f>
        <v>#N/A</v>
      </c>
      <c r="BM125" s="372" t="e">
        <f t="shared" ca="1" si="86"/>
        <v>#N/A</v>
      </c>
      <c r="BN125" s="372" t="e">
        <f t="shared" ca="1" si="86"/>
        <v>#N/A</v>
      </c>
      <c r="BO125" s="372" t="e">
        <f ca="1">VLOOKUP($BF125&amp;IF($BJ125="NULL",0,$BJ125),所有坦克升星属性,MATCH(BO$3,所有坦克升星属性标头,0),FALSE)+ROUND(BR125/VLOOKUP($BF125,坦克部件!#REF!,4,FALSE)*VLOOKUP($BF125&amp;0,所有坦克升星属性,MATCH(BO$3,所有坦克升星属性标头,0),FALSE),0)</f>
        <v>#N/A</v>
      </c>
      <c r="BP125" s="372" t="e">
        <f ca="1">(VLOOKUP($BH125,坦克部件!#REF!,MATCH("标准值",坦克部件!#REF!,0),FALSE)+VLOOKUP($BI125,坦克部件!#REF!,MATCH("标准值",坦克部件!#REF!,0),FALSE))*2</f>
        <v>#REF!</v>
      </c>
      <c r="BQ125" s="372" t="e">
        <f ca="1">(VLOOKUP($BH125,坦克部件!#REF!,MATCH("标准值",坦克部件!#REF!,0),FALSE)+VLOOKUP($BI125,坦克部件!#REF!,MATCH("标准值",坦克部件!#REF!,0),FALSE))*2</f>
        <v>#REF!</v>
      </c>
      <c r="BR125" s="372" t="e">
        <f ca="1">(VLOOKUP($BH125,坦克部件!#REF!,MATCH("标准值",坦克部件!#REF!,0),FALSE)+VLOOKUP($BI125,坦克部件!#REF!,MATCH("标准值",坦克部件!#REF!,0),FALSE))*2</f>
        <v>#REF!</v>
      </c>
      <c r="BS125" s="372" t="e">
        <f ca="1">VLOOKUP($BF125,坦克属性统计!$B$3:$AY$33,MATCH(BS$3,坦克属性统计!$B$3:$AY$3,0),FALSE)</f>
        <v>#N/A</v>
      </c>
      <c r="BT125" s="372" t="e">
        <f t="shared" ca="1" si="87"/>
        <v>#N/A</v>
      </c>
      <c r="BU125" s="372" t="e">
        <f t="shared" ca="1" si="87"/>
        <v>#N/A</v>
      </c>
      <c r="BV125" s="372" t="e">
        <f t="shared" ca="1" si="87"/>
        <v>#N/A</v>
      </c>
      <c r="BW125" s="356">
        <f t="shared" ca="1" si="59"/>
        <v>0</v>
      </c>
      <c r="BX125" s="356" t="e">
        <f ca="1">VLOOKUP(BF125,坦克个性化设定!$B$18:$E$48,4,FALSE)</f>
        <v>#N/A</v>
      </c>
      <c r="BY125" s="357" t="e">
        <f t="shared" ca="1" si="66"/>
        <v>#N/A</v>
      </c>
    </row>
    <row r="126" spans="2:77" x14ac:dyDescent="0.35">
      <c r="O126" s="365">
        <v>123</v>
      </c>
      <c r="P126" s="360" t="e">
        <f t="shared" ca="1" si="78"/>
        <v>#REF!</v>
      </c>
      <c r="Q126" s="360" t="e">
        <f ca="1">ROUND(MIN((BD126-VLOOKUP(R126,$B$22:$F$46,2,FALSE))/(VLOOKUP(R126,$B$22:$F$46,3,FALSE)-VLOOKUP(R126,$B$22:$F$46,2,FALSE)),1)*((VLOOKUP(R126,$B$22:$F$46,4,FALSE)*(AG126/(AG126+VLOOKUP(P126,$D$49:$F$123,3,TRUE)))+VLOOKUP(R126,$B$22:$F$46,5,FALSE)*(1-AG126/(AG126+VLOOKUP(P126,$D$49:$F$123,3,TRUE))))/2)*游戏时长规划!$C$4,0)</f>
        <v>#REF!</v>
      </c>
      <c r="R126" s="360" t="e">
        <f t="shared" ca="1" si="46"/>
        <v>#REF!</v>
      </c>
      <c r="S126" s="360" t="e">
        <f t="shared" ca="1" si="67"/>
        <v>#REF!</v>
      </c>
      <c r="T126" s="360" t="e">
        <f t="shared" ca="1" si="79"/>
        <v>#REF!</v>
      </c>
      <c r="U126" s="370" t="e">
        <f t="shared" ca="1" si="47"/>
        <v>#REF!</v>
      </c>
      <c r="V126" s="363" t="e">
        <f t="shared" ca="1" si="68"/>
        <v>#REF!</v>
      </c>
      <c r="W126" s="360" t="e">
        <f t="shared" ca="1" si="48"/>
        <v>#REF!</v>
      </c>
      <c r="X126" s="81" t="e">
        <f t="shared" ca="1" si="60"/>
        <v>#REF!</v>
      </c>
      <c r="Y126" s="360" t="str">
        <f t="shared" ca="1" si="49"/>
        <v>NULL</v>
      </c>
      <c r="Z126" s="375" t="e">
        <f t="shared" ca="1" si="61"/>
        <v>#REF!</v>
      </c>
      <c r="AA126" s="360">
        <f ca="1">IFERROR(VLOOKUP(IF(V126="T1低",游戏时长规划!$C$67+Z126,Z126),INDIRECT(V126&amp;"星级"),2,TRUE),0)</f>
        <v>0</v>
      </c>
      <c r="AB126" s="375" t="e">
        <f t="shared" ca="1" si="50"/>
        <v>#REF!</v>
      </c>
      <c r="AC126" s="375">
        <f ca="1">($D$14+$D$17)*$L$4/坦克部件养成!$C$2+AC125-IFERROR(IF(RIGHT(AD125,3)*1&gt;RIGHT(VLOOKUP(AC125,INDIRECT(LEFT(AD124,2)&amp;"部件升阶"),5,TRUE),3)*1,VLOOKUP(AD124,INDIRECT(LEFT(AD124,2)&amp;"部件升阶消耗"),2,FALSE),0),0)</f>
        <v>1455.4999999999986</v>
      </c>
      <c r="AD126" s="360" t="e">
        <f t="shared" ca="1" si="51"/>
        <v>#REF!</v>
      </c>
      <c r="AE126" s="375" t="e">
        <f ca="1">$D$15*$L$4/坦克部件养成!$C$2+AE125-IF(LEFT(AD126,2)&lt;&gt;LEFT(AD125,2),VLOOKUP(AF125,INDIRECT(LEFT(AD125,2)&amp;"部件升级消耗"),5,FALSE),0)</f>
        <v>#REF!</v>
      </c>
      <c r="AF126" s="360" t="e">
        <f ca="1">MIN(VLOOKUP(AE126,INDIRECT(LEFT(AD126,2)&amp;"部件升级"),2,TRUE),VLOOKUP(LEFT(AD126,2),坦克部件养成!#REF!,6,FALSE))</f>
        <v>#REF!</v>
      </c>
      <c r="AG126" s="378" t="e">
        <f ca="1">MAX(BD$4:BD126)</f>
        <v>#REF!</v>
      </c>
      <c r="AH126" s="378" t="str">
        <f t="shared" ca="1" si="52"/>
        <v/>
      </c>
      <c r="AI126" s="378">
        <f ca="1">IF(Y126="NULL",0,MAX(BY$4:BY126))</f>
        <v>0</v>
      </c>
      <c r="AK126" s="364" t="e">
        <f t="shared" ca="1" si="53"/>
        <v>#REF!</v>
      </c>
      <c r="AL126" s="364" t="e">
        <f ca="1">VLOOKUP(AK126,坦克个性化设定!$B$18:$F$48,5,FALSE)</f>
        <v>#REF!</v>
      </c>
      <c r="AM126" s="372" t="e">
        <f t="shared" ca="1" si="54"/>
        <v>#REF!</v>
      </c>
      <c r="AN126" s="372" t="e">
        <f t="shared" ca="1" si="62"/>
        <v>#REF!</v>
      </c>
      <c r="AO126" s="364">
        <f t="shared" ca="1" si="55"/>
        <v>0</v>
      </c>
      <c r="AP126" s="372" t="e">
        <f ca="1">VLOOKUP($AK126&amp;$AO126,所有坦克升星属性,MATCH(AP$3,所有坦克升星属性标头,0),FALSE)+ROUND(AU126/VLOOKUP($AK126,坦克部件!#REF!,4,FALSE)*VLOOKUP($AK126&amp;0,所有坦克升星属性,MATCH(AP$3,所有坦克升星属性标头,0),FALSE),0)</f>
        <v>#REF!</v>
      </c>
      <c r="AQ126" s="372" t="e">
        <f ca="1">VLOOKUP($AK126&amp;$AO126,所有坦克升星属性,MATCH(AQ$3,所有坦克升星属性标头,0),FALSE)+ROUND(AV126/VLOOKUP($AK126,坦克部件!#REF!,4,FALSE)*VLOOKUP($AK126&amp;0,所有坦克升星属性,MATCH(AQ$3,所有坦克升星属性标头,0),FALSE),0)</f>
        <v>#REF!</v>
      </c>
      <c r="AR126" s="372" t="e">
        <f t="shared" ca="1" si="84"/>
        <v>#REF!</v>
      </c>
      <c r="AS126" s="372" t="e">
        <f t="shared" ca="1" si="84"/>
        <v>#REF!</v>
      </c>
      <c r="AT126" s="372" t="e">
        <f ca="1">VLOOKUP($AK126&amp;$AO126,所有坦克升星属性,MATCH(AT$3,所有坦克升星属性标头,0),FALSE)+ROUND(AW126/VLOOKUP($AK126,坦克部件!#REF!,4,FALSE)*VLOOKUP($AK126&amp;0,所有坦克升星属性,MATCH(AT$3,所有坦克升星属性标头,0),FALSE),0)</f>
        <v>#REF!</v>
      </c>
      <c r="AU126" s="372" t="e">
        <f ca="1">(VLOOKUP($AM126,坦克部件!#REF!,MATCH("标准值",坦克部件!#REF!,0),FALSE)+VLOOKUP($AN126,坦克部件!#REF!,MATCH("标准值",坦克部件!#REF!,0),FALSE))*2</f>
        <v>#REF!</v>
      </c>
      <c r="AV126" s="372" t="e">
        <f ca="1">(VLOOKUP($AM126,坦克部件!#REF!,MATCH("标准值",坦克部件!#REF!,0),FALSE)+VLOOKUP($AN126,坦克部件!#REF!,MATCH("标准值",坦克部件!#REF!,0),FALSE))*2</f>
        <v>#REF!</v>
      </c>
      <c r="AW126" s="372" t="e">
        <f ca="1">(VLOOKUP($AM126,坦克部件!#REF!,MATCH("标准值",坦克部件!#REF!,0),FALSE)+VLOOKUP($AN126,坦克部件!#REF!,MATCH("标准值",坦克部件!#REF!,0),FALSE))*2</f>
        <v>#REF!</v>
      </c>
      <c r="AX126" s="372" t="e">
        <f ca="1">VLOOKUP($AK126,坦克属性统计!$B$3:$AY$33,MATCH(AX$3,坦克属性统计!$B$3:$AY$3,0),FALSE)</f>
        <v>#REF!</v>
      </c>
      <c r="AY126" s="372" t="e">
        <f t="shared" ca="1" si="85"/>
        <v>#REF!</v>
      </c>
      <c r="AZ126" s="372" t="e">
        <f t="shared" ca="1" si="85"/>
        <v>#REF!</v>
      </c>
      <c r="BA126" s="372" t="e">
        <f t="shared" ca="1" si="85"/>
        <v>#REF!</v>
      </c>
      <c r="BB126" s="356" t="e">
        <f t="shared" ca="1" si="56"/>
        <v>#REF!</v>
      </c>
      <c r="BC126" s="356" t="e">
        <f ca="1">VLOOKUP(AK126,坦克个性化设定!$B$18:$E$48,4,FALSE)</f>
        <v>#REF!</v>
      </c>
      <c r="BD126" s="357" t="e">
        <f t="shared" ca="1" si="63"/>
        <v>#REF!</v>
      </c>
      <c r="BF126" s="357" t="str">
        <f t="shared" ca="1" si="57"/>
        <v/>
      </c>
      <c r="BG126" s="372" t="str">
        <f ca="1">IFERROR(VLOOKUP(BF126,坦克个性化设定!$B$18:$F$48,5,FALSE),"")</f>
        <v/>
      </c>
      <c r="BH126" s="372" t="e">
        <f t="shared" ca="1" si="64"/>
        <v>#REF!</v>
      </c>
      <c r="BI126" s="372" t="e">
        <f t="shared" ca="1" si="65"/>
        <v>#REF!</v>
      </c>
      <c r="BJ126" s="364" t="str">
        <f t="shared" ca="1" si="58"/>
        <v>NULL</v>
      </c>
      <c r="BK126" s="372" t="e">
        <f ca="1">VLOOKUP($BF126&amp;IF($BJ126="NULL",0,$BJ126),所有坦克升星属性,MATCH(BK$3,所有坦克升星属性标头,0),FALSE)+ROUND(BP126/VLOOKUP($BF126,坦克部件!#REF!,4,FALSE)*VLOOKUP($BF126&amp;0,所有坦克升星属性,MATCH(BK$3,所有坦克升星属性标头,0),FALSE),0)</f>
        <v>#N/A</v>
      </c>
      <c r="BL126" s="372" t="e">
        <f ca="1">VLOOKUP($BF126&amp;IF($BJ126="NULL",0,$BJ126),所有坦克升星属性,MATCH(BL$3,所有坦克升星属性标头,0),FALSE)+ROUND(BQ126/VLOOKUP($BF126,坦克部件!#REF!,4,FALSE)*VLOOKUP($BF126&amp;0,所有坦克升星属性,MATCH(BL$3,所有坦克升星属性标头,0),FALSE),0)</f>
        <v>#N/A</v>
      </c>
      <c r="BM126" s="372" t="e">
        <f t="shared" ca="1" si="86"/>
        <v>#N/A</v>
      </c>
      <c r="BN126" s="372" t="e">
        <f t="shared" ca="1" si="86"/>
        <v>#N/A</v>
      </c>
      <c r="BO126" s="372" t="e">
        <f ca="1">VLOOKUP($BF126&amp;IF($BJ126="NULL",0,$BJ126),所有坦克升星属性,MATCH(BO$3,所有坦克升星属性标头,0),FALSE)+ROUND(BR126/VLOOKUP($BF126,坦克部件!#REF!,4,FALSE)*VLOOKUP($BF126&amp;0,所有坦克升星属性,MATCH(BO$3,所有坦克升星属性标头,0),FALSE),0)</f>
        <v>#N/A</v>
      </c>
      <c r="BP126" s="372" t="e">
        <f ca="1">(VLOOKUP($BH126,坦克部件!#REF!,MATCH("标准值",坦克部件!#REF!,0),FALSE)+VLOOKUP($BI126,坦克部件!#REF!,MATCH("标准值",坦克部件!#REF!,0),FALSE))*2</f>
        <v>#REF!</v>
      </c>
      <c r="BQ126" s="372" t="e">
        <f ca="1">(VLOOKUP($BH126,坦克部件!#REF!,MATCH("标准值",坦克部件!#REF!,0),FALSE)+VLOOKUP($BI126,坦克部件!#REF!,MATCH("标准值",坦克部件!#REF!,0),FALSE))*2</f>
        <v>#REF!</v>
      </c>
      <c r="BR126" s="372" t="e">
        <f ca="1">(VLOOKUP($BH126,坦克部件!#REF!,MATCH("标准值",坦克部件!#REF!,0),FALSE)+VLOOKUP($BI126,坦克部件!#REF!,MATCH("标准值",坦克部件!#REF!,0),FALSE))*2</f>
        <v>#REF!</v>
      </c>
      <c r="BS126" s="372" t="e">
        <f ca="1">VLOOKUP($BF126,坦克属性统计!$B$3:$AY$33,MATCH(BS$3,坦克属性统计!$B$3:$AY$3,0),FALSE)</f>
        <v>#N/A</v>
      </c>
      <c r="BT126" s="372" t="e">
        <f t="shared" ca="1" si="87"/>
        <v>#N/A</v>
      </c>
      <c r="BU126" s="372" t="e">
        <f t="shared" ca="1" si="87"/>
        <v>#N/A</v>
      </c>
      <c r="BV126" s="372" t="e">
        <f t="shared" ca="1" si="87"/>
        <v>#N/A</v>
      </c>
      <c r="BW126" s="356">
        <f t="shared" ca="1" si="59"/>
        <v>0</v>
      </c>
      <c r="BX126" s="356" t="e">
        <f ca="1">VLOOKUP(BF126,坦克个性化设定!$B$18:$E$48,4,FALSE)</f>
        <v>#N/A</v>
      </c>
      <c r="BY126" s="357" t="e">
        <f t="shared" ca="1" si="66"/>
        <v>#N/A</v>
      </c>
    </row>
    <row r="127" spans="2:77" x14ac:dyDescent="0.35">
      <c r="O127" s="365">
        <v>124</v>
      </c>
      <c r="P127" s="360" t="e">
        <f t="shared" ca="1" si="78"/>
        <v>#REF!</v>
      </c>
      <c r="Q127" s="360" t="e">
        <f ca="1">ROUND(MIN((BD127-VLOOKUP(R127,$B$22:$F$46,2,FALSE))/(VLOOKUP(R127,$B$22:$F$46,3,FALSE)-VLOOKUP(R127,$B$22:$F$46,2,FALSE)),1)*((VLOOKUP(R127,$B$22:$F$46,4,FALSE)*(AG127/(AG127+VLOOKUP(P127,$D$49:$F$123,3,TRUE)))+VLOOKUP(R127,$B$22:$F$46,5,FALSE)*(1-AG127/(AG127+VLOOKUP(P127,$D$49:$F$123,3,TRUE))))/2)*游戏时长规划!$C$4,0)</f>
        <v>#REF!</v>
      </c>
      <c r="R127" s="360" t="e">
        <f t="shared" ca="1" si="46"/>
        <v>#REF!</v>
      </c>
      <c r="S127" s="360" t="e">
        <f t="shared" ca="1" si="67"/>
        <v>#REF!</v>
      </c>
      <c r="T127" s="360" t="e">
        <f t="shared" ca="1" si="79"/>
        <v>#REF!</v>
      </c>
      <c r="U127" s="370" t="e">
        <f t="shared" ca="1" si="47"/>
        <v>#REF!</v>
      </c>
      <c r="V127" s="363" t="e">
        <f t="shared" ca="1" si="68"/>
        <v>#REF!</v>
      </c>
      <c r="W127" s="360" t="e">
        <f t="shared" ca="1" si="48"/>
        <v>#REF!</v>
      </c>
      <c r="X127" s="81" t="e">
        <f t="shared" ca="1" si="60"/>
        <v>#REF!</v>
      </c>
      <c r="Y127" s="360" t="str">
        <f t="shared" ca="1" si="49"/>
        <v>NULL</v>
      </c>
      <c r="Z127" s="375" t="e">
        <f t="shared" ca="1" si="61"/>
        <v>#REF!</v>
      </c>
      <c r="AA127" s="360">
        <f ca="1">IFERROR(VLOOKUP(IF(V127="T1低",游戏时长规划!$C$67+Z127,Z127),INDIRECT(V127&amp;"星级"),2,TRUE),0)</f>
        <v>0</v>
      </c>
      <c r="AB127" s="375" t="e">
        <f t="shared" ca="1" si="50"/>
        <v>#REF!</v>
      </c>
      <c r="AC127" s="375">
        <f ca="1">($D$14+$D$17)*$L$4/坦克部件养成!$C$2+AC126-IFERROR(IF(RIGHT(AD126,3)*1&gt;RIGHT(VLOOKUP(AC126,INDIRECT(LEFT(AD125,2)&amp;"部件升阶"),5,TRUE),3)*1,VLOOKUP(AD125,INDIRECT(LEFT(AD125,2)&amp;"部件升阶消耗"),2,FALSE),0),0)</f>
        <v>1467.3333333333319</v>
      </c>
      <c r="AD127" s="360" t="e">
        <f t="shared" ca="1" si="51"/>
        <v>#REF!</v>
      </c>
      <c r="AE127" s="375" t="e">
        <f ca="1">$D$15*$L$4/坦克部件养成!$C$2+AE126-IF(LEFT(AD127,2)&lt;&gt;LEFT(AD126,2),VLOOKUP(AF126,INDIRECT(LEFT(AD126,2)&amp;"部件升级消耗"),5,FALSE),0)</f>
        <v>#REF!</v>
      </c>
      <c r="AF127" s="360" t="e">
        <f ca="1">MIN(VLOOKUP(AE127,INDIRECT(LEFT(AD127,2)&amp;"部件升级"),2,TRUE),VLOOKUP(LEFT(AD127,2),坦克部件养成!#REF!,6,FALSE))</f>
        <v>#REF!</v>
      </c>
      <c r="AG127" s="378" t="e">
        <f ca="1">MAX(BD$4:BD127)</f>
        <v>#REF!</v>
      </c>
      <c r="AH127" s="378" t="str">
        <f t="shared" ca="1" si="52"/>
        <v/>
      </c>
      <c r="AI127" s="378">
        <f ca="1">IF(Y127="NULL",0,MAX(BY$4:BY127))</f>
        <v>0</v>
      </c>
      <c r="AK127" s="364" t="e">
        <f t="shared" ca="1" si="53"/>
        <v>#REF!</v>
      </c>
      <c r="AL127" s="364" t="e">
        <f ca="1">VLOOKUP(AK127,坦克个性化设定!$B$18:$F$48,5,FALSE)</f>
        <v>#REF!</v>
      </c>
      <c r="AM127" s="372" t="e">
        <f t="shared" ca="1" si="54"/>
        <v>#REF!</v>
      </c>
      <c r="AN127" s="372" t="e">
        <f t="shared" ca="1" si="62"/>
        <v>#REF!</v>
      </c>
      <c r="AO127" s="364">
        <f t="shared" ca="1" si="55"/>
        <v>0</v>
      </c>
      <c r="AP127" s="372" t="e">
        <f ca="1">VLOOKUP($AK127&amp;$AO127,所有坦克升星属性,MATCH(AP$3,所有坦克升星属性标头,0),FALSE)+ROUND(AU127/VLOOKUP($AK127,坦克部件!#REF!,4,FALSE)*VLOOKUP($AK127&amp;0,所有坦克升星属性,MATCH(AP$3,所有坦克升星属性标头,0),FALSE),0)</f>
        <v>#REF!</v>
      </c>
      <c r="AQ127" s="372" t="e">
        <f ca="1">VLOOKUP($AK127&amp;$AO127,所有坦克升星属性,MATCH(AQ$3,所有坦克升星属性标头,0),FALSE)+ROUND(AV127/VLOOKUP($AK127,坦克部件!#REF!,4,FALSE)*VLOOKUP($AK127&amp;0,所有坦克升星属性,MATCH(AQ$3,所有坦克升星属性标头,0),FALSE),0)</f>
        <v>#REF!</v>
      </c>
      <c r="AR127" s="372" t="e">
        <f t="shared" ca="1" si="84"/>
        <v>#REF!</v>
      </c>
      <c r="AS127" s="372" t="e">
        <f t="shared" ca="1" si="84"/>
        <v>#REF!</v>
      </c>
      <c r="AT127" s="372" t="e">
        <f ca="1">VLOOKUP($AK127&amp;$AO127,所有坦克升星属性,MATCH(AT$3,所有坦克升星属性标头,0),FALSE)+ROUND(AW127/VLOOKUP($AK127,坦克部件!#REF!,4,FALSE)*VLOOKUP($AK127&amp;0,所有坦克升星属性,MATCH(AT$3,所有坦克升星属性标头,0),FALSE),0)</f>
        <v>#REF!</v>
      </c>
      <c r="AU127" s="372" t="e">
        <f ca="1">(VLOOKUP($AM127,坦克部件!#REF!,MATCH("标准值",坦克部件!#REF!,0),FALSE)+VLOOKUP($AN127,坦克部件!#REF!,MATCH("标准值",坦克部件!#REF!,0),FALSE))*2</f>
        <v>#REF!</v>
      </c>
      <c r="AV127" s="372" t="e">
        <f ca="1">(VLOOKUP($AM127,坦克部件!#REF!,MATCH("标准值",坦克部件!#REF!,0),FALSE)+VLOOKUP($AN127,坦克部件!#REF!,MATCH("标准值",坦克部件!#REF!,0),FALSE))*2</f>
        <v>#REF!</v>
      </c>
      <c r="AW127" s="372" t="e">
        <f ca="1">(VLOOKUP($AM127,坦克部件!#REF!,MATCH("标准值",坦克部件!#REF!,0),FALSE)+VLOOKUP($AN127,坦克部件!#REF!,MATCH("标准值",坦克部件!#REF!,0),FALSE))*2</f>
        <v>#REF!</v>
      </c>
      <c r="AX127" s="372" t="e">
        <f ca="1">VLOOKUP($AK127,坦克属性统计!$B$3:$AY$33,MATCH(AX$3,坦克属性统计!$B$3:$AY$3,0),FALSE)</f>
        <v>#REF!</v>
      </c>
      <c r="AY127" s="372" t="e">
        <f t="shared" ca="1" si="85"/>
        <v>#REF!</v>
      </c>
      <c r="AZ127" s="372" t="e">
        <f t="shared" ca="1" si="85"/>
        <v>#REF!</v>
      </c>
      <c r="BA127" s="372" t="e">
        <f t="shared" ca="1" si="85"/>
        <v>#REF!</v>
      </c>
      <c r="BB127" s="356" t="e">
        <f t="shared" ca="1" si="56"/>
        <v>#REF!</v>
      </c>
      <c r="BC127" s="356" t="e">
        <f ca="1">VLOOKUP(AK127,坦克个性化设定!$B$18:$E$48,4,FALSE)</f>
        <v>#REF!</v>
      </c>
      <c r="BD127" s="357" t="e">
        <f t="shared" ca="1" si="63"/>
        <v>#REF!</v>
      </c>
      <c r="BF127" s="357" t="str">
        <f t="shared" ca="1" si="57"/>
        <v/>
      </c>
      <c r="BG127" s="372" t="str">
        <f ca="1">IFERROR(VLOOKUP(BF127,坦克个性化设定!$B$18:$F$48,5,FALSE),"")</f>
        <v/>
      </c>
      <c r="BH127" s="372" t="e">
        <f t="shared" ca="1" si="64"/>
        <v>#REF!</v>
      </c>
      <c r="BI127" s="372" t="e">
        <f t="shared" ca="1" si="65"/>
        <v>#REF!</v>
      </c>
      <c r="BJ127" s="364" t="str">
        <f t="shared" ca="1" si="58"/>
        <v>NULL</v>
      </c>
      <c r="BK127" s="372" t="e">
        <f ca="1">VLOOKUP($BF127&amp;IF($BJ127="NULL",0,$BJ127),所有坦克升星属性,MATCH(BK$3,所有坦克升星属性标头,0),FALSE)+ROUND(BP127/VLOOKUP($BF127,坦克部件!#REF!,4,FALSE)*VLOOKUP($BF127&amp;0,所有坦克升星属性,MATCH(BK$3,所有坦克升星属性标头,0),FALSE),0)</f>
        <v>#N/A</v>
      </c>
      <c r="BL127" s="372" t="e">
        <f ca="1">VLOOKUP($BF127&amp;IF($BJ127="NULL",0,$BJ127),所有坦克升星属性,MATCH(BL$3,所有坦克升星属性标头,0),FALSE)+ROUND(BQ127/VLOOKUP($BF127,坦克部件!#REF!,4,FALSE)*VLOOKUP($BF127&amp;0,所有坦克升星属性,MATCH(BL$3,所有坦克升星属性标头,0),FALSE),0)</f>
        <v>#N/A</v>
      </c>
      <c r="BM127" s="372" t="e">
        <f t="shared" ca="1" si="86"/>
        <v>#N/A</v>
      </c>
      <c r="BN127" s="372" t="e">
        <f t="shared" ca="1" si="86"/>
        <v>#N/A</v>
      </c>
      <c r="BO127" s="372" t="e">
        <f ca="1">VLOOKUP($BF127&amp;IF($BJ127="NULL",0,$BJ127),所有坦克升星属性,MATCH(BO$3,所有坦克升星属性标头,0),FALSE)+ROUND(BR127/VLOOKUP($BF127,坦克部件!#REF!,4,FALSE)*VLOOKUP($BF127&amp;0,所有坦克升星属性,MATCH(BO$3,所有坦克升星属性标头,0),FALSE),0)</f>
        <v>#N/A</v>
      </c>
      <c r="BP127" s="372" t="e">
        <f ca="1">(VLOOKUP($BH127,坦克部件!#REF!,MATCH("标准值",坦克部件!#REF!,0),FALSE)+VLOOKUP($BI127,坦克部件!#REF!,MATCH("标准值",坦克部件!#REF!,0),FALSE))*2</f>
        <v>#REF!</v>
      </c>
      <c r="BQ127" s="372" t="e">
        <f ca="1">(VLOOKUP($BH127,坦克部件!#REF!,MATCH("标准值",坦克部件!#REF!,0),FALSE)+VLOOKUP($BI127,坦克部件!#REF!,MATCH("标准值",坦克部件!#REF!,0),FALSE))*2</f>
        <v>#REF!</v>
      </c>
      <c r="BR127" s="372" t="e">
        <f ca="1">(VLOOKUP($BH127,坦克部件!#REF!,MATCH("标准值",坦克部件!#REF!,0),FALSE)+VLOOKUP($BI127,坦克部件!#REF!,MATCH("标准值",坦克部件!#REF!,0),FALSE))*2</f>
        <v>#REF!</v>
      </c>
      <c r="BS127" s="372" t="e">
        <f ca="1">VLOOKUP($BF127,坦克属性统计!$B$3:$AY$33,MATCH(BS$3,坦克属性统计!$B$3:$AY$3,0),FALSE)</f>
        <v>#N/A</v>
      </c>
      <c r="BT127" s="372" t="e">
        <f t="shared" ca="1" si="87"/>
        <v>#N/A</v>
      </c>
      <c r="BU127" s="372" t="e">
        <f t="shared" ca="1" si="87"/>
        <v>#N/A</v>
      </c>
      <c r="BV127" s="372" t="e">
        <f t="shared" ca="1" si="87"/>
        <v>#N/A</v>
      </c>
      <c r="BW127" s="356">
        <f t="shared" ca="1" si="59"/>
        <v>0</v>
      </c>
      <c r="BX127" s="356" t="e">
        <f ca="1">VLOOKUP(BF127,坦克个性化设定!$B$18:$E$48,4,FALSE)</f>
        <v>#N/A</v>
      </c>
      <c r="BY127" s="357" t="e">
        <f t="shared" ca="1" si="66"/>
        <v>#N/A</v>
      </c>
    </row>
    <row r="128" spans="2:77" x14ac:dyDescent="0.35">
      <c r="O128" s="365">
        <v>125</v>
      </c>
      <c r="P128" s="360" t="e">
        <f t="shared" ca="1" si="78"/>
        <v>#REF!</v>
      </c>
      <c r="Q128" s="360" t="e">
        <f ca="1">ROUND(MIN((BD128-VLOOKUP(R128,$B$22:$F$46,2,FALSE))/(VLOOKUP(R128,$B$22:$F$46,3,FALSE)-VLOOKUP(R128,$B$22:$F$46,2,FALSE)),1)*((VLOOKUP(R128,$B$22:$F$46,4,FALSE)*(AG128/(AG128+VLOOKUP(P128,$D$49:$F$123,3,TRUE)))+VLOOKUP(R128,$B$22:$F$46,5,FALSE)*(1-AG128/(AG128+VLOOKUP(P128,$D$49:$F$123,3,TRUE))))/2)*游戏时长规划!$C$4,0)</f>
        <v>#REF!</v>
      </c>
      <c r="R128" s="360" t="e">
        <f t="shared" ca="1" si="46"/>
        <v>#REF!</v>
      </c>
      <c r="S128" s="360" t="e">
        <f t="shared" ca="1" si="67"/>
        <v>#REF!</v>
      </c>
      <c r="T128" s="360" t="e">
        <f t="shared" ca="1" si="79"/>
        <v>#REF!</v>
      </c>
      <c r="U128" s="370" t="e">
        <f t="shared" ca="1" si="47"/>
        <v>#REF!</v>
      </c>
      <c r="V128" s="363" t="e">
        <f t="shared" ca="1" si="68"/>
        <v>#REF!</v>
      </c>
      <c r="W128" s="360" t="e">
        <f t="shared" ca="1" si="48"/>
        <v>#REF!</v>
      </c>
      <c r="X128" s="81" t="e">
        <f t="shared" ca="1" si="60"/>
        <v>#REF!</v>
      </c>
      <c r="Y128" s="360" t="str">
        <f t="shared" ca="1" si="49"/>
        <v>NULL</v>
      </c>
      <c r="Z128" s="375" t="e">
        <f t="shared" ca="1" si="61"/>
        <v>#REF!</v>
      </c>
      <c r="AA128" s="360">
        <f ca="1">IFERROR(VLOOKUP(IF(V128="T1低",游戏时长规划!$C$67+Z128,Z128),INDIRECT(V128&amp;"星级"),2,TRUE),0)</f>
        <v>0</v>
      </c>
      <c r="AB128" s="375" t="e">
        <f t="shared" ca="1" si="50"/>
        <v>#REF!</v>
      </c>
      <c r="AC128" s="375">
        <f ca="1">($D$14+$D$17)*$L$4/坦克部件养成!$C$2+AC127-IFERROR(IF(RIGHT(AD127,3)*1&gt;RIGHT(VLOOKUP(AC127,INDIRECT(LEFT(AD126,2)&amp;"部件升阶"),5,TRUE),3)*1,VLOOKUP(AD126,INDIRECT(LEFT(AD126,2)&amp;"部件升阶消耗"),2,FALSE),0),0)</f>
        <v>1479.1666666666652</v>
      </c>
      <c r="AD128" s="360" t="e">
        <f t="shared" ca="1" si="51"/>
        <v>#REF!</v>
      </c>
      <c r="AE128" s="375" t="e">
        <f ca="1">$D$15*$L$4/坦克部件养成!$C$2+AE127-IF(LEFT(AD128,2)&lt;&gt;LEFT(AD127,2),VLOOKUP(AF127,INDIRECT(LEFT(AD127,2)&amp;"部件升级消耗"),5,FALSE),0)</f>
        <v>#REF!</v>
      </c>
      <c r="AF128" s="360" t="e">
        <f ca="1">MIN(VLOOKUP(AE128,INDIRECT(LEFT(AD128,2)&amp;"部件升级"),2,TRUE),VLOOKUP(LEFT(AD128,2),坦克部件养成!#REF!,6,FALSE))</f>
        <v>#REF!</v>
      </c>
      <c r="AG128" s="378" t="e">
        <f ca="1">MAX(BD$4:BD128)</f>
        <v>#REF!</v>
      </c>
      <c r="AH128" s="378" t="str">
        <f t="shared" ca="1" si="52"/>
        <v/>
      </c>
      <c r="AI128" s="378">
        <f ca="1">IF(Y128="NULL",0,MAX(BY$4:BY128))</f>
        <v>0</v>
      </c>
      <c r="AK128" s="364" t="e">
        <f t="shared" ca="1" si="53"/>
        <v>#REF!</v>
      </c>
      <c r="AL128" s="364" t="e">
        <f ca="1">VLOOKUP(AK128,坦克个性化设定!$B$18:$F$48,5,FALSE)</f>
        <v>#REF!</v>
      </c>
      <c r="AM128" s="372" t="e">
        <f t="shared" ca="1" si="54"/>
        <v>#REF!</v>
      </c>
      <c r="AN128" s="372" t="e">
        <f t="shared" ca="1" si="62"/>
        <v>#REF!</v>
      </c>
      <c r="AO128" s="364">
        <f t="shared" ca="1" si="55"/>
        <v>0</v>
      </c>
      <c r="AP128" s="372" t="e">
        <f ca="1">VLOOKUP($AK128&amp;$AO128,所有坦克升星属性,MATCH(AP$3,所有坦克升星属性标头,0),FALSE)+ROUND(AU128/VLOOKUP($AK128,坦克部件!#REF!,4,FALSE)*VLOOKUP($AK128&amp;0,所有坦克升星属性,MATCH(AP$3,所有坦克升星属性标头,0),FALSE),0)</f>
        <v>#REF!</v>
      </c>
      <c r="AQ128" s="372" t="e">
        <f ca="1">VLOOKUP($AK128&amp;$AO128,所有坦克升星属性,MATCH(AQ$3,所有坦克升星属性标头,0),FALSE)+ROUND(AV128/VLOOKUP($AK128,坦克部件!#REF!,4,FALSE)*VLOOKUP($AK128&amp;0,所有坦克升星属性,MATCH(AQ$3,所有坦克升星属性标头,0),FALSE),0)</f>
        <v>#REF!</v>
      </c>
      <c r="AR128" s="372" t="e">
        <f t="shared" ca="1" si="84"/>
        <v>#REF!</v>
      </c>
      <c r="AS128" s="372" t="e">
        <f t="shared" ca="1" si="84"/>
        <v>#REF!</v>
      </c>
      <c r="AT128" s="372" t="e">
        <f ca="1">VLOOKUP($AK128&amp;$AO128,所有坦克升星属性,MATCH(AT$3,所有坦克升星属性标头,0),FALSE)+ROUND(AW128/VLOOKUP($AK128,坦克部件!#REF!,4,FALSE)*VLOOKUP($AK128&amp;0,所有坦克升星属性,MATCH(AT$3,所有坦克升星属性标头,0),FALSE),0)</f>
        <v>#REF!</v>
      </c>
      <c r="AU128" s="372" t="e">
        <f ca="1">(VLOOKUP($AM128,坦克部件!#REF!,MATCH("标准值",坦克部件!#REF!,0),FALSE)+VLOOKUP($AN128,坦克部件!#REF!,MATCH("标准值",坦克部件!#REF!,0),FALSE))*2</f>
        <v>#REF!</v>
      </c>
      <c r="AV128" s="372" t="e">
        <f ca="1">(VLOOKUP($AM128,坦克部件!#REF!,MATCH("标准值",坦克部件!#REF!,0),FALSE)+VLOOKUP($AN128,坦克部件!#REF!,MATCH("标准值",坦克部件!#REF!,0),FALSE))*2</f>
        <v>#REF!</v>
      </c>
      <c r="AW128" s="372" t="e">
        <f ca="1">(VLOOKUP($AM128,坦克部件!#REF!,MATCH("标准值",坦克部件!#REF!,0),FALSE)+VLOOKUP($AN128,坦克部件!#REF!,MATCH("标准值",坦克部件!#REF!,0),FALSE))*2</f>
        <v>#REF!</v>
      </c>
      <c r="AX128" s="372" t="e">
        <f ca="1">VLOOKUP($AK128,坦克属性统计!$B$3:$AY$33,MATCH(AX$3,坦克属性统计!$B$3:$AY$3,0),FALSE)</f>
        <v>#REF!</v>
      </c>
      <c r="AY128" s="372" t="e">
        <f t="shared" ca="1" si="85"/>
        <v>#REF!</v>
      </c>
      <c r="AZ128" s="372" t="e">
        <f t="shared" ca="1" si="85"/>
        <v>#REF!</v>
      </c>
      <c r="BA128" s="372" t="e">
        <f t="shared" ca="1" si="85"/>
        <v>#REF!</v>
      </c>
      <c r="BB128" s="356" t="e">
        <f t="shared" ca="1" si="56"/>
        <v>#REF!</v>
      </c>
      <c r="BC128" s="356" t="e">
        <f ca="1">VLOOKUP(AK128,坦克个性化设定!$B$18:$E$48,4,FALSE)</f>
        <v>#REF!</v>
      </c>
      <c r="BD128" s="357" t="e">
        <f t="shared" ca="1" si="63"/>
        <v>#REF!</v>
      </c>
      <c r="BF128" s="357" t="str">
        <f t="shared" ca="1" si="57"/>
        <v/>
      </c>
      <c r="BG128" s="372" t="str">
        <f ca="1">IFERROR(VLOOKUP(BF128,坦克个性化设定!$B$18:$F$48,5,FALSE),"")</f>
        <v/>
      </c>
      <c r="BH128" s="372" t="e">
        <f t="shared" ca="1" si="64"/>
        <v>#REF!</v>
      </c>
      <c r="BI128" s="372" t="e">
        <f t="shared" ca="1" si="65"/>
        <v>#REF!</v>
      </c>
      <c r="BJ128" s="364" t="str">
        <f t="shared" ca="1" si="58"/>
        <v>NULL</v>
      </c>
      <c r="BK128" s="372" t="e">
        <f ca="1">VLOOKUP($BF128&amp;IF($BJ128="NULL",0,$BJ128),所有坦克升星属性,MATCH(BK$3,所有坦克升星属性标头,0),FALSE)+ROUND(BP128/VLOOKUP($BF128,坦克部件!#REF!,4,FALSE)*VLOOKUP($BF128&amp;0,所有坦克升星属性,MATCH(BK$3,所有坦克升星属性标头,0),FALSE),0)</f>
        <v>#N/A</v>
      </c>
      <c r="BL128" s="372" t="e">
        <f ca="1">VLOOKUP($BF128&amp;IF($BJ128="NULL",0,$BJ128),所有坦克升星属性,MATCH(BL$3,所有坦克升星属性标头,0),FALSE)+ROUND(BQ128/VLOOKUP($BF128,坦克部件!#REF!,4,FALSE)*VLOOKUP($BF128&amp;0,所有坦克升星属性,MATCH(BL$3,所有坦克升星属性标头,0),FALSE),0)</f>
        <v>#N/A</v>
      </c>
      <c r="BM128" s="372" t="e">
        <f t="shared" ca="1" si="86"/>
        <v>#N/A</v>
      </c>
      <c r="BN128" s="372" t="e">
        <f t="shared" ca="1" si="86"/>
        <v>#N/A</v>
      </c>
      <c r="BO128" s="372" t="e">
        <f ca="1">VLOOKUP($BF128&amp;IF($BJ128="NULL",0,$BJ128),所有坦克升星属性,MATCH(BO$3,所有坦克升星属性标头,0),FALSE)+ROUND(BR128/VLOOKUP($BF128,坦克部件!#REF!,4,FALSE)*VLOOKUP($BF128&amp;0,所有坦克升星属性,MATCH(BO$3,所有坦克升星属性标头,0),FALSE),0)</f>
        <v>#N/A</v>
      </c>
      <c r="BP128" s="372" t="e">
        <f ca="1">(VLOOKUP($BH128,坦克部件!#REF!,MATCH("标准值",坦克部件!#REF!,0),FALSE)+VLOOKUP($BI128,坦克部件!#REF!,MATCH("标准值",坦克部件!#REF!,0),FALSE))*2</f>
        <v>#REF!</v>
      </c>
      <c r="BQ128" s="372" t="e">
        <f ca="1">(VLOOKUP($BH128,坦克部件!#REF!,MATCH("标准值",坦克部件!#REF!,0),FALSE)+VLOOKUP($BI128,坦克部件!#REF!,MATCH("标准值",坦克部件!#REF!,0),FALSE))*2</f>
        <v>#REF!</v>
      </c>
      <c r="BR128" s="372" t="e">
        <f ca="1">(VLOOKUP($BH128,坦克部件!#REF!,MATCH("标准值",坦克部件!#REF!,0),FALSE)+VLOOKUP($BI128,坦克部件!#REF!,MATCH("标准值",坦克部件!#REF!,0),FALSE))*2</f>
        <v>#REF!</v>
      </c>
      <c r="BS128" s="372" t="e">
        <f ca="1">VLOOKUP($BF128,坦克属性统计!$B$3:$AY$33,MATCH(BS$3,坦克属性统计!$B$3:$AY$3,0),FALSE)</f>
        <v>#N/A</v>
      </c>
      <c r="BT128" s="372" t="e">
        <f t="shared" ca="1" si="87"/>
        <v>#N/A</v>
      </c>
      <c r="BU128" s="372" t="e">
        <f t="shared" ca="1" si="87"/>
        <v>#N/A</v>
      </c>
      <c r="BV128" s="372" t="e">
        <f t="shared" ca="1" si="87"/>
        <v>#N/A</v>
      </c>
      <c r="BW128" s="356">
        <f t="shared" ca="1" si="59"/>
        <v>0</v>
      </c>
      <c r="BX128" s="356" t="e">
        <f ca="1">VLOOKUP(BF128,坦克个性化设定!$B$18:$E$48,4,FALSE)</f>
        <v>#N/A</v>
      </c>
      <c r="BY128" s="357" t="e">
        <f t="shared" ca="1" si="66"/>
        <v>#N/A</v>
      </c>
    </row>
    <row r="129" spans="15:77" x14ac:dyDescent="0.35">
      <c r="O129" s="365">
        <v>126</v>
      </c>
      <c r="P129" s="360" t="e">
        <f t="shared" ca="1" si="78"/>
        <v>#REF!</v>
      </c>
      <c r="Q129" s="360" t="e">
        <f ca="1">ROUND(MIN((BD129-VLOOKUP(R129,$B$22:$F$46,2,FALSE))/(VLOOKUP(R129,$B$22:$F$46,3,FALSE)-VLOOKUP(R129,$B$22:$F$46,2,FALSE)),1)*((VLOOKUP(R129,$B$22:$F$46,4,FALSE)*(AG129/(AG129+VLOOKUP(P129,$D$49:$F$123,3,TRUE)))+VLOOKUP(R129,$B$22:$F$46,5,FALSE)*(1-AG129/(AG129+VLOOKUP(P129,$D$49:$F$123,3,TRUE))))/2)*游戏时长规划!$C$4,0)</f>
        <v>#REF!</v>
      </c>
      <c r="R129" s="360" t="e">
        <f t="shared" ca="1" si="46"/>
        <v>#REF!</v>
      </c>
      <c r="S129" s="360" t="e">
        <f t="shared" ca="1" si="67"/>
        <v>#REF!</v>
      </c>
      <c r="T129" s="360" t="e">
        <f t="shared" ca="1" si="79"/>
        <v>#REF!</v>
      </c>
      <c r="U129" s="370" t="e">
        <f t="shared" ca="1" si="47"/>
        <v>#REF!</v>
      </c>
      <c r="V129" s="363" t="e">
        <f t="shared" ca="1" si="68"/>
        <v>#REF!</v>
      </c>
      <c r="W129" s="360" t="e">
        <f t="shared" ca="1" si="48"/>
        <v>#REF!</v>
      </c>
      <c r="X129" s="81" t="e">
        <f t="shared" ca="1" si="60"/>
        <v>#REF!</v>
      </c>
      <c r="Y129" s="360" t="str">
        <f t="shared" ca="1" si="49"/>
        <v>NULL</v>
      </c>
      <c r="Z129" s="375" t="e">
        <f t="shared" ca="1" si="61"/>
        <v>#REF!</v>
      </c>
      <c r="AA129" s="360">
        <f ca="1">IFERROR(VLOOKUP(IF(V129="T1低",游戏时长规划!$C$67+Z129,Z129),INDIRECT(V129&amp;"星级"),2,TRUE),0)</f>
        <v>0</v>
      </c>
      <c r="AB129" s="375" t="e">
        <f t="shared" ca="1" si="50"/>
        <v>#REF!</v>
      </c>
      <c r="AC129" s="375">
        <f ca="1">($D$14+$D$17)*$L$4/坦克部件养成!$C$2+AC128-IFERROR(IF(RIGHT(AD128,3)*1&gt;RIGHT(VLOOKUP(AC128,INDIRECT(LEFT(AD127,2)&amp;"部件升阶"),5,TRUE),3)*1,VLOOKUP(AD127,INDIRECT(LEFT(AD127,2)&amp;"部件升阶消耗"),2,FALSE),0),0)</f>
        <v>1490.9999999999984</v>
      </c>
      <c r="AD129" s="360" t="e">
        <f t="shared" ca="1" si="51"/>
        <v>#REF!</v>
      </c>
      <c r="AE129" s="375" t="e">
        <f ca="1">$D$15*$L$4/坦克部件养成!$C$2+AE128-IF(LEFT(AD129,2)&lt;&gt;LEFT(AD128,2),VLOOKUP(AF128,INDIRECT(LEFT(AD128,2)&amp;"部件升级消耗"),5,FALSE),0)</f>
        <v>#REF!</v>
      </c>
      <c r="AF129" s="360" t="e">
        <f ca="1">MIN(VLOOKUP(AE129,INDIRECT(LEFT(AD129,2)&amp;"部件升级"),2,TRUE),VLOOKUP(LEFT(AD129,2),坦克部件养成!#REF!,6,FALSE))</f>
        <v>#REF!</v>
      </c>
      <c r="AG129" s="378" t="e">
        <f ca="1">MAX(BD$4:BD129)</f>
        <v>#REF!</v>
      </c>
      <c r="AH129" s="378" t="str">
        <f t="shared" ca="1" si="52"/>
        <v/>
      </c>
      <c r="AI129" s="378">
        <f ca="1">IF(Y129="NULL",0,MAX(BY$4:BY129))</f>
        <v>0</v>
      </c>
      <c r="AK129" s="364" t="e">
        <f t="shared" ca="1" si="53"/>
        <v>#REF!</v>
      </c>
      <c r="AL129" s="364" t="e">
        <f ca="1">VLOOKUP(AK129,坦克个性化设定!$B$18:$F$48,5,FALSE)</f>
        <v>#REF!</v>
      </c>
      <c r="AM129" s="372" t="e">
        <f t="shared" ca="1" si="54"/>
        <v>#REF!</v>
      </c>
      <c r="AN129" s="372" t="e">
        <f t="shared" ca="1" si="62"/>
        <v>#REF!</v>
      </c>
      <c r="AO129" s="364">
        <f t="shared" ca="1" si="55"/>
        <v>0</v>
      </c>
      <c r="AP129" s="372" t="e">
        <f ca="1">VLOOKUP($AK129&amp;$AO129,所有坦克升星属性,MATCH(AP$3,所有坦克升星属性标头,0),FALSE)+ROUND(AU129/VLOOKUP($AK129,坦克部件!#REF!,4,FALSE)*VLOOKUP($AK129&amp;0,所有坦克升星属性,MATCH(AP$3,所有坦克升星属性标头,0),FALSE),0)</f>
        <v>#REF!</v>
      </c>
      <c r="AQ129" s="372" t="e">
        <f ca="1">VLOOKUP($AK129&amp;$AO129,所有坦克升星属性,MATCH(AQ$3,所有坦克升星属性标头,0),FALSE)+ROUND(AV129/VLOOKUP($AK129,坦克部件!#REF!,4,FALSE)*VLOOKUP($AK129&amp;0,所有坦克升星属性,MATCH(AQ$3,所有坦克升星属性标头,0),FALSE),0)</f>
        <v>#REF!</v>
      </c>
      <c r="AR129" s="372" t="e">
        <f t="shared" ca="1" si="84"/>
        <v>#REF!</v>
      </c>
      <c r="AS129" s="372" t="e">
        <f t="shared" ca="1" si="84"/>
        <v>#REF!</v>
      </c>
      <c r="AT129" s="372" t="e">
        <f ca="1">VLOOKUP($AK129&amp;$AO129,所有坦克升星属性,MATCH(AT$3,所有坦克升星属性标头,0),FALSE)+ROUND(AW129/VLOOKUP($AK129,坦克部件!#REF!,4,FALSE)*VLOOKUP($AK129&amp;0,所有坦克升星属性,MATCH(AT$3,所有坦克升星属性标头,0),FALSE),0)</f>
        <v>#REF!</v>
      </c>
      <c r="AU129" s="372" t="e">
        <f ca="1">(VLOOKUP($AM129,坦克部件!#REF!,MATCH("标准值",坦克部件!#REF!,0),FALSE)+VLOOKUP($AN129,坦克部件!#REF!,MATCH("标准值",坦克部件!#REF!,0),FALSE))*2</f>
        <v>#REF!</v>
      </c>
      <c r="AV129" s="372" t="e">
        <f ca="1">(VLOOKUP($AM129,坦克部件!#REF!,MATCH("标准值",坦克部件!#REF!,0),FALSE)+VLOOKUP($AN129,坦克部件!#REF!,MATCH("标准值",坦克部件!#REF!,0),FALSE))*2</f>
        <v>#REF!</v>
      </c>
      <c r="AW129" s="372" t="e">
        <f ca="1">(VLOOKUP($AM129,坦克部件!#REF!,MATCH("标准值",坦克部件!#REF!,0),FALSE)+VLOOKUP($AN129,坦克部件!#REF!,MATCH("标准值",坦克部件!#REF!,0),FALSE))*2</f>
        <v>#REF!</v>
      </c>
      <c r="AX129" s="372" t="e">
        <f ca="1">VLOOKUP($AK129,坦克属性统计!$B$3:$AY$33,MATCH(AX$3,坦克属性统计!$B$3:$AY$3,0),FALSE)</f>
        <v>#REF!</v>
      </c>
      <c r="AY129" s="372" t="e">
        <f t="shared" ca="1" si="85"/>
        <v>#REF!</v>
      </c>
      <c r="AZ129" s="372" t="e">
        <f t="shared" ca="1" si="85"/>
        <v>#REF!</v>
      </c>
      <c r="BA129" s="372" t="e">
        <f t="shared" ca="1" si="85"/>
        <v>#REF!</v>
      </c>
      <c r="BB129" s="356" t="e">
        <f t="shared" ca="1" si="56"/>
        <v>#REF!</v>
      </c>
      <c r="BC129" s="356" t="e">
        <f ca="1">VLOOKUP(AK129,坦克个性化设定!$B$18:$E$48,4,FALSE)</f>
        <v>#REF!</v>
      </c>
      <c r="BD129" s="357" t="e">
        <f t="shared" ca="1" si="63"/>
        <v>#REF!</v>
      </c>
      <c r="BF129" s="357" t="str">
        <f t="shared" ca="1" si="57"/>
        <v/>
      </c>
      <c r="BG129" s="372" t="str">
        <f ca="1">IFERROR(VLOOKUP(BF129,坦克个性化设定!$B$18:$F$48,5,FALSE),"")</f>
        <v/>
      </c>
      <c r="BH129" s="372" t="e">
        <f t="shared" ca="1" si="64"/>
        <v>#REF!</v>
      </c>
      <c r="BI129" s="372" t="e">
        <f t="shared" ca="1" si="65"/>
        <v>#REF!</v>
      </c>
      <c r="BJ129" s="364" t="str">
        <f t="shared" ca="1" si="58"/>
        <v>NULL</v>
      </c>
      <c r="BK129" s="372" t="e">
        <f ca="1">VLOOKUP($BF129&amp;IF($BJ129="NULL",0,$BJ129),所有坦克升星属性,MATCH(BK$3,所有坦克升星属性标头,0),FALSE)+ROUND(BP129/VLOOKUP($BF129,坦克部件!#REF!,4,FALSE)*VLOOKUP($BF129&amp;0,所有坦克升星属性,MATCH(BK$3,所有坦克升星属性标头,0),FALSE),0)</f>
        <v>#N/A</v>
      </c>
      <c r="BL129" s="372" t="e">
        <f ca="1">VLOOKUP($BF129&amp;IF($BJ129="NULL",0,$BJ129),所有坦克升星属性,MATCH(BL$3,所有坦克升星属性标头,0),FALSE)+ROUND(BQ129/VLOOKUP($BF129,坦克部件!#REF!,4,FALSE)*VLOOKUP($BF129&amp;0,所有坦克升星属性,MATCH(BL$3,所有坦克升星属性标头,0),FALSE),0)</f>
        <v>#N/A</v>
      </c>
      <c r="BM129" s="372" t="e">
        <f t="shared" ca="1" si="86"/>
        <v>#N/A</v>
      </c>
      <c r="BN129" s="372" t="e">
        <f t="shared" ca="1" si="86"/>
        <v>#N/A</v>
      </c>
      <c r="BO129" s="372" t="e">
        <f ca="1">VLOOKUP($BF129&amp;IF($BJ129="NULL",0,$BJ129),所有坦克升星属性,MATCH(BO$3,所有坦克升星属性标头,0),FALSE)+ROUND(BR129/VLOOKUP($BF129,坦克部件!#REF!,4,FALSE)*VLOOKUP($BF129&amp;0,所有坦克升星属性,MATCH(BO$3,所有坦克升星属性标头,0),FALSE),0)</f>
        <v>#N/A</v>
      </c>
      <c r="BP129" s="372" t="e">
        <f ca="1">(VLOOKUP($BH129,坦克部件!#REF!,MATCH("标准值",坦克部件!#REF!,0),FALSE)+VLOOKUP($BI129,坦克部件!#REF!,MATCH("标准值",坦克部件!#REF!,0),FALSE))*2</f>
        <v>#REF!</v>
      </c>
      <c r="BQ129" s="372" t="e">
        <f ca="1">(VLOOKUP($BH129,坦克部件!#REF!,MATCH("标准值",坦克部件!#REF!,0),FALSE)+VLOOKUP($BI129,坦克部件!#REF!,MATCH("标准值",坦克部件!#REF!,0),FALSE))*2</f>
        <v>#REF!</v>
      </c>
      <c r="BR129" s="372" t="e">
        <f ca="1">(VLOOKUP($BH129,坦克部件!#REF!,MATCH("标准值",坦克部件!#REF!,0),FALSE)+VLOOKUP($BI129,坦克部件!#REF!,MATCH("标准值",坦克部件!#REF!,0),FALSE))*2</f>
        <v>#REF!</v>
      </c>
      <c r="BS129" s="372" t="e">
        <f ca="1">VLOOKUP($BF129,坦克属性统计!$B$3:$AY$33,MATCH(BS$3,坦克属性统计!$B$3:$AY$3,0),FALSE)</f>
        <v>#N/A</v>
      </c>
      <c r="BT129" s="372" t="e">
        <f t="shared" ca="1" si="87"/>
        <v>#N/A</v>
      </c>
      <c r="BU129" s="372" t="e">
        <f t="shared" ca="1" si="87"/>
        <v>#N/A</v>
      </c>
      <c r="BV129" s="372" t="e">
        <f t="shared" ca="1" si="87"/>
        <v>#N/A</v>
      </c>
      <c r="BW129" s="356">
        <f t="shared" ca="1" si="59"/>
        <v>0</v>
      </c>
      <c r="BX129" s="356" t="e">
        <f ca="1">VLOOKUP(BF129,坦克个性化设定!$B$18:$E$48,4,FALSE)</f>
        <v>#N/A</v>
      </c>
      <c r="BY129" s="357" t="e">
        <f t="shared" ca="1" si="66"/>
        <v>#N/A</v>
      </c>
    </row>
    <row r="130" spans="15:77" x14ac:dyDescent="0.35">
      <c r="O130" s="365">
        <v>127</v>
      </c>
      <c r="P130" s="360" t="e">
        <f t="shared" ca="1" si="78"/>
        <v>#REF!</v>
      </c>
      <c r="Q130" s="360" t="e">
        <f ca="1">ROUND(MIN((BD130-VLOOKUP(R130,$B$22:$F$46,2,FALSE))/(VLOOKUP(R130,$B$22:$F$46,3,FALSE)-VLOOKUP(R130,$B$22:$F$46,2,FALSE)),1)*((VLOOKUP(R130,$B$22:$F$46,4,FALSE)*(AG130/(AG130+VLOOKUP(P130,$D$49:$F$123,3,TRUE)))+VLOOKUP(R130,$B$22:$F$46,5,FALSE)*(1-AG130/(AG130+VLOOKUP(P130,$D$49:$F$123,3,TRUE))))/2)*游戏时长规划!$C$4,0)</f>
        <v>#REF!</v>
      </c>
      <c r="R130" s="360" t="e">
        <f t="shared" ca="1" si="46"/>
        <v>#REF!</v>
      </c>
      <c r="S130" s="360" t="e">
        <f t="shared" ca="1" si="67"/>
        <v>#REF!</v>
      </c>
      <c r="T130" s="360" t="e">
        <f t="shared" ca="1" si="79"/>
        <v>#REF!</v>
      </c>
      <c r="U130" s="370" t="e">
        <f t="shared" ca="1" si="47"/>
        <v>#REF!</v>
      </c>
      <c r="V130" s="363" t="e">
        <f t="shared" ca="1" si="68"/>
        <v>#REF!</v>
      </c>
      <c r="W130" s="360" t="e">
        <f t="shared" ca="1" si="48"/>
        <v>#REF!</v>
      </c>
      <c r="X130" s="81" t="e">
        <f t="shared" ca="1" si="60"/>
        <v>#REF!</v>
      </c>
      <c r="Y130" s="360" t="str">
        <f t="shared" ca="1" si="49"/>
        <v>NULL</v>
      </c>
      <c r="Z130" s="375" t="e">
        <f t="shared" ca="1" si="61"/>
        <v>#REF!</v>
      </c>
      <c r="AA130" s="360">
        <f ca="1">IFERROR(VLOOKUP(IF(V130="T1低",游戏时长规划!$C$67+Z130,Z130),INDIRECT(V130&amp;"星级"),2,TRUE),0)</f>
        <v>0</v>
      </c>
      <c r="AB130" s="375" t="e">
        <f t="shared" ca="1" si="50"/>
        <v>#REF!</v>
      </c>
      <c r="AC130" s="375">
        <f ca="1">($D$14+$D$17)*$L$4/坦克部件养成!$C$2+AC129-IFERROR(IF(RIGHT(AD129,3)*1&gt;RIGHT(VLOOKUP(AC129,INDIRECT(LEFT(AD128,2)&amp;"部件升阶"),5,TRUE),3)*1,VLOOKUP(AD128,INDIRECT(LEFT(AD128,2)&amp;"部件升阶消耗"),2,FALSE),0),0)</f>
        <v>1502.8333333333317</v>
      </c>
      <c r="AD130" s="360" t="e">
        <f t="shared" ca="1" si="51"/>
        <v>#REF!</v>
      </c>
      <c r="AE130" s="375" t="e">
        <f ca="1">$D$15*$L$4/坦克部件养成!$C$2+AE129-IF(LEFT(AD130,2)&lt;&gt;LEFT(AD129,2),VLOOKUP(AF129,INDIRECT(LEFT(AD129,2)&amp;"部件升级消耗"),5,FALSE),0)</f>
        <v>#REF!</v>
      </c>
      <c r="AF130" s="360" t="e">
        <f ca="1">MIN(VLOOKUP(AE130,INDIRECT(LEFT(AD130,2)&amp;"部件升级"),2,TRUE),VLOOKUP(LEFT(AD130,2),坦克部件养成!#REF!,6,FALSE))</f>
        <v>#REF!</v>
      </c>
      <c r="AG130" s="378" t="e">
        <f ca="1">MAX(BD$4:BD130)</f>
        <v>#REF!</v>
      </c>
      <c r="AH130" s="378" t="str">
        <f t="shared" ca="1" si="52"/>
        <v/>
      </c>
      <c r="AI130" s="378">
        <f ca="1">IF(Y130="NULL",0,MAX(BY$4:BY130))</f>
        <v>0</v>
      </c>
      <c r="AK130" s="364" t="e">
        <f t="shared" ca="1" si="53"/>
        <v>#REF!</v>
      </c>
      <c r="AL130" s="364" t="e">
        <f ca="1">VLOOKUP(AK130,坦克个性化设定!$B$18:$F$48,5,FALSE)</f>
        <v>#REF!</v>
      </c>
      <c r="AM130" s="372" t="e">
        <f t="shared" ca="1" si="54"/>
        <v>#REF!</v>
      </c>
      <c r="AN130" s="372" t="e">
        <f t="shared" ca="1" si="62"/>
        <v>#REF!</v>
      </c>
      <c r="AO130" s="364">
        <f t="shared" ca="1" si="55"/>
        <v>0</v>
      </c>
      <c r="AP130" s="372" t="e">
        <f ca="1">VLOOKUP($AK130&amp;$AO130,所有坦克升星属性,MATCH(AP$3,所有坦克升星属性标头,0),FALSE)+ROUND(AU130/VLOOKUP($AK130,坦克部件!#REF!,4,FALSE)*VLOOKUP($AK130&amp;0,所有坦克升星属性,MATCH(AP$3,所有坦克升星属性标头,0),FALSE),0)</f>
        <v>#REF!</v>
      </c>
      <c r="AQ130" s="372" t="e">
        <f ca="1">VLOOKUP($AK130&amp;$AO130,所有坦克升星属性,MATCH(AQ$3,所有坦克升星属性标头,0),FALSE)+ROUND(AV130/VLOOKUP($AK130,坦克部件!#REF!,4,FALSE)*VLOOKUP($AK130&amp;0,所有坦克升星属性,MATCH(AQ$3,所有坦克升星属性标头,0),FALSE),0)</f>
        <v>#REF!</v>
      </c>
      <c r="AR130" s="372" t="e">
        <f t="shared" ca="1" si="84"/>
        <v>#REF!</v>
      </c>
      <c r="AS130" s="372" t="e">
        <f t="shared" ca="1" si="84"/>
        <v>#REF!</v>
      </c>
      <c r="AT130" s="372" t="e">
        <f ca="1">VLOOKUP($AK130&amp;$AO130,所有坦克升星属性,MATCH(AT$3,所有坦克升星属性标头,0),FALSE)+ROUND(AW130/VLOOKUP($AK130,坦克部件!#REF!,4,FALSE)*VLOOKUP($AK130&amp;0,所有坦克升星属性,MATCH(AT$3,所有坦克升星属性标头,0),FALSE),0)</f>
        <v>#REF!</v>
      </c>
      <c r="AU130" s="372" t="e">
        <f ca="1">(VLOOKUP($AM130,坦克部件!#REF!,MATCH("标准值",坦克部件!#REF!,0),FALSE)+VLOOKUP($AN130,坦克部件!#REF!,MATCH("标准值",坦克部件!#REF!,0),FALSE))*2</f>
        <v>#REF!</v>
      </c>
      <c r="AV130" s="372" t="e">
        <f ca="1">(VLOOKUP($AM130,坦克部件!#REF!,MATCH("标准值",坦克部件!#REF!,0),FALSE)+VLOOKUP($AN130,坦克部件!#REF!,MATCH("标准值",坦克部件!#REF!,0),FALSE))*2</f>
        <v>#REF!</v>
      </c>
      <c r="AW130" s="372" t="e">
        <f ca="1">(VLOOKUP($AM130,坦克部件!#REF!,MATCH("标准值",坦克部件!#REF!,0),FALSE)+VLOOKUP($AN130,坦克部件!#REF!,MATCH("标准值",坦克部件!#REF!,0),FALSE))*2</f>
        <v>#REF!</v>
      </c>
      <c r="AX130" s="372" t="e">
        <f ca="1">VLOOKUP($AK130,坦克属性统计!$B$3:$AY$33,MATCH(AX$3,坦克属性统计!$B$3:$AY$3,0),FALSE)</f>
        <v>#REF!</v>
      </c>
      <c r="AY130" s="372" t="e">
        <f t="shared" ca="1" si="85"/>
        <v>#REF!</v>
      </c>
      <c r="AZ130" s="372" t="e">
        <f t="shared" ca="1" si="85"/>
        <v>#REF!</v>
      </c>
      <c r="BA130" s="372" t="e">
        <f t="shared" ca="1" si="85"/>
        <v>#REF!</v>
      </c>
      <c r="BB130" s="356" t="e">
        <f t="shared" ca="1" si="56"/>
        <v>#REF!</v>
      </c>
      <c r="BC130" s="356" t="e">
        <f ca="1">VLOOKUP(AK130,坦克个性化设定!$B$18:$E$48,4,FALSE)</f>
        <v>#REF!</v>
      </c>
      <c r="BD130" s="357" t="e">
        <f t="shared" ca="1" si="63"/>
        <v>#REF!</v>
      </c>
      <c r="BF130" s="357" t="str">
        <f t="shared" ca="1" si="57"/>
        <v/>
      </c>
      <c r="BG130" s="372" t="str">
        <f ca="1">IFERROR(VLOOKUP(BF130,坦克个性化设定!$B$18:$F$48,5,FALSE),"")</f>
        <v/>
      </c>
      <c r="BH130" s="372" t="e">
        <f t="shared" ca="1" si="64"/>
        <v>#REF!</v>
      </c>
      <c r="BI130" s="372" t="e">
        <f t="shared" ca="1" si="65"/>
        <v>#REF!</v>
      </c>
      <c r="BJ130" s="364" t="str">
        <f t="shared" ca="1" si="58"/>
        <v>NULL</v>
      </c>
      <c r="BK130" s="372" t="e">
        <f ca="1">VLOOKUP($BF130&amp;IF($BJ130="NULL",0,$BJ130),所有坦克升星属性,MATCH(BK$3,所有坦克升星属性标头,0),FALSE)+ROUND(BP130/VLOOKUP($BF130,坦克部件!#REF!,4,FALSE)*VLOOKUP($BF130&amp;0,所有坦克升星属性,MATCH(BK$3,所有坦克升星属性标头,0),FALSE),0)</f>
        <v>#N/A</v>
      </c>
      <c r="BL130" s="372" t="e">
        <f ca="1">VLOOKUP($BF130&amp;IF($BJ130="NULL",0,$BJ130),所有坦克升星属性,MATCH(BL$3,所有坦克升星属性标头,0),FALSE)+ROUND(BQ130/VLOOKUP($BF130,坦克部件!#REF!,4,FALSE)*VLOOKUP($BF130&amp;0,所有坦克升星属性,MATCH(BL$3,所有坦克升星属性标头,0),FALSE),0)</f>
        <v>#N/A</v>
      </c>
      <c r="BM130" s="372" t="e">
        <f t="shared" ca="1" si="86"/>
        <v>#N/A</v>
      </c>
      <c r="BN130" s="372" t="e">
        <f t="shared" ca="1" si="86"/>
        <v>#N/A</v>
      </c>
      <c r="BO130" s="372" t="e">
        <f ca="1">VLOOKUP($BF130&amp;IF($BJ130="NULL",0,$BJ130),所有坦克升星属性,MATCH(BO$3,所有坦克升星属性标头,0),FALSE)+ROUND(BR130/VLOOKUP($BF130,坦克部件!#REF!,4,FALSE)*VLOOKUP($BF130&amp;0,所有坦克升星属性,MATCH(BO$3,所有坦克升星属性标头,0),FALSE),0)</f>
        <v>#N/A</v>
      </c>
      <c r="BP130" s="372" t="e">
        <f ca="1">(VLOOKUP($BH130,坦克部件!#REF!,MATCH("标准值",坦克部件!#REF!,0),FALSE)+VLOOKUP($BI130,坦克部件!#REF!,MATCH("标准值",坦克部件!#REF!,0),FALSE))*2</f>
        <v>#REF!</v>
      </c>
      <c r="BQ130" s="372" t="e">
        <f ca="1">(VLOOKUP($BH130,坦克部件!#REF!,MATCH("标准值",坦克部件!#REF!,0),FALSE)+VLOOKUP($BI130,坦克部件!#REF!,MATCH("标准值",坦克部件!#REF!,0),FALSE))*2</f>
        <v>#REF!</v>
      </c>
      <c r="BR130" s="372" t="e">
        <f ca="1">(VLOOKUP($BH130,坦克部件!#REF!,MATCH("标准值",坦克部件!#REF!,0),FALSE)+VLOOKUP($BI130,坦克部件!#REF!,MATCH("标准值",坦克部件!#REF!,0),FALSE))*2</f>
        <v>#REF!</v>
      </c>
      <c r="BS130" s="372" t="e">
        <f ca="1">VLOOKUP($BF130,坦克属性统计!$B$3:$AY$33,MATCH(BS$3,坦克属性统计!$B$3:$AY$3,0),FALSE)</f>
        <v>#N/A</v>
      </c>
      <c r="BT130" s="372" t="e">
        <f t="shared" ca="1" si="87"/>
        <v>#N/A</v>
      </c>
      <c r="BU130" s="372" t="e">
        <f t="shared" ca="1" si="87"/>
        <v>#N/A</v>
      </c>
      <c r="BV130" s="372" t="e">
        <f t="shared" ca="1" si="87"/>
        <v>#N/A</v>
      </c>
      <c r="BW130" s="356">
        <f t="shared" ca="1" si="59"/>
        <v>0</v>
      </c>
      <c r="BX130" s="356" t="e">
        <f ca="1">VLOOKUP(BF130,坦克个性化设定!$B$18:$E$48,4,FALSE)</f>
        <v>#N/A</v>
      </c>
      <c r="BY130" s="357" t="e">
        <f t="shared" ca="1" si="66"/>
        <v>#N/A</v>
      </c>
    </row>
    <row r="131" spans="15:77" x14ac:dyDescent="0.35">
      <c r="O131" s="365">
        <v>128</v>
      </c>
      <c r="P131" s="360" t="e">
        <f t="shared" ca="1" si="78"/>
        <v>#REF!</v>
      </c>
      <c r="Q131" s="360" t="e">
        <f ca="1">ROUND(MIN((BD131-VLOOKUP(R131,$B$22:$F$46,2,FALSE))/(VLOOKUP(R131,$B$22:$F$46,3,FALSE)-VLOOKUP(R131,$B$22:$F$46,2,FALSE)),1)*((VLOOKUP(R131,$B$22:$F$46,4,FALSE)*(AG131/(AG131+VLOOKUP(P131,$D$49:$F$123,3,TRUE)))+VLOOKUP(R131,$B$22:$F$46,5,FALSE)*(1-AG131/(AG131+VLOOKUP(P131,$D$49:$F$123,3,TRUE))))/2)*游戏时长规划!$C$4,0)</f>
        <v>#REF!</v>
      </c>
      <c r="R131" s="360" t="e">
        <f t="shared" ca="1" si="46"/>
        <v>#REF!</v>
      </c>
      <c r="S131" s="360" t="e">
        <f t="shared" ca="1" si="67"/>
        <v>#REF!</v>
      </c>
      <c r="T131" s="360" t="e">
        <f t="shared" ca="1" si="79"/>
        <v>#REF!</v>
      </c>
      <c r="U131" s="370" t="e">
        <f t="shared" ca="1" si="47"/>
        <v>#REF!</v>
      </c>
      <c r="V131" s="363" t="e">
        <f t="shared" ca="1" si="68"/>
        <v>#REF!</v>
      </c>
      <c r="W131" s="360" t="e">
        <f t="shared" ca="1" si="48"/>
        <v>#REF!</v>
      </c>
      <c r="X131" s="81" t="e">
        <f t="shared" ca="1" si="60"/>
        <v>#REF!</v>
      </c>
      <c r="Y131" s="360" t="str">
        <f t="shared" ca="1" si="49"/>
        <v>NULL</v>
      </c>
      <c r="Z131" s="375" t="e">
        <f t="shared" ca="1" si="61"/>
        <v>#REF!</v>
      </c>
      <c r="AA131" s="360">
        <f ca="1">IFERROR(VLOOKUP(IF(V131="T1低",游戏时长规划!$C$67+Z131,Z131),INDIRECT(V131&amp;"星级"),2,TRUE),0)</f>
        <v>0</v>
      </c>
      <c r="AB131" s="375" t="e">
        <f t="shared" ca="1" si="50"/>
        <v>#REF!</v>
      </c>
      <c r="AC131" s="375">
        <f ca="1">($D$14+$D$17)*$L$4/坦克部件养成!$C$2+AC130-IFERROR(IF(RIGHT(AD130,3)*1&gt;RIGHT(VLOOKUP(AC130,INDIRECT(LEFT(AD129,2)&amp;"部件升阶"),5,TRUE),3)*1,VLOOKUP(AD129,INDIRECT(LEFT(AD129,2)&amp;"部件升阶消耗"),2,FALSE),0),0)</f>
        <v>1514.6666666666649</v>
      </c>
      <c r="AD131" s="360" t="e">
        <f t="shared" ca="1" si="51"/>
        <v>#REF!</v>
      </c>
      <c r="AE131" s="375" t="e">
        <f ca="1">$D$15*$L$4/坦克部件养成!$C$2+AE130-IF(LEFT(AD131,2)&lt;&gt;LEFT(AD130,2),VLOOKUP(AF130,INDIRECT(LEFT(AD130,2)&amp;"部件升级消耗"),5,FALSE),0)</f>
        <v>#REF!</v>
      </c>
      <c r="AF131" s="360" t="e">
        <f ca="1">MIN(VLOOKUP(AE131,INDIRECT(LEFT(AD131,2)&amp;"部件升级"),2,TRUE),VLOOKUP(LEFT(AD131,2),坦克部件养成!#REF!,6,FALSE))</f>
        <v>#REF!</v>
      </c>
      <c r="AG131" s="378" t="e">
        <f ca="1">MAX(BD$4:BD131)</f>
        <v>#REF!</v>
      </c>
      <c r="AH131" s="378" t="str">
        <f t="shared" ca="1" si="52"/>
        <v/>
      </c>
      <c r="AI131" s="378">
        <f ca="1">IF(Y131="NULL",0,MAX(BY$4:BY131))</f>
        <v>0</v>
      </c>
      <c r="AK131" s="364" t="e">
        <f t="shared" ca="1" si="53"/>
        <v>#REF!</v>
      </c>
      <c r="AL131" s="364" t="e">
        <f ca="1">VLOOKUP(AK131,坦克个性化设定!$B$18:$F$48,5,FALSE)</f>
        <v>#REF!</v>
      </c>
      <c r="AM131" s="372" t="e">
        <f t="shared" ca="1" si="54"/>
        <v>#REF!</v>
      </c>
      <c r="AN131" s="372" t="e">
        <f t="shared" ca="1" si="62"/>
        <v>#REF!</v>
      </c>
      <c r="AO131" s="364">
        <f t="shared" ca="1" si="55"/>
        <v>0</v>
      </c>
      <c r="AP131" s="372" t="e">
        <f ca="1">VLOOKUP($AK131&amp;$AO131,所有坦克升星属性,MATCH(AP$3,所有坦克升星属性标头,0),FALSE)+ROUND(AU131/VLOOKUP($AK131,坦克部件!#REF!,4,FALSE)*VLOOKUP($AK131&amp;0,所有坦克升星属性,MATCH(AP$3,所有坦克升星属性标头,0),FALSE),0)</f>
        <v>#REF!</v>
      </c>
      <c r="AQ131" s="372" t="e">
        <f ca="1">VLOOKUP($AK131&amp;$AO131,所有坦克升星属性,MATCH(AQ$3,所有坦克升星属性标头,0),FALSE)+ROUND(AV131/VLOOKUP($AK131,坦克部件!#REF!,4,FALSE)*VLOOKUP($AK131&amp;0,所有坦克升星属性,MATCH(AQ$3,所有坦克升星属性标头,0),FALSE),0)</f>
        <v>#REF!</v>
      </c>
      <c r="AR131" s="372" t="e">
        <f t="shared" ca="1" si="84"/>
        <v>#REF!</v>
      </c>
      <c r="AS131" s="372" t="e">
        <f t="shared" ca="1" si="84"/>
        <v>#REF!</v>
      </c>
      <c r="AT131" s="372" t="e">
        <f ca="1">VLOOKUP($AK131&amp;$AO131,所有坦克升星属性,MATCH(AT$3,所有坦克升星属性标头,0),FALSE)+ROUND(AW131/VLOOKUP($AK131,坦克部件!#REF!,4,FALSE)*VLOOKUP($AK131&amp;0,所有坦克升星属性,MATCH(AT$3,所有坦克升星属性标头,0),FALSE),0)</f>
        <v>#REF!</v>
      </c>
      <c r="AU131" s="372" t="e">
        <f ca="1">(VLOOKUP($AM131,坦克部件!#REF!,MATCH("标准值",坦克部件!#REF!,0),FALSE)+VLOOKUP($AN131,坦克部件!#REF!,MATCH("标准值",坦克部件!#REF!,0),FALSE))*2</f>
        <v>#REF!</v>
      </c>
      <c r="AV131" s="372" t="e">
        <f ca="1">(VLOOKUP($AM131,坦克部件!#REF!,MATCH("标准值",坦克部件!#REF!,0),FALSE)+VLOOKUP($AN131,坦克部件!#REF!,MATCH("标准值",坦克部件!#REF!,0),FALSE))*2</f>
        <v>#REF!</v>
      </c>
      <c r="AW131" s="372" t="e">
        <f ca="1">(VLOOKUP($AM131,坦克部件!#REF!,MATCH("标准值",坦克部件!#REF!,0),FALSE)+VLOOKUP($AN131,坦克部件!#REF!,MATCH("标准值",坦克部件!#REF!,0),FALSE))*2</f>
        <v>#REF!</v>
      </c>
      <c r="AX131" s="372" t="e">
        <f ca="1">VLOOKUP($AK131,坦克属性统计!$B$3:$AY$33,MATCH(AX$3,坦克属性统计!$B$3:$AY$3,0),FALSE)</f>
        <v>#REF!</v>
      </c>
      <c r="AY131" s="372" t="e">
        <f t="shared" ca="1" si="85"/>
        <v>#REF!</v>
      </c>
      <c r="AZ131" s="372" t="e">
        <f t="shared" ca="1" si="85"/>
        <v>#REF!</v>
      </c>
      <c r="BA131" s="372" t="e">
        <f t="shared" ca="1" si="85"/>
        <v>#REF!</v>
      </c>
      <c r="BB131" s="356" t="e">
        <f t="shared" ca="1" si="56"/>
        <v>#REF!</v>
      </c>
      <c r="BC131" s="356" t="e">
        <f ca="1">VLOOKUP(AK131,坦克个性化设定!$B$18:$E$48,4,FALSE)</f>
        <v>#REF!</v>
      </c>
      <c r="BD131" s="357" t="e">
        <f t="shared" ca="1" si="63"/>
        <v>#REF!</v>
      </c>
      <c r="BF131" s="357" t="str">
        <f t="shared" ca="1" si="57"/>
        <v/>
      </c>
      <c r="BG131" s="372" t="str">
        <f ca="1">IFERROR(VLOOKUP(BF131,坦克个性化设定!$B$18:$F$48,5,FALSE),"")</f>
        <v/>
      </c>
      <c r="BH131" s="372" t="e">
        <f t="shared" ca="1" si="64"/>
        <v>#REF!</v>
      </c>
      <c r="BI131" s="372" t="e">
        <f t="shared" ca="1" si="65"/>
        <v>#REF!</v>
      </c>
      <c r="BJ131" s="364" t="str">
        <f t="shared" ca="1" si="58"/>
        <v>NULL</v>
      </c>
      <c r="BK131" s="372" t="e">
        <f ca="1">VLOOKUP($BF131&amp;IF($BJ131="NULL",0,$BJ131),所有坦克升星属性,MATCH(BK$3,所有坦克升星属性标头,0),FALSE)+ROUND(BP131/VLOOKUP($BF131,坦克部件!#REF!,4,FALSE)*VLOOKUP($BF131&amp;0,所有坦克升星属性,MATCH(BK$3,所有坦克升星属性标头,0),FALSE),0)</f>
        <v>#N/A</v>
      </c>
      <c r="BL131" s="372" t="e">
        <f ca="1">VLOOKUP($BF131&amp;IF($BJ131="NULL",0,$BJ131),所有坦克升星属性,MATCH(BL$3,所有坦克升星属性标头,0),FALSE)+ROUND(BQ131/VLOOKUP($BF131,坦克部件!#REF!,4,FALSE)*VLOOKUP($BF131&amp;0,所有坦克升星属性,MATCH(BL$3,所有坦克升星属性标头,0),FALSE),0)</f>
        <v>#N/A</v>
      </c>
      <c r="BM131" s="372" t="e">
        <f t="shared" ca="1" si="86"/>
        <v>#N/A</v>
      </c>
      <c r="BN131" s="372" t="e">
        <f t="shared" ca="1" si="86"/>
        <v>#N/A</v>
      </c>
      <c r="BO131" s="372" t="e">
        <f ca="1">VLOOKUP($BF131&amp;IF($BJ131="NULL",0,$BJ131),所有坦克升星属性,MATCH(BO$3,所有坦克升星属性标头,0),FALSE)+ROUND(BR131/VLOOKUP($BF131,坦克部件!#REF!,4,FALSE)*VLOOKUP($BF131&amp;0,所有坦克升星属性,MATCH(BO$3,所有坦克升星属性标头,0),FALSE),0)</f>
        <v>#N/A</v>
      </c>
      <c r="BP131" s="372" t="e">
        <f ca="1">(VLOOKUP($BH131,坦克部件!#REF!,MATCH("标准值",坦克部件!#REF!,0),FALSE)+VLOOKUP($BI131,坦克部件!#REF!,MATCH("标准值",坦克部件!#REF!,0),FALSE))*2</f>
        <v>#REF!</v>
      </c>
      <c r="BQ131" s="372" t="e">
        <f ca="1">(VLOOKUP($BH131,坦克部件!#REF!,MATCH("标准值",坦克部件!#REF!,0),FALSE)+VLOOKUP($BI131,坦克部件!#REF!,MATCH("标准值",坦克部件!#REF!,0),FALSE))*2</f>
        <v>#REF!</v>
      </c>
      <c r="BR131" s="372" t="e">
        <f ca="1">(VLOOKUP($BH131,坦克部件!#REF!,MATCH("标准值",坦克部件!#REF!,0),FALSE)+VLOOKUP($BI131,坦克部件!#REF!,MATCH("标准值",坦克部件!#REF!,0),FALSE))*2</f>
        <v>#REF!</v>
      </c>
      <c r="BS131" s="372" t="e">
        <f ca="1">VLOOKUP($BF131,坦克属性统计!$B$3:$AY$33,MATCH(BS$3,坦克属性统计!$B$3:$AY$3,0),FALSE)</f>
        <v>#N/A</v>
      </c>
      <c r="BT131" s="372" t="e">
        <f t="shared" ca="1" si="87"/>
        <v>#N/A</v>
      </c>
      <c r="BU131" s="372" t="e">
        <f t="shared" ca="1" si="87"/>
        <v>#N/A</v>
      </c>
      <c r="BV131" s="372" t="e">
        <f t="shared" ca="1" si="87"/>
        <v>#N/A</v>
      </c>
      <c r="BW131" s="356">
        <f t="shared" ca="1" si="59"/>
        <v>0</v>
      </c>
      <c r="BX131" s="356" t="e">
        <f ca="1">VLOOKUP(BF131,坦克个性化设定!$B$18:$E$48,4,FALSE)</f>
        <v>#N/A</v>
      </c>
      <c r="BY131" s="357" t="e">
        <f t="shared" ca="1" si="66"/>
        <v>#N/A</v>
      </c>
    </row>
    <row r="132" spans="15:77" x14ac:dyDescent="0.35">
      <c r="O132" s="365">
        <v>129</v>
      </c>
      <c r="P132" s="360" t="e">
        <f t="shared" ca="1" si="78"/>
        <v>#REF!</v>
      </c>
      <c r="Q132" s="360" t="e">
        <f ca="1">ROUND(MIN((BD132-VLOOKUP(R132,$B$22:$F$46,2,FALSE))/(VLOOKUP(R132,$B$22:$F$46,3,FALSE)-VLOOKUP(R132,$B$22:$F$46,2,FALSE)),1)*((VLOOKUP(R132,$B$22:$F$46,4,FALSE)*(AG132/(AG132+VLOOKUP(P132,$D$49:$F$123,3,TRUE)))+VLOOKUP(R132,$B$22:$F$46,5,FALSE)*(1-AG132/(AG132+VLOOKUP(P132,$D$49:$F$123,3,TRUE))))/2)*游戏时长规划!$C$4,0)</f>
        <v>#REF!</v>
      </c>
      <c r="R132" s="360" t="e">
        <f t="shared" ref="R132:R195" ca="1" si="88">VLOOKUP(P132,$D$49:$E$112,2,TRUE)</f>
        <v>#REF!</v>
      </c>
      <c r="S132" s="360" t="e">
        <f t="shared" ca="1" si="67"/>
        <v>#REF!</v>
      </c>
      <c r="T132" s="360" t="e">
        <f t="shared" ca="1" si="79"/>
        <v>#REF!</v>
      </c>
      <c r="U132" s="370" t="e">
        <f t="shared" ref="U132:U195" ca="1" si="89">IF(AI131&gt;=AG131,IFERROR(VLOOKUP(W131,$H$79:$K$89,2,FALSE),"雷诺FT"),IF(O132=1,"雷诺FT",U131))</f>
        <v>#REF!</v>
      </c>
      <c r="V132" s="363" t="e">
        <f t="shared" ca="1" si="68"/>
        <v>#REF!</v>
      </c>
      <c r="W132" s="360" t="e">
        <f t="shared" ref="W132:W195" ca="1" si="90">VLOOKUP(V132,$H$31:$J$43,3,FALSE)</f>
        <v>#REF!</v>
      </c>
      <c r="X132" s="81" t="e">
        <f t="shared" ca="1" si="60"/>
        <v>#REF!</v>
      </c>
      <c r="Y132" s="360" t="str">
        <f t="shared" ref="Y132:Y195" ca="1" si="91">IFERROR(VLOOKUP(X132,INDIRECT(W132&amp;"星级"),2,TRUE),"NULL")</f>
        <v>NULL</v>
      </c>
      <c r="Z132" s="375" t="e">
        <f t="shared" ca="1" si="61"/>
        <v>#REF!</v>
      </c>
      <c r="AA132" s="360">
        <f ca="1">IFERROR(VLOOKUP(IF(V132="T1低",游戏时长规划!$C$67+Z132,Z132),INDIRECT(V132&amp;"星级"),2,TRUE),0)</f>
        <v>0</v>
      </c>
      <c r="AB132" s="375" t="e">
        <f t="shared" ref="AB132:AB195" ca="1" si="92">VLOOKUP(R132,$H$16:$K$28,4,FALSE)</f>
        <v>#REF!</v>
      </c>
      <c r="AC132" s="375">
        <f ca="1">($D$14+$D$17)*$L$4/坦克部件养成!$C$2+AC131-IFERROR(IF(RIGHT(AD131,3)*1&gt;RIGHT(VLOOKUP(AC131,INDIRECT(LEFT(AD130,2)&amp;"部件升阶"),5,TRUE),3)*1,VLOOKUP(AD130,INDIRECT(LEFT(AD130,2)&amp;"部件升阶消耗"),2,FALSE),0),0)</f>
        <v>1526.4999999999982</v>
      </c>
      <c r="AD132" s="360" t="e">
        <f t="shared" ref="AD132:AD195" ca="1" si="93">IF(AB132="T1",IFERROR(VLOOKUP(AC132,T1部件升阶,5,TRUE),"T111"),"T"&amp;MAX(RIGHT(IFERROR(VLOOKUP(AC132-VLOOKUP(AD131,INDIRECT(LEFT(AD131,2)&amp;"部件升阶消耗"),2,FALSE),INDIRECT(AB132&amp;"部件升阶"),5,TRUE),"T000"),3)*1,RIGHT(VLOOKUP(AC132,INDIRECT(LEFT(AD131,2)&amp;"部件升阶"),5,TRUE),3)*1))</f>
        <v>#REF!</v>
      </c>
      <c r="AE132" s="375" t="e">
        <f ca="1">$D$15*$L$4/坦克部件养成!$C$2+AE131-IF(LEFT(AD132,2)&lt;&gt;LEFT(AD131,2),VLOOKUP(AF131,INDIRECT(LEFT(AD131,2)&amp;"部件升级消耗"),5,FALSE),0)</f>
        <v>#REF!</v>
      </c>
      <c r="AF132" s="360" t="e">
        <f ca="1">MIN(VLOOKUP(AE132,INDIRECT(LEFT(AD132,2)&amp;"部件升级"),2,TRUE),VLOOKUP(LEFT(AD132,2),坦克部件养成!#REF!,6,FALSE))</f>
        <v>#REF!</v>
      </c>
      <c r="AG132" s="378" t="e">
        <f ca="1">MAX(BD$4:BD132)</f>
        <v>#REF!</v>
      </c>
      <c r="AH132" s="378" t="str">
        <f t="shared" ref="AH132:AH195" ca="1" si="94">IFERROR(VLOOKUP(W132,$H$79:$K$89,MATCH(VLOOKUP(U132,$H$46:$M$76,2,FALSE),$H$79:$K$79,0),FALSE),"")</f>
        <v/>
      </c>
      <c r="AI132" s="378">
        <f ca="1">IF(Y132="NULL",0,MAX(BY$4:BY132))</f>
        <v>0</v>
      </c>
      <c r="AK132" s="364" t="e">
        <f t="shared" ref="AK132:AK195" ca="1" si="95">U132</f>
        <v>#REF!</v>
      </c>
      <c r="AL132" s="364" t="e">
        <f ca="1">VLOOKUP(AK132,坦克个性化设定!$B$18:$F$48,5,FALSE)</f>
        <v>#REF!</v>
      </c>
      <c r="AM132" s="372" t="e">
        <f t="shared" ref="AM132:AM195" ca="1" si="96">AF132</f>
        <v>#REF!</v>
      </c>
      <c r="AN132" s="372" t="e">
        <f t="shared" ca="1" si="62"/>
        <v>#REF!</v>
      </c>
      <c r="AO132" s="364">
        <f t="shared" ref="AO132:AO195" ca="1" si="97">AA132</f>
        <v>0</v>
      </c>
      <c r="AP132" s="372" t="e">
        <f ca="1">VLOOKUP($AK132&amp;$AO132,所有坦克升星属性,MATCH(AP$3,所有坦克升星属性标头,0),FALSE)+ROUND(AU132/VLOOKUP($AK132,坦克部件!#REF!,4,FALSE)*VLOOKUP($AK132&amp;0,所有坦克升星属性,MATCH(AP$3,所有坦克升星属性标头,0),FALSE),0)</f>
        <v>#REF!</v>
      </c>
      <c r="AQ132" s="372" t="e">
        <f ca="1">VLOOKUP($AK132&amp;$AO132,所有坦克升星属性,MATCH(AQ$3,所有坦克升星属性标头,0),FALSE)+ROUND(AV132/VLOOKUP($AK132,坦克部件!#REF!,4,FALSE)*VLOOKUP($AK132&amp;0,所有坦克升星属性,MATCH(AQ$3,所有坦克升星属性标头,0),FALSE),0)</f>
        <v>#REF!</v>
      </c>
      <c r="AR132" s="372" t="e">
        <f t="shared" ca="1" si="84"/>
        <v>#REF!</v>
      </c>
      <c r="AS132" s="372" t="e">
        <f t="shared" ca="1" si="84"/>
        <v>#REF!</v>
      </c>
      <c r="AT132" s="372" t="e">
        <f ca="1">VLOOKUP($AK132&amp;$AO132,所有坦克升星属性,MATCH(AT$3,所有坦克升星属性标头,0),FALSE)+ROUND(AW132/VLOOKUP($AK132,坦克部件!#REF!,4,FALSE)*VLOOKUP($AK132&amp;0,所有坦克升星属性,MATCH(AT$3,所有坦克升星属性标头,0),FALSE),0)</f>
        <v>#REF!</v>
      </c>
      <c r="AU132" s="372" t="e">
        <f ca="1">(VLOOKUP($AM132,坦克部件!#REF!,MATCH("标准值",坦克部件!#REF!,0),FALSE)+VLOOKUP($AN132,坦克部件!#REF!,MATCH("标准值",坦克部件!#REF!,0),FALSE))*2</f>
        <v>#REF!</v>
      </c>
      <c r="AV132" s="372" t="e">
        <f ca="1">(VLOOKUP($AM132,坦克部件!#REF!,MATCH("标准值",坦克部件!#REF!,0),FALSE)+VLOOKUP($AN132,坦克部件!#REF!,MATCH("标准值",坦克部件!#REF!,0),FALSE))*2</f>
        <v>#REF!</v>
      </c>
      <c r="AW132" s="372" t="e">
        <f ca="1">(VLOOKUP($AM132,坦克部件!#REF!,MATCH("标准值",坦克部件!#REF!,0),FALSE)+VLOOKUP($AN132,坦克部件!#REF!,MATCH("标准值",坦克部件!#REF!,0),FALSE))*2</f>
        <v>#REF!</v>
      </c>
      <c r="AX132" s="372" t="e">
        <f ca="1">VLOOKUP($AK132,坦克属性统计!$B$3:$AY$33,MATCH(AX$3,坦克属性统计!$B$3:$AY$3,0),FALSE)</f>
        <v>#REF!</v>
      </c>
      <c r="AY132" s="372" t="e">
        <f t="shared" ca="1" si="85"/>
        <v>#REF!</v>
      </c>
      <c r="AZ132" s="372" t="e">
        <f t="shared" ca="1" si="85"/>
        <v>#REF!</v>
      </c>
      <c r="BA132" s="372" t="e">
        <f t="shared" ca="1" si="85"/>
        <v>#REF!</v>
      </c>
      <c r="BB132" s="356" t="e">
        <f t="shared" ref="BB132:BB195" ca="1" si="98">IF(LEN(AL132)=5,(60-(AX132-1)*AY132)/AZ132+AX132,IF(RIGHT(AL132,2)="弹夹",((60-(AX132-1)*AY132)/(BA132+(AX132-1)*AY132)+1)*AX132,60/AZ132+AX132))</f>
        <v>#REF!</v>
      </c>
      <c r="BC132" s="356" t="e">
        <f ca="1">VLOOKUP(AK132,坦克个性化设定!$B$18:$E$48,4,FALSE)</f>
        <v>#REF!</v>
      </c>
      <c r="BD132" s="357" t="e">
        <f t="shared" ca="1" si="63"/>
        <v>#REF!</v>
      </c>
      <c r="BF132" s="357" t="str">
        <f t="shared" ref="BF132:BF195" ca="1" si="99">AH132</f>
        <v/>
      </c>
      <c r="BG132" s="372" t="str">
        <f ca="1">IFERROR(VLOOKUP(BF132,坦克个性化设定!$B$18:$F$48,5,FALSE),"")</f>
        <v/>
      </c>
      <c r="BH132" s="372" t="e">
        <f t="shared" ca="1" si="64"/>
        <v>#REF!</v>
      </c>
      <c r="BI132" s="372" t="e">
        <f t="shared" ca="1" si="65"/>
        <v>#REF!</v>
      </c>
      <c r="BJ132" s="364" t="str">
        <f t="shared" ref="BJ132:BJ195" ca="1" si="100">Y132</f>
        <v>NULL</v>
      </c>
      <c r="BK132" s="372" t="e">
        <f ca="1">VLOOKUP($BF132&amp;IF($BJ132="NULL",0,$BJ132),所有坦克升星属性,MATCH(BK$3,所有坦克升星属性标头,0),FALSE)+ROUND(BP132/VLOOKUP($BF132,坦克部件!#REF!,4,FALSE)*VLOOKUP($BF132&amp;0,所有坦克升星属性,MATCH(BK$3,所有坦克升星属性标头,0),FALSE),0)</f>
        <v>#N/A</v>
      </c>
      <c r="BL132" s="372" t="e">
        <f ca="1">VLOOKUP($BF132&amp;IF($BJ132="NULL",0,$BJ132),所有坦克升星属性,MATCH(BL$3,所有坦克升星属性标头,0),FALSE)+ROUND(BQ132/VLOOKUP($BF132,坦克部件!#REF!,4,FALSE)*VLOOKUP($BF132&amp;0,所有坦克升星属性,MATCH(BL$3,所有坦克升星属性标头,0),FALSE),0)</f>
        <v>#N/A</v>
      </c>
      <c r="BM132" s="372" t="e">
        <f t="shared" ca="1" si="86"/>
        <v>#N/A</v>
      </c>
      <c r="BN132" s="372" t="e">
        <f t="shared" ca="1" si="86"/>
        <v>#N/A</v>
      </c>
      <c r="BO132" s="372" t="e">
        <f ca="1">VLOOKUP($BF132&amp;IF($BJ132="NULL",0,$BJ132),所有坦克升星属性,MATCH(BO$3,所有坦克升星属性标头,0),FALSE)+ROUND(BR132/VLOOKUP($BF132,坦克部件!#REF!,4,FALSE)*VLOOKUP($BF132&amp;0,所有坦克升星属性,MATCH(BO$3,所有坦克升星属性标头,0),FALSE),0)</f>
        <v>#N/A</v>
      </c>
      <c r="BP132" s="372" t="e">
        <f ca="1">(VLOOKUP($BH132,坦克部件!#REF!,MATCH("标准值",坦克部件!#REF!,0),FALSE)+VLOOKUP($BI132,坦克部件!#REF!,MATCH("标准值",坦克部件!#REF!,0),FALSE))*2</f>
        <v>#REF!</v>
      </c>
      <c r="BQ132" s="372" t="e">
        <f ca="1">(VLOOKUP($BH132,坦克部件!#REF!,MATCH("标准值",坦克部件!#REF!,0),FALSE)+VLOOKUP($BI132,坦克部件!#REF!,MATCH("标准值",坦克部件!#REF!,0),FALSE))*2</f>
        <v>#REF!</v>
      </c>
      <c r="BR132" s="372" t="e">
        <f ca="1">(VLOOKUP($BH132,坦克部件!#REF!,MATCH("标准值",坦克部件!#REF!,0),FALSE)+VLOOKUP($BI132,坦克部件!#REF!,MATCH("标准值",坦克部件!#REF!,0),FALSE))*2</f>
        <v>#REF!</v>
      </c>
      <c r="BS132" s="372" t="e">
        <f ca="1">VLOOKUP($BF132,坦克属性统计!$B$3:$AY$33,MATCH(BS$3,坦克属性统计!$B$3:$AY$3,0),FALSE)</f>
        <v>#N/A</v>
      </c>
      <c r="BT132" s="372" t="e">
        <f t="shared" ca="1" si="87"/>
        <v>#N/A</v>
      </c>
      <c r="BU132" s="372" t="e">
        <f t="shared" ca="1" si="87"/>
        <v>#N/A</v>
      </c>
      <c r="BV132" s="372" t="e">
        <f t="shared" ca="1" si="87"/>
        <v>#N/A</v>
      </c>
      <c r="BW132" s="356">
        <f t="shared" ref="BW132:BW195" ca="1" si="101">IFERROR(IF(LEN(BG132)=5,(60-(BS132-1)*BT132)/BU132+BS132,IF(RIGHT(BG132,2)="弹夹",((60-(BS132-1)*BT132)/(BV132+(BS132-1)*BT132)+1)*BS132,60/BU132+BS132)),0)</f>
        <v>0</v>
      </c>
      <c r="BX132" s="356" t="e">
        <f ca="1">VLOOKUP(BF132,坦克个性化设定!$B$18:$E$48,4,FALSE)</f>
        <v>#N/A</v>
      </c>
      <c r="BY132" s="357" t="e">
        <f t="shared" ca="1" si="66"/>
        <v>#N/A</v>
      </c>
    </row>
    <row r="133" spans="15:77" x14ac:dyDescent="0.35">
      <c r="O133" s="365">
        <v>130</v>
      </c>
      <c r="P133" s="360" t="e">
        <f t="shared" ca="1" si="78"/>
        <v>#REF!</v>
      </c>
      <c r="Q133" s="360" t="e">
        <f ca="1">ROUND(MIN((BD133-VLOOKUP(R133,$B$22:$F$46,2,FALSE))/(VLOOKUP(R133,$B$22:$F$46,3,FALSE)-VLOOKUP(R133,$B$22:$F$46,2,FALSE)),1)*((VLOOKUP(R133,$B$22:$F$46,4,FALSE)*(AG133/(AG133+VLOOKUP(P133,$D$49:$F$123,3,TRUE)))+VLOOKUP(R133,$B$22:$F$46,5,FALSE)*(1-AG133/(AG133+VLOOKUP(P133,$D$49:$F$123,3,TRUE))))/2)*游戏时长规划!$C$4,0)</f>
        <v>#REF!</v>
      </c>
      <c r="R133" s="360" t="e">
        <f t="shared" ca="1" si="88"/>
        <v>#REF!</v>
      </c>
      <c r="S133" s="360" t="e">
        <f t="shared" ca="1" si="67"/>
        <v>#REF!</v>
      </c>
      <c r="T133" s="360" t="e">
        <f t="shared" ca="1" si="79"/>
        <v>#REF!</v>
      </c>
      <c r="U133" s="370" t="e">
        <f t="shared" ca="1" si="89"/>
        <v>#REF!</v>
      </c>
      <c r="V133" s="363" t="e">
        <f t="shared" ca="1" si="68"/>
        <v>#REF!</v>
      </c>
      <c r="W133" s="360" t="e">
        <f t="shared" ca="1" si="90"/>
        <v>#REF!</v>
      </c>
      <c r="X133" s="81" t="e">
        <f t="shared" ref="X133:X196" ca="1" si="102">IF(U133&lt;&gt;U132,IF(Y132&lt;&gt;"NULL",(IF(VLOOKUP(T133,$H$31:$I$43,2,FALSE)&lt;VLOOKUP(W133,$H$31:$I$43,2,FALSE),0,$E$12))+(IF(VLOOKUP(S133,$H$31:$I$43,2,FALSE)&lt;VLOOKUP(W133,$H$31:$I$43,2,FALSE),0,1))*$E$13*$L$4,(IF(VLOOKUP(T133,$H$31:$I$43,2,FALSE)&lt;VLOOKUP(W133,$H$31:$I$43,2,FALSE),0,$E$12))+(IF(VLOOKUP(S133,$H$31:$I$43,2,FALSE)&lt;VLOOKUP(W133,$H$31:$I$43,2,FALSE),0,1))*$E$13*$L$4),(IF(VLOOKUP(T133,$H$31:$I$43,2,FALSE)&lt;VLOOKUP(W133,$H$31:$I$43,2,FALSE),0,$E$12))+(IF(VLOOKUP(S133,$H$31:$I$43,2,FALSE)&lt;VLOOKUP(W133,$H$31:$I$43,2,FALSE),0,1))*$E$13*$L$4+X132)</f>
        <v>#REF!</v>
      </c>
      <c r="Y133" s="360" t="str">
        <f t="shared" ca="1" si="91"/>
        <v>NULL</v>
      </c>
      <c r="Z133" s="375" t="e">
        <f t="shared" ref="Z133:Z196" ca="1" si="103">IF(O133=1,($E$13+$E$12)*$L$4,IF(V133=V132,IF(Y133="NULL",($E$13+$E$12)*$L$4+Z132,$E$13*$L$4+Z132),($E$13+$E$12)*$L$4+IF(ISNUMBER(X132),X132,0)))</f>
        <v>#REF!</v>
      </c>
      <c r="AA133" s="360">
        <f ca="1">IFERROR(VLOOKUP(IF(V133="T1低",游戏时长规划!$C$67+Z133,Z133),INDIRECT(V133&amp;"星级"),2,TRUE),0)</f>
        <v>0</v>
      </c>
      <c r="AB133" s="375" t="e">
        <f t="shared" ca="1" si="92"/>
        <v>#REF!</v>
      </c>
      <c r="AC133" s="375">
        <f ca="1">($D$14+$D$17)*$L$4/坦克部件养成!$C$2+AC132-IFERROR(IF(RIGHT(AD132,3)*1&gt;RIGHT(VLOOKUP(AC132,INDIRECT(LEFT(AD131,2)&amp;"部件升阶"),5,TRUE),3)*1,VLOOKUP(AD131,INDIRECT(LEFT(AD131,2)&amp;"部件升阶消耗"),2,FALSE),0),0)</f>
        <v>1538.3333333333314</v>
      </c>
      <c r="AD133" s="360" t="e">
        <f t="shared" ca="1" si="93"/>
        <v>#REF!</v>
      </c>
      <c r="AE133" s="375" t="e">
        <f ca="1">$D$15*$L$4/坦克部件养成!$C$2+AE132-IF(LEFT(AD133,2)&lt;&gt;LEFT(AD132,2),VLOOKUP(AF132,INDIRECT(LEFT(AD132,2)&amp;"部件升级消耗"),5,FALSE),0)</f>
        <v>#REF!</v>
      </c>
      <c r="AF133" s="360" t="e">
        <f ca="1">MIN(VLOOKUP(AE133,INDIRECT(LEFT(AD133,2)&amp;"部件升级"),2,TRUE),VLOOKUP(LEFT(AD133,2),坦克部件养成!#REF!,6,FALSE))</f>
        <v>#REF!</v>
      </c>
      <c r="AG133" s="378" t="e">
        <f ca="1">MAX(BD$4:BD133)</f>
        <v>#REF!</v>
      </c>
      <c r="AH133" s="378" t="str">
        <f t="shared" ca="1" si="94"/>
        <v/>
      </c>
      <c r="AI133" s="378">
        <f ca="1">IF(Y133="NULL",0,MAX(BY$4:BY133))</f>
        <v>0</v>
      </c>
      <c r="AK133" s="364" t="e">
        <f t="shared" ca="1" si="95"/>
        <v>#REF!</v>
      </c>
      <c r="AL133" s="364" t="e">
        <f ca="1">VLOOKUP(AK133,坦克个性化设定!$B$18:$F$48,5,FALSE)</f>
        <v>#REF!</v>
      </c>
      <c r="AM133" s="372" t="e">
        <f t="shared" ca="1" si="96"/>
        <v>#REF!</v>
      </c>
      <c r="AN133" s="372" t="e">
        <f t="shared" ref="AN133:AN196" ca="1" si="104">AD133</f>
        <v>#REF!</v>
      </c>
      <c r="AO133" s="364">
        <f t="shared" ca="1" si="97"/>
        <v>0</v>
      </c>
      <c r="AP133" s="372" t="e">
        <f ca="1">VLOOKUP($AK133&amp;$AO133,所有坦克升星属性,MATCH(AP$3,所有坦克升星属性标头,0),FALSE)+ROUND(AU133/VLOOKUP($AK133,坦克部件!#REF!,4,FALSE)*VLOOKUP($AK133&amp;0,所有坦克升星属性,MATCH(AP$3,所有坦克升星属性标头,0),FALSE),0)</f>
        <v>#REF!</v>
      </c>
      <c r="AQ133" s="372" t="e">
        <f ca="1">VLOOKUP($AK133&amp;$AO133,所有坦克升星属性,MATCH(AQ$3,所有坦克升星属性标头,0),FALSE)+ROUND(AV133/VLOOKUP($AK133,坦克部件!#REF!,4,FALSE)*VLOOKUP($AK133&amp;0,所有坦克升星属性,MATCH(AQ$3,所有坦克升星属性标头,0),FALSE),0)</f>
        <v>#REF!</v>
      </c>
      <c r="AR133" s="372" t="e">
        <f t="shared" ca="1" si="84"/>
        <v>#REF!</v>
      </c>
      <c r="AS133" s="372" t="e">
        <f t="shared" ca="1" si="84"/>
        <v>#REF!</v>
      </c>
      <c r="AT133" s="372" t="e">
        <f ca="1">VLOOKUP($AK133&amp;$AO133,所有坦克升星属性,MATCH(AT$3,所有坦克升星属性标头,0),FALSE)+ROUND(AW133/VLOOKUP($AK133,坦克部件!#REF!,4,FALSE)*VLOOKUP($AK133&amp;0,所有坦克升星属性,MATCH(AT$3,所有坦克升星属性标头,0),FALSE),0)</f>
        <v>#REF!</v>
      </c>
      <c r="AU133" s="372" t="e">
        <f ca="1">(VLOOKUP($AM133,坦克部件!#REF!,MATCH("标准值",坦克部件!#REF!,0),FALSE)+VLOOKUP($AN133,坦克部件!#REF!,MATCH("标准值",坦克部件!#REF!,0),FALSE))*2</f>
        <v>#REF!</v>
      </c>
      <c r="AV133" s="372" t="e">
        <f ca="1">(VLOOKUP($AM133,坦克部件!#REF!,MATCH("标准值",坦克部件!#REF!,0),FALSE)+VLOOKUP($AN133,坦克部件!#REF!,MATCH("标准值",坦克部件!#REF!,0),FALSE))*2</f>
        <v>#REF!</v>
      </c>
      <c r="AW133" s="372" t="e">
        <f ca="1">(VLOOKUP($AM133,坦克部件!#REF!,MATCH("标准值",坦克部件!#REF!,0),FALSE)+VLOOKUP($AN133,坦克部件!#REF!,MATCH("标准值",坦克部件!#REF!,0),FALSE))*2</f>
        <v>#REF!</v>
      </c>
      <c r="AX133" s="372" t="e">
        <f ca="1">VLOOKUP($AK133,坦克属性统计!$B$3:$AY$33,MATCH(AX$3,坦克属性统计!$B$3:$AY$3,0),FALSE)</f>
        <v>#REF!</v>
      </c>
      <c r="AY133" s="372" t="e">
        <f t="shared" ca="1" si="85"/>
        <v>#REF!</v>
      </c>
      <c r="AZ133" s="372" t="e">
        <f t="shared" ca="1" si="85"/>
        <v>#REF!</v>
      </c>
      <c r="BA133" s="372" t="e">
        <f t="shared" ca="1" si="85"/>
        <v>#REF!</v>
      </c>
      <c r="BB133" s="356" t="e">
        <f t="shared" ca="1" si="98"/>
        <v>#REF!</v>
      </c>
      <c r="BC133" s="356" t="e">
        <f ca="1">VLOOKUP(AK133,坦克个性化设定!$B$18:$E$48,4,FALSE)</f>
        <v>#REF!</v>
      </c>
      <c r="BD133" s="357" t="e">
        <f t="shared" ref="BD133:BD196" ca="1" si="105">ROUND(SQRT(AP133*AQ133*BB133/2+AVERAGE(AR133,AS133)*AT133*100),0)</f>
        <v>#REF!</v>
      </c>
      <c r="BF133" s="357" t="str">
        <f t="shared" ca="1" si="99"/>
        <v/>
      </c>
      <c r="BG133" s="372" t="str">
        <f ca="1">IFERROR(VLOOKUP(BF133,坦克个性化设定!$B$18:$F$48,5,FALSE),"")</f>
        <v/>
      </c>
      <c r="BH133" s="372" t="e">
        <f t="shared" ref="BH133:BH196" ca="1" si="106">AM133</f>
        <v>#REF!</v>
      </c>
      <c r="BI133" s="372" t="e">
        <f t="shared" ref="BI133:BI196" ca="1" si="107">AN133</f>
        <v>#REF!</v>
      </c>
      <c r="BJ133" s="364" t="str">
        <f t="shared" ca="1" si="100"/>
        <v>NULL</v>
      </c>
      <c r="BK133" s="372" t="e">
        <f ca="1">VLOOKUP($BF133&amp;IF($BJ133="NULL",0,$BJ133),所有坦克升星属性,MATCH(BK$3,所有坦克升星属性标头,0),FALSE)+ROUND(BP133/VLOOKUP($BF133,坦克部件!#REF!,4,FALSE)*VLOOKUP($BF133&amp;0,所有坦克升星属性,MATCH(BK$3,所有坦克升星属性标头,0),FALSE),0)</f>
        <v>#N/A</v>
      </c>
      <c r="BL133" s="372" t="e">
        <f ca="1">VLOOKUP($BF133&amp;IF($BJ133="NULL",0,$BJ133),所有坦克升星属性,MATCH(BL$3,所有坦克升星属性标头,0),FALSE)+ROUND(BQ133/VLOOKUP($BF133,坦克部件!#REF!,4,FALSE)*VLOOKUP($BF133&amp;0,所有坦克升星属性,MATCH(BL$3,所有坦克升星属性标头,0),FALSE),0)</f>
        <v>#N/A</v>
      </c>
      <c r="BM133" s="372" t="e">
        <f t="shared" ca="1" si="86"/>
        <v>#N/A</v>
      </c>
      <c r="BN133" s="372" t="e">
        <f t="shared" ca="1" si="86"/>
        <v>#N/A</v>
      </c>
      <c r="BO133" s="372" t="e">
        <f ca="1">VLOOKUP($BF133&amp;IF($BJ133="NULL",0,$BJ133),所有坦克升星属性,MATCH(BO$3,所有坦克升星属性标头,0),FALSE)+ROUND(BR133/VLOOKUP($BF133,坦克部件!#REF!,4,FALSE)*VLOOKUP($BF133&amp;0,所有坦克升星属性,MATCH(BO$3,所有坦克升星属性标头,0),FALSE),0)</f>
        <v>#N/A</v>
      </c>
      <c r="BP133" s="372" t="e">
        <f ca="1">(VLOOKUP($BH133,坦克部件!#REF!,MATCH("标准值",坦克部件!#REF!,0),FALSE)+VLOOKUP($BI133,坦克部件!#REF!,MATCH("标准值",坦克部件!#REF!,0),FALSE))*2</f>
        <v>#REF!</v>
      </c>
      <c r="BQ133" s="372" t="e">
        <f ca="1">(VLOOKUP($BH133,坦克部件!#REF!,MATCH("标准值",坦克部件!#REF!,0),FALSE)+VLOOKUP($BI133,坦克部件!#REF!,MATCH("标准值",坦克部件!#REF!,0),FALSE))*2</f>
        <v>#REF!</v>
      </c>
      <c r="BR133" s="372" t="e">
        <f ca="1">(VLOOKUP($BH133,坦克部件!#REF!,MATCH("标准值",坦克部件!#REF!,0),FALSE)+VLOOKUP($BI133,坦克部件!#REF!,MATCH("标准值",坦克部件!#REF!,0),FALSE))*2</f>
        <v>#REF!</v>
      </c>
      <c r="BS133" s="372" t="e">
        <f ca="1">VLOOKUP($BF133,坦克属性统计!$B$3:$AY$33,MATCH(BS$3,坦克属性统计!$B$3:$AY$3,0),FALSE)</f>
        <v>#N/A</v>
      </c>
      <c r="BT133" s="372" t="e">
        <f t="shared" ca="1" si="87"/>
        <v>#N/A</v>
      </c>
      <c r="BU133" s="372" t="e">
        <f t="shared" ca="1" si="87"/>
        <v>#N/A</v>
      </c>
      <c r="BV133" s="372" t="e">
        <f t="shared" ca="1" si="87"/>
        <v>#N/A</v>
      </c>
      <c r="BW133" s="356">
        <f t="shared" ca="1" si="101"/>
        <v>0</v>
      </c>
      <c r="BX133" s="356" t="e">
        <f ca="1">VLOOKUP(BF133,坦克个性化设定!$B$18:$E$48,4,FALSE)</f>
        <v>#N/A</v>
      </c>
      <c r="BY133" s="357" t="e">
        <f t="shared" ref="BY133:BY196" ca="1" si="108">ROUND(SQRT(BK133*BL133*BW133/2+AVERAGE(BM133,BN133)*BO133*100),0)</f>
        <v>#N/A</v>
      </c>
    </row>
    <row r="134" spans="15:77" x14ac:dyDescent="0.35">
      <c r="O134" s="365">
        <v>131</v>
      </c>
      <c r="P134" s="360" t="e">
        <f t="shared" ca="1" si="78"/>
        <v>#REF!</v>
      </c>
      <c r="Q134" s="360" t="e">
        <f ca="1">ROUND(MIN((BD134-VLOOKUP(R134,$B$22:$F$46,2,FALSE))/(VLOOKUP(R134,$B$22:$F$46,3,FALSE)-VLOOKUP(R134,$B$22:$F$46,2,FALSE)),1)*((VLOOKUP(R134,$B$22:$F$46,4,FALSE)*(AG134/(AG134+VLOOKUP(P134,$D$49:$F$123,3,TRUE)))+VLOOKUP(R134,$B$22:$F$46,5,FALSE)*(1-AG134/(AG134+VLOOKUP(P134,$D$49:$F$123,3,TRUE))))/2)*游戏时长规划!$C$4,0)</f>
        <v>#REF!</v>
      </c>
      <c r="R134" s="360" t="e">
        <f t="shared" ca="1" si="88"/>
        <v>#REF!</v>
      </c>
      <c r="S134" s="360" t="e">
        <f t="shared" ca="1" si="67"/>
        <v>#REF!</v>
      </c>
      <c r="T134" s="360" t="e">
        <f t="shared" ca="1" si="79"/>
        <v>#REF!</v>
      </c>
      <c r="U134" s="370" t="e">
        <f t="shared" ca="1" si="89"/>
        <v>#REF!</v>
      </c>
      <c r="V134" s="363" t="e">
        <f t="shared" ca="1" si="68"/>
        <v>#REF!</v>
      </c>
      <c r="W134" s="360" t="e">
        <f t="shared" ca="1" si="90"/>
        <v>#REF!</v>
      </c>
      <c r="X134" s="81" t="e">
        <f t="shared" ca="1" si="102"/>
        <v>#REF!</v>
      </c>
      <c r="Y134" s="360" t="str">
        <f t="shared" ca="1" si="91"/>
        <v>NULL</v>
      </c>
      <c r="Z134" s="375" t="e">
        <f t="shared" ca="1" si="103"/>
        <v>#REF!</v>
      </c>
      <c r="AA134" s="360">
        <f ca="1">IFERROR(VLOOKUP(IF(V134="T1低",游戏时长规划!$C$67+Z134,Z134),INDIRECT(V134&amp;"星级"),2,TRUE),0)</f>
        <v>0</v>
      </c>
      <c r="AB134" s="375" t="e">
        <f t="shared" ca="1" si="92"/>
        <v>#REF!</v>
      </c>
      <c r="AC134" s="375">
        <f ca="1">($D$14+$D$17)*$L$4/坦克部件养成!$C$2+AC133-IFERROR(IF(RIGHT(AD133,3)*1&gt;RIGHT(VLOOKUP(AC133,INDIRECT(LEFT(AD132,2)&amp;"部件升阶"),5,TRUE),3)*1,VLOOKUP(AD132,INDIRECT(LEFT(AD132,2)&amp;"部件升阶消耗"),2,FALSE),0),0)</f>
        <v>1550.1666666666647</v>
      </c>
      <c r="AD134" s="360" t="e">
        <f t="shared" ca="1" si="93"/>
        <v>#REF!</v>
      </c>
      <c r="AE134" s="375" t="e">
        <f ca="1">$D$15*$L$4/坦克部件养成!$C$2+AE133-IF(LEFT(AD134,2)&lt;&gt;LEFT(AD133,2),VLOOKUP(AF133,INDIRECT(LEFT(AD133,2)&amp;"部件升级消耗"),5,FALSE),0)</f>
        <v>#REF!</v>
      </c>
      <c r="AF134" s="360" t="e">
        <f ca="1">MIN(VLOOKUP(AE134,INDIRECT(LEFT(AD134,2)&amp;"部件升级"),2,TRUE),VLOOKUP(LEFT(AD134,2),坦克部件养成!#REF!,6,FALSE))</f>
        <v>#REF!</v>
      </c>
      <c r="AG134" s="378" t="e">
        <f ca="1">MAX(BD$4:BD134)</f>
        <v>#REF!</v>
      </c>
      <c r="AH134" s="378" t="str">
        <f t="shared" ca="1" si="94"/>
        <v/>
      </c>
      <c r="AI134" s="378">
        <f ca="1">IF(Y134="NULL",0,MAX(BY$4:BY134))</f>
        <v>0</v>
      </c>
      <c r="AK134" s="364" t="e">
        <f t="shared" ca="1" si="95"/>
        <v>#REF!</v>
      </c>
      <c r="AL134" s="364" t="e">
        <f ca="1">VLOOKUP(AK134,坦克个性化设定!$B$18:$F$48,5,FALSE)</f>
        <v>#REF!</v>
      </c>
      <c r="AM134" s="372" t="e">
        <f t="shared" ca="1" si="96"/>
        <v>#REF!</v>
      </c>
      <c r="AN134" s="372" t="e">
        <f t="shared" ca="1" si="104"/>
        <v>#REF!</v>
      </c>
      <c r="AO134" s="364">
        <f t="shared" ca="1" si="97"/>
        <v>0</v>
      </c>
      <c r="AP134" s="372" t="e">
        <f ca="1">VLOOKUP($AK134&amp;$AO134,所有坦克升星属性,MATCH(AP$3,所有坦克升星属性标头,0),FALSE)+ROUND(AU134/VLOOKUP($AK134,坦克部件!#REF!,4,FALSE)*VLOOKUP($AK134&amp;0,所有坦克升星属性,MATCH(AP$3,所有坦克升星属性标头,0),FALSE),0)</f>
        <v>#REF!</v>
      </c>
      <c r="AQ134" s="372" t="e">
        <f ca="1">VLOOKUP($AK134&amp;$AO134,所有坦克升星属性,MATCH(AQ$3,所有坦克升星属性标头,0),FALSE)+ROUND(AV134/VLOOKUP($AK134,坦克部件!#REF!,4,FALSE)*VLOOKUP($AK134&amp;0,所有坦克升星属性,MATCH(AQ$3,所有坦克升星属性标头,0),FALSE),0)</f>
        <v>#REF!</v>
      </c>
      <c r="AR134" s="372" t="e">
        <f t="shared" ca="1" si="84"/>
        <v>#REF!</v>
      </c>
      <c r="AS134" s="372" t="e">
        <f t="shared" ca="1" si="84"/>
        <v>#REF!</v>
      </c>
      <c r="AT134" s="372" t="e">
        <f ca="1">VLOOKUP($AK134&amp;$AO134,所有坦克升星属性,MATCH(AT$3,所有坦克升星属性标头,0),FALSE)+ROUND(AW134/VLOOKUP($AK134,坦克部件!#REF!,4,FALSE)*VLOOKUP($AK134&amp;0,所有坦克升星属性,MATCH(AT$3,所有坦克升星属性标头,0),FALSE),0)</f>
        <v>#REF!</v>
      </c>
      <c r="AU134" s="372" t="e">
        <f ca="1">(VLOOKUP($AM134,坦克部件!#REF!,MATCH("标准值",坦克部件!#REF!,0),FALSE)+VLOOKUP($AN134,坦克部件!#REF!,MATCH("标准值",坦克部件!#REF!,0),FALSE))*2</f>
        <v>#REF!</v>
      </c>
      <c r="AV134" s="372" t="e">
        <f ca="1">(VLOOKUP($AM134,坦克部件!#REF!,MATCH("标准值",坦克部件!#REF!,0),FALSE)+VLOOKUP($AN134,坦克部件!#REF!,MATCH("标准值",坦克部件!#REF!,0),FALSE))*2</f>
        <v>#REF!</v>
      </c>
      <c r="AW134" s="372" t="e">
        <f ca="1">(VLOOKUP($AM134,坦克部件!#REF!,MATCH("标准值",坦克部件!#REF!,0),FALSE)+VLOOKUP($AN134,坦克部件!#REF!,MATCH("标准值",坦克部件!#REF!,0),FALSE))*2</f>
        <v>#REF!</v>
      </c>
      <c r="AX134" s="372" t="e">
        <f ca="1">VLOOKUP($AK134,坦克属性统计!$B$3:$AY$33,MATCH(AX$3,坦克属性统计!$B$3:$AY$3,0),FALSE)</f>
        <v>#REF!</v>
      </c>
      <c r="AY134" s="372" t="e">
        <f t="shared" ca="1" si="85"/>
        <v>#REF!</v>
      </c>
      <c r="AZ134" s="372" t="e">
        <f t="shared" ca="1" si="85"/>
        <v>#REF!</v>
      </c>
      <c r="BA134" s="372" t="e">
        <f t="shared" ca="1" si="85"/>
        <v>#REF!</v>
      </c>
      <c r="BB134" s="356" t="e">
        <f t="shared" ca="1" si="98"/>
        <v>#REF!</v>
      </c>
      <c r="BC134" s="356" t="e">
        <f ca="1">VLOOKUP(AK134,坦克个性化设定!$B$18:$E$48,4,FALSE)</f>
        <v>#REF!</v>
      </c>
      <c r="BD134" s="357" t="e">
        <f t="shared" ca="1" si="105"/>
        <v>#REF!</v>
      </c>
      <c r="BF134" s="357" t="str">
        <f t="shared" ca="1" si="99"/>
        <v/>
      </c>
      <c r="BG134" s="372" t="str">
        <f ca="1">IFERROR(VLOOKUP(BF134,坦克个性化设定!$B$18:$F$48,5,FALSE),"")</f>
        <v/>
      </c>
      <c r="BH134" s="372" t="e">
        <f t="shared" ca="1" si="106"/>
        <v>#REF!</v>
      </c>
      <c r="BI134" s="372" t="e">
        <f t="shared" ca="1" si="107"/>
        <v>#REF!</v>
      </c>
      <c r="BJ134" s="364" t="str">
        <f t="shared" ca="1" si="100"/>
        <v>NULL</v>
      </c>
      <c r="BK134" s="372" t="e">
        <f ca="1">VLOOKUP($BF134&amp;IF($BJ134="NULL",0,$BJ134),所有坦克升星属性,MATCH(BK$3,所有坦克升星属性标头,0),FALSE)+ROUND(BP134/VLOOKUP($BF134,坦克部件!#REF!,4,FALSE)*VLOOKUP($BF134&amp;0,所有坦克升星属性,MATCH(BK$3,所有坦克升星属性标头,0),FALSE),0)</f>
        <v>#N/A</v>
      </c>
      <c r="BL134" s="372" t="e">
        <f ca="1">VLOOKUP($BF134&amp;IF($BJ134="NULL",0,$BJ134),所有坦克升星属性,MATCH(BL$3,所有坦克升星属性标头,0),FALSE)+ROUND(BQ134/VLOOKUP($BF134,坦克部件!#REF!,4,FALSE)*VLOOKUP($BF134&amp;0,所有坦克升星属性,MATCH(BL$3,所有坦克升星属性标头,0),FALSE),0)</f>
        <v>#N/A</v>
      </c>
      <c r="BM134" s="372" t="e">
        <f t="shared" ca="1" si="86"/>
        <v>#N/A</v>
      </c>
      <c r="BN134" s="372" t="e">
        <f t="shared" ca="1" si="86"/>
        <v>#N/A</v>
      </c>
      <c r="BO134" s="372" t="e">
        <f ca="1">VLOOKUP($BF134&amp;IF($BJ134="NULL",0,$BJ134),所有坦克升星属性,MATCH(BO$3,所有坦克升星属性标头,0),FALSE)+ROUND(BR134/VLOOKUP($BF134,坦克部件!#REF!,4,FALSE)*VLOOKUP($BF134&amp;0,所有坦克升星属性,MATCH(BO$3,所有坦克升星属性标头,0),FALSE),0)</f>
        <v>#N/A</v>
      </c>
      <c r="BP134" s="372" t="e">
        <f ca="1">(VLOOKUP($BH134,坦克部件!#REF!,MATCH("标准值",坦克部件!#REF!,0),FALSE)+VLOOKUP($BI134,坦克部件!#REF!,MATCH("标准值",坦克部件!#REF!,0),FALSE))*2</f>
        <v>#REF!</v>
      </c>
      <c r="BQ134" s="372" t="e">
        <f ca="1">(VLOOKUP($BH134,坦克部件!#REF!,MATCH("标准值",坦克部件!#REF!,0),FALSE)+VLOOKUP($BI134,坦克部件!#REF!,MATCH("标准值",坦克部件!#REF!,0),FALSE))*2</f>
        <v>#REF!</v>
      </c>
      <c r="BR134" s="372" t="e">
        <f ca="1">(VLOOKUP($BH134,坦克部件!#REF!,MATCH("标准值",坦克部件!#REF!,0),FALSE)+VLOOKUP($BI134,坦克部件!#REF!,MATCH("标准值",坦克部件!#REF!,0),FALSE))*2</f>
        <v>#REF!</v>
      </c>
      <c r="BS134" s="372" t="e">
        <f ca="1">VLOOKUP($BF134,坦克属性统计!$B$3:$AY$33,MATCH(BS$3,坦克属性统计!$B$3:$AY$3,0),FALSE)</f>
        <v>#N/A</v>
      </c>
      <c r="BT134" s="372" t="e">
        <f t="shared" ca="1" si="87"/>
        <v>#N/A</v>
      </c>
      <c r="BU134" s="372" t="e">
        <f t="shared" ca="1" si="87"/>
        <v>#N/A</v>
      </c>
      <c r="BV134" s="372" t="e">
        <f t="shared" ca="1" si="87"/>
        <v>#N/A</v>
      </c>
      <c r="BW134" s="356">
        <f t="shared" ca="1" si="101"/>
        <v>0</v>
      </c>
      <c r="BX134" s="356" t="e">
        <f ca="1">VLOOKUP(BF134,坦克个性化设定!$B$18:$E$48,4,FALSE)</f>
        <v>#N/A</v>
      </c>
      <c r="BY134" s="357" t="e">
        <f t="shared" ca="1" si="108"/>
        <v>#N/A</v>
      </c>
    </row>
    <row r="135" spans="15:77" x14ac:dyDescent="0.35">
      <c r="O135" s="365">
        <v>132</v>
      </c>
      <c r="P135" s="360" t="e">
        <f t="shared" ca="1" si="78"/>
        <v>#REF!</v>
      </c>
      <c r="Q135" s="360" t="e">
        <f ca="1">ROUND(MIN((BD135-VLOOKUP(R135,$B$22:$F$46,2,FALSE))/(VLOOKUP(R135,$B$22:$F$46,3,FALSE)-VLOOKUP(R135,$B$22:$F$46,2,FALSE)),1)*((VLOOKUP(R135,$B$22:$F$46,4,FALSE)*(AG135/(AG135+VLOOKUP(P135,$D$49:$F$123,3,TRUE)))+VLOOKUP(R135,$B$22:$F$46,5,FALSE)*(1-AG135/(AG135+VLOOKUP(P135,$D$49:$F$123,3,TRUE))))/2)*游戏时长规划!$C$4,0)</f>
        <v>#REF!</v>
      </c>
      <c r="R135" s="360" t="e">
        <f t="shared" ca="1" si="88"/>
        <v>#REF!</v>
      </c>
      <c r="S135" s="360" t="e">
        <f t="shared" ref="S135:S198" ca="1" si="109">VLOOKUP(R135,$H$16:$I$28,2,FALSE)</f>
        <v>#REF!</v>
      </c>
      <c r="T135" s="360" t="e">
        <f t="shared" ca="1" si="79"/>
        <v>#REF!</v>
      </c>
      <c r="U135" s="370" t="e">
        <f t="shared" ca="1" si="89"/>
        <v>#REF!</v>
      </c>
      <c r="V135" s="363" t="e">
        <f t="shared" ref="V135:V198" ca="1" si="110">VLOOKUP(U135,$H$46:$L$76,5,FALSE)</f>
        <v>#REF!</v>
      </c>
      <c r="W135" s="360" t="e">
        <f t="shared" ca="1" si="90"/>
        <v>#REF!</v>
      </c>
      <c r="X135" s="81" t="e">
        <f t="shared" ca="1" si="102"/>
        <v>#REF!</v>
      </c>
      <c r="Y135" s="360" t="str">
        <f t="shared" ca="1" si="91"/>
        <v>NULL</v>
      </c>
      <c r="Z135" s="375" t="e">
        <f t="shared" ca="1" si="103"/>
        <v>#REF!</v>
      </c>
      <c r="AA135" s="360">
        <f ca="1">IFERROR(VLOOKUP(IF(V135="T1低",游戏时长规划!$C$67+Z135,Z135),INDIRECT(V135&amp;"星级"),2,TRUE),0)</f>
        <v>0</v>
      </c>
      <c r="AB135" s="375" t="e">
        <f t="shared" ca="1" si="92"/>
        <v>#REF!</v>
      </c>
      <c r="AC135" s="375">
        <f ca="1">($D$14+$D$17)*$L$4/坦克部件养成!$C$2+AC134-IFERROR(IF(RIGHT(AD134,3)*1&gt;RIGHT(VLOOKUP(AC134,INDIRECT(LEFT(AD133,2)&amp;"部件升阶"),5,TRUE),3)*1,VLOOKUP(AD133,INDIRECT(LEFT(AD133,2)&amp;"部件升阶消耗"),2,FALSE),0),0)</f>
        <v>1561.999999999998</v>
      </c>
      <c r="AD135" s="360" t="e">
        <f t="shared" ca="1" si="93"/>
        <v>#REF!</v>
      </c>
      <c r="AE135" s="375" t="e">
        <f ca="1">$D$15*$L$4/坦克部件养成!$C$2+AE134-IF(LEFT(AD135,2)&lt;&gt;LEFT(AD134,2),VLOOKUP(AF134,INDIRECT(LEFT(AD134,2)&amp;"部件升级消耗"),5,FALSE),0)</f>
        <v>#REF!</v>
      </c>
      <c r="AF135" s="360" t="e">
        <f ca="1">MIN(VLOOKUP(AE135,INDIRECT(LEFT(AD135,2)&amp;"部件升级"),2,TRUE),VLOOKUP(LEFT(AD135,2),坦克部件养成!#REF!,6,FALSE))</f>
        <v>#REF!</v>
      </c>
      <c r="AG135" s="378" t="e">
        <f ca="1">MAX(BD$4:BD135)</f>
        <v>#REF!</v>
      </c>
      <c r="AH135" s="378" t="str">
        <f t="shared" ca="1" si="94"/>
        <v/>
      </c>
      <c r="AI135" s="378">
        <f ca="1">IF(Y135="NULL",0,MAX(BY$4:BY135))</f>
        <v>0</v>
      </c>
      <c r="AK135" s="364" t="e">
        <f t="shared" ca="1" si="95"/>
        <v>#REF!</v>
      </c>
      <c r="AL135" s="364" t="e">
        <f ca="1">VLOOKUP(AK135,坦克个性化设定!$B$18:$F$48,5,FALSE)</f>
        <v>#REF!</v>
      </c>
      <c r="AM135" s="372" t="e">
        <f t="shared" ca="1" si="96"/>
        <v>#REF!</v>
      </c>
      <c r="AN135" s="372" t="e">
        <f t="shared" ca="1" si="104"/>
        <v>#REF!</v>
      </c>
      <c r="AO135" s="364">
        <f t="shared" ca="1" si="97"/>
        <v>0</v>
      </c>
      <c r="AP135" s="372" t="e">
        <f ca="1">VLOOKUP($AK135&amp;$AO135,所有坦克升星属性,MATCH(AP$3,所有坦克升星属性标头,0),FALSE)+ROUND(AU135/VLOOKUP($AK135,坦克部件!#REF!,4,FALSE)*VLOOKUP($AK135&amp;0,所有坦克升星属性,MATCH(AP$3,所有坦克升星属性标头,0),FALSE),0)</f>
        <v>#REF!</v>
      </c>
      <c r="AQ135" s="372" t="e">
        <f ca="1">VLOOKUP($AK135&amp;$AO135,所有坦克升星属性,MATCH(AQ$3,所有坦克升星属性标头,0),FALSE)+ROUND(AV135/VLOOKUP($AK135,坦克部件!#REF!,4,FALSE)*VLOOKUP($AK135&amp;0,所有坦克升星属性,MATCH(AQ$3,所有坦克升星属性标头,0),FALSE),0)</f>
        <v>#REF!</v>
      </c>
      <c r="AR135" s="372" t="e">
        <f t="shared" ca="1" si="84"/>
        <v>#REF!</v>
      </c>
      <c r="AS135" s="372" t="e">
        <f t="shared" ca="1" si="84"/>
        <v>#REF!</v>
      </c>
      <c r="AT135" s="372" t="e">
        <f ca="1">VLOOKUP($AK135&amp;$AO135,所有坦克升星属性,MATCH(AT$3,所有坦克升星属性标头,0),FALSE)+ROUND(AW135/VLOOKUP($AK135,坦克部件!#REF!,4,FALSE)*VLOOKUP($AK135&amp;0,所有坦克升星属性,MATCH(AT$3,所有坦克升星属性标头,0),FALSE),0)</f>
        <v>#REF!</v>
      </c>
      <c r="AU135" s="372" t="e">
        <f ca="1">(VLOOKUP($AM135,坦克部件!#REF!,MATCH("标准值",坦克部件!#REF!,0),FALSE)+VLOOKUP($AN135,坦克部件!#REF!,MATCH("标准值",坦克部件!#REF!,0),FALSE))*2</f>
        <v>#REF!</v>
      </c>
      <c r="AV135" s="372" t="e">
        <f ca="1">(VLOOKUP($AM135,坦克部件!#REF!,MATCH("标准值",坦克部件!#REF!,0),FALSE)+VLOOKUP($AN135,坦克部件!#REF!,MATCH("标准值",坦克部件!#REF!,0),FALSE))*2</f>
        <v>#REF!</v>
      </c>
      <c r="AW135" s="372" t="e">
        <f ca="1">(VLOOKUP($AM135,坦克部件!#REF!,MATCH("标准值",坦克部件!#REF!,0),FALSE)+VLOOKUP($AN135,坦克部件!#REF!,MATCH("标准值",坦克部件!#REF!,0),FALSE))*2</f>
        <v>#REF!</v>
      </c>
      <c r="AX135" s="372" t="e">
        <f ca="1">VLOOKUP($AK135,坦克属性统计!$B$3:$AY$33,MATCH(AX$3,坦克属性统计!$B$3:$AY$3,0),FALSE)</f>
        <v>#REF!</v>
      </c>
      <c r="AY135" s="372" t="e">
        <f t="shared" ca="1" si="85"/>
        <v>#REF!</v>
      </c>
      <c r="AZ135" s="372" t="e">
        <f t="shared" ca="1" si="85"/>
        <v>#REF!</v>
      </c>
      <c r="BA135" s="372" t="e">
        <f t="shared" ca="1" si="85"/>
        <v>#REF!</v>
      </c>
      <c r="BB135" s="356" t="e">
        <f t="shared" ca="1" si="98"/>
        <v>#REF!</v>
      </c>
      <c r="BC135" s="356" t="e">
        <f ca="1">VLOOKUP(AK135,坦克个性化设定!$B$18:$E$48,4,FALSE)</f>
        <v>#REF!</v>
      </c>
      <c r="BD135" s="357" t="e">
        <f t="shared" ca="1" si="105"/>
        <v>#REF!</v>
      </c>
      <c r="BF135" s="357" t="str">
        <f t="shared" ca="1" si="99"/>
        <v/>
      </c>
      <c r="BG135" s="372" t="str">
        <f ca="1">IFERROR(VLOOKUP(BF135,坦克个性化设定!$B$18:$F$48,5,FALSE),"")</f>
        <v/>
      </c>
      <c r="BH135" s="372" t="e">
        <f t="shared" ca="1" si="106"/>
        <v>#REF!</v>
      </c>
      <c r="BI135" s="372" t="e">
        <f t="shared" ca="1" si="107"/>
        <v>#REF!</v>
      </c>
      <c r="BJ135" s="364" t="str">
        <f t="shared" ca="1" si="100"/>
        <v>NULL</v>
      </c>
      <c r="BK135" s="372" t="e">
        <f ca="1">VLOOKUP($BF135&amp;IF($BJ135="NULL",0,$BJ135),所有坦克升星属性,MATCH(BK$3,所有坦克升星属性标头,0),FALSE)+ROUND(BP135/VLOOKUP($BF135,坦克部件!#REF!,4,FALSE)*VLOOKUP($BF135&amp;0,所有坦克升星属性,MATCH(BK$3,所有坦克升星属性标头,0),FALSE),0)</f>
        <v>#N/A</v>
      </c>
      <c r="BL135" s="372" t="e">
        <f ca="1">VLOOKUP($BF135&amp;IF($BJ135="NULL",0,$BJ135),所有坦克升星属性,MATCH(BL$3,所有坦克升星属性标头,0),FALSE)+ROUND(BQ135/VLOOKUP($BF135,坦克部件!#REF!,4,FALSE)*VLOOKUP($BF135&amp;0,所有坦克升星属性,MATCH(BL$3,所有坦克升星属性标头,0),FALSE),0)</f>
        <v>#N/A</v>
      </c>
      <c r="BM135" s="372" t="e">
        <f t="shared" ca="1" si="86"/>
        <v>#N/A</v>
      </c>
      <c r="BN135" s="372" t="e">
        <f t="shared" ca="1" si="86"/>
        <v>#N/A</v>
      </c>
      <c r="BO135" s="372" t="e">
        <f ca="1">VLOOKUP($BF135&amp;IF($BJ135="NULL",0,$BJ135),所有坦克升星属性,MATCH(BO$3,所有坦克升星属性标头,0),FALSE)+ROUND(BR135/VLOOKUP($BF135,坦克部件!#REF!,4,FALSE)*VLOOKUP($BF135&amp;0,所有坦克升星属性,MATCH(BO$3,所有坦克升星属性标头,0),FALSE),0)</f>
        <v>#N/A</v>
      </c>
      <c r="BP135" s="372" t="e">
        <f ca="1">(VLOOKUP($BH135,坦克部件!#REF!,MATCH("标准值",坦克部件!#REF!,0),FALSE)+VLOOKUP($BI135,坦克部件!#REF!,MATCH("标准值",坦克部件!#REF!,0),FALSE))*2</f>
        <v>#REF!</v>
      </c>
      <c r="BQ135" s="372" t="e">
        <f ca="1">(VLOOKUP($BH135,坦克部件!#REF!,MATCH("标准值",坦克部件!#REF!,0),FALSE)+VLOOKUP($BI135,坦克部件!#REF!,MATCH("标准值",坦克部件!#REF!,0),FALSE))*2</f>
        <v>#REF!</v>
      </c>
      <c r="BR135" s="372" t="e">
        <f ca="1">(VLOOKUP($BH135,坦克部件!#REF!,MATCH("标准值",坦克部件!#REF!,0),FALSE)+VLOOKUP($BI135,坦克部件!#REF!,MATCH("标准值",坦克部件!#REF!,0),FALSE))*2</f>
        <v>#REF!</v>
      </c>
      <c r="BS135" s="372" t="e">
        <f ca="1">VLOOKUP($BF135,坦克属性统计!$B$3:$AY$33,MATCH(BS$3,坦克属性统计!$B$3:$AY$3,0),FALSE)</f>
        <v>#N/A</v>
      </c>
      <c r="BT135" s="372" t="e">
        <f t="shared" ca="1" si="87"/>
        <v>#N/A</v>
      </c>
      <c r="BU135" s="372" t="e">
        <f t="shared" ca="1" si="87"/>
        <v>#N/A</v>
      </c>
      <c r="BV135" s="372" t="e">
        <f t="shared" ca="1" si="87"/>
        <v>#N/A</v>
      </c>
      <c r="BW135" s="356">
        <f t="shared" ca="1" si="101"/>
        <v>0</v>
      </c>
      <c r="BX135" s="356" t="e">
        <f ca="1">VLOOKUP(BF135,坦克个性化设定!$B$18:$E$48,4,FALSE)</f>
        <v>#N/A</v>
      </c>
      <c r="BY135" s="357" t="e">
        <f t="shared" ca="1" si="108"/>
        <v>#N/A</v>
      </c>
    </row>
    <row r="136" spans="15:77" x14ac:dyDescent="0.35">
      <c r="O136" s="365">
        <v>133</v>
      </c>
      <c r="P136" s="360" t="e">
        <f t="shared" ca="1" si="78"/>
        <v>#REF!</v>
      </c>
      <c r="Q136" s="360" t="e">
        <f ca="1">ROUND(MIN((BD136-VLOOKUP(R136,$B$22:$F$46,2,FALSE))/(VLOOKUP(R136,$B$22:$F$46,3,FALSE)-VLOOKUP(R136,$B$22:$F$46,2,FALSE)),1)*((VLOOKUP(R136,$B$22:$F$46,4,FALSE)*(AG136/(AG136+VLOOKUP(P136,$D$49:$F$123,3,TRUE)))+VLOOKUP(R136,$B$22:$F$46,5,FALSE)*(1-AG136/(AG136+VLOOKUP(P136,$D$49:$F$123,3,TRUE))))/2)*游戏时长规划!$C$4,0)</f>
        <v>#REF!</v>
      </c>
      <c r="R136" s="360" t="e">
        <f t="shared" ca="1" si="88"/>
        <v>#REF!</v>
      </c>
      <c r="S136" s="360" t="e">
        <f t="shared" ca="1" si="109"/>
        <v>#REF!</v>
      </c>
      <c r="T136" s="360" t="e">
        <f t="shared" ca="1" si="79"/>
        <v>#REF!</v>
      </c>
      <c r="U136" s="370" t="e">
        <f t="shared" ca="1" si="89"/>
        <v>#REF!</v>
      </c>
      <c r="V136" s="363" t="e">
        <f t="shared" ca="1" si="110"/>
        <v>#REF!</v>
      </c>
      <c r="W136" s="360" t="e">
        <f t="shared" ca="1" si="90"/>
        <v>#REF!</v>
      </c>
      <c r="X136" s="81" t="e">
        <f t="shared" ca="1" si="102"/>
        <v>#REF!</v>
      </c>
      <c r="Y136" s="360" t="str">
        <f t="shared" ca="1" si="91"/>
        <v>NULL</v>
      </c>
      <c r="Z136" s="375" t="e">
        <f t="shared" ca="1" si="103"/>
        <v>#REF!</v>
      </c>
      <c r="AA136" s="360">
        <f ca="1">IFERROR(VLOOKUP(IF(V136="T1低",游戏时长规划!$C$67+Z136,Z136),INDIRECT(V136&amp;"星级"),2,TRUE),0)</f>
        <v>0</v>
      </c>
      <c r="AB136" s="375" t="e">
        <f t="shared" ca="1" si="92"/>
        <v>#REF!</v>
      </c>
      <c r="AC136" s="375">
        <f ca="1">($D$14+$D$17)*$L$4/坦克部件养成!$C$2+AC135-IFERROR(IF(RIGHT(AD135,3)*1&gt;RIGHT(VLOOKUP(AC135,INDIRECT(LEFT(AD134,2)&amp;"部件升阶"),5,TRUE),3)*1,VLOOKUP(AD134,INDIRECT(LEFT(AD134,2)&amp;"部件升阶消耗"),2,FALSE),0),0)</f>
        <v>1573.8333333333312</v>
      </c>
      <c r="AD136" s="360" t="e">
        <f t="shared" ca="1" si="93"/>
        <v>#REF!</v>
      </c>
      <c r="AE136" s="375" t="e">
        <f ca="1">$D$15*$L$4/坦克部件养成!$C$2+AE135-IF(LEFT(AD136,2)&lt;&gt;LEFT(AD135,2),VLOOKUP(AF135,INDIRECT(LEFT(AD135,2)&amp;"部件升级消耗"),5,FALSE),0)</f>
        <v>#REF!</v>
      </c>
      <c r="AF136" s="360" t="e">
        <f ca="1">MIN(VLOOKUP(AE136,INDIRECT(LEFT(AD136,2)&amp;"部件升级"),2,TRUE),VLOOKUP(LEFT(AD136,2),坦克部件养成!#REF!,6,FALSE))</f>
        <v>#REF!</v>
      </c>
      <c r="AG136" s="378" t="e">
        <f ca="1">MAX(BD$4:BD136)</f>
        <v>#REF!</v>
      </c>
      <c r="AH136" s="378" t="str">
        <f t="shared" ca="1" si="94"/>
        <v/>
      </c>
      <c r="AI136" s="378">
        <f ca="1">IF(Y136="NULL",0,MAX(BY$4:BY136))</f>
        <v>0</v>
      </c>
      <c r="AK136" s="364" t="e">
        <f t="shared" ca="1" si="95"/>
        <v>#REF!</v>
      </c>
      <c r="AL136" s="364" t="e">
        <f ca="1">VLOOKUP(AK136,坦克个性化设定!$B$18:$F$48,5,FALSE)</f>
        <v>#REF!</v>
      </c>
      <c r="AM136" s="372" t="e">
        <f t="shared" ca="1" si="96"/>
        <v>#REF!</v>
      </c>
      <c r="AN136" s="372" t="e">
        <f t="shared" ca="1" si="104"/>
        <v>#REF!</v>
      </c>
      <c r="AO136" s="364">
        <f t="shared" ca="1" si="97"/>
        <v>0</v>
      </c>
      <c r="AP136" s="372" t="e">
        <f ca="1">VLOOKUP($AK136&amp;$AO136,所有坦克升星属性,MATCH(AP$3,所有坦克升星属性标头,0),FALSE)+ROUND(AU136/VLOOKUP($AK136,坦克部件!#REF!,4,FALSE)*VLOOKUP($AK136&amp;0,所有坦克升星属性,MATCH(AP$3,所有坦克升星属性标头,0),FALSE),0)</f>
        <v>#REF!</v>
      </c>
      <c r="AQ136" s="372" t="e">
        <f ca="1">VLOOKUP($AK136&amp;$AO136,所有坦克升星属性,MATCH(AQ$3,所有坦克升星属性标头,0),FALSE)+ROUND(AV136/VLOOKUP($AK136,坦克部件!#REF!,4,FALSE)*VLOOKUP($AK136&amp;0,所有坦克升星属性,MATCH(AQ$3,所有坦克升星属性标头,0),FALSE),0)</f>
        <v>#REF!</v>
      </c>
      <c r="AR136" s="372" t="e">
        <f t="shared" ca="1" si="84"/>
        <v>#REF!</v>
      </c>
      <c r="AS136" s="372" t="e">
        <f t="shared" ca="1" si="84"/>
        <v>#REF!</v>
      </c>
      <c r="AT136" s="372" t="e">
        <f ca="1">VLOOKUP($AK136&amp;$AO136,所有坦克升星属性,MATCH(AT$3,所有坦克升星属性标头,0),FALSE)+ROUND(AW136/VLOOKUP($AK136,坦克部件!#REF!,4,FALSE)*VLOOKUP($AK136&amp;0,所有坦克升星属性,MATCH(AT$3,所有坦克升星属性标头,0),FALSE),0)</f>
        <v>#REF!</v>
      </c>
      <c r="AU136" s="372" t="e">
        <f ca="1">(VLOOKUP($AM136,坦克部件!#REF!,MATCH("标准值",坦克部件!#REF!,0),FALSE)+VLOOKUP($AN136,坦克部件!#REF!,MATCH("标准值",坦克部件!#REF!,0),FALSE))*2</f>
        <v>#REF!</v>
      </c>
      <c r="AV136" s="372" t="e">
        <f ca="1">(VLOOKUP($AM136,坦克部件!#REF!,MATCH("标准值",坦克部件!#REF!,0),FALSE)+VLOOKUP($AN136,坦克部件!#REF!,MATCH("标准值",坦克部件!#REF!,0),FALSE))*2</f>
        <v>#REF!</v>
      </c>
      <c r="AW136" s="372" t="e">
        <f ca="1">(VLOOKUP($AM136,坦克部件!#REF!,MATCH("标准值",坦克部件!#REF!,0),FALSE)+VLOOKUP($AN136,坦克部件!#REF!,MATCH("标准值",坦克部件!#REF!,0),FALSE))*2</f>
        <v>#REF!</v>
      </c>
      <c r="AX136" s="372" t="e">
        <f ca="1">VLOOKUP($AK136,坦克属性统计!$B$3:$AY$33,MATCH(AX$3,坦克属性统计!$B$3:$AY$3,0),FALSE)</f>
        <v>#REF!</v>
      </c>
      <c r="AY136" s="372" t="e">
        <f t="shared" ca="1" si="85"/>
        <v>#REF!</v>
      </c>
      <c r="AZ136" s="372" t="e">
        <f t="shared" ca="1" si="85"/>
        <v>#REF!</v>
      </c>
      <c r="BA136" s="372" t="e">
        <f t="shared" ca="1" si="85"/>
        <v>#REF!</v>
      </c>
      <c r="BB136" s="356" t="e">
        <f t="shared" ca="1" si="98"/>
        <v>#REF!</v>
      </c>
      <c r="BC136" s="356" t="e">
        <f ca="1">VLOOKUP(AK136,坦克个性化设定!$B$18:$E$48,4,FALSE)</f>
        <v>#REF!</v>
      </c>
      <c r="BD136" s="357" t="e">
        <f t="shared" ca="1" si="105"/>
        <v>#REF!</v>
      </c>
      <c r="BF136" s="357" t="str">
        <f t="shared" ca="1" si="99"/>
        <v/>
      </c>
      <c r="BG136" s="372" t="str">
        <f ca="1">IFERROR(VLOOKUP(BF136,坦克个性化设定!$B$18:$F$48,5,FALSE),"")</f>
        <v/>
      </c>
      <c r="BH136" s="372" t="e">
        <f t="shared" ca="1" si="106"/>
        <v>#REF!</v>
      </c>
      <c r="BI136" s="372" t="e">
        <f t="shared" ca="1" si="107"/>
        <v>#REF!</v>
      </c>
      <c r="BJ136" s="364" t="str">
        <f t="shared" ca="1" si="100"/>
        <v>NULL</v>
      </c>
      <c r="BK136" s="372" t="e">
        <f ca="1">VLOOKUP($BF136&amp;IF($BJ136="NULL",0,$BJ136),所有坦克升星属性,MATCH(BK$3,所有坦克升星属性标头,0),FALSE)+ROUND(BP136/VLOOKUP($BF136,坦克部件!#REF!,4,FALSE)*VLOOKUP($BF136&amp;0,所有坦克升星属性,MATCH(BK$3,所有坦克升星属性标头,0),FALSE),0)</f>
        <v>#N/A</v>
      </c>
      <c r="BL136" s="372" t="e">
        <f ca="1">VLOOKUP($BF136&amp;IF($BJ136="NULL",0,$BJ136),所有坦克升星属性,MATCH(BL$3,所有坦克升星属性标头,0),FALSE)+ROUND(BQ136/VLOOKUP($BF136,坦克部件!#REF!,4,FALSE)*VLOOKUP($BF136&amp;0,所有坦克升星属性,MATCH(BL$3,所有坦克升星属性标头,0),FALSE),0)</f>
        <v>#N/A</v>
      </c>
      <c r="BM136" s="372" t="e">
        <f t="shared" ca="1" si="86"/>
        <v>#N/A</v>
      </c>
      <c r="BN136" s="372" t="e">
        <f t="shared" ca="1" si="86"/>
        <v>#N/A</v>
      </c>
      <c r="BO136" s="372" t="e">
        <f ca="1">VLOOKUP($BF136&amp;IF($BJ136="NULL",0,$BJ136),所有坦克升星属性,MATCH(BO$3,所有坦克升星属性标头,0),FALSE)+ROUND(BR136/VLOOKUP($BF136,坦克部件!#REF!,4,FALSE)*VLOOKUP($BF136&amp;0,所有坦克升星属性,MATCH(BO$3,所有坦克升星属性标头,0),FALSE),0)</f>
        <v>#N/A</v>
      </c>
      <c r="BP136" s="372" t="e">
        <f ca="1">(VLOOKUP($BH136,坦克部件!#REF!,MATCH("标准值",坦克部件!#REF!,0),FALSE)+VLOOKUP($BI136,坦克部件!#REF!,MATCH("标准值",坦克部件!#REF!,0),FALSE))*2</f>
        <v>#REF!</v>
      </c>
      <c r="BQ136" s="372" t="e">
        <f ca="1">(VLOOKUP($BH136,坦克部件!#REF!,MATCH("标准值",坦克部件!#REF!,0),FALSE)+VLOOKUP($BI136,坦克部件!#REF!,MATCH("标准值",坦克部件!#REF!,0),FALSE))*2</f>
        <v>#REF!</v>
      </c>
      <c r="BR136" s="372" t="e">
        <f ca="1">(VLOOKUP($BH136,坦克部件!#REF!,MATCH("标准值",坦克部件!#REF!,0),FALSE)+VLOOKUP($BI136,坦克部件!#REF!,MATCH("标准值",坦克部件!#REF!,0),FALSE))*2</f>
        <v>#REF!</v>
      </c>
      <c r="BS136" s="372" t="e">
        <f ca="1">VLOOKUP($BF136,坦克属性统计!$B$3:$AY$33,MATCH(BS$3,坦克属性统计!$B$3:$AY$3,0),FALSE)</f>
        <v>#N/A</v>
      </c>
      <c r="BT136" s="372" t="e">
        <f t="shared" ca="1" si="87"/>
        <v>#N/A</v>
      </c>
      <c r="BU136" s="372" t="e">
        <f t="shared" ca="1" si="87"/>
        <v>#N/A</v>
      </c>
      <c r="BV136" s="372" t="e">
        <f t="shared" ca="1" si="87"/>
        <v>#N/A</v>
      </c>
      <c r="BW136" s="356">
        <f t="shared" ca="1" si="101"/>
        <v>0</v>
      </c>
      <c r="BX136" s="356" t="e">
        <f ca="1">VLOOKUP(BF136,坦克个性化设定!$B$18:$E$48,4,FALSE)</f>
        <v>#N/A</v>
      </c>
      <c r="BY136" s="357" t="e">
        <f t="shared" ca="1" si="108"/>
        <v>#N/A</v>
      </c>
    </row>
    <row r="137" spans="15:77" x14ac:dyDescent="0.35">
      <c r="O137" s="365">
        <v>134</v>
      </c>
      <c r="P137" s="360" t="e">
        <f t="shared" ca="1" si="78"/>
        <v>#REF!</v>
      </c>
      <c r="Q137" s="360" t="e">
        <f ca="1">ROUND(MIN((BD137-VLOOKUP(R137,$B$22:$F$46,2,FALSE))/(VLOOKUP(R137,$B$22:$F$46,3,FALSE)-VLOOKUP(R137,$B$22:$F$46,2,FALSE)),1)*((VLOOKUP(R137,$B$22:$F$46,4,FALSE)*(AG137/(AG137+VLOOKUP(P137,$D$49:$F$123,3,TRUE)))+VLOOKUP(R137,$B$22:$F$46,5,FALSE)*(1-AG137/(AG137+VLOOKUP(P137,$D$49:$F$123,3,TRUE))))/2)*游戏时长规划!$C$4,0)</f>
        <v>#REF!</v>
      </c>
      <c r="R137" s="360" t="e">
        <f t="shared" ca="1" si="88"/>
        <v>#REF!</v>
      </c>
      <c r="S137" s="360" t="e">
        <f t="shared" ca="1" si="109"/>
        <v>#REF!</v>
      </c>
      <c r="T137" s="360" t="e">
        <f t="shared" ca="1" si="79"/>
        <v>#REF!</v>
      </c>
      <c r="U137" s="370" t="e">
        <f t="shared" ca="1" si="89"/>
        <v>#REF!</v>
      </c>
      <c r="V137" s="363" t="e">
        <f t="shared" ca="1" si="110"/>
        <v>#REF!</v>
      </c>
      <c r="W137" s="360" t="e">
        <f t="shared" ca="1" si="90"/>
        <v>#REF!</v>
      </c>
      <c r="X137" s="81" t="e">
        <f t="shared" ca="1" si="102"/>
        <v>#REF!</v>
      </c>
      <c r="Y137" s="360" t="str">
        <f t="shared" ca="1" si="91"/>
        <v>NULL</v>
      </c>
      <c r="Z137" s="375" t="e">
        <f t="shared" ca="1" si="103"/>
        <v>#REF!</v>
      </c>
      <c r="AA137" s="360">
        <f ca="1">IFERROR(VLOOKUP(IF(V137="T1低",游戏时长规划!$C$67+Z137,Z137),INDIRECT(V137&amp;"星级"),2,TRUE),0)</f>
        <v>0</v>
      </c>
      <c r="AB137" s="375" t="e">
        <f t="shared" ca="1" si="92"/>
        <v>#REF!</v>
      </c>
      <c r="AC137" s="375">
        <f ca="1">($D$14+$D$17)*$L$4/坦克部件养成!$C$2+AC136-IFERROR(IF(RIGHT(AD136,3)*1&gt;RIGHT(VLOOKUP(AC136,INDIRECT(LEFT(AD135,2)&amp;"部件升阶"),5,TRUE),3)*1,VLOOKUP(AD135,INDIRECT(LEFT(AD135,2)&amp;"部件升阶消耗"),2,FALSE),0),0)</f>
        <v>1585.6666666666645</v>
      </c>
      <c r="AD137" s="360" t="e">
        <f t="shared" ca="1" si="93"/>
        <v>#REF!</v>
      </c>
      <c r="AE137" s="375" t="e">
        <f ca="1">$D$15*$L$4/坦克部件养成!$C$2+AE136-IF(LEFT(AD137,2)&lt;&gt;LEFT(AD136,2),VLOOKUP(AF136,INDIRECT(LEFT(AD136,2)&amp;"部件升级消耗"),5,FALSE),0)</f>
        <v>#REF!</v>
      </c>
      <c r="AF137" s="360" t="e">
        <f ca="1">MIN(VLOOKUP(AE137,INDIRECT(LEFT(AD137,2)&amp;"部件升级"),2,TRUE),VLOOKUP(LEFT(AD137,2),坦克部件养成!#REF!,6,FALSE))</f>
        <v>#REF!</v>
      </c>
      <c r="AG137" s="378" t="e">
        <f ca="1">MAX(BD$4:BD137)</f>
        <v>#REF!</v>
      </c>
      <c r="AH137" s="378" t="str">
        <f t="shared" ca="1" si="94"/>
        <v/>
      </c>
      <c r="AI137" s="378">
        <f ca="1">IF(Y137="NULL",0,MAX(BY$4:BY137))</f>
        <v>0</v>
      </c>
      <c r="AK137" s="364" t="e">
        <f t="shared" ca="1" si="95"/>
        <v>#REF!</v>
      </c>
      <c r="AL137" s="364" t="e">
        <f ca="1">VLOOKUP(AK137,坦克个性化设定!$B$18:$F$48,5,FALSE)</f>
        <v>#REF!</v>
      </c>
      <c r="AM137" s="372" t="e">
        <f t="shared" ca="1" si="96"/>
        <v>#REF!</v>
      </c>
      <c r="AN137" s="372" t="e">
        <f t="shared" ca="1" si="104"/>
        <v>#REF!</v>
      </c>
      <c r="AO137" s="364">
        <f t="shared" ca="1" si="97"/>
        <v>0</v>
      </c>
      <c r="AP137" s="372" t="e">
        <f ca="1">VLOOKUP($AK137&amp;$AO137,所有坦克升星属性,MATCH(AP$3,所有坦克升星属性标头,0),FALSE)+ROUND(AU137/VLOOKUP($AK137,坦克部件!#REF!,4,FALSE)*VLOOKUP($AK137&amp;0,所有坦克升星属性,MATCH(AP$3,所有坦克升星属性标头,0),FALSE),0)</f>
        <v>#REF!</v>
      </c>
      <c r="AQ137" s="372" t="e">
        <f ca="1">VLOOKUP($AK137&amp;$AO137,所有坦克升星属性,MATCH(AQ$3,所有坦克升星属性标头,0),FALSE)+ROUND(AV137/VLOOKUP($AK137,坦克部件!#REF!,4,FALSE)*VLOOKUP($AK137&amp;0,所有坦克升星属性,MATCH(AQ$3,所有坦克升星属性标头,0),FALSE),0)</f>
        <v>#REF!</v>
      </c>
      <c r="AR137" s="372" t="e">
        <f t="shared" ca="1" si="84"/>
        <v>#REF!</v>
      </c>
      <c r="AS137" s="372" t="e">
        <f t="shared" ca="1" si="84"/>
        <v>#REF!</v>
      </c>
      <c r="AT137" s="372" t="e">
        <f ca="1">VLOOKUP($AK137&amp;$AO137,所有坦克升星属性,MATCH(AT$3,所有坦克升星属性标头,0),FALSE)+ROUND(AW137/VLOOKUP($AK137,坦克部件!#REF!,4,FALSE)*VLOOKUP($AK137&amp;0,所有坦克升星属性,MATCH(AT$3,所有坦克升星属性标头,0),FALSE),0)</f>
        <v>#REF!</v>
      </c>
      <c r="AU137" s="372" t="e">
        <f ca="1">(VLOOKUP($AM137,坦克部件!#REF!,MATCH("标准值",坦克部件!#REF!,0),FALSE)+VLOOKUP($AN137,坦克部件!#REF!,MATCH("标准值",坦克部件!#REF!,0),FALSE))*2</f>
        <v>#REF!</v>
      </c>
      <c r="AV137" s="372" t="e">
        <f ca="1">(VLOOKUP($AM137,坦克部件!#REF!,MATCH("标准值",坦克部件!#REF!,0),FALSE)+VLOOKUP($AN137,坦克部件!#REF!,MATCH("标准值",坦克部件!#REF!,0),FALSE))*2</f>
        <v>#REF!</v>
      </c>
      <c r="AW137" s="372" t="e">
        <f ca="1">(VLOOKUP($AM137,坦克部件!#REF!,MATCH("标准值",坦克部件!#REF!,0),FALSE)+VLOOKUP($AN137,坦克部件!#REF!,MATCH("标准值",坦克部件!#REF!,0),FALSE))*2</f>
        <v>#REF!</v>
      </c>
      <c r="AX137" s="372" t="e">
        <f ca="1">VLOOKUP($AK137,坦克属性统计!$B$3:$AY$33,MATCH(AX$3,坦克属性统计!$B$3:$AY$3,0),FALSE)</f>
        <v>#REF!</v>
      </c>
      <c r="AY137" s="372" t="e">
        <f t="shared" ca="1" si="85"/>
        <v>#REF!</v>
      </c>
      <c r="AZ137" s="372" t="e">
        <f t="shared" ca="1" si="85"/>
        <v>#REF!</v>
      </c>
      <c r="BA137" s="372" t="e">
        <f t="shared" ca="1" si="85"/>
        <v>#REF!</v>
      </c>
      <c r="BB137" s="356" t="e">
        <f t="shared" ca="1" si="98"/>
        <v>#REF!</v>
      </c>
      <c r="BC137" s="356" t="e">
        <f ca="1">VLOOKUP(AK137,坦克个性化设定!$B$18:$E$48,4,FALSE)</f>
        <v>#REF!</v>
      </c>
      <c r="BD137" s="357" t="e">
        <f t="shared" ca="1" si="105"/>
        <v>#REF!</v>
      </c>
      <c r="BF137" s="357" t="str">
        <f t="shared" ca="1" si="99"/>
        <v/>
      </c>
      <c r="BG137" s="372" t="str">
        <f ca="1">IFERROR(VLOOKUP(BF137,坦克个性化设定!$B$18:$F$48,5,FALSE),"")</f>
        <v/>
      </c>
      <c r="BH137" s="372" t="e">
        <f t="shared" ca="1" si="106"/>
        <v>#REF!</v>
      </c>
      <c r="BI137" s="372" t="e">
        <f t="shared" ca="1" si="107"/>
        <v>#REF!</v>
      </c>
      <c r="BJ137" s="364" t="str">
        <f t="shared" ca="1" si="100"/>
        <v>NULL</v>
      </c>
      <c r="BK137" s="372" t="e">
        <f ca="1">VLOOKUP($BF137&amp;IF($BJ137="NULL",0,$BJ137),所有坦克升星属性,MATCH(BK$3,所有坦克升星属性标头,0),FALSE)+ROUND(BP137/VLOOKUP($BF137,坦克部件!#REF!,4,FALSE)*VLOOKUP($BF137&amp;0,所有坦克升星属性,MATCH(BK$3,所有坦克升星属性标头,0),FALSE),0)</f>
        <v>#N/A</v>
      </c>
      <c r="BL137" s="372" t="e">
        <f ca="1">VLOOKUP($BF137&amp;IF($BJ137="NULL",0,$BJ137),所有坦克升星属性,MATCH(BL$3,所有坦克升星属性标头,0),FALSE)+ROUND(BQ137/VLOOKUP($BF137,坦克部件!#REF!,4,FALSE)*VLOOKUP($BF137&amp;0,所有坦克升星属性,MATCH(BL$3,所有坦克升星属性标头,0),FALSE),0)</f>
        <v>#N/A</v>
      </c>
      <c r="BM137" s="372" t="e">
        <f t="shared" ca="1" si="86"/>
        <v>#N/A</v>
      </c>
      <c r="BN137" s="372" t="e">
        <f t="shared" ca="1" si="86"/>
        <v>#N/A</v>
      </c>
      <c r="BO137" s="372" t="e">
        <f ca="1">VLOOKUP($BF137&amp;IF($BJ137="NULL",0,$BJ137),所有坦克升星属性,MATCH(BO$3,所有坦克升星属性标头,0),FALSE)+ROUND(BR137/VLOOKUP($BF137,坦克部件!#REF!,4,FALSE)*VLOOKUP($BF137&amp;0,所有坦克升星属性,MATCH(BO$3,所有坦克升星属性标头,0),FALSE),0)</f>
        <v>#N/A</v>
      </c>
      <c r="BP137" s="372" t="e">
        <f ca="1">(VLOOKUP($BH137,坦克部件!#REF!,MATCH("标准值",坦克部件!#REF!,0),FALSE)+VLOOKUP($BI137,坦克部件!#REF!,MATCH("标准值",坦克部件!#REF!,0),FALSE))*2</f>
        <v>#REF!</v>
      </c>
      <c r="BQ137" s="372" t="e">
        <f ca="1">(VLOOKUP($BH137,坦克部件!#REF!,MATCH("标准值",坦克部件!#REF!,0),FALSE)+VLOOKUP($BI137,坦克部件!#REF!,MATCH("标准值",坦克部件!#REF!,0),FALSE))*2</f>
        <v>#REF!</v>
      </c>
      <c r="BR137" s="372" t="e">
        <f ca="1">(VLOOKUP($BH137,坦克部件!#REF!,MATCH("标准值",坦克部件!#REF!,0),FALSE)+VLOOKUP($BI137,坦克部件!#REF!,MATCH("标准值",坦克部件!#REF!,0),FALSE))*2</f>
        <v>#REF!</v>
      </c>
      <c r="BS137" s="372" t="e">
        <f ca="1">VLOOKUP($BF137,坦克属性统计!$B$3:$AY$33,MATCH(BS$3,坦克属性统计!$B$3:$AY$3,0),FALSE)</f>
        <v>#N/A</v>
      </c>
      <c r="BT137" s="372" t="e">
        <f t="shared" ca="1" si="87"/>
        <v>#N/A</v>
      </c>
      <c r="BU137" s="372" t="e">
        <f t="shared" ca="1" si="87"/>
        <v>#N/A</v>
      </c>
      <c r="BV137" s="372" t="e">
        <f t="shared" ca="1" si="87"/>
        <v>#N/A</v>
      </c>
      <c r="BW137" s="356">
        <f t="shared" ca="1" si="101"/>
        <v>0</v>
      </c>
      <c r="BX137" s="356" t="e">
        <f ca="1">VLOOKUP(BF137,坦克个性化设定!$B$18:$E$48,4,FALSE)</f>
        <v>#N/A</v>
      </c>
      <c r="BY137" s="357" t="e">
        <f t="shared" ca="1" si="108"/>
        <v>#N/A</v>
      </c>
    </row>
    <row r="138" spans="15:77" x14ac:dyDescent="0.35">
      <c r="O138" s="365">
        <v>135</v>
      </c>
      <c r="P138" s="360" t="e">
        <f t="shared" ca="1" si="78"/>
        <v>#REF!</v>
      </c>
      <c r="Q138" s="360" t="e">
        <f ca="1">ROUND(MIN((BD138-VLOOKUP(R138,$B$22:$F$46,2,FALSE))/(VLOOKUP(R138,$B$22:$F$46,3,FALSE)-VLOOKUP(R138,$B$22:$F$46,2,FALSE)),1)*((VLOOKUP(R138,$B$22:$F$46,4,FALSE)*(AG138/(AG138+VLOOKUP(P138,$D$49:$F$123,3,TRUE)))+VLOOKUP(R138,$B$22:$F$46,5,FALSE)*(1-AG138/(AG138+VLOOKUP(P138,$D$49:$F$123,3,TRUE))))/2)*游戏时长规划!$C$4,0)</f>
        <v>#REF!</v>
      </c>
      <c r="R138" s="360" t="e">
        <f t="shared" ca="1" si="88"/>
        <v>#REF!</v>
      </c>
      <c r="S138" s="360" t="e">
        <f t="shared" ca="1" si="109"/>
        <v>#REF!</v>
      </c>
      <c r="T138" s="360" t="e">
        <f t="shared" ca="1" si="79"/>
        <v>#REF!</v>
      </c>
      <c r="U138" s="370" t="e">
        <f t="shared" ca="1" si="89"/>
        <v>#REF!</v>
      </c>
      <c r="V138" s="363" t="e">
        <f t="shared" ca="1" si="110"/>
        <v>#REF!</v>
      </c>
      <c r="W138" s="360" t="e">
        <f t="shared" ca="1" si="90"/>
        <v>#REF!</v>
      </c>
      <c r="X138" s="81" t="e">
        <f t="shared" ca="1" si="102"/>
        <v>#REF!</v>
      </c>
      <c r="Y138" s="360" t="str">
        <f t="shared" ca="1" si="91"/>
        <v>NULL</v>
      </c>
      <c r="Z138" s="375" t="e">
        <f t="shared" ca="1" si="103"/>
        <v>#REF!</v>
      </c>
      <c r="AA138" s="360">
        <f ca="1">IFERROR(VLOOKUP(IF(V138="T1低",游戏时长规划!$C$67+Z138,Z138),INDIRECT(V138&amp;"星级"),2,TRUE),0)</f>
        <v>0</v>
      </c>
      <c r="AB138" s="375" t="e">
        <f t="shared" ca="1" si="92"/>
        <v>#REF!</v>
      </c>
      <c r="AC138" s="375">
        <f ca="1">($D$14+$D$17)*$L$4/坦克部件养成!$C$2+AC137-IFERROR(IF(RIGHT(AD137,3)*1&gt;RIGHT(VLOOKUP(AC137,INDIRECT(LEFT(AD136,2)&amp;"部件升阶"),5,TRUE),3)*1,VLOOKUP(AD136,INDIRECT(LEFT(AD136,2)&amp;"部件升阶消耗"),2,FALSE),0),0)</f>
        <v>1597.4999999999977</v>
      </c>
      <c r="AD138" s="360" t="e">
        <f t="shared" ca="1" si="93"/>
        <v>#REF!</v>
      </c>
      <c r="AE138" s="375" t="e">
        <f ca="1">$D$15*$L$4/坦克部件养成!$C$2+AE137-IF(LEFT(AD138,2)&lt;&gt;LEFT(AD137,2),VLOOKUP(AF137,INDIRECT(LEFT(AD137,2)&amp;"部件升级消耗"),5,FALSE),0)</f>
        <v>#REF!</v>
      </c>
      <c r="AF138" s="360" t="e">
        <f ca="1">MIN(VLOOKUP(AE138,INDIRECT(LEFT(AD138,2)&amp;"部件升级"),2,TRUE),VLOOKUP(LEFT(AD138,2),坦克部件养成!#REF!,6,FALSE))</f>
        <v>#REF!</v>
      </c>
      <c r="AG138" s="378" t="e">
        <f ca="1">MAX(BD$4:BD138)</f>
        <v>#REF!</v>
      </c>
      <c r="AH138" s="378" t="str">
        <f t="shared" ca="1" si="94"/>
        <v/>
      </c>
      <c r="AI138" s="378">
        <f ca="1">IF(Y138="NULL",0,MAX(BY$4:BY138))</f>
        <v>0</v>
      </c>
      <c r="AK138" s="364" t="e">
        <f t="shared" ca="1" si="95"/>
        <v>#REF!</v>
      </c>
      <c r="AL138" s="364" t="e">
        <f ca="1">VLOOKUP(AK138,坦克个性化设定!$B$18:$F$48,5,FALSE)</f>
        <v>#REF!</v>
      </c>
      <c r="AM138" s="372" t="e">
        <f t="shared" ca="1" si="96"/>
        <v>#REF!</v>
      </c>
      <c r="AN138" s="372" t="e">
        <f t="shared" ca="1" si="104"/>
        <v>#REF!</v>
      </c>
      <c r="AO138" s="364">
        <f t="shared" ca="1" si="97"/>
        <v>0</v>
      </c>
      <c r="AP138" s="372" t="e">
        <f ca="1">VLOOKUP($AK138&amp;$AO138,所有坦克升星属性,MATCH(AP$3,所有坦克升星属性标头,0),FALSE)+ROUND(AU138/VLOOKUP($AK138,坦克部件!#REF!,4,FALSE)*VLOOKUP($AK138&amp;0,所有坦克升星属性,MATCH(AP$3,所有坦克升星属性标头,0),FALSE),0)</f>
        <v>#REF!</v>
      </c>
      <c r="AQ138" s="372" t="e">
        <f ca="1">VLOOKUP($AK138&amp;$AO138,所有坦克升星属性,MATCH(AQ$3,所有坦克升星属性标头,0),FALSE)+ROUND(AV138/VLOOKUP($AK138,坦克部件!#REF!,4,FALSE)*VLOOKUP($AK138&amp;0,所有坦克升星属性,MATCH(AQ$3,所有坦克升星属性标头,0),FALSE),0)</f>
        <v>#REF!</v>
      </c>
      <c r="AR138" s="372" t="e">
        <f t="shared" ca="1" si="84"/>
        <v>#REF!</v>
      </c>
      <c r="AS138" s="372" t="e">
        <f t="shared" ca="1" si="84"/>
        <v>#REF!</v>
      </c>
      <c r="AT138" s="372" t="e">
        <f ca="1">VLOOKUP($AK138&amp;$AO138,所有坦克升星属性,MATCH(AT$3,所有坦克升星属性标头,0),FALSE)+ROUND(AW138/VLOOKUP($AK138,坦克部件!#REF!,4,FALSE)*VLOOKUP($AK138&amp;0,所有坦克升星属性,MATCH(AT$3,所有坦克升星属性标头,0),FALSE),0)</f>
        <v>#REF!</v>
      </c>
      <c r="AU138" s="372" t="e">
        <f ca="1">(VLOOKUP($AM138,坦克部件!#REF!,MATCH("标准值",坦克部件!#REF!,0),FALSE)+VLOOKUP($AN138,坦克部件!#REF!,MATCH("标准值",坦克部件!#REF!,0),FALSE))*2</f>
        <v>#REF!</v>
      </c>
      <c r="AV138" s="372" t="e">
        <f ca="1">(VLOOKUP($AM138,坦克部件!#REF!,MATCH("标准值",坦克部件!#REF!,0),FALSE)+VLOOKUP($AN138,坦克部件!#REF!,MATCH("标准值",坦克部件!#REF!,0),FALSE))*2</f>
        <v>#REF!</v>
      </c>
      <c r="AW138" s="372" t="e">
        <f ca="1">(VLOOKUP($AM138,坦克部件!#REF!,MATCH("标准值",坦克部件!#REF!,0),FALSE)+VLOOKUP($AN138,坦克部件!#REF!,MATCH("标准值",坦克部件!#REF!,0),FALSE))*2</f>
        <v>#REF!</v>
      </c>
      <c r="AX138" s="372" t="e">
        <f ca="1">VLOOKUP($AK138,坦克属性统计!$B$3:$AY$33,MATCH(AX$3,坦克属性统计!$B$3:$AY$3,0),FALSE)</f>
        <v>#REF!</v>
      </c>
      <c r="AY138" s="372" t="e">
        <f t="shared" ca="1" si="85"/>
        <v>#REF!</v>
      </c>
      <c r="AZ138" s="372" t="e">
        <f t="shared" ca="1" si="85"/>
        <v>#REF!</v>
      </c>
      <c r="BA138" s="372" t="e">
        <f t="shared" ca="1" si="85"/>
        <v>#REF!</v>
      </c>
      <c r="BB138" s="356" t="e">
        <f t="shared" ca="1" si="98"/>
        <v>#REF!</v>
      </c>
      <c r="BC138" s="356" t="e">
        <f ca="1">VLOOKUP(AK138,坦克个性化设定!$B$18:$E$48,4,FALSE)</f>
        <v>#REF!</v>
      </c>
      <c r="BD138" s="357" t="e">
        <f t="shared" ca="1" si="105"/>
        <v>#REF!</v>
      </c>
      <c r="BF138" s="357" t="str">
        <f t="shared" ca="1" si="99"/>
        <v/>
      </c>
      <c r="BG138" s="372" t="str">
        <f ca="1">IFERROR(VLOOKUP(BF138,坦克个性化设定!$B$18:$F$48,5,FALSE),"")</f>
        <v/>
      </c>
      <c r="BH138" s="372" t="e">
        <f t="shared" ca="1" si="106"/>
        <v>#REF!</v>
      </c>
      <c r="BI138" s="372" t="e">
        <f t="shared" ca="1" si="107"/>
        <v>#REF!</v>
      </c>
      <c r="BJ138" s="364" t="str">
        <f t="shared" ca="1" si="100"/>
        <v>NULL</v>
      </c>
      <c r="BK138" s="372" t="e">
        <f ca="1">VLOOKUP($BF138&amp;IF($BJ138="NULL",0,$BJ138),所有坦克升星属性,MATCH(BK$3,所有坦克升星属性标头,0),FALSE)+ROUND(BP138/VLOOKUP($BF138,坦克部件!#REF!,4,FALSE)*VLOOKUP($BF138&amp;0,所有坦克升星属性,MATCH(BK$3,所有坦克升星属性标头,0),FALSE),0)</f>
        <v>#N/A</v>
      </c>
      <c r="BL138" s="372" t="e">
        <f ca="1">VLOOKUP($BF138&amp;IF($BJ138="NULL",0,$BJ138),所有坦克升星属性,MATCH(BL$3,所有坦克升星属性标头,0),FALSE)+ROUND(BQ138/VLOOKUP($BF138,坦克部件!#REF!,4,FALSE)*VLOOKUP($BF138&amp;0,所有坦克升星属性,MATCH(BL$3,所有坦克升星属性标头,0),FALSE),0)</f>
        <v>#N/A</v>
      </c>
      <c r="BM138" s="372" t="e">
        <f t="shared" ca="1" si="86"/>
        <v>#N/A</v>
      </c>
      <c r="BN138" s="372" t="e">
        <f t="shared" ca="1" si="86"/>
        <v>#N/A</v>
      </c>
      <c r="BO138" s="372" t="e">
        <f ca="1">VLOOKUP($BF138&amp;IF($BJ138="NULL",0,$BJ138),所有坦克升星属性,MATCH(BO$3,所有坦克升星属性标头,0),FALSE)+ROUND(BR138/VLOOKUP($BF138,坦克部件!#REF!,4,FALSE)*VLOOKUP($BF138&amp;0,所有坦克升星属性,MATCH(BO$3,所有坦克升星属性标头,0),FALSE),0)</f>
        <v>#N/A</v>
      </c>
      <c r="BP138" s="372" t="e">
        <f ca="1">(VLOOKUP($BH138,坦克部件!#REF!,MATCH("标准值",坦克部件!#REF!,0),FALSE)+VLOOKUP($BI138,坦克部件!#REF!,MATCH("标准值",坦克部件!#REF!,0),FALSE))*2</f>
        <v>#REF!</v>
      </c>
      <c r="BQ138" s="372" t="e">
        <f ca="1">(VLOOKUP($BH138,坦克部件!#REF!,MATCH("标准值",坦克部件!#REF!,0),FALSE)+VLOOKUP($BI138,坦克部件!#REF!,MATCH("标准值",坦克部件!#REF!,0),FALSE))*2</f>
        <v>#REF!</v>
      </c>
      <c r="BR138" s="372" t="e">
        <f ca="1">(VLOOKUP($BH138,坦克部件!#REF!,MATCH("标准值",坦克部件!#REF!,0),FALSE)+VLOOKUP($BI138,坦克部件!#REF!,MATCH("标准值",坦克部件!#REF!,0),FALSE))*2</f>
        <v>#REF!</v>
      </c>
      <c r="BS138" s="372" t="e">
        <f ca="1">VLOOKUP($BF138,坦克属性统计!$B$3:$AY$33,MATCH(BS$3,坦克属性统计!$B$3:$AY$3,0),FALSE)</f>
        <v>#N/A</v>
      </c>
      <c r="BT138" s="372" t="e">
        <f t="shared" ca="1" si="87"/>
        <v>#N/A</v>
      </c>
      <c r="BU138" s="372" t="e">
        <f t="shared" ca="1" si="87"/>
        <v>#N/A</v>
      </c>
      <c r="BV138" s="372" t="e">
        <f t="shared" ca="1" si="87"/>
        <v>#N/A</v>
      </c>
      <c r="BW138" s="356">
        <f t="shared" ca="1" si="101"/>
        <v>0</v>
      </c>
      <c r="BX138" s="356" t="e">
        <f ca="1">VLOOKUP(BF138,坦克个性化设定!$B$18:$E$48,4,FALSE)</f>
        <v>#N/A</v>
      </c>
      <c r="BY138" s="357" t="e">
        <f t="shared" ca="1" si="108"/>
        <v>#N/A</v>
      </c>
    </row>
    <row r="139" spans="15:77" x14ac:dyDescent="0.35">
      <c r="O139" s="365">
        <v>136</v>
      </c>
      <c r="P139" s="360" t="e">
        <f t="shared" ca="1" si="78"/>
        <v>#REF!</v>
      </c>
      <c r="Q139" s="360" t="e">
        <f ca="1">ROUND(MIN((BD139-VLOOKUP(R139,$B$22:$F$46,2,FALSE))/(VLOOKUP(R139,$B$22:$F$46,3,FALSE)-VLOOKUP(R139,$B$22:$F$46,2,FALSE)),1)*((VLOOKUP(R139,$B$22:$F$46,4,FALSE)*(AG139/(AG139+VLOOKUP(P139,$D$49:$F$123,3,TRUE)))+VLOOKUP(R139,$B$22:$F$46,5,FALSE)*(1-AG139/(AG139+VLOOKUP(P139,$D$49:$F$123,3,TRUE))))/2)*游戏时长规划!$C$4,0)</f>
        <v>#REF!</v>
      </c>
      <c r="R139" s="360" t="e">
        <f t="shared" ca="1" si="88"/>
        <v>#REF!</v>
      </c>
      <c r="S139" s="360" t="e">
        <f t="shared" ca="1" si="109"/>
        <v>#REF!</v>
      </c>
      <c r="T139" s="360" t="e">
        <f t="shared" ca="1" si="79"/>
        <v>#REF!</v>
      </c>
      <c r="U139" s="370" t="e">
        <f t="shared" ca="1" si="89"/>
        <v>#REF!</v>
      </c>
      <c r="V139" s="363" t="e">
        <f t="shared" ca="1" si="110"/>
        <v>#REF!</v>
      </c>
      <c r="W139" s="360" t="e">
        <f t="shared" ca="1" si="90"/>
        <v>#REF!</v>
      </c>
      <c r="X139" s="81" t="e">
        <f t="shared" ca="1" si="102"/>
        <v>#REF!</v>
      </c>
      <c r="Y139" s="360" t="str">
        <f t="shared" ca="1" si="91"/>
        <v>NULL</v>
      </c>
      <c r="Z139" s="375" t="e">
        <f t="shared" ca="1" si="103"/>
        <v>#REF!</v>
      </c>
      <c r="AA139" s="360">
        <f ca="1">IFERROR(VLOOKUP(IF(V139="T1低",游戏时长规划!$C$67+Z139,Z139),INDIRECT(V139&amp;"星级"),2,TRUE),0)</f>
        <v>0</v>
      </c>
      <c r="AB139" s="375" t="e">
        <f t="shared" ca="1" si="92"/>
        <v>#REF!</v>
      </c>
      <c r="AC139" s="375">
        <f ca="1">($D$14+$D$17)*$L$4/坦克部件养成!$C$2+AC138-IFERROR(IF(RIGHT(AD138,3)*1&gt;RIGHT(VLOOKUP(AC138,INDIRECT(LEFT(AD137,2)&amp;"部件升阶"),5,TRUE),3)*1,VLOOKUP(AD137,INDIRECT(LEFT(AD137,2)&amp;"部件升阶消耗"),2,FALSE),0),0)</f>
        <v>1609.333333333331</v>
      </c>
      <c r="AD139" s="360" t="e">
        <f t="shared" ca="1" si="93"/>
        <v>#REF!</v>
      </c>
      <c r="AE139" s="375" t="e">
        <f ca="1">$D$15*$L$4/坦克部件养成!$C$2+AE138-IF(LEFT(AD139,2)&lt;&gt;LEFT(AD138,2),VLOOKUP(AF138,INDIRECT(LEFT(AD138,2)&amp;"部件升级消耗"),5,FALSE),0)</f>
        <v>#REF!</v>
      </c>
      <c r="AF139" s="360" t="e">
        <f ca="1">MIN(VLOOKUP(AE139,INDIRECT(LEFT(AD139,2)&amp;"部件升级"),2,TRUE),VLOOKUP(LEFT(AD139,2),坦克部件养成!#REF!,6,FALSE))</f>
        <v>#REF!</v>
      </c>
      <c r="AG139" s="378" t="e">
        <f ca="1">MAX(BD$4:BD139)</f>
        <v>#REF!</v>
      </c>
      <c r="AH139" s="378" t="str">
        <f t="shared" ca="1" si="94"/>
        <v/>
      </c>
      <c r="AI139" s="378">
        <f ca="1">IF(Y139="NULL",0,MAX(BY$4:BY139))</f>
        <v>0</v>
      </c>
      <c r="AK139" s="364" t="e">
        <f t="shared" ca="1" si="95"/>
        <v>#REF!</v>
      </c>
      <c r="AL139" s="364" t="e">
        <f ca="1">VLOOKUP(AK139,坦克个性化设定!$B$18:$F$48,5,FALSE)</f>
        <v>#REF!</v>
      </c>
      <c r="AM139" s="372" t="e">
        <f t="shared" ca="1" si="96"/>
        <v>#REF!</v>
      </c>
      <c r="AN139" s="372" t="e">
        <f t="shared" ca="1" si="104"/>
        <v>#REF!</v>
      </c>
      <c r="AO139" s="364">
        <f t="shared" ca="1" si="97"/>
        <v>0</v>
      </c>
      <c r="AP139" s="372" t="e">
        <f ca="1">VLOOKUP($AK139&amp;$AO139,所有坦克升星属性,MATCH(AP$3,所有坦克升星属性标头,0),FALSE)+ROUND(AU139/VLOOKUP($AK139,坦克部件!#REF!,4,FALSE)*VLOOKUP($AK139&amp;0,所有坦克升星属性,MATCH(AP$3,所有坦克升星属性标头,0),FALSE),0)</f>
        <v>#REF!</v>
      </c>
      <c r="AQ139" s="372" t="e">
        <f ca="1">VLOOKUP($AK139&amp;$AO139,所有坦克升星属性,MATCH(AQ$3,所有坦克升星属性标头,0),FALSE)+ROUND(AV139/VLOOKUP($AK139,坦克部件!#REF!,4,FALSE)*VLOOKUP($AK139&amp;0,所有坦克升星属性,MATCH(AQ$3,所有坦克升星属性标头,0),FALSE),0)</f>
        <v>#REF!</v>
      </c>
      <c r="AR139" s="372" t="e">
        <f t="shared" ca="1" si="84"/>
        <v>#REF!</v>
      </c>
      <c r="AS139" s="372" t="e">
        <f t="shared" ca="1" si="84"/>
        <v>#REF!</v>
      </c>
      <c r="AT139" s="372" t="e">
        <f ca="1">VLOOKUP($AK139&amp;$AO139,所有坦克升星属性,MATCH(AT$3,所有坦克升星属性标头,0),FALSE)+ROUND(AW139/VLOOKUP($AK139,坦克部件!#REF!,4,FALSE)*VLOOKUP($AK139&amp;0,所有坦克升星属性,MATCH(AT$3,所有坦克升星属性标头,0),FALSE),0)</f>
        <v>#REF!</v>
      </c>
      <c r="AU139" s="372" t="e">
        <f ca="1">(VLOOKUP($AM139,坦克部件!#REF!,MATCH("标准值",坦克部件!#REF!,0),FALSE)+VLOOKUP($AN139,坦克部件!#REF!,MATCH("标准值",坦克部件!#REF!,0),FALSE))*2</f>
        <v>#REF!</v>
      </c>
      <c r="AV139" s="372" t="e">
        <f ca="1">(VLOOKUP($AM139,坦克部件!#REF!,MATCH("标准值",坦克部件!#REF!,0),FALSE)+VLOOKUP($AN139,坦克部件!#REF!,MATCH("标准值",坦克部件!#REF!,0),FALSE))*2</f>
        <v>#REF!</v>
      </c>
      <c r="AW139" s="372" t="e">
        <f ca="1">(VLOOKUP($AM139,坦克部件!#REF!,MATCH("标准值",坦克部件!#REF!,0),FALSE)+VLOOKUP($AN139,坦克部件!#REF!,MATCH("标准值",坦克部件!#REF!,0),FALSE))*2</f>
        <v>#REF!</v>
      </c>
      <c r="AX139" s="372" t="e">
        <f ca="1">VLOOKUP($AK139,坦克属性统计!$B$3:$AY$33,MATCH(AX$3,坦克属性统计!$B$3:$AY$3,0),FALSE)</f>
        <v>#REF!</v>
      </c>
      <c r="AY139" s="372" t="e">
        <f t="shared" ca="1" si="85"/>
        <v>#REF!</v>
      </c>
      <c r="AZ139" s="372" t="e">
        <f t="shared" ca="1" si="85"/>
        <v>#REF!</v>
      </c>
      <c r="BA139" s="372" t="e">
        <f t="shared" ca="1" si="85"/>
        <v>#REF!</v>
      </c>
      <c r="BB139" s="356" t="e">
        <f t="shared" ca="1" si="98"/>
        <v>#REF!</v>
      </c>
      <c r="BC139" s="356" t="e">
        <f ca="1">VLOOKUP(AK139,坦克个性化设定!$B$18:$E$48,4,FALSE)</f>
        <v>#REF!</v>
      </c>
      <c r="BD139" s="357" t="e">
        <f t="shared" ca="1" si="105"/>
        <v>#REF!</v>
      </c>
      <c r="BF139" s="357" t="str">
        <f t="shared" ca="1" si="99"/>
        <v/>
      </c>
      <c r="BG139" s="372" t="str">
        <f ca="1">IFERROR(VLOOKUP(BF139,坦克个性化设定!$B$18:$F$48,5,FALSE),"")</f>
        <v/>
      </c>
      <c r="BH139" s="372" t="e">
        <f t="shared" ca="1" si="106"/>
        <v>#REF!</v>
      </c>
      <c r="BI139" s="372" t="e">
        <f t="shared" ca="1" si="107"/>
        <v>#REF!</v>
      </c>
      <c r="BJ139" s="364" t="str">
        <f t="shared" ca="1" si="100"/>
        <v>NULL</v>
      </c>
      <c r="BK139" s="372" t="e">
        <f ca="1">VLOOKUP($BF139&amp;IF($BJ139="NULL",0,$BJ139),所有坦克升星属性,MATCH(BK$3,所有坦克升星属性标头,0),FALSE)+ROUND(BP139/VLOOKUP($BF139,坦克部件!#REF!,4,FALSE)*VLOOKUP($BF139&amp;0,所有坦克升星属性,MATCH(BK$3,所有坦克升星属性标头,0),FALSE),0)</f>
        <v>#N/A</v>
      </c>
      <c r="BL139" s="372" t="e">
        <f ca="1">VLOOKUP($BF139&amp;IF($BJ139="NULL",0,$BJ139),所有坦克升星属性,MATCH(BL$3,所有坦克升星属性标头,0),FALSE)+ROUND(BQ139/VLOOKUP($BF139,坦克部件!#REF!,4,FALSE)*VLOOKUP($BF139&amp;0,所有坦克升星属性,MATCH(BL$3,所有坦克升星属性标头,0),FALSE),0)</f>
        <v>#N/A</v>
      </c>
      <c r="BM139" s="372" t="e">
        <f t="shared" ca="1" si="86"/>
        <v>#N/A</v>
      </c>
      <c r="BN139" s="372" t="e">
        <f t="shared" ca="1" si="86"/>
        <v>#N/A</v>
      </c>
      <c r="BO139" s="372" t="e">
        <f ca="1">VLOOKUP($BF139&amp;IF($BJ139="NULL",0,$BJ139),所有坦克升星属性,MATCH(BO$3,所有坦克升星属性标头,0),FALSE)+ROUND(BR139/VLOOKUP($BF139,坦克部件!#REF!,4,FALSE)*VLOOKUP($BF139&amp;0,所有坦克升星属性,MATCH(BO$3,所有坦克升星属性标头,0),FALSE),0)</f>
        <v>#N/A</v>
      </c>
      <c r="BP139" s="372" t="e">
        <f ca="1">(VLOOKUP($BH139,坦克部件!#REF!,MATCH("标准值",坦克部件!#REF!,0),FALSE)+VLOOKUP($BI139,坦克部件!#REF!,MATCH("标准值",坦克部件!#REF!,0),FALSE))*2</f>
        <v>#REF!</v>
      </c>
      <c r="BQ139" s="372" t="e">
        <f ca="1">(VLOOKUP($BH139,坦克部件!#REF!,MATCH("标准值",坦克部件!#REF!,0),FALSE)+VLOOKUP($BI139,坦克部件!#REF!,MATCH("标准值",坦克部件!#REF!,0),FALSE))*2</f>
        <v>#REF!</v>
      </c>
      <c r="BR139" s="372" t="e">
        <f ca="1">(VLOOKUP($BH139,坦克部件!#REF!,MATCH("标准值",坦克部件!#REF!,0),FALSE)+VLOOKUP($BI139,坦克部件!#REF!,MATCH("标准值",坦克部件!#REF!,0),FALSE))*2</f>
        <v>#REF!</v>
      </c>
      <c r="BS139" s="372" t="e">
        <f ca="1">VLOOKUP($BF139,坦克属性统计!$B$3:$AY$33,MATCH(BS$3,坦克属性统计!$B$3:$AY$3,0),FALSE)</f>
        <v>#N/A</v>
      </c>
      <c r="BT139" s="372" t="e">
        <f t="shared" ca="1" si="87"/>
        <v>#N/A</v>
      </c>
      <c r="BU139" s="372" t="e">
        <f t="shared" ca="1" si="87"/>
        <v>#N/A</v>
      </c>
      <c r="BV139" s="372" t="e">
        <f t="shared" ca="1" si="87"/>
        <v>#N/A</v>
      </c>
      <c r="BW139" s="356">
        <f t="shared" ca="1" si="101"/>
        <v>0</v>
      </c>
      <c r="BX139" s="356" t="e">
        <f ca="1">VLOOKUP(BF139,坦克个性化设定!$B$18:$E$48,4,FALSE)</f>
        <v>#N/A</v>
      </c>
      <c r="BY139" s="357" t="e">
        <f t="shared" ca="1" si="108"/>
        <v>#N/A</v>
      </c>
    </row>
    <row r="140" spans="15:77" x14ac:dyDescent="0.35">
      <c r="O140" s="365">
        <v>137</v>
      </c>
      <c r="P140" s="360" t="e">
        <f t="shared" ca="1" si="78"/>
        <v>#REF!</v>
      </c>
      <c r="Q140" s="360" t="e">
        <f ca="1">ROUND(MIN((BD140-VLOOKUP(R140,$B$22:$F$46,2,FALSE))/(VLOOKUP(R140,$B$22:$F$46,3,FALSE)-VLOOKUP(R140,$B$22:$F$46,2,FALSE)),1)*((VLOOKUP(R140,$B$22:$F$46,4,FALSE)*(AG140/(AG140+VLOOKUP(P140,$D$49:$F$123,3,TRUE)))+VLOOKUP(R140,$B$22:$F$46,5,FALSE)*(1-AG140/(AG140+VLOOKUP(P140,$D$49:$F$123,3,TRUE))))/2)*游戏时长规划!$C$4,0)</f>
        <v>#REF!</v>
      </c>
      <c r="R140" s="360" t="e">
        <f t="shared" ca="1" si="88"/>
        <v>#REF!</v>
      </c>
      <c r="S140" s="360" t="e">
        <f t="shared" ca="1" si="109"/>
        <v>#REF!</v>
      </c>
      <c r="T140" s="360" t="e">
        <f t="shared" ca="1" si="79"/>
        <v>#REF!</v>
      </c>
      <c r="U140" s="370" t="e">
        <f t="shared" ca="1" si="89"/>
        <v>#REF!</v>
      </c>
      <c r="V140" s="363" t="e">
        <f t="shared" ca="1" si="110"/>
        <v>#REF!</v>
      </c>
      <c r="W140" s="360" t="e">
        <f t="shared" ca="1" si="90"/>
        <v>#REF!</v>
      </c>
      <c r="X140" s="81" t="e">
        <f t="shared" ca="1" si="102"/>
        <v>#REF!</v>
      </c>
      <c r="Y140" s="360" t="str">
        <f t="shared" ca="1" si="91"/>
        <v>NULL</v>
      </c>
      <c r="Z140" s="375" t="e">
        <f t="shared" ca="1" si="103"/>
        <v>#REF!</v>
      </c>
      <c r="AA140" s="360">
        <f ca="1">IFERROR(VLOOKUP(IF(V140="T1低",游戏时长规划!$C$67+Z140,Z140),INDIRECT(V140&amp;"星级"),2,TRUE),0)</f>
        <v>0</v>
      </c>
      <c r="AB140" s="375" t="e">
        <f t="shared" ca="1" si="92"/>
        <v>#REF!</v>
      </c>
      <c r="AC140" s="375">
        <f ca="1">($D$14+$D$17)*$L$4/坦克部件养成!$C$2+AC139-IFERROR(IF(RIGHT(AD139,3)*1&gt;RIGHT(VLOOKUP(AC139,INDIRECT(LEFT(AD138,2)&amp;"部件升阶"),5,TRUE),3)*1,VLOOKUP(AD138,INDIRECT(LEFT(AD138,2)&amp;"部件升阶消耗"),2,FALSE),0),0)</f>
        <v>1621.1666666666642</v>
      </c>
      <c r="AD140" s="360" t="e">
        <f t="shared" ca="1" si="93"/>
        <v>#REF!</v>
      </c>
      <c r="AE140" s="375" t="e">
        <f ca="1">$D$15*$L$4/坦克部件养成!$C$2+AE139-IF(LEFT(AD140,2)&lt;&gt;LEFT(AD139,2),VLOOKUP(AF139,INDIRECT(LEFT(AD139,2)&amp;"部件升级消耗"),5,FALSE),0)</f>
        <v>#REF!</v>
      </c>
      <c r="AF140" s="360" t="e">
        <f ca="1">MIN(VLOOKUP(AE140,INDIRECT(LEFT(AD140,2)&amp;"部件升级"),2,TRUE),VLOOKUP(LEFT(AD140,2),坦克部件养成!#REF!,6,FALSE))</f>
        <v>#REF!</v>
      </c>
      <c r="AG140" s="378" t="e">
        <f ca="1">MAX(BD$4:BD140)</f>
        <v>#REF!</v>
      </c>
      <c r="AH140" s="378" t="str">
        <f t="shared" ca="1" si="94"/>
        <v/>
      </c>
      <c r="AI140" s="378">
        <f ca="1">IF(Y140="NULL",0,MAX(BY$4:BY140))</f>
        <v>0</v>
      </c>
      <c r="AK140" s="364" t="e">
        <f t="shared" ca="1" si="95"/>
        <v>#REF!</v>
      </c>
      <c r="AL140" s="364" t="e">
        <f ca="1">VLOOKUP(AK140,坦克个性化设定!$B$18:$F$48,5,FALSE)</f>
        <v>#REF!</v>
      </c>
      <c r="AM140" s="372" t="e">
        <f t="shared" ca="1" si="96"/>
        <v>#REF!</v>
      </c>
      <c r="AN140" s="372" t="e">
        <f t="shared" ca="1" si="104"/>
        <v>#REF!</v>
      </c>
      <c r="AO140" s="364">
        <f t="shared" ca="1" si="97"/>
        <v>0</v>
      </c>
      <c r="AP140" s="372" t="e">
        <f ca="1">VLOOKUP($AK140&amp;$AO140,所有坦克升星属性,MATCH(AP$3,所有坦克升星属性标头,0),FALSE)+ROUND(AU140/VLOOKUP($AK140,坦克部件!#REF!,4,FALSE)*VLOOKUP($AK140&amp;0,所有坦克升星属性,MATCH(AP$3,所有坦克升星属性标头,0),FALSE),0)</f>
        <v>#REF!</v>
      </c>
      <c r="AQ140" s="372" t="e">
        <f ca="1">VLOOKUP($AK140&amp;$AO140,所有坦克升星属性,MATCH(AQ$3,所有坦克升星属性标头,0),FALSE)+ROUND(AV140/VLOOKUP($AK140,坦克部件!#REF!,4,FALSE)*VLOOKUP($AK140&amp;0,所有坦克升星属性,MATCH(AQ$3,所有坦克升星属性标头,0),FALSE),0)</f>
        <v>#REF!</v>
      </c>
      <c r="AR140" s="372" t="e">
        <f t="shared" ca="1" si="84"/>
        <v>#REF!</v>
      </c>
      <c r="AS140" s="372" t="e">
        <f t="shared" ca="1" si="84"/>
        <v>#REF!</v>
      </c>
      <c r="AT140" s="372" t="e">
        <f ca="1">VLOOKUP($AK140&amp;$AO140,所有坦克升星属性,MATCH(AT$3,所有坦克升星属性标头,0),FALSE)+ROUND(AW140/VLOOKUP($AK140,坦克部件!#REF!,4,FALSE)*VLOOKUP($AK140&amp;0,所有坦克升星属性,MATCH(AT$3,所有坦克升星属性标头,0),FALSE),0)</f>
        <v>#REF!</v>
      </c>
      <c r="AU140" s="372" t="e">
        <f ca="1">(VLOOKUP($AM140,坦克部件!#REF!,MATCH("标准值",坦克部件!#REF!,0),FALSE)+VLOOKUP($AN140,坦克部件!#REF!,MATCH("标准值",坦克部件!#REF!,0),FALSE))*2</f>
        <v>#REF!</v>
      </c>
      <c r="AV140" s="372" t="e">
        <f ca="1">(VLOOKUP($AM140,坦克部件!#REF!,MATCH("标准值",坦克部件!#REF!,0),FALSE)+VLOOKUP($AN140,坦克部件!#REF!,MATCH("标准值",坦克部件!#REF!,0),FALSE))*2</f>
        <v>#REF!</v>
      </c>
      <c r="AW140" s="372" t="e">
        <f ca="1">(VLOOKUP($AM140,坦克部件!#REF!,MATCH("标准值",坦克部件!#REF!,0),FALSE)+VLOOKUP($AN140,坦克部件!#REF!,MATCH("标准值",坦克部件!#REF!,0),FALSE))*2</f>
        <v>#REF!</v>
      </c>
      <c r="AX140" s="372" t="e">
        <f ca="1">VLOOKUP($AK140,坦克属性统计!$B$3:$AY$33,MATCH(AX$3,坦克属性统计!$B$3:$AY$3,0),FALSE)</f>
        <v>#REF!</v>
      </c>
      <c r="AY140" s="372" t="e">
        <f t="shared" ca="1" si="85"/>
        <v>#REF!</v>
      </c>
      <c r="AZ140" s="372" t="e">
        <f t="shared" ca="1" si="85"/>
        <v>#REF!</v>
      </c>
      <c r="BA140" s="372" t="e">
        <f t="shared" ca="1" si="85"/>
        <v>#REF!</v>
      </c>
      <c r="BB140" s="356" t="e">
        <f t="shared" ca="1" si="98"/>
        <v>#REF!</v>
      </c>
      <c r="BC140" s="356" t="e">
        <f ca="1">VLOOKUP(AK140,坦克个性化设定!$B$18:$E$48,4,FALSE)</f>
        <v>#REF!</v>
      </c>
      <c r="BD140" s="357" t="e">
        <f t="shared" ca="1" si="105"/>
        <v>#REF!</v>
      </c>
      <c r="BF140" s="357" t="str">
        <f t="shared" ca="1" si="99"/>
        <v/>
      </c>
      <c r="BG140" s="372" t="str">
        <f ca="1">IFERROR(VLOOKUP(BF140,坦克个性化设定!$B$18:$F$48,5,FALSE),"")</f>
        <v/>
      </c>
      <c r="BH140" s="372" t="e">
        <f t="shared" ca="1" si="106"/>
        <v>#REF!</v>
      </c>
      <c r="BI140" s="372" t="e">
        <f t="shared" ca="1" si="107"/>
        <v>#REF!</v>
      </c>
      <c r="BJ140" s="364" t="str">
        <f t="shared" ca="1" si="100"/>
        <v>NULL</v>
      </c>
      <c r="BK140" s="372" t="e">
        <f ca="1">VLOOKUP($BF140&amp;IF($BJ140="NULL",0,$BJ140),所有坦克升星属性,MATCH(BK$3,所有坦克升星属性标头,0),FALSE)+ROUND(BP140/VLOOKUP($BF140,坦克部件!#REF!,4,FALSE)*VLOOKUP($BF140&amp;0,所有坦克升星属性,MATCH(BK$3,所有坦克升星属性标头,0),FALSE),0)</f>
        <v>#N/A</v>
      </c>
      <c r="BL140" s="372" t="e">
        <f ca="1">VLOOKUP($BF140&amp;IF($BJ140="NULL",0,$BJ140),所有坦克升星属性,MATCH(BL$3,所有坦克升星属性标头,0),FALSE)+ROUND(BQ140/VLOOKUP($BF140,坦克部件!#REF!,4,FALSE)*VLOOKUP($BF140&amp;0,所有坦克升星属性,MATCH(BL$3,所有坦克升星属性标头,0),FALSE),0)</f>
        <v>#N/A</v>
      </c>
      <c r="BM140" s="372" t="e">
        <f t="shared" ca="1" si="86"/>
        <v>#N/A</v>
      </c>
      <c r="BN140" s="372" t="e">
        <f t="shared" ca="1" si="86"/>
        <v>#N/A</v>
      </c>
      <c r="BO140" s="372" t="e">
        <f ca="1">VLOOKUP($BF140&amp;IF($BJ140="NULL",0,$BJ140),所有坦克升星属性,MATCH(BO$3,所有坦克升星属性标头,0),FALSE)+ROUND(BR140/VLOOKUP($BF140,坦克部件!#REF!,4,FALSE)*VLOOKUP($BF140&amp;0,所有坦克升星属性,MATCH(BO$3,所有坦克升星属性标头,0),FALSE),0)</f>
        <v>#N/A</v>
      </c>
      <c r="BP140" s="372" t="e">
        <f ca="1">(VLOOKUP($BH140,坦克部件!#REF!,MATCH("标准值",坦克部件!#REF!,0),FALSE)+VLOOKUP($BI140,坦克部件!#REF!,MATCH("标准值",坦克部件!#REF!,0),FALSE))*2</f>
        <v>#REF!</v>
      </c>
      <c r="BQ140" s="372" t="e">
        <f ca="1">(VLOOKUP($BH140,坦克部件!#REF!,MATCH("标准值",坦克部件!#REF!,0),FALSE)+VLOOKUP($BI140,坦克部件!#REF!,MATCH("标准值",坦克部件!#REF!,0),FALSE))*2</f>
        <v>#REF!</v>
      </c>
      <c r="BR140" s="372" t="e">
        <f ca="1">(VLOOKUP($BH140,坦克部件!#REF!,MATCH("标准值",坦克部件!#REF!,0),FALSE)+VLOOKUP($BI140,坦克部件!#REF!,MATCH("标准值",坦克部件!#REF!,0),FALSE))*2</f>
        <v>#REF!</v>
      </c>
      <c r="BS140" s="372" t="e">
        <f ca="1">VLOOKUP($BF140,坦克属性统计!$B$3:$AY$33,MATCH(BS$3,坦克属性统计!$B$3:$AY$3,0),FALSE)</f>
        <v>#N/A</v>
      </c>
      <c r="BT140" s="372" t="e">
        <f t="shared" ca="1" si="87"/>
        <v>#N/A</v>
      </c>
      <c r="BU140" s="372" t="e">
        <f t="shared" ca="1" si="87"/>
        <v>#N/A</v>
      </c>
      <c r="BV140" s="372" t="e">
        <f t="shared" ca="1" si="87"/>
        <v>#N/A</v>
      </c>
      <c r="BW140" s="356">
        <f t="shared" ca="1" si="101"/>
        <v>0</v>
      </c>
      <c r="BX140" s="356" t="e">
        <f ca="1">VLOOKUP(BF140,坦克个性化设定!$B$18:$E$48,4,FALSE)</f>
        <v>#N/A</v>
      </c>
      <c r="BY140" s="357" t="e">
        <f t="shared" ca="1" si="108"/>
        <v>#N/A</v>
      </c>
    </row>
    <row r="141" spans="15:77" x14ac:dyDescent="0.35">
      <c r="O141" s="365">
        <v>138</v>
      </c>
      <c r="P141" s="360" t="e">
        <f t="shared" ca="1" si="78"/>
        <v>#REF!</v>
      </c>
      <c r="Q141" s="360" t="e">
        <f ca="1">ROUND(MIN((BD141-VLOOKUP(R141,$B$22:$F$46,2,FALSE))/(VLOOKUP(R141,$B$22:$F$46,3,FALSE)-VLOOKUP(R141,$B$22:$F$46,2,FALSE)),1)*((VLOOKUP(R141,$B$22:$F$46,4,FALSE)*(AG141/(AG141+VLOOKUP(P141,$D$49:$F$123,3,TRUE)))+VLOOKUP(R141,$B$22:$F$46,5,FALSE)*(1-AG141/(AG141+VLOOKUP(P141,$D$49:$F$123,3,TRUE))))/2)*游戏时长规划!$C$4,0)</f>
        <v>#REF!</v>
      </c>
      <c r="R141" s="360" t="e">
        <f t="shared" ca="1" si="88"/>
        <v>#REF!</v>
      </c>
      <c r="S141" s="360" t="e">
        <f t="shared" ca="1" si="109"/>
        <v>#REF!</v>
      </c>
      <c r="T141" s="360" t="e">
        <f t="shared" ca="1" si="79"/>
        <v>#REF!</v>
      </c>
      <c r="U141" s="370" t="e">
        <f t="shared" ca="1" si="89"/>
        <v>#REF!</v>
      </c>
      <c r="V141" s="363" t="e">
        <f t="shared" ca="1" si="110"/>
        <v>#REF!</v>
      </c>
      <c r="W141" s="360" t="e">
        <f t="shared" ca="1" si="90"/>
        <v>#REF!</v>
      </c>
      <c r="X141" s="81" t="e">
        <f t="shared" ca="1" si="102"/>
        <v>#REF!</v>
      </c>
      <c r="Y141" s="360" t="str">
        <f t="shared" ca="1" si="91"/>
        <v>NULL</v>
      </c>
      <c r="Z141" s="375" t="e">
        <f t="shared" ca="1" si="103"/>
        <v>#REF!</v>
      </c>
      <c r="AA141" s="360">
        <f ca="1">IFERROR(VLOOKUP(IF(V141="T1低",游戏时长规划!$C$67+Z141,Z141),INDIRECT(V141&amp;"星级"),2,TRUE),0)</f>
        <v>0</v>
      </c>
      <c r="AB141" s="375" t="e">
        <f t="shared" ca="1" si="92"/>
        <v>#REF!</v>
      </c>
      <c r="AC141" s="375">
        <f ca="1">($D$14+$D$17)*$L$4/坦克部件养成!$C$2+AC140-IFERROR(IF(RIGHT(AD140,3)*1&gt;RIGHT(VLOOKUP(AC140,INDIRECT(LEFT(AD139,2)&amp;"部件升阶"),5,TRUE),3)*1,VLOOKUP(AD139,INDIRECT(LEFT(AD139,2)&amp;"部件升阶消耗"),2,FALSE),0),0)</f>
        <v>1632.9999999999975</v>
      </c>
      <c r="AD141" s="360" t="e">
        <f t="shared" ca="1" si="93"/>
        <v>#REF!</v>
      </c>
      <c r="AE141" s="375" t="e">
        <f ca="1">$D$15*$L$4/坦克部件养成!$C$2+AE140-IF(LEFT(AD141,2)&lt;&gt;LEFT(AD140,2),VLOOKUP(AF140,INDIRECT(LEFT(AD140,2)&amp;"部件升级消耗"),5,FALSE),0)</f>
        <v>#REF!</v>
      </c>
      <c r="AF141" s="360" t="e">
        <f ca="1">MIN(VLOOKUP(AE141,INDIRECT(LEFT(AD141,2)&amp;"部件升级"),2,TRUE),VLOOKUP(LEFT(AD141,2),坦克部件养成!#REF!,6,FALSE))</f>
        <v>#REF!</v>
      </c>
      <c r="AG141" s="378" t="e">
        <f ca="1">MAX(BD$4:BD141)</f>
        <v>#REF!</v>
      </c>
      <c r="AH141" s="378" t="str">
        <f t="shared" ca="1" si="94"/>
        <v/>
      </c>
      <c r="AI141" s="378">
        <f ca="1">IF(Y141="NULL",0,MAX(BY$4:BY141))</f>
        <v>0</v>
      </c>
      <c r="AK141" s="364" t="e">
        <f t="shared" ca="1" si="95"/>
        <v>#REF!</v>
      </c>
      <c r="AL141" s="364" t="e">
        <f ca="1">VLOOKUP(AK141,坦克个性化设定!$B$18:$F$48,5,FALSE)</f>
        <v>#REF!</v>
      </c>
      <c r="AM141" s="372" t="e">
        <f t="shared" ca="1" si="96"/>
        <v>#REF!</v>
      </c>
      <c r="AN141" s="372" t="e">
        <f t="shared" ca="1" si="104"/>
        <v>#REF!</v>
      </c>
      <c r="AO141" s="364">
        <f t="shared" ca="1" si="97"/>
        <v>0</v>
      </c>
      <c r="AP141" s="372" t="e">
        <f ca="1">VLOOKUP($AK141&amp;$AO141,所有坦克升星属性,MATCH(AP$3,所有坦克升星属性标头,0),FALSE)+ROUND(AU141/VLOOKUP($AK141,坦克部件!#REF!,4,FALSE)*VLOOKUP($AK141&amp;0,所有坦克升星属性,MATCH(AP$3,所有坦克升星属性标头,0),FALSE),0)</f>
        <v>#REF!</v>
      </c>
      <c r="AQ141" s="372" t="e">
        <f ca="1">VLOOKUP($AK141&amp;$AO141,所有坦克升星属性,MATCH(AQ$3,所有坦克升星属性标头,0),FALSE)+ROUND(AV141/VLOOKUP($AK141,坦克部件!#REF!,4,FALSE)*VLOOKUP($AK141&amp;0,所有坦克升星属性,MATCH(AQ$3,所有坦克升星属性标头,0),FALSE),0)</f>
        <v>#REF!</v>
      </c>
      <c r="AR141" s="372" t="e">
        <f t="shared" ca="1" si="84"/>
        <v>#REF!</v>
      </c>
      <c r="AS141" s="372" t="e">
        <f t="shared" ca="1" si="84"/>
        <v>#REF!</v>
      </c>
      <c r="AT141" s="372" t="e">
        <f ca="1">VLOOKUP($AK141&amp;$AO141,所有坦克升星属性,MATCH(AT$3,所有坦克升星属性标头,0),FALSE)+ROUND(AW141/VLOOKUP($AK141,坦克部件!#REF!,4,FALSE)*VLOOKUP($AK141&amp;0,所有坦克升星属性,MATCH(AT$3,所有坦克升星属性标头,0),FALSE),0)</f>
        <v>#REF!</v>
      </c>
      <c r="AU141" s="372" t="e">
        <f ca="1">(VLOOKUP($AM141,坦克部件!#REF!,MATCH("标准值",坦克部件!#REF!,0),FALSE)+VLOOKUP($AN141,坦克部件!#REF!,MATCH("标准值",坦克部件!#REF!,0),FALSE))*2</f>
        <v>#REF!</v>
      </c>
      <c r="AV141" s="372" t="e">
        <f ca="1">(VLOOKUP($AM141,坦克部件!#REF!,MATCH("标准值",坦克部件!#REF!,0),FALSE)+VLOOKUP($AN141,坦克部件!#REF!,MATCH("标准值",坦克部件!#REF!,0),FALSE))*2</f>
        <v>#REF!</v>
      </c>
      <c r="AW141" s="372" t="e">
        <f ca="1">(VLOOKUP($AM141,坦克部件!#REF!,MATCH("标准值",坦克部件!#REF!,0),FALSE)+VLOOKUP($AN141,坦克部件!#REF!,MATCH("标准值",坦克部件!#REF!,0),FALSE))*2</f>
        <v>#REF!</v>
      </c>
      <c r="AX141" s="372" t="e">
        <f ca="1">VLOOKUP($AK141,坦克属性统计!$B$3:$AY$33,MATCH(AX$3,坦克属性统计!$B$3:$AY$3,0),FALSE)</f>
        <v>#REF!</v>
      </c>
      <c r="AY141" s="372" t="e">
        <f t="shared" ca="1" si="85"/>
        <v>#REF!</v>
      </c>
      <c r="AZ141" s="372" t="e">
        <f t="shared" ca="1" si="85"/>
        <v>#REF!</v>
      </c>
      <c r="BA141" s="372" t="e">
        <f t="shared" ca="1" si="85"/>
        <v>#REF!</v>
      </c>
      <c r="BB141" s="356" t="e">
        <f t="shared" ca="1" si="98"/>
        <v>#REF!</v>
      </c>
      <c r="BC141" s="356" t="e">
        <f ca="1">VLOOKUP(AK141,坦克个性化设定!$B$18:$E$48,4,FALSE)</f>
        <v>#REF!</v>
      </c>
      <c r="BD141" s="357" t="e">
        <f t="shared" ca="1" si="105"/>
        <v>#REF!</v>
      </c>
      <c r="BF141" s="357" t="str">
        <f t="shared" ca="1" si="99"/>
        <v/>
      </c>
      <c r="BG141" s="372" t="str">
        <f ca="1">IFERROR(VLOOKUP(BF141,坦克个性化设定!$B$18:$F$48,5,FALSE),"")</f>
        <v/>
      </c>
      <c r="BH141" s="372" t="e">
        <f t="shared" ca="1" si="106"/>
        <v>#REF!</v>
      </c>
      <c r="BI141" s="372" t="e">
        <f t="shared" ca="1" si="107"/>
        <v>#REF!</v>
      </c>
      <c r="BJ141" s="364" t="str">
        <f t="shared" ca="1" si="100"/>
        <v>NULL</v>
      </c>
      <c r="BK141" s="372" t="e">
        <f ca="1">VLOOKUP($BF141&amp;IF($BJ141="NULL",0,$BJ141),所有坦克升星属性,MATCH(BK$3,所有坦克升星属性标头,0),FALSE)+ROUND(BP141/VLOOKUP($BF141,坦克部件!#REF!,4,FALSE)*VLOOKUP($BF141&amp;0,所有坦克升星属性,MATCH(BK$3,所有坦克升星属性标头,0),FALSE),0)</f>
        <v>#N/A</v>
      </c>
      <c r="BL141" s="372" t="e">
        <f ca="1">VLOOKUP($BF141&amp;IF($BJ141="NULL",0,$BJ141),所有坦克升星属性,MATCH(BL$3,所有坦克升星属性标头,0),FALSE)+ROUND(BQ141/VLOOKUP($BF141,坦克部件!#REF!,4,FALSE)*VLOOKUP($BF141&amp;0,所有坦克升星属性,MATCH(BL$3,所有坦克升星属性标头,0),FALSE),0)</f>
        <v>#N/A</v>
      </c>
      <c r="BM141" s="372" t="e">
        <f t="shared" ca="1" si="86"/>
        <v>#N/A</v>
      </c>
      <c r="BN141" s="372" t="e">
        <f t="shared" ca="1" si="86"/>
        <v>#N/A</v>
      </c>
      <c r="BO141" s="372" t="e">
        <f ca="1">VLOOKUP($BF141&amp;IF($BJ141="NULL",0,$BJ141),所有坦克升星属性,MATCH(BO$3,所有坦克升星属性标头,0),FALSE)+ROUND(BR141/VLOOKUP($BF141,坦克部件!#REF!,4,FALSE)*VLOOKUP($BF141&amp;0,所有坦克升星属性,MATCH(BO$3,所有坦克升星属性标头,0),FALSE),0)</f>
        <v>#N/A</v>
      </c>
      <c r="BP141" s="372" t="e">
        <f ca="1">(VLOOKUP($BH141,坦克部件!#REF!,MATCH("标准值",坦克部件!#REF!,0),FALSE)+VLOOKUP($BI141,坦克部件!#REF!,MATCH("标准值",坦克部件!#REF!,0),FALSE))*2</f>
        <v>#REF!</v>
      </c>
      <c r="BQ141" s="372" t="e">
        <f ca="1">(VLOOKUP($BH141,坦克部件!#REF!,MATCH("标准值",坦克部件!#REF!,0),FALSE)+VLOOKUP($BI141,坦克部件!#REF!,MATCH("标准值",坦克部件!#REF!,0),FALSE))*2</f>
        <v>#REF!</v>
      </c>
      <c r="BR141" s="372" t="e">
        <f ca="1">(VLOOKUP($BH141,坦克部件!#REF!,MATCH("标准值",坦克部件!#REF!,0),FALSE)+VLOOKUP($BI141,坦克部件!#REF!,MATCH("标准值",坦克部件!#REF!,0),FALSE))*2</f>
        <v>#REF!</v>
      </c>
      <c r="BS141" s="372" t="e">
        <f ca="1">VLOOKUP($BF141,坦克属性统计!$B$3:$AY$33,MATCH(BS$3,坦克属性统计!$B$3:$AY$3,0),FALSE)</f>
        <v>#N/A</v>
      </c>
      <c r="BT141" s="372" t="e">
        <f t="shared" ca="1" si="87"/>
        <v>#N/A</v>
      </c>
      <c r="BU141" s="372" t="e">
        <f t="shared" ca="1" si="87"/>
        <v>#N/A</v>
      </c>
      <c r="BV141" s="372" t="e">
        <f t="shared" ca="1" si="87"/>
        <v>#N/A</v>
      </c>
      <c r="BW141" s="356">
        <f t="shared" ca="1" si="101"/>
        <v>0</v>
      </c>
      <c r="BX141" s="356" t="e">
        <f ca="1">VLOOKUP(BF141,坦克个性化设定!$B$18:$E$48,4,FALSE)</f>
        <v>#N/A</v>
      </c>
      <c r="BY141" s="357" t="e">
        <f t="shared" ca="1" si="108"/>
        <v>#N/A</v>
      </c>
    </row>
    <row r="142" spans="15:77" x14ac:dyDescent="0.35">
      <c r="O142" s="365">
        <v>139</v>
      </c>
      <c r="P142" s="360" t="e">
        <f t="shared" ca="1" si="78"/>
        <v>#REF!</v>
      </c>
      <c r="Q142" s="360" t="e">
        <f ca="1">ROUND(MIN((BD142-VLOOKUP(R142,$B$22:$F$46,2,FALSE))/(VLOOKUP(R142,$B$22:$F$46,3,FALSE)-VLOOKUP(R142,$B$22:$F$46,2,FALSE)),1)*((VLOOKUP(R142,$B$22:$F$46,4,FALSE)*(AG142/(AG142+VLOOKUP(P142,$D$49:$F$123,3,TRUE)))+VLOOKUP(R142,$B$22:$F$46,5,FALSE)*(1-AG142/(AG142+VLOOKUP(P142,$D$49:$F$123,3,TRUE))))/2)*游戏时长规划!$C$4,0)</f>
        <v>#REF!</v>
      </c>
      <c r="R142" s="360" t="e">
        <f t="shared" ca="1" si="88"/>
        <v>#REF!</v>
      </c>
      <c r="S142" s="360" t="e">
        <f t="shared" ca="1" si="109"/>
        <v>#REF!</v>
      </c>
      <c r="T142" s="360" t="e">
        <f t="shared" ca="1" si="79"/>
        <v>#REF!</v>
      </c>
      <c r="U142" s="370" t="e">
        <f t="shared" ca="1" si="89"/>
        <v>#REF!</v>
      </c>
      <c r="V142" s="363" t="e">
        <f t="shared" ca="1" si="110"/>
        <v>#REF!</v>
      </c>
      <c r="W142" s="360" t="e">
        <f t="shared" ca="1" si="90"/>
        <v>#REF!</v>
      </c>
      <c r="X142" s="81" t="e">
        <f t="shared" ca="1" si="102"/>
        <v>#REF!</v>
      </c>
      <c r="Y142" s="360" t="str">
        <f t="shared" ca="1" si="91"/>
        <v>NULL</v>
      </c>
      <c r="Z142" s="375" t="e">
        <f t="shared" ca="1" si="103"/>
        <v>#REF!</v>
      </c>
      <c r="AA142" s="360">
        <f ca="1">IFERROR(VLOOKUP(IF(V142="T1低",游戏时长规划!$C$67+Z142,Z142),INDIRECT(V142&amp;"星级"),2,TRUE),0)</f>
        <v>0</v>
      </c>
      <c r="AB142" s="375" t="e">
        <f t="shared" ca="1" si="92"/>
        <v>#REF!</v>
      </c>
      <c r="AC142" s="375">
        <f ca="1">($D$14+$D$17)*$L$4/坦克部件养成!$C$2+AC141-IFERROR(IF(RIGHT(AD141,3)*1&gt;RIGHT(VLOOKUP(AC141,INDIRECT(LEFT(AD140,2)&amp;"部件升阶"),5,TRUE),3)*1,VLOOKUP(AD140,INDIRECT(LEFT(AD140,2)&amp;"部件升阶消耗"),2,FALSE),0),0)</f>
        <v>1644.8333333333308</v>
      </c>
      <c r="AD142" s="360" t="e">
        <f t="shared" ca="1" si="93"/>
        <v>#REF!</v>
      </c>
      <c r="AE142" s="375" t="e">
        <f ca="1">$D$15*$L$4/坦克部件养成!$C$2+AE141-IF(LEFT(AD142,2)&lt;&gt;LEFT(AD141,2),VLOOKUP(AF141,INDIRECT(LEFT(AD141,2)&amp;"部件升级消耗"),5,FALSE),0)</f>
        <v>#REF!</v>
      </c>
      <c r="AF142" s="360" t="e">
        <f ca="1">MIN(VLOOKUP(AE142,INDIRECT(LEFT(AD142,2)&amp;"部件升级"),2,TRUE),VLOOKUP(LEFT(AD142,2),坦克部件养成!#REF!,6,FALSE))</f>
        <v>#REF!</v>
      </c>
      <c r="AG142" s="378" t="e">
        <f ca="1">MAX(BD$4:BD142)</f>
        <v>#REF!</v>
      </c>
      <c r="AH142" s="378" t="str">
        <f t="shared" ca="1" si="94"/>
        <v/>
      </c>
      <c r="AI142" s="378">
        <f ca="1">IF(Y142="NULL",0,MAX(BY$4:BY142))</f>
        <v>0</v>
      </c>
      <c r="AK142" s="364" t="e">
        <f t="shared" ca="1" si="95"/>
        <v>#REF!</v>
      </c>
      <c r="AL142" s="364" t="e">
        <f ca="1">VLOOKUP(AK142,坦克个性化设定!$B$18:$F$48,5,FALSE)</f>
        <v>#REF!</v>
      </c>
      <c r="AM142" s="372" t="e">
        <f t="shared" ca="1" si="96"/>
        <v>#REF!</v>
      </c>
      <c r="AN142" s="372" t="e">
        <f t="shared" ca="1" si="104"/>
        <v>#REF!</v>
      </c>
      <c r="AO142" s="364">
        <f t="shared" ca="1" si="97"/>
        <v>0</v>
      </c>
      <c r="AP142" s="372" t="e">
        <f ca="1">VLOOKUP($AK142&amp;$AO142,所有坦克升星属性,MATCH(AP$3,所有坦克升星属性标头,0),FALSE)+ROUND(AU142/VLOOKUP($AK142,坦克部件!#REF!,4,FALSE)*VLOOKUP($AK142&amp;0,所有坦克升星属性,MATCH(AP$3,所有坦克升星属性标头,0),FALSE),0)</f>
        <v>#REF!</v>
      </c>
      <c r="AQ142" s="372" t="e">
        <f ca="1">VLOOKUP($AK142&amp;$AO142,所有坦克升星属性,MATCH(AQ$3,所有坦克升星属性标头,0),FALSE)+ROUND(AV142/VLOOKUP($AK142,坦克部件!#REF!,4,FALSE)*VLOOKUP($AK142&amp;0,所有坦克升星属性,MATCH(AQ$3,所有坦克升星属性标头,0),FALSE),0)</f>
        <v>#REF!</v>
      </c>
      <c r="AR142" s="372" t="e">
        <f t="shared" ca="1" si="84"/>
        <v>#REF!</v>
      </c>
      <c r="AS142" s="372" t="e">
        <f t="shared" ca="1" si="84"/>
        <v>#REF!</v>
      </c>
      <c r="AT142" s="372" t="e">
        <f ca="1">VLOOKUP($AK142&amp;$AO142,所有坦克升星属性,MATCH(AT$3,所有坦克升星属性标头,0),FALSE)+ROUND(AW142/VLOOKUP($AK142,坦克部件!#REF!,4,FALSE)*VLOOKUP($AK142&amp;0,所有坦克升星属性,MATCH(AT$3,所有坦克升星属性标头,0),FALSE),0)</f>
        <v>#REF!</v>
      </c>
      <c r="AU142" s="372" t="e">
        <f ca="1">(VLOOKUP($AM142,坦克部件!#REF!,MATCH("标准值",坦克部件!#REF!,0),FALSE)+VLOOKUP($AN142,坦克部件!#REF!,MATCH("标准值",坦克部件!#REF!,0),FALSE))*2</f>
        <v>#REF!</v>
      </c>
      <c r="AV142" s="372" t="e">
        <f ca="1">(VLOOKUP($AM142,坦克部件!#REF!,MATCH("标准值",坦克部件!#REF!,0),FALSE)+VLOOKUP($AN142,坦克部件!#REF!,MATCH("标准值",坦克部件!#REF!,0),FALSE))*2</f>
        <v>#REF!</v>
      </c>
      <c r="AW142" s="372" t="e">
        <f ca="1">(VLOOKUP($AM142,坦克部件!#REF!,MATCH("标准值",坦克部件!#REF!,0),FALSE)+VLOOKUP($AN142,坦克部件!#REF!,MATCH("标准值",坦克部件!#REF!,0),FALSE))*2</f>
        <v>#REF!</v>
      </c>
      <c r="AX142" s="372" t="e">
        <f ca="1">VLOOKUP($AK142,坦克属性统计!$B$3:$AY$33,MATCH(AX$3,坦克属性统计!$B$3:$AY$3,0),FALSE)</f>
        <v>#REF!</v>
      </c>
      <c r="AY142" s="372" t="e">
        <f t="shared" ca="1" si="85"/>
        <v>#REF!</v>
      </c>
      <c r="AZ142" s="372" t="e">
        <f t="shared" ca="1" si="85"/>
        <v>#REF!</v>
      </c>
      <c r="BA142" s="372" t="e">
        <f t="shared" ca="1" si="85"/>
        <v>#REF!</v>
      </c>
      <c r="BB142" s="356" t="e">
        <f t="shared" ca="1" si="98"/>
        <v>#REF!</v>
      </c>
      <c r="BC142" s="356" t="e">
        <f ca="1">VLOOKUP(AK142,坦克个性化设定!$B$18:$E$48,4,FALSE)</f>
        <v>#REF!</v>
      </c>
      <c r="BD142" s="357" t="e">
        <f t="shared" ca="1" si="105"/>
        <v>#REF!</v>
      </c>
      <c r="BF142" s="357" t="str">
        <f t="shared" ca="1" si="99"/>
        <v/>
      </c>
      <c r="BG142" s="372" t="str">
        <f ca="1">IFERROR(VLOOKUP(BF142,坦克个性化设定!$B$18:$F$48,5,FALSE),"")</f>
        <v/>
      </c>
      <c r="BH142" s="372" t="e">
        <f t="shared" ca="1" si="106"/>
        <v>#REF!</v>
      </c>
      <c r="BI142" s="372" t="e">
        <f t="shared" ca="1" si="107"/>
        <v>#REF!</v>
      </c>
      <c r="BJ142" s="364" t="str">
        <f t="shared" ca="1" si="100"/>
        <v>NULL</v>
      </c>
      <c r="BK142" s="372" t="e">
        <f ca="1">VLOOKUP($BF142&amp;IF($BJ142="NULL",0,$BJ142),所有坦克升星属性,MATCH(BK$3,所有坦克升星属性标头,0),FALSE)+ROUND(BP142/VLOOKUP($BF142,坦克部件!#REF!,4,FALSE)*VLOOKUP($BF142&amp;0,所有坦克升星属性,MATCH(BK$3,所有坦克升星属性标头,0),FALSE),0)</f>
        <v>#N/A</v>
      </c>
      <c r="BL142" s="372" t="e">
        <f ca="1">VLOOKUP($BF142&amp;IF($BJ142="NULL",0,$BJ142),所有坦克升星属性,MATCH(BL$3,所有坦克升星属性标头,0),FALSE)+ROUND(BQ142/VLOOKUP($BF142,坦克部件!#REF!,4,FALSE)*VLOOKUP($BF142&amp;0,所有坦克升星属性,MATCH(BL$3,所有坦克升星属性标头,0),FALSE),0)</f>
        <v>#N/A</v>
      </c>
      <c r="BM142" s="372" t="e">
        <f t="shared" ca="1" si="86"/>
        <v>#N/A</v>
      </c>
      <c r="BN142" s="372" t="e">
        <f t="shared" ca="1" si="86"/>
        <v>#N/A</v>
      </c>
      <c r="BO142" s="372" t="e">
        <f ca="1">VLOOKUP($BF142&amp;IF($BJ142="NULL",0,$BJ142),所有坦克升星属性,MATCH(BO$3,所有坦克升星属性标头,0),FALSE)+ROUND(BR142/VLOOKUP($BF142,坦克部件!#REF!,4,FALSE)*VLOOKUP($BF142&amp;0,所有坦克升星属性,MATCH(BO$3,所有坦克升星属性标头,0),FALSE),0)</f>
        <v>#N/A</v>
      </c>
      <c r="BP142" s="372" t="e">
        <f ca="1">(VLOOKUP($BH142,坦克部件!#REF!,MATCH("标准值",坦克部件!#REF!,0),FALSE)+VLOOKUP($BI142,坦克部件!#REF!,MATCH("标准值",坦克部件!#REF!,0),FALSE))*2</f>
        <v>#REF!</v>
      </c>
      <c r="BQ142" s="372" t="e">
        <f ca="1">(VLOOKUP($BH142,坦克部件!#REF!,MATCH("标准值",坦克部件!#REF!,0),FALSE)+VLOOKUP($BI142,坦克部件!#REF!,MATCH("标准值",坦克部件!#REF!,0),FALSE))*2</f>
        <v>#REF!</v>
      </c>
      <c r="BR142" s="372" t="e">
        <f ca="1">(VLOOKUP($BH142,坦克部件!#REF!,MATCH("标准值",坦克部件!#REF!,0),FALSE)+VLOOKUP($BI142,坦克部件!#REF!,MATCH("标准值",坦克部件!#REF!,0),FALSE))*2</f>
        <v>#REF!</v>
      </c>
      <c r="BS142" s="372" t="e">
        <f ca="1">VLOOKUP($BF142,坦克属性统计!$B$3:$AY$33,MATCH(BS$3,坦克属性统计!$B$3:$AY$3,0),FALSE)</f>
        <v>#N/A</v>
      </c>
      <c r="BT142" s="372" t="e">
        <f t="shared" ca="1" si="87"/>
        <v>#N/A</v>
      </c>
      <c r="BU142" s="372" t="e">
        <f t="shared" ca="1" si="87"/>
        <v>#N/A</v>
      </c>
      <c r="BV142" s="372" t="e">
        <f t="shared" ca="1" si="87"/>
        <v>#N/A</v>
      </c>
      <c r="BW142" s="356">
        <f t="shared" ca="1" si="101"/>
        <v>0</v>
      </c>
      <c r="BX142" s="356" t="e">
        <f ca="1">VLOOKUP(BF142,坦克个性化设定!$B$18:$E$48,4,FALSE)</f>
        <v>#N/A</v>
      </c>
      <c r="BY142" s="357" t="e">
        <f t="shared" ca="1" si="108"/>
        <v>#N/A</v>
      </c>
    </row>
    <row r="143" spans="15:77" x14ac:dyDescent="0.35">
      <c r="O143" s="365">
        <v>140</v>
      </c>
      <c r="P143" s="360" t="e">
        <f t="shared" ca="1" si="78"/>
        <v>#REF!</v>
      </c>
      <c r="Q143" s="360" t="e">
        <f ca="1">ROUND(MIN((BD143-VLOOKUP(R143,$B$22:$F$46,2,FALSE))/(VLOOKUP(R143,$B$22:$F$46,3,FALSE)-VLOOKUP(R143,$B$22:$F$46,2,FALSE)),1)*((VLOOKUP(R143,$B$22:$F$46,4,FALSE)*(AG143/(AG143+VLOOKUP(P143,$D$49:$F$123,3,TRUE)))+VLOOKUP(R143,$B$22:$F$46,5,FALSE)*(1-AG143/(AG143+VLOOKUP(P143,$D$49:$F$123,3,TRUE))))/2)*游戏时长规划!$C$4,0)</f>
        <v>#REF!</v>
      </c>
      <c r="R143" s="360" t="e">
        <f t="shared" ca="1" si="88"/>
        <v>#REF!</v>
      </c>
      <c r="S143" s="360" t="e">
        <f t="shared" ca="1" si="109"/>
        <v>#REF!</v>
      </c>
      <c r="T143" s="360" t="e">
        <f t="shared" ca="1" si="79"/>
        <v>#REF!</v>
      </c>
      <c r="U143" s="370" t="e">
        <f t="shared" ca="1" si="89"/>
        <v>#REF!</v>
      </c>
      <c r="V143" s="363" t="e">
        <f t="shared" ca="1" si="110"/>
        <v>#REF!</v>
      </c>
      <c r="W143" s="360" t="e">
        <f t="shared" ca="1" si="90"/>
        <v>#REF!</v>
      </c>
      <c r="X143" s="81" t="e">
        <f t="shared" ca="1" si="102"/>
        <v>#REF!</v>
      </c>
      <c r="Y143" s="360" t="str">
        <f t="shared" ca="1" si="91"/>
        <v>NULL</v>
      </c>
      <c r="Z143" s="375" t="e">
        <f t="shared" ca="1" si="103"/>
        <v>#REF!</v>
      </c>
      <c r="AA143" s="360">
        <f ca="1">IFERROR(VLOOKUP(IF(V143="T1低",游戏时长规划!$C$67+Z143,Z143),INDIRECT(V143&amp;"星级"),2,TRUE),0)</f>
        <v>0</v>
      </c>
      <c r="AB143" s="375" t="e">
        <f t="shared" ca="1" si="92"/>
        <v>#REF!</v>
      </c>
      <c r="AC143" s="375">
        <f ca="1">($D$14+$D$17)*$L$4/坦克部件养成!$C$2+AC142-IFERROR(IF(RIGHT(AD142,3)*1&gt;RIGHT(VLOOKUP(AC142,INDIRECT(LEFT(AD141,2)&amp;"部件升阶"),5,TRUE),3)*1,VLOOKUP(AD141,INDIRECT(LEFT(AD141,2)&amp;"部件升阶消耗"),2,FALSE),0),0)</f>
        <v>1656.666666666664</v>
      </c>
      <c r="AD143" s="360" t="e">
        <f t="shared" ca="1" si="93"/>
        <v>#REF!</v>
      </c>
      <c r="AE143" s="375" t="e">
        <f ca="1">$D$15*$L$4/坦克部件养成!$C$2+AE142-IF(LEFT(AD143,2)&lt;&gt;LEFT(AD142,2),VLOOKUP(AF142,INDIRECT(LEFT(AD142,2)&amp;"部件升级消耗"),5,FALSE),0)</f>
        <v>#REF!</v>
      </c>
      <c r="AF143" s="360" t="e">
        <f ca="1">MIN(VLOOKUP(AE143,INDIRECT(LEFT(AD143,2)&amp;"部件升级"),2,TRUE),VLOOKUP(LEFT(AD143,2),坦克部件养成!#REF!,6,FALSE))</f>
        <v>#REF!</v>
      </c>
      <c r="AG143" s="378" t="e">
        <f ca="1">MAX(BD$4:BD143)</f>
        <v>#REF!</v>
      </c>
      <c r="AH143" s="378" t="str">
        <f t="shared" ca="1" si="94"/>
        <v/>
      </c>
      <c r="AI143" s="378">
        <f ca="1">IF(Y143="NULL",0,MAX(BY$4:BY143))</f>
        <v>0</v>
      </c>
      <c r="AK143" s="364" t="e">
        <f t="shared" ca="1" si="95"/>
        <v>#REF!</v>
      </c>
      <c r="AL143" s="364" t="e">
        <f ca="1">VLOOKUP(AK143,坦克个性化设定!$B$18:$F$48,5,FALSE)</f>
        <v>#REF!</v>
      </c>
      <c r="AM143" s="372" t="e">
        <f t="shared" ca="1" si="96"/>
        <v>#REF!</v>
      </c>
      <c r="AN143" s="372" t="e">
        <f t="shared" ca="1" si="104"/>
        <v>#REF!</v>
      </c>
      <c r="AO143" s="364">
        <f t="shared" ca="1" si="97"/>
        <v>0</v>
      </c>
      <c r="AP143" s="372" t="e">
        <f ca="1">VLOOKUP($AK143&amp;$AO143,所有坦克升星属性,MATCH(AP$3,所有坦克升星属性标头,0),FALSE)+ROUND(AU143/VLOOKUP($AK143,坦克部件!#REF!,4,FALSE)*VLOOKUP($AK143&amp;0,所有坦克升星属性,MATCH(AP$3,所有坦克升星属性标头,0),FALSE),0)</f>
        <v>#REF!</v>
      </c>
      <c r="AQ143" s="372" t="e">
        <f ca="1">VLOOKUP($AK143&amp;$AO143,所有坦克升星属性,MATCH(AQ$3,所有坦克升星属性标头,0),FALSE)+ROUND(AV143/VLOOKUP($AK143,坦克部件!#REF!,4,FALSE)*VLOOKUP($AK143&amp;0,所有坦克升星属性,MATCH(AQ$3,所有坦克升星属性标头,0),FALSE),0)</f>
        <v>#REF!</v>
      </c>
      <c r="AR143" s="372" t="e">
        <f t="shared" ca="1" si="84"/>
        <v>#REF!</v>
      </c>
      <c r="AS143" s="372" t="e">
        <f t="shared" ca="1" si="84"/>
        <v>#REF!</v>
      </c>
      <c r="AT143" s="372" t="e">
        <f ca="1">VLOOKUP($AK143&amp;$AO143,所有坦克升星属性,MATCH(AT$3,所有坦克升星属性标头,0),FALSE)+ROUND(AW143/VLOOKUP($AK143,坦克部件!#REF!,4,FALSE)*VLOOKUP($AK143&amp;0,所有坦克升星属性,MATCH(AT$3,所有坦克升星属性标头,0),FALSE),0)</f>
        <v>#REF!</v>
      </c>
      <c r="AU143" s="372" t="e">
        <f ca="1">(VLOOKUP($AM143,坦克部件!#REF!,MATCH("标准值",坦克部件!#REF!,0),FALSE)+VLOOKUP($AN143,坦克部件!#REF!,MATCH("标准值",坦克部件!#REF!,0),FALSE))*2</f>
        <v>#REF!</v>
      </c>
      <c r="AV143" s="372" t="e">
        <f ca="1">(VLOOKUP($AM143,坦克部件!#REF!,MATCH("标准值",坦克部件!#REF!,0),FALSE)+VLOOKUP($AN143,坦克部件!#REF!,MATCH("标准值",坦克部件!#REF!,0),FALSE))*2</f>
        <v>#REF!</v>
      </c>
      <c r="AW143" s="372" t="e">
        <f ca="1">(VLOOKUP($AM143,坦克部件!#REF!,MATCH("标准值",坦克部件!#REF!,0),FALSE)+VLOOKUP($AN143,坦克部件!#REF!,MATCH("标准值",坦克部件!#REF!,0),FALSE))*2</f>
        <v>#REF!</v>
      </c>
      <c r="AX143" s="372" t="e">
        <f ca="1">VLOOKUP($AK143,坦克属性统计!$B$3:$AY$33,MATCH(AX$3,坦克属性统计!$B$3:$AY$3,0),FALSE)</f>
        <v>#REF!</v>
      </c>
      <c r="AY143" s="372" t="e">
        <f t="shared" ca="1" si="85"/>
        <v>#REF!</v>
      </c>
      <c r="AZ143" s="372" t="e">
        <f t="shared" ca="1" si="85"/>
        <v>#REF!</v>
      </c>
      <c r="BA143" s="372" t="e">
        <f t="shared" ca="1" si="85"/>
        <v>#REF!</v>
      </c>
      <c r="BB143" s="356" t="e">
        <f t="shared" ca="1" si="98"/>
        <v>#REF!</v>
      </c>
      <c r="BC143" s="356" t="e">
        <f ca="1">VLOOKUP(AK143,坦克个性化设定!$B$18:$E$48,4,FALSE)</f>
        <v>#REF!</v>
      </c>
      <c r="BD143" s="357" t="e">
        <f t="shared" ca="1" si="105"/>
        <v>#REF!</v>
      </c>
      <c r="BF143" s="357" t="str">
        <f t="shared" ca="1" si="99"/>
        <v/>
      </c>
      <c r="BG143" s="372" t="str">
        <f ca="1">IFERROR(VLOOKUP(BF143,坦克个性化设定!$B$18:$F$48,5,FALSE),"")</f>
        <v/>
      </c>
      <c r="BH143" s="372" t="e">
        <f t="shared" ca="1" si="106"/>
        <v>#REF!</v>
      </c>
      <c r="BI143" s="372" t="e">
        <f t="shared" ca="1" si="107"/>
        <v>#REF!</v>
      </c>
      <c r="BJ143" s="364" t="str">
        <f t="shared" ca="1" si="100"/>
        <v>NULL</v>
      </c>
      <c r="BK143" s="372" t="e">
        <f ca="1">VLOOKUP($BF143&amp;IF($BJ143="NULL",0,$BJ143),所有坦克升星属性,MATCH(BK$3,所有坦克升星属性标头,0),FALSE)+ROUND(BP143/VLOOKUP($BF143,坦克部件!#REF!,4,FALSE)*VLOOKUP($BF143&amp;0,所有坦克升星属性,MATCH(BK$3,所有坦克升星属性标头,0),FALSE),0)</f>
        <v>#N/A</v>
      </c>
      <c r="BL143" s="372" t="e">
        <f ca="1">VLOOKUP($BF143&amp;IF($BJ143="NULL",0,$BJ143),所有坦克升星属性,MATCH(BL$3,所有坦克升星属性标头,0),FALSE)+ROUND(BQ143/VLOOKUP($BF143,坦克部件!#REF!,4,FALSE)*VLOOKUP($BF143&amp;0,所有坦克升星属性,MATCH(BL$3,所有坦克升星属性标头,0),FALSE),0)</f>
        <v>#N/A</v>
      </c>
      <c r="BM143" s="372" t="e">
        <f t="shared" ca="1" si="86"/>
        <v>#N/A</v>
      </c>
      <c r="BN143" s="372" t="e">
        <f t="shared" ca="1" si="86"/>
        <v>#N/A</v>
      </c>
      <c r="BO143" s="372" t="e">
        <f ca="1">VLOOKUP($BF143&amp;IF($BJ143="NULL",0,$BJ143),所有坦克升星属性,MATCH(BO$3,所有坦克升星属性标头,0),FALSE)+ROUND(BR143/VLOOKUP($BF143,坦克部件!#REF!,4,FALSE)*VLOOKUP($BF143&amp;0,所有坦克升星属性,MATCH(BO$3,所有坦克升星属性标头,0),FALSE),0)</f>
        <v>#N/A</v>
      </c>
      <c r="BP143" s="372" t="e">
        <f ca="1">(VLOOKUP($BH143,坦克部件!#REF!,MATCH("标准值",坦克部件!#REF!,0),FALSE)+VLOOKUP($BI143,坦克部件!#REF!,MATCH("标准值",坦克部件!#REF!,0),FALSE))*2</f>
        <v>#REF!</v>
      </c>
      <c r="BQ143" s="372" t="e">
        <f ca="1">(VLOOKUP($BH143,坦克部件!#REF!,MATCH("标准值",坦克部件!#REF!,0),FALSE)+VLOOKUP($BI143,坦克部件!#REF!,MATCH("标准值",坦克部件!#REF!,0),FALSE))*2</f>
        <v>#REF!</v>
      </c>
      <c r="BR143" s="372" t="e">
        <f ca="1">(VLOOKUP($BH143,坦克部件!#REF!,MATCH("标准值",坦克部件!#REF!,0),FALSE)+VLOOKUP($BI143,坦克部件!#REF!,MATCH("标准值",坦克部件!#REF!,0),FALSE))*2</f>
        <v>#REF!</v>
      </c>
      <c r="BS143" s="372" t="e">
        <f ca="1">VLOOKUP($BF143,坦克属性统计!$B$3:$AY$33,MATCH(BS$3,坦克属性统计!$B$3:$AY$3,0),FALSE)</f>
        <v>#N/A</v>
      </c>
      <c r="BT143" s="372" t="e">
        <f t="shared" ca="1" si="87"/>
        <v>#N/A</v>
      </c>
      <c r="BU143" s="372" t="e">
        <f t="shared" ca="1" si="87"/>
        <v>#N/A</v>
      </c>
      <c r="BV143" s="372" t="e">
        <f t="shared" ca="1" si="87"/>
        <v>#N/A</v>
      </c>
      <c r="BW143" s="356">
        <f t="shared" ca="1" si="101"/>
        <v>0</v>
      </c>
      <c r="BX143" s="356" t="e">
        <f ca="1">VLOOKUP(BF143,坦克个性化设定!$B$18:$E$48,4,FALSE)</f>
        <v>#N/A</v>
      </c>
      <c r="BY143" s="357" t="e">
        <f t="shared" ca="1" si="108"/>
        <v>#N/A</v>
      </c>
    </row>
    <row r="144" spans="15:77" x14ac:dyDescent="0.35">
      <c r="O144" s="365">
        <v>141</v>
      </c>
      <c r="P144" s="360" t="e">
        <f t="shared" ca="1" si="78"/>
        <v>#REF!</v>
      </c>
      <c r="Q144" s="360" t="e">
        <f ca="1">ROUND(MIN((BD144-VLOOKUP(R144,$B$22:$F$46,2,FALSE))/(VLOOKUP(R144,$B$22:$F$46,3,FALSE)-VLOOKUP(R144,$B$22:$F$46,2,FALSE)),1)*((VLOOKUP(R144,$B$22:$F$46,4,FALSE)*(AG144/(AG144+VLOOKUP(P144,$D$49:$F$123,3,TRUE)))+VLOOKUP(R144,$B$22:$F$46,5,FALSE)*(1-AG144/(AG144+VLOOKUP(P144,$D$49:$F$123,3,TRUE))))/2)*游戏时长规划!$C$4,0)</f>
        <v>#REF!</v>
      </c>
      <c r="R144" s="360" t="e">
        <f t="shared" ca="1" si="88"/>
        <v>#REF!</v>
      </c>
      <c r="S144" s="360" t="e">
        <f t="shared" ca="1" si="109"/>
        <v>#REF!</v>
      </c>
      <c r="T144" s="360" t="e">
        <f t="shared" ca="1" si="79"/>
        <v>#REF!</v>
      </c>
      <c r="U144" s="370" t="e">
        <f t="shared" ca="1" si="89"/>
        <v>#REF!</v>
      </c>
      <c r="V144" s="363" t="e">
        <f t="shared" ca="1" si="110"/>
        <v>#REF!</v>
      </c>
      <c r="W144" s="360" t="e">
        <f t="shared" ca="1" si="90"/>
        <v>#REF!</v>
      </c>
      <c r="X144" s="81" t="e">
        <f t="shared" ca="1" si="102"/>
        <v>#REF!</v>
      </c>
      <c r="Y144" s="360" t="str">
        <f t="shared" ca="1" si="91"/>
        <v>NULL</v>
      </c>
      <c r="Z144" s="375" t="e">
        <f t="shared" ca="1" si="103"/>
        <v>#REF!</v>
      </c>
      <c r="AA144" s="360">
        <f ca="1">IFERROR(VLOOKUP(IF(V144="T1低",游戏时长规划!$C$67+Z144,Z144),INDIRECT(V144&amp;"星级"),2,TRUE),0)</f>
        <v>0</v>
      </c>
      <c r="AB144" s="375" t="e">
        <f t="shared" ca="1" si="92"/>
        <v>#REF!</v>
      </c>
      <c r="AC144" s="375">
        <f ca="1">($D$14+$D$17)*$L$4/坦克部件养成!$C$2+AC143-IFERROR(IF(RIGHT(AD143,3)*1&gt;RIGHT(VLOOKUP(AC143,INDIRECT(LEFT(AD142,2)&amp;"部件升阶"),5,TRUE),3)*1,VLOOKUP(AD142,INDIRECT(LEFT(AD142,2)&amp;"部件升阶消耗"),2,FALSE),0),0)</f>
        <v>1668.4999999999973</v>
      </c>
      <c r="AD144" s="360" t="e">
        <f t="shared" ca="1" si="93"/>
        <v>#REF!</v>
      </c>
      <c r="AE144" s="375" t="e">
        <f ca="1">$D$15*$L$4/坦克部件养成!$C$2+AE143-IF(LEFT(AD144,2)&lt;&gt;LEFT(AD143,2),VLOOKUP(AF143,INDIRECT(LEFT(AD143,2)&amp;"部件升级消耗"),5,FALSE),0)</f>
        <v>#REF!</v>
      </c>
      <c r="AF144" s="360" t="e">
        <f ca="1">MIN(VLOOKUP(AE144,INDIRECT(LEFT(AD144,2)&amp;"部件升级"),2,TRUE),VLOOKUP(LEFT(AD144,2),坦克部件养成!#REF!,6,FALSE))</f>
        <v>#REF!</v>
      </c>
      <c r="AG144" s="378" t="e">
        <f ca="1">MAX(BD$4:BD144)</f>
        <v>#REF!</v>
      </c>
      <c r="AH144" s="378" t="str">
        <f t="shared" ca="1" si="94"/>
        <v/>
      </c>
      <c r="AI144" s="378">
        <f ca="1">IF(Y144="NULL",0,MAX(BY$4:BY144))</f>
        <v>0</v>
      </c>
      <c r="AK144" s="364" t="e">
        <f t="shared" ca="1" si="95"/>
        <v>#REF!</v>
      </c>
      <c r="AL144" s="364" t="e">
        <f ca="1">VLOOKUP(AK144,坦克个性化设定!$B$18:$F$48,5,FALSE)</f>
        <v>#REF!</v>
      </c>
      <c r="AM144" s="372" t="e">
        <f t="shared" ca="1" si="96"/>
        <v>#REF!</v>
      </c>
      <c r="AN144" s="372" t="e">
        <f t="shared" ca="1" si="104"/>
        <v>#REF!</v>
      </c>
      <c r="AO144" s="364">
        <f t="shared" ca="1" si="97"/>
        <v>0</v>
      </c>
      <c r="AP144" s="372" t="e">
        <f ca="1">VLOOKUP($AK144&amp;$AO144,所有坦克升星属性,MATCH(AP$3,所有坦克升星属性标头,0),FALSE)+ROUND(AU144/VLOOKUP($AK144,坦克部件!#REF!,4,FALSE)*VLOOKUP($AK144&amp;0,所有坦克升星属性,MATCH(AP$3,所有坦克升星属性标头,0),FALSE),0)</f>
        <v>#REF!</v>
      </c>
      <c r="AQ144" s="372" t="e">
        <f ca="1">VLOOKUP($AK144&amp;$AO144,所有坦克升星属性,MATCH(AQ$3,所有坦克升星属性标头,0),FALSE)+ROUND(AV144/VLOOKUP($AK144,坦克部件!#REF!,4,FALSE)*VLOOKUP($AK144&amp;0,所有坦克升星属性,MATCH(AQ$3,所有坦克升星属性标头,0),FALSE),0)</f>
        <v>#REF!</v>
      </c>
      <c r="AR144" s="372" t="e">
        <f t="shared" ref="AR144:AS163" ca="1" si="111">VLOOKUP($AK144&amp;$AO144,所有坦克升星属性,MATCH(AR$3,所有坦克升星属性标头,0),FALSE)</f>
        <v>#REF!</v>
      </c>
      <c r="AS144" s="372" t="e">
        <f t="shared" ca="1" si="111"/>
        <v>#REF!</v>
      </c>
      <c r="AT144" s="372" t="e">
        <f ca="1">VLOOKUP($AK144&amp;$AO144,所有坦克升星属性,MATCH(AT$3,所有坦克升星属性标头,0),FALSE)+ROUND(AW144/VLOOKUP($AK144,坦克部件!#REF!,4,FALSE)*VLOOKUP($AK144&amp;0,所有坦克升星属性,MATCH(AT$3,所有坦克升星属性标头,0),FALSE),0)</f>
        <v>#REF!</v>
      </c>
      <c r="AU144" s="372" t="e">
        <f ca="1">(VLOOKUP($AM144,坦克部件!#REF!,MATCH("标准值",坦克部件!#REF!,0),FALSE)+VLOOKUP($AN144,坦克部件!#REF!,MATCH("标准值",坦克部件!#REF!,0),FALSE))*2</f>
        <v>#REF!</v>
      </c>
      <c r="AV144" s="372" t="e">
        <f ca="1">(VLOOKUP($AM144,坦克部件!#REF!,MATCH("标准值",坦克部件!#REF!,0),FALSE)+VLOOKUP($AN144,坦克部件!#REF!,MATCH("标准值",坦克部件!#REF!,0),FALSE))*2</f>
        <v>#REF!</v>
      </c>
      <c r="AW144" s="372" t="e">
        <f ca="1">(VLOOKUP($AM144,坦克部件!#REF!,MATCH("标准值",坦克部件!#REF!,0),FALSE)+VLOOKUP($AN144,坦克部件!#REF!,MATCH("标准值",坦克部件!#REF!,0),FALSE))*2</f>
        <v>#REF!</v>
      </c>
      <c r="AX144" s="372" t="e">
        <f ca="1">VLOOKUP($AK144,坦克属性统计!$B$3:$AY$33,MATCH(AX$3,坦克属性统计!$B$3:$AY$3,0),FALSE)</f>
        <v>#REF!</v>
      </c>
      <c r="AY144" s="372" t="e">
        <f t="shared" ref="AY144:BA163" ca="1" si="112">VLOOKUP($AK144&amp;$AO144,所有坦克升星属性,MATCH(AY$3,所有坦克升星属性标头,0),FALSE)</f>
        <v>#REF!</v>
      </c>
      <c r="AZ144" s="372" t="e">
        <f t="shared" ca="1" si="112"/>
        <v>#REF!</v>
      </c>
      <c r="BA144" s="372" t="e">
        <f t="shared" ca="1" si="112"/>
        <v>#REF!</v>
      </c>
      <c r="BB144" s="356" t="e">
        <f t="shared" ca="1" si="98"/>
        <v>#REF!</v>
      </c>
      <c r="BC144" s="356" t="e">
        <f ca="1">VLOOKUP(AK144,坦克个性化设定!$B$18:$E$48,4,FALSE)</f>
        <v>#REF!</v>
      </c>
      <c r="BD144" s="357" t="e">
        <f t="shared" ca="1" si="105"/>
        <v>#REF!</v>
      </c>
      <c r="BF144" s="357" t="str">
        <f t="shared" ca="1" si="99"/>
        <v/>
      </c>
      <c r="BG144" s="372" t="str">
        <f ca="1">IFERROR(VLOOKUP(BF144,坦克个性化设定!$B$18:$F$48,5,FALSE),"")</f>
        <v/>
      </c>
      <c r="BH144" s="372" t="e">
        <f t="shared" ca="1" si="106"/>
        <v>#REF!</v>
      </c>
      <c r="BI144" s="372" t="e">
        <f t="shared" ca="1" si="107"/>
        <v>#REF!</v>
      </c>
      <c r="BJ144" s="364" t="str">
        <f t="shared" ca="1" si="100"/>
        <v>NULL</v>
      </c>
      <c r="BK144" s="372" t="e">
        <f ca="1">VLOOKUP($BF144&amp;IF($BJ144="NULL",0,$BJ144),所有坦克升星属性,MATCH(BK$3,所有坦克升星属性标头,0),FALSE)+ROUND(BP144/VLOOKUP($BF144,坦克部件!#REF!,4,FALSE)*VLOOKUP($BF144&amp;0,所有坦克升星属性,MATCH(BK$3,所有坦克升星属性标头,0),FALSE),0)</f>
        <v>#N/A</v>
      </c>
      <c r="BL144" s="372" t="e">
        <f ca="1">VLOOKUP($BF144&amp;IF($BJ144="NULL",0,$BJ144),所有坦克升星属性,MATCH(BL$3,所有坦克升星属性标头,0),FALSE)+ROUND(BQ144/VLOOKUP($BF144,坦克部件!#REF!,4,FALSE)*VLOOKUP($BF144&amp;0,所有坦克升星属性,MATCH(BL$3,所有坦克升星属性标头,0),FALSE),0)</f>
        <v>#N/A</v>
      </c>
      <c r="BM144" s="372" t="e">
        <f t="shared" ref="BM144:BN163" ca="1" si="113">VLOOKUP($BF144&amp;IF($BJ144="NULL",0,$BJ144),所有坦克升星属性,MATCH(BM$3,所有坦克升星属性标头,0),FALSE)</f>
        <v>#N/A</v>
      </c>
      <c r="BN144" s="372" t="e">
        <f t="shared" ca="1" si="113"/>
        <v>#N/A</v>
      </c>
      <c r="BO144" s="372" t="e">
        <f ca="1">VLOOKUP($BF144&amp;IF($BJ144="NULL",0,$BJ144),所有坦克升星属性,MATCH(BO$3,所有坦克升星属性标头,0),FALSE)+ROUND(BR144/VLOOKUP($BF144,坦克部件!#REF!,4,FALSE)*VLOOKUP($BF144&amp;0,所有坦克升星属性,MATCH(BO$3,所有坦克升星属性标头,0),FALSE),0)</f>
        <v>#N/A</v>
      </c>
      <c r="BP144" s="372" t="e">
        <f ca="1">(VLOOKUP($BH144,坦克部件!#REF!,MATCH("标准值",坦克部件!#REF!,0),FALSE)+VLOOKUP($BI144,坦克部件!#REF!,MATCH("标准值",坦克部件!#REF!,0),FALSE))*2</f>
        <v>#REF!</v>
      </c>
      <c r="BQ144" s="372" t="e">
        <f ca="1">(VLOOKUP($BH144,坦克部件!#REF!,MATCH("标准值",坦克部件!#REF!,0),FALSE)+VLOOKUP($BI144,坦克部件!#REF!,MATCH("标准值",坦克部件!#REF!,0),FALSE))*2</f>
        <v>#REF!</v>
      </c>
      <c r="BR144" s="372" t="e">
        <f ca="1">(VLOOKUP($BH144,坦克部件!#REF!,MATCH("标准值",坦克部件!#REF!,0),FALSE)+VLOOKUP($BI144,坦克部件!#REF!,MATCH("标准值",坦克部件!#REF!,0),FALSE))*2</f>
        <v>#REF!</v>
      </c>
      <c r="BS144" s="372" t="e">
        <f ca="1">VLOOKUP($BF144,坦克属性统计!$B$3:$AY$33,MATCH(BS$3,坦克属性统计!$B$3:$AY$3,0),FALSE)</f>
        <v>#N/A</v>
      </c>
      <c r="BT144" s="372" t="e">
        <f t="shared" ref="BT144:BV163" ca="1" si="114">VLOOKUP($BF144&amp;IF($BJ144="NULL",0,$BJ144),所有坦克升星属性,MATCH(BT$3,所有坦克升星属性标头,0),FALSE)</f>
        <v>#N/A</v>
      </c>
      <c r="BU144" s="372" t="e">
        <f t="shared" ca="1" si="114"/>
        <v>#N/A</v>
      </c>
      <c r="BV144" s="372" t="e">
        <f t="shared" ca="1" si="114"/>
        <v>#N/A</v>
      </c>
      <c r="BW144" s="356">
        <f t="shared" ca="1" si="101"/>
        <v>0</v>
      </c>
      <c r="BX144" s="356" t="e">
        <f ca="1">VLOOKUP(BF144,坦克个性化设定!$B$18:$E$48,4,FALSE)</f>
        <v>#N/A</v>
      </c>
      <c r="BY144" s="357" t="e">
        <f t="shared" ca="1" si="108"/>
        <v>#N/A</v>
      </c>
    </row>
    <row r="145" spans="15:77" x14ac:dyDescent="0.35">
      <c r="O145" s="365">
        <v>142</v>
      </c>
      <c r="P145" s="360" t="e">
        <f t="shared" ca="1" si="78"/>
        <v>#REF!</v>
      </c>
      <c r="Q145" s="360" t="e">
        <f ca="1">ROUND(MIN((BD145-VLOOKUP(R145,$B$22:$F$46,2,FALSE))/(VLOOKUP(R145,$B$22:$F$46,3,FALSE)-VLOOKUP(R145,$B$22:$F$46,2,FALSE)),1)*((VLOOKUP(R145,$B$22:$F$46,4,FALSE)*(AG145/(AG145+VLOOKUP(P145,$D$49:$F$123,3,TRUE)))+VLOOKUP(R145,$B$22:$F$46,5,FALSE)*(1-AG145/(AG145+VLOOKUP(P145,$D$49:$F$123,3,TRUE))))/2)*游戏时长规划!$C$4,0)</f>
        <v>#REF!</v>
      </c>
      <c r="R145" s="360" t="e">
        <f t="shared" ca="1" si="88"/>
        <v>#REF!</v>
      </c>
      <c r="S145" s="360" t="e">
        <f t="shared" ca="1" si="109"/>
        <v>#REF!</v>
      </c>
      <c r="T145" s="360" t="e">
        <f t="shared" ca="1" si="79"/>
        <v>#REF!</v>
      </c>
      <c r="U145" s="370" t="e">
        <f t="shared" ca="1" si="89"/>
        <v>#REF!</v>
      </c>
      <c r="V145" s="363" t="e">
        <f t="shared" ca="1" si="110"/>
        <v>#REF!</v>
      </c>
      <c r="W145" s="360" t="e">
        <f t="shared" ca="1" si="90"/>
        <v>#REF!</v>
      </c>
      <c r="X145" s="81" t="e">
        <f t="shared" ca="1" si="102"/>
        <v>#REF!</v>
      </c>
      <c r="Y145" s="360" t="str">
        <f t="shared" ca="1" si="91"/>
        <v>NULL</v>
      </c>
      <c r="Z145" s="375" t="e">
        <f t="shared" ca="1" si="103"/>
        <v>#REF!</v>
      </c>
      <c r="AA145" s="360">
        <f ca="1">IFERROR(VLOOKUP(IF(V145="T1低",游戏时长规划!$C$67+Z145,Z145),INDIRECT(V145&amp;"星级"),2,TRUE),0)</f>
        <v>0</v>
      </c>
      <c r="AB145" s="375" t="e">
        <f t="shared" ca="1" si="92"/>
        <v>#REF!</v>
      </c>
      <c r="AC145" s="375">
        <f ca="1">($D$14+$D$17)*$L$4/坦克部件养成!$C$2+AC144-IFERROR(IF(RIGHT(AD144,3)*1&gt;RIGHT(VLOOKUP(AC144,INDIRECT(LEFT(AD143,2)&amp;"部件升阶"),5,TRUE),3)*1,VLOOKUP(AD143,INDIRECT(LEFT(AD143,2)&amp;"部件升阶消耗"),2,FALSE),0),0)</f>
        <v>1680.3333333333305</v>
      </c>
      <c r="AD145" s="360" t="e">
        <f t="shared" ca="1" si="93"/>
        <v>#REF!</v>
      </c>
      <c r="AE145" s="375" t="e">
        <f ca="1">$D$15*$L$4/坦克部件养成!$C$2+AE144-IF(LEFT(AD145,2)&lt;&gt;LEFT(AD144,2),VLOOKUP(AF144,INDIRECT(LEFT(AD144,2)&amp;"部件升级消耗"),5,FALSE),0)</f>
        <v>#REF!</v>
      </c>
      <c r="AF145" s="360" t="e">
        <f ca="1">MIN(VLOOKUP(AE145,INDIRECT(LEFT(AD145,2)&amp;"部件升级"),2,TRUE),VLOOKUP(LEFT(AD145,2),坦克部件养成!#REF!,6,FALSE))</f>
        <v>#REF!</v>
      </c>
      <c r="AG145" s="378" t="e">
        <f ca="1">MAX(BD$4:BD145)</f>
        <v>#REF!</v>
      </c>
      <c r="AH145" s="378" t="str">
        <f t="shared" ca="1" si="94"/>
        <v/>
      </c>
      <c r="AI145" s="378">
        <f ca="1">IF(Y145="NULL",0,MAX(BY$4:BY145))</f>
        <v>0</v>
      </c>
      <c r="AK145" s="364" t="e">
        <f t="shared" ca="1" si="95"/>
        <v>#REF!</v>
      </c>
      <c r="AL145" s="364" t="e">
        <f ca="1">VLOOKUP(AK145,坦克个性化设定!$B$18:$F$48,5,FALSE)</f>
        <v>#REF!</v>
      </c>
      <c r="AM145" s="372" t="e">
        <f t="shared" ca="1" si="96"/>
        <v>#REF!</v>
      </c>
      <c r="AN145" s="372" t="e">
        <f t="shared" ca="1" si="104"/>
        <v>#REF!</v>
      </c>
      <c r="AO145" s="364">
        <f t="shared" ca="1" si="97"/>
        <v>0</v>
      </c>
      <c r="AP145" s="372" t="e">
        <f ca="1">VLOOKUP($AK145&amp;$AO145,所有坦克升星属性,MATCH(AP$3,所有坦克升星属性标头,0),FALSE)+ROUND(AU145/VLOOKUP($AK145,坦克部件!#REF!,4,FALSE)*VLOOKUP($AK145&amp;0,所有坦克升星属性,MATCH(AP$3,所有坦克升星属性标头,0),FALSE),0)</f>
        <v>#REF!</v>
      </c>
      <c r="AQ145" s="372" t="e">
        <f ca="1">VLOOKUP($AK145&amp;$AO145,所有坦克升星属性,MATCH(AQ$3,所有坦克升星属性标头,0),FALSE)+ROUND(AV145/VLOOKUP($AK145,坦克部件!#REF!,4,FALSE)*VLOOKUP($AK145&amp;0,所有坦克升星属性,MATCH(AQ$3,所有坦克升星属性标头,0),FALSE),0)</f>
        <v>#REF!</v>
      </c>
      <c r="AR145" s="372" t="e">
        <f t="shared" ca="1" si="111"/>
        <v>#REF!</v>
      </c>
      <c r="AS145" s="372" t="e">
        <f t="shared" ca="1" si="111"/>
        <v>#REF!</v>
      </c>
      <c r="AT145" s="372" t="e">
        <f ca="1">VLOOKUP($AK145&amp;$AO145,所有坦克升星属性,MATCH(AT$3,所有坦克升星属性标头,0),FALSE)+ROUND(AW145/VLOOKUP($AK145,坦克部件!#REF!,4,FALSE)*VLOOKUP($AK145&amp;0,所有坦克升星属性,MATCH(AT$3,所有坦克升星属性标头,0),FALSE),0)</f>
        <v>#REF!</v>
      </c>
      <c r="AU145" s="372" t="e">
        <f ca="1">(VLOOKUP($AM145,坦克部件!#REF!,MATCH("标准值",坦克部件!#REF!,0),FALSE)+VLOOKUP($AN145,坦克部件!#REF!,MATCH("标准值",坦克部件!#REF!,0),FALSE))*2</f>
        <v>#REF!</v>
      </c>
      <c r="AV145" s="372" t="e">
        <f ca="1">(VLOOKUP($AM145,坦克部件!#REF!,MATCH("标准值",坦克部件!#REF!,0),FALSE)+VLOOKUP($AN145,坦克部件!#REF!,MATCH("标准值",坦克部件!#REF!,0),FALSE))*2</f>
        <v>#REF!</v>
      </c>
      <c r="AW145" s="372" t="e">
        <f ca="1">(VLOOKUP($AM145,坦克部件!#REF!,MATCH("标准值",坦克部件!#REF!,0),FALSE)+VLOOKUP($AN145,坦克部件!#REF!,MATCH("标准值",坦克部件!#REF!,0),FALSE))*2</f>
        <v>#REF!</v>
      </c>
      <c r="AX145" s="372" t="e">
        <f ca="1">VLOOKUP($AK145,坦克属性统计!$B$3:$AY$33,MATCH(AX$3,坦克属性统计!$B$3:$AY$3,0),FALSE)</f>
        <v>#REF!</v>
      </c>
      <c r="AY145" s="372" t="e">
        <f t="shared" ca="1" si="112"/>
        <v>#REF!</v>
      </c>
      <c r="AZ145" s="372" t="e">
        <f t="shared" ca="1" si="112"/>
        <v>#REF!</v>
      </c>
      <c r="BA145" s="372" t="e">
        <f t="shared" ca="1" si="112"/>
        <v>#REF!</v>
      </c>
      <c r="BB145" s="356" t="e">
        <f t="shared" ca="1" si="98"/>
        <v>#REF!</v>
      </c>
      <c r="BC145" s="356" t="e">
        <f ca="1">VLOOKUP(AK145,坦克个性化设定!$B$18:$E$48,4,FALSE)</f>
        <v>#REF!</v>
      </c>
      <c r="BD145" s="357" t="e">
        <f t="shared" ca="1" si="105"/>
        <v>#REF!</v>
      </c>
      <c r="BF145" s="357" t="str">
        <f t="shared" ca="1" si="99"/>
        <v/>
      </c>
      <c r="BG145" s="372" t="str">
        <f ca="1">IFERROR(VLOOKUP(BF145,坦克个性化设定!$B$18:$F$48,5,FALSE),"")</f>
        <v/>
      </c>
      <c r="BH145" s="372" t="e">
        <f t="shared" ca="1" si="106"/>
        <v>#REF!</v>
      </c>
      <c r="BI145" s="372" t="e">
        <f t="shared" ca="1" si="107"/>
        <v>#REF!</v>
      </c>
      <c r="BJ145" s="364" t="str">
        <f t="shared" ca="1" si="100"/>
        <v>NULL</v>
      </c>
      <c r="BK145" s="372" t="e">
        <f ca="1">VLOOKUP($BF145&amp;IF($BJ145="NULL",0,$BJ145),所有坦克升星属性,MATCH(BK$3,所有坦克升星属性标头,0),FALSE)+ROUND(BP145/VLOOKUP($BF145,坦克部件!#REF!,4,FALSE)*VLOOKUP($BF145&amp;0,所有坦克升星属性,MATCH(BK$3,所有坦克升星属性标头,0),FALSE),0)</f>
        <v>#N/A</v>
      </c>
      <c r="BL145" s="372" t="e">
        <f ca="1">VLOOKUP($BF145&amp;IF($BJ145="NULL",0,$BJ145),所有坦克升星属性,MATCH(BL$3,所有坦克升星属性标头,0),FALSE)+ROUND(BQ145/VLOOKUP($BF145,坦克部件!#REF!,4,FALSE)*VLOOKUP($BF145&amp;0,所有坦克升星属性,MATCH(BL$3,所有坦克升星属性标头,0),FALSE),0)</f>
        <v>#N/A</v>
      </c>
      <c r="BM145" s="372" t="e">
        <f t="shared" ca="1" si="113"/>
        <v>#N/A</v>
      </c>
      <c r="BN145" s="372" t="e">
        <f t="shared" ca="1" si="113"/>
        <v>#N/A</v>
      </c>
      <c r="BO145" s="372" t="e">
        <f ca="1">VLOOKUP($BF145&amp;IF($BJ145="NULL",0,$BJ145),所有坦克升星属性,MATCH(BO$3,所有坦克升星属性标头,0),FALSE)+ROUND(BR145/VLOOKUP($BF145,坦克部件!#REF!,4,FALSE)*VLOOKUP($BF145&amp;0,所有坦克升星属性,MATCH(BO$3,所有坦克升星属性标头,0),FALSE),0)</f>
        <v>#N/A</v>
      </c>
      <c r="BP145" s="372" t="e">
        <f ca="1">(VLOOKUP($BH145,坦克部件!#REF!,MATCH("标准值",坦克部件!#REF!,0),FALSE)+VLOOKUP($BI145,坦克部件!#REF!,MATCH("标准值",坦克部件!#REF!,0),FALSE))*2</f>
        <v>#REF!</v>
      </c>
      <c r="BQ145" s="372" t="e">
        <f ca="1">(VLOOKUP($BH145,坦克部件!#REF!,MATCH("标准值",坦克部件!#REF!,0),FALSE)+VLOOKUP($BI145,坦克部件!#REF!,MATCH("标准值",坦克部件!#REF!,0),FALSE))*2</f>
        <v>#REF!</v>
      </c>
      <c r="BR145" s="372" t="e">
        <f ca="1">(VLOOKUP($BH145,坦克部件!#REF!,MATCH("标准值",坦克部件!#REF!,0),FALSE)+VLOOKUP($BI145,坦克部件!#REF!,MATCH("标准值",坦克部件!#REF!,0),FALSE))*2</f>
        <v>#REF!</v>
      </c>
      <c r="BS145" s="372" t="e">
        <f ca="1">VLOOKUP($BF145,坦克属性统计!$B$3:$AY$33,MATCH(BS$3,坦克属性统计!$B$3:$AY$3,0),FALSE)</f>
        <v>#N/A</v>
      </c>
      <c r="BT145" s="372" t="e">
        <f t="shared" ca="1" si="114"/>
        <v>#N/A</v>
      </c>
      <c r="BU145" s="372" t="e">
        <f t="shared" ca="1" si="114"/>
        <v>#N/A</v>
      </c>
      <c r="BV145" s="372" t="e">
        <f t="shared" ca="1" si="114"/>
        <v>#N/A</v>
      </c>
      <c r="BW145" s="356">
        <f t="shared" ca="1" si="101"/>
        <v>0</v>
      </c>
      <c r="BX145" s="356" t="e">
        <f ca="1">VLOOKUP(BF145,坦克个性化设定!$B$18:$E$48,4,FALSE)</f>
        <v>#N/A</v>
      </c>
      <c r="BY145" s="357" t="e">
        <f t="shared" ca="1" si="108"/>
        <v>#N/A</v>
      </c>
    </row>
    <row r="146" spans="15:77" x14ac:dyDescent="0.35">
      <c r="O146" s="365">
        <v>143</v>
      </c>
      <c r="P146" s="360" t="e">
        <f t="shared" ca="1" si="78"/>
        <v>#REF!</v>
      </c>
      <c r="Q146" s="360" t="e">
        <f ca="1">ROUND(MIN((BD146-VLOOKUP(R146,$B$22:$F$46,2,FALSE))/(VLOOKUP(R146,$B$22:$F$46,3,FALSE)-VLOOKUP(R146,$B$22:$F$46,2,FALSE)),1)*((VLOOKUP(R146,$B$22:$F$46,4,FALSE)*(AG146/(AG146+VLOOKUP(P146,$D$49:$F$123,3,TRUE)))+VLOOKUP(R146,$B$22:$F$46,5,FALSE)*(1-AG146/(AG146+VLOOKUP(P146,$D$49:$F$123,3,TRUE))))/2)*游戏时长规划!$C$4,0)</f>
        <v>#REF!</v>
      </c>
      <c r="R146" s="360" t="e">
        <f t="shared" ca="1" si="88"/>
        <v>#REF!</v>
      </c>
      <c r="S146" s="360" t="e">
        <f t="shared" ca="1" si="109"/>
        <v>#REF!</v>
      </c>
      <c r="T146" s="360" t="e">
        <f t="shared" ca="1" si="79"/>
        <v>#REF!</v>
      </c>
      <c r="U146" s="370" t="e">
        <f t="shared" ca="1" si="89"/>
        <v>#REF!</v>
      </c>
      <c r="V146" s="363" t="e">
        <f t="shared" ca="1" si="110"/>
        <v>#REF!</v>
      </c>
      <c r="W146" s="360" t="e">
        <f t="shared" ca="1" si="90"/>
        <v>#REF!</v>
      </c>
      <c r="X146" s="81" t="e">
        <f t="shared" ca="1" si="102"/>
        <v>#REF!</v>
      </c>
      <c r="Y146" s="360" t="str">
        <f t="shared" ca="1" si="91"/>
        <v>NULL</v>
      </c>
      <c r="Z146" s="375" t="e">
        <f t="shared" ca="1" si="103"/>
        <v>#REF!</v>
      </c>
      <c r="AA146" s="360">
        <f ca="1">IFERROR(VLOOKUP(IF(V146="T1低",游戏时长规划!$C$67+Z146,Z146),INDIRECT(V146&amp;"星级"),2,TRUE),0)</f>
        <v>0</v>
      </c>
      <c r="AB146" s="375" t="e">
        <f t="shared" ca="1" si="92"/>
        <v>#REF!</v>
      </c>
      <c r="AC146" s="375">
        <f ca="1">($D$14+$D$17)*$L$4/坦克部件养成!$C$2+AC145-IFERROR(IF(RIGHT(AD145,3)*1&gt;RIGHT(VLOOKUP(AC145,INDIRECT(LEFT(AD144,2)&amp;"部件升阶"),5,TRUE),3)*1,VLOOKUP(AD144,INDIRECT(LEFT(AD144,2)&amp;"部件升阶消耗"),2,FALSE),0),0)</f>
        <v>1692.1666666666638</v>
      </c>
      <c r="AD146" s="360" t="e">
        <f t="shared" ca="1" si="93"/>
        <v>#REF!</v>
      </c>
      <c r="AE146" s="375" t="e">
        <f ca="1">$D$15*$L$4/坦克部件养成!$C$2+AE145-IF(LEFT(AD146,2)&lt;&gt;LEFT(AD145,2),VLOOKUP(AF145,INDIRECT(LEFT(AD145,2)&amp;"部件升级消耗"),5,FALSE),0)</f>
        <v>#REF!</v>
      </c>
      <c r="AF146" s="360" t="e">
        <f ca="1">MIN(VLOOKUP(AE146,INDIRECT(LEFT(AD146,2)&amp;"部件升级"),2,TRUE),VLOOKUP(LEFT(AD146,2),坦克部件养成!#REF!,6,FALSE))</f>
        <v>#REF!</v>
      </c>
      <c r="AG146" s="378" t="e">
        <f ca="1">MAX(BD$4:BD146)</f>
        <v>#REF!</v>
      </c>
      <c r="AH146" s="378" t="str">
        <f t="shared" ca="1" si="94"/>
        <v/>
      </c>
      <c r="AI146" s="378">
        <f ca="1">IF(Y146="NULL",0,MAX(BY$4:BY146))</f>
        <v>0</v>
      </c>
      <c r="AK146" s="364" t="e">
        <f t="shared" ca="1" si="95"/>
        <v>#REF!</v>
      </c>
      <c r="AL146" s="364" t="e">
        <f ca="1">VLOOKUP(AK146,坦克个性化设定!$B$18:$F$48,5,FALSE)</f>
        <v>#REF!</v>
      </c>
      <c r="AM146" s="372" t="e">
        <f t="shared" ca="1" si="96"/>
        <v>#REF!</v>
      </c>
      <c r="AN146" s="372" t="e">
        <f t="shared" ca="1" si="104"/>
        <v>#REF!</v>
      </c>
      <c r="AO146" s="364">
        <f t="shared" ca="1" si="97"/>
        <v>0</v>
      </c>
      <c r="AP146" s="372" t="e">
        <f ca="1">VLOOKUP($AK146&amp;$AO146,所有坦克升星属性,MATCH(AP$3,所有坦克升星属性标头,0),FALSE)+ROUND(AU146/VLOOKUP($AK146,坦克部件!#REF!,4,FALSE)*VLOOKUP($AK146&amp;0,所有坦克升星属性,MATCH(AP$3,所有坦克升星属性标头,0),FALSE),0)</f>
        <v>#REF!</v>
      </c>
      <c r="AQ146" s="372" t="e">
        <f ca="1">VLOOKUP($AK146&amp;$AO146,所有坦克升星属性,MATCH(AQ$3,所有坦克升星属性标头,0),FALSE)+ROUND(AV146/VLOOKUP($AK146,坦克部件!#REF!,4,FALSE)*VLOOKUP($AK146&amp;0,所有坦克升星属性,MATCH(AQ$3,所有坦克升星属性标头,0),FALSE),0)</f>
        <v>#REF!</v>
      </c>
      <c r="AR146" s="372" t="e">
        <f t="shared" ca="1" si="111"/>
        <v>#REF!</v>
      </c>
      <c r="AS146" s="372" t="e">
        <f t="shared" ca="1" si="111"/>
        <v>#REF!</v>
      </c>
      <c r="AT146" s="372" t="e">
        <f ca="1">VLOOKUP($AK146&amp;$AO146,所有坦克升星属性,MATCH(AT$3,所有坦克升星属性标头,0),FALSE)+ROUND(AW146/VLOOKUP($AK146,坦克部件!#REF!,4,FALSE)*VLOOKUP($AK146&amp;0,所有坦克升星属性,MATCH(AT$3,所有坦克升星属性标头,0),FALSE),0)</f>
        <v>#REF!</v>
      </c>
      <c r="AU146" s="372" t="e">
        <f ca="1">(VLOOKUP($AM146,坦克部件!#REF!,MATCH("标准值",坦克部件!#REF!,0),FALSE)+VLOOKUP($AN146,坦克部件!#REF!,MATCH("标准值",坦克部件!#REF!,0),FALSE))*2</f>
        <v>#REF!</v>
      </c>
      <c r="AV146" s="372" t="e">
        <f ca="1">(VLOOKUP($AM146,坦克部件!#REF!,MATCH("标准值",坦克部件!#REF!,0),FALSE)+VLOOKUP($AN146,坦克部件!#REF!,MATCH("标准值",坦克部件!#REF!,0),FALSE))*2</f>
        <v>#REF!</v>
      </c>
      <c r="AW146" s="372" t="e">
        <f ca="1">(VLOOKUP($AM146,坦克部件!#REF!,MATCH("标准值",坦克部件!#REF!,0),FALSE)+VLOOKUP($AN146,坦克部件!#REF!,MATCH("标准值",坦克部件!#REF!,0),FALSE))*2</f>
        <v>#REF!</v>
      </c>
      <c r="AX146" s="372" t="e">
        <f ca="1">VLOOKUP($AK146,坦克属性统计!$B$3:$AY$33,MATCH(AX$3,坦克属性统计!$B$3:$AY$3,0),FALSE)</f>
        <v>#REF!</v>
      </c>
      <c r="AY146" s="372" t="e">
        <f t="shared" ca="1" si="112"/>
        <v>#REF!</v>
      </c>
      <c r="AZ146" s="372" t="e">
        <f t="shared" ca="1" si="112"/>
        <v>#REF!</v>
      </c>
      <c r="BA146" s="372" t="e">
        <f t="shared" ca="1" si="112"/>
        <v>#REF!</v>
      </c>
      <c r="BB146" s="356" t="e">
        <f t="shared" ca="1" si="98"/>
        <v>#REF!</v>
      </c>
      <c r="BC146" s="356" t="e">
        <f ca="1">VLOOKUP(AK146,坦克个性化设定!$B$18:$E$48,4,FALSE)</f>
        <v>#REF!</v>
      </c>
      <c r="BD146" s="357" t="e">
        <f t="shared" ca="1" si="105"/>
        <v>#REF!</v>
      </c>
      <c r="BF146" s="357" t="str">
        <f t="shared" ca="1" si="99"/>
        <v/>
      </c>
      <c r="BG146" s="372" t="str">
        <f ca="1">IFERROR(VLOOKUP(BF146,坦克个性化设定!$B$18:$F$48,5,FALSE),"")</f>
        <v/>
      </c>
      <c r="BH146" s="372" t="e">
        <f t="shared" ca="1" si="106"/>
        <v>#REF!</v>
      </c>
      <c r="BI146" s="372" t="e">
        <f t="shared" ca="1" si="107"/>
        <v>#REF!</v>
      </c>
      <c r="BJ146" s="364" t="str">
        <f t="shared" ca="1" si="100"/>
        <v>NULL</v>
      </c>
      <c r="BK146" s="372" t="e">
        <f ca="1">VLOOKUP($BF146&amp;IF($BJ146="NULL",0,$BJ146),所有坦克升星属性,MATCH(BK$3,所有坦克升星属性标头,0),FALSE)+ROUND(BP146/VLOOKUP($BF146,坦克部件!#REF!,4,FALSE)*VLOOKUP($BF146&amp;0,所有坦克升星属性,MATCH(BK$3,所有坦克升星属性标头,0),FALSE),0)</f>
        <v>#N/A</v>
      </c>
      <c r="BL146" s="372" t="e">
        <f ca="1">VLOOKUP($BF146&amp;IF($BJ146="NULL",0,$BJ146),所有坦克升星属性,MATCH(BL$3,所有坦克升星属性标头,0),FALSE)+ROUND(BQ146/VLOOKUP($BF146,坦克部件!#REF!,4,FALSE)*VLOOKUP($BF146&amp;0,所有坦克升星属性,MATCH(BL$3,所有坦克升星属性标头,0),FALSE),0)</f>
        <v>#N/A</v>
      </c>
      <c r="BM146" s="372" t="e">
        <f t="shared" ca="1" si="113"/>
        <v>#N/A</v>
      </c>
      <c r="BN146" s="372" t="e">
        <f t="shared" ca="1" si="113"/>
        <v>#N/A</v>
      </c>
      <c r="BO146" s="372" t="e">
        <f ca="1">VLOOKUP($BF146&amp;IF($BJ146="NULL",0,$BJ146),所有坦克升星属性,MATCH(BO$3,所有坦克升星属性标头,0),FALSE)+ROUND(BR146/VLOOKUP($BF146,坦克部件!#REF!,4,FALSE)*VLOOKUP($BF146&amp;0,所有坦克升星属性,MATCH(BO$3,所有坦克升星属性标头,0),FALSE),0)</f>
        <v>#N/A</v>
      </c>
      <c r="BP146" s="372" t="e">
        <f ca="1">(VLOOKUP($BH146,坦克部件!#REF!,MATCH("标准值",坦克部件!#REF!,0),FALSE)+VLOOKUP($BI146,坦克部件!#REF!,MATCH("标准值",坦克部件!#REF!,0),FALSE))*2</f>
        <v>#REF!</v>
      </c>
      <c r="BQ146" s="372" t="e">
        <f ca="1">(VLOOKUP($BH146,坦克部件!#REF!,MATCH("标准值",坦克部件!#REF!,0),FALSE)+VLOOKUP($BI146,坦克部件!#REF!,MATCH("标准值",坦克部件!#REF!,0),FALSE))*2</f>
        <v>#REF!</v>
      </c>
      <c r="BR146" s="372" t="e">
        <f ca="1">(VLOOKUP($BH146,坦克部件!#REF!,MATCH("标准值",坦克部件!#REF!,0),FALSE)+VLOOKUP($BI146,坦克部件!#REF!,MATCH("标准值",坦克部件!#REF!,0),FALSE))*2</f>
        <v>#REF!</v>
      </c>
      <c r="BS146" s="372" t="e">
        <f ca="1">VLOOKUP($BF146,坦克属性统计!$B$3:$AY$33,MATCH(BS$3,坦克属性统计!$B$3:$AY$3,0),FALSE)</f>
        <v>#N/A</v>
      </c>
      <c r="BT146" s="372" t="e">
        <f t="shared" ca="1" si="114"/>
        <v>#N/A</v>
      </c>
      <c r="BU146" s="372" t="e">
        <f t="shared" ca="1" si="114"/>
        <v>#N/A</v>
      </c>
      <c r="BV146" s="372" t="e">
        <f t="shared" ca="1" si="114"/>
        <v>#N/A</v>
      </c>
      <c r="BW146" s="356">
        <f t="shared" ca="1" si="101"/>
        <v>0</v>
      </c>
      <c r="BX146" s="356" t="e">
        <f ca="1">VLOOKUP(BF146,坦克个性化设定!$B$18:$E$48,4,FALSE)</f>
        <v>#N/A</v>
      </c>
      <c r="BY146" s="357" t="e">
        <f t="shared" ca="1" si="108"/>
        <v>#N/A</v>
      </c>
    </row>
    <row r="147" spans="15:77" x14ac:dyDescent="0.35">
      <c r="O147" s="365">
        <v>144</v>
      </c>
      <c r="P147" s="360" t="e">
        <f t="shared" ca="1" si="78"/>
        <v>#REF!</v>
      </c>
      <c r="Q147" s="360" t="e">
        <f ca="1">ROUND(MIN((BD147-VLOOKUP(R147,$B$22:$F$46,2,FALSE))/(VLOOKUP(R147,$B$22:$F$46,3,FALSE)-VLOOKUP(R147,$B$22:$F$46,2,FALSE)),1)*((VLOOKUP(R147,$B$22:$F$46,4,FALSE)*(AG147/(AG147+VLOOKUP(P147,$D$49:$F$123,3,TRUE)))+VLOOKUP(R147,$B$22:$F$46,5,FALSE)*(1-AG147/(AG147+VLOOKUP(P147,$D$49:$F$123,3,TRUE))))/2)*游戏时长规划!$C$4,0)</f>
        <v>#REF!</v>
      </c>
      <c r="R147" s="360" t="e">
        <f t="shared" ca="1" si="88"/>
        <v>#REF!</v>
      </c>
      <c r="S147" s="360" t="e">
        <f t="shared" ca="1" si="109"/>
        <v>#REF!</v>
      </c>
      <c r="T147" s="360" t="e">
        <f t="shared" ca="1" si="79"/>
        <v>#REF!</v>
      </c>
      <c r="U147" s="370" t="e">
        <f t="shared" ca="1" si="89"/>
        <v>#REF!</v>
      </c>
      <c r="V147" s="363" t="e">
        <f t="shared" ca="1" si="110"/>
        <v>#REF!</v>
      </c>
      <c r="W147" s="360" t="e">
        <f t="shared" ca="1" si="90"/>
        <v>#REF!</v>
      </c>
      <c r="X147" s="81" t="e">
        <f t="shared" ca="1" si="102"/>
        <v>#REF!</v>
      </c>
      <c r="Y147" s="360" t="str">
        <f t="shared" ca="1" si="91"/>
        <v>NULL</v>
      </c>
      <c r="Z147" s="375" t="e">
        <f t="shared" ca="1" si="103"/>
        <v>#REF!</v>
      </c>
      <c r="AA147" s="360">
        <f ca="1">IFERROR(VLOOKUP(IF(V147="T1低",游戏时长规划!$C$67+Z147,Z147),INDIRECT(V147&amp;"星级"),2,TRUE),0)</f>
        <v>0</v>
      </c>
      <c r="AB147" s="375" t="e">
        <f t="shared" ca="1" si="92"/>
        <v>#REF!</v>
      </c>
      <c r="AC147" s="375">
        <f ca="1">($D$14+$D$17)*$L$4/坦克部件养成!$C$2+AC146-IFERROR(IF(RIGHT(AD146,3)*1&gt;RIGHT(VLOOKUP(AC146,INDIRECT(LEFT(AD145,2)&amp;"部件升阶"),5,TRUE),3)*1,VLOOKUP(AD145,INDIRECT(LEFT(AD145,2)&amp;"部件升阶消耗"),2,FALSE),0),0)</f>
        <v>1703.999999999997</v>
      </c>
      <c r="AD147" s="360" t="e">
        <f t="shared" ca="1" si="93"/>
        <v>#REF!</v>
      </c>
      <c r="AE147" s="375" t="e">
        <f ca="1">$D$15*$L$4/坦克部件养成!$C$2+AE146-IF(LEFT(AD147,2)&lt;&gt;LEFT(AD146,2),VLOOKUP(AF146,INDIRECT(LEFT(AD146,2)&amp;"部件升级消耗"),5,FALSE),0)</f>
        <v>#REF!</v>
      </c>
      <c r="AF147" s="360" t="e">
        <f ca="1">MIN(VLOOKUP(AE147,INDIRECT(LEFT(AD147,2)&amp;"部件升级"),2,TRUE),VLOOKUP(LEFT(AD147,2),坦克部件养成!#REF!,6,FALSE))</f>
        <v>#REF!</v>
      </c>
      <c r="AG147" s="378" t="e">
        <f ca="1">MAX(BD$4:BD147)</f>
        <v>#REF!</v>
      </c>
      <c r="AH147" s="378" t="str">
        <f t="shared" ca="1" si="94"/>
        <v/>
      </c>
      <c r="AI147" s="378">
        <f ca="1">IF(Y147="NULL",0,MAX(BY$4:BY147))</f>
        <v>0</v>
      </c>
      <c r="AK147" s="364" t="e">
        <f t="shared" ca="1" si="95"/>
        <v>#REF!</v>
      </c>
      <c r="AL147" s="364" t="e">
        <f ca="1">VLOOKUP(AK147,坦克个性化设定!$B$18:$F$48,5,FALSE)</f>
        <v>#REF!</v>
      </c>
      <c r="AM147" s="372" t="e">
        <f t="shared" ca="1" si="96"/>
        <v>#REF!</v>
      </c>
      <c r="AN147" s="372" t="e">
        <f t="shared" ca="1" si="104"/>
        <v>#REF!</v>
      </c>
      <c r="AO147" s="364">
        <f t="shared" ca="1" si="97"/>
        <v>0</v>
      </c>
      <c r="AP147" s="372" t="e">
        <f ca="1">VLOOKUP($AK147&amp;$AO147,所有坦克升星属性,MATCH(AP$3,所有坦克升星属性标头,0),FALSE)+ROUND(AU147/VLOOKUP($AK147,坦克部件!#REF!,4,FALSE)*VLOOKUP($AK147&amp;0,所有坦克升星属性,MATCH(AP$3,所有坦克升星属性标头,0),FALSE),0)</f>
        <v>#REF!</v>
      </c>
      <c r="AQ147" s="372" t="e">
        <f ca="1">VLOOKUP($AK147&amp;$AO147,所有坦克升星属性,MATCH(AQ$3,所有坦克升星属性标头,0),FALSE)+ROUND(AV147/VLOOKUP($AK147,坦克部件!#REF!,4,FALSE)*VLOOKUP($AK147&amp;0,所有坦克升星属性,MATCH(AQ$3,所有坦克升星属性标头,0),FALSE),0)</f>
        <v>#REF!</v>
      </c>
      <c r="AR147" s="372" t="e">
        <f t="shared" ca="1" si="111"/>
        <v>#REF!</v>
      </c>
      <c r="AS147" s="372" t="e">
        <f t="shared" ca="1" si="111"/>
        <v>#REF!</v>
      </c>
      <c r="AT147" s="372" t="e">
        <f ca="1">VLOOKUP($AK147&amp;$AO147,所有坦克升星属性,MATCH(AT$3,所有坦克升星属性标头,0),FALSE)+ROUND(AW147/VLOOKUP($AK147,坦克部件!#REF!,4,FALSE)*VLOOKUP($AK147&amp;0,所有坦克升星属性,MATCH(AT$3,所有坦克升星属性标头,0),FALSE),0)</f>
        <v>#REF!</v>
      </c>
      <c r="AU147" s="372" t="e">
        <f ca="1">(VLOOKUP($AM147,坦克部件!#REF!,MATCH("标准值",坦克部件!#REF!,0),FALSE)+VLOOKUP($AN147,坦克部件!#REF!,MATCH("标准值",坦克部件!#REF!,0),FALSE))*2</f>
        <v>#REF!</v>
      </c>
      <c r="AV147" s="372" t="e">
        <f ca="1">(VLOOKUP($AM147,坦克部件!#REF!,MATCH("标准值",坦克部件!#REF!,0),FALSE)+VLOOKUP($AN147,坦克部件!#REF!,MATCH("标准值",坦克部件!#REF!,0),FALSE))*2</f>
        <v>#REF!</v>
      </c>
      <c r="AW147" s="372" t="e">
        <f ca="1">(VLOOKUP($AM147,坦克部件!#REF!,MATCH("标准值",坦克部件!#REF!,0),FALSE)+VLOOKUP($AN147,坦克部件!#REF!,MATCH("标准值",坦克部件!#REF!,0),FALSE))*2</f>
        <v>#REF!</v>
      </c>
      <c r="AX147" s="372" t="e">
        <f ca="1">VLOOKUP($AK147,坦克属性统计!$B$3:$AY$33,MATCH(AX$3,坦克属性统计!$B$3:$AY$3,0),FALSE)</f>
        <v>#REF!</v>
      </c>
      <c r="AY147" s="372" t="e">
        <f t="shared" ca="1" si="112"/>
        <v>#REF!</v>
      </c>
      <c r="AZ147" s="372" t="e">
        <f t="shared" ca="1" si="112"/>
        <v>#REF!</v>
      </c>
      <c r="BA147" s="372" t="e">
        <f t="shared" ca="1" si="112"/>
        <v>#REF!</v>
      </c>
      <c r="BB147" s="356" t="e">
        <f t="shared" ca="1" si="98"/>
        <v>#REF!</v>
      </c>
      <c r="BC147" s="356" t="e">
        <f ca="1">VLOOKUP(AK147,坦克个性化设定!$B$18:$E$48,4,FALSE)</f>
        <v>#REF!</v>
      </c>
      <c r="BD147" s="357" t="e">
        <f t="shared" ca="1" si="105"/>
        <v>#REF!</v>
      </c>
      <c r="BF147" s="357" t="str">
        <f t="shared" ca="1" si="99"/>
        <v/>
      </c>
      <c r="BG147" s="372" t="str">
        <f ca="1">IFERROR(VLOOKUP(BF147,坦克个性化设定!$B$18:$F$48,5,FALSE),"")</f>
        <v/>
      </c>
      <c r="BH147" s="372" t="e">
        <f t="shared" ca="1" si="106"/>
        <v>#REF!</v>
      </c>
      <c r="BI147" s="372" t="e">
        <f t="shared" ca="1" si="107"/>
        <v>#REF!</v>
      </c>
      <c r="BJ147" s="364" t="str">
        <f t="shared" ca="1" si="100"/>
        <v>NULL</v>
      </c>
      <c r="BK147" s="372" t="e">
        <f ca="1">VLOOKUP($BF147&amp;IF($BJ147="NULL",0,$BJ147),所有坦克升星属性,MATCH(BK$3,所有坦克升星属性标头,0),FALSE)+ROUND(BP147/VLOOKUP($BF147,坦克部件!#REF!,4,FALSE)*VLOOKUP($BF147&amp;0,所有坦克升星属性,MATCH(BK$3,所有坦克升星属性标头,0),FALSE),0)</f>
        <v>#N/A</v>
      </c>
      <c r="BL147" s="372" t="e">
        <f ca="1">VLOOKUP($BF147&amp;IF($BJ147="NULL",0,$BJ147),所有坦克升星属性,MATCH(BL$3,所有坦克升星属性标头,0),FALSE)+ROUND(BQ147/VLOOKUP($BF147,坦克部件!#REF!,4,FALSE)*VLOOKUP($BF147&amp;0,所有坦克升星属性,MATCH(BL$3,所有坦克升星属性标头,0),FALSE),0)</f>
        <v>#N/A</v>
      </c>
      <c r="BM147" s="372" t="e">
        <f t="shared" ca="1" si="113"/>
        <v>#N/A</v>
      </c>
      <c r="BN147" s="372" t="e">
        <f t="shared" ca="1" si="113"/>
        <v>#N/A</v>
      </c>
      <c r="BO147" s="372" t="e">
        <f ca="1">VLOOKUP($BF147&amp;IF($BJ147="NULL",0,$BJ147),所有坦克升星属性,MATCH(BO$3,所有坦克升星属性标头,0),FALSE)+ROUND(BR147/VLOOKUP($BF147,坦克部件!#REF!,4,FALSE)*VLOOKUP($BF147&amp;0,所有坦克升星属性,MATCH(BO$3,所有坦克升星属性标头,0),FALSE),0)</f>
        <v>#N/A</v>
      </c>
      <c r="BP147" s="372" t="e">
        <f ca="1">(VLOOKUP($BH147,坦克部件!#REF!,MATCH("标准值",坦克部件!#REF!,0),FALSE)+VLOOKUP($BI147,坦克部件!#REF!,MATCH("标准值",坦克部件!#REF!,0),FALSE))*2</f>
        <v>#REF!</v>
      </c>
      <c r="BQ147" s="372" t="e">
        <f ca="1">(VLOOKUP($BH147,坦克部件!#REF!,MATCH("标准值",坦克部件!#REF!,0),FALSE)+VLOOKUP($BI147,坦克部件!#REF!,MATCH("标准值",坦克部件!#REF!,0),FALSE))*2</f>
        <v>#REF!</v>
      </c>
      <c r="BR147" s="372" t="e">
        <f ca="1">(VLOOKUP($BH147,坦克部件!#REF!,MATCH("标准值",坦克部件!#REF!,0),FALSE)+VLOOKUP($BI147,坦克部件!#REF!,MATCH("标准值",坦克部件!#REF!,0),FALSE))*2</f>
        <v>#REF!</v>
      </c>
      <c r="BS147" s="372" t="e">
        <f ca="1">VLOOKUP($BF147,坦克属性统计!$B$3:$AY$33,MATCH(BS$3,坦克属性统计!$B$3:$AY$3,0),FALSE)</f>
        <v>#N/A</v>
      </c>
      <c r="BT147" s="372" t="e">
        <f t="shared" ca="1" si="114"/>
        <v>#N/A</v>
      </c>
      <c r="BU147" s="372" t="e">
        <f t="shared" ca="1" si="114"/>
        <v>#N/A</v>
      </c>
      <c r="BV147" s="372" t="e">
        <f t="shared" ca="1" si="114"/>
        <v>#N/A</v>
      </c>
      <c r="BW147" s="356">
        <f t="shared" ca="1" si="101"/>
        <v>0</v>
      </c>
      <c r="BX147" s="356" t="e">
        <f ca="1">VLOOKUP(BF147,坦克个性化设定!$B$18:$E$48,4,FALSE)</f>
        <v>#N/A</v>
      </c>
      <c r="BY147" s="357" t="e">
        <f t="shared" ca="1" si="108"/>
        <v>#N/A</v>
      </c>
    </row>
    <row r="148" spans="15:77" x14ac:dyDescent="0.35">
      <c r="O148" s="365">
        <v>145</v>
      </c>
      <c r="P148" s="360" t="e">
        <f t="shared" ca="1" si="78"/>
        <v>#REF!</v>
      </c>
      <c r="Q148" s="360" t="e">
        <f ca="1">ROUND(MIN((BD148-VLOOKUP(R148,$B$22:$F$46,2,FALSE))/(VLOOKUP(R148,$B$22:$F$46,3,FALSE)-VLOOKUP(R148,$B$22:$F$46,2,FALSE)),1)*((VLOOKUP(R148,$B$22:$F$46,4,FALSE)*(AG148/(AG148+VLOOKUP(P148,$D$49:$F$123,3,TRUE)))+VLOOKUP(R148,$B$22:$F$46,5,FALSE)*(1-AG148/(AG148+VLOOKUP(P148,$D$49:$F$123,3,TRUE))))/2)*游戏时长规划!$C$4,0)</f>
        <v>#REF!</v>
      </c>
      <c r="R148" s="360" t="e">
        <f t="shared" ca="1" si="88"/>
        <v>#REF!</v>
      </c>
      <c r="S148" s="360" t="e">
        <f t="shared" ca="1" si="109"/>
        <v>#REF!</v>
      </c>
      <c r="T148" s="360" t="e">
        <f t="shared" ca="1" si="79"/>
        <v>#REF!</v>
      </c>
      <c r="U148" s="370" t="e">
        <f t="shared" ca="1" si="89"/>
        <v>#REF!</v>
      </c>
      <c r="V148" s="363" t="e">
        <f t="shared" ca="1" si="110"/>
        <v>#REF!</v>
      </c>
      <c r="W148" s="360" t="e">
        <f t="shared" ca="1" si="90"/>
        <v>#REF!</v>
      </c>
      <c r="X148" s="81" t="e">
        <f t="shared" ca="1" si="102"/>
        <v>#REF!</v>
      </c>
      <c r="Y148" s="360" t="str">
        <f t="shared" ca="1" si="91"/>
        <v>NULL</v>
      </c>
      <c r="Z148" s="375" t="e">
        <f t="shared" ca="1" si="103"/>
        <v>#REF!</v>
      </c>
      <c r="AA148" s="360">
        <f ca="1">IFERROR(VLOOKUP(IF(V148="T1低",游戏时长规划!$C$67+Z148,Z148),INDIRECT(V148&amp;"星级"),2,TRUE),0)</f>
        <v>0</v>
      </c>
      <c r="AB148" s="375" t="e">
        <f t="shared" ca="1" si="92"/>
        <v>#REF!</v>
      </c>
      <c r="AC148" s="375">
        <f ca="1">($D$14+$D$17)*$L$4/坦克部件养成!$C$2+AC147-IFERROR(IF(RIGHT(AD147,3)*1&gt;RIGHT(VLOOKUP(AC147,INDIRECT(LEFT(AD146,2)&amp;"部件升阶"),5,TRUE),3)*1,VLOOKUP(AD146,INDIRECT(LEFT(AD146,2)&amp;"部件升阶消耗"),2,FALSE),0),0)</f>
        <v>1715.8333333333303</v>
      </c>
      <c r="AD148" s="360" t="e">
        <f t="shared" ca="1" si="93"/>
        <v>#REF!</v>
      </c>
      <c r="AE148" s="375" t="e">
        <f ca="1">$D$15*$L$4/坦克部件养成!$C$2+AE147-IF(LEFT(AD148,2)&lt;&gt;LEFT(AD147,2),VLOOKUP(AF147,INDIRECT(LEFT(AD147,2)&amp;"部件升级消耗"),5,FALSE),0)</f>
        <v>#REF!</v>
      </c>
      <c r="AF148" s="360" t="e">
        <f ca="1">MIN(VLOOKUP(AE148,INDIRECT(LEFT(AD148,2)&amp;"部件升级"),2,TRUE),VLOOKUP(LEFT(AD148,2),坦克部件养成!#REF!,6,FALSE))</f>
        <v>#REF!</v>
      </c>
      <c r="AG148" s="378" t="e">
        <f ca="1">MAX(BD$4:BD148)</f>
        <v>#REF!</v>
      </c>
      <c r="AH148" s="378" t="str">
        <f t="shared" ca="1" si="94"/>
        <v/>
      </c>
      <c r="AI148" s="378">
        <f ca="1">IF(Y148="NULL",0,MAX(BY$4:BY148))</f>
        <v>0</v>
      </c>
      <c r="AK148" s="364" t="e">
        <f t="shared" ca="1" si="95"/>
        <v>#REF!</v>
      </c>
      <c r="AL148" s="364" t="e">
        <f ca="1">VLOOKUP(AK148,坦克个性化设定!$B$18:$F$48,5,FALSE)</f>
        <v>#REF!</v>
      </c>
      <c r="AM148" s="372" t="e">
        <f t="shared" ca="1" si="96"/>
        <v>#REF!</v>
      </c>
      <c r="AN148" s="372" t="e">
        <f t="shared" ca="1" si="104"/>
        <v>#REF!</v>
      </c>
      <c r="AO148" s="364">
        <f t="shared" ca="1" si="97"/>
        <v>0</v>
      </c>
      <c r="AP148" s="372" t="e">
        <f ca="1">VLOOKUP($AK148&amp;$AO148,所有坦克升星属性,MATCH(AP$3,所有坦克升星属性标头,0),FALSE)+ROUND(AU148/VLOOKUP($AK148,坦克部件!#REF!,4,FALSE)*VLOOKUP($AK148&amp;0,所有坦克升星属性,MATCH(AP$3,所有坦克升星属性标头,0),FALSE),0)</f>
        <v>#REF!</v>
      </c>
      <c r="AQ148" s="372" t="e">
        <f ca="1">VLOOKUP($AK148&amp;$AO148,所有坦克升星属性,MATCH(AQ$3,所有坦克升星属性标头,0),FALSE)+ROUND(AV148/VLOOKUP($AK148,坦克部件!#REF!,4,FALSE)*VLOOKUP($AK148&amp;0,所有坦克升星属性,MATCH(AQ$3,所有坦克升星属性标头,0),FALSE),0)</f>
        <v>#REF!</v>
      </c>
      <c r="AR148" s="372" t="e">
        <f t="shared" ca="1" si="111"/>
        <v>#REF!</v>
      </c>
      <c r="AS148" s="372" t="e">
        <f t="shared" ca="1" si="111"/>
        <v>#REF!</v>
      </c>
      <c r="AT148" s="372" t="e">
        <f ca="1">VLOOKUP($AK148&amp;$AO148,所有坦克升星属性,MATCH(AT$3,所有坦克升星属性标头,0),FALSE)+ROUND(AW148/VLOOKUP($AK148,坦克部件!#REF!,4,FALSE)*VLOOKUP($AK148&amp;0,所有坦克升星属性,MATCH(AT$3,所有坦克升星属性标头,0),FALSE),0)</f>
        <v>#REF!</v>
      </c>
      <c r="AU148" s="372" t="e">
        <f ca="1">(VLOOKUP($AM148,坦克部件!#REF!,MATCH("标准值",坦克部件!#REF!,0),FALSE)+VLOOKUP($AN148,坦克部件!#REF!,MATCH("标准值",坦克部件!#REF!,0),FALSE))*2</f>
        <v>#REF!</v>
      </c>
      <c r="AV148" s="372" t="e">
        <f ca="1">(VLOOKUP($AM148,坦克部件!#REF!,MATCH("标准值",坦克部件!#REF!,0),FALSE)+VLOOKUP($AN148,坦克部件!#REF!,MATCH("标准值",坦克部件!#REF!,0),FALSE))*2</f>
        <v>#REF!</v>
      </c>
      <c r="AW148" s="372" t="e">
        <f ca="1">(VLOOKUP($AM148,坦克部件!#REF!,MATCH("标准值",坦克部件!#REF!,0),FALSE)+VLOOKUP($AN148,坦克部件!#REF!,MATCH("标准值",坦克部件!#REF!,0),FALSE))*2</f>
        <v>#REF!</v>
      </c>
      <c r="AX148" s="372" t="e">
        <f ca="1">VLOOKUP($AK148,坦克属性统计!$B$3:$AY$33,MATCH(AX$3,坦克属性统计!$B$3:$AY$3,0),FALSE)</f>
        <v>#REF!</v>
      </c>
      <c r="AY148" s="372" t="e">
        <f t="shared" ca="1" si="112"/>
        <v>#REF!</v>
      </c>
      <c r="AZ148" s="372" t="e">
        <f t="shared" ca="1" si="112"/>
        <v>#REF!</v>
      </c>
      <c r="BA148" s="372" t="e">
        <f t="shared" ca="1" si="112"/>
        <v>#REF!</v>
      </c>
      <c r="BB148" s="356" t="e">
        <f t="shared" ca="1" si="98"/>
        <v>#REF!</v>
      </c>
      <c r="BC148" s="356" t="e">
        <f ca="1">VLOOKUP(AK148,坦克个性化设定!$B$18:$E$48,4,FALSE)</f>
        <v>#REF!</v>
      </c>
      <c r="BD148" s="357" t="e">
        <f t="shared" ca="1" si="105"/>
        <v>#REF!</v>
      </c>
      <c r="BF148" s="357" t="str">
        <f t="shared" ca="1" si="99"/>
        <v/>
      </c>
      <c r="BG148" s="372" t="str">
        <f ca="1">IFERROR(VLOOKUP(BF148,坦克个性化设定!$B$18:$F$48,5,FALSE),"")</f>
        <v/>
      </c>
      <c r="BH148" s="372" t="e">
        <f t="shared" ca="1" si="106"/>
        <v>#REF!</v>
      </c>
      <c r="BI148" s="372" t="e">
        <f t="shared" ca="1" si="107"/>
        <v>#REF!</v>
      </c>
      <c r="BJ148" s="364" t="str">
        <f t="shared" ca="1" si="100"/>
        <v>NULL</v>
      </c>
      <c r="BK148" s="372" t="e">
        <f ca="1">VLOOKUP($BF148&amp;IF($BJ148="NULL",0,$BJ148),所有坦克升星属性,MATCH(BK$3,所有坦克升星属性标头,0),FALSE)+ROUND(BP148/VLOOKUP($BF148,坦克部件!#REF!,4,FALSE)*VLOOKUP($BF148&amp;0,所有坦克升星属性,MATCH(BK$3,所有坦克升星属性标头,0),FALSE),0)</f>
        <v>#N/A</v>
      </c>
      <c r="BL148" s="372" t="e">
        <f ca="1">VLOOKUP($BF148&amp;IF($BJ148="NULL",0,$BJ148),所有坦克升星属性,MATCH(BL$3,所有坦克升星属性标头,0),FALSE)+ROUND(BQ148/VLOOKUP($BF148,坦克部件!#REF!,4,FALSE)*VLOOKUP($BF148&amp;0,所有坦克升星属性,MATCH(BL$3,所有坦克升星属性标头,0),FALSE),0)</f>
        <v>#N/A</v>
      </c>
      <c r="BM148" s="372" t="e">
        <f t="shared" ca="1" si="113"/>
        <v>#N/A</v>
      </c>
      <c r="BN148" s="372" t="e">
        <f t="shared" ca="1" si="113"/>
        <v>#N/A</v>
      </c>
      <c r="BO148" s="372" t="e">
        <f ca="1">VLOOKUP($BF148&amp;IF($BJ148="NULL",0,$BJ148),所有坦克升星属性,MATCH(BO$3,所有坦克升星属性标头,0),FALSE)+ROUND(BR148/VLOOKUP($BF148,坦克部件!#REF!,4,FALSE)*VLOOKUP($BF148&amp;0,所有坦克升星属性,MATCH(BO$3,所有坦克升星属性标头,0),FALSE),0)</f>
        <v>#N/A</v>
      </c>
      <c r="BP148" s="372" t="e">
        <f ca="1">(VLOOKUP($BH148,坦克部件!#REF!,MATCH("标准值",坦克部件!#REF!,0),FALSE)+VLOOKUP($BI148,坦克部件!#REF!,MATCH("标准值",坦克部件!#REF!,0),FALSE))*2</f>
        <v>#REF!</v>
      </c>
      <c r="BQ148" s="372" t="e">
        <f ca="1">(VLOOKUP($BH148,坦克部件!#REF!,MATCH("标准值",坦克部件!#REF!,0),FALSE)+VLOOKUP($BI148,坦克部件!#REF!,MATCH("标准值",坦克部件!#REF!,0),FALSE))*2</f>
        <v>#REF!</v>
      </c>
      <c r="BR148" s="372" t="e">
        <f ca="1">(VLOOKUP($BH148,坦克部件!#REF!,MATCH("标准值",坦克部件!#REF!,0),FALSE)+VLOOKUP($BI148,坦克部件!#REF!,MATCH("标准值",坦克部件!#REF!,0),FALSE))*2</f>
        <v>#REF!</v>
      </c>
      <c r="BS148" s="372" t="e">
        <f ca="1">VLOOKUP($BF148,坦克属性统计!$B$3:$AY$33,MATCH(BS$3,坦克属性统计!$B$3:$AY$3,0),FALSE)</f>
        <v>#N/A</v>
      </c>
      <c r="BT148" s="372" t="e">
        <f t="shared" ca="1" si="114"/>
        <v>#N/A</v>
      </c>
      <c r="BU148" s="372" t="e">
        <f t="shared" ca="1" si="114"/>
        <v>#N/A</v>
      </c>
      <c r="BV148" s="372" t="e">
        <f t="shared" ca="1" si="114"/>
        <v>#N/A</v>
      </c>
      <c r="BW148" s="356">
        <f t="shared" ca="1" si="101"/>
        <v>0</v>
      </c>
      <c r="BX148" s="356" t="e">
        <f ca="1">VLOOKUP(BF148,坦克个性化设定!$B$18:$E$48,4,FALSE)</f>
        <v>#N/A</v>
      </c>
      <c r="BY148" s="357" t="e">
        <f t="shared" ca="1" si="108"/>
        <v>#N/A</v>
      </c>
    </row>
    <row r="149" spans="15:77" x14ac:dyDescent="0.35">
      <c r="O149" s="365">
        <v>146</v>
      </c>
      <c r="P149" s="360" t="e">
        <f t="shared" ca="1" si="78"/>
        <v>#REF!</v>
      </c>
      <c r="Q149" s="360" t="e">
        <f ca="1">ROUND(MIN((BD149-VLOOKUP(R149,$B$22:$F$46,2,FALSE))/(VLOOKUP(R149,$B$22:$F$46,3,FALSE)-VLOOKUP(R149,$B$22:$F$46,2,FALSE)),1)*((VLOOKUP(R149,$B$22:$F$46,4,FALSE)*(AG149/(AG149+VLOOKUP(P149,$D$49:$F$123,3,TRUE)))+VLOOKUP(R149,$B$22:$F$46,5,FALSE)*(1-AG149/(AG149+VLOOKUP(P149,$D$49:$F$123,3,TRUE))))/2)*游戏时长规划!$C$4,0)</f>
        <v>#REF!</v>
      </c>
      <c r="R149" s="360" t="e">
        <f t="shared" ca="1" si="88"/>
        <v>#REF!</v>
      </c>
      <c r="S149" s="360" t="e">
        <f t="shared" ca="1" si="109"/>
        <v>#REF!</v>
      </c>
      <c r="T149" s="360" t="e">
        <f t="shared" ca="1" si="79"/>
        <v>#REF!</v>
      </c>
      <c r="U149" s="370" t="e">
        <f t="shared" ca="1" si="89"/>
        <v>#REF!</v>
      </c>
      <c r="V149" s="363" t="e">
        <f t="shared" ca="1" si="110"/>
        <v>#REF!</v>
      </c>
      <c r="W149" s="360" t="e">
        <f t="shared" ca="1" si="90"/>
        <v>#REF!</v>
      </c>
      <c r="X149" s="81" t="e">
        <f t="shared" ca="1" si="102"/>
        <v>#REF!</v>
      </c>
      <c r="Y149" s="360" t="str">
        <f t="shared" ca="1" si="91"/>
        <v>NULL</v>
      </c>
      <c r="Z149" s="375" t="e">
        <f t="shared" ca="1" si="103"/>
        <v>#REF!</v>
      </c>
      <c r="AA149" s="360">
        <f ca="1">IFERROR(VLOOKUP(IF(V149="T1低",游戏时长规划!$C$67+Z149,Z149),INDIRECT(V149&amp;"星级"),2,TRUE),0)</f>
        <v>0</v>
      </c>
      <c r="AB149" s="375" t="e">
        <f t="shared" ca="1" si="92"/>
        <v>#REF!</v>
      </c>
      <c r="AC149" s="375">
        <f ca="1">($D$14+$D$17)*$L$4/坦克部件养成!$C$2+AC148-IFERROR(IF(RIGHT(AD148,3)*1&gt;RIGHT(VLOOKUP(AC148,INDIRECT(LEFT(AD147,2)&amp;"部件升阶"),5,TRUE),3)*1,VLOOKUP(AD147,INDIRECT(LEFT(AD147,2)&amp;"部件升阶消耗"),2,FALSE),0),0)</f>
        <v>1727.6666666666636</v>
      </c>
      <c r="AD149" s="360" t="e">
        <f t="shared" ca="1" si="93"/>
        <v>#REF!</v>
      </c>
      <c r="AE149" s="375" t="e">
        <f ca="1">$D$15*$L$4/坦克部件养成!$C$2+AE148-IF(LEFT(AD149,2)&lt;&gt;LEFT(AD148,2),VLOOKUP(AF148,INDIRECT(LEFT(AD148,2)&amp;"部件升级消耗"),5,FALSE),0)</f>
        <v>#REF!</v>
      </c>
      <c r="AF149" s="360" t="e">
        <f ca="1">MIN(VLOOKUP(AE149,INDIRECT(LEFT(AD149,2)&amp;"部件升级"),2,TRUE),VLOOKUP(LEFT(AD149,2),坦克部件养成!#REF!,6,FALSE))</f>
        <v>#REF!</v>
      </c>
      <c r="AG149" s="378" t="e">
        <f ca="1">MAX(BD$4:BD149)</f>
        <v>#REF!</v>
      </c>
      <c r="AH149" s="378" t="str">
        <f t="shared" ca="1" si="94"/>
        <v/>
      </c>
      <c r="AI149" s="378">
        <f ca="1">IF(Y149="NULL",0,MAX(BY$4:BY149))</f>
        <v>0</v>
      </c>
      <c r="AK149" s="364" t="e">
        <f t="shared" ca="1" si="95"/>
        <v>#REF!</v>
      </c>
      <c r="AL149" s="364" t="e">
        <f ca="1">VLOOKUP(AK149,坦克个性化设定!$B$18:$F$48,5,FALSE)</f>
        <v>#REF!</v>
      </c>
      <c r="AM149" s="372" t="e">
        <f t="shared" ca="1" si="96"/>
        <v>#REF!</v>
      </c>
      <c r="AN149" s="372" t="e">
        <f t="shared" ca="1" si="104"/>
        <v>#REF!</v>
      </c>
      <c r="AO149" s="364">
        <f t="shared" ca="1" si="97"/>
        <v>0</v>
      </c>
      <c r="AP149" s="372" t="e">
        <f ca="1">VLOOKUP($AK149&amp;$AO149,所有坦克升星属性,MATCH(AP$3,所有坦克升星属性标头,0),FALSE)+ROUND(AU149/VLOOKUP($AK149,坦克部件!#REF!,4,FALSE)*VLOOKUP($AK149&amp;0,所有坦克升星属性,MATCH(AP$3,所有坦克升星属性标头,0),FALSE),0)</f>
        <v>#REF!</v>
      </c>
      <c r="AQ149" s="372" t="e">
        <f ca="1">VLOOKUP($AK149&amp;$AO149,所有坦克升星属性,MATCH(AQ$3,所有坦克升星属性标头,0),FALSE)+ROUND(AV149/VLOOKUP($AK149,坦克部件!#REF!,4,FALSE)*VLOOKUP($AK149&amp;0,所有坦克升星属性,MATCH(AQ$3,所有坦克升星属性标头,0),FALSE),0)</f>
        <v>#REF!</v>
      </c>
      <c r="AR149" s="372" t="e">
        <f t="shared" ca="1" si="111"/>
        <v>#REF!</v>
      </c>
      <c r="AS149" s="372" t="e">
        <f t="shared" ca="1" si="111"/>
        <v>#REF!</v>
      </c>
      <c r="AT149" s="372" t="e">
        <f ca="1">VLOOKUP($AK149&amp;$AO149,所有坦克升星属性,MATCH(AT$3,所有坦克升星属性标头,0),FALSE)+ROUND(AW149/VLOOKUP($AK149,坦克部件!#REF!,4,FALSE)*VLOOKUP($AK149&amp;0,所有坦克升星属性,MATCH(AT$3,所有坦克升星属性标头,0),FALSE),0)</f>
        <v>#REF!</v>
      </c>
      <c r="AU149" s="372" t="e">
        <f ca="1">(VLOOKUP($AM149,坦克部件!#REF!,MATCH("标准值",坦克部件!#REF!,0),FALSE)+VLOOKUP($AN149,坦克部件!#REF!,MATCH("标准值",坦克部件!#REF!,0),FALSE))*2</f>
        <v>#REF!</v>
      </c>
      <c r="AV149" s="372" t="e">
        <f ca="1">(VLOOKUP($AM149,坦克部件!#REF!,MATCH("标准值",坦克部件!#REF!,0),FALSE)+VLOOKUP($AN149,坦克部件!#REF!,MATCH("标准值",坦克部件!#REF!,0),FALSE))*2</f>
        <v>#REF!</v>
      </c>
      <c r="AW149" s="372" t="e">
        <f ca="1">(VLOOKUP($AM149,坦克部件!#REF!,MATCH("标准值",坦克部件!#REF!,0),FALSE)+VLOOKUP($AN149,坦克部件!#REF!,MATCH("标准值",坦克部件!#REF!,0),FALSE))*2</f>
        <v>#REF!</v>
      </c>
      <c r="AX149" s="372" t="e">
        <f ca="1">VLOOKUP($AK149,坦克属性统计!$B$3:$AY$33,MATCH(AX$3,坦克属性统计!$B$3:$AY$3,0),FALSE)</f>
        <v>#REF!</v>
      </c>
      <c r="AY149" s="372" t="e">
        <f t="shared" ca="1" si="112"/>
        <v>#REF!</v>
      </c>
      <c r="AZ149" s="372" t="e">
        <f t="shared" ca="1" si="112"/>
        <v>#REF!</v>
      </c>
      <c r="BA149" s="372" t="e">
        <f t="shared" ca="1" si="112"/>
        <v>#REF!</v>
      </c>
      <c r="BB149" s="356" t="e">
        <f t="shared" ca="1" si="98"/>
        <v>#REF!</v>
      </c>
      <c r="BC149" s="356" t="e">
        <f ca="1">VLOOKUP(AK149,坦克个性化设定!$B$18:$E$48,4,FALSE)</f>
        <v>#REF!</v>
      </c>
      <c r="BD149" s="357" t="e">
        <f t="shared" ca="1" si="105"/>
        <v>#REF!</v>
      </c>
      <c r="BF149" s="357" t="str">
        <f t="shared" ca="1" si="99"/>
        <v/>
      </c>
      <c r="BG149" s="372" t="str">
        <f ca="1">IFERROR(VLOOKUP(BF149,坦克个性化设定!$B$18:$F$48,5,FALSE),"")</f>
        <v/>
      </c>
      <c r="BH149" s="372" t="e">
        <f t="shared" ca="1" si="106"/>
        <v>#REF!</v>
      </c>
      <c r="BI149" s="372" t="e">
        <f t="shared" ca="1" si="107"/>
        <v>#REF!</v>
      </c>
      <c r="BJ149" s="364" t="str">
        <f t="shared" ca="1" si="100"/>
        <v>NULL</v>
      </c>
      <c r="BK149" s="372" t="e">
        <f ca="1">VLOOKUP($BF149&amp;IF($BJ149="NULL",0,$BJ149),所有坦克升星属性,MATCH(BK$3,所有坦克升星属性标头,0),FALSE)+ROUND(BP149/VLOOKUP($BF149,坦克部件!#REF!,4,FALSE)*VLOOKUP($BF149&amp;0,所有坦克升星属性,MATCH(BK$3,所有坦克升星属性标头,0),FALSE),0)</f>
        <v>#N/A</v>
      </c>
      <c r="BL149" s="372" t="e">
        <f ca="1">VLOOKUP($BF149&amp;IF($BJ149="NULL",0,$BJ149),所有坦克升星属性,MATCH(BL$3,所有坦克升星属性标头,0),FALSE)+ROUND(BQ149/VLOOKUP($BF149,坦克部件!#REF!,4,FALSE)*VLOOKUP($BF149&amp;0,所有坦克升星属性,MATCH(BL$3,所有坦克升星属性标头,0),FALSE),0)</f>
        <v>#N/A</v>
      </c>
      <c r="BM149" s="372" t="e">
        <f t="shared" ca="1" si="113"/>
        <v>#N/A</v>
      </c>
      <c r="BN149" s="372" t="e">
        <f t="shared" ca="1" si="113"/>
        <v>#N/A</v>
      </c>
      <c r="BO149" s="372" t="e">
        <f ca="1">VLOOKUP($BF149&amp;IF($BJ149="NULL",0,$BJ149),所有坦克升星属性,MATCH(BO$3,所有坦克升星属性标头,0),FALSE)+ROUND(BR149/VLOOKUP($BF149,坦克部件!#REF!,4,FALSE)*VLOOKUP($BF149&amp;0,所有坦克升星属性,MATCH(BO$3,所有坦克升星属性标头,0),FALSE),0)</f>
        <v>#N/A</v>
      </c>
      <c r="BP149" s="372" t="e">
        <f ca="1">(VLOOKUP($BH149,坦克部件!#REF!,MATCH("标准值",坦克部件!#REF!,0),FALSE)+VLOOKUP($BI149,坦克部件!#REF!,MATCH("标准值",坦克部件!#REF!,0),FALSE))*2</f>
        <v>#REF!</v>
      </c>
      <c r="BQ149" s="372" t="e">
        <f ca="1">(VLOOKUP($BH149,坦克部件!#REF!,MATCH("标准值",坦克部件!#REF!,0),FALSE)+VLOOKUP($BI149,坦克部件!#REF!,MATCH("标准值",坦克部件!#REF!,0),FALSE))*2</f>
        <v>#REF!</v>
      </c>
      <c r="BR149" s="372" t="e">
        <f ca="1">(VLOOKUP($BH149,坦克部件!#REF!,MATCH("标准值",坦克部件!#REF!,0),FALSE)+VLOOKUP($BI149,坦克部件!#REF!,MATCH("标准值",坦克部件!#REF!,0),FALSE))*2</f>
        <v>#REF!</v>
      </c>
      <c r="BS149" s="372" t="e">
        <f ca="1">VLOOKUP($BF149,坦克属性统计!$B$3:$AY$33,MATCH(BS$3,坦克属性统计!$B$3:$AY$3,0),FALSE)</f>
        <v>#N/A</v>
      </c>
      <c r="BT149" s="372" t="e">
        <f t="shared" ca="1" si="114"/>
        <v>#N/A</v>
      </c>
      <c r="BU149" s="372" t="e">
        <f t="shared" ca="1" si="114"/>
        <v>#N/A</v>
      </c>
      <c r="BV149" s="372" t="e">
        <f t="shared" ca="1" si="114"/>
        <v>#N/A</v>
      </c>
      <c r="BW149" s="356">
        <f t="shared" ca="1" si="101"/>
        <v>0</v>
      </c>
      <c r="BX149" s="356" t="e">
        <f ca="1">VLOOKUP(BF149,坦克个性化设定!$B$18:$E$48,4,FALSE)</f>
        <v>#N/A</v>
      </c>
      <c r="BY149" s="357" t="e">
        <f t="shared" ca="1" si="108"/>
        <v>#N/A</v>
      </c>
    </row>
    <row r="150" spans="15:77" x14ac:dyDescent="0.35">
      <c r="O150" s="365">
        <v>147</v>
      </c>
      <c r="P150" s="360" t="e">
        <f t="shared" ca="1" si="78"/>
        <v>#REF!</v>
      </c>
      <c r="Q150" s="360" t="e">
        <f ca="1">ROUND(MIN((BD150-VLOOKUP(R150,$B$22:$F$46,2,FALSE))/(VLOOKUP(R150,$B$22:$F$46,3,FALSE)-VLOOKUP(R150,$B$22:$F$46,2,FALSE)),1)*((VLOOKUP(R150,$B$22:$F$46,4,FALSE)*(AG150/(AG150+VLOOKUP(P150,$D$49:$F$123,3,TRUE)))+VLOOKUP(R150,$B$22:$F$46,5,FALSE)*(1-AG150/(AG150+VLOOKUP(P150,$D$49:$F$123,3,TRUE))))/2)*游戏时长规划!$C$4,0)</f>
        <v>#REF!</v>
      </c>
      <c r="R150" s="360" t="e">
        <f t="shared" ca="1" si="88"/>
        <v>#REF!</v>
      </c>
      <c r="S150" s="360" t="e">
        <f t="shared" ca="1" si="109"/>
        <v>#REF!</v>
      </c>
      <c r="T150" s="360" t="e">
        <f t="shared" ca="1" si="79"/>
        <v>#REF!</v>
      </c>
      <c r="U150" s="370" t="e">
        <f t="shared" ca="1" si="89"/>
        <v>#REF!</v>
      </c>
      <c r="V150" s="363" t="e">
        <f t="shared" ca="1" si="110"/>
        <v>#REF!</v>
      </c>
      <c r="W150" s="360" t="e">
        <f t="shared" ca="1" si="90"/>
        <v>#REF!</v>
      </c>
      <c r="X150" s="81" t="e">
        <f t="shared" ca="1" si="102"/>
        <v>#REF!</v>
      </c>
      <c r="Y150" s="360" t="str">
        <f t="shared" ca="1" si="91"/>
        <v>NULL</v>
      </c>
      <c r="Z150" s="375" t="e">
        <f t="shared" ca="1" si="103"/>
        <v>#REF!</v>
      </c>
      <c r="AA150" s="360">
        <f ca="1">IFERROR(VLOOKUP(IF(V150="T1低",游戏时长规划!$C$67+Z150,Z150),INDIRECT(V150&amp;"星级"),2,TRUE),0)</f>
        <v>0</v>
      </c>
      <c r="AB150" s="375" t="e">
        <f t="shared" ca="1" si="92"/>
        <v>#REF!</v>
      </c>
      <c r="AC150" s="375">
        <f ca="1">($D$14+$D$17)*$L$4/坦克部件养成!$C$2+AC149-IFERROR(IF(RIGHT(AD149,3)*1&gt;RIGHT(VLOOKUP(AC149,INDIRECT(LEFT(AD148,2)&amp;"部件升阶"),5,TRUE),3)*1,VLOOKUP(AD148,INDIRECT(LEFT(AD148,2)&amp;"部件升阶消耗"),2,FALSE),0),0)</f>
        <v>1739.4999999999968</v>
      </c>
      <c r="AD150" s="360" t="e">
        <f t="shared" ca="1" si="93"/>
        <v>#REF!</v>
      </c>
      <c r="AE150" s="375" t="e">
        <f ca="1">$D$15*$L$4/坦克部件养成!$C$2+AE149-IF(LEFT(AD150,2)&lt;&gt;LEFT(AD149,2),VLOOKUP(AF149,INDIRECT(LEFT(AD149,2)&amp;"部件升级消耗"),5,FALSE),0)</f>
        <v>#REF!</v>
      </c>
      <c r="AF150" s="360" t="e">
        <f ca="1">MIN(VLOOKUP(AE150,INDIRECT(LEFT(AD150,2)&amp;"部件升级"),2,TRUE),VLOOKUP(LEFT(AD150,2),坦克部件养成!#REF!,6,FALSE))</f>
        <v>#REF!</v>
      </c>
      <c r="AG150" s="378" t="e">
        <f ca="1">MAX(BD$4:BD150)</f>
        <v>#REF!</v>
      </c>
      <c r="AH150" s="378" t="str">
        <f t="shared" ca="1" si="94"/>
        <v/>
      </c>
      <c r="AI150" s="378">
        <f ca="1">IF(Y150="NULL",0,MAX(BY$4:BY150))</f>
        <v>0</v>
      </c>
      <c r="AK150" s="364" t="e">
        <f t="shared" ca="1" si="95"/>
        <v>#REF!</v>
      </c>
      <c r="AL150" s="364" t="e">
        <f ca="1">VLOOKUP(AK150,坦克个性化设定!$B$18:$F$48,5,FALSE)</f>
        <v>#REF!</v>
      </c>
      <c r="AM150" s="372" t="e">
        <f t="shared" ca="1" si="96"/>
        <v>#REF!</v>
      </c>
      <c r="AN150" s="372" t="e">
        <f t="shared" ca="1" si="104"/>
        <v>#REF!</v>
      </c>
      <c r="AO150" s="364">
        <f t="shared" ca="1" si="97"/>
        <v>0</v>
      </c>
      <c r="AP150" s="372" t="e">
        <f ca="1">VLOOKUP($AK150&amp;$AO150,所有坦克升星属性,MATCH(AP$3,所有坦克升星属性标头,0),FALSE)+ROUND(AU150/VLOOKUP($AK150,坦克部件!#REF!,4,FALSE)*VLOOKUP($AK150&amp;0,所有坦克升星属性,MATCH(AP$3,所有坦克升星属性标头,0),FALSE),0)</f>
        <v>#REF!</v>
      </c>
      <c r="AQ150" s="372" t="e">
        <f ca="1">VLOOKUP($AK150&amp;$AO150,所有坦克升星属性,MATCH(AQ$3,所有坦克升星属性标头,0),FALSE)+ROUND(AV150/VLOOKUP($AK150,坦克部件!#REF!,4,FALSE)*VLOOKUP($AK150&amp;0,所有坦克升星属性,MATCH(AQ$3,所有坦克升星属性标头,0),FALSE),0)</f>
        <v>#REF!</v>
      </c>
      <c r="AR150" s="372" t="e">
        <f t="shared" ca="1" si="111"/>
        <v>#REF!</v>
      </c>
      <c r="AS150" s="372" t="e">
        <f t="shared" ca="1" si="111"/>
        <v>#REF!</v>
      </c>
      <c r="AT150" s="372" t="e">
        <f ca="1">VLOOKUP($AK150&amp;$AO150,所有坦克升星属性,MATCH(AT$3,所有坦克升星属性标头,0),FALSE)+ROUND(AW150/VLOOKUP($AK150,坦克部件!#REF!,4,FALSE)*VLOOKUP($AK150&amp;0,所有坦克升星属性,MATCH(AT$3,所有坦克升星属性标头,0),FALSE),0)</f>
        <v>#REF!</v>
      </c>
      <c r="AU150" s="372" t="e">
        <f ca="1">(VLOOKUP($AM150,坦克部件!#REF!,MATCH("标准值",坦克部件!#REF!,0),FALSE)+VLOOKUP($AN150,坦克部件!#REF!,MATCH("标准值",坦克部件!#REF!,0),FALSE))*2</f>
        <v>#REF!</v>
      </c>
      <c r="AV150" s="372" t="e">
        <f ca="1">(VLOOKUP($AM150,坦克部件!#REF!,MATCH("标准值",坦克部件!#REF!,0),FALSE)+VLOOKUP($AN150,坦克部件!#REF!,MATCH("标准值",坦克部件!#REF!,0),FALSE))*2</f>
        <v>#REF!</v>
      </c>
      <c r="AW150" s="372" t="e">
        <f ca="1">(VLOOKUP($AM150,坦克部件!#REF!,MATCH("标准值",坦克部件!#REF!,0),FALSE)+VLOOKUP($AN150,坦克部件!#REF!,MATCH("标准值",坦克部件!#REF!,0),FALSE))*2</f>
        <v>#REF!</v>
      </c>
      <c r="AX150" s="372" t="e">
        <f ca="1">VLOOKUP($AK150,坦克属性统计!$B$3:$AY$33,MATCH(AX$3,坦克属性统计!$B$3:$AY$3,0),FALSE)</f>
        <v>#REF!</v>
      </c>
      <c r="AY150" s="372" t="e">
        <f t="shared" ca="1" si="112"/>
        <v>#REF!</v>
      </c>
      <c r="AZ150" s="372" t="e">
        <f t="shared" ca="1" si="112"/>
        <v>#REF!</v>
      </c>
      <c r="BA150" s="372" t="e">
        <f t="shared" ca="1" si="112"/>
        <v>#REF!</v>
      </c>
      <c r="BB150" s="356" t="e">
        <f t="shared" ca="1" si="98"/>
        <v>#REF!</v>
      </c>
      <c r="BC150" s="356" t="e">
        <f ca="1">VLOOKUP(AK150,坦克个性化设定!$B$18:$E$48,4,FALSE)</f>
        <v>#REF!</v>
      </c>
      <c r="BD150" s="357" t="e">
        <f t="shared" ca="1" si="105"/>
        <v>#REF!</v>
      </c>
      <c r="BF150" s="357" t="str">
        <f t="shared" ca="1" si="99"/>
        <v/>
      </c>
      <c r="BG150" s="372" t="str">
        <f ca="1">IFERROR(VLOOKUP(BF150,坦克个性化设定!$B$18:$F$48,5,FALSE),"")</f>
        <v/>
      </c>
      <c r="BH150" s="372" t="e">
        <f t="shared" ca="1" si="106"/>
        <v>#REF!</v>
      </c>
      <c r="BI150" s="372" t="e">
        <f t="shared" ca="1" si="107"/>
        <v>#REF!</v>
      </c>
      <c r="BJ150" s="364" t="str">
        <f t="shared" ca="1" si="100"/>
        <v>NULL</v>
      </c>
      <c r="BK150" s="372" t="e">
        <f ca="1">VLOOKUP($BF150&amp;IF($BJ150="NULL",0,$BJ150),所有坦克升星属性,MATCH(BK$3,所有坦克升星属性标头,0),FALSE)+ROUND(BP150/VLOOKUP($BF150,坦克部件!#REF!,4,FALSE)*VLOOKUP($BF150&amp;0,所有坦克升星属性,MATCH(BK$3,所有坦克升星属性标头,0),FALSE),0)</f>
        <v>#N/A</v>
      </c>
      <c r="BL150" s="372" t="e">
        <f ca="1">VLOOKUP($BF150&amp;IF($BJ150="NULL",0,$BJ150),所有坦克升星属性,MATCH(BL$3,所有坦克升星属性标头,0),FALSE)+ROUND(BQ150/VLOOKUP($BF150,坦克部件!#REF!,4,FALSE)*VLOOKUP($BF150&amp;0,所有坦克升星属性,MATCH(BL$3,所有坦克升星属性标头,0),FALSE),0)</f>
        <v>#N/A</v>
      </c>
      <c r="BM150" s="372" t="e">
        <f t="shared" ca="1" si="113"/>
        <v>#N/A</v>
      </c>
      <c r="BN150" s="372" t="e">
        <f t="shared" ca="1" si="113"/>
        <v>#N/A</v>
      </c>
      <c r="BO150" s="372" t="e">
        <f ca="1">VLOOKUP($BF150&amp;IF($BJ150="NULL",0,$BJ150),所有坦克升星属性,MATCH(BO$3,所有坦克升星属性标头,0),FALSE)+ROUND(BR150/VLOOKUP($BF150,坦克部件!#REF!,4,FALSE)*VLOOKUP($BF150&amp;0,所有坦克升星属性,MATCH(BO$3,所有坦克升星属性标头,0),FALSE),0)</f>
        <v>#N/A</v>
      </c>
      <c r="BP150" s="372" t="e">
        <f ca="1">(VLOOKUP($BH150,坦克部件!#REF!,MATCH("标准值",坦克部件!#REF!,0),FALSE)+VLOOKUP($BI150,坦克部件!#REF!,MATCH("标准值",坦克部件!#REF!,0),FALSE))*2</f>
        <v>#REF!</v>
      </c>
      <c r="BQ150" s="372" t="e">
        <f ca="1">(VLOOKUP($BH150,坦克部件!#REF!,MATCH("标准值",坦克部件!#REF!,0),FALSE)+VLOOKUP($BI150,坦克部件!#REF!,MATCH("标准值",坦克部件!#REF!,0),FALSE))*2</f>
        <v>#REF!</v>
      </c>
      <c r="BR150" s="372" t="e">
        <f ca="1">(VLOOKUP($BH150,坦克部件!#REF!,MATCH("标准值",坦克部件!#REF!,0),FALSE)+VLOOKUP($BI150,坦克部件!#REF!,MATCH("标准值",坦克部件!#REF!,0),FALSE))*2</f>
        <v>#REF!</v>
      </c>
      <c r="BS150" s="372" t="e">
        <f ca="1">VLOOKUP($BF150,坦克属性统计!$B$3:$AY$33,MATCH(BS$3,坦克属性统计!$B$3:$AY$3,0),FALSE)</f>
        <v>#N/A</v>
      </c>
      <c r="BT150" s="372" t="e">
        <f t="shared" ca="1" si="114"/>
        <v>#N/A</v>
      </c>
      <c r="BU150" s="372" t="e">
        <f t="shared" ca="1" si="114"/>
        <v>#N/A</v>
      </c>
      <c r="BV150" s="372" t="e">
        <f t="shared" ca="1" si="114"/>
        <v>#N/A</v>
      </c>
      <c r="BW150" s="356">
        <f t="shared" ca="1" si="101"/>
        <v>0</v>
      </c>
      <c r="BX150" s="356" t="e">
        <f ca="1">VLOOKUP(BF150,坦克个性化设定!$B$18:$E$48,4,FALSE)</f>
        <v>#N/A</v>
      </c>
      <c r="BY150" s="357" t="e">
        <f t="shared" ca="1" si="108"/>
        <v>#N/A</v>
      </c>
    </row>
    <row r="151" spans="15:77" x14ac:dyDescent="0.35">
      <c r="O151" s="365">
        <v>148</v>
      </c>
      <c r="P151" s="360" t="e">
        <f t="shared" ref="P151:P214" ca="1" si="115">P150+Q150</f>
        <v>#REF!</v>
      </c>
      <c r="Q151" s="360" t="e">
        <f ca="1">ROUND(MIN((BD151-VLOOKUP(R151,$B$22:$F$46,2,FALSE))/(VLOOKUP(R151,$B$22:$F$46,3,FALSE)-VLOOKUP(R151,$B$22:$F$46,2,FALSE)),1)*((VLOOKUP(R151,$B$22:$F$46,4,FALSE)*(AG151/(AG151+VLOOKUP(P151,$D$49:$F$123,3,TRUE)))+VLOOKUP(R151,$B$22:$F$46,5,FALSE)*(1-AG151/(AG151+VLOOKUP(P151,$D$49:$F$123,3,TRUE))))/2)*游戏时长规划!$C$4,0)</f>
        <v>#REF!</v>
      </c>
      <c r="R151" s="360" t="e">
        <f t="shared" ca="1" si="88"/>
        <v>#REF!</v>
      </c>
      <c r="S151" s="360" t="e">
        <f t="shared" ca="1" si="109"/>
        <v>#REF!</v>
      </c>
      <c r="T151" s="360" t="e">
        <f t="shared" ref="T151:T214" ca="1" si="116">VLOOKUP(R151,$H$16:$J$28,3,FALSE)</f>
        <v>#REF!</v>
      </c>
      <c r="U151" s="370" t="e">
        <f t="shared" ca="1" si="89"/>
        <v>#REF!</v>
      </c>
      <c r="V151" s="363" t="e">
        <f t="shared" ca="1" si="110"/>
        <v>#REF!</v>
      </c>
      <c r="W151" s="360" t="e">
        <f t="shared" ca="1" si="90"/>
        <v>#REF!</v>
      </c>
      <c r="X151" s="81" t="e">
        <f t="shared" ca="1" si="102"/>
        <v>#REF!</v>
      </c>
      <c r="Y151" s="360" t="str">
        <f t="shared" ca="1" si="91"/>
        <v>NULL</v>
      </c>
      <c r="Z151" s="375" t="e">
        <f t="shared" ca="1" si="103"/>
        <v>#REF!</v>
      </c>
      <c r="AA151" s="360">
        <f ca="1">IFERROR(VLOOKUP(IF(V151="T1低",游戏时长规划!$C$67+Z151,Z151),INDIRECT(V151&amp;"星级"),2,TRUE),0)</f>
        <v>0</v>
      </c>
      <c r="AB151" s="375" t="e">
        <f t="shared" ca="1" si="92"/>
        <v>#REF!</v>
      </c>
      <c r="AC151" s="375">
        <f ca="1">($D$14+$D$17)*$L$4/坦克部件养成!$C$2+AC150-IFERROR(IF(RIGHT(AD150,3)*1&gt;RIGHT(VLOOKUP(AC150,INDIRECT(LEFT(AD149,2)&amp;"部件升阶"),5,TRUE),3)*1,VLOOKUP(AD149,INDIRECT(LEFT(AD149,2)&amp;"部件升阶消耗"),2,FALSE),0),0)</f>
        <v>1751.3333333333301</v>
      </c>
      <c r="AD151" s="360" t="e">
        <f t="shared" ca="1" si="93"/>
        <v>#REF!</v>
      </c>
      <c r="AE151" s="375" t="e">
        <f ca="1">$D$15*$L$4/坦克部件养成!$C$2+AE150-IF(LEFT(AD151,2)&lt;&gt;LEFT(AD150,2),VLOOKUP(AF150,INDIRECT(LEFT(AD150,2)&amp;"部件升级消耗"),5,FALSE),0)</f>
        <v>#REF!</v>
      </c>
      <c r="AF151" s="360" t="e">
        <f ca="1">MIN(VLOOKUP(AE151,INDIRECT(LEFT(AD151,2)&amp;"部件升级"),2,TRUE),VLOOKUP(LEFT(AD151,2),坦克部件养成!#REF!,6,FALSE))</f>
        <v>#REF!</v>
      </c>
      <c r="AG151" s="378" t="e">
        <f ca="1">MAX(BD$4:BD151)</f>
        <v>#REF!</v>
      </c>
      <c r="AH151" s="378" t="str">
        <f t="shared" ca="1" si="94"/>
        <v/>
      </c>
      <c r="AI151" s="378">
        <f ca="1">IF(Y151="NULL",0,MAX(BY$4:BY151))</f>
        <v>0</v>
      </c>
      <c r="AK151" s="364" t="e">
        <f t="shared" ca="1" si="95"/>
        <v>#REF!</v>
      </c>
      <c r="AL151" s="364" t="e">
        <f ca="1">VLOOKUP(AK151,坦克个性化设定!$B$18:$F$48,5,FALSE)</f>
        <v>#REF!</v>
      </c>
      <c r="AM151" s="372" t="e">
        <f t="shared" ca="1" si="96"/>
        <v>#REF!</v>
      </c>
      <c r="AN151" s="372" t="e">
        <f t="shared" ca="1" si="104"/>
        <v>#REF!</v>
      </c>
      <c r="AO151" s="364">
        <f t="shared" ca="1" si="97"/>
        <v>0</v>
      </c>
      <c r="AP151" s="372" t="e">
        <f ca="1">VLOOKUP($AK151&amp;$AO151,所有坦克升星属性,MATCH(AP$3,所有坦克升星属性标头,0),FALSE)+ROUND(AU151/VLOOKUP($AK151,坦克部件!#REF!,4,FALSE)*VLOOKUP($AK151&amp;0,所有坦克升星属性,MATCH(AP$3,所有坦克升星属性标头,0),FALSE),0)</f>
        <v>#REF!</v>
      </c>
      <c r="AQ151" s="372" t="e">
        <f ca="1">VLOOKUP($AK151&amp;$AO151,所有坦克升星属性,MATCH(AQ$3,所有坦克升星属性标头,0),FALSE)+ROUND(AV151/VLOOKUP($AK151,坦克部件!#REF!,4,FALSE)*VLOOKUP($AK151&amp;0,所有坦克升星属性,MATCH(AQ$3,所有坦克升星属性标头,0),FALSE),0)</f>
        <v>#REF!</v>
      </c>
      <c r="AR151" s="372" t="e">
        <f t="shared" ca="1" si="111"/>
        <v>#REF!</v>
      </c>
      <c r="AS151" s="372" t="e">
        <f t="shared" ca="1" si="111"/>
        <v>#REF!</v>
      </c>
      <c r="AT151" s="372" t="e">
        <f ca="1">VLOOKUP($AK151&amp;$AO151,所有坦克升星属性,MATCH(AT$3,所有坦克升星属性标头,0),FALSE)+ROUND(AW151/VLOOKUP($AK151,坦克部件!#REF!,4,FALSE)*VLOOKUP($AK151&amp;0,所有坦克升星属性,MATCH(AT$3,所有坦克升星属性标头,0),FALSE),0)</f>
        <v>#REF!</v>
      </c>
      <c r="AU151" s="372" t="e">
        <f ca="1">(VLOOKUP($AM151,坦克部件!#REF!,MATCH("标准值",坦克部件!#REF!,0),FALSE)+VLOOKUP($AN151,坦克部件!#REF!,MATCH("标准值",坦克部件!#REF!,0),FALSE))*2</f>
        <v>#REF!</v>
      </c>
      <c r="AV151" s="372" t="e">
        <f ca="1">(VLOOKUP($AM151,坦克部件!#REF!,MATCH("标准值",坦克部件!#REF!,0),FALSE)+VLOOKUP($AN151,坦克部件!#REF!,MATCH("标准值",坦克部件!#REF!,0),FALSE))*2</f>
        <v>#REF!</v>
      </c>
      <c r="AW151" s="372" t="e">
        <f ca="1">(VLOOKUP($AM151,坦克部件!#REF!,MATCH("标准值",坦克部件!#REF!,0),FALSE)+VLOOKUP($AN151,坦克部件!#REF!,MATCH("标准值",坦克部件!#REF!,0),FALSE))*2</f>
        <v>#REF!</v>
      </c>
      <c r="AX151" s="372" t="e">
        <f ca="1">VLOOKUP($AK151,坦克属性统计!$B$3:$AY$33,MATCH(AX$3,坦克属性统计!$B$3:$AY$3,0),FALSE)</f>
        <v>#REF!</v>
      </c>
      <c r="AY151" s="372" t="e">
        <f t="shared" ca="1" si="112"/>
        <v>#REF!</v>
      </c>
      <c r="AZ151" s="372" t="e">
        <f t="shared" ca="1" si="112"/>
        <v>#REF!</v>
      </c>
      <c r="BA151" s="372" t="e">
        <f t="shared" ca="1" si="112"/>
        <v>#REF!</v>
      </c>
      <c r="BB151" s="356" t="e">
        <f t="shared" ca="1" si="98"/>
        <v>#REF!</v>
      </c>
      <c r="BC151" s="356" t="e">
        <f ca="1">VLOOKUP(AK151,坦克个性化设定!$B$18:$E$48,4,FALSE)</f>
        <v>#REF!</v>
      </c>
      <c r="BD151" s="357" t="e">
        <f t="shared" ca="1" si="105"/>
        <v>#REF!</v>
      </c>
      <c r="BF151" s="357" t="str">
        <f t="shared" ca="1" si="99"/>
        <v/>
      </c>
      <c r="BG151" s="372" t="str">
        <f ca="1">IFERROR(VLOOKUP(BF151,坦克个性化设定!$B$18:$F$48,5,FALSE),"")</f>
        <v/>
      </c>
      <c r="BH151" s="372" t="e">
        <f t="shared" ca="1" si="106"/>
        <v>#REF!</v>
      </c>
      <c r="BI151" s="372" t="e">
        <f t="shared" ca="1" si="107"/>
        <v>#REF!</v>
      </c>
      <c r="BJ151" s="364" t="str">
        <f t="shared" ca="1" si="100"/>
        <v>NULL</v>
      </c>
      <c r="BK151" s="372" t="e">
        <f ca="1">VLOOKUP($BF151&amp;IF($BJ151="NULL",0,$BJ151),所有坦克升星属性,MATCH(BK$3,所有坦克升星属性标头,0),FALSE)+ROUND(BP151/VLOOKUP($BF151,坦克部件!#REF!,4,FALSE)*VLOOKUP($BF151&amp;0,所有坦克升星属性,MATCH(BK$3,所有坦克升星属性标头,0),FALSE),0)</f>
        <v>#N/A</v>
      </c>
      <c r="BL151" s="372" t="e">
        <f ca="1">VLOOKUP($BF151&amp;IF($BJ151="NULL",0,$BJ151),所有坦克升星属性,MATCH(BL$3,所有坦克升星属性标头,0),FALSE)+ROUND(BQ151/VLOOKUP($BF151,坦克部件!#REF!,4,FALSE)*VLOOKUP($BF151&amp;0,所有坦克升星属性,MATCH(BL$3,所有坦克升星属性标头,0),FALSE),0)</f>
        <v>#N/A</v>
      </c>
      <c r="BM151" s="372" t="e">
        <f t="shared" ca="1" si="113"/>
        <v>#N/A</v>
      </c>
      <c r="BN151" s="372" t="e">
        <f t="shared" ca="1" si="113"/>
        <v>#N/A</v>
      </c>
      <c r="BO151" s="372" t="e">
        <f ca="1">VLOOKUP($BF151&amp;IF($BJ151="NULL",0,$BJ151),所有坦克升星属性,MATCH(BO$3,所有坦克升星属性标头,0),FALSE)+ROUND(BR151/VLOOKUP($BF151,坦克部件!#REF!,4,FALSE)*VLOOKUP($BF151&amp;0,所有坦克升星属性,MATCH(BO$3,所有坦克升星属性标头,0),FALSE),0)</f>
        <v>#N/A</v>
      </c>
      <c r="BP151" s="372" t="e">
        <f ca="1">(VLOOKUP($BH151,坦克部件!#REF!,MATCH("标准值",坦克部件!#REF!,0),FALSE)+VLOOKUP($BI151,坦克部件!#REF!,MATCH("标准值",坦克部件!#REF!,0),FALSE))*2</f>
        <v>#REF!</v>
      </c>
      <c r="BQ151" s="372" t="e">
        <f ca="1">(VLOOKUP($BH151,坦克部件!#REF!,MATCH("标准值",坦克部件!#REF!,0),FALSE)+VLOOKUP($BI151,坦克部件!#REF!,MATCH("标准值",坦克部件!#REF!,0),FALSE))*2</f>
        <v>#REF!</v>
      </c>
      <c r="BR151" s="372" t="e">
        <f ca="1">(VLOOKUP($BH151,坦克部件!#REF!,MATCH("标准值",坦克部件!#REF!,0),FALSE)+VLOOKUP($BI151,坦克部件!#REF!,MATCH("标准值",坦克部件!#REF!,0),FALSE))*2</f>
        <v>#REF!</v>
      </c>
      <c r="BS151" s="372" t="e">
        <f ca="1">VLOOKUP($BF151,坦克属性统计!$B$3:$AY$33,MATCH(BS$3,坦克属性统计!$B$3:$AY$3,0),FALSE)</f>
        <v>#N/A</v>
      </c>
      <c r="BT151" s="372" t="e">
        <f t="shared" ca="1" si="114"/>
        <v>#N/A</v>
      </c>
      <c r="BU151" s="372" t="e">
        <f t="shared" ca="1" si="114"/>
        <v>#N/A</v>
      </c>
      <c r="BV151" s="372" t="e">
        <f t="shared" ca="1" si="114"/>
        <v>#N/A</v>
      </c>
      <c r="BW151" s="356">
        <f t="shared" ca="1" si="101"/>
        <v>0</v>
      </c>
      <c r="BX151" s="356" t="e">
        <f ca="1">VLOOKUP(BF151,坦克个性化设定!$B$18:$E$48,4,FALSE)</f>
        <v>#N/A</v>
      </c>
      <c r="BY151" s="357" t="e">
        <f t="shared" ca="1" si="108"/>
        <v>#N/A</v>
      </c>
    </row>
    <row r="152" spans="15:77" x14ac:dyDescent="0.35">
      <c r="O152" s="365">
        <v>149</v>
      </c>
      <c r="P152" s="360" t="e">
        <f t="shared" ca="1" si="115"/>
        <v>#REF!</v>
      </c>
      <c r="Q152" s="360" t="e">
        <f ca="1">ROUND(MIN((BD152-VLOOKUP(R152,$B$22:$F$46,2,FALSE))/(VLOOKUP(R152,$B$22:$F$46,3,FALSE)-VLOOKUP(R152,$B$22:$F$46,2,FALSE)),1)*((VLOOKUP(R152,$B$22:$F$46,4,FALSE)*(AG152/(AG152+VLOOKUP(P152,$D$49:$F$123,3,TRUE)))+VLOOKUP(R152,$B$22:$F$46,5,FALSE)*(1-AG152/(AG152+VLOOKUP(P152,$D$49:$F$123,3,TRUE))))/2)*游戏时长规划!$C$4,0)</f>
        <v>#REF!</v>
      </c>
      <c r="R152" s="360" t="e">
        <f t="shared" ca="1" si="88"/>
        <v>#REF!</v>
      </c>
      <c r="S152" s="360" t="e">
        <f t="shared" ca="1" si="109"/>
        <v>#REF!</v>
      </c>
      <c r="T152" s="360" t="e">
        <f t="shared" ca="1" si="116"/>
        <v>#REF!</v>
      </c>
      <c r="U152" s="370" t="e">
        <f t="shared" ca="1" si="89"/>
        <v>#REF!</v>
      </c>
      <c r="V152" s="363" t="e">
        <f t="shared" ca="1" si="110"/>
        <v>#REF!</v>
      </c>
      <c r="W152" s="360" t="e">
        <f t="shared" ca="1" si="90"/>
        <v>#REF!</v>
      </c>
      <c r="X152" s="81" t="e">
        <f t="shared" ca="1" si="102"/>
        <v>#REF!</v>
      </c>
      <c r="Y152" s="360" t="str">
        <f t="shared" ca="1" si="91"/>
        <v>NULL</v>
      </c>
      <c r="Z152" s="375" t="e">
        <f t="shared" ca="1" si="103"/>
        <v>#REF!</v>
      </c>
      <c r="AA152" s="360">
        <f ca="1">IFERROR(VLOOKUP(IF(V152="T1低",游戏时长规划!$C$67+Z152,Z152),INDIRECT(V152&amp;"星级"),2,TRUE),0)</f>
        <v>0</v>
      </c>
      <c r="AB152" s="375" t="e">
        <f t="shared" ca="1" si="92"/>
        <v>#REF!</v>
      </c>
      <c r="AC152" s="375">
        <f ca="1">($D$14+$D$17)*$L$4/坦克部件养成!$C$2+AC151-IFERROR(IF(RIGHT(AD151,3)*1&gt;RIGHT(VLOOKUP(AC151,INDIRECT(LEFT(AD150,2)&amp;"部件升阶"),5,TRUE),3)*1,VLOOKUP(AD150,INDIRECT(LEFT(AD150,2)&amp;"部件升阶消耗"),2,FALSE),0),0)</f>
        <v>1763.1666666666633</v>
      </c>
      <c r="AD152" s="360" t="e">
        <f t="shared" ca="1" si="93"/>
        <v>#REF!</v>
      </c>
      <c r="AE152" s="375" t="e">
        <f ca="1">$D$15*$L$4/坦克部件养成!$C$2+AE151-IF(LEFT(AD152,2)&lt;&gt;LEFT(AD151,2),VLOOKUP(AF151,INDIRECT(LEFT(AD151,2)&amp;"部件升级消耗"),5,FALSE),0)</f>
        <v>#REF!</v>
      </c>
      <c r="AF152" s="360" t="e">
        <f ca="1">MIN(VLOOKUP(AE152,INDIRECT(LEFT(AD152,2)&amp;"部件升级"),2,TRUE),VLOOKUP(LEFT(AD152,2),坦克部件养成!#REF!,6,FALSE))</f>
        <v>#REF!</v>
      </c>
      <c r="AG152" s="378" t="e">
        <f ca="1">MAX(BD$4:BD152)</f>
        <v>#REF!</v>
      </c>
      <c r="AH152" s="378" t="str">
        <f t="shared" ca="1" si="94"/>
        <v/>
      </c>
      <c r="AI152" s="378">
        <f ca="1">IF(Y152="NULL",0,MAX(BY$4:BY152))</f>
        <v>0</v>
      </c>
      <c r="AK152" s="364" t="e">
        <f t="shared" ca="1" si="95"/>
        <v>#REF!</v>
      </c>
      <c r="AL152" s="364" t="e">
        <f ca="1">VLOOKUP(AK152,坦克个性化设定!$B$18:$F$48,5,FALSE)</f>
        <v>#REF!</v>
      </c>
      <c r="AM152" s="372" t="e">
        <f t="shared" ca="1" si="96"/>
        <v>#REF!</v>
      </c>
      <c r="AN152" s="372" t="e">
        <f t="shared" ca="1" si="104"/>
        <v>#REF!</v>
      </c>
      <c r="AO152" s="364">
        <f t="shared" ca="1" si="97"/>
        <v>0</v>
      </c>
      <c r="AP152" s="372" t="e">
        <f ca="1">VLOOKUP($AK152&amp;$AO152,所有坦克升星属性,MATCH(AP$3,所有坦克升星属性标头,0),FALSE)+ROUND(AU152/VLOOKUP($AK152,坦克部件!#REF!,4,FALSE)*VLOOKUP($AK152&amp;0,所有坦克升星属性,MATCH(AP$3,所有坦克升星属性标头,0),FALSE),0)</f>
        <v>#REF!</v>
      </c>
      <c r="AQ152" s="372" t="e">
        <f ca="1">VLOOKUP($AK152&amp;$AO152,所有坦克升星属性,MATCH(AQ$3,所有坦克升星属性标头,0),FALSE)+ROUND(AV152/VLOOKUP($AK152,坦克部件!#REF!,4,FALSE)*VLOOKUP($AK152&amp;0,所有坦克升星属性,MATCH(AQ$3,所有坦克升星属性标头,0),FALSE),0)</f>
        <v>#REF!</v>
      </c>
      <c r="AR152" s="372" t="e">
        <f t="shared" ca="1" si="111"/>
        <v>#REF!</v>
      </c>
      <c r="AS152" s="372" t="e">
        <f t="shared" ca="1" si="111"/>
        <v>#REF!</v>
      </c>
      <c r="AT152" s="372" t="e">
        <f ca="1">VLOOKUP($AK152&amp;$AO152,所有坦克升星属性,MATCH(AT$3,所有坦克升星属性标头,0),FALSE)+ROUND(AW152/VLOOKUP($AK152,坦克部件!#REF!,4,FALSE)*VLOOKUP($AK152&amp;0,所有坦克升星属性,MATCH(AT$3,所有坦克升星属性标头,0),FALSE),0)</f>
        <v>#REF!</v>
      </c>
      <c r="AU152" s="372" t="e">
        <f ca="1">(VLOOKUP($AM152,坦克部件!#REF!,MATCH("标准值",坦克部件!#REF!,0),FALSE)+VLOOKUP($AN152,坦克部件!#REF!,MATCH("标准值",坦克部件!#REF!,0),FALSE))*2</f>
        <v>#REF!</v>
      </c>
      <c r="AV152" s="372" t="e">
        <f ca="1">(VLOOKUP($AM152,坦克部件!#REF!,MATCH("标准值",坦克部件!#REF!,0),FALSE)+VLOOKUP($AN152,坦克部件!#REF!,MATCH("标准值",坦克部件!#REF!,0),FALSE))*2</f>
        <v>#REF!</v>
      </c>
      <c r="AW152" s="372" t="e">
        <f ca="1">(VLOOKUP($AM152,坦克部件!#REF!,MATCH("标准值",坦克部件!#REF!,0),FALSE)+VLOOKUP($AN152,坦克部件!#REF!,MATCH("标准值",坦克部件!#REF!,0),FALSE))*2</f>
        <v>#REF!</v>
      </c>
      <c r="AX152" s="372" t="e">
        <f ca="1">VLOOKUP($AK152,坦克属性统计!$B$3:$AY$33,MATCH(AX$3,坦克属性统计!$B$3:$AY$3,0),FALSE)</f>
        <v>#REF!</v>
      </c>
      <c r="AY152" s="372" t="e">
        <f t="shared" ca="1" si="112"/>
        <v>#REF!</v>
      </c>
      <c r="AZ152" s="372" t="e">
        <f t="shared" ca="1" si="112"/>
        <v>#REF!</v>
      </c>
      <c r="BA152" s="372" t="e">
        <f t="shared" ca="1" si="112"/>
        <v>#REF!</v>
      </c>
      <c r="BB152" s="356" t="e">
        <f t="shared" ca="1" si="98"/>
        <v>#REF!</v>
      </c>
      <c r="BC152" s="356" t="e">
        <f ca="1">VLOOKUP(AK152,坦克个性化设定!$B$18:$E$48,4,FALSE)</f>
        <v>#REF!</v>
      </c>
      <c r="BD152" s="357" t="e">
        <f t="shared" ca="1" si="105"/>
        <v>#REF!</v>
      </c>
      <c r="BF152" s="357" t="str">
        <f t="shared" ca="1" si="99"/>
        <v/>
      </c>
      <c r="BG152" s="372" t="str">
        <f ca="1">IFERROR(VLOOKUP(BF152,坦克个性化设定!$B$18:$F$48,5,FALSE),"")</f>
        <v/>
      </c>
      <c r="BH152" s="372" t="e">
        <f t="shared" ca="1" si="106"/>
        <v>#REF!</v>
      </c>
      <c r="BI152" s="372" t="e">
        <f t="shared" ca="1" si="107"/>
        <v>#REF!</v>
      </c>
      <c r="BJ152" s="364" t="str">
        <f t="shared" ca="1" si="100"/>
        <v>NULL</v>
      </c>
      <c r="BK152" s="372" t="e">
        <f ca="1">VLOOKUP($BF152&amp;IF($BJ152="NULL",0,$BJ152),所有坦克升星属性,MATCH(BK$3,所有坦克升星属性标头,0),FALSE)+ROUND(BP152/VLOOKUP($BF152,坦克部件!#REF!,4,FALSE)*VLOOKUP($BF152&amp;0,所有坦克升星属性,MATCH(BK$3,所有坦克升星属性标头,0),FALSE),0)</f>
        <v>#N/A</v>
      </c>
      <c r="BL152" s="372" t="e">
        <f ca="1">VLOOKUP($BF152&amp;IF($BJ152="NULL",0,$BJ152),所有坦克升星属性,MATCH(BL$3,所有坦克升星属性标头,0),FALSE)+ROUND(BQ152/VLOOKUP($BF152,坦克部件!#REF!,4,FALSE)*VLOOKUP($BF152&amp;0,所有坦克升星属性,MATCH(BL$3,所有坦克升星属性标头,0),FALSE),0)</f>
        <v>#N/A</v>
      </c>
      <c r="BM152" s="372" t="e">
        <f t="shared" ca="1" si="113"/>
        <v>#N/A</v>
      </c>
      <c r="BN152" s="372" t="e">
        <f t="shared" ca="1" si="113"/>
        <v>#N/A</v>
      </c>
      <c r="BO152" s="372" t="e">
        <f ca="1">VLOOKUP($BF152&amp;IF($BJ152="NULL",0,$BJ152),所有坦克升星属性,MATCH(BO$3,所有坦克升星属性标头,0),FALSE)+ROUND(BR152/VLOOKUP($BF152,坦克部件!#REF!,4,FALSE)*VLOOKUP($BF152&amp;0,所有坦克升星属性,MATCH(BO$3,所有坦克升星属性标头,0),FALSE),0)</f>
        <v>#N/A</v>
      </c>
      <c r="BP152" s="372" t="e">
        <f ca="1">(VLOOKUP($BH152,坦克部件!#REF!,MATCH("标准值",坦克部件!#REF!,0),FALSE)+VLOOKUP($BI152,坦克部件!#REF!,MATCH("标准值",坦克部件!#REF!,0),FALSE))*2</f>
        <v>#REF!</v>
      </c>
      <c r="BQ152" s="372" t="e">
        <f ca="1">(VLOOKUP($BH152,坦克部件!#REF!,MATCH("标准值",坦克部件!#REF!,0),FALSE)+VLOOKUP($BI152,坦克部件!#REF!,MATCH("标准值",坦克部件!#REF!,0),FALSE))*2</f>
        <v>#REF!</v>
      </c>
      <c r="BR152" s="372" t="e">
        <f ca="1">(VLOOKUP($BH152,坦克部件!#REF!,MATCH("标准值",坦克部件!#REF!,0),FALSE)+VLOOKUP($BI152,坦克部件!#REF!,MATCH("标准值",坦克部件!#REF!,0),FALSE))*2</f>
        <v>#REF!</v>
      </c>
      <c r="BS152" s="372" t="e">
        <f ca="1">VLOOKUP($BF152,坦克属性统计!$B$3:$AY$33,MATCH(BS$3,坦克属性统计!$B$3:$AY$3,0),FALSE)</f>
        <v>#N/A</v>
      </c>
      <c r="BT152" s="372" t="e">
        <f t="shared" ca="1" si="114"/>
        <v>#N/A</v>
      </c>
      <c r="BU152" s="372" t="e">
        <f t="shared" ca="1" si="114"/>
        <v>#N/A</v>
      </c>
      <c r="BV152" s="372" t="e">
        <f t="shared" ca="1" si="114"/>
        <v>#N/A</v>
      </c>
      <c r="BW152" s="356">
        <f t="shared" ca="1" si="101"/>
        <v>0</v>
      </c>
      <c r="BX152" s="356" t="e">
        <f ca="1">VLOOKUP(BF152,坦克个性化设定!$B$18:$E$48,4,FALSE)</f>
        <v>#N/A</v>
      </c>
      <c r="BY152" s="357" t="e">
        <f t="shared" ca="1" si="108"/>
        <v>#N/A</v>
      </c>
    </row>
    <row r="153" spans="15:77" x14ac:dyDescent="0.35">
      <c r="O153" s="365">
        <v>150</v>
      </c>
      <c r="P153" s="360" t="e">
        <f t="shared" ca="1" si="115"/>
        <v>#REF!</v>
      </c>
      <c r="Q153" s="360" t="e">
        <f ca="1">ROUND(MIN((BD153-VLOOKUP(R153,$B$22:$F$46,2,FALSE))/(VLOOKUP(R153,$B$22:$F$46,3,FALSE)-VLOOKUP(R153,$B$22:$F$46,2,FALSE)),1)*((VLOOKUP(R153,$B$22:$F$46,4,FALSE)*(AG153/(AG153+VLOOKUP(P153,$D$49:$F$123,3,TRUE)))+VLOOKUP(R153,$B$22:$F$46,5,FALSE)*(1-AG153/(AG153+VLOOKUP(P153,$D$49:$F$123,3,TRUE))))/2)*游戏时长规划!$C$4,0)</f>
        <v>#REF!</v>
      </c>
      <c r="R153" s="360" t="e">
        <f t="shared" ca="1" si="88"/>
        <v>#REF!</v>
      </c>
      <c r="S153" s="360" t="e">
        <f t="shared" ca="1" si="109"/>
        <v>#REF!</v>
      </c>
      <c r="T153" s="360" t="e">
        <f t="shared" ca="1" si="116"/>
        <v>#REF!</v>
      </c>
      <c r="U153" s="370" t="e">
        <f t="shared" ca="1" si="89"/>
        <v>#REF!</v>
      </c>
      <c r="V153" s="363" t="e">
        <f t="shared" ca="1" si="110"/>
        <v>#REF!</v>
      </c>
      <c r="W153" s="360" t="e">
        <f t="shared" ca="1" si="90"/>
        <v>#REF!</v>
      </c>
      <c r="X153" s="81" t="e">
        <f t="shared" ca="1" si="102"/>
        <v>#REF!</v>
      </c>
      <c r="Y153" s="360" t="str">
        <f t="shared" ca="1" si="91"/>
        <v>NULL</v>
      </c>
      <c r="Z153" s="375" t="e">
        <f t="shared" ca="1" si="103"/>
        <v>#REF!</v>
      </c>
      <c r="AA153" s="360">
        <f ca="1">IFERROR(VLOOKUP(IF(V153="T1低",游戏时长规划!$C$67+Z153,Z153),INDIRECT(V153&amp;"星级"),2,TRUE),0)</f>
        <v>0</v>
      </c>
      <c r="AB153" s="375" t="e">
        <f t="shared" ca="1" si="92"/>
        <v>#REF!</v>
      </c>
      <c r="AC153" s="375">
        <f ca="1">($D$14+$D$17)*$L$4/坦克部件养成!$C$2+AC152-IFERROR(IF(RIGHT(AD152,3)*1&gt;RIGHT(VLOOKUP(AC152,INDIRECT(LEFT(AD151,2)&amp;"部件升阶"),5,TRUE),3)*1,VLOOKUP(AD151,INDIRECT(LEFT(AD151,2)&amp;"部件升阶消耗"),2,FALSE),0),0)</f>
        <v>1774.9999999999966</v>
      </c>
      <c r="AD153" s="360" t="e">
        <f t="shared" ca="1" si="93"/>
        <v>#REF!</v>
      </c>
      <c r="AE153" s="375" t="e">
        <f ca="1">$D$15*$L$4/坦克部件养成!$C$2+AE152-IF(LEFT(AD153,2)&lt;&gt;LEFT(AD152,2),VLOOKUP(AF152,INDIRECT(LEFT(AD152,2)&amp;"部件升级消耗"),5,FALSE),0)</f>
        <v>#REF!</v>
      </c>
      <c r="AF153" s="360" t="e">
        <f ca="1">MIN(VLOOKUP(AE153,INDIRECT(LEFT(AD153,2)&amp;"部件升级"),2,TRUE),VLOOKUP(LEFT(AD153,2),坦克部件养成!#REF!,6,FALSE))</f>
        <v>#REF!</v>
      </c>
      <c r="AG153" s="378" t="e">
        <f ca="1">MAX(BD$4:BD153)</f>
        <v>#REF!</v>
      </c>
      <c r="AH153" s="378" t="str">
        <f t="shared" ca="1" si="94"/>
        <v/>
      </c>
      <c r="AI153" s="378">
        <f ca="1">IF(Y153="NULL",0,MAX(BY$4:BY153))</f>
        <v>0</v>
      </c>
      <c r="AK153" s="364" t="e">
        <f t="shared" ca="1" si="95"/>
        <v>#REF!</v>
      </c>
      <c r="AL153" s="364" t="e">
        <f ca="1">VLOOKUP(AK153,坦克个性化设定!$B$18:$F$48,5,FALSE)</f>
        <v>#REF!</v>
      </c>
      <c r="AM153" s="372" t="e">
        <f t="shared" ca="1" si="96"/>
        <v>#REF!</v>
      </c>
      <c r="AN153" s="372" t="e">
        <f t="shared" ca="1" si="104"/>
        <v>#REF!</v>
      </c>
      <c r="AO153" s="364">
        <f t="shared" ca="1" si="97"/>
        <v>0</v>
      </c>
      <c r="AP153" s="372" t="e">
        <f ca="1">VLOOKUP($AK153&amp;$AO153,所有坦克升星属性,MATCH(AP$3,所有坦克升星属性标头,0),FALSE)+ROUND(AU153/VLOOKUP($AK153,坦克部件!#REF!,4,FALSE)*VLOOKUP($AK153&amp;0,所有坦克升星属性,MATCH(AP$3,所有坦克升星属性标头,0),FALSE),0)</f>
        <v>#REF!</v>
      </c>
      <c r="AQ153" s="372" t="e">
        <f ca="1">VLOOKUP($AK153&amp;$AO153,所有坦克升星属性,MATCH(AQ$3,所有坦克升星属性标头,0),FALSE)+ROUND(AV153/VLOOKUP($AK153,坦克部件!#REF!,4,FALSE)*VLOOKUP($AK153&amp;0,所有坦克升星属性,MATCH(AQ$3,所有坦克升星属性标头,0),FALSE),0)</f>
        <v>#REF!</v>
      </c>
      <c r="AR153" s="372" t="e">
        <f t="shared" ca="1" si="111"/>
        <v>#REF!</v>
      </c>
      <c r="AS153" s="372" t="e">
        <f t="shared" ca="1" si="111"/>
        <v>#REF!</v>
      </c>
      <c r="AT153" s="372" t="e">
        <f ca="1">VLOOKUP($AK153&amp;$AO153,所有坦克升星属性,MATCH(AT$3,所有坦克升星属性标头,0),FALSE)+ROUND(AW153/VLOOKUP($AK153,坦克部件!#REF!,4,FALSE)*VLOOKUP($AK153&amp;0,所有坦克升星属性,MATCH(AT$3,所有坦克升星属性标头,0),FALSE),0)</f>
        <v>#REF!</v>
      </c>
      <c r="AU153" s="372" t="e">
        <f ca="1">(VLOOKUP($AM153,坦克部件!#REF!,MATCH("标准值",坦克部件!#REF!,0),FALSE)+VLOOKUP($AN153,坦克部件!#REF!,MATCH("标准值",坦克部件!#REF!,0),FALSE))*2</f>
        <v>#REF!</v>
      </c>
      <c r="AV153" s="372" t="e">
        <f ca="1">(VLOOKUP($AM153,坦克部件!#REF!,MATCH("标准值",坦克部件!#REF!,0),FALSE)+VLOOKUP($AN153,坦克部件!#REF!,MATCH("标准值",坦克部件!#REF!,0),FALSE))*2</f>
        <v>#REF!</v>
      </c>
      <c r="AW153" s="372" t="e">
        <f ca="1">(VLOOKUP($AM153,坦克部件!#REF!,MATCH("标准值",坦克部件!#REF!,0),FALSE)+VLOOKUP($AN153,坦克部件!#REF!,MATCH("标准值",坦克部件!#REF!,0),FALSE))*2</f>
        <v>#REF!</v>
      </c>
      <c r="AX153" s="372" t="e">
        <f ca="1">VLOOKUP($AK153,坦克属性统计!$B$3:$AY$33,MATCH(AX$3,坦克属性统计!$B$3:$AY$3,0),FALSE)</f>
        <v>#REF!</v>
      </c>
      <c r="AY153" s="372" t="e">
        <f t="shared" ca="1" si="112"/>
        <v>#REF!</v>
      </c>
      <c r="AZ153" s="372" t="e">
        <f t="shared" ca="1" si="112"/>
        <v>#REF!</v>
      </c>
      <c r="BA153" s="372" t="e">
        <f t="shared" ca="1" si="112"/>
        <v>#REF!</v>
      </c>
      <c r="BB153" s="356" t="e">
        <f t="shared" ca="1" si="98"/>
        <v>#REF!</v>
      </c>
      <c r="BC153" s="356" t="e">
        <f ca="1">VLOOKUP(AK153,坦克个性化设定!$B$18:$E$48,4,FALSE)</f>
        <v>#REF!</v>
      </c>
      <c r="BD153" s="357" t="e">
        <f t="shared" ca="1" si="105"/>
        <v>#REF!</v>
      </c>
      <c r="BF153" s="357" t="str">
        <f t="shared" ca="1" si="99"/>
        <v/>
      </c>
      <c r="BG153" s="372" t="str">
        <f ca="1">IFERROR(VLOOKUP(BF153,坦克个性化设定!$B$18:$F$48,5,FALSE),"")</f>
        <v/>
      </c>
      <c r="BH153" s="372" t="e">
        <f t="shared" ca="1" si="106"/>
        <v>#REF!</v>
      </c>
      <c r="BI153" s="372" t="e">
        <f t="shared" ca="1" si="107"/>
        <v>#REF!</v>
      </c>
      <c r="BJ153" s="364" t="str">
        <f t="shared" ca="1" si="100"/>
        <v>NULL</v>
      </c>
      <c r="BK153" s="372" t="e">
        <f ca="1">VLOOKUP($BF153&amp;IF($BJ153="NULL",0,$BJ153),所有坦克升星属性,MATCH(BK$3,所有坦克升星属性标头,0),FALSE)+ROUND(BP153/VLOOKUP($BF153,坦克部件!#REF!,4,FALSE)*VLOOKUP($BF153&amp;0,所有坦克升星属性,MATCH(BK$3,所有坦克升星属性标头,0),FALSE),0)</f>
        <v>#N/A</v>
      </c>
      <c r="BL153" s="372" t="e">
        <f ca="1">VLOOKUP($BF153&amp;IF($BJ153="NULL",0,$BJ153),所有坦克升星属性,MATCH(BL$3,所有坦克升星属性标头,0),FALSE)+ROUND(BQ153/VLOOKUP($BF153,坦克部件!#REF!,4,FALSE)*VLOOKUP($BF153&amp;0,所有坦克升星属性,MATCH(BL$3,所有坦克升星属性标头,0),FALSE),0)</f>
        <v>#N/A</v>
      </c>
      <c r="BM153" s="372" t="e">
        <f t="shared" ca="1" si="113"/>
        <v>#N/A</v>
      </c>
      <c r="BN153" s="372" t="e">
        <f t="shared" ca="1" si="113"/>
        <v>#N/A</v>
      </c>
      <c r="BO153" s="372" t="e">
        <f ca="1">VLOOKUP($BF153&amp;IF($BJ153="NULL",0,$BJ153),所有坦克升星属性,MATCH(BO$3,所有坦克升星属性标头,0),FALSE)+ROUND(BR153/VLOOKUP($BF153,坦克部件!#REF!,4,FALSE)*VLOOKUP($BF153&amp;0,所有坦克升星属性,MATCH(BO$3,所有坦克升星属性标头,0),FALSE),0)</f>
        <v>#N/A</v>
      </c>
      <c r="BP153" s="372" t="e">
        <f ca="1">(VLOOKUP($BH153,坦克部件!#REF!,MATCH("标准值",坦克部件!#REF!,0),FALSE)+VLOOKUP($BI153,坦克部件!#REF!,MATCH("标准值",坦克部件!#REF!,0),FALSE))*2</f>
        <v>#REF!</v>
      </c>
      <c r="BQ153" s="372" t="e">
        <f ca="1">(VLOOKUP($BH153,坦克部件!#REF!,MATCH("标准值",坦克部件!#REF!,0),FALSE)+VLOOKUP($BI153,坦克部件!#REF!,MATCH("标准值",坦克部件!#REF!,0),FALSE))*2</f>
        <v>#REF!</v>
      </c>
      <c r="BR153" s="372" t="e">
        <f ca="1">(VLOOKUP($BH153,坦克部件!#REF!,MATCH("标准值",坦克部件!#REF!,0),FALSE)+VLOOKUP($BI153,坦克部件!#REF!,MATCH("标准值",坦克部件!#REF!,0),FALSE))*2</f>
        <v>#REF!</v>
      </c>
      <c r="BS153" s="372" t="e">
        <f ca="1">VLOOKUP($BF153,坦克属性统计!$B$3:$AY$33,MATCH(BS$3,坦克属性统计!$B$3:$AY$3,0),FALSE)</f>
        <v>#N/A</v>
      </c>
      <c r="BT153" s="372" t="e">
        <f t="shared" ca="1" si="114"/>
        <v>#N/A</v>
      </c>
      <c r="BU153" s="372" t="e">
        <f t="shared" ca="1" si="114"/>
        <v>#N/A</v>
      </c>
      <c r="BV153" s="372" t="e">
        <f t="shared" ca="1" si="114"/>
        <v>#N/A</v>
      </c>
      <c r="BW153" s="356">
        <f t="shared" ca="1" si="101"/>
        <v>0</v>
      </c>
      <c r="BX153" s="356" t="e">
        <f ca="1">VLOOKUP(BF153,坦克个性化设定!$B$18:$E$48,4,FALSE)</f>
        <v>#N/A</v>
      </c>
      <c r="BY153" s="357" t="e">
        <f t="shared" ca="1" si="108"/>
        <v>#N/A</v>
      </c>
    </row>
    <row r="154" spans="15:77" x14ac:dyDescent="0.35">
      <c r="O154" s="365">
        <v>151</v>
      </c>
      <c r="P154" s="360" t="e">
        <f t="shared" ca="1" si="115"/>
        <v>#REF!</v>
      </c>
      <c r="Q154" s="360" t="e">
        <f ca="1">ROUND(MIN((BD154-VLOOKUP(R154,$B$22:$F$46,2,FALSE))/(VLOOKUP(R154,$B$22:$F$46,3,FALSE)-VLOOKUP(R154,$B$22:$F$46,2,FALSE)),1)*((VLOOKUP(R154,$B$22:$F$46,4,FALSE)*(AG154/(AG154+VLOOKUP(P154,$D$49:$F$123,3,TRUE)))+VLOOKUP(R154,$B$22:$F$46,5,FALSE)*(1-AG154/(AG154+VLOOKUP(P154,$D$49:$F$123,3,TRUE))))/2)*游戏时长规划!$C$4,0)</f>
        <v>#REF!</v>
      </c>
      <c r="R154" s="360" t="e">
        <f t="shared" ca="1" si="88"/>
        <v>#REF!</v>
      </c>
      <c r="S154" s="360" t="e">
        <f t="shared" ca="1" si="109"/>
        <v>#REF!</v>
      </c>
      <c r="T154" s="360" t="e">
        <f t="shared" ca="1" si="116"/>
        <v>#REF!</v>
      </c>
      <c r="U154" s="370" t="e">
        <f t="shared" ca="1" si="89"/>
        <v>#REF!</v>
      </c>
      <c r="V154" s="363" t="e">
        <f t="shared" ca="1" si="110"/>
        <v>#REF!</v>
      </c>
      <c r="W154" s="360" t="e">
        <f t="shared" ca="1" si="90"/>
        <v>#REF!</v>
      </c>
      <c r="X154" s="81" t="e">
        <f t="shared" ca="1" si="102"/>
        <v>#REF!</v>
      </c>
      <c r="Y154" s="360" t="str">
        <f t="shared" ca="1" si="91"/>
        <v>NULL</v>
      </c>
      <c r="Z154" s="375" t="e">
        <f t="shared" ca="1" si="103"/>
        <v>#REF!</v>
      </c>
      <c r="AA154" s="360">
        <f ca="1">IFERROR(VLOOKUP(IF(V154="T1低",游戏时长规划!$C$67+Z154,Z154),INDIRECT(V154&amp;"星级"),2,TRUE),0)</f>
        <v>0</v>
      </c>
      <c r="AB154" s="375" t="e">
        <f t="shared" ca="1" si="92"/>
        <v>#REF!</v>
      </c>
      <c r="AC154" s="375">
        <f ca="1">($D$14+$D$17)*$L$4/坦克部件养成!$C$2+AC153-IFERROR(IF(RIGHT(AD153,3)*1&gt;RIGHT(VLOOKUP(AC153,INDIRECT(LEFT(AD152,2)&amp;"部件升阶"),5,TRUE),3)*1,VLOOKUP(AD152,INDIRECT(LEFT(AD152,2)&amp;"部件升阶消耗"),2,FALSE),0),0)</f>
        <v>1786.8333333333298</v>
      </c>
      <c r="AD154" s="360" t="e">
        <f t="shared" ca="1" si="93"/>
        <v>#REF!</v>
      </c>
      <c r="AE154" s="375" t="e">
        <f ca="1">$D$15*$L$4/坦克部件养成!$C$2+AE153-IF(LEFT(AD154,2)&lt;&gt;LEFT(AD153,2),VLOOKUP(AF153,INDIRECT(LEFT(AD153,2)&amp;"部件升级消耗"),5,FALSE),0)</f>
        <v>#REF!</v>
      </c>
      <c r="AF154" s="360" t="e">
        <f ca="1">MIN(VLOOKUP(AE154,INDIRECT(LEFT(AD154,2)&amp;"部件升级"),2,TRUE),VLOOKUP(LEFT(AD154,2),坦克部件养成!#REF!,6,FALSE))</f>
        <v>#REF!</v>
      </c>
      <c r="AG154" s="378" t="e">
        <f ca="1">MAX(BD$4:BD154)</f>
        <v>#REF!</v>
      </c>
      <c r="AH154" s="378" t="str">
        <f t="shared" ca="1" si="94"/>
        <v/>
      </c>
      <c r="AI154" s="378">
        <f ca="1">IF(Y154="NULL",0,MAX(BY$4:BY154))</f>
        <v>0</v>
      </c>
      <c r="AK154" s="364" t="e">
        <f t="shared" ca="1" si="95"/>
        <v>#REF!</v>
      </c>
      <c r="AL154" s="364" t="e">
        <f ca="1">VLOOKUP(AK154,坦克个性化设定!$B$18:$F$48,5,FALSE)</f>
        <v>#REF!</v>
      </c>
      <c r="AM154" s="372" t="e">
        <f t="shared" ca="1" si="96"/>
        <v>#REF!</v>
      </c>
      <c r="AN154" s="372" t="e">
        <f t="shared" ca="1" si="104"/>
        <v>#REF!</v>
      </c>
      <c r="AO154" s="364">
        <f t="shared" ca="1" si="97"/>
        <v>0</v>
      </c>
      <c r="AP154" s="372" t="e">
        <f ca="1">VLOOKUP($AK154&amp;$AO154,所有坦克升星属性,MATCH(AP$3,所有坦克升星属性标头,0),FALSE)+ROUND(AU154/VLOOKUP($AK154,坦克部件!#REF!,4,FALSE)*VLOOKUP($AK154&amp;0,所有坦克升星属性,MATCH(AP$3,所有坦克升星属性标头,0),FALSE),0)</f>
        <v>#REF!</v>
      </c>
      <c r="AQ154" s="372" t="e">
        <f ca="1">VLOOKUP($AK154&amp;$AO154,所有坦克升星属性,MATCH(AQ$3,所有坦克升星属性标头,0),FALSE)+ROUND(AV154/VLOOKUP($AK154,坦克部件!#REF!,4,FALSE)*VLOOKUP($AK154&amp;0,所有坦克升星属性,MATCH(AQ$3,所有坦克升星属性标头,0),FALSE),0)</f>
        <v>#REF!</v>
      </c>
      <c r="AR154" s="372" t="e">
        <f t="shared" ca="1" si="111"/>
        <v>#REF!</v>
      </c>
      <c r="AS154" s="372" t="e">
        <f t="shared" ca="1" si="111"/>
        <v>#REF!</v>
      </c>
      <c r="AT154" s="372" t="e">
        <f ca="1">VLOOKUP($AK154&amp;$AO154,所有坦克升星属性,MATCH(AT$3,所有坦克升星属性标头,0),FALSE)+ROUND(AW154/VLOOKUP($AK154,坦克部件!#REF!,4,FALSE)*VLOOKUP($AK154&amp;0,所有坦克升星属性,MATCH(AT$3,所有坦克升星属性标头,0),FALSE),0)</f>
        <v>#REF!</v>
      </c>
      <c r="AU154" s="372" t="e">
        <f ca="1">(VLOOKUP($AM154,坦克部件!#REF!,MATCH("标准值",坦克部件!#REF!,0),FALSE)+VLOOKUP($AN154,坦克部件!#REF!,MATCH("标准值",坦克部件!#REF!,0),FALSE))*2</f>
        <v>#REF!</v>
      </c>
      <c r="AV154" s="372" t="e">
        <f ca="1">(VLOOKUP($AM154,坦克部件!#REF!,MATCH("标准值",坦克部件!#REF!,0),FALSE)+VLOOKUP($AN154,坦克部件!#REF!,MATCH("标准值",坦克部件!#REF!,0),FALSE))*2</f>
        <v>#REF!</v>
      </c>
      <c r="AW154" s="372" t="e">
        <f ca="1">(VLOOKUP($AM154,坦克部件!#REF!,MATCH("标准值",坦克部件!#REF!,0),FALSE)+VLOOKUP($AN154,坦克部件!#REF!,MATCH("标准值",坦克部件!#REF!,0),FALSE))*2</f>
        <v>#REF!</v>
      </c>
      <c r="AX154" s="372" t="e">
        <f ca="1">VLOOKUP($AK154,坦克属性统计!$B$3:$AY$33,MATCH(AX$3,坦克属性统计!$B$3:$AY$3,0),FALSE)</f>
        <v>#REF!</v>
      </c>
      <c r="AY154" s="372" t="e">
        <f t="shared" ca="1" si="112"/>
        <v>#REF!</v>
      </c>
      <c r="AZ154" s="372" t="e">
        <f t="shared" ca="1" si="112"/>
        <v>#REF!</v>
      </c>
      <c r="BA154" s="372" t="e">
        <f t="shared" ca="1" si="112"/>
        <v>#REF!</v>
      </c>
      <c r="BB154" s="356" t="e">
        <f t="shared" ca="1" si="98"/>
        <v>#REF!</v>
      </c>
      <c r="BC154" s="356" t="e">
        <f ca="1">VLOOKUP(AK154,坦克个性化设定!$B$18:$E$48,4,FALSE)</f>
        <v>#REF!</v>
      </c>
      <c r="BD154" s="357" t="e">
        <f t="shared" ca="1" si="105"/>
        <v>#REF!</v>
      </c>
      <c r="BF154" s="357" t="str">
        <f t="shared" ca="1" si="99"/>
        <v/>
      </c>
      <c r="BG154" s="372" t="str">
        <f ca="1">IFERROR(VLOOKUP(BF154,坦克个性化设定!$B$18:$F$48,5,FALSE),"")</f>
        <v/>
      </c>
      <c r="BH154" s="372" t="e">
        <f t="shared" ca="1" si="106"/>
        <v>#REF!</v>
      </c>
      <c r="BI154" s="372" t="e">
        <f t="shared" ca="1" si="107"/>
        <v>#REF!</v>
      </c>
      <c r="BJ154" s="364" t="str">
        <f t="shared" ca="1" si="100"/>
        <v>NULL</v>
      </c>
      <c r="BK154" s="372" t="e">
        <f ca="1">VLOOKUP($BF154&amp;IF($BJ154="NULL",0,$BJ154),所有坦克升星属性,MATCH(BK$3,所有坦克升星属性标头,0),FALSE)+ROUND(BP154/VLOOKUP($BF154,坦克部件!#REF!,4,FALSE)*VLOOKUP($BF154&amp;0,所有坦克升星属性,MATCH(BK$3,所有坦克升星属性标头,0),FALSE),0)</f>
        <v>#N/A</v>
      </c>
      <c r="BL154" s="372" t="e">
        <f ca="1">VLOOKUP($BF154&amp;IF($BJ154="NULL",0,$BJ154),所有坦克升星属性,MATCH(BL$3,所有坦克升星属性标头,0),FALSE)+ROUND(BQ154/VLOOKUP($BF154,坦克部件!#REF!,4,FALSE)*VLOOKUP($BF154&amp;0,所有坦克升星属性,MATCH(BL$3,所有坦克升星属性标头,0),FALSE),0)</f>
        <v>#N/A</v>
      </c>
      <c r="BM154" s="372" t="e">
        <f t="shared" ca="1" si="113"/>
        <v>#N/A</v>
      </c>
      <c r="BN154" s="372" t="e">
        <f t="shared" ca="1" si="113"/>
        <v>#N/A</v>
      </c>
      <c r="BO154" s="372" t="e">
        <f ca="1">VLOOKUP($BF154&amp;IF($BJ154="NULL",0,$BJ154),所有坦克升星属性,MATCH(BO$3,所有坦克升星属性标头,0),FALSE)+ROUND(BR154/VLOOKUP($BF154,坦克部件!#REF!,4,FALSE)*VLOOKUP($BF154&amp;0,所有坦克升星属性,MATCH(BO$3,所有坦克升星属性标头,0),FALSE),0)</f>
        <v>#N/A</v>
      </c>
      <c r="BP154" s="372" t="e">
        <f ca="1">(VLOOKUP($BH154,坦克部件!#REF!,MATCH("标准值",坦克部件!#REF!,0),FALSE)+VLOOKUP($BI154,坦克部件!#REF!,MATCH("标准值",坦克部件!#REF!,0),FALSE))*2</f>
        <v>#REF!</v>
      </c>
      <c r="BQ154" s="372" t="e">
        <f ca="1">(VLOOKUP($BH154,坦克部件!#REF!,MATCH("标准值",坦克部件!#REF!,0),FALSE)+VLOOKUP($BI154,坦克部件!#REF!,MATCH("标准值",坦克部件!#REF!,0),FALSE))*2</f>
        <v>#REF!</v>
      </c>
      <c r="BR154" s="372" t="e">
        <f ca="1">(VLOOKUP($BH154,坦克部件!#REF!,MATCH("标准值",坦克部件!#REF!,0),FALSE)+VLOOKUP($BI154,坦克部件!#REF!,MATCH("标准值",坦克部件!#REF!,0),FALSE))*2</f>
        <v>#REF!</v>
      </c>
      <c r="BS154" s="372" t="e">
        <f ca="1">VLOOKUP($BF154,坦克属性统计!$B$3:$AY$33,MATCH(BS$3,坦克属性统计!$B$3:$AY$3,0),FALSE)</f>
        <v>#N/A</v>
      </c>
      <c r="BT154" s="372" t="e">
        <f t="shared" ca="1" si="114"/>
        <v>#N/A</v>
      </c>
      <c r="BU154" s="372" t="e">
        <f t="shared" ca="1" si="114"/>
        <v>#N/A</v>
      </c>
      <c r="BV154" s="372" t="e">
        <f t="shared" ca="1" si="114"/>
        <v>#N/A</v>
      </c>
      <c r="BW154" s="356">
        <f t="shared" ca="1" si="101"/>
        <v>0</v>
      </c>
      <c r="BX154" s="356" t="e">
        <f ca="1">VLOOKUP(BF154,坦克个性化设定!$B$18:$E$48,4,FALSE)</f>
        <v>#N/A</v>
      </c>
      <c r="BY154" s="357" t="e">
        <f t="shared" ca="1" si="108"/>
        <v>#N/A</v>
      </c>
    </row>
    <row r="155" spans="15:77" x14ac:dyDescent="0.35">
      <c r="O155" s="365">
        <v>152</v>
      </c>
      <c r="P155" s="360" t="e">
        <f t="shared" ca="1" si="115"/>
        <v>#REF!</v>
      </c>
      <c r="Q155" s="360" t="e">
        <f ca="1">ROUND(MIN((BD155-VLOOKUP(R155,$B$22:$F$46,2,FALSE))/(VLOOKUP(R155,$B$22:$F$46,3,FALSE)-VLOOKUP(R155,$B$22:$F$46,2,FALSE)),1)*((VLOOKUP(R155,$B$22:$F$46,4,FALSE)*(AG155/(AG155+VLOOKUP(P155,$D$49:$F$123,3,TRUE)))+VLOOKUP(R155,$B$22:$F$46,5,FALSE)*(1-AG155/(AG155+VLOOKUP(P155,$D$49:$F$123,3,TRUE))))/2)*游戏时长规划!$C$4,0)</f>
        <v>#REF!</v>
      </c>
      <c r="R155" s="360" t="e">
        <f t="shared" ca="1" si="88"/>
        <v>#REF!</v>
      </c>
      <c r="S155" s="360" t="e">
        <f t="shared" ca="1" si="109"/>
        <v>#REF!</v>
      </c>
      <c r="T155" s="360" t="e">
        <f t="shared" ca="1" si="116"/>
        <v>#REF!</v>
      </c>
      <c r="U155" s="370" t="e">
        <f t="shared" ca="1" si="89"/>
        <v>#REF!</v>
      </c>
      <c r="V155" s="363" t="e">
        <f t="shared" ca="1" si="110"/>
        <v>#REF!</v>
      </c>
      <c r="W155" s="360" t="e">
        <f t="shared" ca="1" si="90"/>
        <v>#REF!</v>
      </c>
      <c r="X155" s="81" t="e">
        <f t="shared" ca="1" si="102"/>
        <v>#REF!</v>
      </c>
      <c r="Y155" s="360" t="str">
        <f t="shared" ca="1" si="91"/>
        <v>NULL</v>
      </c>
      <c r="Z155" s="375" t="e">
        <f t="shared" ca="1" si="103"/>
        <v>#REF!</v>
      </c>
      <c r="AA155" s="360">
        <f ca="1">IFERROR(VLOOKUP(IF(V155="T1低",游戏时长规划!$C$67+Z155,Z155),INDIRECT(V155&amp;"星级"),2,TRUE),0)</f>
        <v>0</v>
      </c>
      <c r="AB155" s="375" t="e">
        <f t="shared" ca="1" si="92"/>
        <v>#REF!</v>
      </c>
      <c r="AC155" s="375">
        <f ca="1">($D$14+$D$17)*$L$4/坦克部件养成!$C$2+AC154-IFERROR(IF(RIGHT(AD154,3)*1&gt;RIGHT(VLOOKUP(AC154,INDIRECT(LEFT(AD153,2)&amp;"部件升阶"),5,TRUE),3)*1,VLOOKUP(AD153,INDIRECT(LEFT(AD153,2)&amp;"部件升阶消耗"),2,FALSE),0),0)</f>
        <v>1798.6666666666631</v>
      </c>
      <c r="AD155" s="360" t="e">
        <f t="shared" ca="1" si="93"/>
        <v>#REF!</v>
      </c>
      <c r="AE155" s="375" t="e">
        <f ca="1">$D$15*$L$4/坦克部件养成!$C$2+AE154-IF(LEFT(AD155,2)&lt;&gt;LEFT(AD154,2),VLOOKUP(AF154,INDIRECT(LEFT(AD154,2)&amp;"部件升级消耗"),5,FALSE),0)</f>
        <v>#REF!</v>
      </c>
      <c r="AF155" s="360" t="e">
        <f ca="1">MIN(VLOOKUP(AE155,INDIRECT(LEFT(AD155,2)&amp;"部件升级"),2,TRUE),VLOOKUP(LEFT(AD155,2),坦克部件养成!#REF!,6,FALSE))</f>
        <v>#REF!</v>
      </c>
      <c r="AG155" s="378" t="e">
        <f ca="1">MAX(BD$4:BD155)</f>
        <v>#REF!</v>
      </c>
      <c r="AH155" s="378" t="str">
        <f t="shared" ca="1" si="94"/>
        <v/>
      </c>
      <c r="AI155" s="378">
        <f ca="1">IF(Y155="NULL",0,MAX(BY$4:BY155))</f>
        <v>0</v>
      </c>
      <c r="AK155" s="364" t="e">
        <f t="shared" ca="1" si="95"/>
        <v>#REF!</v>
      </c>
      <c r="AL155" s="364" t="e">
        <f ca="1">VLOOKUP(AK155,坦克个性化设定!$B$18:$F$48,5,FALSE)</f>
        <v>#REF!</v>
      </c>
      <c r="AM155" s="372" t="e">
        <f t="shared" ca="1" si="96"/>
        <v>#REF!</v>
      </c>
      <c r="AN155" s="372" t="e">
        <f t="shared" ca="1" si="104"/>
        <v>#REF!</v>
      </c>
      <c r="AO155" s="364">
        <f t="shared" ca="1" si="97"/>
        <v>0</v>
      </c>
      <c r="AP155" s="372" t="e">
        <f ca="1">VLOOKUP($AK155&amp;$AO155,所有坦克升星属性,MATCH(AP$3,所有坦克升星属性标头,0),FALSE)+ROUND(AU155/VLOOKUP($AK155,坦克部件!#REF!,4,FALSE)*VLOOKUP($AK155&amp;0,所有坦克升星属性,MATCH(AP$3,所有坦克升星属性标头,0),FALSE),0)</f>
        <v>#REF!</v>
      </c>
      <c r="AQ155" s="372" t="e">
        <f ca="1">VLOOKUP($AK155&amp;$AO155,所有坦克升星属性,MATCH(AQ$3,所有坦克升星属性标头,0),FALSE)+ROUND(AV155/VLOOKUP($AK155,坦克部件!#REF!,4,FALSE)*VLOOKUP($AK155&amp;0,所有坦克升星属性,MATCH(AQ$3,所有坦克升星属性标头,0),FALSE),0)</f>
        <v>#REF!</v>
      </c>
      <c r="AR155" s="372" t="e">
        <f t="shared" ca="1" si="111"/>
        <v>#REF!</v>
      </c>
      <c r="AS155" s="372" t="e">
        <f t="shared" ca="1" si="111"/>
        <v>#REF!</v>
      </c>
      <c r="AT155" s="372" t="e">
        <f ca="1">VLOOKUP($AK155&amp;$AO155,所有坦克升星属性,MATCH(AT$3,所有坦克升星属性标头,0),FALSE)+ROUND(AW155/VLOOKUP($AK155,坦克部件!#REF!,4,FALSE)*VLOOKUP($AK155&amp;0,所有坦克升星属性,MATCH(AT$3,所有坦克升星属性标头,0),FALSE),0)</f>
        <v>#REF!</v>
      </c>
      <c r="AU155" s="372" t="e">
        <f ca="1">(VLOOKUP($AM155,坦克部件!#REF!,MATCH("标准值",坦克部件!#REF!,0),FALSE)+VLOOKUP($AN155,坦克部件!#REF!,MATCH("标准值",坦克部件!#REF!,0),FALSE))*2</f>
        <v>#REF!</v>
      </c>
      <c r="AV155" s="372" t="e">
        <f ca="1">(VLOOKUP($AM155,坦克部件!#REF!,MATCH("标准值",坦克部件!#REF!,0),FALSE)+VLOOKUP($AN155,坦克部件!#REF!,MATCH("标准值",坦克部件!#REF!,0),FALSE))*2</f>
        <v>#REF!</v>
      </c>
      <c r="AW155" s="372" t="e">
        <f ca="1">(VLOOKUP($AM155,坦克部件!#REF!,MATCH("标准值",坦克部件!#REF!,0),FALSE)+VLOOKUP($AN155,坦克部件!#REF!,MATCH("标准值",坦克部件!#REF!,0),FALSE))*2</f>
        <v>#REF!</v>
      </c>
      <c r="AX155" s="372" t="e">
        <f ca="1">VLOOKUP($AK155,坦克属性统计!$B$3:$AY$33,MATCH(AX$3,坦克属性统计!$B$3:$AY$3,0),FALSE)</f>
        <v>#REF!</v>
      </c>
      <c r="AY155" s="372" t="e">
        <f t="shared" ca="1" si="112"/>
        <v>#REF!</v>
      </c>
      <c r="AZ155" s="372" t="e">
        <f t="shared" ca="1" si="112"/>
        <v>#REF!</v>
      </c>
      <c r="BA155" s="372" t="e">
        <f t="shared" ca="1" si="112"/>
        <v>#REF!</v>
      </c>
      <c r="BB155" s="356" t="e">
        <f t="shared" ca="1" si="98"/>
        <v>#REF!</v>
      </c>
      <c r="BC155" s="356" t="e">
        <f ca="1">VLOOKUP(AK155,坦克个性化设定!$B$18:$E$48,4,FALSE)</f>
        <v>#REF!</v>
      </c>
      <c r="BD155" s="357" t="e">
        <f t="shared" ca="1" si="105"/>
        <v>#REF!</v>
      </c>
      <c r="BF155" s="357" t="str">
        <f t="shared" ca="1" si="99"/>
        <v/>
      </c>
      <c r="BG155" s="372" t="str">
        <f ca="1">IFERROR(VLOOKUP(BF155,坦克个性化设定!$B$18:$F$48,5,FALSE),"")</f>
        <v/>
      </c>
      <c r="BH155" s="372" t="e">
        <f t="shared" ca="1" si="106"/>
        <v>#REF!</v>
      </c>
      <c r="BI155" s="372" t="e">
        <f t="shared" ca="1" si="107"/>
        <v>#REF!</v>
      </c>
      <c r="BJ155" s="364" t="str">
        <f t="shared" ca="1" si="100"/>
        <v>NULL</v>
      </c>
      <c r="BK155" s="372" t="e">
        <f ca="1">VLOOKUP($BF155&amp;IF($BJ155="NULL",0,$BJ155),所有坦克升星属性,MATCH(BK$3,所有坦克升星属性标头,0),FALSE)+ROUND(BP155/VLOOKUP($BF155,坦克部件!#REF!,4,FALSE)*VLOOKUP($BF155&amp;0,所有坦克升星属性,MATCH(BK$3,所有坦克升星属性标头,0),FALSE),0)</f>
        <v>#N/A</v>
      </c>
      <c r="BL155" s="372" t="e">
        <f ca="1">VLOOKUP($BF155&amp;IF($BJ155="NULL",0,$BJ155),所有坦克升星属性,MATCH(BL$3,所有坦克升星属性标头,0),FALSE)+ROUND(BQ155/VLOOKUP($BF155,坦克部件!#REF!,4,FALSE)*VLOOKUP($BF155&amp;0,所有坦克升星属性,MATCH(BL$3,所有坦克升星属性标头,0),FALSE),0)</f>
        <v>#N/A</v>
      </c>
      <c r="BM155" s="372" t="e">
        <f t="shared" ca="1" si="113"/>
        <v>#N/A</v>
      </c>
      <c r="BN155" s="372" t="e">
        <f t="shared" ca="1" si="113"/>
        <v>#N/A</v>
      </c>
      <c r="BO155" s="372" t="e">
        <f ca="1">VLOOKUP($BF155&amp;IF($BJ155="NULL",0,$BJ155),所有坦克升星属性,MATCH(BO$3,所有坦克升星属性标头,0),FALSE)+ROUND(BR155/VLOOKUP($BF155,坦克部件!#REF!,4,FALSE)*VLOOKUP($BF155&amp;0,所有坦克升星属性,MATCH(BO$3,所有坦克升星属性标头,0),FALSE),0)</f>
        <v>#N/A</v>
      </c>
      <c r="BP155" s="372" t="e">
        <f ca="1">(VLOOKUP($BH155,坦克部件!#REF!,MATCH("标准值",坦克部件!#REF!,0),FALSE)+VLOOKUP($BI155,坦克部件!#REF!,MATCH("标准值",坦克部件!#REF!,0),FALSE))*2</f>
        <v>#REF!</v>
      </c>
      <c r="BQ155" s="372" t="e">
        <f ca="1">(VLOOKUP($BH155,坦克部件!#REF!,MATCH("标准值",坦克部件!#REF!,0),FALSE)+VLOOKUP($BI155,坦克部件!#REF!,MATCH("标准值",坦克部件!#REF!,0),FALSE))*2</f>
        <v>#REF!</v>
      </c>
      <c r="BR155" s="372" t="e">
        <f ca="1">(VLOOKUP($BH155,坦克部件!#REF!,MATCH("标准值",坦克部件!#REF!,0),FALSE)+VLOOKUP($BI155,坦克部件!#REF!,MATCH("标准值",坦克部件!#REF!,0),FALSE))*2</f>
        <v>#REF!</v>
      </c>
      <c r="BS155" s="372" t="e">
        <f ca="1">VLOOKUP($BF155,坦克属性统计!$B$3:$AY$33,MATCH(BS$3,坦克属性统计!$B$3:$AY$3,0),FALSE)</f>
        <v>#N/A</v>
      </c>
      <c r="BT155" s="372" t="e">
        <f t="shared" ca="1" si="114"/>
        <v>#N/A</v>
      </c>
      <c r="BU155" s="372" t="e">
        <f t="shared" ca="1" si="114"/>
        <v>#N/A</v>
      </c>
      <c r="BV155" s="372" t="e">
        <f t="shared" ca="1" si="114"/>
        <v>#N/A</v>
      </c>
      <c r="BW155" s="356">
        <f t="shared" ca="1" si="101"/>
        <v>0</v>
      </c>
      <c r="BX155" s="356" t="e">
        <f ca="1">VLOOKUP(BF155,坦克个性化设定!$B$18:$E$48,4,FALSE)</f>
        <v>#N/A</v>
      </c>
      <c r="BY155" s="357" t="e">
        <f t="shared" ca="1" si="108"/>
        <v>#N/A</v>
      </c>
    </row>
    <row r="156" spans="15:77" x14ac:dyDescent="0.35">
      <c r="O156" s="365">
        <v>153</v>
      </c>
      <c r="P156" s="360" t="e">
        <f t="shared" ca="1" si="115"/>
        <v>#REF!</v>
      </c>
      <c r="Q156" s="360" t="e">
        <f ca="1">ROUND(MIN((BD156-VLOOKUP(R156,$B$22:$F$46,2,FALSE))/(VLOOKUP(R156,$B$22:$F$46,3,FALSE)-VLOOKUP(R156,$B$22:$F$46,2,FALSE)),1)*((VLOOKUP(R156,$B$22:$F$46,4,FALSE)*(AG156/(AG156+VLOOKUP(P156,$D$49:$F$123,3,TRUE)))+VLOOKUP(R156,$B$22:$F$46,5,FALSE)*(1-AG156/(AG156+VLOOKUP(P156,$D$49:$F$123,3,TRUE))))/2)*游戏时长规划!$C$4,0)</f>
        <v>#REF!</v>
      </c>
      <c r="R156" s="360" t="e">
        <f t="shared" ca="1" si="88"/>
        <v>#REF!</v>
      </c>
      <c r="S156" s="360" t="e">
        <f t="shared" ca="1" si="109"/>
        <v>#REF!</v>
      </c>
      <c r="T156" s="360" t="e">
        <f t="shared" ca="1" si="116"/>
        <v>#REF!</v>
      </c>
      <c r="U156" s="370" t="e">
        <f t="shared" ca="1" si="89"/>
        <v>#REF!</v>
      </c>
      <c r="V156" s="363" t="e">
        <f t="shared" ca="1" si="110"/>
        <v>#REF!</v>
      </c>
      <c r="W156" s="360" t="e">
        <f t="shared" ca="1" si="90"/>
        <v>#REF!</v>
      </c>
      <c r="X156" s="81" t="e">
        <f t="shared" ca="1" si="102"/>
        <v>#REF!</v>
      </c>
      <c r="Y156" s="360" t="str">
        <f t="shared" ca="1" si="91"/>
        <v>NULL</v>
      </c>
      <c r="Z156" s="375" t="e">
        <f t="shared" ca="1" si="103"/>
        <v>#REF!</v>
      </c>
      <c r="AA156" s="360">
        <f ca="1">IFERROR(VLOOKUP(IF(V156="T1低",游戏时长规划!$C$67+Z156,Z156),INDIRECT(V156&amp;"星级"),2,TRUE),0)</f>
        <v>0</v>
      </c>
      <c r="AB156" s="375" t="e">
        <f t="shared" ca="1" si="92"/>
        <v>#REF!</v>
      </c>
      <c r="AC156" s="375">
        <f ca="1">($D$14+$D$17)*$L$4/坦克部件养成!$C$2+AC155-IFERROR(IF(RIGHT(AD155,3)*1&gt;RIGHT(VLOOKUP(AC155,INDIRECT(LEFT(AD154,2)&amp;"部件升阶"),5,TRUE),3)*1,VLOOKUP(AD154,INDIRECT(LEFT(AD154,2)&amp;"部件升阶消耗"),2,FALSE),0),0)</f>
        <v>1810.4999999999964</v>
      </c>
      <c r="AD156" s="360" t="e">
        <f t="shared" ca="1" si="93"/>
        <v>#REF!</v>
      </c>
      <c r="AE156" s="375" t="e">
        <f ca="1">$D$15*$L$4/坦克部件养成!$C$2+AE155-IF(LEFT(AD156,2)&lt;&gt;LEFT(AD155,2),VLOOKUP(AF155,INDIRECT(LEFT(AD155,2)&amp;"部件升级消耗"),5,FALSE),0)</f>
        <v>#REF!</v>
      </c>
      <c r="AF156" s="360" t="e">
        <f ca="1">MIN(VLOOKUP(AE156,INDIRECT(LEFT(AD156,2)&amp;"部件升级"),2,TRUE),VLOOKUP(LEFT(AD156,2),坦克部件养成!#REF!,6,FALSE))</f>
        <v>#REF!</v>
      </c>
      <c r="AG156" s="378" t="e">
        <f ca="1">MAX(BD$4:BD156)</f>
        <v>#REF!</v>
      </c>
      <c r="AH156" s="378" t="str">
        <f t="shared" ca="1" si="94"/>
        <v/>
      </c>
      <c r="AI156" s="378">
        <f ca="1">IF(Y156="NULL",0,MAX(BY$4:BY156))</f>
        <v>0</v>
      </c>
      <c r="AK156" s="364" t="e">
        <f t="shared" ca="1" si="95"/>
        <v>#REF!</v>
      </c>
      <c r="AL156" s="364" t="e">
        <f ca="1">VLOOKUP(AK156,坦克个性化设定!$B$18:$F$48,5,FALSE)</f>
        <v>#REF!</v>
      </c>
      <c r="AM156" s="372" t="e">
        <f t="shared" ca="1" si="96"/>
        <v>#REF!</v>
      </c>
      <c r="AN156" s="372" t="e">
        <f t="shared" ca="1" si="104"/>
        <v>#REF!</v>
      </c>
      <c r="AO156" s="364">
        <f t="shared" ca="1" si="97"/>
        <v>0</v>
      </c>
      <c r="AP156" s="372" t="e">
        <f ca="1">VLOOKUP($AK156&amp;$AO156,所有坦克升星属性,MATCH(AP$3,所有坦克升星属性标头,0),FALSE)+ROUND(AU156/VLOOKUP($AK156,坦克部件!#REF!,4,FALSE)*VLOOKUP($AK156&amp;0,所有坦克升星属性,MATCH(AP$3,所有坦克升星属性标头,0),FALSE),0)</f>
        <v>#REF!</v>
      </c>
      <c r="AQ156" s="372" t="e">
        <f ca="1">VLOOKUP($AK156&amp;$AO156,所有坦克升星属性,MATCH(AQ$3,所有坦克升星属性标头,0),FALSE)+ROUND(AV156/VLOOKUP($AK156,坦克部件!#REF!,4,FALSE)*VLOOKUP($AK156&amp;0,所有坦克升星属性,MATCH(AQ$3,所有坦克升星属性标头,0),FALSE),0)</f>
        <v>#REF!</v>
      </c>
      <c r="AR156" s="372" t="e">
        <f t="shared" ca="1" si="111"/>
        <v>#REF!</v>
      </c>
      <c r="AS156" s="372" t="e">
        <f t="shared" ca="1" si="111"/>
        <v>#REF!</v>
      </c>
      <c r="AT156" s="372" t="e">
        <f ca="1">VLOOKUP($AK156&amp;$AO156,所有坦克升星属性,MATCH(AT$3,所有坦克升星属性标头,0),FALSE)+ROUND(AW156/VLOOKUP($AK156,坦克部件!#REF!,4,FALSE)*VLOOKUP($AK156&amp;0,所有坦克升星属性,MATCH(AT$3,所有坦克升星属性标头,0),FALSE),0)</f>
        <v>#REF!</v>
      </c>
      <c r="AU156" s="372" t="e">
        <f ca="1">(VLOOKUP($AM156,坦克部件!#REF!,MATCH("标准值",坦克部件!#REF!,0),FALSE)+VLOOKUP($AN156,坦克部件!#REF!,MATCH("标准值",坦克部件!#REF!,0),FALSE))*2</f>
        <v>#REF!</v>
      </c>
      <c r="AV156" s="372" t="e">
        <f ca="1">(VLOOKUP($AM156,坦克部件!#REF!,MATCH("标准值",坦克部件!#REF!,0),FALSE)+VLOOKUP($AN156,坦克部件!#REF!,MATCH("标准值",坦克部件!#REF!,0),FALSE))*2</f>
        <v>#REF!</v>
      </c>
      <c r="AW156" s="372" t="e">
        <f ca="1">(VLOOKUP($AM156,坦克部件!#REF!,MATCH("标准值",坦克部件!#REF!,0),FALSE)+VLOOKUP($AN156,坦克部件!#REF!,MATCH("标准值",坦克部件!#REF!,0),FALSE))*2</f>
        <v>#REF!</v>
      </c>
      <c r="AX156" s="372" t="e">
        <f ca="1">VLOOKUP($AK156,坦克属性统计!$B$3:$AY$33,MATCH(AX$3,坦克属性统计!$B$3:$AY$3,0),FALSE)</f>
        <v>#REF!</v>
      </c>
      <c r="AY156" s="372" t="e">
        <f t="shared" ca="1" si="112"/>
        <v>#REF!</v>
      </c>
      <c r="AZ156" s="372" t="e">
        <f t="shared" ca="1" si="112"/>
        <v>#REF!</v>
      </c>
      <c r="BA156" s="372" t="e">
        <f t="shared" ca="1" si="112"/>
        <v>#REF!</v>
      </c>
      <c r="BB156" s="356" t="e">
        <f t="shared" ca="1" si="98"/>
        <v>#REF!</v>
      </c>
      <c r="BC156" s="356" t="e">
        <f ca="1">VLOOKUP(AK156,坦克个性化设定!$B$18:$E$48,4,FALSE)</f>
        <v>#REF!</v>
      </c>
      <c r="BD156" s="357" t="e">
        <f t="shared" ca="1" si="105"/>
        <v>#REF!</v>
      </c>
      <c r="BF156" s="357" t="str">
        <f t="shared" ca="1" si="99"/>
        <v/>
      </c>
      <c r="BG156" s="372" t="str">
        <f ca="1">IFERROR(VLOOKUP(BF156,坦克个性化设定!$B$18:$F$48,5,FALSE),"")</f>
        <v/>
      </c>
      <c r="BH156" s="372" t="e">
        <f t="shared" ca="1" si="106"/>
        <v>#REF!</v>
      </c>
      <c r="BI156" s="372" t="e">
        <f t="shared" ca="1" si="107"/>
        <v>#REF!</v>
      </c>
      <c r="BJ156" s="364" t="str">
        <f t="shared" ca="1" si="100"/>
        <v>NULL</v>
      </c>
      <c r="BK156" s="372" t="e">
        <f ca="1">VLOOKUP($BF156&amp;IF($BJ156="NULL",0,$BJ156),所有坦克升星属性,MATCH(BK$3,所有坦克升星属性标头,0),FALSE)+ROUND(BP156/VLOOKUP($BF156,坦克部件!#REF!,4,FALSE)*VLOOKUP($BF156&amp;0,所有坦克升星属性,MATCH(BK$3,所有坦克升星属性标头,0),FALSE),0)</f>
        <v>#N/A</v>
      </c>
      <c r="BL156" s="372" t="e">
        <f ca="1">VLOOKUP($BF156&amp;IF($BJ156="NULL",0,$BJ156),所有坦克升星属性,MATCH(BL$3,所有坦克升星属性标头,0),FALSE)+ROUND(BQ156/VLOOKUP($BF156,坦克部件!#REF!,4,FALSE)*VLOOKUP($BF156&amp;0,所有坦克升星属性,MATCH(BL$3,所有坦克升星属性标头,0),FALSE),0)</f>
        <v>#N/A</v>
      </c>
      <c r="BM156" s="372" t="e">
        <f t="shared" ca="1" si="113"/>
        <v>#N/A</v>
      </c>
      <c r="BN156" s="372" t="e">
        <f t="shared" ca="1" si="113"/>
        <v>#N/A</v>
      </c>
      <c r="BO156" s="372" t="e">
        <f ca="1">VLOOKUP($BF156&amp;IF($BJ156="NULL",0,$BJ156),所有坦克升星属性,MATCH(BO$3,所有坦克升星属性标头,0),FALSE)+ROUND(BR156/VLOOKUP($BF156,坦克部件!#REF!,4,FALSE)*VLOOKUP($BF156&amp;0,所有坦克升星属性,MATCH(BO$3,所有坦克升星属性标头,0),FALSE),0)</f>
        <v>#N/A</v>
      </c>
      <c r="BP156" s="372" t="e">
        <f ca="1">(VLOOKUP($BH156,坦克部件!#REF!,MATCH("标准值",坦克部件!#REF!,0),FALSE)+VLOOKUP($BI156,坦克部件!#REF!,MATCH("标准值",坦克部件!#REF!,0),FALSE))*2</f>
        <v>#REF!</v>
      </c>
      <c r="BQ156" s="372" t="e">
        <f ca="1">(VLOOKUP($BH156,坦克部件!#REF!,MATCH("标准值",坦克部件!#REF!,0),FALSE)+VLOOKUP($BI156,坦克部件!#REF!,MATCH("标准值",坦克部件!#REF!,0),FALSE))*2</f>
        <v>#REF!</v>
      </c>
      <c r="BR156" s="372" t="e">
        <f ca="1">(VLOOKUP($BH156,坦克部件!#REF!,MATCH("标准值",坦克部件!#REF!,0),FALSE)+VLOOKUP($BI156,坦克部件!#REF!,MATCH("标准值",坦克部件!#REF!,0),FALSE))*2</f>
        <v>#REF!</v>
      </c>
      <c r="BS156" s="372" t="e">
        <f ca="1">VLOOKUP($BF156,坦克属性统计!$B$3:$AY$33,MATCH(BS$3,坦克属性统计!$B$3:$AY$3,0),FALSE)</f>
        <v>#N/A</v>
      </c>
      <c r="BT156" s="372" t="e">
        <f t="shared" ca="1" si="114"/>
        <v>#N/A</v>
      </c>
      <c r="BU156" s="372" t="e">
        <f t="shared" ca="1" si="114"/>
        <v>#N/A</v>
      </c>
      <c r="BV156" s="372" t="e">
        <f t="shared" ca="1" si="114"/>
        <v>#N/A</v>
      </c>
      <c r="BW156" s="356">
        <f t="shared" ca="1" si="101"/>
        <v>0</v>
      </c>
      <c r="BX156" s="356" t="e">
        <f ca="1">VLOOKUP(BF156,坦克个性化设定!$B$18:$E$48,4,FALSE)</f>
        <v>#N/A</v>
      </c>
      <c r="BY156" s="357" t="e">
        <f t="shared" ca="1" si="108"/>
        <v>#N/A</v>
      </c>
    </row>
    <row r="157" spans="15:77" x14ac:dyDescent="0.35">
      <c r="O157" s="365">
        <v>154</v>
      </c>
      <c r="P157" s="360" t="e">
        <f t="shared" ca="1" si="115"/>
        <v>#REF!</v>
      </c>
      <c r="Q157" s="360" t="e">
        <f ca="1">ROUND(MIN((BD157-VLOOKUP(R157,$B$22:$F$46,2,FALSE))/(VLOOKUP(R157,$B$22:$F$46,3,FALSE)-VLOOKUP(R157,$B$22:$F$46,2,FALSE)),1)*((VLOOKUP(R157,$B$22:$F$46,4,FALSE)*(AG157/(AG157+VLOOKUP(P157,$D$49:$F$123,3,TRUE)))+VLOOKUP(R157,$B$22:$F$46,5,FALSE)*(1-AG157/(AG157+VLOOKUP(P157,$D$49:$F$123,3,TRUE))))/2)*游戏时长规划!$C$4,0)</f>
        <v>#REF!</v>
      </c>
      <c r="R157" s="360" t="e">
        <f t="shared" ca="1" si="88"/>
        <v>#REF!</v>
      </c>
      <c r="S157" s="360" t="e">
        <f t="shared" ca="1" si="109"/>
        <v>#REF!</v>
      </c>
      <c r="T157" s="360" t="e">
        <f t="shared" ca="1" si="116"/>
        <v>#REF!</v>
      </c>
      <c r="U157" s="370" t="e">
        <f t="shared" ca="1" si="89"/>
        <v>#REF!</v>
      </c>
      <c r="V157" s="363" t="e">
        <f t="shared" ca="1" si="110"/>
        <v>#REF!</v>
      </c>
      <c r="W157" s="360" t="e">
        <f t="shared" ca="1" si="90"/>
        <v>#REF!</v>
      </c>
      <c r="X157" s="81" t="e">
        <f t="shared" ca="1" si="102"/>
        <v>#REF!</v>
      </c>
      <c r="Y157" s="360" t="str">
        <f t="shared" ca="1" si="91"/>
        <v>NULL</v>
      </c>
      <c r="Z157" s="375" t="e">
        <f t="shared" ca="1" si="103"/>
        <v>#REF!</v>
      </c>
      <c r="AA157" s="360">
        <f ca="1">IFERROR(VLOOKUP(IF(V157="T1低",游戏时长规划!$C$67+Z157,Z157),INDIRECT(V157&amp;"星级"),2,TRUE),0)</f>
        <v>0</v>
      </c>
      <c r="AB157" s="375" t="e">
        <f t="shared" ca="1" si="92"/>
        <v>#REF!</v>
      </c>
      <c r="AC157" s="375">
        <f ca="1">($D$14+$D$17)*$L$4/坦克部件养成!$C$2+AC156-IFERROR(IF(RIGHT(AD156,3)*1&gt;RIGHT(VLOOKUP(AC156,INDIRECT(LEFT(AD155,2)&amp;"部件升阶"),5,TRUE),3)*1,VLOOKUP(AD155,INDIRECT(LEFT(AD155,2)&amp;"部件升阶消耗"),2,FALSE),0),0)</f>
        <v>1822.3333333333296</v>
      </c>
      <c r="AD157" s="360" t="e">
        <f t="shared" ca="1" si="93"/>
        <v>#REF!</v>
      </c>
      <c r="AE157" s="375" t="e">
        <f ca="1">$D$15*$L$4/坦克部件养成!$C$2+AE156-IF(LEFT(AD157,2)&lt;&gt;LEFT(AD156,2),VLOOKUP(AF156,INDIRECT(LEFT(AD156,2)&amp;"部件升级消耗"),5,FALSE),0)</f>
        <v>#REF!</v>
      </c>
      <c r="AF157" s="360" t="e">
        <f ca="1">MIN(VLOOKUP(AE157,INDIRECT(LEFT(AD157,2)&amp;"部件升级"),2,TRUE),VLOOKUP(LEFT(AD157,2),坦克部件养成!#REF!,6,FALSE))</f>
        <v>#REF!</v>
      </c>
      <c r="AG157" s="378" t="e">
        <f ca="1">MAX(BD$4:BD157)</f>
        <v>#REF!</v>
      </c>
      <c r="AH157" s="378" t="str">
        <f t="shared" ca="1" si="94"/>
        <v/>
      </c>
      <c r="AI157" s="378">
        <f ca="1">IF(Y157="NULL",0,MAX(BY$4:BY157))</f>
        <v>0</v>
      </c>
      <c r="AK157" s="364" t="e">
        <f t="shared" ca="1" si="95"/>
        <v>#REF!</v>
      </c>
      <c r="AL157" s="364" t="e">
        <f ca="1">VLOOKUP(AK157,坦克个性化设定!$B$18:$F$48,5,FALSE)</f>
        <v>#REF!</v>
      </c>
      <c r="AM157" s="372" t="e">
        <f t="shared" ca="1" si="96"/>
        <v>#REF!</v>
      </c>
      <c r="AN157" s="372" t="e">
        <f t="shared" ca="1" si="104"/>
        <v>#REF!</v>
      </c>
      <c r="AO157" s="364">
        <f t="shared" ca="1" si="97"/>
        <v>0</v>
      </c>
      <c r="AP157" s="372" t="e">
        <f ca="1">VLOOKUP($AK157&amp;$AO157,所有坦克升星属性,MATCH(AP$3,所有坦克升星属性标头,0),FALSE)+ROUND(AU157/VLOOKUP($AK157,坦克部件!#REF!,4,FALSE)*VLOOKUP($AK157&amp;0,所有坦克升星属性,MATCH(AP$3,所有坦克升星属性标头,0),FALSE),0)</f>
        <v>#REF!</v>
      </c>
      <c r="AQ157" s="372" t="e">
        <f ca="1">VLOOKUP($AK157&amp;$AO157,所有坦克升星属性,MATCH(AQ$3,所有坦克升星属性标头,0),FALSE)+ROUND(AV157/VLOOKUP($AK157,坦克部件!#REF!,4,FALSE)*VLOOKUP($AK157&amp;0,所有坦克升星属性,MATCH(AQ$3,所有坦克升星属性标头,0),FALSE),0)</f>
        <v>#REF!</v>
      </c>
      <c r="AR157" s="372" t="e">
        <f t="shared" ca="1" si="111"/>
        <v>#REF!</v>
      </c>
      <c r="AS157" s="372" t="e">
        <f t="shared" ca="1" si="111"/>
        <v>#REF!</v>
      </c>
      <c r="AT157" s="372" t="e">
        <f ca="1">VLOOKUP($AK157&amp;$AO157,所有坦克升星属性,MATCH(AT$3,所有坦克升星属性标头,0),FALSE)+ROUND(AW157/VLOOKUP($AK157,坦克部件!#REF!,4,FALSE)*VLOOKUP($AK157&amp;0,所有坦克升星属性,MATCH(AT$3,所有坦克升星属性标头,0),FALSE),0)</f>
        <v>#REF!</v>
      </c>
      <c r="AU157" s="372" t="e">
        <f ca="1">(VLOOKUP($AM157,坦克部件!#REF!,MATCH("标准值",坦克部件!#REF!,0),FALSE)+VLOOKUP($AN157,坦克部件!#REF!,MATCH("标准值",坦克部件!#REF!,0),FALSE))*2</f>
        <v>#REF!</v>
      </c>
      <c r="AV157" s="372" t="e">
        <f ca="1">(VLOOKUP($AM157,坦克部件!#REF!,MATCH("标准值",坦克部件!#REF!,0),FALSE)+VLOOKUP($AN157,坦克部件!#REF!,MATCH("标准值",坦克部件!#REF!,0),FALSE))*2</f>
        <v>#REF!</v>
      </c>
      <c r="AW157" s="372" t="e">
        <f ca="1">(VLOOKUP($AM157,坦克部件!#REF!,MATCH("标准值",坦克部件!#REF!,0),FALSE)+VLOOKUP($AN157,坦克部件!#REF!,MATCH("标准值",坦克部件!#REF!,0),FALSE))*2</f>
        <v>#REF!</v>
      </c>
      <c r="AX157" s="372" t="e">
        <f ca="1">VLOOKUP($AK157,坦克属性统计!$B$3:$AY$33,MATCH(AX$3,坦克属性统计!$B$3:$AY$3,0),FALSE)</f>
        <v>#REF!</v>
      </c>
      <c r="AY157" s="372" t="e">
        <f t="shared" ca="1" si="112"/>
        <v>#REF!</v>
      </c>
      <c r="AZ157" s="372" t="e">
        <f t="shared" ca="1" si="112"/>
        <v>#REF!</v>
      </c>
      <c r="BA157" s="372" t="e">
        <f t="shared" ca="1" si="112"/>
        <v>#REF!</v>
      </c>
      <c r="BB157" s="356" t="e">
        <f t="shared" ca="1" si="98"/>
        <v>#REF!</v>
      </c>
      <c r="BC157" s="356" t="e">
        <f ca="1">VLOOKUP(AK157,坦克个性化设定!$B$18:$E$48,4,FALSE)</f>
        <v>#REF!</v>
      </c>
      <c r="BD157" s="357" t="e">
        <f t="shared" ca="1" si="105"/>
        <v>#REF!</v>
      </c>
      <c r="BF157" s="357" t="str">
        <f t="shared" ca="1" si="99"/>
        <v/>
      </c>
      <c r="BG157" s="372" t="str">
        <f ca="1">IFERROR(VLOOKUP(BF157,坦克个性化设定!$B$18:$F$48,5,FALSE),"")</f>
        <v/>
      </c>
      <c r="BH157" s="372" t="e">
        <f t="shared" ca="1" si="106"/>
        <v>#REF!</v>
      </c>
      <c r="BI157" s="372" t="e">
        <f t="shared" ca="1" si="107"/>
        <v>#REF!</v>
      </c>
      <c r="BJ157" s="364" t="str">
        <f t="shared" ca="1" si="100"/>
        <v>NULL</v>
      </c>
      <c r="BK157" s="372" t="e">
        <f ca="1">VLOOKUP($BF157&amp;IF($BJ157="NULL",0,$BJ157),所有坦克升星属性,MATCH(BK$3,所有坦克升星属性标头,0),FALSE)+ROUND(BP157/VLOOKUP($BF157,坦克部件!#REF!,4,FALSE)*VLOOKUP($BF157&amp;0,所有坦克升星属性,MATCH(BK$3,所有坦克升星属性标头,0),FALSE),0)</f>
        <v>#N/A</v>
      </c>
      <c r="BL157" s="372" t="e">
        <f ca="1">VLOOKUP($BF157&amp;IF($BJ157="NULL",0,$BJ157),所有坦克升星属性,MATCH(BL$3,所有坦克升星属性标头,0),FALSE)+ROUND(BQ157/VLOOKUP($BF157,坦克部件!#REF!,4,FALSE)*VLOOKUP($BF157&amp;0,所有坦克升星属性,MATCH(BL$3,所有坦克升星属性标头,0),FALSE),0)</f>
        <v>#N/A</v>
      </c>
      <c r="BM157" s="372" t="e">
        <f t="shared" ca="1" si="113"/>
        <v>#N/A</v>
      </c>
      <c r="BN157" s="372" t="e">
        <f t="shared" ca="1" si="113"/>
        <v>#N/A</v>
      </c>
      <c r="BO157" s="372" t="e">
        <f ca="1">VLOOKUP($BF157&amp;IF($BJ157="NULL",0,$BJ157),所有坦克升星属性,MATCH(BO$3,所有坦克升星属性标头,0),FALSE)+ROUND(BR157/VLOOKUP($BF157,坦克部件!#REF!,4,FALSE)*VLOOKUP($BF157&amp;0,所有坦克升星属性,MATCH(BO$3,所有坦克升星属性标头,0),FALSE),0)</f>
        <v>#N/A</v>
      </c>
      <c r="BP157" s="372" t="e">
        <f ca="1">(VLOOKUP($BH157,坦克部件!#REF!,MATCH("标准值",坦克部件!#REF!,0),FALSE)+VLOOKUP($BI157,坦克部件!#REF!,MATCH("标准值",坦克部件!#REF!,0),FALSE))*2</f>
        <v>#REF!</v>
      </c>
      <c r="BQ157" s="372" t="e">
        <f ca="1">(VLOOKUP($BH157,坦克部件!#REF!,MATCH("标准值",坦克部件!#REF!,0),FALSE)+VLOOKUP($BI157,坦克部件!#REF!,MATCH("标准值",坦克部件!#REF!,0),FALSE))*2</f>
        <v>#REF!</v>
      </c>
      <c r="BR157" s="372" t="e">
        <f ca="1">(VLOOKUP($BH157,坦克部件!#REF!,MATCH("标准值",坦克部件!#REF!,0),FALSE)+VLOOKUP($BI157,坦克部件!#REF!,MATCH("标准值",坦克部件!#REF!,0),FALSE))*2</f>
        <v>#REF!</v>
      </c>
      <c r="BS157" s="372" t="e">
        <f ca="1">VLOOKUP($BF157,坦克属性统计!$B$3:$AY$33,MATCH(BS$3,坦克属性统计!$B$3:$AY$3,0),FALSE)</f>
        <v>#N/A</v>
      </c>
      <c r="BT157" s="372" t="e">
        <f t="shared" ca="1" si="114"/>
        <v>#N/A</v>
      </c>
      <c r="BU157" s="372" t="e">
        <f t="shared" ca="1" si="114"/>
        <v>#N/A</v>
      </c>
      <c r="BV157" s="372" t="e">
        <f t="shared" ca="1" si="114"/>
        <v>#N/A</v>
      </c>
      <c r="BW157" s="356">
        <f t="shared" ca="1" si="101"/>
        <v>0</v>
      </c>
      <c r="BX157" s="356" t="e">
        <f ca="1">VLOOKUP(BF157,坦克个性化设定!$B$18:$E$48,4,FALSE)</f>
        <v>#N/A</v>
      </c>
      <c r="BY157" s="357" t="e">
        <f t="shared" ca="1" si="108"/>
        <v>#N/A</v>
      </c>
    </row>
    <row r="158" spans="15:77" x14ac:dyDescent="0.35">
      <c r="O158" s="365">
        <v>155</v>
      </c>
      <c r="P158" s="360" t="e">
        <f t="shared" ca="1" si="115"/>
        <v>#REF!</v>
      </c>
      <c r="Q158" s="360" t="e">
        <f ca="1">ROUND(MIN((BD158-VLOOKUP(R158,$B$22:$F$46,2,FALSE))/(VLOOKUP(R158,$B$22:$F$46,3,FALSE)-VLOOKUP(R158,$B$22:$F$46,2,FALSE)),1)*((VLOOKUP(R158,$B$22:$F$46,4,FALSE)*(AG158/(AG158+VLOOKUP(P158,$D$49:$F$123,3,TRUE)))+VLOOKUP(R158,$B$22:$F$46,5,FALSE)*(1-AG158/(AG158+VLOOKUP(P158,$D$49:$F$123,3,TRUE))))/2)*游戏时长规划!$C$4,0)</f>
        <v>#REF!</v>
      </c>
      <c r="R158" s="360" t="e">
        <f t="shared" ca="1" si="88"/>
        <v>#REF!</v>
      </c>
      <c r="S158" s="360" t="e">
        <f t="shared" ca="1" si="109"/>
        <v>#REF!</v>
      </c>
      <c r="T158" s="360" t="e">
        <f t="shared" ca="1" si="116"/>
        <v>#REF!</v>
      </c>
      <c r="U158" s="370" t="e">
        <f t="shared" ca="1" si="89"/>
        <v>#REF!</v>
      </c>
      <c r="V158" s="363" t="e">
        <f t="shared" ca="1" si="110"/>
        <v>#REF!</v>
      </c>
      <c r="W158" s="360" t="e">
        <f t="shared" ca="1" si="90"/>
        <v>#REF!</v>
      </c>
      <c r="X158" s="81" t="e">
        <f t="shared" ca="1" si="102"/>
        <v>#REF!</v>
      </c>
      <c r="Y158" s="360" t="str">
        <f t="shared" ca="1" si="91"/>
        <v>NULL</v>
      </c>
      <c r="Z158" s="375" t="e">
        <f t="shared" ca="1" si="103"/>
        <v>#REF!</v>
      </c>
      <c r="AA158" s="360">
        <f ca="1">IFERROR(VLOOKUP(IF(V158="T1低",游戏时长规划!$C$67+Z158,Z158),INDIRECT(V158&amp;"星级"),2,TRUE),0)</f>
        <v>0</v>
      </c>
      <c r="AB158" s="375" t="e">
        <f t="shared" ca="1" si="92"/>
        <v>#REF!</v>
      </c>
      <c r="AC158" s="375">
        <f ca="1">($D$14+$D$17)*$L$4/坦克部件养成!$C$2+AC157-IFERROR(IF(RIGHT(AD157,3)*1&gt;RIGHT(VLOOKUP(AC157,INDIRECT(LEFT(AD156,2)&amp;"部件升阶"),5,TRUE),3)*1,VLOOKUP(AD156,INDIRECT(LEFT(AD156,2)&amp;"部件升阶消耗"),2,FALSE),0),0)</f>
        <v>1834.1666666666629</v>
      </c>
      <c r="AD158" s="360" t="e">
        <f t="shared" ca="1" si="93"/>
        <v>#REF!</v>
      </c>
      <c r="AE158" s="375" t="e">
        <f ca="1">$D$15*$L$4/坦克部件养成!$C$2+AE157-IF(LEFT(AD158,2)&lt;&gt;LEFT(AD157,2),VLOOKUP(AF157,INDIRECT(LEFT(AD157,2)&amp;"部件升级消耗"),5,FALSE),0)</f>
        <v>#REF!</v>
      </c>
      <c r="AF158" s="360" t="e">
        <f ca="1">MIN(VLOOKUP(AE158,INDIRECT(LEFT(AD158,2)&amp;"部件升级"),2,TRUE),VLOOKUP(LEFT(AD158,2),坦克部件养成!#REF!,6,FALSE))</f>
        <v>#REF!</v>
      </c>
      <c r="AG158" s="378" t="e">
        <f ca="1">MAX(BD$4:BD158)</f>
        <v>#REF!</v>
      </c>
      <c r="AH158" s="378" t="str">
        <f t="shared" ca="1" si="94"/>
        <v/>
      </c>
      <c r="AI158" s="378">
        <f ca="1">IF(Y158="NULL",0,MAX(BY$4:BY158))</f>
        <v>0</v>
      </c>
      <c r="AK158" s="364" t="e">
        <f t="shared" ca="1" si="95"/>
        <v>#REF!</v>
      </c>
      <c r="AL158" s="364" t="e">
        <f ca="1">VLOOKUP(AK158,坦克个性化设定!$B$18:$F$48,5,FALSE)</f>
        <v>#REF!</v>
      </c>
      <c r="AM158" s="372" t="e">
        <f t="shared" ca="1" si="96"/>
        <v>#REF!</v>
      </c>
      <c r="AN158" s="372" t="e">
        <f t="shared" ca="1" si="104"/>
        <v>#REF!</v>
      </c>
      <c r="AO158" s="364">
        <f t="shared" ca="1" si="97"/>
        <v>0</v>
      </c>
      <c r="AP158" s="372" t="e">
        <f ca="1">VLOOKUP($AK158&amp;$AO158,所有坦克升星属性,MATCH(AP$3,所有坦克升星属性标头,0),FALSE)+ROUND(AU158/VLOOKUP($AK158,坦克部件!#REF!,4,FALSE)*VLOOKUP($AK158&amp;0,所有坦克升星属性,MATCH(AP$3,所有坦克升星属性标头,0),FALSE),0)</f>
        <v>#REF!</v>
      </c>
      <c r="AQ158" s="372" t="e">
        <f ca="1">VLOOKUP($AK158&amp;$AO158,所有坦克升星属性,MATCH(AQ$3,所有坦克升星属性标头,0),FALSE)+ROUND(AV158/VLOOKUP($AK158,坦克部件!#REF!,4,FALSE)*VLOOKUP($AK158&amp;0,所有坦克升星属性,MATCH(AQ$3,所有坦克升星属性标头,0),FALSE),0)</f>
        <v>#REF!</v>
      </c>
      <c r="AR158" s="372" t="e">
        <f t="shared" ca="1" si="111"/>
        <v>#REF!</v>
      </c>
      <c r="AS158" s="372" t="e">
        <f t="shared" ca="1" si="111"/>
        <v>#REF!</v>
      </c>
      <c r="AT158" s="372" t="e">
        <f ca="1">VLOOKUP($AK158&amp;$AO158,所有坦克升星属性,MATCH(AT$3,所有坦克升星属性标头,0),FALSE)+ROUND(AW158/VLOOKUP($AK158,坦克部件!#REF!,4,FALSE)*VLOOKUP($AK158&amp;0,所有坦克升星属性,MATCH(AT$3,所有坦克升星属性标头,0),FALSE),0)</f>
        <v>#REF!</v>
      </c>
      <c r="AU158" s="372" t="e">
        <f ca="1">(VLOOKUP($AM158,坦克部件!#REF!,MATCH("标准值",坦克部件!#REF!,0),FALSE)+VLOOKUP($AN158,坦克部件!#REF!,MATCH("标准值",坦克部件!#REF!,0),FALSE))*2</f>
        <v>#REF!</v>
      </c>
      <c r="AV158" s="372" t="e">
        <f ca="1">(VLOOKUP($AM158,坦克部件!#REF!,MATCH("标准值",坦克部件!#REF!,0),FALSE)+VLOOKUP($AN158,坦克部件!#REF!,MATCH("标准值",坦克部件!#REF!,0),FALSE))*2</f>
        <v>#REF!</v>
      </c>
      <c r="AW158" s="372" t="e">
        <f ca="1">(VLOOKUP($AM158,坦克部件!#REF!,MATCH("标准值",坦克部件!#REF!,0),FALSE)+VLOOKUP($AN158,坦克部件!#REF!,MATCH("标准值",坦克部件!#REF!,0),FALSE))*2</f>
        <v>#REF!</v>
      </c>
      <c r="AX158" s="372" t="e">
        <f ca="1">VLOOKUP($AK158,坦克属性统计!$B$3:$AY$33,MATCH(AX$3,坦克属性统计!$B$3:$AY$3,0),FALSE)</f>
        <v>#REF!</v>
      </c>
      <c r="AY158" s="372" t="e">
        <f t="shared" ca="1" si="112"/>
        <v>#REF!</v>
      </c>
      <c r="AZ158" s="372" t="e">
        <f t="shared" ca="1" si="112"/>
        <v>#REF!</v>
      </c>
      <c r="BA158" s="372" t="e">
        <f t="shared" ca="1" si="112"/>
        <v>#REF!</v>
      </c>
      <c r="BB158" s="356" t="e">
        <f t="shared" ca="1" si="98"/>
        <v>#REF!</v>
      </c>
      <c r="BC158" s="356" t="e">
        <f ca="1">VLOOKUP(AK158,坦克个性化设定!$B$18:$E$48,4,FALSE)</f>
        <v>#REF!</v>
      </c>
      <c r="BD158" s="357" t="e">
        <f t="shared" ca="1" si="105"/>
        <v>#REF!</v>
      </c>
      <c r="BF158" s="357" t="str">
        <f t="shared" ca="1" si="99"/>
        <v/>
      </c>
      <c r="BG158" s="372" t="str">
        <f ca="1">IFERROR(VLOOKUP(BF158,坦克个性化设定!$B$18:$F$48,5,FALSE),"")</f>
        <v/>
      </c>
      <c r="BH158" s="372" t="e">
        <f t="shared" ca="1" si="106"/>
        <v>#REF!</v>
      </c>
      <c r="BI158" s="372" t="e">
        <f t="shared" ca="1" si="107"/>
        <v>#REF!</v>
      </c>
      <c r="BJ158" s="364" t="str">
        <f t="shared" ca="1" si="100"/>
        <v>NULL</v>
      </c>
      <c r="BK158" s="372" t="e">
        <f ca="1">VLOOKUP($BF158&amp;IF($BJ158="NULL",0,$BJ158),所有坦克升星属性,MATCH(BK$3,所有坦克升星属性标头,0),FALSE)+ROUND(BP158/VLOOKUP($BF158,坦克部件!#REF!,4,FALSE)*VLOOKUP($BF158&amp;0,所有坦克升星属性,MATCH(BK$3,所有坦克升星属性标头,0),FALSE),0)</f>
        <v>#N/A</v>
      </c>
      <c r="BL158" s="372" t="e">
        <f ca="1">VLOOKUP($BF158&amp;IF($BJ158="NULL",0,$BJ158),所有坦克升星属性,MATCH(BL$3,所有坦克升星属性标头,0),FALSE)+ROUND(BQ158/VLOOKUP($BF158,坦克部件!#REF!,4,FALSE)*VLOOKUP($BF158&amp;0,所有坦克升星属性,MATCH(BL$3,所有坦克升星属性标头,0),FALSE),0)</f>
        <v>#N/A</v>
      </c>
      <c r="BM158" s="372" t="e">
        <f t="shared" ca="1" si="113"/>
        <v>#N/A</v>
      </c>
      <c r="BN158" s="372" t="e">
        <f t="shared" ca="1" si="113"/>
        <v>#N/A</v>
      </c>
      <c r="BO158" s="372" t="e">
        <f ca="1">VLOOKUP($BF158&amp;IF($BJ158="NULL",0,$BJ158),所有坦克升星属性,MATCH(BO$3,所有坦克升星属性标头,0),FALSE)+ROUND(BR158/VLOOKUP($BF158,坦克部件!#REF!,4,FALSE)*VLOOKUP($BF158&amp;0,所有坦克升星属性,MATCH(BO$3,所有坦克升星属性标头,0),FALSE),0)</f>
        <v>#N/A</v>
      </c>
      <c r="BP158" s="372" t="e">
        <f ca="1">(VLOOKUP($BH158,坦克部件!#REF!,MATCH("标准值",坦克部件!#REF!,0),FALSE)+VLOOKUP($BI158,坦克部件!#REF!,MATCH("标准值",坦克部件!#REF!,0),FALSE))*2</f>
        <v>#REF!</v>
      </c>
      <c r="BQ158" s="372" t="e">
        <f ca="1">(VLOOKUP($BH158,坦克部件!#REF!,MATCH("标准值",坦克部件!#REF!,0),FALSE)+VLOOKUP($BI158,坦克部件!#REF!,MATCH("标准值",坦克部件!#REF!,0),FALSE))*2</f>
        <v>#REF!</v>
      </c>
      <c r="BR158" s="372" t="e">
        <f ca="1">(VLOOKUP($BH158,坦克部件!#REF!,MATCH("标准值",坦克部件!#REF!,0),FALSE)+VLOOKUP($BI158,坦克部件!#REF!,MATCH("标准值",坦克部件!#REF!,0),FALSE))*2</f>
        <v>#REF!</v>
      </c>
      <c r="BS158" s="372" t="e">
        <f ca="1">VLOOKUP($BF158,坦克属性统计!$B$3:$AY$33,MATCH(BS$3,坦克属性统计!$B$3:$AY$3,0),FALSE)</f>
        <v>#N/A</v>
      </c>
      <c r="BT158" s="372" t="e">
        <f t="shared" ca="1" si="114"/>
        <v>#N/A</v>
      </c>
      <c r="BU158" s="372" t="e">
        <f t="shared" ca="1" si="114"/>
        <v>#N/A</v>
      </c>
      <c r="BV158" s="372" t="e">
        <f t="shared" ca="1" si="114"/>
        <v>#N/A</v>
      </c>
      <c r="BW158" s="356">
        <f t="shared" ca="1" si="101"/>
        <v>0</v>
      </c>
      <c r="BX158" s="356" t="e">
        <f ca="1">VLOOKUP(BF158,坦克个性化设定!$B$18:$E$48,4,FALSE)</f>
        <v>#N/A</v>
      </c>
      <c r="BY158" s="357" t="e">
        <f t="shared" ca="1" si="108"/>
        <v>#N/A</v>
      </c>
    </row>
    <row r="159" spans="15:77" x14ac:dyDescent="0.35">
      <c r="O159" s="365">
        <v>156</v>
      </c>
      <c r="P159" s="360" t="e">
        <f t="shared" ca="1" si="115"/>
        <v>#REF!</v>
      </c>
      <c r="Q159" s="360" t="e">
        <f ca="1">ROUND(MIN((BD159-VLOOKUP(R159,$B$22:$F$46,2,FALSE))/(VLOOKUP(R159,$B$22:$F$46,3,FALSE)-VLOOKUP(R159,$B$22:$F$46,2,FALSE)),1)*((VLOOKUP(R159,$B$22:$F$46,4,FALSE)*(AG159/(AG159+VLOOKUP(P159,$D$49:$F$123,3,TRUE)))+VLOOKUP(R159,$B$22:$F$46,5,FALSE)*(1-AG159/(AG159+VLOOKUP(P159,$D$49:$F$123,3,TRUE))))/2)*游戏时长规划!$C$4,0)</f>
        <v>#REF!</v>
      </c>
      <c r="R159" s="360" t="e">
        <f t="shared" ca="1" si="88"/>
        <v>#REF!</v>
      </c>
      <c r="S159" s="360" t="e">
        <f t="shared" ca="1" si="109"/>
        <v>#REF!</v>
      </c>
      <c r="T159" s="360" t="e">
        <f t="shared" ca="1" si="116"/>
        <v>#REF!</v>
      </c>
      <c r="U159" s="370" t="e">
        <f t="shared" ca="1" si="89"/>
        <v>#REF!</v>
      </c>
      <c r="V159" s="363" t="e">
        <f t="shared" ca="1" si="110"/>
        <v>#REF!</v>
      </c>
      <c r="W159" s="360" t="e">
        <f t="shared" ca="1" si="90"/>
        <v>#REF!</v>
      </c>
      <c r="X159" s="81" t="e">
        <f t="shared" ca="1" si="102"/>
        <v>#REF!</v>
      </c>
      <c r="Y159" s="360" t="str">
        <f t="shared" ca="1" si="91"/>
        <v>NULL</v>
      </c>
      <c r="Z159" s="375" t="e">
        <f t="shared" ca="1" si="103"/>
        <v>#REF!</v>
      </c>
      <c r="AA159" s="360">
        <f ca="1">IFERROR(VLOOKUP(IF(V159="T1低",游戏时长规划!$C$67+Z159,Z159),INDIRECT(V159&amp;"星级"),2,TRUE),0)</f>
        <v>0</v>
      </c>
      <c r="AB159" s="375" t="e">
        <f t="shared" ca="1" si="92"/>
        <v>#REF!</v>
      </c>
      <c r="AC159" s="375">
        <f ca="1">($D$14+$D$17)*$L$4/坦克部件养成!$C$2+AC158-IFERROR(IF(RIGHT(AD158,3)*1&gt;RIGHT(VLOOKUP(AC158,INDIRECT(LEFT(AD157,2)&amp;"部件升阶"),5,TRUE),3)*1,VLOOKUP(AD157,INDIRECT(LEFT(AD157,2)&amp;"部件升阶消耗"),2,FALSE),0),0)</f>
        <v>1845.9999999999961</v>
      </c>
      <c r="AD159" s="360" t="e">
        <f t="shared" ca="1" si="93"/>
        <v>#REF!</v>
      </c>
      <c r="AE159" s="375" t="e">
        <f ca="1">$D$15*$L$4/坦克部件养成!$C$2+AE158-IF(LEFT(AD159,2)&lt;&gt;LEFT(AD158,2),VLOOKUP(AF158,INDIRECT(LEFT(AD158,2)&amp;"部件升级消耗"),5,FALSE),0)</f>
        <v>#REF!</v>
      </c>
      <c r="AF159" s="360" t="e">
        <f ca="1">MIN(VLOOKUP(AE159,INDIRECT(LEFT(AD159,2)&amp;"部件升级"),2,TRUE),VLOOKUP(LEFT(AD159,2),坦克部件养成!#REF!,6,FALSE))</f>
        <v>#REF!</v>
      </c>
      <c r="AG159" s="378" t="e">
        <f ca="1">MAX(BD$4:BD159)</f>
        <v>#REF!</v>
      </c>
      <c r="AH159" s="378" t="str">
        <f t="shared" ca="1" si="94"/>
        <v/>
      </c>
      <c r="AI159" s="378">
        <f ca="1">IF(Y159="NULL",0,MAX(BY$4:BY159))</f>
        <v>0</v>
      </c>
      <c r="AK159" s="364" t="e">
        <f t="shared" ca="1" si="95"/>
        <v>#REF!</v>
      </c>
      <c r="AL159" s="364" t="e">
        <f ca="1">VLOOKUP(AK159,坦克个性化设定!$B$18:$F$48,5,FALSE)</f>
        <v>#REF!</v>
      </c>
      <c r="AM159" s="372" t="e">
        <f t="shared" ca="1" si="96"/>
        <v>#REF!</v>
      </c>
      <c r="AN159" s="372" t="e">
        <f t="shared" ca="1" si="104"/>
        <v>#REF!</v>
      </c>
      <c r="AO159" s="364">
        <f t="shared" ca="1" si="97"/>
        <v>0</v>
      </c>
      <c r="AP159" s="372" t="e">
        <f ca="1">VLOOKUP($AK159&amp;$AO159,所有坦克升星属性,MATCH(AP$3,所有坦克升星属性标头,0),FALSE)+ROUND(AU159/VLOOKUP($AK159,坦克部件!#REF!,4,FALSE)*VLOOKUP($AK159&amp;0,所有坦克升星属性,MATCH(AP$3,所有坦克升星属性标头,0),FALSE),0)</f>
        <v>#REF!</v>
      </c>
      <c r="AQ159" s="372" t="e">
        <f ca="1">VLOOKUP($AK159&amp;$AO159,所有坦克升星属性,MATCH(AQ$3,所有坦克升星属性标头,0),FALSE)+ROUND(AV159/VLOOKUP($AK159,坦克部件!#REF!,4,FALSE)*VLOOKUP($AK159&amp;0,所有坦克升星属性,MATCH(AQ$3,所有坦克升星属性标头,0),FALSE),0)</f>
        <v>#REF!</v>
      </c>
      <c r="AR159" s="372" t="e">
        <f t="shared" ca="1" si="111"/>
        <v>#REF!</v>
      </c>
      <c r="AS159" s="372" t="e">
        <f t="shared" ca="1" si="111"/>
        <v>#REF!</v>
      </c>
      <c r="AT159" s="372" t="e">
        <f ca="1">VLOOKUP($AK159&amp;$AO159,所有坦克升星属性,MATCH(AT$3,所有坦克升星属性标头,0),FALSE)+ROUND(AW159/VLOOKUP($AK159,坦克部件!#REF!,4,FALSE)*VLOOKUP($AK159&amp;0,所有坦克升星属性,MATCH(AT$3,所有坦克升星属性标头,0),FALSE),0)</f>
        <v>#REF!</v>
      </c>
      <c r="AU159" s="372" t="e">
        <f ca="1">(VLOOKUP($AM159,坦克部件!#REF!,MATCH("标准值",坦克部件!#REF!,0),FALSE)+VLOOKUP($AN159,坦克部件!#REF!,MATCH("标准值",坦克部件!#REF!,0),FALSE))*2</f>
        <v>#REF!</v>
      </c>
      <c r="AV159" s="372" t="e">
        <f ca="1">(VLOOKUP($AM159,坦克部件!#REF!,MATCH("标准值",坦克部件!#REF!,0),FALSE)+VLOOKUP($AN159,坦克部件!#REF!,MATCH("标准值",坦克部件!#REF!,0),FALSE))*2</f>
        <v>#REF!</v>
      </c>
      <c r="AW159" s="372" t="e">
        <f ca="1">(VLOOKUP($AM159,坦克部件!#REF!,MATCH("标准值",坦克部件!#REF!,0),FALSE)+VLOOKUP($AN159,坦克部件!#REF!,MATCH("标准值",坦克部件!#REF!,0),FALSE))*2</f>
        <v>#REF!</v>
      </c>
      <c r="AX159" s="372" t="e">
        <f ca="1">VLOOKUP($AK159,坦克属性统计!$B$3:$AY$33,MATCH(AX$3,坦克属性统计!$B$3:$AY$3,0),FALSE)</f>
        <v>#REF!</v>
      </c>
      <c r="AY159" s="372" t="e">
        <f t="shared" ca="1" si="112"/>
        <v>#REF!</v>
      </c>
      <c r="AZ159" s="372" t="e">
        <f t="shared" ca="1" si="112"/>
        <v>#REF!</v>
      </c>
      <c r="BA159" s="372" t="e">
        <f t="shared" ca="1" si="112"/>
        <v>#REF!</v>
      </c>
      <c r="BB159" s="356" t="e">
        <f t="shared" ca="1" si="98"/>
        <v>#REF!</v>
      </c>
      <c r="BC159" s="356" t="e">
        <f ca="1">VLOOKUP(AK159,坦克个性化设定!$B$18:$E$48,4,FALSE)</f>
        <v>#REF!</v>
      </c>
      <c r="BD159" s="357" t="e">
        <f t="shared" ca="1" si="105"/>
        <v>#REF!</v>
      </c>
      <c r="BF159" s="357" t="str">
        <f t="shared" ca="1" si="99"/>
        <v/>
      </c>
      <c r="BG159" s="372" t="str">
        <f ca="1">IFERROR(VLOOKUP(BF159,坦克个性化设定!$B$18:$F$48,5,FALSE),"")</f>
        <v/>
      </c>
      <c r="BH159" s="372" t="e">
        <f t="shared" ca="1" si="106"/>
        <v>#REF!</v>
      </c>
      <c r="BI159" s="372" t="e">
        <f t="shared" ca="1" si="107"/>
        <v>#REF!</v>
      </c>
      <c r="BJ159" s="364" t="str">
        <f t="shared" ca="1" si="100"/>
        <v>NULL</v>
      </c>
      <c r="BK159" s="372" t="e">
        <f ca="1">VLOOKUP($BF159&amp;IF($BJ159="NULL",0,$BJ159),所有坦克升星属性,MATCH(BK$3,所有坦克升星属性标头,0),FALSE)+ROUND(BP159/VLOOKUP($BF159,坦克部件!#REF!,4,FALSE)*VLOOKUP($BF159&amp;0,所有坦克升星属性,MATCH(BK$3,所有坦克升星属性标头,0),FALSE),0)</f>
        <v>#N/A</v>
      </c>
      <c r="BL159" s="372" t="e">
        <f ca="1">VLOOKUP($BF159&amp;IF($BJ159="NULL",0,$BJ159),所有坦克升星属性,MATCH(BL$3,所有坦克升星属性标头,0),FALSE)+ROUND(BQ159/VLOOKUP($BF159,坦克部件!#REF!,4,FALSE)*VLOOKUP($BF159&amp;0,所有坦克升星属性,MATCH(BL$3,所有坦克升星属性标头,0),FALSE),0)</f>
        <v>#N/A</v>
      </c>
      <c r="BM159" s="372" t="e">
        <f t="shared" ca="1" si="113"/>
        <v>#N/A</v>
      </c>
      <c r="BN159" s="372" t="e">
        <f t="shared" ca="1" si="113"/>
        <v>#N/A</v>
      </c>
      <c r="BO159" s="372" t="e">
        <f ca="1">VLOOKUP($BF159&amp;IF($BJ159="NULL",0,$BJ159),所有坦克升星属性,MATCH(BO$3,所有坦克升星属性标头,0),FALSE)+ROUND(BR159/VLOOKUP($BF159,坦克部件!#REF!,4,FALSE)*VLOOKUP($BF159&amp;0,所有坦克升星属性,MATCH(BO$3,所有坦克升星属性标头,0),FALSE),0)</f>
        <v>#N/A</v>
      </c>
      <c r="BP159" s="372" t="e">
        <f ca="1">(VLOOKUP($BH159,坦克部件!#REF!,MATCH("标准值",坦克部件!#REF!,0),FALSE)+VLOOKUP($BI159,坦克部件!#REF!,MATCH("标准值",坦克部件!#REF!,0),FALSE))*2</f>
        <v>#REF!</v>
      </c>
      <c r="BQ159" s="372" t="e">
        <f ca="1">(VLOOKUP($BH159,坦克部件!#REF!,MATCH("标准值",坦克部件!#REF!,0),FALSE)+VLOOKUP($BI159,坦克部件!#REF!,MATCH("标准值",坦克部件!#REF!,0),FALSE))*2</f>
        <v>#REF!</v>
      </c>
      <c r="BR159" s="372" t="e">
        <f ca="1">(VLOOKUP($BH159,坦克部件!#REF!,MATCH("标准值",坦克部件!#REF!,0),FALSE)+VLOOKUP($BI159,坦克部件!#REF!,MATCH("标准值",坦克部件!#REF!,0),FALSE))*2</f>
        <v>#REF!</v>
      </c>
      <c r="BS159" s="372" t="e">
        <f ca="1">VLOOKUP($BF159,坦克属性统计!$B$3:$AY$33,MATCH(BS$3,坦克属性统计!$B$3:$AY$3,0),FALSE)</f>
        <v>#N/A</v>
      </c>
      <c r="BT159" s="372" t="e">
        <f t="shared" ca="1" si="114"/>
        <v>#N/A</v>
      </c>
      <c r="BU159" s="372" t="e">
        <f t="shared" ca="1" si="114"/>
        <v>#N/A</v>
      </c>
      <c r="BV159" s="372" t="e">
        <f t="shared" ca="1" si="114"/>
        <v>#N/A</v>
      </c>
      <c r="BW159" s="356">
        <f t="shared" ca="1" si="101"/>
        <v>0</v>
      </c>
      <c r="BX159" s="356" t="e">
        <f ca="1">VLOOKUP(BF159,坦克个性化设定!$B$18:$E$48,4,FALSE)</f>
        <v>#N/A</v>
      </c>
      <c r="BY159" s="357" t="e">
        <f t="shared" ca="1" si="108"/>
        <v>#N/A</v>
      </c>
    </row>
    <row r="160" spans="15:77" x14ac:dyDescent="0.35">
      <c r="O160" s="365">
        <v>157</v>
      </c>
      <c r="P160" s="360" t="e">
        <f t="shared" ca="1" si="115"/>
        <v>#REF!</v>
      </c>
      <c r="Q160" s="360" t="e">
        <f ca="1">ROUND(MIN((BD160-VLOOKUP(R160,$B$22:$F$46,2,FALSE))/(VLOOKUP(R160,$B$22:$F$46,3,FALSE)-VLOOKUP(R160,$B$22:$F$46,2,FALSE)),1)*((VLOOKUP(R160,$B$22:$F$46,4,FALSE)*(AG160/(AG160+VLOOKUP(P160,$D$49:$F$123,3,TRUE)))+VLOOKUP(R160,$B$22:$F$46,5,FALSE)*(1-AG160/(AG160+VLOOKUP(P160,$D$49:$F$123,3,TRUE))))/2)*游戏时长规划!$C$4,0)</f>
        <v>#REF!</v>
      </c>
      <c r="R160" s="360" t="e">
        <f t="shared" ca="1" si="88"/>
        <v>#REF!</v>
      </c>
      <c r="S160" s="360" t="e">
        <f t="shared" ca="1" si="109"/>
        <v>#REF!</v>
      </c>
      <c r="T160" s="360" t="e">
        <f t="shared" ca="1" si="116"/>
        <v>#REF!</v>
      </c>
      <c r="U160" s="370" t="e">
        <f t="shared" ca="1" si="89"/>
        <v>#REF!</v>
      </c>
      <c r="V160" s="363" t="e">
        <f t="shared" ca="1" si="110"/>
        <v>#REF!</v>
      </c>
      <c r="W160" s="360" t="e">
        <f t="shared" ca="1" si="90"/>
        <v>#REF!</v>
      </c>
      <c r="X160" s="81" t="e">
        <f t="shared" ca="1" si="102"/>
        <v>#REF!</v>
      </c>
      <c r="Y160" s="360" t="str">
        <f t="shared" ca="1" si="91"/>
        <v>NULL</v>
      </c>
      <c r="Z160" s="375" t="e">
        <f t="shared" ca="1" si="103"/>
        <v>#REF!</v>
      </c>
      <c r="AA160" s="360">
        <f ca="1">IFERROR(VLOOKUP(IF(V160="T1低",游戏时长规划!$C$67+Z160,Z160),INDIRECT(V160&amp;"星级"),2,TRUE),0)</f>
        <v>0</v>
      </c>
      <c r="AB160" s="375" t="e">
        <f t="shared" ca="1" si="92"/>
        <v>#REF!</v>
      </c>
      <c r="AC160" s="375">
        <f ca="1">($D$14+$D$17)*$L$4/坦克部件养成!$C$2+AC159-IFERROR(IF(RIGHT(AD159,3)*1&gt;RIGHT(VLOOKUP(AC159,INDIRECT(LEFT(AD158,2)&amp;"部件升阶"),5,TRUE),3)*1,VLOOKUP(AD158,INDIRECT(LEFT(AD158,2)&amp;"部件升阶消耗"),2,FALSE),0),0)</f>
        <v>1857.8333333333294</v>
      </c>
      <c r="AD160" s="360" t="e">
        <f t="shared" ca="1" si="93"/>
        <v>#REF!</v>
      </c>
      <c r="AE160" s="375" t="e">
        <f ca="1">$D$15*$L$4/坦克部件养成!$C$2+AE159-IF(LEFT(AD160,2)&lt;&gt;LEFT(AD159,2),VLOOKUP(AF159,INDIRECT(LEFT(AD159,2)&amp;"部件升级消耗"),5,FALSE),0)</f>
        <v>#REF!</v>
      </c>
      <c r="AF160" s="360" t="e">
        <f ca="1">MIN(VLOOKUP(AE160,INDIRECT(LEFT(AD160,2)&amp;"部件升级"),2,TRUE),VLOOKUP(LEFT(AD160,2),坦克部件养成!#REF!,6,FALSE))</f>
        <v>#REF!</v>
      </c>
      <c r="AG160" s="378" t="e">
        <f ca="1">MAX(BD$4:BD160)</f>
        <v>#REF!</v>
      </c>
      <c r="AH160" s="378" t="str">
        <f t="shared" ca="1" si="94"/>
        <v/>
      </c>
      <c r="AI160" s="378">
        <f ca="1">IF(Y160="NULL",0,MAX(BY$4:BY160))</f>
        <v>0</v>
      </c>
      <c r="AK160" s="364" t="e">
        <f t="shared" ca="1" si="95"/>
        <v>#REF!</v>
      </c>
      <c r="AL160" s="364" t="e">
        <f ca="1">VLOOKUP(AK160,坦克个性化设定!$B$18:$F$48,5,FALSE)</f>
        <v>#REF!</v>
      </c>
      <c r="AM160" s="372" t="e">
        <f t="shared" ca="1" si="96"/>
        <v>#REF!</v>
      </c>
      <c r="AN160" s="372" t="e">
        <f t="shared" ca="1" si="104"/>
        <v>#REF!</v>
      </c>
      <c r="AO160" s="364">
        <f t="shared" ca="1" si="97"/>
        <v>0</v>
      </c>
      <c r="AP160" s="372" t="e">
        <f ca="1">VLOOKUP($AK160&amp;$AO160,所有坦克升星属性,MATCH(AP$3,所有坦克升星属性标头,0),FALSE)+ROUND(AU160/VLOOKUP($AK160,坦克部件!#REF!,4,FALSE)*VLOOKUP($AK160&amp;0,所有坦克升星属性,MATCH(AP$3,所有坦克升星属性标头,0),FALSE),0)</f>
        <v>#REF!</v>
      </c>
      <c r="AQ160" s="372" t="e">
        <f ca="1">VLOOKUP($AK160&amp;$AO160,所有坦克升星属性,MATCH(AQ$3,所有坦克升星属性标头,0),FALSE)+ROUND(AV160/VLOOKUP($AK160,坦克部件!#REF!,4,FALSE)*VLOOKUP($AK160&amp;0,所有坦克升星属性,MATCH(AQ$3,所有坦克升星属性标头,0),FALSE),0)</f>
        <v>#REF!</v>
      </c>
      <c r="AR160" s="372" t="e">
        <f t="shared" ca="1" si="111"/>
        <v>#REF!</v>
      </c>
      <c r="AS160" s="372" t="e">
        <f t="shared" ca="1" si="111"/>
        <v>#REF!</v>
      </c>
      <c r="AT160" s="372" t="e">
        <f ca="1">VLOOKUP($AK160&amp;$AO160,所有坦克升星属性,MATCH(AT$3,所有坦克升星属性标头,0),FALSE)+ROUND(AW160/VLOOKUP($AK160,坦克部件!#REF!,4,FALSE)*VLOOKUP($AK160&amp;0,所有坦克升星属性,MATCH(AT$3,所有坦克升星属性标头,0),FALSE),0)</f>
        <v>#REF!</v>
      </c>
      <c r="AU160" s="372" t="e">
        <f ca="1">(VLOOKUP($AM160,坦克部件!#REF!,MATCH("标准值",坦克部件!#REF!,0),FALSE)+VLOOKUP($AN160,坦克部件!#REF!,MATCH("标准值",坦克部件!#REF!,0),FALSE))*2</f>
        <v>#REF!</v>
      </c>
      <c r="AV160" s="372" t="e">
        <f ca="1">(VLOOKUP($AM160,坦克部件!#REF!,MATCH("标准值",坦克部件!#REF!,0),FALSE)+VLOOKUP($AN160,坦克部件!#REF!,MATCH("标准值",坦克部件!#REF!,0),FALSE))*2</f>
        <v>#REF!</v>
      </c>
      <c r="AW160" s="372" t="e">
        <f ca="1">(VLOOKUP($AM160,坦克部件!#REF!,MATCH("标准值",坦克部件!#REF!,0),FALSE)+VLOOKUP($AN160,坦克部件!#REF!,MATCH("标准值",坦克部件!#REF!,0),FALSE))*2</f>
        <v>#REF!</v>
      </c>
      <c r="AX160" s="372" t="e">
        <f ca="1">VLOOKUP($AK160,坦克属性统计!$B$3:$AY$33,MATCH(AX$3,坦克属性统计!$B$3:$AY$3,0),FALSE)</f>
        <v>#REF!</v>
      </c>
      <c r="AY160" s="372" t="e">
        <f t="shared" ca="1" si="112"/>
        <v>#REF!</v>
      </c>
      <c r="AZ160" s="372" t="e">
        <f t="shared" ca="1" si="112"/>
        <v>#REF!</v>
      </c>
      <c r="BA160" s="372" t="e">
        <f t="shared" ca="1" si="112"/>
        <v>#REF!</v>
      </c>
      <c r="BB160" s="356" t="e">
        <f t="shared" ca="1" si="98"/>
        <v>#REF!</v>
      </c>
      <c r="BC160" s="356" t="e">
        <f ca="1">VLOOKUP(AK160,坦克个性化设定!$B$18:$E$48,4,FALSE)</f>
        <v>#REF!</v>
      </c>
      <c r="BD160" s="357" t="e">
        <f t="shared" ca="1" si="105"/>
        <v>#REF!</v>
      </c>
      <c r="BF160" s="357" t="str">
        <f t="shared" ca="1" si="99"/>
        <v/>
      </c>
      <c r="BG160" s="364" t="str">
        <f ca="1">IFERROR(VLOOKUP(BF160,坦克个性化设定!$B$18:$F$48,5,FALSE),"")</f>
        <v/>
      </c>
      <c r="BH160" s="372" t="e">
        <f t="shared" ca="1" si="106"/>
        <v>#REF!</v>
      </c>
      <c r="BI160" s="372" t="e">
        <f t="shared" ca="1" si="107"/>
        <v>#REF!</v>
      </c>
      <c r="BJ160" s="364" t="str">
        <f t="shared" ca="1" si="100"/>
        <v>NULL</v>
      </c>
      <c r="BK160" s="372" t="e">
        <f ca="1">VLOOKUP($BF160&amp;IF($BJ160="NULL",0,$BJ160),所有坦克升星属性,MATCH(BK$3,所有坦克升星属性标头,0),FALSE)+ROUND(BP160/VLOOKUP($BF160,坦克部件!#REF!,4,FALSE)*VLOOKUP($BF160&amp;0,所有坦克升星属性,MATCH(BK$3,所有坦克升星属性标头,0),FALSE),0)</f>
        <v>#N/A</v>
      </c>
      <c r="BL160" s="372" t="e">
        <f ca="1">VLOOKUP($BF160&amp;IF($BJ160="NULL",0,$BJ160),所有坦克升星属性,MATCH(BL$3,所有坦克升星属性标头,0),FALSE)+ROUND(BQ160/VLOOKUP($BF160,坦克部件!#REF!,4,FALSE)*VLOOKUP($BF160&amp;0,所有坦克升星属性,MATCH(BL$3,所有坦克升星属性标头,0),FALSE),0)</f>
        <v>#N/A</v>
      </c>
      <c r="BM160" s="372" t="e">
        <f t="shared" ca="1" si="113"/>
        <v>#N/A</v>
      </c>
      <c r="BN160" s="372" t="e">
        <f t="shared" ca="1" si="113"/>
        <v>#N/A</v>
      </c>
      <c r="BO160" s="372" t="e">
        <f ca="1">VLOOKUP($BF160&amp;IF($BJ160="NULL",0,$BJ160),所有坦克升星属性,MATCH(BO$3,所有坦克升星属性标头,0),FALSE)+ROUND(BR160/VLOOKUP($BF160,坦克部件!#REF!,4,FALSE)*VLOOKUP($BF160&amp;0,所有坦克升星属性,MATCH(BO$3,所有坦克升星属性标头,0),FALSE),0)</f>
        <v>#N/A</v>
      </c>
      <c r="BP160" s="372" t="e">
        <f ca="1">(VLOOKUP($BH160,坦克部件!#REF!,MATCH("标准值",坦克部件!#REF!,0),FALSE)+VLOOKUP($BI160,坦克部件!#REF!,MATCH("标准值",坦克部件!#REF!,0),FALSE))*2</f>
        <v>#REF!</v>
      </c>
      <c r="BQ160" s="372" t="e">
        <f ca="1">(VLOOKUP($BH160,坦克部件!#REF!,MATCH("标准值",坦克部件!#REF!,0),FALSE)+VLOOKUP($BI160,坦克部件!#REF!,MATCH("标准值",坦克部件!#REF!,0),FALSE))*2</f>
        <v>#REF!</v>
      </c>
      <c r="BR160" s="372" t="e">
        <f ca="1">(VLOOKUP($BH160,坦克部件!#REF!,MATCH("标准值",坦克部件!#REF!,0),FALSE)+VLOOKUP($BI160,坦克部件!#REF!,MATCH("标准值",坦克部件!#REF!,0),FALSE))*2</f>
        <v>#REF!</v>
      </c>
      <c r="BS160" s="372" t="e">
        <f ca="1">VLOOKUP($BF160,坦克属性统计!$B$3:$AY$33,MATCH(BS$3,坦克属性统计!$B$3:$AY$3,0),FALSE)</f>
        <v>#N/A</v>
      </c>
      <c r="BT160" s="372" t="e">
        <f t="shared" ca="1" si="114"/>
        <v>#N/A</v>
      </c>
      <c r="BU160" s="372" t="e">
        <f t="shared" ca="1" si="114"/>
        <v>#N/A</v>
      </c>
      <c r="BV160" s="372" t="e">
        <f t="shared" ca="1" si="114"/>
        <v>#N/A</v>
      </c>
      <c r="BW160" s="356">
        <f t="shared" ca="1" si="101"/>
        <v>0</v>
      </c>
      <c r="BX160" s="356" t="e">
        <f ca="1">VLOOKUP(BF160,坦克个性化设定!$B$18:$E$48,4,FALSE)</f>
        <v>#N/A</v>
      </c>
      <c r="BY160" s="357" t="e">
        <f t="shared" ca="1" si="108"/>
        <v>#N/A</v>
      </c>
    </row>
    <row r="161" spans="15:77" x14ac:dyDescent="0.35">
      <c r="O161" s="365">
        <v>158</v>
      </c>
      <c r="P161" s="360" t="e">
        <f t="shared" ca="1" si="115"/>
        <v>#REF!</v>
      </c>
      <c r="Q161" s="360" t="e">
        <f ca="1">ROUND(MIN((BD161-VLOOKUP(R161,$B$22:$F$46,2,FALSE))/(VLOOKUP(R161,$B$22:$F$46,3,FALSE)-VLOOKUP(R161,$B$22:$F$46,2,FALSE)),1)*((VLOOKUP(R161,$B$22:$F$46,4,FALSE)*(AG161/(AG161+VLOOKUP(P161,$D$49:$F$123,3,TRUE)))+VLOOKUP(R161,$B$22:$F$46,5,FALSE)*(1-AG161/(AG161+VLOOKUP(P161,$D$49:$F$123,3,TRUE))))/2)*游戏时长规划!$C$4,0)</f>
        <v>#REF!</v>
      </c>
      <c r="R161" s="360" t="e">
        <f t="shared" ca="1" si="88"/>
        <v>#REF!</v>
      </c>
      <c r="S161" s="360" t="e">
        <f t="shared" ca="1" si="109"/>
        <v>#REF!</v>
      </c>
      <c r="T161" s="360" t="e">
        <f t="shared" ca="1" si="116"/>
        <v>#REF!</v>
      </c>
      <c r="U161" s="370" t="e">
        <f t="shared" ca="1" si="89"/>
        <v>#REF!</v>
      </c>
      <c r="V161" s="363" t="e">
        <f t="shared" ca="1" si="110"/>
        <v>#REF!</v>
      </c>
      <c r="W161" s="360" t="e">
        <f t="shared" ca="1" si="90"/>
        <v>#REF!</v>
      </c>
      <c r="X161" s="81" t="e">
        <f t="shared" ca="1" si="102"/>
        <v>#REF!</v>
      </c>
      <c r="Y161" s="360" t="str">
        <f t="shared" ca="1" si="91"/>
        <v>NULL</v>
      </c>
      <c r="Z161" s="375" t="e">
        <f t="shared" ca="1" si="103"/>
        <v>#REF!</v>
      </c>
      <c r="AA161" s="360">
        <f ca="1">IFERROR(VLOOKUP(IF(V161="T1低",游戏时长规划!$C$67+Z161,Z161),INDIRECT(V161&amp;"星级"),2,TRUE),0)</f>
        <v>0</v>
      </c>
      <c r="AB161" s="375" t="e">
        <f t="shared" ca="1" si="92"/>
        <v>#REF!</v>
      </c>
      <c r="AC161" s="375">
        <f ca="1">($D$14+$D$17)*$L$4/坦克部件养成!$C$2+AC160-IFERROR(IF(RIGHT(AD160,3)*1&gt;RIGHT(VLOOKUP(AC160,INDIRECT(LEFT(AD159,2)&amp;"部件升阶"),5,TRUE),3)*1,VLOOKUP(AD159,INDIRECT(LEFT(AD159,2)&amp;"部件升阶消耗"),2,FALSE),0),0)</f>
        <v>1869.6666666666626</v>
      </c>
      <c r="AD161" s="360" t="e">
        <f t="shared" ca="1" si="93"/>
        <v>#REF!</v>
      </c>
      <c r="AE161" s="375" t="e">
        <f ca="1">$D$15*$L$4/坦克部件养成!$C$2+AE160-IF(LEFT(AD161,2)&lt;&gt;LEFT(AD160,2),VLOOKUP(AF160,INDIRECT(LEFT(AD160,2)&amp;"部件升级消耗"),5,FALSE),0)</f>
        <v>#REF!</v>
      </c>
      <c r="AF161" s="360" t="e">
        <f ca="1">MIN(VLOOKUP(AE161,INDIRECT(LEFT(AD161,2)&amp;"部件升级"),2,TRUE),VLOOKUP(LEFT(AD161,2),坦克部件养成!#REF!,6,FALSE))</f>
        <v>#REF!</v>
      </c>
      <c r="AG161" s="378" t="e">
        <f ca="1">MAX(BD$4:BD161)</f>
        <v>#REF!</v>
      </c>
      <c r="AH161" s="378" t="str">
        <f t="shared" ca="1" si="94"/>
        <v/>
      </c>
      <c r="AI161" s="378">
        <f ca="1">IF(Y161="NULL",0,MAX(BY$4:BY161))</f>
        <v>0</v>
      </c>
      <c r="AK161" s="364" t="e">
        <f t="shared" ca="1" si="95"/>
        <v>#REF!</v>
      </c>
      <c r="AL161" s="364" t="e">
        <f ca="1">VLOOKUP(AK161,坦克个性化设定!$B$18:$F$48,5,FALSE)</f>
        <v>#REF!</v>
      </c>
      <c r="AM161" s="372" t="e">
        <f t="shared" ca="1" si="96"/>
        <v>#REF!</v>
      </c>
      <c r="AN161" s="372" t="e">
        <f t="shared" ca="1" si="104"/>
        <v>#REF!</v>
      </c>
      <c r="AO161" s="364">
        <f t="shared" ca="1" si="97"/>
        <v>0</v>
      </c>
      <c r="AP161" s="372" t="e">
        <f ca="1">VLOOKUP($AK161&amp;$AO161,所有坦克升星属性,MATCH(AP$3,所有坦克升星属性标头,0),FALSE)+ROUND(AU161/VLOOKUP($AK161,坦克部件!#REF!,4,FALSE)*VLOOKUP($AK161&amp;0,所有坦克升星属性,MATCH(AP$3,所有坦克升星属性标头,0),FALSE),0)</f>
        <v>#REF!</v>
      </c>
      <c r="AQ161" s="372" t="e">
        <f ca="1">VLOOKUP($AK161&amp;$AO161,所有坦克升星属性,MATCH(AQ$3,所有坦克升星属性标头,0),FALSE)+ROUND(AV161/VLOOKUP($AK161,坦克部件!#REF!,4,FALSE)*VLOOKUP($AK161&amp;0,所有坦克升星属性,MATCH(AQ$3,所有坦克升星属性标头,0),FALSE),0)</f>
        <v>#REF!</v>
      </c>
      <c r="AR161" s="372" t="e">
        <f t="shared" ca="1" si="111"/>
        <v>#REF!</v>
      </c>
      <c r="AS161" s="372" t="e">
        <f t="shared" ca="1" si="111"/>
        <v>#REF!</v>
      </c>
      <c r="AT161" s="372" t="e">
        <f ca="1">VLOOKUP($AK161&amp;$AO161,所有坦克升星属性,MATCH(AT$3,所有坦克升星属性标头,0),FALSE)+ROUND(AW161/VLOOKUP($AK161,坦克部件!#REF!,4,FALSE)*VLOOKUP($AK161&amp;0,所有坦克升星属性,MATCH(AT$3,所有坦克升星属性标头,0),FALSE),0)</f>
        <v>#REF!</v>
      </c>
      <c r="AU161" s="372" t="e">
        <f ca="1">(VLOOKUP($AM161,坦克部件!#REF!,MATCH("标准值",坦克部件!#REF!,0),FALSE)+VLOOKUP($AN161,坦克部件!#REF!,MATCH("标准值",坦克部件!#REF!,0),FALSE))*2</f>
        <v>#REF!</v>
      </c>
      <c r="AV161" s="372" t="e">
        <f ca="1">(VLOOKUP($AM161,坦克部件!#REF!,MATCH("标准值",坦克部件!#REF!,0),FALSE)+VLOOKUP($AN161,坦克部件!#REF!,MATCH("标准值",坦克部件!#REF!,0),FALSE))*2</f>
        <v>#REF!</v>
      </c>
      <c r="AW161" s="372" t="e">
        <f ca="1">(VLOOKUP($AM161,坦克部件!#REF!,MATCH("标准值",坦克部件!#REF!,0),FALSE)+VLOOKUP($AN161,坦克部件!#REF!,MATCH("标准值",坦克部件!#REF!,0),FALSE))*2</f>
        <v>#REF!</v>
      </c>
      <c r="AX161" s="372" t="e">
        <f ca="1">VLOOKUP($AK161,坦克属性统计!$B$3:$AY$33,MATCH(AX$3,坦克属性统计!$B$3:$AY$3,0),FALSE)</f>
        <v>#REF!</v>
      </c>
      <c r="AY161" s="372" t="e">
        <f t="shared" ca="1" si="112"/>
        <v>#REF!</v>
      </c>
      <c r="AZ161" s="372" t="e">
        <f t="shared" ca="1" si="112"/>
        <v>#REF!</v>
      </c>
      <c r="BA161" s="372" t="e">
        <f t="shared" ca="1" si="112"/>
        <v>#REF!</v>
      </c>
      <c r="BB161" s="356" t="e">
        <f t="shared" ca="1" si="98"/>
        <v>#REF!</v>
      </c>
      <c r="BC161" s="356" t="e">
        <f ca="1">VLOOKUP(AK161,坦克个性化设定!$B$18:$E$48,4,FALSE)</f>
        <v>#REF!</v>
      </c>
      <c r="BD161" s="357" t="e">
        <f t="shared" ca="1" si="105"/>
        <v>#REF!</v>
      </c>
      <c r="BF161" s="357" t="str">
        <f t="shared" ca="1" si="99"/>
        <v/>
      </c>
      <c r="BG161" s="372" t="str">
        <f ca="1">IFERROR(VLOOKUP(BF161,坦克个性化设定!$B$18:$F$48,5,FALSE),"")</f>
        <v/>
      </c>
      <c r="BH161" s="372" t="e">
        <f t="shared" ca="1" si="106"/>
        <v>#REF!</v>
      </c>
      <c r="BI161" s="372" t="e">
        <f t="shared" ca="1" si="107"/>
        <v>#REF!</v>
      </c>
      <c r="BJ161" s="364" t="str">
        <f t="shared" ca="1" si="100"/>
        <v>NULL</v>
      </c>
      <c r="BK161" s="372" t="e">
        <f ca="1">VLOOKUP($BF161&amp;IF($BJ161="NULL",0,$BJ161),所有坦克升星属性,MATCH(BK$3,所有坦克升星属性标头,0),FALSE)+ROUND(BP161/VLOOKUP($BF161,坦克部件!#REF!,4,FALSE)*VLOOKUP($BF161&amp;0,所有坦克升星属性,MATCH(BK$3,所有坦克升星属性标头,0),FALSE),0)</f>
        <v>#N/A</v>
      </c>
      <c r="BL161" s="372" t="e">
        <f ca="1">VLOOKUP($BF161&amp;IF($BJ161="NULL",0,$BJ161),所有坦克升星属性,MATCH(BL$3,所有坦克升星属性标头,0),FALSE)+ROUND(BQ161/VLOOKUP($BF161,坦克部件!#REF!,4,FALSE)*VLOOKUP($BF161&amp;0,所有坦克升星属性,MATCH(BL$3,所有坦克升星属性标头,0),FALSE),0)</f>
        <v>#N/A</v>
      </c>
      <c r="BM161" s="372" t="e">
        <f t="shared" ca="1" si="113"/>
        <v>#N/A</v>
      </c>
      <c r="BN161" s="372" t="e">
        <f t="shared" ca="1" si="113"/>
        <v>#N/A</v>
      </c>
      <c r="BO161" s="372" t="e">
        <f ca="1">VLOOKUP($BF161&amp;IF($BJ161="NULL",0,$BJ161),所有坦克升星属性,MATCH(BO$3,所有坦克升星属性标头,0),FALSE)+ROUND(BR161/VLOOKUP($BF161,坦克部件!#REF!,4,FALSE)*VLOOKUP($BF161&amp;0,所有坦克升星属性,MATCH(BO$3,所有坦克升星属性标头,0),FALSE),0)</f>
        <v>#N/A</v>
      </c>
      <c r="BP161" s="372" t="e">
        <f ca="1">(VLOOKUP($BH161,坦克部件!#REF!,MATCH("标准值",坦克部件!#REF!,0),FALSE)+VLOOKUP($BI161,坦克部件!#REF!,MATCH("标准值",坦克部件!#REF!,0),FALSE))*2</f>
        <v>#REF!</v>
      </c>
      <c r="BQ161" s="372" t="e">
        <f ca="1">(VLOOKUP($BH161,坦克部件!#REF!,MATCH("标准值",坦克部件!#REF!,0),FALSE)+VLOOKUP($BI161,坦克部件!#REF!,MATCH("标准值",坦克部件!#REF!,0),FALSE))*2</f>
        <v>#REF!</v>
      </c>
      <c r="BR161" s="372" t="e">
        <f ca="1">(VLOOKUP($BH161,坦克部件!#REF!,MATCH("标准值",坦克部件!#REF!,0),FALSE)+VLOOKUP($BI161,坦克部件!#REF!,MATCH("标准值",坦克部件!#REF!,0),FALSE))*2</f>
        <v>#REF!</v>
      </c>
      <c r="BS161" s="372" t="e">
        <f ca="1">VLOOKUP($BF161,坦克属性统计!$B$3:$AY$33,MATCH(BS$3,坦克属性统计!$B$3:$AY$3,0),FALSE)</f>
        <v>#N/A</v>
      </c>
      <c r="BT161" s="372" t="e">
        <f t="shared" ca="1" si="114"/>
        <v>#N/A</v>
      </c>
      <c r="BU161" s="372" t="e">
        <f t="shared" ca="1" si="114"/>
        <v>#N/A</v>
      </c>
      <c r="BV161" s="372" t="e">
        <f t="shared" ca="1" si="114"/>
        <v>#N/A</v>
      </c>
      <c r="BW161" s="356">
        <f t="shared" ca="1" si="101"/>
        <v>0</v>
      </c>
      <c r="BX161" s="356" t="e">
        <f ca="1">VLOOKUP(BF161,坦克个性化设定!$B$18:$E$48,4,FALSE)</f>
        <v>#N/A</v>
      </c>
      <c r="BY161" s="357" t="e">
        <f t="shared" ca="1" si="108"/>
        <v>#N/A</v>
      </c>
    </row>
    <row r="162" spans="15:77" x14ac:dyDescent="0.35">
      <c r="O162" s="365">
        <v>159</v>
      </c>
      <c r="P162" s="360" t="e">
        <f t="shared" ca="1" si="115"/>
        <v>#REF!</v>
      </c>
      <c r="Q162" s="360" t="e">
        <f ca="1">ROUND(MIN((BD162-VLOOKUP(R162,$B$22:$F$46,2,FALSE))/(VLOOKUP(R162,$B$22:$F$46,3,FALSE)-VLOOKUP(R162,$B$22:$F$46,2,FALSE)),1)*((VLOOKUP(R162,$B$22:$F$46,4,FALSE)*(AG162/(AG162+VLOOKUP(P162,$D$49:$F$123,3,TRUE)))+VLOOKUP(R162,$B$22:$F$46,5,FALSE)*(1-AG162/(AG162+VLOOKUP(P162,$D$49:$F$123,3,TRUE))))/2)*游戏时长规划!$C$4,0)</f>
        <v>#REF!</v>
      </c>
      <c r="R162" s="360" t="e">
        <f t="shared" ca="1" si="88"/>
        <v>#REF!</v>
      </c>
      <c r="S162" s="360" t="e">
        <f t="shared" ca="1" si="109"/>
        <v>#REF!</v>
      </c>
      <c r="T162" s="360" t="e">
        <f t="shared" ca="1" si="116"/>
        <v>#REF!</v>
      </c>
      <c r="U162" s="370" t="e">
        <f t="shared" ca="1" si="89"/>
        <v>#REF!</v>
      </c>
      <c r="V162" s="363" t="e">
        <f t="shared" ca="1" si="110"/>
        <v>#REF!</v>
      </c>
      <c r="W162" s="360" t="e">
        <f t="shared" ca="1" si="90"/>
        <v>#REF!</v>
      </c>
      <c r="X162" s="81" t="e">
        <f t="shared" ca="1" si="102"/>
        <v>#REF!</v>
      </c>
      <c r="Y162" s="360" t="str">
        <f t="shared" ca="1" si="91"/>
        <v>NULL</v>
      </c>
      <c r="Z162" s="375" t="e">
        <f t="shared" ca="1" si="103"/>
        <v>#REF!</v>
      </c>
      <c r="AA162" s="360">
        <f ca="1">IFERROR(VLOOKUP(IF(V162="T1低",游戏时长规划!$C$67+Z162,Z162),INDIRECT(V162&amp;"星级"),2,TRUE),0)</f>
        <v>0</v>
      </c>
      <c r="AB162" s="375" t="e">
        <f t="shared" ca="1" si="92"/>
        <v>#REF!</v>
      </c>
      <c r="AC162" s="375">
        <f ca="1">($D$14+$D$17)*$L$4/坦克部件养成!$C$2+AC161-IFERROR(IF(RIGHT(AD161,3)*1&gt;RIGHT(VLOOKUP(AC161,INDIRECT(LEFT(AD160,2)&amp;"部件升阶"),5,TRUE),3)*1,VLOOKUP(AD160,INDIRECT(LEFT(AD160,2)&amp;"部件升阶消耗"),2,FALSE),0),0)</f>
        <v>1881.4999999999959</v>
      </c>
      <c r="AD162" s="360" t="e">
        <f t="shared" ca="1" si="93"/>
        <v>#REF!</v>
      </c>
      <c r="AE162" s="375" t="e">
        <f ca="1">$D$15*$L$4/坦克部件养成!$C$2+AE161-IF(LEFT(AD162,2)&lt;&gt;LEFT(AD161,2),VLOOKUP(AF161,INDIRECT(LEFT(AD161,2)&amp;"部件升级消耗"),5,FALSE),0)</f>
        <v>#REF!</v>
      </c>
      <c r="AF162" s="360" t="e">
        <f ca="1">MIN(VLOOKUP(AE162,INDIRECT(LEFT(AD162,2)&amp;"部件升级"),2,TRUE),VLOOKUP(LEFT(AD162,2),坦克部件养成!#REF!,6,FALSE))</f>
        <v>#REF!</v>
      </c>
      <c r="AG162" s="378" t="e">
        <f ca="1">MAX(BD$4:BD162)</f>
        <v>#REF!</v>
      </c>
      <c r="AH162" s="378" t="str">
        <f t="shared" ca="1" si="94"/>
        <v/>
      </c>
      <c r="AI162" s="378">
        <f ca="1">IF(Y162="NULL",0,MAX(BY$4:BY162))</f>
        <v>0</v>
      </c>
      <c r="AK162" s="364" t="e">
        <f t="shared" ca="1" si="95"/>
        <v>#REF!</v>
      </c>
      <c r="AL162" s="364" t="e">
        <f ca="1">VLOOKUP(AK162,坦克个性化设定!$B$18:$F$48,5,FALSE)</f>
        <v>#REF!</v>
      </c>
      <c r="AM162" s="372" t="e">
        <f t="shared" ca="1" si="96"/>
        <v>#REF!</v>
      </c>
      <c r="AN162" s="372" t="e">
        <f t="shared" ca="1" si="104"/>
        <v>#REF!</v>
      </c>
      <c r="AO162" s="364">
        <f t="shared" ca="1" si="97"/>
        <v>0</v>
      </c>
      <c r="AP162" s="372" t="e">
        <f ca="1">VLOOKUP($AK162&amp;$AO162,所有坦克升星属性,MATCH(AP$3,所有坦克升星属性标头,0),FALSE)+ROUND(AU162/VLOOKUP($AK162,坦克部件!#REF!,4,FALSE)*VLOOKUP($AK162&amp;0,所有坦克升星属性,MATCH(AP$3,所有坦克升星属性标头,0),FALSE),0)</f>
        <v>#REF!</v>
      </c>
      <c r="AQ162" s="372" t="e">
        <f ca="1">VLOOKUP($AK162&amp;$AO162,所有坦克升星属性,MATCH(AQ$3,所有坦克升星属性标头,0),FALSE)+ROUND(AV162/VLOOKUP($AK162,坦克部件!#REF!,4,FALSE)*VLOOKUP($AK162&amp;0,所有坦克升星属性,MATCH(AQ$3,所有坦克升星属性标头,0),FALSE),0)</f>
        <v>#REF!</v>
      </c>
      <c r="AR162" s="372" t="e">
        <f t="shared" ca="1" si="111"/>
        <v>#REF!</v>
      </c>
      <c r="AS162" s="372" t="e">
        <f t="shared" ca="1" si="111"/>
        <v>#REF!</v>
      </c>
      <c r="AT162" s="372" t="e">
        <f ca="1">VLOOKUP($AK162&amp;$AO162,所有坦克升星属性,MATCH(AT$3,所有坦克升星属性标头,0),FALSE)+ROUND(AW162/VLOOKUP($AK162,坦克部件!#REF!,4,FALSE)*VLOOKUP($AK162&amp;0,所有坦克升星属性,MATCH(AT$3,所有坦克升星属性标头,0),FALSE),0)</f>
        <v>#REF!</v>
      </c>
      <c r="AU162" s="372" t="e">
        <f ca="1">(VLOOKUP($AM162,坦克部件!#REF!,MATCH("标准值",坦克部件!#REF!,0),FALSE)+VLOOKUP($AN162,坦克部件!#REF!,MATCH("标准值",坦克部件!#REF!,0),FALSE))*2</f>
        <v>#REF!</v>
      </c>
      <c r="AV162" s="372" t="e">
        <f ca="1">(VLOOKUP($AM162,坦克部件!#REF!,MATCH("标准值",坦克部件!#REF!,0),FALSE)+VLOOKUP($AN162,坦克部件!#REF!,MATCH("标准值",坦克部件!#REF!,0),FALSE))*2</f>
        <v>#REF!</v>
      </c>
      <c r="AW162" s="372" t="e">
        <f ca="1">(VLOOKUP($AM162,坦克部件!#REF!,MATCH("标准值",坦克部件!#REF!,0),FALSE)+VLOOKUP($AN162,坦克部件!#REF!,MATCH("标准值",坦克部件!#REF!,0),FALSE))*2</f>
        <v>#REF!</v>
      </c>
      <c r="AX162" s="372" t="e">
        <f ca="1">VLOOKUP($AK162,坦克属性统计!$B$3:$AY$33,MATCH(AX$3,坦克属性统计!$B$3:$AY$3,0),FALSE)</f>
        <v>#REF!</v>
      </c>
      <c r="AY162" s="372" t="e">
        <f t="shared" ca="1" si="112"/>
        <v>#REF!</v>
      </c>
      <c r="AZ162" s="372" t="e">
        <f t="shared" ca="1" si="112"/>
        <v>#REF!</v>
      </c>
      <c r="BA162" s="372" t="e">
        <f t="shared" ca="1" si="112"/>
        <v>#REF!</v>
      </c>
      <c r="BB162" s="356" t="e">
        <f t="shared" ca="1" si="98"/>
        <v>#REF!</v>
      </c>
      <c r="BC162" s="356" t="e">
        <f ca="1">VLOOKUP(AK162,坦克个性化设定!$B$18:$E$48,4,FALSE)</f>
        <v>#REF!</v>
      </c>
      <c r="BD162" s="357" t="e">
        <f t="shared" ca="1" si="105"/>
        <v>#REF!</v>
      </c>
      <c r="BF162" s="357" t="str">
        <f t="shared" ca="1" si="99"/>
        <v/>
      </c>
      <c r="BG162" s="372" t="str">
        <f ca="1">IFERROR(VLOOKUP(BF162,坦克个性化设定!$B$18:$F$48,5,FALSE),"")</f>
        <v/>
      </c>
      <c r="BH162" s="372" t="e">
        <f t="shared" ca="1" si="106"/>
        <v>#REF!</v>
      </c>
      <c r="BI162" s="372" t="e">
        <f t="shared" ca="1" si="107"/>
        <v>#REF!</v>
      </c>
      <c r="BJ162" s="364" t="str">
        <f t="shared" ca="1" si="100"/>
        <v>NULL</v>
      </c>
      <c r="BK162" s="372" t="e">
        <f ca="1">VLOOKUP($BF162&amp;IF($BJ162="NULL",0,$BJ162),所有坦克升星属性,MATCH(BK$3,所有坦克升星属性标头,0),FALSE)+ROUND(BP162/VLOOKUP($BF162,坦克部件!#REF!,4,FALSE)*VLOOKUP($BF162&amp;0,所有坦克升星属性,MATCH(BK$3,所有坦克升星属性标头,0),FALSE),0)</f>
        <v>#N/A</v>
      </c>
      <c r="BL162" s="372" t="e">
        <f ca="1">VLOOKUP($BF162&amp;IF($BJ162="NULL",0,$BJ162),所有坦克升星属性,MATCH(BL$3,所有坦克升星属性标头,0),FALSE)+ROUND(BQ162/VLOOKUP($BF162,坦克部件!#REF!,4,FALSE)*VLOOKUP($BF162&amp;0,所有坦克升星属性,MATCH(BL$3,所有坦克升星属性标头,0),FALSE),0)</f>
        <v>#N/A</v>
      </c>
      <c r="BM162" s="372" t="e">
        <f t="shared" ca="1" si="113"/>
        <v>#N/A</v>
      </c>
      <c r="BN162" s="372" t="e">
        <f t="shared" ca="1" si="113"/>
        <v>#N/A</v>
      </c>
      <c r="BO162" s="372" t="e">
        <f ca="1">VLOOKUP($BF162&amp;IF($BJ162="NULL",0,$BJ162),所有坦克升星属性,MATCH(BO$3,所有坦克升星属性标头,0),FALSE)+ROUND(BR162/VLOOKUP($BF162,坦克部件!#REF!,4,FALSE)*VLOOKUP($BF162&amp;0,所有坦克升星属性,MATCH(BO$3,所有坦克升星属性标头,0),FALSE),0)</f>
        <v>#N/A</v>
      </c>
      <c r="BP162" s="372" t="e">
        <f ca="1">(VLOOKUP($BH162,坦克部件!#REF!,MATCH("标准值",坦克部件!#REF!,0),FALSE)+VLOOKUP($BI162,坦克部件!#REF!,MATCH("标准值",坦克部件!#REF!,0),FALSE))*2</f>
        <v>#REF!</v>
      </c>
      <c r="BQ162" s="372" t="e">
        <f ca="1">(VLOOKUP($BH162,坦克部件!#REF!,MATCH("标准值",坦克部件!#REF!,0),FALSE)+VLOOKUP($BI162,坦克部件!#REF!,MATCH("标准值",坦克部件!#REF!,0),FALSE))*2</f>
        <v>#REF!</v>
      </c>
      <c r="BR162" s="372" t="e">
        <f ca="1">(VLOOKUP($BH162,坦克部件!#REF!,MATCH("标准值",坦克部件!#REF!,0),FALSE)+VLOOKUP($BI162,坦克部件!#REF!,MATCH("标准值",坦克部件!#REF!,0),FALSE))*2</f>
        <v>#REF!</v>
      </c>
      <c r="BS162" s="372" t="e">
        <f ca="1">VLOOKUP($BF162,坦克属性统计!$B$3:$AY$33,MATCH(BS$3,坦克属性统计!$B$3:$AY$3,0),FALSE)</f>
        <v>#N/A</v>
      </c>
      <c r="BT162" s="372" t="e">
        <f t="shared" ca="1" si="114"/>
        <v>#N/A</v>
      </c>
      <c r="BU162" s="372" t="e">
        <f t="shared" ca="1" si="114"/>
        <v>#N/A</v>
      </c>
      <c r="BV162" s="372" t="e">
        <f t="shared" ca="1" si="114"/>
        <v>#N/A</v>
      </c>
      <c r="BW162" s="356">
        <f t="shared" ca="1" si="101"/>
        <v>0</v>
      </c>
      <c r="BX162" s="356" t="e">
        <f ca="1">VLOOKUP(BF162,坦克个性化设定!$B$18:$E$48,4,FALSE)</f>
        <v>#N/A</v>
      </c>
      <c r="BY162" s="357" t="e">
        <f t="shared" ca="1" si="108"/>
        <v>#N/A</v>
      </c>
    </row>
    <row r="163" spans="15:77" x14ac:dyDescent="0.35">
      <c r="O163" s="365">
        <v>160</v>
      </c>
      <c r="P163" s="360" t="e">
        <f t="shared" ca="1" si="115"/>
        <v>#REF!</v>
      </c>
      <c r="Q163" s="360" t="e">
        <f ca="1">ROUND(MIN((BD163-VLOOKUP(R163,$B$22:$F$46,2,FALSE))/(VLOOKUP(R163,$B$22:$F$46,3,FALSE)-VLOOKUP(R163,$B$22:$F$46,2,FALSE)),1)*((VLOOKUP(R163,$B$22:$F$46,4,FALSE)*(AG163/(AG163+VLOOKUP(P163,$D$49:$F$123,3,TRUE)))+VLOOKUP(R163,$B$22:$F$46,5,FALSE)*(1-AG163/(AG163+VLOOKUP(P163,$D$49:$F$123,3,TRUE))))/2)*游戏时长规划!$C$4,0)</f>
        <v>#REF!</v>
      </c>
      <c r="R163" s="360" t="e">
        <f t="shared" ca="1" si="88"/>
        <v>#REF!</v>
      </c>
      <c r="S163" s="360" t="e">
        <f t="shared" ca="1" si="109"/>
        <v>#REF!</v>
      </c>
      <c r="T163" s="360" t="e">
        <f t="shared" ca="1" si="116"/>
        <v>#REF!</v>
      </c>
      <c r="U163" s="370" t="e">
        <f t="shared" ca="1" si="89"/>
        <v>#REF!</v>
      </c>
      <c r="V163" s="363" t="e">
        <f t="shared" ca="1" si="110"/>
        <v>#REF!</v>
      </c>
      <c r="W163" s="360" t="e">
        <f t="shared" ca="1" si="90"/>
        <v>#REF!</v>
      </c>
      <c r="X163" s="81" t="e">
        <f t="shared" ca="1" si="102"/>
        <v>#REF!</v>
      </c>
      <c r="Y163" s="360" t="str">
        <f t="shared" ca="1" si="91"/>
        <v>NULL</v>
      </c>
      <c r="Z163" s="375" t="e">
        <f t="shared" ca="1" si="103"/>
        <v>#REF!</v>
      </c>
      <c r="AA163" s="360">
        <f ca="1">IFERROR(VLOOKUP(IF(V163="T1低",游戏时长规划!$C$67+Z163,Z163),INDIRECT(V163&amp;"星级"),2,TRUE),0)</f>
        <v>0</v>
      </c>
      <c r="AB163" s="375" t="e">
        <f t="shared" ca="1" si="92"/>
        <v>#REF!</v>
      </c>
      <c r="AC163" s="375">
        <f ca="1">($D$14+$D$17)*$L$4/坦克部件养成!$C$2+AC162-IFERROR(IF(RIGHT(AD162,3)*1&gt;RIGHT(VLOOKUP(AC162,INDIRECT(LEFT(AD161,2)&amp;"部件升阶"),5,TRUE),3)*1,VLOOKUP(AD161,INDIRECT(LEFT(AD161,2)&amp;"部件升阶消耗"),2,FALSE),0),0)</f>
        <v>1893.3333333333292</v>
      </c>
      <c r="AD163" s="360" t="e">
        <f t="shared" ca="1" si="93"/>
        <v>#REF!</v>
      </c>
      <c r="AE163" s="375" t="e">
        <f ca="1">$D$15*$L$4/坦克部件养成!$C$2+AE162-IF(LEFT(AD163,2)&lt;&gt;LEFT(AD162,2),VLOOKUP(AF162,INDIRECT(LEFT(AD162,2)&amp;"部件升级消耗"),5,FALSE),0)</f>
        <v>#REF!</v>
      </c>
      <c r="AF163" s="360" t="e">
        <f ca="1">MIN(VLOOKUP(AE163,INDIRECT(LEFT(AD163,2)&amp;"部件升级"),2,TRUE),VLOOKUP(LEFT(AD163,2),坦克部件养成!#REF!,6,FALSE))</f>
        <v>#REF!</v>
      </c>
      <c r="AG163" s="378" t="e">
        <f ca="1">MAX(BD$4:BD163)</f>
        <v>#REF!</v>
      </c>
      <c r="AH163" s="378" t="str">
        <f t="shared" ca="1" si="94"/>
        <v/>
      </c>
      <c r="AI163" s="378">
        <f ca="1">IF(Y163="NULL",0,MAX(BY$4:BY163))</f>
        <v>0</v>
      </c>
      <c r="AK163" s="364" t="e">
        <f t="shared" ca="1" si="95"/>
        <v>#REF!</v>
      </c>
      <c r="AL163" s="364" t="e">
        <f ca="1">VLOOKUP(AK163,坦克个性化设定!$B$18:$F$48,5,FALSE)</f>
        <v>#REF!</v>
      </c>
      <c r="AM163" s="372" t="e">
        <f t="shared" ca="1" si="96"/>
        <v>#REF!</v>
      </c>
      <c r="AN163" s="372" t="e">
        <f t="shared" ca="1" si="104"/>
        <v>#REF!</v>
      </c>
      <c r="AO163" s="364">
        <f t="shared" ca="1" si="97"/>
        <v>0</v>
      </c>
      <c r="AP163" s="372" t="e">
        <f ca="1">VLOOKUP($AK163&amp;$AO163,所有坦克升星属性,MATCH(AP$3,所有坦克升星属性标头,0),FALSE)+ROUND(AU163/VLOOKUP($AK163,坦克部件!#REF!,4,FALSE)*VLOOKUP($AK163&amp;0,所有坦克升星属性,MATCH(AP$3,所有坦克升星属性标头,0),FALSE),0)</f>
        <v>#REF!</v>
      </c>
      <c r="AQ163" s="372" t="e">
        <f ca="1">VLOOKUP($AK163&amp;$AO163,所有坦克升星属性,MATCH(AQ$3,所有坦克升星属性标头,0),FALSE)+ROUND(AV163/VLOOKUP($AK163,坦克部件!#REF!,4,FALSE)*VLOOKUP($AK163&amp;0,所有坦克升星属性,MATCH(AQ$3,所有坦克升星属性标头,0),FALSE),0)</f>
        <v>#REF!</v>
      </c>
      <c r="AR163" s="372" t="e">
        <f t="shared" ca="1" si="111"/>
        <v>#REF!</v>
      </c>
      <c r="AS163" s="372" t="e">
        <f t="shared" ca="1" si="111"/>
        <v>#REF!</v>
      </c>
      <c r="AT163" s="372" t="e">
        <f ca="1">VLOOKUP($AK163&amp;$AO163,所有坦克升星属性,MATCH(AT$3,所有坦克升星属性标头,0),FALSE)+ROUND(AW163/VLOOKUP($AK163,坦克部件!#REF!,4,FALSE)*VLOOKUP($AK163&amp;0,所有坦克升星属性,MATCH(AT$3,所有坦克升星属性标头,0),FALSE),0)</f>
        <v>#REF!</v>
      </c>
      <c r="AU163" s="372" t="e">
        <f ca="1">(VLOOKUP($AM163,坦克部件!#REF!,MATCH("标准值",坦克部件!#REF!,0),FALSE)+VLOOKUP($AN163,坦克部件!#REF!,MATCH("标准值",坦克部件!#REF!,0),FALSE))*2</f>
        <v>#REF!</v>
      </c>
      <c r="AV163" s="372" t="e">
        <f ca="1">(VLOOKUP($AM163,坦克部件!#REF!,MATCH("标准值",坦克部件!#REF!,0),FALSE)+VLOOKUP($AN163,坦克部件!#REF!,MATCH("标准值",坦克部件!#REF!,0),FALSE))*2</f>
        <v>#REF!</v>
      </c>
      <c r="AW163" s="372" t="e">
        <f ca="1">(VLOOKUP($AM163,坦克部件!#REF!,MATCH("标准值",坦克部件!#REF!,0),FALSE)+VLOOKUP($AN163,坦克部件!#REF!,MATCH("标准值",坦克部件!#REF!,0),FALSE))*2</f>
        <v>#REF!</v>
      </c>
      <c r="AX163" s="372" t="e">
        <f ca="1">VLOOKUP($AK163,坦克属性统计!$B$3:$AY$33,MATCH(AX$3,坦克属性统计!$B$3:$AY$3,0),FALSE)</f>
        <v>#REF!</v>
      </c>
      <c r="AY163" s="372" t="e">
        <f t="shared" ca="1" si="112"/>
        <v>#REF!</v>
      </c>
      <c r="AZ163" s="372" t="e">
        <f t="shared" ca="1" si="112"/>
        <v>#REF!</v>
      </c>
      <c r="BA163" s="372" t="e">
        <f t="shared" ca="1" si="112"/>
        <v>#REF!</v>
      </c>
      <c r="BB163" s="356" t="e">
        <f t="shared" ca="1" si="98"/>
        <v>#REF!</v>
      </c>
      <c r="BC163" s="356" t="e">
        <f ca="1">VLOOKUP(AK163,坦克个性化设定!$B$18:$E$48,4,FALSE)</f>
        <v>#REF!</v>
      </c>
      <c r="BD163" s="357" t="e">
        <f t="shared" ca="1" si="105"/>
        <v>#REF!</v>
      </c>
      <c r="BF163" s="357" t="str">
        <f t="shared" ca="1" si="99"/>
        <v/>
      </c>
      <c r="BG163" s="372" t="str">
        <f ca="1">IFERROR(VLOOKUP(BF163,坦克个性化设定!$B$18:$F$48,5,FALSE),"")</f>
        <v/>
      </c>
      <c r="BH163" s="372" t="e">
        <f t="shared" ca="1" si="106"/>
        <v>#REF!</v>
      </c>
      <c r="BI163" s="372" t="e">
        <f t="shared" ca="1" si="107"/>
        <v>#REF!</v>
      </c>
      <c r="BJ163" s="364" t="str">
        <f t="shared" ca="1" si="100"/>
        <v>NULL</v>
      </c>
      <c r="BK163" s="372" t="e">
        <f ca="1">VLOOKUP($BF163&amp;IF($BJ163="NULL",0,$BJ163),所有坦克升星属性,MATCH(BK$3,所有坦克升星属性标头,0),FALSE)+ROUND(BP163/VLOOKUP($BF163,坦克部件!#REF!,4,FALSE)*VLOOKUP($BF163&amp;0,所有坦克升星属性,MATCH(BK$3,所有坦克升星属性标头,0),FALSE),0)</f>
        <v>#N/A</v>
      </c>
      <c r="BL163" s="372" t="e">
        <f ca="1">VLOOKUP($BF163&amp;IF($BJ163="NULL",0,$BJ163),所有坦克升星属性,MATCH(BL$3,所有坦克升星属性标头,0),FALSE)+ROUND(BQ163/VLOOKUP($BF163,坦克部件!#REF!,4,FALSE)*VLOOKUP($BF163&amp;0,所有坦克升星属性,MATCH(BL$3,所有坦克升星属性标头,0),FALSE),0)</f>
        <v>#N/A</v>
      </c>
      <c r="BM163" s="372" t="e">
        <f t="shared" ca="1" si="113"/>
        <v>#N/A</v>
      </c>
      <c r="BN163" s="372" t="e">
        <f t="shared" ca="1" si="113"/>
        <v>#N/A</v>
      </c>
      <c r="BO163" s="372" t="e">
        <f ca="1">VLOOKUP($BF163&amp;IF($BJ163="NULL",0,$BJ163),所有坦克升星属性,MATCH(BO$3,所有坦克升星属性标头,0),FALSE)+ROUND(BR163/VLOOKUP($BF163,坦克部件!#REF!,4,FALSE)*VLOOKUP($BF163&amp;0,所有坦克升星属性,MATCH(BO$3,所有坦克升星属性标头,0),FALSE),0)</f>
        <v>#N/A</v>
      </c>
      <c r="BP163" s="372" t="e">
        <f ca="1">(VLOOKUP($BH163,坦克部件!#REF!,MATCH("标准值",坦克部件!#REF!,0),FALSE)+VLOOKUP($BI163,坦克部件!#REF!,MATCH("标准值",坦克部件!#REF!,0),FALSE))*2</f>
        <v>#REF!</v>
      </c>
      <c r="BQ163" s="372" t="e">
        <f ca="1">(VLOOKUP($BH163,坦克部件!#REF!,MATCH("标准值",坦克部件!#REF!,0),FALSE)+VLOOKUP($BI163,坦克部件!#REF!,MATCH("标准值",坦克部件!#REF!,0),FALSE))*2</f>
        <v>#REF!</v>
      </c>
      <c r="BR163" s="372" t="e">
        <f ca="1">(VLOOKUP($BH163,坦克部件!#REF!,MATCH("标准值",坦克部件!#REF!,0),FALSE)+VLOOKUP($BI163,坦克部件!#REF!,MATCH("标准值",坦克部件!#REF!,0),FALSE))*2</f>
        <v>#REF!</v>
      </c>
      <c r="BS163" s="372" t="e">
        <f ca="1">VLOOKUP($BF163,坦克属性统计!$B$3:$AY$33,MATCH(BS$3,坦克属性统计!$B$3:$AY$3,0),FALSE)</f>
        <v>#N/A</v>
      </c>
      <c r="BT163" s="372" t="e">
        <f t="shared" ca="1" si="114"/>
        <v>#N/A</v>
      </c>
      <c r="BU163" s="372" t="e">
        <f t="shared" ca="1" si="114"/>
        <v>#N/A</v>
      </c>
      <c r="BV163" s="372" t="e">
        <f t="shared" ca="1" si="114"/>
        <v>#N/A</v>
      </c>
      <c r="BW163" s="356">
        <f t="shared" ca="1" si="101"/>
        <v>0</v>
      </c>
      <c r="BX163" s="356" t="e">
        <f ca="1">VLOOKUP(BF163,坦克个性化设定!$B$18:$E$48,4,FALSE)</f>
        <v>#N/A</v>
      </c>
      <c r="BY163" s="357" t="e">
        <f t="shared" ca="1" si="108"/>
        <v>#N/A</v>
      </c>
    </row>
    <row r="164" spans="15:77" x14ac:dyDescent="0.35">
      <c r="O164" s="365">
        <v>161</v>
      </c>
      <c r="P164" s="360" t="e">
        <f t="shared" ca="1" si="115"/>
        <v>#REF!</v>
      </c>
      <c r="Q164" s="360" t="e">
        <f ca="1">ROUND(MIN((BD164-VLOOKUP(R164,$B$22:$F$46,2,FALSE))/(VLOOKUP(R164,$B$22:$F$46,3,FALSE)-VLOOKUP(R164,$B$22:$F$46,2,FALSE)),1)*((VLOOKUP(R164,$B$22:$F$46,4,FALSE)*(AG164/(AG164+VLOOKUP(P164,$D$49:$F$123,3,TRUE)))+VLOOKUP(R164,$B$22:$F$46,5,FALSE)*(1-AG164/(AG164+VLOOKUP(P164,$D$49:$F$123,3,TRUE))))/2)*游戏时长规划!$C$4,0)</f>
        <v>#REF!</v>
      </c>
      <c r="R164" s="360" t="e">
        <f t="shared" ca="1" si="88"/>
        <v>#REF!</v>
      </c>
      <c r="S164" s="360" t="e">
        <f t="shared" ca="1" si="109"/>
        <v>#REF!</v>
      </c>
      <c r="T164" s="360" t="e">
        <f t="shared" ca="1" si="116"/>
        <v>#REF!</v>
      </c>
      <c r="U164" s="370" t="e">
        <f t="shared" ca="1" si="89"/>
        <v>#REF!</v>
      </c>
      <c r="V164" s="363" t="e">
        <f t="shared" ca="1" si="110"/>
        <v>#REF!</v>
      </c>
      <c r="W164" s="360" t="e">
        <f t="shared" ca="1" si="90"/>
        <v>#REF!</v>
      </c>
      <c r="X164" s="81" t="e">
        <f t="shared" ca="1" si="102"/>
        <v>#REF!</v>
      </c>
      <c r="Y164" s="360" t="str">
        <f t="shared" ca="1" si="91"/>
        <v>NULL</v>
      </c>
      <c r="Z164" s="375" t="e">
        <f t="shared" ca="1" si="103"/>
        <v>#REF!</v>
      </c>
      <c r="AA164" s="360">
        <f ca="1">IFERROR(VLOOKUP(IF(V164="T1低",游戏时长规划!$C$67+Z164,Z164),INDIRECT(V164&amp;"星级"),2,TRUE),0)</f>
        <v>0</v>
      </c>
      <c r="AB164" s="375" t="e">
        <f t="shared" ca="1" si="92"/>
        <v>#REF!</v>
      </c>
      <c r="AC164" s="375">
        <f ca="1">($D$14+$D$17)*$L$4/坦克部件养成!$C$2+AC163-IFERROR(IF(RIGHT(AD163,3)*1&gt;RIGHT(VLOOKUP(AC163,INDIRECT(LEFT(AD162,2)&amp;"部件升阶"),5,TRUE),3)*1,VLOOKUP(AD162,INDIRECT(LEFT(AD162,2)&amp;"部件升阶消耗"),2,FALSE),0),0)</f>
        <v>1905.1666666666624</v>
      </c>
      <c r="AD164" s="360" t="e">
        <f t="shared" ca="1" si="93"/>
        <v>#REF!</v>
      </c>
      <c r="AE164" s="375" t="e">
        <f ca="1">$D$15*$L$4/坦克部件养成!$C$2+AE163-IF(LEFT(AD164,2)&lt;&gt;LEFT(AD163,2),VLOOKUP(AF163,INDIRECT(LEFT(AD163,2)&amp;"部件升级消耗"),5,FALSE),0)</f>
        <v>#REF!</v>
      </c>
      <c r="AF164" s="360" t="e">
        <f ca="1">MIN(VLOOKUP(AE164,INDIRECT(LEFT(AD164,2)&amp;"部件升级"),2,TRUE),VLOOKUP(LEFT(AD164,2),坦克部件养成!#REF!,6,FALSE))</f>
        <v>#REF!</v>
      </c>
      <c r="AG164" s="378" t="e">
        <f ca="1">MAX(BD$4:BD164)</f>
        <v>#REF!</v>
      </c>
      <c r="AH164" s="378" t="str">
        <f t="shared" ca="1" si="94"/>
        <v/>
      </c>
      <c r="AI164" s="378">
        <f ca="1">IF(Y164="NULL",0,MAX(BY$4:BY164))</f>
        <v>0</v>
      </c>
      <c r="AK164" s="364" t="e">
        <f t="shared" ca="1" si="95"/>
        <v>#REF!</v>
      </c>
      <c r="AL164" s="364" t="e">
        <f ca="1">VLOOKUP(AK164,坦克个性化设定!$B$18:$F$48,5,FALSE)</f>
        <v>#REF!</v>
      </c>
      <c r="AM164" s="372" t="e">
        <f t="shared" ca="1" si="96"/>
        <v>#REF!</v>
      </c>
      <c r="AN164" s="372" t="e">
        <f t="shared" ca="1" si="104"/>
        <v>#REF!</v>
      </c>
      <c r="AO164" s="364">
        <f t="shared" ca="1" si="97"/>
        <v>0</v>
      </c>
      <c r="AP164" s="372" t="e">
        <f ca="1">VLOOKUP($AK164&amp;$AO164,所有坦克升星属性,MATCH(AP$3,所有坦克升星属性标头,0),FALSE)+ROUND(AU164/VLOOKUP($AK164,坦克部件!#REF!,4,FALSE)*VLOOKUP($AK164&amp;0,所有坦克升星属性,MATCH(AP$3,所有坦克升星属性标头,0),FALSE),0)</f>
        <v>#REF!</v>
      </c>
      <c r="AQ164" s="372" t="e">
        <f ca="1">VLOOKUP($AK164&amp;$AO164,所有坦克升星属性,MATCH(AQ$3,所有坦克升星属性标头,0),FALSE)+ROUND(AV164/VLOOKUP($AK164,坦克部件!#REF!,4,FALSE)*VLOOKUP($AK164&amp;0,所有坦克升星属性,MATCH(AQ$3,所有坦克升星属性标头,0),FALSE),0)</f>
        <v>#REF!</v>
      </c>
      <c r="AR164" s="372" t="e">
        <f t="shared" ref="AR164:AS183" ca="1" si="117">VLOOKUP($AK164&amp;$AO164,所有坦克升星属性,MATCH(AR$3,所有坦克升星属性标头,0),FALSE)</f>
        <v>#REF!</v>
      </c>
      <c r="AS164" s="372" t="e">
        <f t="shared" ca="1" si="117"/>
        <v>#REF!</v>
      </c>
      <c r="AT164" s="372" t="e">
        <f ca="1">VLOOKUP($AK164&amp;$AO164,所有坦克升星属性,MATCH(AT$3,所有坦克升星属性标头,0),FALSE)+ROUND(AW164/VLOOKUP($AK164,坦克部件!#REF!,4,FALSE)*VLOOKUP($AK164&amp;0,所有坦克升星属性,MATCH(AT$3,所有坦克升星属性标头,0),FALSE),0)</f>
        <v>#REF!</v>
      </c>
      <c r="AU164" s="372" t="e">
        <f ca="1">(VLOOKUP($AM164,坦克部件!#REF!,MATCH("标准值",坦克部件!#REF!,0),FALSE)+VLOOKUP($AN164,坦克部件!#REF!,MATCH("标准值",坦克部件!#REF!,0),FALSE))*2</f>
        <v>#REF!</v>
      </c>
      <c r="AV164" s="372" t="e">
        <f ca="1">(VLOOKUP($AM164,坦克部件!#REF!,MATCH("标准值",坦克部件!#REF!,0),FALSE)+VLOOKUP($AN164,坦克部件!#REF!,MATCH("标准值",坦克部件!#REF!,0),FALSE))*2</f>
        <v>#REF!</v>
      </c>
      <c r="AW164" s="372" t="e">
        <f ca="1">(VLOOKUP($AM164,坦克部件!#REF!,MATCH("标准值",坦克部件!#REF!,0),FALSE)+VLOOKUP($AN164,坦克部件!#REF!,MATCH("标准值",坦克部件!#REF!,0),FALSE))*2</f>
        <v>#REF!</v>
      </c>
      <c r="AX164" s="372" t="e">
        <f ca="1">VLOOKUP($AK164,坦克属性统计!$B$3:$AY$33,MATCH(AX$3,坦克属性统计!$B$3:$AY$3,0),FALSE)</f>
        <v>#REF!</v>
      </c>
      <c r="AY164" s="372" t="e">
        <f t="shared" ref="AY164:BA183" ca="1" si="118">VLOOKUP($AK164&amp;$AO164,所有坦克升星属性,MATCH(AY$3,所有坦克升星属性标头,0),FALSE)</f>
        <v>#REF!</v>
      </c>
      <c r="AZ164" s="372" t="e">
        <f t="shared" ca="1" si="118"/>
        <v>#REF!</v>
      </c>
      <c r="BA164" s="372" t="e">
        <f t="shared" ca="1" si="118"/>
        <v>#REF!</v>
      </c>
      <c r="BB164" s="356" t="e">
        <f t="shared" ca="1" si="98"/>
        <v>#REF!</v>
      </c>
      <c r="BC164" s="356" t="e">
        <f ca="1">VLOOKUP(AK164,坦克个性化设定!$B$18:$E$48,4,FALSE)</f>
        <v>#REF!</v>
      </c>
      <c r="BD164" s="357" t="e">
        <f t="shared" ca="1" si="105"/>
        <v>#REF!</v>
      </c>
      <c r="BF164" s="357" t="str">
        <f t="shared" ca="1" si="99"/>
        <v/>
      </c>
      <c r="BG164" s="372" t="str">
        <f ca="1">IFERROR(VLOOKUP(BF164,坦克个性化设定!$B$18:$F$48,5,FALSE),"")</f>
        <v/>
      </c>
      <c r="BH164" s="372" t="e">
        <f t="shared" ca="1" si="106"/>
        <v>#REF!</v>
      </c>
      <c r="BI164" s="372" t="e">
        <f t="shared" ca="1" si="107"/>
        <v>#REF!</v>
      </c>
      <c r="BJ164" s="364" t="str">
        <f t="shared" ca="1" si="100"/>
        <v>NULL</v>
      </c>
      <c r="BK164" s="372" t="e">
        <f ca="1">VLOOKUP($BF164&amp;IF($BJ164="NULL",0,$BJ164),所有坦克升星属性,MATCH(BK$3,所有坦克升星属性标头,0),FALSE)+ROUND(BP164/VLOOKUP($BF164,坦克部件!#REF!,4,FALSE)*VLOOKUP($BF164&amp;0,所有坦克升星属性,MATCH(BK$3,所有坦克升星属性标头,0),FALSE),0)</f>
        <v>#N/A</v>
      </c>
      <c r="BL164" s="372" t="e">
        <f ca="1">VLOOKUP($BF164&amp;IF($BJ164="NULL",0,$BJ164),所有坦克升星属性,MATCH(BL$3,所有坦克升星属性标头,0),FALSE)+ROUND(BQ164/VLOOKUP($BF164,坦克部件!#REF!,4,FALSE)*VLOOKUP($BF164&amp;0,所有坦克升星属性,MATCH(BL$3,所有坦克升星属性标头,0),FALSE),0)</f>
        <v>#N/A</v>
      </c>
      <c r="BM164" s="372" t="e">
        <f t="shared" ref="BM164:BN183" ca="1" si="119">VLOOKUP($BF164&amp;IF($BJ164="NULL",0,$BJ164),所有坦克升星属性,MATCH(BM$3,所有坦克升星属性标头,0),FALSE)</f>
        <v>#N/A</v>
      </c>
      <c r="BN164" s="372" t="e">
        <f t="shared" ca="1" si="119"/>
        <v>#N/A</v>
      </c>
      <c r="BO164" s="372" t="e">
        <f ca="1">VLOOKUP($BF164&amp;IF($BJ164="NULL",0,$BJ164),所有坦克升星属性,MATCH(BO$3,所有坦克升星属性标头,0),FALSE)+ROUND(BR164/VLOOKUP($BF164,坦克部件!#REF!,4,FALSE)*VLOOKUP($BF164&amp;0,所有坦克升星属性,MATCH(BO$3,所有坦克升星属性标头,0),FALSE),0)</f>
        <v>#N/A</v>
      </c>
      <c r="BP164" s="372" t="e">
        <f ca="1">(VLOOKUP($BH164,坦克部件!#REF!,MATCH("标准值",坦克部件!#REF!,0),FALSE)+VLOOKUP($BI164,坦克部件!#REF!,MATCH("标准值",坦克部件!#REF!,0),FALSE))*2</f>
        <v>#REF!</v>
      </c>
      <c r="BQ164" s="372" t="e">
        <f ca="1">(VLOOKUP($BH164,坦克部件!#REF!,MATCH("标准值",坦克部件!#REF!,0),FALSE)+VLOOKUP($BI164,坦克部件!#REF!,MATCH("标准值",坦克部件!#REF!,0),FALSE))*2</f>
        <v>#REF!</v>
      </c>
      <c r="BR164" s="372" t="e">
        <f ca="1">(VLOOKUP($BH164,坦克部件!#REF!,MATCH("标准值",坦克部件!#REF!,0),FALSE)+VLOOKUP($BI164,坦克部件!#REF!,MATCH("标准值",坦克部件!#REF!,0),FALSE))*2</f>
        <v>#REF!</v>
      </c>
      <c r="BS164" s="372" t="e">
        <f ca="1">VLOOKUP($BF164,坦克属性统计!$B$3:$AY$33,MATCH(BS$3,坦克属性统计!$B$3:$AY$3,0),FALSE)</f>
        <v>#N/A</v>
      </c>
      <c r="BT164" s="372" t="e">
        <f t="shared" ref="BT164:BV183" ca="1" si="120">VLOOKUP($BF164&amp;IF($BJ164="NULL",0,$BJ164),所有坦克升星属性,MATCH(BT$3,所有坦克升星属性标头,0),FALSE)</f>
        <v>#N/A</v>
      </c>
      <c r="BU164" s="372" t="e">
        <f t="shared" ca="1" si="120"/>
        <v>#N/A</v>
      </c>
      <c r="BV164" s="372" t="e">
        <f t="shared" ca="1" si="120"/>
        <v>#N/A</v>
      </c>
      <c r="BW164" s="356">
        <f t="shared" ca="1" si="101"/>
        <v>0</v>
      </c>
      <c r="BX164" s="356" t="e">
        <f ca="1">VLOOKUP(BF164,坦克个性化设定!$B$18:$E$48,4,FALSE)</f>
        <v>#N/A</v>
      </c>
      <c r="BY164" s="357" t="e">
        <f t="shared" ca="1" si="108"/>
        <v>#N/A</v>
      </c>
    </row>
    <row r="165" spans="15:77" x14ac:dyDescent="0.35">
      <c r="O165" s="365">
        <v>162</v>
      </c>
      <c r="P165" s="360" t="e">
        <f t="shared" ca="1" si="115"/>
        <v>#REF!</v>
      </c>
      <c r="Q165" s="360" t="e">
        <f ca="1">ROUND(MIN((BD165-VLOOKUP(R165,$B$22:$F$46,2,FALSE))/(VLOOKUP(R165,$B$22:$F$46,3,FALSE)-VLOOKUP(R165,$B$22:$F$46,2,FALSE)),1)*((VLOOKUP(R165,$B$22:$F$46,4,FALSE)*(AG165/(AG165+VLOOKUP(P165,$D$49:$F$123,3,TRUE)))+VLOOKUP(R165,$B$22:$F$46,5,FALSE)*(1-AG165/(AG165+VLOOKUP(P165,$D$49:$F$123,3,TRUE))))/2)*游戏时长规划!$C$4,0)</f>
        <v>#REF!</v>
      </c>
      <c r="R165" s="360" t="e">
        <f t="shared" ca="1" si="88"/>
        <v>#REF!</v>
      </c>
      <c r="S165" s="360" t="e">
        <f t="shared" ca="1" si="109"/>
        <v>#REF!</v>
      </c>
      <c r="T165" s="360" t="e">
        <f t="shared" ca="1" si="116"/>
        <v>#REF!</v>
      </c>
      <c r="U165" s="370" t="e">
        <f t="shared" ca="1" si="89"/>
        <v>#REF!</v>
      </c>
      <c r="V165" s="363" t="e">
        <f t="shared" ca="1" si="110"/>
        <v>#REF!</v>
      </c>
      <c r="W165" s="360" t="e">
        <f t="shared" ca="1" si="90"/>
        <v>#REF!</v>
      </c>
      <c r="X165" s="81" t="e">
        <f t="shared" ca="1" si="102"/>
        <v>#REF!</v>
      </c>
      <c r="Y165" s="360" t="str">
        <f t="shared" ca="1" si="91"/>
        <v>NULL</v>
      </c>
      <c r="Z165" s="375" t="e">
        <f t="shared" ca="1" si="103"/>
        <v>#REF!</v>
      </c>
      <c r="AA165" s="360">
        <f ca="1">IFERROR(VLOOKUP(IF(V165="T1低",游戏时长规划!$C$67+Z165,Z165),INDIRECT(V165&amp;"星级"),2,TRUE),0)</f>
        <v>0</v>
      </c>
      <c r="AB165" s="375" t="e">
        <f t="shared" ca="1" si="92"/>
        <v>#REF!</v>
      </c>
      <c r="AC165" s="375">
        <f ca="1">($D$14+$D$17)*$L$4/坦克部件养成!$C$2+AC164-IFERROR(IF(RIGHT(AD164,3)*1&gt;RIGHT(VLOOKUP(AC164,INDIRECT(LEFT(AD163,2)&amp;"部件升阶"),5,TRUE),3)*1,VLOOKUP(AD163,INDIRECT(LEFT(AD163,2)&amp;"部件升阶消耗"),2,FALSE),0),0)</f>
        <v>1916.9999999999957</v>
      </c>
      <c r="AD165" s="360" t="e">
        <f t="shared" ca="1" si="93"/>
        <v>#REF!</v>
      </c>
      <c r="AE165" s="375" t="e">
        <f ca="1">$D$15*$L$4/坦克部件养成!$C$2+AE164-IF(LEFT(AD165,2)&lt;&gt;LEFT(AD164,2),VLOOKUP(AF164,INDIRECT(LEFT(AD164,2)&amp;"部件升级消耗"),5,FALSE),0)</f>
        <v>#REF!</v>
      </c>
      <c r="AF165" s="360" t="e">
        <f ca="1">MIN(VLOOKUP(AE165,INDIRECT(LEFT(AD165,2)&amp;"部件升级"),2,TRUE),VLOOKUP(LEFT(AD165,2),坦克部件养成!#REF!,6,FALSE))</f>
        <v>#REF!</v>
      </c>
      <c r="AG165" s="378" t="e">
        <f ca="1">MAX(BD$4:BD165)</f>
        <v>#REF!</v>
      </c>
      <c r="AH165" s="378" t="str">
        <f t="shared" ca="1" si="94"/>
        <v/>
      </c>
      <c r="AI165" s="378">
        <f ca="1">IF(Y165="NULL",0,MAX(BY$4:BY165))</f>
        <v>0</v>
      </c>
      <c r="AK165" s="364" t="e">
        <f t="shared" ca="1" si="95"/>
        <v>#REF!</v>
      </c>
      <c r="AL165" s="364" t="e">
        <f ca="1">VLOOKUP(AK165,坦克个性化设定!$B$18:$F$48,5,FALSE)</f>
        <v>#REF!</v>
      </c>
      <c r="AM165" s="372" t="e">
        <f t="shared" ca="1" si="96"/>
        <v>#REF!</v>
      </c>
      <c r="AN165" s="372" t="e">
        <f t="shared" ca="1" si="104"/>
        <v>#REF!</v>
      </c>
      <c r="AO165" s="364">
        <f t="shared" ca="1" si="97"/>
        <v>0</v>
      </c>
      <c r="AP165" s="372" t="e">
        <f ca="1">VLOOKUP($AK165&amp;$AO165,所有坦克升星属性,MATCH(AP$3,所有坦克升星属性标头,0),FALSE)+ROUND(AU165/VLOOKUP($AK165,坦克部件!#REF!,4,FALSE)*VLOOKUP($AK165&amp;0,所有坦克升星属性,MATCH(AP$3,所有坦克升星属性标头,0),FALSE),0)</f>
        <v>#REF!</v>
      </c>
      <c r="AQ165" s="372" t="e">
        <f ca="1">VLOOKUP($AK165&amp;$AO165,所有坦克升星属性,MATCH(AQ$3,所有坦克升星属性标头,0),FALSE)+ROUND(AV165/VLOOKUP($AK165,坦克部件!#REF!,4,FALSE)*VLOOKUP($AK165&amp;0,所有坦克升星属性,MATCH(AQ$3,所有坦克升星属性标头,0),FALSE),0)</f>
        <v>#REF!</v>
      </c>
      <c r="AR165" s="372" t="e">
        <f t="shared" ca="1" si="117"/>
        <v>#REF!</v>
      </c>
      <c r="AS165" s="372" t="e">
        <f t="shared" ca="1" si="117"/>
        <v>#REF!</v>
      </c>
      <c r="AT165" s="372" t="e">
        <f ca="1">VLOOKUP($AK165&amp;$AO165,所有坦克升星属性,MATCH(AT$3,所有坦克升星属性标头,0),FALSE)+ROUND(AW165/VLOOKUP($AK165,坦克部件!#REF!,4,FALSE)*VLOOKUP($AK165&amp;0,所有坦克升星属性,MATCH(AT$3,所有坦克升星属性标头,0),FALSE),0)</f>
        <v>#REF!</v>
      </c>
      <c r="AU165" s="372" t="e">
        <f ca="1">(VLOOKUP($AM165,坦克部件!#REF!,MATCH("标准值",坦克部件!#REF!,0),FALSE)+VLOOKUP($AN165,坦克部件!#REF!,MATCH("标准值",坦克部件!#REF!,0),FALSE))*2</f>
        <v>#REF!</v>
      </c>
      <c r="AV165" s="372" t="e">
        <f ca="1">(VLOOKUP($AM165,坦克部件!#REF!,MATCH("标准值",坦克部件!#REF!,0),FALSE)+VLOOKUP($AN165,坦克部件!#REF!,MATCH("标准值",坦克部件!#REF!,0),FALSE))*2</f>
        <v>#REF!</v>
      </c>
      <c r="AW165" s="372" t="e">
        <f ca="1">(VLOOKUP($AM165,坦克部件!#REF!,MATCH("标准值",坦克部件!#REF!,0),FALSE)+VLOOKUP($AN165,坦克部件!#REF!,MATCH("标准值",坦克部件!#REF!,0),FALSE))*2</f>
        <v>#REF!</v>
      </c>
      <c r="AX165" s="372" t="e">
        <f ca="1">VLOOKUP($AK165,坦克属性统计!$B$3:$AY$33,MATCH(AX$3,坦克属性统计!$B$3:$AY$3,0),FALSE)</f>
        <v>#REF!</v>
      </c>
      <c r="AY165" s="372" t="e">
        <f t="shared" ca="1" si="118"/>
        <v>#REF!</v>
      </c>
      <c r="AZ165" s="372" t="e">
        <f t="shared" ca="1" si="118"/>
        <v>#REF!</v>
      </c>
      <c r="BA165" s="372" t="e">
        <f t="shared" ca="1" si="118"/>
        <v>#REF!</v>
      </c>
      <c r="BB165" s="356" t="e">
        <f t="shared" ca="1" si="98"/>
        <v>#REF!</v>
      </c>
      <c r="BC165" s="356" t="e">
        <f ca="1">VLOOKUP(AK165,坦克个性化设定!$B$18:$E$48,4,FALSE)</f>
        <v>#REF!</v>
      </c>
      <c r="BD165" s="357" t="e">
        <f t="shared" ca="1" si="105"/>
        <v>#REF!</v>
      </c>
      <c r="BF165" s="357" t="str">
        <f t="shared" ca="1" si="99"/>
        <v/>
      </c>
      <c r="BG165" s="372" t="str">
        <f ca="1">IFERROR(VLOOKUP(BF165,坦克个性化设定!$B$18:$F$48,5,FALSE),"")</f>
        <v/>
      </c>
      <c r="BH165" s="372" t="e">
        <f t="shared" ca="1" si="106"/>
        <v>#REF!</v>
      </c>
      <c r="BI165" s="372" t="e">
        <f t="shared" ca="1" si="107"/>
        <v>#REF!</v>
      </c>
      <c r="BJ165" s="364" t="str">
        <f t="shared" ca="1" si="100"/>
        <v>NULL</v>
      </c>
      <c r="BK165" s="372" t="e">
        <f ca="1">VLOOKUP($BF165&amp;IF($BJ165="NULL",0,$BJ165),所有坦克升星属性,MATCH(BK$3,所有坦克升星属性标头,0),FALSE)+ROUND(BP165/VLOOKUP($BF165,坦克部件!#REF!,4,FALSE)*VLOOKUP($BF165&amp;0,所有坦克升星属性,MATCH(BK$3,所有坦克升星属性标头,0),FALSE),0)</f>
        <v>#N/A</v>
      </c>
      <c r="BL165" s="372" t="e">
        <f ca="1">VLOOKUP($BF165&amp;IF($BJ165="NULL",0,$BJ165),所有坦克升星属性,MATCH(BL$3,所有坦克升星属性标头,0),FALSE)+ROUND(BQ165/VLOOKUP($BF165,坦克部件!#REF!,4,FALSE)*VLOOKUP($BF165&amp;0,所有坦克升星属性,MATCH(BL$3,所有坦克升星属性标头,0),FALSE),0)</f>
        <v>#N/A</v>
      </c>
      <c r="BM165" s="372" t="e">
        <f t="shared" ca="1" si="119"/>
        <v>#N/A</v>
      </c>
      <c r="BN165" s="372" t="e">
        <f t="shared" ca="1" si="119"/>
        <v>#N/A</v>
      </c>
      <c r="BO165" s="372" t="e">
        <f ca="1">VLOOKUP($BF165&amp;IF($BJ165="NULL",0,$BJ165),所有坦克升星属性,MATCH(BO$3,所有坦克升星属性标头,0),FALSE)+ROUND(BR165/VLOOKUP($BF165,坦克部件!#REF!,4,FALSE)*VLOOKUP($BF165&amp;0,所有坦克升星属性,MATCH(BO$3,所有坦克升星属性标头,0),FALSE),0)</f>
        <v>#N/A</v>
      </c>
      <c r="BP165" s="372" t="e">
        <f ca="1">(VLOOKUP($BH165,坦克部件!#REF!,MATCH("标准值",坦克部件!#REF!,0),FALSE)+VLOOKUP($BI165,坦克部件!#REF!,MATCH("标准值",坦克部件!#REF!,0),FALSE))*2</f>
        <v>#REF!</v>
      </c>
      <c r="BQ165" s="372" t="e">
        <f ca="1">(VLOOKUP($BH165,坦克部件!#REF!,MATCH("标准值",坦克部件!#REF!,0),FALSE)+VLOOKUP($BI165,坦克部件!#REF!,MATCH("标准值",坦克部件!#REF!,0),FALSE))*2</f>
        <v>#REF!</v>
      </c>
      <c r="BR165" s="372" t="e">
        <f ca="1">(VLOOKUP($BH165,坦克部件!#REF!,MATCH("标准值",坦克部件!#REF!,0),FALSE)+VLOOKUP($BI165,坦克部件!#REF!,MATCH("标准值",坦克部件!#REF!,0),FALSE))*2</f>
        <v>#REF!</v>
      </c>
      <c r="BS165" s="372" t="e">
        <f ca="1">VLOOKUP($BF165,坦克属性统计!$B$3:$AY$33,MATCH(BS$3,坦克属性统计!$B$3:$AY$3,0),FALSE)</f>
        <v>#N/A</v>
      </c>
      <c r="BT165" s="372" t="e">
        <f t="shared" ca="1" si="120"/>
        <v>#N/A</v>
      </c>
      <c r="BU165" s="372" t="e">
        <f t="shared" ca="1" si="120"/>
        <v>#N/A</v>
      </c>
      <c r="BV165" s="372" t="e">
        <f t="shared" ca="1" si="120"/>
        <v>#N/A</v>
      </c>
      <c r="BW165" s="356">
        <f t="shared" ca="1" si="101"/>
        <v>0</v>
      </c>
      <c r="BX165" s="356" t="e">
        <f ca="1">VLOOKUP(BF165,坦克个性化设定!$B$18:$E$48,4,FALSE)</f>
        <v>#N/A</v>
      </c>
      <c r="BY165" s="357" t="e">
        <f t="shared" ca="1" si="108"/>
        <v>#N/A</v>
      </c>
    </row>
    <row r="166" spans="15:77" x14ac:dyDescent="0.35">
      <c r="O166" s="365">
        <v>163</v>
      </c>
      <c r="P166" s="360" t="e">
        <f t="shared" ca="1" si="115"/>
        <v>#REF!</v>
      </c>
      <c r="Q166" s="360" t="e">
        <f ca="1">ROUND(MIN((BD166-VLOOKUP(R166,$B$22:$F$46,2,FALSE))/(VLOOKUP(R166,$B$22:$F$46,3,FALSE)-VLOOKUP(R166,$B$22:$F$46,2,FALSE)),1)*((VLOOKUP(R166,$B$22:$F$46,4,FALSE)*(AG166/(AG166+VLOOKUP(P166,$D$49:$F$123,3,TRUE)))+VLOOKUP(R166,$B$22:$F$46,5,FALSE)*(1-AG166/(AG166+VLOOKUP(P166,$D$49:$F$123,3,TRUE))))/2)*游戏时长规划!$C$4,0)</f>
        <v>#REF!</v>
      </c>
      <c r="R166" s="360" t="e">
        <f t="shared" ca="1" si="88"/>
        <v>#REF!</v>
      </c>
      <c r="S166" s="360" t="e">
        <f t="shared" ca="1" si="109"/>
        <v>#REF!</v>
      </c>
      <c r="T166" s="360" t="e">
        <f t="shared" ca="1" si="116"/>
        <v>#REF!</v>
      </c>
      <c r="U166" s="370" t="e">
        <f t="shared" ca="1" si="89"/>
        <v>#REF!</v>
      </c>
      <c r="V166" s="363" t="e">
        <f t="shared" ca="1" si="110"/>
        <v>#REF!</v>
      </c>
      <c r="W166" s="360" t="e">
        <f t="shared" ca="1" si="90"/>
        <v>#REF!</v>
      </c>
      <c r="X166" s="81" t="e">
        <f t="shared" ca="1" si="102"/>
        <v>#REF!</v>
      </c>
      <c r="Y166" s="360" t="str">
        <f t="shared" ca="1" si="91"/>
        <v>NULL</v>
      </c>
      <c r="Z166" s="375" t="e">
        <f t="shared" ca="1" si="103"/>
        <v>#REF!</v>
      </c>
      <c r="AA166" s="360">
        <f ca="1">IFERROR(VLOOKUP(IF(V166="T1低",游戏时长规划!$C$67+Z166,Z166),INDIRECT(V166&amp;"星级"),2,TRUE),0)</f>
        <v>0</v>
      </c>
      <c r="AB166" s="375" t="e">
        <f t="shared" ca="1" si="92"/>
        <v>#REF!</v>
      </c>
      <c r="AC166" s="375">
        <f ca="1">($D$14+$D$17)*$L$4/坦克部件养成!$C$2+AC165-IFERROR(IF(RIGHT(AD165,3)*1&gt;RIGHT(VLOOKUP(AC165,INDIRECT(LEFT(AD164,2)&amp;"部件升阶"),5,TRUE),3)*1,VLOOKUP(AD164,INDIRECT(LEFT(AD164,2)&amp;"部件升阶消耗"),2,FALSE),0),0)</f>
        <v>1928.8333333333289</v>
      </c>
      <c r="AD166" s="360" t="e">
        <f t="shared" ca="1" si="93"/>
        <v>#REF!</v>
      </c>
      <c r="AE166" s="375" t="e">
        <f ca="1">$D$15*$L$4/坦克部件养成!$C$2+AE165-IF(LEFT(AD166,2)&lt;&gt;LEFT(AD165,2),VLOOKUP(AF165,INDIRECT(LEFT(AD165,2)&amp;"部件升级消耗"),5,FALSE),0)</f>
        <v>#REF!</v>
      </c>
      <c r="AF166" s="360" t="e">
        <f ca="1">MIN(VLOOKUP(AE166,INDIRECT(LEFT(AD166,2)&amp;"部件升级"),2,TRUE),VLOOKUP(LEFT(AD166,2),坦克部件养成!#REF!,6,FALSE))</f>
        <v>#REF!</v>
      </c>
      <c r="AG166" s="378" t="e">
        <f ca="1">MAX(BD$4:BD166)</f>
        <v>#REF!</v>
      </c>
      <c r="AH166" s="378" t="str">
        <f t="shared" ca="1" si="94"/>
        <v/>
      </c>
      <c r="AI166" s="378">
        <f ca="1">IF(Y166="NULL",0,MAX(BY$4:BY166))</f>
        <v>0</v>
      </c>
      <c r="AK166" s="364" t="e">
        <f t="shared" ca="1" si="95"/>
        <v>#REF!</v>
      </c>
      <c r="AL166" s="364" t="e">
        <f ca="1">VLOOKUP(AK166,坦克个性化设定!$B$18:$F$48,5,FALSE)</f>
        <v>#REF!</v>
      </c>
      <c r="AM166" s="372" t="e">
        <f t="shared" ca="1" si="96"/>
        <v>#REF!</v>
      </c>
      <c r="AN166" s="372" t="e">
        <f t="shared" ca="1" si="104"/>
        <v>#REF!</v>
      </c>
      <c r="AO166" s="364">
        <f t="shared" ca="1" si="97"/>
        <v>0</v>
      </c>
      <c r="AP166" s="372" t="e">
        <f ca="1">VLOOKUP($AK166&amp;$AO166,所有坦克升星属性,MATCH(AP$3,所有坦克升星属性标头,0),FALSE)+ROUND(AU166/VLOOKUP($AK166,坦克部件!#REF!,4,FALSE)*VLOOKUP($AK166&amp;0,所有坦克升星属性,MATCH(AP$3,所有坦克升星属性标头,0),FALSE),0)</f>
        <v>#REF!</v>
      </c>
      <c r="AQ166" s="372" t="e">
        <f ca="1">VLOOKUP($AK166&amp;$AO166,所有坦克升星属性,MATCH(AQ$3,所有坦克升星属性标头,0),FALSE)+ROUND(AV166/VLOOKUP($AK166,坦克部件!#REF!,4,FALSE)*VLOOKUP($AK166&amp;0,所有坦克升星属性,MATCH(AQ$3,所有坦克升星属性标头,0),FALSE),0)</f>
        <v>#REF!</v>
      </c>
      <c r="AR166" s="372" t="e">
        <f t="shared" ca="1" si="117"/>
        <v>#REF!</v>
      </c>
      <c r="AS166" s="372" t="e">
        <f t="shared" ca="1" si="117"/>
        <v>#REF!</v>
      </c>
      <c r="AT166" s="372" t="e">
        <f ca="1">VLOOKUP($AK166&amp;$AO166,所有坦克升星属性,MATCH(AT$3,所有坦克升星属性标头,0),FALSE)+ROUND(AW166/VLOOKUP($AK166,坦克部件!#REF!,4,FALSE)*VLOOKUP($AK166&amp;0,所有坦克升星属性,MATCH(AT$3,所有坦克升星属性标头,0),FALSE),0)</f>
        <v>#REF!</v>
      </c>
      <c r="AU166" s="372" t="e">
        <f ca="1">(VLOOKUP($AM166,坦克部件!#REF!,MATCH("标准值",坦克部件!#REF!,0),FALSE)+VLOOKUP($AN166,坦克部件!#REF!,MATCH("标准值",坦克部件!#REF!,0),FALSE))*2</f>
        <v>#REF!</v>
      </c>
      <c r="AV166" s="372" t="e">
        <f ca="1">(VLOOKUP($AM166,坦克部件!#REF!,MATCH("标准值",坦克部件!#REF!,0),FALSE)+VLOOKUP($AN166,坦克部件!#REF!,MATCH("标准值",坦克部件!#REF!,0),FALSE))*2</f>
        <v>#REF!</v>
      </c>
      <c r="AW166" s="372" t="e">
        <f ca="1">(VLOOKUP($AM166,坦克部件!#REF!,MATCH("标准值",坦克部件!#REF!,0),FALSE)+VLOOKUP($AN166,坦克部件!#REF!,MATCH("标准值",坦克部件!#REF!,0),FALSE))*2</f>
        <v>#REF!</v>
      </c>
      <c r="AX166" s="372" t="e">
        <f ca="1">VLOOKUP($AK166,坦克属性统计!$B$3:$AY$33,MATCH(AX$3,坦克属性统计!$B$3:$AY$3,0),FALSE)</f>
        <v>#REF!</v>
      </c>
      <c r="AY166" s="372" t="e">
        <f t="shared" ca="1" si="118"/>
        <v>#REF!</v>
      </c>
      <c r="AZ166" s="372" t="e">
        <f t="shared" ca="1" si="118"/>
        <v>#REF!</v>
      </c>
      <c r="BA166" s="372" t="e">
        <f t="shared" ca="1" si="118"/>
        <v>#REF!</v>
      </c>
      <c r="BB166" s="356" t="e">
        <f t="shared" ca="1" si="98"/>
        <v>#REF!</v>
      </c>
      <c r="BC166" s="356" t="e">
        <f ca="1">VLOOKUP(AK166,坦克个性化设定!$B$18:$E$48,4,FALSE)</f>
        <v>#REF!</v>
      </c>
      <c r="BD166" s="357" t="e">
        <f t="shared" ca="1" si="105"/>
        <v>#REF!</v>
      </c>
      <c r="BF166" s="357" t="str">
        <f t="shared" ca="1" si="99"/>
        <v/>
      </c>
      <c r="BG166" s="372" t="str">
        <f ca="1">IFERROR(VLOOKUP(BF166,坦克个性化设定!$B$18:$F$48,5,FALSE),"")</f>
        <v/>
      </c>
      <c r="BH166" s="372" t="e">
        <f t="shared" ca="1" si="106"/>
        <v>#REF!</v>
      </c>
      <c r="BI166" s="372" t="e">
        <f t="shared" ca="1" si="107"/>
        <v>#REF!</v>
      </c>
      <c r="BJ166" s="364" t="str">
        <f t="shared" ca="1" si="100"/>
        <v>NULL</v>
      </c>
      <c r="BK166" s="372" t="e">
        <f ca="1">VLOOKUP($BF166&amp;IF($BJ166="NULL",0,$BJ166),所有坦克升星属性,MATCH(BK$3,所有坦克升星属性标头,0),FALSE)+ROUND(BP166/VLOOKUP($BF166,坦克部件!#REF!,4,FALSE)*VLOOKUP($BF166&amp;0,所有坦克升星属性,MATCH(BK$3,所有坦克升星属性标头,0),FALSE),0)</f>
        <v>#N/A</v>
      </c>
      <c r="BL166" s="372" t="e">
        <f ca="1">VLOOKUP($BF166&amp;IF($BJ166="NULL",0,$BJ166),所有坦克升星属性,MATCH(BL$3,所有坦克升星属性标头,0),FALSE)+ROUND(BQ166/VLOOKUP($BF166,坦克部件!#REF!,4,FALSE)*VLOOKUP($BF166&amp;0,所有坦克升星属性,MATCH(BL$3,所有坦克升星属性标头,0),FALSE),0)</f>
        <v>#N/A</v>
      </c>
      <c r="BM166" s="372" t="e">
        <f t="shared" ca="1" si="119"/>
        <v>#N/A</v>
      </c>
      <c r="BN166" s="372" t="e">
        <f t="shared" ca="1" si="119"/>
        <v>#N/A</v>
      </c>
      <c r="BO166" s="372" t="e">
        <f ca="1">VLOOKUP($BF166&amp;IF($BJ166="NULL",0,$BJ166),所有坦克升星属性,MATCH(BO$3,所有坦克升星属性标头,0),FALSE)+ROUND(BR166/VLOOKUP($BF166,坦克部件!#REF!,4,FALSE)*VLOOKUP($BF166&amp;0,所有坦克升星属性,MATCH(BO$3,所有坦克升星属性标头,0),FALSE),0)</f>
        <v>#N/A</v>
      </c>
      <c r="BP166" s="372" t="e">
        <f ca="1">(VLOOKUP($BH166,坦克部件!#REF!,MATCH("标准值",坦克部件!#REF!,0),FALSE)+VLOOKUP($BI166,坦克部件!#REF!,MATCH("标准值",坦克部件!#REF!,0),FALSE))*2</f>
        <v>#REF!</v>
      </c>
      <c r="BQ166" s="372" t="e">
        <f ca="1">(VLOOKUP($BH166,坦克部件!#REF!,MATCH("标准值",坦克部件!#REF!,0),FALSE)+VLOOKUP($BI166,坦克部件!#REF!,MATCH("标准值",坦克部件!#REF!,0),FALSE))*2</f>
        <v>#REF!</v>
      </c>
      <c r="BR166" s="372" t="e">
        <f ca="1">(VLOOKUP($BH166,坦克部件!#REF!,MATCH("标准值",坦克部件!#REF!,0),FALSE)+VLOOKUP($BI166,坦克部件!#REF!,MATCH("标准值",坦克部件!#REF!,0),FALSE))*2</f>
        <v>#REF!</v>
      </c>
      <c r="BS166" s="372" t="e">
        <f ca="1">VLOOKUP($BF166,坦克属性统计!$B$3:$AY$33,MATCH(BS$3,坦克属性统计!$B$3:$AY$3,0),FALSE)</f>
        <v>#N/A</v>
      </c>
      <c r="BT166" s="372" t="e">
        <f t="shared" ca="1" si="120"/>
        <v>#N/A</v>
      </c>
      <c r="BU166" s="372" t="e">
        <f t="shared" ca="1" si="120"/>
        <v>#N/A</v>
      </c>
      <c r="BV166" s="372" t="e">
        <f t="shared" ca="1" si="120"/>
        <v>#N/A</v>
      </c>
      <c r="BW166" s="356">
        <f t="shared" ca="1" si="101"/>
        <v>0</v>
      </c>
      <c r="BX166" s="356" t="e">
        <f ca="1">VLOOKUP(BF166,坦克个性化设定!$B$18:$E$48,4,FALSE)</f>
        <v>#N/A</v>
      </c>
      <c r="BY166" s="357" t="e">
        <f t="shared" ca="1" si="108"/>
        <v>#N/A</v>
      </c>
    </row>
    <row r="167" spans="15:77" x14ac:dyDescent="0.35">
      <c r="O167" s="365">
        <v>164</v>
      </c>
      <c r="P167" s="360" t="e">
        <f t="shared" ca="1" si="115"/>
        <v>#REF!</v>
      </c>
      <c r="Q167" s="360" t="e">
        <f ca="1">ROUND(MIN((BD167-VLOOKUP(R167,$B$22:$F$46,2,FALSE))/(VLOOKUP(R167,$B$22:$F$46,3,FALSE)-VLOOKUP(R167,$B$22:$F$46,2,FALSE)),1)*((VLOOKUP(R167,$B$22:$F$46,4,FALSE)*(AG167/(AG167+VLOOKUP(P167,$D$49:$F$123,3,TRUE)))+VLOOKUP(R167,$B$22:$F$46,5,FALSE)*(1-AG167/(AG167+VLOOKUP(P167,$D$49:$F$123,3,TRUE))))/2)*游戏时长规划!$C$4,0)</f>
        <v>#REF!</v>
      </c>
      <c r="R167" s="360" t="e">
        <f t="shared" ca="1" si="88"/>
        <v>#REF!</v>
      </c>
      <c r="S167" s="360" t="e">
        <f t="shared" ca="1" si="109"/>
        <v>#REF!</v>
      </c>
      <c r="T167" s="360" t="e">
        <f t="shared" ca="1" si="116"/>
        <v>#REF!</v>
      </c>
      <c r="U167" s="370" t="e">
        <f t="shared" ca="1" si="89"/>
        <v>#REF!</v>
      </c>
      <c r="V167" s="363" t="e">
        <f t="shared" ca="1" si="110"/>
        <v>#REF!</v>
      </c>
      <c r="W167" s="360" t="e">
        <f t="shared" ca="1" si="90"/>
        <v>#REF!</v>
      </c>
      <c r="X167" s="81" t="e">
        <f t="shared" ca="1" si="102"/>
        <v>#REF!</v>
      </c>
      <c r="Y167" s="360" t="str">
        <f t="shared" ca="1" si="91"/>
        <v>NULL</v>
      </c>
      <c r="Z167" s="375" t="e">
        <f t="shared" ca="1" si="103"/>
        <v>#REF!</v>
      </c>
      <c r="AA167" s="360">
        <f ca="1">IFERROR(VLOOKUP(IF(V167="T1低",游戏时长规划!$C$67+Z167,Z167),INDIRECT(V167&amp;"星级"),2,TRUE),0)</f>
        <v>0</v>
      </c>
      <c r="AB167" s="375" t="e">
        <f t="shared" ca="1" si="92"/>
        <v>#REF!</v>
      </c>
      <c r="AC167" s="375">
        <f ca="1">($D$14+$D$17)*$L$4/坦克部件养成!$C$2+AC166-IFERROR(IF(RIGHT(AD166,3)*1&gt;RIGHT(VLOOKUP(AC166,INDIRECT(LEFT(AD165,2)&amp;"部件升阶"),5,TRUE),3)*1,VLOOKUP(AD165,INDIRECT(LEFT(AD165,2)&amp;"部件升阶消耗"),2,FALSE),0),0)</f>
        <v>1940.6666666666622</v>
      </c>
      <c r="AD167" s="360" t="e">
        <f t="shared" ca="1" si="93"/>
        <v>#REF!</v>
      </c>
      <c r="AE167" s="375" t="e">
        <f ca="1">$D$15*$L$4/坦克部件养成!$C$2+AE166-IF(LEFT(AD167,2)&lt;&gt;LEFT(AD166,2),VLOOKUP(AF166,INDIRECT(LEFT(AD166,2)&amp;"部件升级消耗"),5,FALSE),0)</f>
        <v>#REF!</v>
      </c>
      <c r="AF167" s="360" t="e">
        <f ca="1">MIN(VLOOKUP(AE167,INDIRECT(LEFT(AD167,2)&amp;"部件升级"),2,TRUE),VLOOKUP(LEFT(AD167,2),坦克部件养成!#REF!,6,FALSE))</f>
        <v>#REF!</v>
      </c>
      <c r="AG167" s="378" t="e">
        <f ca="1">MAX(BD$4:BD167)</f>
        <v>#REF!</v>
      </c>
      <c r="AH167" s="378" t="str">
        <f t="shared" ca="1" si="94"/>
        <v/>
      </c>
      <c r="AI167" s="378">
        <f ca="1">IF(Y167="NULL",0,MAX(BY$4:BY167))</f>
        <v>0</v>
      </c>
      <c r="AK167" s="364" t="e">
        <f t="shared" ca="1" si="95"/>
        <v>#REF!</v>
      </c>
      <c r="AL167" s="364" t="e">
        <f ca="1">VLOOKUP(AK167,坦克个性化设定!$B$18:$F$48,5,FALSE)</f>
        <v>#REF!</v>
      </c>
      <c r="AM167" s="372" t="e">
        <f t="shared" ca="1" si="96"/>
        <v>#REF!</v>
      </c>
      <c r="AN167" s="372" t="e">
        <f t="shared" ca="1" si="104"/>
        <v>#REF!</v>
      </c>
      <c r="AO167" s="364">
        <f t="shared" ca="1" si="97"/>
        <v>0</v>
      </c>
      <c r="AP167" s="372" t="e">
        <f ca="1">VLOOKUP($AK167&amp;$AO167,所有坦克升星属性,MATCH(AP$3,所有坦克升星属性标头,0),FALSE)+ROUND(AU167/VLOOKUP($AK167,坦克部件!#REF!,4,FALSE)*VLOOKUP($AK167&amp;0,所有坦克升星属性,MATCH(AP$3,所有坦克升星属性标头,0),FALSE),0)</f>
        <v>#REF!</v>
      </c>
      <c r="AQ167" s="372" t="e">
        <f ca="1">VLOOKUP($AK167&amp;$AO167,所有坦克升星属性,MATCH(AQ$3,所有坦克升星属性标头,0),FALSE)+ROUND(AV167/VLOOKUP($AK167,坦克部件!#REF!,4,FALSE)*VLOOKUP($AK167&amp;0,所有坦克升星属性,MATCH(AQ$3,所有坦克升星属性标头,0),FALSE),0)</f>
        <v>#REF!</v>
      </c>
      <c r="AR167" s="372" t="e">
        <f t="shared" ca="1" si="117"/>
        <v>#REF!</v>
      </c>
      <c r="AS167" s="372" t="e">
        <f t="shared" ca="1" si="117"/>
        <v>#REF!</v>
      </c>
      <c r="AT167" s="372" t="e">
        <f ca="1">VLOOKUP($AK167&amp;$AO167,所有坦克升星属性,MATCH(AT$3,所有坦克升星属性标头,0),FALSE)+ROUND(AW167/VLOOKUP($AK167,坦克部件!#REF!,4,FALSE)*VLOOKUP($AK167&amp;0,所有坦克升星属性,MATCH(AT$3,所有坦克升星属性标头,0),FALSE),0)</f>
        <v>#REF!</v>
      </c>
      <c r="AU167" s="372" t="e">
        <f ca="1">(VLOOKUP($AM167,坦克部件!#REF!,MATCH("标准值",坦克部件!#REF!,0),FALSE)+VLOOKUP($AN167,坦克部件!#REF!,MATCH("标准值",坦克部件!#REF!,0),FALSE))*2</f>
        <v>#REF!</v>
      </c>
      <c r="AV167" s="372" t="e">
        <f ca="1">(VLOOKUP($AM167,坦克部件!#REF!,MATCH("标准值",坦克部件!#REF!,0),FALSE)+VLOOKUP($AN167,坦克部件!#REF!,MATCH("标准值",坦克部件!#REF!,0),FALSE))*2</f>
        <v>#REF!</v>
      </c>
      <c r="AW167" s="372" t="e">
        <f ca="1">(VLOOKUP($AM167,坦克部件!#REF!,MATCH("标准值",坦克部件!#REF!,0),FALSE)+VLOOKUP($AN167,坦克部件!#REF!,MATCH("标准值",坦克部件!#REF!,0),FALSE))*2</f>
        <v>#REF!</v>
      </c>
      <c r="AX167" s="372" t="e">
        <f ca="1">VLOOKUP($AK167,坦克属性统计!$B$3:$AY$33,MATCH(AX$3,坦克属性统计!$B$3:$AY$3,0),FALSE)</f>
        <v>#REF!</v>
      </c>
      <c r="AY167" s="372" t="e">
        <f t="shared" ca="1" si="118"/>
        <v>#REF!</v>
      </c>
      <c r="AZ167" s="372" t="e">
        <f t="shared" ca="1" si="118"/>
        <v>#REF!</v>
      </c>
      <c r="BA167" s="372" t="e">
        <f t="shared" ca="1" si="118"/>
        <v>#REF!</v>
      </c>
      <c r="BB167" s="356" t="e">
        <f t="shared" ca="1" si="98"/>
        <v>#REF!</v>
      </c>
      <c r="BC167" s="356" t="e">
        <f ca="1">VLOOKUP(AK167,坦克个性化设定!$B$18:$E$48,4,FALSE)</f>
        <v>#REF!</v>
      </c>
      <c r="BD167" s="357" t="e">
        <f t="shared" ca="1" si="105"/>
        <v>#REF!</v>
      </c>
      <c r="BF167" s="357" t="str">
        <f t="shared" ca="1" si="99"/>
        <v/>
      </c>
      <c r="BG167" s="372" t="str">
        <f ca="1">IFERROR(VLOOKUP(BF167,坦克个性化设定!$B$18:$F$48,5,FALSE),"")</f>
        <v/>
      </c>
      <c r="BH167" s="372" t="e">
        <f t="shared" ca="1" si="106"/>
        <v>#REF!</v>
      </c>
      <c r="BI167" s="372" t="e">
        <f t="shared" ca="1" si="107"/>
        <v>#REF!</v>
      </c>
      <c r="BJ167" s="364" t="str">
        <f t="shared" ca="1" si="100"/>
        <v>NULL</v>
      </c>
      <c r="BK167" s="372" t="e">
        <f ca="1">VLOOKUP($BF167&amp;IF($BJ167="NULL",0,$BJ167),所有坦克升星属性,MATCH(BK$3,所有坦克升星属性标头,0),FALSE)+ROUND(BP167/VLOOKUP($BF167,坦克部件!#REF!,4,FALSE)*VLOOKUP($BF167&amp;0,所有坦克升星属性,MATCH(BK$3,所有坦克升星属性标头,0),FALSE),0)</f>
        <v>#N/A</v>
      </c>
      <c r="BL167" s="372" t="e">
        <f ca="1">VLOOKUP($BF167&amp;IF($BJ167="NULL",0,$BJ167),所有坦克升星属性,MATCH(BL$3,所有坦克升星属性标头,0),FALSE)+ROUND(BQ167/VLOOKUP($BF167,坦克部件!#REF!,4,FALSE)*VLOOKUP($BF167&amp;0,所有坦克升星属性,MATCH(BL$3,所有坦克升星属性标头,0),FALSE),0)</f>
        <v>#N/A</v>
      </c>
      <c r="BM167" s="372" t="e">
        <f t="shared" ca="1" si="119"/>
        <v>#N/A</v>
      </c>
      <c r="BN167" s="372" t="e">
        <f t="shared" ca="1" si="119"/>
        <v>#N/A</v>
      </c>
      <c r="BO167" s="372" t="e">
        <f ca="1">VLOOKUP($BF167&amp;IF($BJ167="NULL",0,$BJ167),所有坦克升星属性,MATCH(BO$3,所有坦克升星属性标头,0),FALSE)+ROUND(BR167/VLOOKUP($BF167,坦克部件!#REF!,4,FALSE)*VLOOKUP($BF167&amp;0,所有坦克升星属性,MATCH(BO$3,所有坦克升星属性标头,0),FALSE),0)</f>
        <v>#N/A</v>
      </c>
      <c r="BP167" s="372" t="e">
        <f ca="1">(VLOOKUP($BH167,坦克部件!#REF!,MATCH("标准值",坦克部件!#REF!,0),FALSE)+VLOOKUP($BI167,坦克部件!#REF!,MATCH("标准值",坦克部件!#REF!,0),FALSE))*2</f>
        <v>#REF!</v>
      </c>
      <c r="BQ167" s="372" t="e">
        <f ca="1">(VLOOKUP($BH167,坦克部件!#REF!,MATCH("标准值",坦克部件!#REF!,0),FALSE)+VLOOKUP($BI167,坦克部件!#REF!,MATCH("标准值",坦克部件!#REF!,0),FALSE))*2</f>
        <v>#REF!</v>
      </c>
      <c r="BR167" s="372" t="e">
        <f ca="1">(VLOOKUP($BH167,坦克部件!#REF!,MATCH("标准值",坦克部件!#REF!,0),FALSE)+VLOOKUP($BI167,坦克部件!#REF!,MATCH("标准值",坦克部件!#REF!,0),FALSE))*2</f>
        <v>#REF!</v>
      </c>
      <c r="BS167" s="372" t="e">
        <f ca="1">VLOOKUP($BF167,坦克属性统计!$B$3:$AY$33,MATCH(BS$3,坦克属性统计!$B$3:$AY$3,0),FALSE)</f>
        <v>#N/A</v>
      </c>
      <c r="BT167" s="372" t="e">
        <f t="shared" ca="1" si="120"/>
        <v>#N/A</v>
      </c>
      <c r="BU167" s="372" t="e">
        <f t="shared" ca="1" si="120"/>
        <v>#N/A</v>
      </c>
      <c r="BV167" s="372" t="e">
        <f t="shared" ca="1" si="120"/>
        <v>#N/A</v>
      </c>
      <c r="BW167" s="356">
        <f t="shared" ca="1" si="101"/>
        <v>0</v>
      </c>
      <c r="BX167" s="356" t="e">
        <f ca="1">VLOOKUP(BF167,坦克个性化设定!$B$18:$E$48,4,FALSE)</f>
        <v>#N/A</v>
      </c>
      <c r="BY167" s="357" t="e">
        <f t="shared" ca="1" si="108"/>
        <v>#N/A</v>
      </c>
    </row>
    <row r="168" spans="15:77" x14ac:dyDescent="0.35">
      <c r="O168" s="365">
        <v>165</v>
      </c>
      <c r="P168" s="360" t="e">
        <f t="shared" ca="1" si="115"/>
        <v>#REF!</v>
      </c>
      <c r="Q168" s="360" t="e">
        <f ca="1">ROUND(MIN((BD168-VLOOKUP(R168,$B$22:$F$46,2,FALSE))/(VLOOKUP(R168,$B$22:$F$46,3,FALSE)-VLOOKUP(R168,$B$22:$F$46,2,FALSE)),1)*((VLOOKUP(R168,$B$22:$F$46,4,FALSE)*(AG168/(AG168+VLOOKUP(P168,$D$49:$F$123,3,TRUE)))+VLOOKUP(R168,$B$22:$F$46,5,FALSE)*(1-AG168/(AG168+VLOOKUP(P168,$D$49:$F$123,3,TRUE))))/2)*游戏时长规划!$C$4,0)</f>
        <v>#REF!</v>
      </c>
      <c r="R168" s="360" t="e">
        <f t="shared" ca="1" si="88"/>
        <v>#REF!</v>
      </c>
      <c r="S168" s="360" t="e">
        <f t="shared" ca="1" si="109"/>
        <v>#REF!</v>
      </c>
      <c r="T168" s="360" t="e">
        <f t="shared" ca="1" si="116"/>
        <v>#REF!</v>
      </c>
      <c r="U168" s="370" t="e">
        <f t="shared" ca="1" si="89"/>
        <v>#REF!</v>
      </c>
      <c r="V168" s="363" t="e">
        <f t="shared" ca="1" si="110"/>
        <v>#REF!</v>
      </c>
      <c r="W168" s="360" t="e">
        <f t="shared" ca="1" si="90"/>
        <v>#REF!</v>
      </c>
      <c r="X168" s="81" t="e">
        <f t="shared" ca="1" si="102"/>
        <v>#REF!</v>
      </c>
      <c r="Y168" s="360" t="str">
        <f t="shared" ca="1" si="91"/>
        <v>NULL</v>
      </c>
      <c r="Z168" s="375" t="e">
        <f t="shared" ca="1" si="103"/>
        <v>#REF!</v>
      </c>
      <c r="AA168" s="360">
        <f ca="1">IFERROR(VLOOKUP(IF(V168="T1低",游戏时长规划!$C$67+Z168,Z168),INDIRECT(V168&amp;"星级"),2,TRUE),0)</f>
        <v>0</v>
      </c>
      <c r="AB168" s="375" t="e">
        <f t="shared" ca="1" si="92"/>
        <v>#REF!</v>
      </c>
      <c r="AC168" s="375">
        <f ca="1">($D$14+$D$17)*$L$4/坦克部件养成!$C$2+AC167-IFERROR(IF(RIGHT(AD167,3)*1&gt;RIGHT(VLOOKUP(AC167,INDIRECT(LEFT(AD166,2)&amp;"部件升阶"),5,TRUE),3)*1,VLOOKUP(AD166,INDIRECT(LEFT(AD166,2)&amp;"部件升阶消耗"),2,FALSE),0),0)</f>
        <v>1952.4999999999955</v>
      </c>
      <c r="AD168" s="360" t="e">
        <f t="shared" ca="1" si="93"/>
        <v>#REF!</v>
      </c>
      <c r="AE168" s="375" t="e">
        <f ca="1">$D$15*$L$4/坦克部件养成!$C$2+AE167-IF(LEFT(AD168,2)&lt;&gt;LEFT(AD167,2),VLOOKUP(AF167,INDIRECT(LEFT(AD167,2)&amp;"部件升级消耗"),5,FALSE),0)</f>
        <v>#REF!</v>
      </c>
      <c r="AF168" s="360" t="e">
        <f ca="1">MIN(VLOOKUP(AE168,INDIRECT(LEFT(AD168,2)&amp;"部件升级"),2,TRUE),VLOOKUP(LEFT(AD168,2),坦克部件养成!#REF!,6,FALSE))</f>
        <v>#REF!</v>
      </c>
      <c r="AG168" s="378" t="e">
        <f ca="1">MAX(BD$4:BD168)</f>
        <v>#REF!</v>
      </c>
      <c r="AH168" s="378" t="str">
        <f t="shared" ca="1" si="94"/>
        <v/>
      </c>
      <c r="AI168" s="378">
        <f ca="1">IF(Y168="NULL",0,MAX(BY$4:BY168))</f>
        <v>0</v>
      </c>
      <c r="AK168" s="364" t="e">
        <f t="shared" ca="1" si="95"/>
        <v>#REF!</v>
      </c>
      <c r="AL168" s="364" t="e">
        <f ca="1">VLOOKUP(AK168,坦克个性化设定!$B$18:$F$48,5,FALSE)</f>
        <v>#REF!</v>
      </c>
      <c r="AM168" s="372" t="e">
        <f t="shared" ca="1" si="96"/>
        <v>#REF!</v>
      </c>
      <c r="AN168" s="372" t="e">
        <f t="shared" ca="1" si="104"/>
        <v>#REF!</v>
      </c>
      <c r="AO168" s="364">
        <f t="shared" ca="1" si="97"/>
        <v>0</v>
      </c>
      <c r="AP168" s="372" t="e">
        <f ca="1">VLOOKUP($AK168&amp;$AO168,所有坦克升星属性,MATCH(AP$3,所有坦克升星属性标头,0),FALSE)+ROUND(AU168/VLOOKUP($AK168,坦克部件!#REF!,4,FALSE)*VLOOKUP($AK168&amp;0,所有坦克升星属性,MATCH(AP$3,所有坦克升星属性标头,0),FALSE),0)</f>
        <v>#REF!</v>
      </c>
      <c r="AQ168" s="372" t="e">
        <f ca="1">VLOOKUP($AK168&amp;$AO168,所有坦克升星属性,MATCH(AQ$3,所有坦克升星属性标头,0),FALSE)+ROUND(AV168/VLOOKUP($AK168,坦克部件!#REF!,4,FALSE)*VLOOKUP($AK168&amp;0,所有坦克升星属性,MATCH(AQ$3,所有坦克升星属性标头,0),FALSE),0)</f>
        <v>#REF!</v>
      </c>
      <c r="AR168" s="372" t="e">
        <f t="shared" ca="1" si="117"/>
        <v>#REF!</v>
      </c>
      <c r="AS168" s="372" t="e">
        <f t="shared" ca="1" si="117"/>
        <v>#REF!</v>
      </c>
      <c r="AT168" s="372" t="e">
        <f ca="1">VLOOKUP($AK168&amp;$AO168,所有坦克升星属性,MATCH(AT$3,所有坦克升星属性标头,0),FALSE)+ROUND(AW168/VLOOKUP($AK168,坦克部件!#REF!,4,FALSE)*VLOOKUP($AK168&amp;0,所有坦克升星属性,MATCH(AT$3,所有坦克升星属性标头,0),FALSE),0)</f>
        <v>#REF!</v>
      </c>
      <c r="AU168" s="372" t="e">
        <f ca="1">(VLOOKUP($AM168,坦克部件!#REF!,MATCH("标准值",坦克部件!#REF!,0),FALSE)+VLOOKUP($AN168,坦克部件!#REF!,MATCH("标准值",坦克部件!#REF!,0),FALSE))*2</f>
        <v>#REF!</v>
      </c>
      <c r="AV168" s="372" t="e">
        <f ca="1">(VLOOKUP($AM168,坦克部件!#REF!,MATCH("标准值",坦克部件!#REF!,0),FALSE)+VLOOKUP($AN168,坦克部件!#REF!,MATCH("标准值",坦克部件!#REF!,0),FALSE))*2</f>
        <v>#REF!</v>
      </c>
      <c r="AW168" s="372" t="e">
        <f ca="1">(VLOOKUP($AM168,坦克部件!#REF!,MATCH("标准值",坦克部件!#REF!,0),FALSE)+VLOOKUP($AN168,坦克部件!#REF!,MATCH("标准值",坦克部件!#REF!,0),FALSE))*2</f>
        <v>#REF!</v>
      </c>
      <c r="AX168" s="372" t="e">
        <f ca="1">VLOOKUP($AK168,坦克属性统计!$B$3:$AY$33,MATCH(AX$3,坦克属性统计!$B$3:$AY$3,0),FALSE)</f>
        <v>#REF!</v>
      </c>
      <c r="AY168" s="372" t="e">
        <f t="shared" ca="1" si="118"/>
        <v>#REF!</v>
      </c>
      <c r="AZ168" s="372" t="e">
        <f t="shared" ca="1" si="118"/>
        <v>#REF!</v>
      </c>
      <c r="BA168" s="372" t="e">
        <f t="shared" ca="1" si="118"/>
        <v>#REF!</v>
      </c>
      <c r="BB168" s="356" t="e">
        <f t="shared" ca="1" si="98"/>
        <v>#REF!</v>
      </c>
      <c r="BC168" s="356" t="e">
        <f ca="1">VLOOKUP(AK168,坦克个性化设定!$B$18:$E$48,4,FALSE)</f>
        <v>#REF!</v>
      </c>
      <c r="BD168" s="357" t="e">
        <f t="shared" ca="1" si="105"/>
        <v>#REF!</v>
      </c>
      <c r="BF168" s="357" t="str">
        <f t="shared" ca="1" si="99"/>
        <v/>
      </c>
      <c r="BG168" s="372" t="str">
        <f ca="1">IFERROR(VLOOKUP(BF168,坦克个性化设定!$B$18:$F$48,5,FALSE),"")</f>
        <v/>
      </c>
      <c r="BH168" s="372" t="e">
        <f t="shared" ca="1" si="106"/>
        <v>#REF!</v>
      </c>
      <c r="BI168" s="372" t="e">
        <f t="shared" ca="1" si="107"/>
        <v>#REF!</v>
      </c>
      <c r="BJ168" s="364" t="str">
        <f t="shared" ca="1" si="100"/>
        <v>NULL</v>
      </c>
      <c r="BK168" s="372" t="e">
        <f ca="1">VLOOKUP($BF168&amp;IF($BJ168="NULL",0,$BJ168),所有坦克升星属性,MATCH(BK$3,所有坦克升星属性标头,0),FALSE)+ROUND(BP168/VLOOKUP($BF168,坦克部件!#REF!,4,FALSE)*VLOOKUP($BF168&amp;0,所有坦克升星属性,MATCH(BK$3,所有坦克升星属性标头,0),FALSE),0)</f>
        <v>#N/A</v>
      </c>
      <c r="BL168" s="372" t="e">
        <f ca="1">VLOOKUP($BF168&amp;IF($BJ168="NULL",0,$BJ168),所有坦克升星属性,MATCH(BL$3,所有坦克升星属性标头,0),FALSE)+ROUND(BQ168/VLOOKUP($BF168,坦克部件!#REF!,4,FALSE)*VLOOKUP($BF168&amp;0,所有坦克升星属性,MATCH(BL$3,所有坦克升星属性标头,0),FALSE),0)</f>
        <v>#N/A</v>
      </c>
      <c r="BM168" s="372" t="e">
        <f t="shared" ca="1" si="119"/>
        <v>#N/A</v>
      </c>
      <c r="BN168" s="372" t="e">
        <f t="shared" ca="1" si="119"/>
        <v>#N/A</v>
      </c>
      <c r="BO168" s="372" t="e">
        <f ca="1">VLOOKUP($BF168&amp;IF($BJ168="NULL",0,$BJ168),所有坦克升星属性,MATCH(BO$3,所有坦克升星属性标头,0),FALSE)+ROUND(BR168/VLOOKUP($BF168,坦克部件!#REF!,4,FALSE)*VLOOKUP($BF168&amp;0,所有坦克升星属性,MATCH(BO$3,所有坦克升星属性标头,0),FALSE),0)</f>
        <v>#N/A</v>
      </c>
      <c r="BP168" s="372" t="e">
        <f ca="1">(VLOOKUP($BH168,坦克部件!#REF!,MATCH("标准值",坦克部件!#REF!,0),FALSE)+VLOOKUP($BI168,坦克部件!#REF!,MATCH("标准值",坦克部件!#REF!,0),FALSE))*2</f>
        <v>#REF!</v>
      </c>
      <c r="BQ168" s="372" t="e">
        <f ca="1">(VLOOKUP($BH168,坦克部件!#REF!,MATCH("标准值",坦克部件!#REF!,0),FALSE)+VLOOKUP($BI168,坦克部件!#REF!,MATCH("标准值",坦克部件!#REF!,0),FALSE))*2</f>
        <v>#REF!</v>
      </c>
      <c r="BR168" s="372" t="e">
        <f ca="1">(VLOOKUP($BH168,坦克部件!#REF!,MATCH("标准值",坦克部件!#REF!,0),FALSE)+VLOOKUP($BI168,坦克部件!#REF!,MATCH("标准值",坦克部件!#REF!,0),FALSE))*2</f>
        <v>#REF!</v>
      </c>
      <c r="BS168" s="372" t="e">
        <f ca="1">VLOOKUP($BF168,坦克属性统计!$B$3:$AY$33,MATCH(BS$3,坦克属性统计!$B$3:$AY$3,0),FALSE)</f>
        <v>#N/A</v>
      </c>
      <c r="BT168" s="372" t="e">
        <f t="shared" ca="1" si="120"/>
        <v>#N/A</v>
      </c>
      <c r="BU168" s="372" t="e">
        <f t="shared" ca="1" si="120"/>
        <v>#N/A</v>
      </c>
      <c r="BV168" s="372" t="e">
        <f t="shared" ca="1" si="120"/>
        <v>#N/A</v>
      </c>
      <c r="BW168" s="356">
        <f t="shared" ca="1" si="101"/>
        <v>0</v>
      </c>
      <c r="BX168" s="356" t="e">
        <f ca="1">VLOOKUP(BF168,坦克个性化设定!$B$18:$E$48,4,FALSE)</f>
        <v>#N/A</v>
      </c>
      <c r="BY168" s="357" t="e">
        <f t="shared" ca="1" si="108"/>
        <v>#N/A</v>
      </c>
    </row>
    <row r="169" spans="15:77" x14ac:dyDescent="0.35">
      <c r="O169" s="365">
        <v>166</v>
      </c>
      <c r="P169" s="360" t="e">
        <f t="shared" ca="1" si="115"/>
        <v>#REF!</v>
      </c>
      <c r="Q169" s="360" t="e">
        <f ca="1">ROUND(MIN((BD169-VLOOKUP(R169,$B$22:$F$46,2,FALSE))/(VLOOKUP(R169,$B$22:$F$46,3,FALSE)-VLOOKUP(R169,$B$22:$F$46,2,FALSE)),1)*((VLOOKUP(R169,$B$22:$F$46,4,FALSE)*(AG169/(AG169+VLOOKUP(P169,$D$49:$F$123,3,TRUE)))+VLOOKUP(R169,$B$22:$F$46,5,FALSE)*(1-AG169/(AG169+VLOOKUP(P169,$D$49:$F$123,3,TRUE))))/2)*游戏时长规划!$C$4,0)</f>
        <v>#REF!</v>
      </c>
      <c r="R169" s="360" t="e">
        <f t="shared" ca="1" si="88"/>
        <v>#REF!</v>
      </c>
      <c r="S169" s="360" t="e">
        <f t="shared" ca="1" si="109"/>
        <v>#REF!</v>
      </c>
      <c r="T169" s="360" t="e">
        <f t="shared" ca="1" si="116"/>
        <v>#REF!</v>
      </c>
      <c r="U169" s="370" t="e">
        <f t="shared" ca="1" si="89"/>
        <v>#REF!</v>
      </c>
      <c r="V169" s="363" t="e">
        <f t="shared" ca="1" si="110"/>
        <v>#REF!</v>
      </c>
      <c r="W169" s="360" t="e">
        <f t="shared" ca="1" si="90"/>
        <v>#REF!</v>
      </c>
      <c r="X169" s="81" t="e">
        <f t="shared" ca="1" si="102"/>
        <v>#REF!</v>
      </c>
      <c r="Y169" s="360" t="str">
        <f t="shared" ca="1" si="91"/>
        <v>NULL</v>
      </c>
      <c r="Z169" s="375" t="e">
        <f t="shared" ca="1" si="103"/>
        <v>#REF!</v>
      </c>
      <c r="AA169" s="360">
        <f ca="1">IFERROR(VLOOKUP(IF(V169="T1低",游戏时长规划!$C$67+Z169,Z169),INDIRECT(V169&amp;"星级"),2,TRUE),0)</f>
        <v>0</v>
      </c>
      <c r="AB169" s="375" t="e">
        <f t="shared" ca="1" si="92"/>
        <v>#REF!</v>
      </c>
      <c r="AC169" s="375">
        <f ca="1">($D$14+$D$17)*$L$4/坦克部件养成!$C$2+AC168-IFERROR(IF(RIGHT(AD168,3)*1&gt;RIGHT(VLOOKUP(AC168,INDIRECT(LEFT(AD167,2)&amp;"部件升阶"),5,TRUE),3)*1,VLOOKUP(AD167,INDIRECT(LEFT(AD167,2)&amp;"部件升阶消耗"),2,FALSE),0),0)</f>
        <v>1964.3333333333287</v>
      </c>
      <c r="AD169" s="360" t="e">
        <f t="shared" ca="1" si="93"/>
        <v>#REF!</v>
      </c>
      <c r="AE169" s="375" t="e">
        <f ca="1">$D$15*$L$4/坦克部件养成!$C$2+AE168-IF(LEFT(AD169,2)&lt;&gt;LEFT(AD168,2),VLOOKUP(AF168,INDIRECT(LEFT(AD168,2)&amp;"部件升级消耗"),5,FALSE),0)</f>
        <v>#REF!</v>
      </c>
      <c r="AF169" s="360" t="e">
        <f ca="1">MIN(VLOOKUP(AE169,INDIRECT(LEFT(AD169,2)&amp;"部件升级"),2,TRUE),VLOOKUP(LEFT(AD169,2),坦克部件养成!#REF!,6,FALSE))</f>
        <v>#REF!</v>
      </c>
      <c r="AG169" s="378" t="e">
        <f ca="1">MAX(BD$4:BD169)</f>
        <v>#REF!</v>
      </c>
      <c r="AH169" s="378" t="str">
        <f t="shared" ca="1" si="94"/>
        <v/>
      </c>
      <c r="AI169" s="378">
        <f ca="1">IF(Y169="NULL",0,MAX(BY$4:BY169))</f>
        <v>0</v>
      </c>
      <c r="AK169" s="364" t="e">
        <f t="shared" ca="1" si="95"/>
        <v>#REF!</v>
      </c>
      <c r="AL169" s="364" t="e">
        <f ca="1">VLOOKUP(AK169,坦克个性化设定!$B$18:$F$48,5,FALSE)</f>
        <v>#REF!</v>
      </c>
      <c r="AM169" s="372" t="e">
        <f t="shared" ca="1" si="96"/>
        <v>#REF!</v>
      </c>
      <c r="AN169" s="372" t="e">
        <f t="shared" ca="1" si="104"/>
        <v>#REF!</v>
      </c>
      <c r="AO169" s="364">
        <f t="shared" ca="1" si="97"/>
        <v>0</v>
      </c>
      <c r="AP169" s="372" t="e">
        <f ca="1">VLOOKUP($AK169&amp;$AO169,所有坦克升星属性,MATCH(AP$3,所有坦克升星属性标头,0),FALSE)+ROUND(AU169/VLOOKUP($AK169,坦克部件!#REF!,4,FALSE)*VLOOKUP($AK169&amp;0,所有坦克升星属性,MATCH(AP$3,所有坦克升星属性标头,0),FALSE),0)</f>
        <v>#REF!</v>
      </c>
      <c r="AQ169" s="372" t="e">
        <f ca="1">VLOOKUP($AK169&amp;$AO169,所有坦克升星属性,MATCH(AQ$3,所有坦克升星属性标头,0),FALSE)+ROUND(AV169/VLOOKUP($AK169,坦克部件!#REF!,4,FALSE)*VLOOKUP($AK169&amp;0,所有坦克升星属性,MATCH(AQ$3,所有坦克升星属性标头,0),FALSE),0)</f>
        <v>#REF!</v>
      </c>
      <c r="AR169" s="372" t="e">
        <f t="shared" ca="1" si="117"/>
        <v>#REF!</v>
      </c>
      <c r="AS169" s="372" t="e">
        <f t="shared" ca="1" si="117"/>
        <v>#REF!</v>
      </c>
      <c r="AT169" s="372" t="e">
        <f ca="1">VLOOKUP($AK169&amp;$AO169,所有坦克升星属性,MATCH(AT$3,所有坦克升星属性标头,0),FALSE)+ROUND(AW169/VLOOKUP($AK169,坦克部件!#REF!,4,FALSE)*VLOOKUP($AK169&amp;0,所有坦克升星属性,MATCH(AT$3,所有坦克升星属性标头,0),FALSE),0)</f>
        <v>#REF!</v>
      </c>
      <c r="AU169" s="372" t="e">
        <f ca="1">(VLOOKUP($AM169,坦克部件!#REF!,MATCH("标准值",坦克部件!#REF!,0),FALSE)+VLOOKUP($AN169,坦克部件!#REF!,MATCH("标准值",坦克部件!#REF!,0),FALSE))*2</f>
        <v>#REF!</v>
      </c>
      <c r="AV169" s="372" t="e">
        <f ca="1">(VLOOKUP($AM169,坦克部件!#REF!,MATCH("标准值",坦克部件!#REF!,0),FALSE)+VLOOKUP($AN169,坦克部件!#REF!,MATCH("标准值",坦克部件!#REF!,0),FALSE))*2</f>
        <v>#REF!</v>
      </c>
      <c r="AW169" s="372" t="e">
        <f ca="1">(VLOOKUP($AM169,坦克部件!#REF!,MATCH("标准值",坦克部件!#REF!,0),FALSE)+VLOOKUP($AN169,坦克部件!#REF!,MATCH("标准值",坦克部件!#REF!,0),FALSE))*2</f>
        <v>#REF!</v>
      </c>
      <c r="AX169" s="372" t="e">
        <f ca="1">VLOOKUP($AK169,坦克属性统计!$B$3:$AY$33,MATCH(AX$3,坦克属性统计!$B$3:$AY$3,0),FALSE)</f>
        <v>#REF!</v>
      </c>
      <c r="AY169" s="372" t="e">
        <f t="shared" ca="1" si="118"/>
        <v>#REF!</v>
      </c>
      <c r="AZ169" s="372" t="e">
        <f t="shared" ca="1" si="118"/>
        <v>#REF!</v>
      </c>
      <c r="BA169" s="372" t="e">
        <f t="shared" ca="1" si="118"/>
        <v>#REF!</v>
      </c>
      <c r="BB169" s="356" t="e">
        <f t="shared" ca="1" si="98"/>
        <v>#REF!</v>
      </c>
      <c r="BC169" s="356" t="e">
        <f ca="1">VLOOKUP(AK169,坦克个性化设定!$B$18:$E$48,4,FALSE)</f>
        <v>#REF!</v>
      </c>
      <c r="BD169" s="357" t="e">
        <f t="shared" ca="1" si="105"/>
        <v>#REF!</v>
      </c>
      <c r="BF169" s="357" t="str">
        <f t="shared" ca="1" si="99"/>
        <v/>
      </c>
      <c r="BG169" s="372" t="str">
        <f ca="1">IFERROR(VLOOKUP(BF169,坦克个性化设定!$B$18:$F$48,5,FALSE),"")</f>
        <v/>
      </c>
      <c r="BH169" s="372" t="e">
        <f t="shared" ca="1" si="106"/>
        <v>#REF!</v>
      </c>
      <c r="BI169" s="372" t="e">
        <f t="shared" ca="1" si="107"/>
        <v>#REF!</v>
      </c>
      <c r="BJ169" s="364" t="str">
        <f t="shared" ca="1" si="100"/>
        <v>NULL</v>
      </c>
      <c r="BK169" s="372" t="e">
        <f ca="1">VLOOKUP($BF169&amp;IF($BJ169="NULL",0,$BJ169),所有坦克升星属性,MATCH(BK$3,所有坦克升星属性标头,0),FALSE)+ROUND(BP169/VLOOKUP($BF169,坦克部件!#REF!,4,FALSE)*VLOOKUP($BF169&amp;0,所有坦克升星属性,MATCH(BK$3,所有坦克升星属性标头,0),FALSE),0)</f>
        <v>#N/A</v>
      </c>
      <c r="BL169" s="372" t="e">
        <f ca="1">VLOOKUP($BF169&amp;IF($BJ169="NULL",0,$BJ169),所有坦克升星属性,MATCH(BL$3,所有坦克升星属性标头,0),FALSE)+ROUND(BQ169/VLOOKUP($BF169,坦克部件!#REF!,4,FALSE)*VLOOKUP($BF169&amp;0,所有坦克升星属性,MATCH(BL$3,所有坦克升星属性标头,0),FALSE),0)</f>
        <v>#N/A</v>
      </c>
      <c r="BM169" s="372" t="e">
        <f t="shared" ca="1" si="119"/>
        <v>#N/A</v>
      </c>
      <c r="BN169" s="372" t="e">
        <f t="shared" ca="1" si="119"/>
        <v>#N/A</v>
      </c>
      <c r="BO169" s="372" t="e">
        <f ca="1">VLOOKUP($BF169&amp;IF($BJ169="NULL",0,$BJ169),所有坦克升星属性,MATCH(BO$3,所有坦克升星属性标头,0),FALSE)+ROUND(BR169/VLOOKUP($BF169,坦克部件!#REF!,4,FALSE)*VLOOKUP($BF169&amp;0,所有坦克升星属性,MATCH(BO$3,所有坦克升星属性标头,0),FALSE),0)</f>
        <v>#N/A</v>
      </c>
      <c r="BP169" s="372" t="e">
        <f ca="1">(VLOOKUP($BH169,坦克部件!#REF!,MATCH("标准值",坦克部件!#REF!,0),FALSE)+VLOOKUP($BI169,坦克部件!#REF!,MATCH("标准值",坦克部件!#REF!,0),FALSE))*2</f>
        <v>#REF!</v>
      </c>
      <c r="BQ169" s="372" t="e">
        <f ca="1">(VLOOKUP($BH169,坦克部件!#REF!,MATCH("标准值",坦克部件!#REF!,0),FALSE)+VLOOKUP($BI169,坦克部件!#REF!,MATCH("标准值",坦克部件!#REF!,0),FALSE))*2</f>
        <v>#REF!</v>
      </c>
      <c r="BR169" s="372" t="e">
        <f ca="1">(VLOOKUP($BH169,坦克部件!#REF!,MATCH("标准值",坦克部件!#REF!,0),FALSE)+VLOOKUP($BI169,坦克部件!#REF!,MATCH("标准值",坦克部件!#REF!,0),FALSE))*2</f>
        <v>#REF!</v>
      </c>
      <c r="BS169" s="372" t="e">
        <f ca="1">VLOOKUP($BF169,坦克属性统计!$B$3:$AY$33,MATCH(BS$3,坦克属性统计!$B$3:$AY$3,0),FALSE)</f>
        <v>#N/A</v>
      </c>
      <c r="BT169" s="372" t="e">
        <f t="shared" ca="1" si="120"/>
        <v>#N/A</v>
      </c>
      <c r="BU169" s="372" t="e">
        <f t="shared" ca="1" si="120"/>
        <v>#N/A</v>
      </c>
      <c r="BV169" s="372" t="e">
        <f t="shared" ca="1" si="120"/>
        <v>#N/A</v>
      </c>
      <c r="BW169" s="356">
        <f t="shared" ca="1" si="101"/>
        <v>0</v>
      </c>
      <c r="BX169" s="356" t="e">
        <f ca="1">VLOOKUP(BF169,坦克个性化设定!$B$18:$E$48,4,FALSE)</f>
        <v>#N/A</v>
      </c>
      <c r="BY169" s="357" t="e">
        <f t="shared" ca="1" si="108"/>
        <v>#N/A</v>
      </c>
    </row>
    <row r="170" spans="15:77" x14ac:dyDescent="0.35">
      <c r="O170" s="365">
        <v>167</v>
      </c>
      <c r="P170" s="360" t="e">
        <f t="shared" ca="1" si="115"/>
        <v>#REF!</v>
      </c>
      <c r="Q170" s="360" t="e">
        <f ca="1">ROUND(MIN((BD170-VLOOKUP(R170,$B$22:$F$46,2,FALSE))/(VLOOKUP(R170,$B$22:$F$46,3,FALSE)-VLOOKUP(R170,$B$22:$F$46,2,FALSE)),1)*((VLOOKUP(R170,$B$22:$F$46,4,FALSE)*(AG170/(AG170+VLOOKUP(P170,$D$49:$F$123,3,TRUE)))+VLOOKUP(R170,$B$22:$F$46,5,FALSE)*(1-AG170/(AG170+VLOOKUP(P170,$D$49:$F$123,3,TRUE))))/2)*游戏时长规划!$C$4,0)</f>
        <v>#REF!</v>
      </c>
      <c r="R170" s="360" t="e">
        <f t="shared" ca="1" si="88"/>
        <v>#REF!</v>
      </c>
      <c r="S170" s="360" t="e">
        <f t="shared" ca="1" si="109"/>
        <v>#REF!</v>
      </c>
      <c r="T170" s="360" t="e">
        <f t="shared" ca="1" si="116"/>
        <v>#REF!</v>
      </c>
      <c r="U170" s="370" t="e">
        <f t="shared" ca="1" si="89"/>
        <v>#REF!</v>
      </c>
      <c r="V170" s="363" t="e">
        <f t="shared" ca="1" si="110"/>
        <v>#REF!</v>
      </c>
      <c r="W170" s="360" t="e">
        <f t="shared" ca="1" si="90"/>
        <v>#REF!</v>
      </c>
      <c r="X170" s="81" t="e">
        <f t="shared" ca="1" si="102"/>
        <v>#REF!</v>
      </c>
      <c r="Y170" s="360" t="str">
        <f t="shared" ca="1" si="91"/>
        <v>NULL</v>
      </c>
      <c r="Z170" s="375" t="e">
        <f t="shared" ca="1" si="103"/>
        <v>#REF!</v>
      </c>
      <c r="AA170" s="360">
        <f ca="1">IFERROR(VLOOKUP(IF(V170="T1低",游戏时长规划!$C$67+Z170,Z170),INDIRECT(V170&amp;"星级"),2,TRUE),0)</f>
        <v>0</v>
      </c>
      <c r="AB170" s="375" t="e">
        <f t="shared" ca="1" si="92"/>
        <v>#REF!</v>
      </c>
      <c r="AC170" s="375">
        <f ca="1">($D$14+$D$17)*$L$4/坦克部件养成!$C$2+AC169-IFERROR(IF(RIGHT(AD169,3)*1&gt;RIGHT(VLOOKUP(AC169,INDIRECT(LEFT(AD168,2)&amp;"部件升阶"),5,TRUE),3)*1,VLOOKUP(AD168,INDIRECT(LEFT(AD168,2)&amp;"部件升阶消耗"),2,FALSE),0),0)</f>
        <v>1976.166666666662</v>
      </c>
      <c r="AD170" s="360" t="e">
        <f t="shared" ca="1" si="93"/>
        <v>#REF!</v>
      </c>
      <c r="AE170" s="375" t="e">
        <f ca="1">$D$15*$L$4/坦克部件养成!$C$2+AE169-IF(LEFT(AD170,2)&lt;&gt;LEFT(AD169,2),VLOOKUP(AF169,INDIRECT(LEFT(AD169,2)&amp;"部件升级消耗"),5,FALSE),0)</f>
        <v>#REF!</v>
      </c>
      <c r="AF170" s="360" t="e">
        <f ca="1">MIN(VLOOKUP(AE170,INDIRECT(LEFT(AD170,2)&amp;"部件升级"),2,TRUE),VLOOKUP(LEFT(AD170,2),坦克部件养成!#REF!,6,FALSE))</f>
        <v>#REF!</v>
      </c>
      <c r="AG170" s="378" t="e">
        <f ca="1">MAX(BD$4:BD170)</f>
        <v>#REF!</v>
      </c>
      <c r="AH170" s="378" t="str">
        <f t="shared" ca="1" si="94"/>
        <v/>
      </c>
      <c r="AI170" s="378">
        <f ca="1">IF(Y170="NULL",0,MAX(BY$4:BY170))</f>
        <v>0</v>
      </c>
      <c r="AK170" s="364" t="e">
        <f t="shared" ca="1" si="95"/>
        <v>#REF!</v>
      </c>
      <c r="AL170" s="364" t="e">
        <f ca="1">VLOOKUP(AK170,坦克个性化设定!$B$18:$F$48,5,FALSE)</f>
        <v>#REF!</v>
      </c>
      <c r="AM170" s="372" t="e">
        <f t="shared" ca="1" si="96"/>
        <v>#REF!</v>
      </c>
      <c r="AN170" s="372" t="e">
        <f t="shared" ca="1" si="104"/>
        <v>#REF!</v>
      </c>
      <c r="AO170" s="364">
        <f t="shared" ca="1" si="97"/>
        <v>0</v>
      </c>
      <c r="AP170" s="372" t="e">
        <f ca="1">VLOOKUP($AK170&amp;$AO170,所有坦克升星属性,MATCH(AP$3,所有坦克升星属性标头,0),FALSE)+ROUND(AU170/VLOOKUP($AK170,坦克部件!#REF!,4,FALSE)*VLOOKUP($AK170&amp;0,所有坦克升星属性,MATCH(AP$3,所有坦克升星属性标头,0),FALSE),0)</f>
        <v>#REF!</v>
      </c>
      <c r="AQ170" s="372" t="e">
        <f ca="1">VLOOKUP($AK170&amp;$AO170,所有坦克升星属性,MATCH(AQ$3,所有坦克升星属性标头,0),FALSE)+ROUND(AV170/VLOOKUP($AK170,坦克部件!#REF!,4,FALSE)*VLOOKUP($AK170&amp;0,所有坦克升星属性,MATCH(AQ$3,所有坦克升星属性标头,0),FALSE),0)</f>
        <v>#REF!</v>
      </c>
      <c r="AR170" s="372" t="e">
        <f t="shared" ca="1" si="117"/>
        <v>#REF!</v>
      </c>
      <c r="AS170" s="372" t="e">
        <f t="shared" ca="1" si="117"/>
        <v>#REF!</v>
      </c>
      <c r="AT170" s="372" t="e">
        <f ca="1">VLOOKUP($AK170&amp;$AO170,所有坦克升星属性,MATCH(AT$3,所有坦克升星属性标头,0),FALSE)+ROUND(AW170/VLOOKUP($AK170,坦克部件!#REF!,4,FALSE)*VLOOKUP($AK170&amp;0,所有坦克升星属性,MATCH(AT$3,所有坦克升星属性标头,0),FALSE),0)</f>
        <v>#REF!</v>
      </c>
      <c r="AU170" s="372" t="e">
        <f ca="1">(VLOOKUP($AM170,坦克部件!#REF!,MATCH("标准值",坦克部件!#REF!,0),FALSE)+VLOOKUP($AN170,坦克部件!#REF!,MATCH("标准值",坦克部件!#REF!,0),FALSE))*2</f>
        <v>#REF!</v>
      </c>
      <c r="AV170" s="372" t="e">
        <f ca="1">(VLOOKUP($AM170,坦克部件!#REF!,MATCH("标准值",坦克部件!#REF!,0),FALSE)+VLOOKUP($AN170,坦克部件!#REF!,MATCH("标准值",坦克部件!#REF!,0),FALSE))*2</f>
        <v>#REF!</v>
      </c>
      <c r="AW170" s="372" t="e">
        <f ca="1">(VLOOKUP($AM170,坦克部件!#REF!,MATCH("标准值",坦克部件!#REF!,0),FALSE)+VLOOKUP($AN170,坦克部件!#REF!,MATCH("标准值",坦克部件!#REF!,0),FALSE))*2</f>
        <v>#REF!</v>
      </c>
      <c r="AX170" s="372" t="e">
        <f ca="1">VLOOKUP($AK170,坦克属性统计!$B$3:$AY$33,MATCH(AX$3,坦克属性统计!$B$3:$AY$3,0),FALSE)</f>
        <v>#REF!</v>
      </c>
      <c r="AY170" s="372" t="e">
        <f t="shared" ca="1" si="118"/>
        <v>#REF!</v>
      </c>
      <c r="AZ170" s="372" t="e">
        <f t="shared" ca="1" si="118"/>
        <v>#REF!</v>
      </c>
      <c r="BA170" s="372" t="e">
        <f t="shared" ca="1" si="118"/>
        <v>#REF!</v>
      </c>
      <c r="BB170" s="356" t="e">
        <f t="shared" ca="1" si="98"/>
        <v>#REF!</v>
      </c>
      <c r="BC170" s="356" t="e">
        <f ca="1">VLOOKUP(AK170,坦克个性化设定!$B$18:$E$48,4,FALSE)</f>
        <v>#REF!</v>
      </c>
      <c r="BD170" s="357" t="e">
        <f t="shared" ca="1" si="105"/>
        <v>#REF!</v>
      </c>
      <c r="BF170" s="357" t="str">
        <f t="shared" ca="1" si="99"/>
        <v/>
      </c>
      <c r="BG170" s="372" t="str">
        <f ca="1">IFERROR(VLOOKUP(BF170,坦克个性化设定!$B$18:$F$48,5,FALSE),"")</f>
        <v/>
      </c>
      <c r="BH170" s="372" t="e">
        <f t="shared" ca="1" si="106"/>
        <v>#REF!</v>
      </c>
      <c r="BI170" s="372" t="e">
        <f t="shared" ca="1" si="107"/>
        <v>#REF!</v>
      </c>
      <c r="BJ170" s="364" t="str">
        <f t="shared" ca="1" si="100"/>
        <v>NULL</v>
      </c>
      <c r="BK170" s="372" t="e">
        <f ca="1">VLOOKUP($BF170&amp;IF($BJ170="NULL",0,$BJ170),所有坦克升星属性,MATCH(BK$3,所有坦克升星属性标头,0),FALSE)+ROUND(BP170/VLOOKUP($BF170,坦克部件!#REF!,4,FALSE)*VLOOKUP($BF170&amp;0,所有坦克升星属性,MATCH(BK$3,所有坦克升星属性标头,0),FALSE),0)</f>
        <v>#N/A</v>
      </c>
      <c r="BL170" s="372" t="e">
        <f ca="1">VLOOKUP($BF170&amp;IF($BJ170="NULL",0,$BJ170),所有坦克升星属性,MATCH(BL$3,所有坦克升星属性标头,0),FALSE)+ROUND(BQ170/VLOOKUP($BF170,坦克部件!#REF!,4,FALSE)*VLOOKUP($BF170&amp;0,所有坦克升星属性,MATCH(BL$3,所有坦克升星属性标头,0),FALSE),0)</f>
        <v>#N/A</v>
      </c>
      <c r="BM170" s="372" t="e">
        <f t="shared" ca="1" si="119"/>
        <v>#N/A</v>
      </c>
      <c r="BN170" s="372" t="e">
        <f t="shared" ca="1" si="119"/>
        <v>#N/A</v>
      </c>
      <c r="BO170" s="372" t="e">
        <f ca="1">VLOOKUP($BF170&amp;IF($BJ170="NULL",0,$BJ170),所有坦克升星属性,MATCH(BO$3,所有坦克升星属性标头,0),FALSE)+ROUND(BR170/VLOOKUP($BF170,坦克部件!#REF!,4,FALSE)*VLOOKUP($BF170&amp;0,所有坦克升星属性,MATCH(BO$3,所有坦克升星属性标头,0),FALSE),0)</f>
        <v>#N/A</v>
      </c>
      <c r="BP170" s="372" t="e">
        <f ca="1">(VLOOKUP($BH170,坦克部件!#REF!,MATCH("标准值",坦克部件!#REF!,0),FALSE)+VLOOKUP($BI170,坦克部件!#REF!,MATCH("标准值",坦克部件!#REF!,0),FALSE))*2</f>
        <v>#REF!</v>
      </c>
      <c r="BQ170" s="372" t="e">
        <f ca="1">(VLOOKUP($BH170,坦克部件!#REF!,MATCH("标准值",坦克部件!#REF!,0),FALSE)+VLOOKUP($BI170,坦克部件!#REF!,MATCH("标准值",坦克部件!#REF!,0),FALSE))*2</f>
        <v>#REF!</v>
      </c>
      <c r="BR170" s="372" t="e">
        <f ca="1">(VLOOKUP($BH170,坦克部件!#REF!,MATCH("标准值",坦克部件!#REF!,0),FALSE)+VLOOKUP($BI170,坦克部件!#REF!,MATCH("标准值",坦克部件!#REF!,0),FALSE))*2</f>
        <v>#REF!</v>
      </c>
      <c r="BS170" s="372" t="e">
        <f ca="1">VLOOKUP($BF170,坦克属性统计!$B$3:$AY$33,MATCH(BS$3,坦克属性统计!$B$3:$AY$3,0),FALSE)</f>
        <v>#N/A</v>
      </c>
      <c r="BT170" s="372" t="e">
        <f t="shared" ca="1" si="120"/>
        <v>#N/A</v>
      </c>
      <c r="BU170" s="372" t="e">
        <f t="shared" ca="1" si="120"/>
        <v>#N/A</v>
      </c>
      <c r="BV170" s="372" t="e">
        <f t="shared" ca="1" si="120"/>
        <v>#N/A</v>
      </c>
      <c r="BW170" s="356">
        <f t="shared" ca="1" si="101"/>
        <v>0</v>
      </c>
      <c r="BX170" s="356" t="e">
        <f ca="1">VLOOKUP(BF170,坦克个性化设定!$B$18:$E$48,4,FALSE)</f>
        <v>#N/A</v>
      </c>
      <c r="BY170" s="357" t="e">
        <f t="shared" ca="1" si="108"/>
        <v>#N/A</v>
      </c>
    </row>
    <row r="171" spans="15:77" x14ac:dyDescent="0.35">
      <c r="O171" s="365">
        <v>168</v>
      </c>
      <c r="P171" s="360" t="e">
        <f t="shared" ca="1" si="115"/>
        <v>#REF!</v>
      </c>
      <c r="Q171" s="360" t="e">
        <f ca="1">ROUND(MIN((BD171-VLOOKUP(R171,$B$22:$F$46,2,FALSE))/(VLOOKUP(R171,$B$22:$F$46,3,FALSE)-VLOOKUP(R171,$B$22:$F$46,2,FALSE)),1)*((VLOOKUP(R171,$B$22:$F$46,4,FALSE)*(AG171/(AG171+VLOOKUP(P171,$D$49:$F$123,3,TRUE)))+VLOOKUP(R171,$B$22:$F$46,5,FALSE)*(1-AG171/(AG171+VLOOKUP(P171,$D$49:$F$123,3,TRUE))))/2)*游戏时长规划!$C$4,0)</f>
        <v>#REF!</v>
      </c>
      <c r="R171" s="360" t="e">
        <f t="shared" ca="1" si="88"/>
        <v>#REF!</v>
      </c>
      <c r="S171" s="360" t="e">
        <f t="shared" ca="1" si="109"/>
        <v>#REF!</v>
      </c>
      <c r="T171" s="360" t="e">
        <f t="shared" ca="1" si="116"/>
        <v>#REF!</v>
      </c>
      <c r="U171" s="370" t="e">
        <f t="shared" ca="1" si="89"/>
        <v>#REF!</v>
      </c>
      <c r="V171" s="363" t="e">
        <f t="shared" ca="1" si="110"/>
        <v>#REF!</v>
      </c>
      <c r="W171" s="360" t="e">
        <f t="shared" ca="1" si="90"/>
        <v>#REF!</v>
      </c>
      <c r="X171" s="81" t="e">
        <f t="shared" ca="1" si="102"/>
        <v>#REF!</v>
      </c>
      <c r="Y171" s="360" t="str">
        <f t="shared" ca="1" si="91"/>
        <v>NULL</v>
      </c>
      <c r="Z171" s="375" t="e">
        <f t="shared" ca="1" si="103"/>
        <v>#REF!</v>
      </c>
      <c r="AA171" s="360">
        <f ca="1">IFERROR(VLOOKUP(IF(V171="T1低",游戏时长规划!$C$67+Z171,Z171),INDIRECT(V171&amp;"星级"),2,TRUE),0)</f>
        <v>0</v>
      </c>
      <c r="AB171" s="375" t="e">
        <f t="shared" ca="1" si="92"/>
        <v>#REF!</v>
      </c>
      <c r="AC171" s="375">
        <f ca="1">($D$14+$D$17)*$L$4/坦克部件养成!$C$2+AC170-IFERROR(IF(RIGHT(AD170,3)*1&gt;RIGHT(VLOOKUP(AC170,INDIRECT(LEFT(AD169,2)&amp;"部件升阶"),5,TRUE),3)*1,VLOOKUP(AD169,INDIRECT(LEFT(AD169,2)&amp;"部件升阶消耗"),2,FALSE),0),0)</f>
        <v>1987.9999999999952</v>
      </c>
      <c r="AD171" s="360" t="e">
        <f t="shared" ca="1" si="93"/>
        <v>#REF!</v>
      </c>
      <c r="AE171" s="375" t="e">
        <f ca="1">$D$15*$L$4/坦克部件养成!$C$2+AE170-IF(LEFT(AD171,2)&lt;&gt;LEFT(AD170,2),VLOOKUP(AF170,INDIRECT(LEFT(AD170,2)&amp;"部件升级消耗"),5,FALSE),0)</f>
        <v>#REF!</v>
      </c>
      <c r="AF171" s="360" t="e">
        <f ca="1">MIN(VLOOKUP(AE171,INDIRECT(LEFT(AD171,2)&amp;"部件升级"),2,TRUE),VLOOKUP(LEFT(AD171,2),坦克部件养成!#REF!,6,FALSE))</f>
        <v>#REF!</v>
      </c>
      <c r="AG171" s="378" t="e">
        <f ca="1">MAX(BD$4:BD171)</f>
        <v>#REF!</v>
      </c>
      <c r="AH171" s="378" t="str">
        <f t="shared" ca="1" si="94"/>
        <v/>
      </c>
      <c r="AI171" s="378">
        <f ca="1">IF(Y171="NULL",0,MAX(BY$4:BY171))</f>
        <v>0</v>
      </c>
      <c r="AK171" s="364" t="e">
        <f t="shared" ca="1" si="95"/>
        <v>#REF!</v>
      </c>
      <c r="AL171" s="364" t="e">
        <f ca="1">VLOOKUP(AK171,坦克个性化设定!$B$18:$F$48,5,FALSE)</f>
        <v>#REF!</v>
      </c>
      <c r="AM171" s="372" t="e">
        <f t="shared" ca="1" si="96"/>
        <v>#REF!</v>
      </c>
      <c r="AN171" s="372" t="e">
        <f t="shared" ca="1" si="104"/>
        <v>#REF!</v>
      </c>
      <c r="AO171" s="364">
        <f t="shared" ca="1" si="97"/>
        <v>0</v>
      </c>
      <c r="AP171" s="372" t="e">
        <f ca="1">VLOOKUP($AK171&amp;$AO171,所有坦克升星属性,MATCH(AP$3,所有坦克升星属性标头,0),FALSE)+ROUND(AU171/VLOOKUP($AK171,坦克部件!#REF!,4,FALSE)*VLOOKUP($AK171&amp;0,所有坦克升星属性,MATCH(AP$3,所有坦克升星属性标头,0),FALSE),0)</f>
        <v>#REF!</v>
      </c>
      <c r="AQ171" s="372" t="e">
        <f ca="1">VLOOKUP($AK171&amp;$AO171,所有坦克升星属性,MATCH(AQ$3,所有坦克升星属性标头,0),FALSE)+ROUND(AV171/VLOOKUP($AK171,坦克部件!#REF!,4,FALSE)*VLOOKUP($AK171&amp;0,所有坦克升星属性,MATCH(AQ$3,所有坦克升星属性标头,0),FALSE),0)</f>
        <v>#REF!</v>
      </c>
      <c r="AR171" s="372" t="e">
        <f t="shared" ca="1" si="117"/>
        <v>#REF!</v>
      </c>
      <c r="AS171" s="372" t="e">
        <f t="shared" ca="1" si="117"/>
        <v>#REF!</v>
      </c>
      <c r="AT171" s="372" t="e">
        <f ca="1">VLOOKUP($AK171&amp;$AO171,所有坦克升星属性,MATCH(AT$3,所有坦克升星属性标头,0),FALSE)+ROUND(AW171/VLOOKUP($AK171,坦克部件!#REF!,4,FALSE)*VLOOKUP($AK171&amp;0,所有坦克升星属性,MATCH(AT$3,所有坦克升星属性标头,0),FALSE),0)</f>
        <v>#REF!</v>
      </c>
      <c r="AU171" s="372" t="e">
        <f ca="1">(VLOOKUP($AM171,坦克部件!#REF!,MATCH("标准值",坦克部件!#REF!,0),FALSE)+VLOOKUP($AN171,坦克部件!#REF!,MATCH("标准值",坦克部件!#REF!,0),FALSE))*2</f>
        <v>#REF!</v>
      </c>
      <c r="AV171" s="372" t="e">
        <f ca="1">(VLOOKUP($AM171,坦克部件!#REF!,MATCH("标准值",坦克部件!#REF!,0),FALSE)+VLOOKUP($AN171,坦克部件!#REF!,MATCH("标准值",坦克部件!#REF!,0),FALSE))*2</f>
        <v>#REF!</v>
      </c>
      <c r="AW171" s="372" t="e">
        <f ca="1">(VLOOKUP($AM171,坦克部件!#REF!,MATCH("标准值",坦克部件!#REF!,0),FALSE)+VLOOKUP($AN171,坦克部件!#REF!,MATCH("标准值",坦克部件!#REF!,0),FALSE))*2</f>
        <v>#REF!</v>
      </c>
      <c r="AX171" s="372" t="e">
        <f ca="1">VLOOKUP($AK171,坦克属性统计!$B$3:$AY$33,MATCH(AX$3,坦克属性统计!$B$3:$AY$3,0),FALSE)</f>
        <v>#REF!</v>
      </c>
      <c r="AY171" s="372" t="e">
        <f t="shared" ca="1" si="118"/>
        <v>#REF!</v>
      </c>
      <c r="AZ171" s="372" t="e">
        <f t="shared" ca="1" si="118"/>
        <v>#REF!</v>
      </c>
      <c r="BA171" s="372" t="e">
        <f t="shared" ca="1" si="118"/>
        <v>#REF!</v>
      </c>
      <c r="BB171" s="356" t="e">
        <f t="shared" ca="1" si="98"/>
        <v>#REF!</v>
      </c>
      <c r="BC171" s="356" t="e">
        <f ca="1">VLOOKUP(AK171,坦克个性化设定!$B$18:$E$48,4,FALSE)</f>
        <v>#REF!</v>
      </c>
      <c r="BD171" s="357" t="e">
        <f t="shared" ca="1" si="105"/>
        <v>#REF!</v>
      </c>
      <c r="BF171" s="357" t="str">
        <f t="shared" ca="1" si="99"/>
        <v/>
      </c>
      <c r="BG171" s="372" t="str">
        <f ca="1">IFERROR(VLOOKUP(BF171,坦克个性化设定!$B$18:$F$48,5,FALSE),"")</f>
        <v/>
      </c>
      <c r="BH171" s="372" t="e">
        <f t="shared" ca="1" si="106"/>
        <v>#REF!</v>
      </c>
      <c r="BI171" s="372" t="e">
        <f t="shared" ca="1" si="107"/>
        <v>#REF!</v>
      </c>
      <c r="BJ171" s="364" t="str">
        <f t="shared" ca="1" si="100"/>
        <v>NULL</v>
      </c>
      <c r="BK171" s="372" t="e">
        <f ca="1">VLOOKUP($BF171&amp;IF($BJ171="NULL",0,$BJ171),所有坦克升星属性,MATCH(BK$3,所有坦克升星属性标头,0),FALSE)+ROUND(BP171/VLOOKUP($BF171,坦克部件!#REF!,4,FALSE)*VLOOKUP($BF171&amp;0,所有坦克升星属性,MATCH(BK$3,所有坦克升星属性标头,0),FALSE),0)</f>
        <v>#N/A</v>
      </c>
      <c r="BL171" s="372" t="e">
        <f ca="1">VLOOKUP($BF171&amp;IF($BJ171="NULL",0,$BJ171),所有坦克升星属性,MATCH(BL$3,所有坦克升星属性标头,0),FALSE)+ROUND(BQ171/VLOOKUP($BF171,坦克部件!#REF!,4,FALSE)*VLOOKUP($BF171&amp;0,所有坦克升星属性,MATCH(BL$3,所有坦克升星属性标头,0),FALSE),0)</f>
        <v>#N/A</v>
      </c>
      <c r="BM171" s="372" t="e">
        <f t="shared" ca="1" si="119"/>
        <v>#N/A</v>
      </c>
      <c r="BN171" s="372" t="e">
        <f t="shared" ca="1" si="119"/>
        <v>#N/A</v>
      </c>
      <c r="BO171" s="372" t="e">
        <f ca="1">VLOOKUP($BF171&amp;IF($BJ171="NULL",0,$BJ171),所有坦克升星属性,MATCH(BO$3,所有坦克升星属性标头,0),FALSE)+ROUND(BR171/VLOOKUP($BF171,坦克部件!#REF!,4,FALSE)*VLOOKUP($BF171&amp;0,所有坦克升星属性,MATCH(BO$3,所有坦克升星属性标头,0),FALSE),0)</f>
        <v>#N/A</v>
      </c>
      <c r="BP171" s="372" t="e">
        <f ca="1">(VLOOKUP($BH171,坦克部件!#REF!,MATCH("标准值",坦克部件!#REF!,0),FALSE)+VLOOKUP($BI171,坦克部件!#REF!,MATCH("标准值",坦克部件!#REF!,0),FALSE))*2</f>
        <v>#REF!</v>
      </c>
      <c r="BQ171" s="372" t="e">
        <f ca="1">(VLOOKUP($BH171,坦克部件!#REF!,MATCH("标准值",坦克部件!#REF!,0),FALSE)+VLOOKUP($BI171,坦克部件!#REF!,MATCH("标准值",坦克部件!#REF!,0),FALSE))*2</f>
        <v>#REF!</v>
      </c>
      <c r="BR171" s="372" t="e">
        <f ca="1">(VLOOKUP($BH171,坦克部件!#REF!,MATCH("标准值",坦克部件!#REF!,0),FALSE)+VLOOKUP($BI171,坦克部件!#REF!,MATCH("标准值",坦克部件!#REF!,0),FALSE))*2</f>
        <v>#REF!</v>
      </c>
      <c r="BS171" s="372" t="e">
        <f ca="1">VLOOKUP($BF171,坦克属性统计!$B$3:$AY$33,MATCH(BS$3,坦克属性统计!$B$3:$AY$3,0),FALSE)</f>
        <v>#N/A</v>
      </c>
      <c r="BT171" s="372" t="e">
        <f t="shared" ca="1" si="120"/>
        <v>#N/A</v>
      </c>
      <c r="BU171" s="372" t="e">
        <f t="shared" ca="1" si="120"/>
        <v>#N/A</v>
      </c>
      <c r="BV171" s="372" t="e">
        <f t="shared" ca="1" si="120"/>
        <v>#N/A</v>
      </c>
      <c r="BW171" s="356">
        <f t="shared" ca="1" si="101"/>
        <v>0</v>
      </c>
      <c r="BX171" s="356" t="e">
        <f ca="1">VLOOKUP(BF171,坦克个性化设定!$B$18:$E$48,4,FALSE)</f>
        <v>#N/A</v>
      </c>
      <c r="BY171" s="357" t="e">
        <f t="shared" ca="1" si="108"/>
        <v>#N/A</v>
      </c>
    </row>
    <row r="172" spans="15:77" x14ac:dyDescent="0.35">
      <c r="O172" s="365">
        <v>169</v>
      </c>
      <c r="P172" s="360" t="e">
        <f t="shared" ca="1" si="115"/>
        <v>#REF!</v>
      </c>
      <c r="Q172" s="360" t="e">
        <f ca="1">ROUND(MIN((BD172-VLOOKUP(R172,$B$22:$F$46,2,FALSE))/(VLOOKUP(R172,$B$22:$F$46,3,FALSE)-VLOOKUP(R172,$B$22:$F$46,2,FALSE)),1)*((VLOOKUP(R172,$B$22:$F$46,4,FALSE)*(AG172/(AG172+VLOOKUP(P172,$D$49:$F$123,3,TRUE)))+VLOOKUP(R172,$B$22:$F$46,5,FALSE)*(1-AG172/(AG172+VLOOKUP(P172,$D$49:$F$123,3,TRUE))))/2)*游戏时长规划!$C$4,0)</f>
        <v>#REF!</v>
      </c>
      <c r="R172" s="360" t="e">
        <f t="shared" ca="1" si="88"/>
        <v>#REF!</v>
      </c>
      <c r="S172" s="360" t="e">
        <f t="shared" ca="1" si="109"/>
        <v>#REF!</v>
      </c>
      <c r="T172" s="360" t="e">
        <f t="shared" ca="1" si="116"/>
        <v>#REF!</v>
      </c>
      <c r="U172" s="370" t="e">
        <f t="shared" ca="1" si="89"/>
        <v>#REF!</v>
      </c>
      <c r="V172" s="363" t="e">
        <f t="shared" ca="1" si="110"/>
        <v>#REF!</v>
      </c>
      <c r="W172" s="360" t="e">
        <f t="shared" ca="1" si="90"/>
        <v>#REF!</v>
      </c>
      <c r="X172" s="81" t="e">
        <f t="shared" ca="1" si="102"/>
        <v>#REF!</v>
      </c>
      <c r="Y172" s="360" t="str">
        <f t="shared" ca="1" si="91"/>
        <v>NULL</v>
      </c>
      <c r="Z172" s="375" t="e">
        <f t="shared" ca="1" si="103"/>
        <v>#REF!</v>
      </c>
      <c r="AA172" s="360">
        <f ca="1">IFERROR(VLOOKUP(IF(V172="T1低",游戏时长规划!$C$67+Z172,Z172),INDIRECT(V172&amp;"星级"),2,TRUE),0)</f>
        <v>0</v>
      </c>
      <c r="AB172" s="375" t="e">
        <f t="shared" ca="1" si="92"/>
        <v>#REF!</v>
      </c>
      <c r="AC172" s="375">
        <f ca="1">($D$14+$D$17)*$L$4/坦克部件养成!$C$2+AC171-IFERROR(IF(RIGHT(AD171,3)*1&gt;RIGHT(VLOOKUP(AC171,INDIRECT(LEFT(AD170,2)&amp;"部件升阶"),5,TRUE),3)*1,VLOOKUP(AD170,INDIRECT(LEFT(AD170,2)&amp;"部件升阶消耗"),2,FALSE),0),0)</f>
        <v>1999.8333333333285</v>
      </c>
      <c r="AD172" s="360" t="e">
        <f t="shared" ca="1" si="93"/>
        <v>#REF!</v>
      </c>
      <c r="AE172" s="375" t="e">
        <f ca="1">$D$15*$L$4/坦克部件养成!$C$2+AE171-IF(LEFT(AD172,2)&lt;&gt;LEFT(AD171,2),VLOOKUP(AF171,INDIRECT(LEFT(AD171,2)&amp;"部件升级消耗"),5,FALSE),0)</f>
        <v>#REF!</v>
      </c>
      <c r="AF172" s="360" t="e">
        <f ca="1">MIN(VLOOKUP(AE172,INDIRECT(LEFT(AD172,2)&amp;"部件升级"),2,TRUE),VLOOKUP(LEFT(AD172,2),坦克部件养成!#REF!,6,FALSE))</f>
        <v>#REF!</v>
      </c>
      <c r="AG172" s="378" t="e">
        <f ca="1">MAX(BD$4:BD172)</f>
        <v>#REF!</v>
      </c>
      <c r="AH172" s="378" t="str">
        <f t="shared" ca="1" si="94"/>
        <v/>
      </c>
      <c r="AI172" s="378">
        <f ca="1">IF(Y172="NULL",0,MAX(BY$4:BY172))</f>
        <v>0</v>
      </c>
      <c r="AK172" s="364" t="e">
        <f t="shared" ca="1" si="95"/>
        <v>#REF!</v>
      </c>
      <c r="AL172" s="364" t="e">
        <f ca="1">VLOOKUP(AK172,坦克个性化设定!$B$18:$F$48,5,FALSE)</f>
        <v>#REF!</v>
      </c>
      <c r="AM172" s="372" t="e">
        <f t="shared" ca="1" si="96"/>
        <v>#REF!</v>
      </c>
      <c r="AN172" s="372" t="e">
        <f t="shared" ca="1" si="104"/>
        <v>#REF!</v>
      </c>
      <c r="AO172" s="364">
        <f t="shared" ca="1" si="97"/>
        <v>0</v>
      </c>
      <c r="AP172" s="372" t="e">
        <f ca="1">VLOOKUP($AK172&amp;$AO172,所有坦克升星属性,MATCH(AP$3,所有坦克升星属性标头,0),FALSE)+ROUND(AU172/VLOOKUP($AK172,坦克部件!#REF!,4,FALSE)*VLOOKUP($AK172&amp;0,所有坦克升星属性,MATCH(AP$3,所有坦克升星属性标头,0),FALSE),0)</f>
        <v>#REF!</v>
      </c>
      <c r="AQ172" s="372" t="e">
        <f ca="1">VLOOKUP($AK172&amp;$AO172,所有坦克升星属性,MATCH(AQ$3,所有坦克升星属性标头,0),FALSE)+ROUND(AV172/VLOOKUP($AK172,坦克部件!#REF!,4,FALSE)*VLOOKUP($AK172&amp;0,所有坦克升星属性,MATCH(AQ$3,所有坦克升星属性标头,0),FALSE),0)</f>
        <v>#REF!</v>
      </c>
      <c r="AR172" s="372" t="e">
        <f t="shared" ca="1" si="117"/>
        <v>#REF!</v>
      </c>
      <c r="AS172" s="372" t="e">
        <f t="shared" ca="1" si="117"/>
        <v>#REF!</v>
      </c>
      <c r="AT172" s="372" t="e">
        <f ca="1">VLOOKUP($AK172&amp;$AO172,所有坦克升星属性,MATCH(AT$3,所有坦克升星属性标头,0),FALSE)+ROUND(AW172/VLOOKUP($AK172,坦克部件!#REF!,4,FALSE)*VLOOKUP($AK172&amp;0,所有坦克升星属性,MATCH(AT$3,所有坦克升星属性标头,0),FALSE),0)</f>
        <v>#REF!</v>
      </c>
      <c r="AU172" s="372" t="e">
        <f ca="1">(VLOOKUP($AM172,坦克部件!#REF!,MATCH("标准值",坦克部件!#REF!,0),FALSE)+VLOOKUP($AN172,坦克部件!#REF!,MATCH("标准值",坦克部件!#REF!,0),FALSE))*2</f>
        <v>#REF!</v>
      </c>
      <c r="AV172" s="372" t="e">
        <f ca="1">(VLOOKUP($AM172,坦克部件!#REF!,MATCH("标准值",坦克部件!#REF!,0),FALSE)+VLOOKUP($AN172,坦克部件!#REF!,MATCH("标准值",坦克部件!#REF!,0),FALSE))*2</f>
        <v>#REF!</v>
      </c>
      <c r="AW172" s="372" t="e">
        <f ca="1">(VLOOKUP($AM172,坦克部件!#REF!,MATCH("标准值",坦克部件!#REF!,0),FALSE)+VLOOKUP($AN172,坦克部件!#REF!,MATCH("标准值",坦克部件!#REF!,0),FALSE))*2</f>
        <v>#REF!</v>
      </c>
      <c r="AX172" s="372" t="e">
        <f ca="1">VLOOKUP($AK172,坦克属性统计!$B$3:$AY$33,MATCH(AX$3,坦克属性统计!$B$3:$AY$3,0),FALSE)</f>
        <v>#REF!</v>
      </c>
      <c r="AY172" s="372" t="e">
        <f t="shared" ca="1" si="118"/>
        <v>#REF!</v>
      </c>
      <c r="AZ172" s="372" t="e">
        <f t="shared" ca="1" si="118"/>
        <v>#REF!</v>
      </c>
      <c r="BA172" s="372" t="e">
        <f t="shared" ca="1" si="118"/>
        <v>#REF!</v>
      </c>
      <c r="BB172" s="356" t="e">
        <f t="shared" ca="1" si="98"/>
        <v>#REF!</v>
      </c>
      <c r="BC172" s="356" t="e">
        <f ca="1">VLOOKUP(AK172,坦克个性化设定!$B$18:$E$48,4,FALSE)</f>
        <v>#REF!</v>
      </c>
      <c r="BD172" s="357" t="e">
        <f t="shared" ca="1" si="105"/>
        <v>#REF!</v>
      </c>
      <c r="BF172" s="357" t="str">
        <f t="shared" ca="1" si="99"/>
        <v/>
      </c>
      <c r="BG172" s="372" t="str">
        <f ca="1">IFERROR(VLOOKUP(BF172,坦克个性化设定!$B$18:$F$48,5,FALSE),"")</f>
        <v/>
      </c>
      <c r="BH172" s="372" t="e">
        <f t="shared" ca="1" si="106"/>
        <v>#REF!</v>
      </c>
      <c r="BI172" s="372" t="e">
        <f t="shared" ca="1" si="107"/>
        <v>#REF!</v>
      </c>
      <c r="BJ172" s="364" t="str">
        <f t="shared" ca="1" si="100"/>
        <v>NULL</v>
      </c>
      <c r="BK172" s="372" t="e">
        <f ca="1">VLOOKUP($BF172&amp;IF($BJ172="NULL",0,$BJ172),所有坦克升星属性,MATCH(BK$3,所有坦克升星属性标头,0),FALSE)+ROUND(BP172/VLOOKUP($BF172,坦克部件!#REF!,4,FALSE)*VLOOKUP($BF172&amp;0,所有坦克升星属性,MATCH(BK$3,所有坦克升星属性标头,0),FALSE),0)</f>
        <v>#N/A</v>
      </c>
      <c r="BL172" s="372" t="e">
        <f ca="1">VLOOKUP($BF172&amp;IF($BJ172="NULL",0,$BJ172),所有坦克升星属性,MATCH(BL$3,所有坦克升星属性标头,0),FALSE)+ROUND(BQ172/VLOOKUP($BF172,坦克部件!#REF!,4,FALSE)*VLOOKUP($BF172&amp;0,所有坦克升星属性,MATCH(BL$3,所有坦克升星属性标头,0),FALSE),0)</f>
        <v>#N/A</v>
      </c>
      <c r="BM172" s="372" t="e">
        <f t="shared" ca="1" si="119"/>
        <v>#N/A</v>
      </c>
      <c r="BN172" s="372" t="e">
        <f t="shared" ca="1" si="119"/>
        <v>#N/A</v>
      </c>
      <c r="BO172" s="372" t="e">
        <f ca="1">VLOOKUP($BF172&amp;IF($BJ172="NULL",0,$BJ172),所有坦克升星属性,MATCH(BO$3,所有坦克升星属性标头,0),FALSE)+ROUND(BR172/VLOOKUP($BF172,坦克部件!#REF!,4,FALSE)*VLOOKUP($BF172&amp;0,所有坦克升星属性,MATCH(BO$3,所有坦克升星属性标头,0),FALSE),0)</f>
        <v>#N/A</v>
      </c>
      <c r="BP172" s="372" t="e">
        <f ca="1">(VLOOKUP($BH172,坦克部件!#REF!,MATCH("标准值",坦克部件!#REF!,0),FALSE)+VLOOKUP($BI172,坦克部件!#REF!,MATCH("标准值",坦克部件!#REF!,0),FALSE))*2</f>
        <v>#REF!</v>
      </c>
      <c r="BQ172" s="372" t="e">
        <f ca="1">(VLOOKUP($BH172,坦克部件!#REF!,MATCH("标准值",坦克部件!#REF!,0),FALSE)+VLOOKUP($BI172,坦克部件!#REF!,MATCH("标准值",坦克部件!#REF!,0),FALSE))*2</f>
        <v>#REF!</v>
      </c>
      <c r="BR172" s="372" t="e">
        <f ca="1">(VLOOKUP($BH172,坦克部件!#REF!,MATCH("标准值",坦克部件!#REF!,0),FALSE)+VLOOKUP($BI172,坦克部件!#REF!,MATCH("标准值",坦克部件!#REF!,0),FALSE))*2</f>
        <v>#REF!</v>
      </c>
      <c r="BS172" s="372" t="e">
        <f ca="1">VLOOKUP($BF172,坦克属性统计!$B$3:$AY$33,MATCH(BS$3,坦克属性统计!$B$3:$AY$3,0),FALSE)</f>
        <v>#N/A</v>
      </c>
      <c r="BT172" s="372" t="e">
        <f t="shared" ca="1" si="120"/>
        <v>#N/A</v>
      </c>
      <c r="BU172" s="372" t="e">
        <f t="shared" ca="1" si="120"/>
        <v>#N/A</v>
      </c>
      <c r="BV172" s="372" t="e">
        <f t="shared" ca="1" si="120"/>
        <v>#N/A</v>
      </c>
      <c r="BW172" s="356">
        <f t="shared" ca="1" si="101"/>
        <v>0</v>
      </c>
      <c r="BX172" s="356" t="e">
        <f ca="1">VLOOKUP(BF172,坦克个性化设定!$B$18:$E$48,4,FALSE)</f>
        <v>#N/A</v>
      </c>
      <c r="BY172" s="357" t="e">
        <f t="shared" ca="1" si="108"/>
        <v>#N/A</v>
      </c>
    </row>
    <row r="173" spans="15:77" x14ac:dyDescent="0.35">
      <c r="O173" s="365">
        <v>170</v>
      </c>
      <c r="P173" s="360" t="e">
        <f t="shared" ca="1" si="115"/>
        <v>#REF!</v>
      </c>
      <c r="Q173" s="360" t="e">
        <f ca="1">ROUND(MIN((BD173-VLOOKUP(R173,$B$22:$F$46,2,FALSE))/(VLOOKUP(R173,$B$22:$F$46,3,FALSE)-VLOOKUP(R173,$B$22:$F$46,2,FALSE)),1)*((VLOOKUP(R173,$B$22:$F$46,4,FALSE)*(AG173/(AG173+VLOOKUP(P173,$D$49:$F$123,3,TRUE)))+VLOOKUP(R173,$B$22:$F$46,5,FALSE)*(1-AG173/(AG173+VLOOKUP(P173,$D$49:$F$123,3,TRUE))))/2)*游戏时长规划!$C$4,0)</f>
        <v>#REF!</v>
      </c>
      <c r="R173" s="360" t="e">
        <f t="shared" ca="1" si="88"/>
        <v>#REF!</v>
      </c>
      <c r="S173" s="360" t="e">
        <f t="shared" ca="1" si="109"/>
        <v>#REF!</v>
      </c>
      <c r="T173" s="360" t="e">
        <f t="shared" ca="1" si="116"/>
        <v>#REF!</v>
      </c>
      <c r="U173" s="370" t="e">
        <f t="shared" ca="1" si="89"/>
        <v>#REF!</v>
      </c>
      <c r="V173" s="363" t="e">
        <f t="shared" ca="1" si="110"/>
        <v>#REF!</v>
      </c>
      <c r="W173" s="360" t="e">
        <f t="shared" ca="1" si="90"/>
        <v>#REF!</v>
      </c>
      <c r="X173" s="81" t="e">
        <f t="shared" ca="1" si="102"/>
        <v>#REF!</v>
      </c>
      <c r="Y173" s="360" t="str">
        <f t="shared" ca="1" si="91"/>
        <v>NULL</v>
      </c>
      <c r="Z173" s="375" t="e">
        <f t="shared" ca="1" si="103"/>
        <v>#REF!</v>
      </c>
      <c r="AA173" s="360">
        <f ca="1">IFERROR(VLOOKUP(IF(V173="T1低",游戏时长规划!$C$67+Z173,Z173),INDIRECT(V173&amp;"星级"),2,TRUE),0)</f>
        <v>0</v>
      </c>
      <c r="AB173" s="375" t="e">
        <f t="shared" ca="1" si="92"/>
        <v>#REF!</v>
      </c>
      <c r="AC173" s="375">
        <f ca="1">($D$14+$D$17)*$L$4/坦克部件养成!$C$2+AC172-IFERROR(IF(RIGHT(AD172,3)*1&gt;RIGHT(VLOOKUP(AC172,INDIRECT(LEFT(AD171,2)&amp;"部件升阶"),5,TRUE),3)*1,VLOOKUP(AD171,INDIRECT(LEFT(AD171,2)&amp;"部件升阶消耗"),2,FALSE),0),0)</f>
        <v>2011.6666666666617</v>
      </c>
      <c r="AD173" s="360" t="e">
        <f t="shared" ca="1" si="93"/>
        <v>#REF!</v>
      </c>
      <c r="AE173" s="375" t="e">
        <f ca="1">$D$15*$L$4/坦克部件养成!$C$2+AE172-IF(LEFT(AD173,2)&lt;&gt;LEFT(AD172,2),VLOOKUP(AF172,INDIRECT(LEFT(AD172,2)&amp;"部件升级消耗"),5,FALSE),0)</f>
        <v>#REF!</v>
      </c>
      <c r="AF173" s="360" t="e">
        <f ca="1">MIN(VLOOKUP(AE173,INDIRECT(LEFT(AD173,2)&amp;"部件升级"),2,TRUE),VLOOKUP(LEFT(AD173,2),坦克部件养成!#REF!,6,FALSE))</f>
        <v>#REF!</v>
      </c>
      <c r="AG173" s="378" t="e">
        <f ca="1">MAX(BD$4:BD173)</f>
        <v>#REF!</v>
      </c>
      <c r="AH173" s="378" t="str">
        <f t="shared" ca="1" si="94"/>
        <v/>
      </c>
      <c r="AI173" s="378">
        <f ca="1">IF(Y173="NULL",0,MAX(BY$4:BY173))</f>
        <v>0</v>
      </c>
      <c r="AK173" s="364" t="e">
        <f t="shared" ca="1" si="95"/>
        <v>#REF!</v>
      </c>
      <c r="AL173" s="364" t="e">
        <f ca="1">VLOOKUP(AK173,坦克个性化设定!$B$18:$F$48,5,FALSE)</f>
        <v>#REF!</v>
      </c>
      <c r="AM173" s="372" t="e">
        <f t="shared" ca="1" si="96"/>
        <v>#REF!</v>
      </c>
      <c r="AN173" s="372" t="e">
        <f t="shared" ca="1" si="104"/>
        <v>#REF!</v>
      </c>
      <c r="AO173" s="364">
        <f t="shared" ca="1" si="97"/>
        <v>0</v>
      </c>
      <c r="AP173" s="372" t="e">
        <f ca="1">VLOOKUP($AK173&amp;$AO173,所有坦克升星属性,MATCH(AP$3,所有坦克升星属性标头,0),FALSE)+ROUND(AU173/VLOOKUP($AK173,坦克部件!#REF!,4,FALSE)*VLOOKUP($AK173&amp;0,所有坦克升星属性,MATCH(AP$3,所有坦克升星属性标头,0),FALSE),0)</f>
        <v>#REF!</v>
      </c>
      <c r="AQ173" s="372" t="e">
        <f ca="1">VLOOKUP($AK173&amp;$AO173,所有坦克升星属性,MATCH(AQ$3,所有坦克升星属性标头,0),FALSE)+ROUND(AV173/VLOOKUP($AK173,坦克部件!#REF!,4,FALSE)*VLOOKUP($AK173&amp;0,所有坦克升星属性,MATCH(AQ$3,所有坦克升星属性标头,0),FALSE),0)</f>
        <v>#REF!</v>
      </c>
      <c r="AR173" s="372" t="e">
        <f t="shared" ca="1" si="117"/>
        <v>#REF!</v>
      </c>
      <c r="AS173" s="372" t="e">
        <f t="shared" ca="1" si="117"/>
        <v>#REF!</v>
      </c>
      <c r="AT173" s="372" t="e">
        <f ca="1">VLOOKUP($AK173&amp;$AO173,所有坦克升星属性,MATCH(AT$3,所有坦克升星属性标头,0),FALSE)+ROUND(AW173/VLOOKUP($AK173,坦克部件!#REF!,4,FALSE)*VLOOKUP($AK173&amp;0,所有坦克升星属性,MATCH(AT$3,所有坦克升星属性标头,0),FALSE),0)</f>
        <v>#REF!</v>
      </c>
      <c r="AU173" s="372" t="e">
        <f ca="1">(VLOOKUP($AM173,坦克部件!#REF!,MATCH("标准值",坦克部件!#REF!,0),FALSE)+VLOOKUP($AN173,坦克部件!#REF!,MATCH("标准值",坦克部件!#REF!,0),FALSE))*2</f>
        <v>#REF!</v>
      </c>
      <c r="AV173" s="372" t="e">
        <f ca="1">(VLOOKUP($AM173,坦克部件!#REF!,MATCH("标准值",坦克部件!#REF!,0),FALSE)+VLOOKUP($AN173,坦克部件!#REF!,MATCH("标准值",坦克部件!#REF!,0),FALSE))*2</f>
        <v>#REF!</v>
      </c>
      <c r="AW173" s="372" t="e">
        <f ca="1">(VLOOKUP($AM173,坦克部件!#REF!,MATCH("标准值",坦克部件!#REF!,0),FALSE)+VLOOKUP($AN173,坦克部件!#REF!,MATCH("标准值",坦克部件!#REF!,0),FALSE))*2</f>
        <v>#REF!</v>
      </c>
      <c r="AX173" s="372" t="e">
        <f ca="1">VLOOKUP($AK173,坦克属性统计!$B$3:$AY$33,MATCH(AX$3,坦克属性统计!$B$3:$AY$3,0),FALSE)</f>
        <v>#REF!</v>
      </c>
      <c r="AY173" s="372" t="e">
        <f t="shared" ca="1" si="118"/>
        <v>#REF!</v>
      </c>
      <c r="AZ173" s="372" t="e">
        <f t="shared" ca="1" si="118"/>
        <v>#REF!</v>
      </c>
      <c r="BA173" s="372" t="e">
        <f t="shared" ca="1" si="118"/>
        <v>#REF!</v>
      </c>
      <c r="BB173" s="356" t="e">
        <f t="shared" ca="1" si="98"/>
        <v>#REF!</v>
      </c>
      <c r="BC173" s="356" t="e">
        <f ca="1">VLOOKUP(AK173,坦克个性化设定!$B$18:$E$48,4,FALSE)</f>
        <v>#REF!</v>
      </c>
      <c r="BD173" s="357" t="e">
        <f t="shared" ca="1" si="105"/>
        <v>#REF!</v>
      </c>
      <c r="BF173" s="357" t="str">
        <f t="shared" ca="1" si="99"/>
        <v/>
      </c>
      <c r="BG173" s="372" t="str">
        <f ca="1">IFERROR(VLOOKUP(BF173,坦克个性化设定!$B$18:$F$48,5,FALSE),"")</f>
        <v/>
      </c>
      <c r="BH173" s="372" t="e">
        <f t="shared" ca="1" si="106"/>
        <v>#REF!</v>
      </c>
      <c r="BI173" s="372" t="e">
        <f t="shared" ca="1" si="107"/>
        <v>#REF!</v>
      </c>
      <c r="BJ173" s="364" t="str">
        <f t="shared" ca="1" si="100"/>
        <v>NULL</v>
      </c>
      <c r="BK173" s="372" t="e">
        <f ca="1">VLOOKUP($BF173&amp;IF($BJ173="NULL",0,$BJ173),所有坦克升星属性,MATCH(BK$3,所有坦克升星属性标头,0),FALSE)+ROUND(BP173/VLOOKUP($BF173,坦克部件!#REF!,4,FALSE)*VLOOKUP($BF173&amp;0,所有坦克升星属性,MATCH(BK$3,所有坦克升星属性标头,0),FALSE),0)</f>
        <v>#N/A</v>
      </c>
      <c r="BL173" s="372" t="e">
        <f ca="1">VLOOKUP($BF173&amp;IF($BJ173="NULL",0,$BJ173),所有坦克升星属性,MATCH(BL$3,所有坦克升星属性标头,0),FALSE)+ROUND(BQ173/VLOOKUP($BF173,坦克部件!#REF!,4,FALSE)*VLOOKUP($BF173&amp;0,所有坦克升星属性,MATCH(BL$3,所有坦克升星属性标头,0),FALSE),0)</f>
        <v>#N/A</v>
      </c>
      <c r="BM173" s="372" t="e">
        <f t="shared" ca="1" si="119"/>
        <v>#N/A</v>
      </c>
      <c r="BN173" s="372" t="e">
        <f t="shared" ca="1" si="119"/>
        <v>#N/A</v>
      </c>
      <c r="BO173" s="372" t="e">
        <f ca="1">VLOOKUP($BF173&amp;IF($BJ173="NULL",0,$BJ173),所有坦克升星属性,MATCH(BO$3,所有坦克升星属性标头,0),FALSE)+ROUND(BR173/VLOOKUP($BF173,坦克部件!#REF!,4,FALSE)*VLOOKUP($BF173&amp;0,所有坦克升星属性,MATCH(BO$3,所有坦克升星属性标头,0),FALSE),0)</f>
        <v>#N/A</v>
      </c>
      <c r="BP173" s="372" t="e">
        <f ca="1">(VLOOKUP($BH173,坦克部件!#REF!,MATCH("标准值",坦克部件!#REF!,0),FALSE)+VLOOKUP($BI173,坦克部件!#REF!,MATCH("标准值",坦克部件!#REF!,0),FALSE))*2</f>
        <v>#REF!</v>
      </c>
      <c r="BQ173" s="372" t="e">
        <f ca="1">(VLOOKUP($BH173,坦克部件!#REF!,MATCH("标准值",坦克部件!#REF!,0),FALSE)+VLOOKUP($BI173,坦克部件!#REF!,MATCH("标准值",坦克部件!#REF!,0),FALSE))*2</f>
        <v>#REF!</v>
      </c>
      <c r="BR173" s="372" t="e">
        <f ca="1">(VLOOKUP($BH173,坦克部件!#REF!,MATCH("标准值",坦克部件!#REF!,0),FALSE)+VLOOKUP($BI173,坦克部件!#REF!,MATCH("标准值",坦克部件!#REF!,0),FALSE))*2</f>
        <v>#REF!</v>
      </c>
      <c r="BS173" s="372" t="e">
        <f ca="1">VLOOKUP($BF173,坦克属性统计!$B$3:$AY$33,MATCH(BS$3,坦克属性统计!$B$3:$AY$3,0),FALSE)</f>
        <v>#N/A</v>
      </c>
      <c r="BT173" s="372" t="e">
        <f t="shared" ca="1" si="120"/>
        <v>#N/A</v>
      </c>
      <c r="BU173" s="372" t="e">
        <f t="shared" ca="1" si="120"/>
        <v>#N/A</v>
      </c>
      <c r="BV173" s="372" t="e">
        <f t="shared" ca="1" si="120"/>
        <v>#N/A</v>
      </c>
      <c r="BW173" s="356">
        <f t="shared" ca="1" si="101"/>
        <v>0</v>
      </c>
      <c r="BX173" s="356" t="e">
        <f ca="1">VLOOKUP(BF173,坦克个性化设定!$B$18:$E$48,4,FALSE)</f>
        <v>#N/A</v>
      </c>
      <c r="BY173" s="357" t="e">
        <f t="shared" ca="1" si="108"/>
        <v>#N/A</v>
      </c>
    </row>
    <row r="174" spans="15:77" x14ac:dyDescent="0.35">
      <c r="O174" s="365">
        <v>171</v>
      </c>
      <c r="P174" s="360" t="e">
        <f t="shared" ca="1" si="115"/>
        <v>#REF!</v>
      </c>
      <c r="Q174" s="360" t="e">
        <f ca="1">ROUND(MIN((BD174-VLOOKUP(R174,$B$22:$F$46,2,FALSE))/(VLOOKUP(R174,$B$22:$F$46,3,FALSE)-VLOOKUP(R174,$B$22:$F$46,2,FALSE)),1)*((VLOOKUP(R174,$B$22:$F$46,4,FALSE)*(AG174/(AG174+VLOOKUP(P174,$D$49:$F$123,3,TRUE)))+VLOOKUP(R174,$B$22:$F$46,5,FALSE)*(1-AG174/(AG174+VLOOKUP(P174,$D$49:$F$123,3,TRUE))))/2)*游戏时长规划!$C$4,0)</f>
        <v>#REF!</v>
      </c>
      <c r="R174" s="360" t="e">
        <f t="shared" ca="1" si="88"/>
        <v>#REF!</v>
      </c>
      <c r="S174" s="360" t="e">
        <f t="shared" ca="1" si="109"/>
        <v>#REF!</v>
      </c>
      <c r="T174" s="360" t="e">
        <f t="shared" ca="1" si="116"/>
        <v>#REF!</v>
      </c>
      <c r="U174" s="370" t="e">
        <f t="shared" ca="1" si="89"/>
        <v>#REF!</v>
      </c>
      <c r="V174" s="363" t="e">
        <f t="shared" ca="1" si="110"/>
        <v>#REF!</v>
      </c>
      <c r="W174" s="360" t="e">
        <f t="shared" ca="1" si="90"/>
        <v>#REF!</v>
      </c>
      <c r="X174" s="81" t="e">
        <f t="shared" ca="1" si="102"/>
        <v>#REF!</v>
      </c>
      <c r="Y174" s="360" t="str">
        <f t="shared" ca="1" si="91"/>
        <v>NULL</v>
      </c>
      <c r="Z174" s="375" t="e">
        <f t="shared" ca="1" si="103"/>
        <v>#REF!</v>
      </c>
      <c r="AA174" s="360">
        <f ca="1">IFERROR(VLOOKUP(IF(V174="T1低",游戏时长规划!$C$67+Z174,Z174),INDIRECT(V174&amp;"星级"),2,TRUE),0)</f>
        <v>0</v>
      </c>
      <c r="AB174" s="375" t="e">
        <f t="shared" ca="1" si="92"/>
        <v>#REF!</v>
      </c>
      <c r="AC174" s="375">
        <f ca="1">($D$14+$D$17)*$L$4/坦克部件养成!$C$2+AC173-IFERROR(IF(RIGHT(AD173,3)*1&gt;RIGHT(VLOOKUP(AC173,INDIRECT(LEFT(AD172,2)&amp;"部件升阶"),5,TRUE),3)*1,VLOOKUP(AD172,INDIRECT(LEFT(AD172,2)&amp;"部件升阶消耗"),2,FALSE),0),0)</f>
        <v>2023.499999999995</v>
      </c>
      <c r="AD174" s="360" t="e">
        <f t="shared" ca="1" si="93"/>
        <v>#REF!</v>
      </c>
      <c r="AE174" s="375" t="e">
        <f ca="1">$D$15*$L$4/坦克部件养成!$C$2+AE173-IF(LEFT(AD174,2)&lt;&gt;LEFT(AD173,2),VLOOKUP(AF173,INDIRECT(LEFT(AD173,2)&amp;"部件升级消耗"),5,FALSE),0)</f>
        <v>#REF!</v>
      </c>
      <c r="AF174" s="360" t="e">
        <f ca="1">MIN(VLOOKUP(AE174,INDIRECT(LEFT(AD174,2)&amp;"部件升级"),2,TRUE),VLOOKUP(LEFT(AD174,2),坦克部件养成!#REF!,6,FALSE))</f>
        <v>#REF!</v>
      </c>
      <c r="AG174" s="378" t="e">
        <f ca="1">MAX(BD$4:BD174)</f>
        <v>#REF!</v>
      </c>
      <c r="AH174" s="378" t="str">
        <f t="shared" ca="1" si="94"/>
        <v/>
      </c>
      <c r="AI174" s="378">
        <f ca="1">IF(Y174="NULL",0,MAX(BY$4:BY174))</f>
        <v>0</v>
      </c>
      <c r="AK174" s="364" t="e">
        <f t="shared" ca="1" si="95"/>
        <v>#REF!</v>
      </c>
      <c r="AL174" s="364" t="e">
        <f ca="1">VLOOKUP(AK174,坦克个性化设定!$B$18:$F$48,5,FALSE)</f>
        <v>#REF!</v>
      </c>
      <c r="AM174" s="372" t="e">
        <f t="shared" ca="1" si="96"/>
        <v>#REF!</v>
      </c>
      <c r="AN174" s="372" t="e">
        <f t="shared" ca="1" si="104"/>
        <v>#REF!</v>
      </c>
      <c r="AO174" s="364">
        <f t="shared" ca="1" si="97"/>
        <v>0</v>
      </c>
      <c r="AP174" s="372" t="e">
        <f ca="1">VLOOKUP($AK174&amp;$AO174,所有坦克升星属性,MATCH(AP$3,所有坦克升星属性标头,0),FALSE)+ROUND(AU174/VLOOKUP($AK174,坦克部件!#REF!,4,FALSE)*VLOOKUP($AK174&amp;0,所有坦克升星属性,MATCH(AP$3,所有坦克升星属性标头,0),FALSE),0)</f>
        <v>#REF!</v>
      </c>
      <c r="AQ174" s="372" t="e">
        <f ca="1">VLOOKUP($AK174&amp;$AO174,所有坦克升星属性,MATCH(AQ$3,所有坦克升星属性标头,0),FALSE)+ROUND(AV174/VLOOKUP($AK174,坦克部件!#REF!,4,FALSE)*VLOOKUP($AK174&amp;0,所有坦克升星属性,MATCH(AQ$3,所有坦克升星属性标头,0),FALSE),0)</f>
        <v>#REF!</v>
      </c>
      <c r="AR174" s="372" t="e">
        <f t="shared" ca="1" si="117"/>
        <v>#REF!</v>
      </c>
      <c r="AS174" s="372" t="e">
        <f t="shared" ca="1" si="117"/>
        <v>#REF!</v>
      </c>
      <c r="AT174" s="372" t="e">
        <f ca="1">VLOOKUP($AK174&amp;$AO174,所有坦克升星属性,MATCH(AT$3,所有坦克升星属性标头,0),FALSE)+ROUND(AW174/VLOOKUP($AK174,坦克部件!#REF!,4,FALSE)*VLOOKUP($AK174&amp;0,所有坦克升星属性,MATCH(AT$3,所有坦克升星属性标头,0),FALSE),0)</f>
        <v>#REF!</v>
      </c>
      <c r="AU174" s="372" t="e">
        <f ca="1">(VLOOKUP($AM174,坦克部件!#REF!,MATCH("标准值",坦克部件!#REF!,0),FALSE)+VLOOKUP($AN174,坦克部件!#REF!,MATCH("标准值",坦克部件!#REF!,0),FALSE))*2</f>
        <v>#REF!</v>
      </c>
      <c r="AV174" s="372" t="e">
        <f ca="1">(VLOOKUP($AM174,坦克部件!#REF!,MATCH("标准值",坦克部件!#REF!,0),FALSE)+VLOOKUP($AN174,坦克部件!#REF!,MATCH("标准值",坦克部件!#REF!,0),FALSE))*2</f>
        <v>#REF!</v>
      </c>
      <c r="AW174" s="372" t="e">
        <f ca="1">(VLOOKUP($AM174,坦克部件!#REF!,MATCH("标准值",坦克部件!#REF!,0),FALSE)+VLOOKUP($AN174,坦克部件!#REF!,MATCH("标准值",坦克部件!#REF!,0),FALSE))*2</f>
        <v>#REF!</v>
      </c>
      <c r="AX174" s="372" t="e">
        <f ca="1">VLOOKUP($AK174,坦克属性统计!$B$3:$AY$33,MATCH(AX$3,坦克属性统计!$B$3:$AY$3,0),FALSE)</f>
        <v>#REF!</v>
      </c>
      <c r="AY174" s="372" t="e">
        <f t="shared" ca="1" si="118"/>
        <v>#REF!</v>
      </c>
      <c r="AZ174" s="372" t="e">
        <f t="shared" ca="1" si="118"/>
        <v>#REF!</v>
      </c>
      <c r="BA174" s="372" t="e">
        <f t="shared" ca="1" si="118"/>
        <v>#REF!</v>
      </c>
      <c r="BB174" s="356" t="e">
        <f t="shared" ca="1" si="98"/>
        <v>#REF!</v>
      </c>
      <c r="BC174" s="356" t="e">
        <f ca="1">VLOOKUP(AK174,坦克个性化设定!$B$18:$E$48,4,FALSE)</f>
        <v>#REF!</v>
      </c>
      <c r="BD174" s="357" t="e">
        <f t="shared" ca="1" si="105"/>
        <v>#REF!</v>
      </c>
      <c r="BF174" s="357" t="str">
        <f t="shared" ca="1" si="99"/>
        <v/>
      </c>
      <c r="BG174" s="372" t="str">
        <f ca="1">IFERROR(VLOOKUP(BF174,坦克个性化设定!$B$18:$F$48,5,FALSE),"")</f>
        <v/>
      </c>
      <c r="BH174" s="372" t="e">
        <f t="shared" ca="1" si="106"/>
        <v>#REF!</v>
      </c>
      <c r="BI174" s="372" t="e">
        <f t="shared" ca="1" si="107"/>
        <v>#REF!</v>
      </c>
      <c r="BJ174" s="364" t="str">
        <f t="shared" ca="1" si="100"/>
        <v>NULL</v>
      </c>
      <c r="BK174" s="372" t="e">
        <f ca="1">VLOOKUP($BF174&amp;IF($BJ174="NULL",0,$BJ174),所有坦克升星属性,MATCH(BK$3,所有坦克升星属性标头,0),FALSE)+ROUND(BP174/VLOOKUP($BF174,坦克部件!#REF!,4,FALSE)*VLOOKUP($BF174&amp;0,所有坦克升星属性,MATCH(BK$3,所有坦克升星属性标头,0),FALSE),0)</f>
        <v>#N/A</v>
      </c>
      <c r="BL174" s="372" t="e">
        <f ca="1">VLOOKUP($BF174&amp;IF($BJ174="NULL",0,$BJ174),所有坦克升星属性,MATCH(BL$3,所有坦克升星属性标头,0),FALSE)+ROUND(BQ174/VLOOKUP($BF174,坦克部件!#REF!,4,FALSE)*VLOOKUP($BF174&amp;0,所有坦克升星属性,MATCH(BL$3,所有坦克升星属性标头,0),FALSE),0)</f>
        <v>#N/A</v>
      </c>
      <c r="BM174" s="372" t="e">
        <f t="shared" ca="1" si="119"/>
        <v>#N/A</v>
      </c>
      <c r="BN174" s="372" t="e">
        <f t="shared" ca="1" si="119"/>
        <v>#N/A</v>
      </c>
      <c r="BO174" s="372" t="e">
        <f ca="1">VLOOKUP($BF174&amp;IF($BJ174="NULL",0,$BJ174),所有坦克升星属性,MATCH(BO$3,所有坦克升星属性标头,0),FALSE)+ROUND(BR174/VLOOKUP($BF174,坦克部件!#REF!,4,FALSE)*VLOOKUP($BF174&amp;0,所有坦克升星属性,MATCH(BO$3,所有坦克升星属性标头,0),FALSE),0)</f>
        <v>#N/A</v>
      </c>
      <c r="BP174" s="372" t="e">
        <f ca="1">(VLOOKUP($BH174,坦克部件!#REF!,MATCH("标准值",坦克部件!#REF!,0),FALSE)+VLOOKUP($BI174,坦克部件!#REF!,MATCH("标准值",坦克部件!#REF!,0),FALSE))*2</f>
        <v>#REF!</v>
      </c>
      <c r="BQ174" s="372" t="e">
        <f ca="1">(VLOOKUP($BH174,坦克部件!#REF!,MATCH("标准值",坦克部件!#REF!,0),FALSE)+VLOOKUP($BI174,坦克部件!#REF!,MATCH("标准值",坦克部件!#REF!,0),FALSE))*2</f>
        <v>#REF!</v>
      </c>
      <c r="BR174" s="372" t="e">
        <f ca="1">(VLOOKUP($BH174,坦克部件!#REF!,MATCH("标准值",坦克部件!#REF!,0),FALSE)+VLOOKUP($BI174,坦克部件!#REF!,MATCH("标准值",坦克部件!#REF!,0),FALSE))*2</f>
        <v>#REF!</v>
      </c>
      <c r="BS174" s="372" t="e">
        <f ca="1">VLOOKUP($BF174,坦克属性统计!$B$3:$AY$33,MATCH(BS$3,坦克属性统计!$B$3:$AY$3,0),FALSE)</f>
        <v>#N/A</v>
      </c>
      <c r="BT174" s="372" t="e">
        <f t="shared" ca="1" si="120"/>
        <v>#N/A</v>
      </c>
      <c r="BU174" s="372" t="e">
        <f t="shared" ca="1" si="120"/>
        <v>#N/A</v>
      </c>
      <c r="BV174" s="372" t="e">
        <f t="shared" ca="1" si="120"/>
        <v>#N/A</v>
      </c>
      <c r="BW174" s="356">
        <f t="shared" ca="1" si="101"/>
        <v>0</v>
      </c>
      <c r="BX174" s="356" t="e">
        <f ca="1">VLOOKUP(BF174,坦克个性化设定!$B$18:$E$48,4,FALSE)</f>
        <v>#N/A</v>
      </c>
      <c r="BY174" s="357" t="e">
        <f t="shared" ca="1" si="108"/>
        <v>#N/A</v>
      </c>
    </row>
    <row r="175" spans="15:77" x14ac:dyDescent="0.35">
      <c r="O175" s="365">
        <v>172</v>
      </c>
      <c r="P175" s="360" t="e">
        <f t="shared" ca="1" si="115"/>
        <v>#REF!</v>
      </c>
      <c r="Q175" s="360" t="e">
        <f ca="1">ROUND(MIN((BD175-VLOOKUP(R175,$B$22:$F$46,2,FALSE))/(VLOOKUP(R175,$B$22:$F$46,3,FALSE)-VLOOKUP(R175,$B$22:$F$46,2,FALSE)),1)*((VLOOKUP(R175,$B$22:$F$46,4,FALSE)*(AG175/(AG175+VLOOKUP(P175,$D$49:$F$123,3,TRUE)))+VLOOKUP(R175,$B$22:$F$46,5,FALSE)*(1-AG175/(AG175+VLOOKUP(P175,$D$49:$F$123,3,TRUE))))/2)*游戏时长规划!$C$4,0)</f>
        <v>#REF!</v>
      </c>
      <c r="R175" s="360" t="e">
        <f t="shared" ca="1" si="88"/>
        <v>#REF!</v>
      </c>
      <c r="S175" s="360" t="e">
        <f t="shared" ca="1" si="109"/>
        <v>#REF!</v>
      </c>
      <c r="T175" s="360" t="e">
        <f t="shared" ca="1" si="116"/>
        <v>#REF!</v>
      </c>
      <c r="U175" s="370" t="e">
        <f t="shared" ca="1" si="89"/>
        <v>#REF!</v>
      </c>
      <c r="V175" s="363" t="e">
        <f t="shared" ca="1" si="110"/>
        <v>#REF!</v>
      </c>
      <c r="W175" s="360" t="e">
        <f t="shared" ca="1" si="90"/>
        <v>#REF!</v>
      </c>
      <c r="X175" s="81" t="e">
        <f t="shared" ca="1" si="102"/>
        <v>#REF!</v>
      </c>
      <c r="Y175" s="360" t="str">
        <f t="shared" ca="1" si="91"/>
        <v>NULL</v>
      </c>
      <c r="Z175" s="375" t="e">
        <f t="shared" ca="1" si="103"/>
        <v>#REF!</v>
      </c>
      <c r="AA175" s="360">
        <f ca="1">IFERROR(VLOOKUP(IF(V175="T1低",游戏时长规划!$C$67+Z175,Z175),INDIRECT(V175&amp;"星级"),2,TRUE),0)</f>
        <v>0</v>
      </c>
      <c r="AB175" s="375" t="e">
        <f t="shared" ca="1" si="92"/>
        <v>#REF!</v>
      </c>
      <c r="AC175" s="375">
        <f ca="1">($D$14+$D$17)*$L$4/坦克部件养成!$C$2+AC174-IFERROR(IF(RIGHT(AD174,3)*1&gt;RIGHT(VLOOKUP(AC174,INDIRECT(LEFT(AD173,2)&amp;"部件升阶"),5,TRUE),3)*1,VLOOKUP(AD173,INDIRECT(LEFT(AD173,2)&amp;"部件升阶消耗"),2,FALSE),0),0)</f>
        <v>2035.3333333333283</v>
      </c>
      <c r="AD175" s="360" t="e">
        <f t="shared" ca="1" si="93"/>
        <v>#REF!</v>
      </c>
      <c r="AE175" s="375" t="e">
        <f ca="1">$D$15*$L$4/坦克部件养成!$C$2+AE174-IF(LEFT(AD175,2)&lt;&gt;LEFT(AD174,2),VLOOKUP(AF174,INDIRECT(LEFT(AD174,2)&amp;"部件升级消耗"),5,FALSE),0)</f>
        <v>#REF!</v>
      </c>
      <c r="AF175" s="360" t="e">
        <f ca="1">MIN(VLOOKUP(AE175,INDIRECT(LEFT(AD175,2)&amp;"部件升级"),2,TRUE),VLOOKUP(LEFT(AD175,2),坦克部件养成!#REF!,6,FALSE))</f>
        <v>#REF!</v>
      </c>
      <c r="AG175" s="378" t="e">
        <f ca="1">MAX(BD$4:BD175)</f>
        <v>#REF!</v>
      </c>
      <c r="AH175" s="378" t="str">
        <f t="shared" ca="1" si="94"/>
        <v/>
      </c>
      <c r="AI175" s="378">
        <f ca="1">IF(Y175="NULL",0,MAX(BY$4:BY175))</f>
        <v>0</v>
      </c>
      <c r="AK175" s="364" t="e">
        <f t="shared" ca="1" si="95"/>
        <v>#REF!</v>
      </c>
      <c r="AL175" s="364" t="e">
        <f ca="1">VLOOKUP(AK175,坦克个性化设定!$B$18:$F$48,5,FALSE)</f>
        <v>#REF!</v>
      </c>
      <c r="AM175" s="372" t="e">
        <f t="shared" ca="1" si="96"/>
        <v>#REF!</v>
      </c>
      <c r="AN175" s="372" t="e">
        <f t="shared" ca="1" si="104"/>
        <v>#REF!</v>
      </c>
      <c r="AO175" s="364">
        <f t="shared" ca="1" si="97"/>
        <v>0</v>
      </c>
      <c r="AP175" s="372" t="e">
        <f ca="1">VLOOKUP($AK175&amp;$AO175,所有坦克升星属性,MATCH(AP$3,所有坦克升星属性标头,0),FALSE)+ROUND(AU175/VLOOKUP($AK175,坦克部件!#REF!,4,FALSE)*VLOOKUP($AK175&amp;0,所有坦克升星属性,MATCH(AP$3,所有坦克升星属性标头,0),FALSE),0)</f>
        <v>#REF!</v>
      </c>
      <c r="AQ175" s="372" t="e">
        <f ca="1">VLOOKUP($AK175&amp;$AO175,所有坦克升星属性,MATCH(AQ$3,所有坦克升星属性标头,0),FALSE)+ROUND(AV175/VLOOKUP($AK175,坦克部件!#REF!,4,FALSE)*VLOOKUP($AK175&amp;0,所有坦克升星属性,MATCH(AQ$3,所有坦克升星属性标头,0),FALSE),0)</f>
        <v>#REF!</v>
      </c>
      <c r="AR175" s="372" t="e">
        <f t="shared" ca="1" si="117"/>
        <v>#REF!</v>
      </c>
      <c r="AS175" s="372" t="e">
        <f t="shared" ca="1" si="117"/>
        <v>#REF!</v>
      </c>
      <c r="AT175" s="372" t="e">
        <f ca="1">VLOOKUP($AK175&amp;$AO175,所有坦克升星属性,MATCH(AT$3,所有坦克升星属性标头,0),FALSE)+ROUND(AW175/VLOOKUP($AK175,坦克部件!#REF!,4,FALSE)*VLOOKUP($AK175&amp;0,所有坦克升星属性,MATCH(AT$3,所有坦克升星属性标头,0),FALSE),0)</f>
        <v>#REF!</v>
      </c>
      <c r="AU175" s="372" t="e">
        <f ca="1">(VLOOKUP($AM175,坦克部件!#REF!,MATCH("标准值",坦克部件!#REF!,0),FALSE)+VLOOKUP($AN175,坦克部件!#REF!,MATCH("标准值",坦克部件!#REF!,0),FALSE))*2</f>
        <v>#REF!</v>
      </c>
      <c r="AV175" s="372" t="e">
        <f ca="1">(VLOOKUP($AM175,坦克部件!#REF!,MATCH("标准值",坦克部件!#REF!,0),FALSE)+VLOOKUP($AN175,坦克部件!#REF!,MATCH("标准值",坦克部件!#REF!,0),FALSE))*2</f>
        <v>#REF!</v>
      </c>
      <c r="AW175" s="372" t="e">
        <f ca="1">(VLOOKUP($AM175,坦克部件!#REF!,MATCH("标准值",坦克部件!#REF!,0),FALSE)+VLOOKUP($AN175,坦克部件!#REF!,MATCH("标准值",坦克部件!#REF!,0),FALSE))*2</f>
        <v>#REF!</v>
      </c>
      <c r="AX175" s="372" t="e">
        <f ca="1">VLOOKUP($AK175,坦克属性统计!$B$3:$AY$33,MATCH(AX$3,坦克属性统计!$B$3:$AY$3,0),FALSE)</f>
        <v>#REF!</v>
      </c>
      <c r="AY175" s="372" t="e">
        <f t="shared" ca="1" si="118"/>
        <v>#REF!</v>
      </c>
      <c r="AZ175" s="372" t="e">
        <f t="shared" ca="1" si="118"/>
        <v>#REF!</v>
      </c>
      <c r="BA175" s="372" t="e">
        <f t="shared" ca="1" si="118"/>
        <v>#REF!</v>
      </c>
      <c r="BB175" s="356" t="e">
        <f t="shared" ca="1" si="98"/>
        <v>#REF!</v>
      </c>
      <c r="BC175" s="356" t="e">
        <f ca="1">VLOOKUP(AK175,坦克个性化设定!$B$18:$E$48,4,FALSE)</f>
        <v>#REF!</v>
      </c>
      <c r="BD175" s="357" t="e">
        <f t="shared" ca="1" si="105"/>
        <v>#REF!</v>
      </c>
      <c r="BF175" s="357" t="str">
        <f t="shared" ca="1" si="99"/>
        <v/>
      </c>
      <c r="BG175" s="372" t="str">
        <f ca="1">IFERROR(VLOOKUP(BF175,坦克个性化设定!$B$18:$F$48,5,FALSE),"")</f>
        <v/>
      </c>
      <c r="BH175" s="372" t="e">
        <f t="shared" ca="1" si="106"/>
        <v>#REF!</v>
      </c>
      <c r="BI175" s="372" t="e">
        <f t="shared" ca="1" si="107"/>
        <v>#REF!</v>
      </c>
      <c r="BJ175" s="364" t="str">
        <f t="shared" ca="1" si="100"/>
        <v>NULL</v>
      </c>
      <c r="BK175" s="372" t="e">
        <f ca="1">VLOOKUP($BF175&amp;IF($BJ175="NULL",0,$BJ175),所有坦克升星属性,MATCH(BK$3,所有坦克升星属性标头,0),FALSE)+ROUND(BP175/VLOOKUP($BF175,坦克部件!#REF!,4,FALSE)*VLOOKUP($BF175&amp;0,所有坦克升星属性,MATCH(BK$3,所有坦克升星属性标头,0),FALSE),0)</f>
        <v>#N/A</v>
      </c>
      <c r="BL175" s="372" t="e">
        <f ca="1">VLOOKUP($BF175&amp;IF($BJ175="NULL",0,$BJ175),所有坦克升星属性,MATCH(BL$3,所有坦克升星属性标头,0),FALSE)+ROUND(BQ175/VLOOKUP($BF175,坦克部件!#REF!,4,FALSE)*VLOOKUP($BF175&amp;0,所有坦克升星属性,MATCH(BL$3,所有坦克升星属性标头,0),FALSE),0)</f>
        <v>#N/A</v>
      </c>
      <c r="BM175" s="372" t="e">
        <f t="shared" ca="1" si="119"/>
        <v>#N/A</v>
      </c>
      <c r="BN175" s="372" t="e">
        <f t="shared" ca="1" si="119"/>
        <v>#N/A</v>
      </c>
      <c r="BO175" s="372" t="e">
        <f ca="1">VLOOKUP($BF175&amp;IF($BJ175="NULL",0,$BJ175),所有坦克升星属性,MATCH(BO$3,所有坦克升星属性标头,0),FALSE)+ROUND(BR175/VLOOKUP($BF175,坦克部件!#REF!,4,FALSE)*VLOOKUP($BF175&amp;0,所有坦克升星属性,MATCH(BO$3,所有坦克升星属性标头,0),FALSE),0)</f>
        <v>#N/A</v>
      </c>
      <c r="BP175" s="372" t="e">
        <f ca="1">(VLOOKUP($BH175,坦克部件!#REF!,MATCH("标准值",坦克部件!#REF!,0),FALSE)+VLOOKUP($BI175,坦克部件!#REF!,MATCH("标准值",坦克部件!#REF!,0),FALSE))*2</f>
        <v>#REF!</v>
      </c>
      <c r="BQ175" s="372" t="e">
        <f ca="1">(VLOOKUP($BH175,坦克部件!#REF!,MATCH("标准值",坦克部件!#REF!,0),FALSE)+VLOOKUP($BI175,坦克部件!#REF!,MATCH("标准值",坦克部件!#REF!,0),FALSE))*2</f>
        <v>#REF!</v>
      </c>
      <c r="BR175" s="372" t="e">
        <f ca="1">(VLOOKUP($BH175,坦克部件!#REF!,MATCH("标准值",坦克部件!#REF!,0),FALSE)+VLOOKUP($BI175,坦克部件!#REF!,MATCH("标准值",坦克部件!#REF!,0),FALSE))*2</f>
        <v>#REF!</v>
      </c>
      <c r="BS175" s="372" t="e">
        <f ca="1">VLOOKUP($BF175,坦克属性统计!$B$3:$AY$33,MATCH(BS$3,坦克属性统计!$B$3:$AY$3,0),FALSE)</f>
        <v>#N/A</v>
      </c>
      <c r="BT175" s="372" t="e">
        <f t="shared" ca="1" si="120"/>
        <v>#N/A</v>
      </c>
      <c r="BU175" s="372" t="e">
        <f t="shared" ca="1" si="120"/>
        <v>#N/A</v>
      </c>
      <c r="BV175" s="372" t="e">
        <f t="shared" ca="1" si="120"/>
        <v>#N/A</v>
      </c>
      <c r="BW175" s="356">
        <f t="shared" ca="1" si="101"/>
        <v>0</v>
      </c>
      <c r="BX175" s="356" t="e">
        <f ca="1">VLOOKUP(BF175,坦克个性化设定!$B$18:$E$48,4,FALSE)</f>
        <v>#N/A</v>
      </c>
      <c r="BY175" s="357" t="e">
        <f t="shared" ca="1" si="108"/>
        <v>#N/A</v>
      </c>
    </row>
    <row r="176" spans="15:77" x14ac:dyDescent="0.35">
      <c r="O176" s="365">
        <v>173</v>
      </c>
      <c r="P176" s="360" t="e">
        <f t="shared" ca="1" si="115"/>
        <v>#REF!</v>
      </c>
      <c r="Q176" s="360" t="e">
        <f ca="1">ROUND(MIN((BD176-VLOOKUP(R176,$B$22:$F$46,2,FALSE))/(VLOOKUP(R176,$B$22:$F$46,3,FALSE)-VLOOKUP(R176,$B$22:$F$46,2,FALSE)),1)*((VLOOKUP(R176,$B$22:$F$46,4,FALSE)*(AG176/(AG176+VLOOKUP(P176,$D$49:$F$123,3,TRUE)))+VLOOKUP(R176,$B$22:$F$46,5,FALSE)*(1-AG176/(AG176+VLOOKUP(P176,$D$49:$F$123,3,TRUE))))/2)*游戏时长规划!$C$4,0)</f>
        <v>#REF!</v>
      </c>
      <c r="R176" s="360" t="e">
        <f t="shared" ca="1" si="88"/>
        <v>#REF!</v>
      </c>
      <c r="S176" s="360" t="e">
        <f t="shared" ca="1" si="109"/>
        <v>#REF!</v>
      </c>
      <c r="T176" s="360" t="e">
        <f t="shared" ca="1" si="116"/>
        <v>#REF!</v>
      </c>
      <c r="U176" s="370" t="e">
        <f t="shared" ca="1" si="89"/>
        <v>#REF!</v>
      </c>
      <c r="V176" s="363" t="e">
        <f t="shared" ca="1" si="110"/>
        <v>#REF!</v>
      </c>
      <c r="W176" s="360" t="e">
        <f t="shared" ca="1" si="90"/>
        <v>#REF!</v>
      </c>
      <c r="X176" s="81" t="e">
        <f t="shared" ca="1" si="102"/>
        <v>#REF!</v>
      </c>
      <c r="Y176" s="360" t="str">
        <f t="shared" ca="1" si="91"/>
        <v>NULL</v>
      </c>
      <c r="Z176" s="375" t="e">
        <f t="shared" ca="1" si="103"/>
        <v>#REF!</v>
      </c>
      <c r="AA176" s="360">
        <f ca="1">IFERROR(VLOOKUP(IF(V176="T1低",游戏时长规划!$C$67+Z176,Z176),INDIRECT(V176&amp;"星级"),2,TRUE),0)</f>
        <v>0</v>
      </c>
      <c r="AB176" s="375" t="e">
        <f t="shared" ca="1" si="92"/>
        <v>#REF!</v>
      </c>
      <c r="AC176" s="375">
        <f ca="1">($D$14+$D$17)*$L$4/坦克部件养成!$C$2+AC175-IFERROR(IF(RIGHT(AD175,3)*1&gt;RIGHT(VLOOKUP(AC175,INDIRECT(LEFT(AD174,2)&amp;"部件升阶"),5,TRUE),3)*1,VLOOKUP(AD174,INDIRECT(LEFT(AD174,2)&amp;"部件升阶消耗"),2,FALSE),0),0)</f>
        <v>2047.1666666666615</v>
      </c>
      <c r="AD176" s="360" t="e">
        <f t="shared" ca="1" si="93"/>
        <v>#REF!</v>
      </c>
      <c r="AE176" s="375" t="e">
        <f ca="1">$D$15*$L$4/坦克部件养成!$C$2+AE175-IF(LEFT(AD176,2)&lt;&gt;LEFT(AD175,2),VLOOKUP(AF175,INDIRECT(LEFT(AD175,2)&amp;"部件升级消耗"),5,FALSE),0)</f>
        <v>#REF!</v>
      </c>
      <c r="AF176" s="360" t="e">
        <f ca="1">MIN(VLOOKUP(AE176,INDIRECT(LEFT(AD176,2)&amp;"部件升级"),2,TRUE),VLOOKUP(LEFT(AD176,2),坦克部件养成!#REF!,6,FALSE))</f>
        <v>#REF!</v>
      </c>
      <c r="AG176" s="378" t="e">
        <f ca="1">MAX(BD$4:BD176)</f>
        <v>#REF!</v>
      </c>
      <c r="AH176" s="378" t="str">
        <f t="shared" ca="1" si="94"/>
        <v/>
      </c>
      <c r="AI176" s="378">
        <f ca="1">IF(Y176="NULL",0,MAX(BY$4:BY176))</f>
        <v>0</v>
      </c>
      <c r="AK176" s="364" t="e">
        <f t="shared" ca="1" si="95"/>
        <v>#REF!</v>
      </c>
      <c r="AL176" s="364" t="e">
        <f ca="1">VLOOKUP(AK176,坦克个性化设定!$B$18:$F$48,5,FALSE)</f>
        <v>#REF!</v>
      </c>
      <c r="AM176" s="372" t="e">
        <f t="shared" ca="1" si="96"/>
        <v>#REF!</v>
      </c>
      <c r="AN176" s="372" t="e">
        <f t="shared" ca="1" si="104"/>
        <v>#REF!</v>
      </c>
      <c r="AO176" s="364">
        <f t="shared" ca="1" si="97"/>
        <v>0</v>
      </c>
      <c r="AP176" s="372" t="e">
        <f ca="1">VLOOKUP($AK176&amp;$AO176,所有坦克升星属性,MATCH(AP$3,所有坦克升星属性标头,0),FALSE)+ROUND(AU176/VLOOKUP($AK176,坦克部件!#REF!,4,FALSE)*VLOOKUP($AK176&amp;0,所有坦克升星属性,MATCH(AP$3,所有坦克升星属性标头,0),FALSE),0)</f>
        <v>#REF!</v>
      </c>
      <c r="AQ176" s="372" t="e">
        <f ca="1">VLOOKUP($AK176&amp;$AO176,所有坦克升星属性,MATCH(AQ$3,所有坦克升星属性标头,0),FALSE)+ROUND(AV176/VLOOKUP($AK176,坦克部件!#REF!,4,FALSE)*VLOOKUP($AK176&amp;0,所有坦克升星属性,MATCH(AQ$3,所有坦克升星属性标头,0),FALSE),0)</f>
        <v>#REF!</v>
      </c>
      <c r="AR176" s="372" t="e">
        <f t="shared" ca="1" si="117"/>
        <v>#REF!</v>
      </c>
      <c r="AS176" s="372" t="e">
        <f t="shared" ca="1" si="117"/>
        <v>#REF!</v>
      </c>
      <c r="AT176" s="372" t="e">
        <f ca="1">VLOOKUP($AK176&amp;$AO176,所有坦克升星属性,MATCH(AT$3,所有坦克升星属性标头,0),FALSE)+ROUND(AW176/VLOOKUP($AK176,坦克部件!#REF!,4,FALSE)*VLOOKUP($AK176&amp;0,所有坦克升星属性,MATCH(AT$3,所有坦克升星属性标头,0),FALSE),0)</f>
        <v>#REF!</v>
      </c>
      <c r="AU176" s="372" t="e">
        <f ca="1">(VLOOKUP($AM176,坦克部件!#REF!,MATCH("标准值",坦克部件!#REF!,0),FALSE)+VLOOKUP($AN176,坦克部件!#REF!,MATCH("标准值",坦克部件!#REF!,0),FALSE))*2</f>
        <v>#REF!</v>
      </c>
      <c r="AV176" s="372" t="e">
        <f ca="1">(VLOOKUP($AM176,坦克部件!#REF!,MATCH("标准值",坦克部件!#REF!,0),FALSE)+VLOOKUP($AN176,坦克部件!#REF!,MATCH("标准值",坦克部件!#REF!,0),FALSE))*2</f>
        <v>#REF!</v>
      </c>
      <c r="AW176" s="372" t="e">
        <f ca="1">(VLOOKUP($AM176,坦克部件!#REF!,MATCH("标准值",坦克部件!#REF!,0),FALSE)+VLOOKUP($AN176,坦克部件!#REF!,MATCH("标准值",坦克部件!#REF!,0),FALSE))*2</f>
        <v>#REF!</v>
      </c>
      <c r="AX176" s="372" t="e">
        <f ca="1">VLOOKUP($AK176,坦克属性统计!$B$3:$AY$33,MATCH(AX$3,坦克属性统计!$B$3:$AY$3,0),FALSE)</f>
        <v>#REF!</v>
      </c>
      <c r="AY176" s="372" t="e">
        <f t="shared" ca="1" si="118"/>
        <v>#REF!</v>
      </c>
      <c r="AZ176" s="372" t="e">
        <f t="shared" ca="1" si="118"/>
        <v>#REF!</v>
      </c>
      <c r="BA176" s="372" t="e">
        <f t="shared" ca="1" si="118"/>
        <v>#REF!</v>
      </c>
      <c r="BB176" s="356" t="e">
        <f t="shared" ca="1" si="98"/>
        <v>#REF!</v>
      </c>
      <c r="BC176" s="356" t="e">
        <f ca="1">VLOOKUP(AK176,坦克个性化设定!$B$18:$E$48,4,FALSE)</f>
        <v>#REF!</v>
      </c>
      <c r="BD176" s="357" t="e">
        <f t="shared" ca="1" si="105"/>
        <v>#REF!</v>
      </c>
      <c r="BF176" s="357" t="str">
        <f t="shared" ca="1" si="99"/>
        <v/>
      </c>
      <c r="BG176" s="372" t="str">
        <f ca="1">IFERROR(VLOOKUP(BF176,坦克个性化设定!$B$18:$F$48,5,FALSE),"")</f>
        <v/>
      </c>
      <c r="BH176" s="372" t="e">
        <f t="shared" ca="1" si="106"/>
        <v>#REF!</v>
      </c>
      <c r="BI176" s="372" t="e">
        <f t="shared" ca="1" si="107"/>
        <v>#REF!</v>
      </c>
      <c r="BJ176" s="364" t="str">
        <f t="shared" ca="1" si="100"/>
        <v>NULL</v>
      </c>
      <c r="BK176" s="372" t="e">
        <f ca="1">VLOOKUP($BF176&amp;IF($BJ176="NULL",0,$BJ176),所有坦克升星属性,MATCH(BK$3,所有坦克升星属性标头,0),FALSE)+ROUND(BP176/VLOOKUP($BF176,坦克部件!#REF!,4,FALSE)*VLOOKUP($BF176&amp;0,所有坦克升星属性,MATCH(BK$3,所有坦克升星属性标头,0),FALSE),0)</f>
        <v>#N/A</v>
      </c>
      <c r="BL176" s="372" t="e">
        <f ca="1">VLOOKUP($BF176&amp;IF($BJ176="NULL",0,$BJ176),所有坦克升星属性,MATCH(BL$3,所有坦克升星属性标头,0),FALSE)+ROUND(BQ176/VLOOKUP($BF176,坦克部件!#REF!,4,FALSE)*VLOOKUP($BF176&amp;0,所有坦克升星属性,MATCH(BL$3,所有坦克升星属性标头,0),FALSE),0)</f>
        <v>#N/A</v>
      </c>
      <c r="BM176" s="372" t="e">
        <f t="shared" ca="1" si="119"/>
        <v>#N/A</v>
      </c>
      <c r="BN176" s="372" t="e">
        <f t="shared" ca="1" si="119"/>
        <v>#N/A</v>
      </c>
      <c r="BO176" s="372" t="e">
        <f ca="1">VLOOKUP($BF176&amp;IF($BJ176="NULL",0,$BJ176),所有坦克升星属性,MATCH(BO$3,所有坦克升星属性标头,0),FALSE)+ROUND(BR176/VLOOKUP($BF176,坦克部件!#REF!,4,FALSE)*VLOOKUP($BF176&amp;0,所有坦克升星属性,MATCH(BO$3,所有坦克升星属性标头,0),FALSE),0)</f>
        <v>#N/A</v>
      </c>
      <c r="BP176" s="372" t="e">
        <f ca="1">(VLOOKUP($BH176,坦克部件!#REF!,MATCH("标准值",坦克部件!#REF!,0),FALSE)+VLOOKUP($BI176,坦克部件!#REF!,MATCH("标准值",坦克部件!#REF!,0),FALSE))*2</f>
        <v>#REF!</v>
      </c>
      <c r="BQ176" s="372" t="e">
        <f ca="1">(VLOOKUP($BH176,坦克部件!#REF!,MATCH("标准值",坦克部件!#REF!,0),FALSE)+VLOOKUP($BI176,坦克部件!#REF!,MATCH("标准值",坦克部件!#REF!,0),FALSE))*2</f>
        <v>#REF!</v>
      </c>
      <c r="BR176" s="372" t="e">
        <f ca="1">(VLOOKUP($BH176,坦克部件!#REF!,MATCH("标准值",坦克部件!#REF!,0),FALSE)+VLOOKUP($BI176,坦克部件!#REF!,MATCH("标准值",坦克部件!#REF!,0),FALSE))*2</f>
        <v>#REF!</v>
      </c>
      <c r="BS176" s="372" t="e">
        <f ca="1">VLOOKUP($BF176,坦克属性统计!$B$3:$AY$33,MATCH(BS$3,坦克属性统计!$B$3:$AY$3,0),FALSE)</f>
        <v>#N/A</v>
      </c>
      <c r="BT176" s="372" t="e">
        <f t="shared" ca="1" si="120"/>
        <v>#N/A</v>
      </c>
      <c r="BU176" s="372" t="e">
        <f t="shared" ca="1" si="120"/>
        <v>#N/A</v>
      </c>
      <c r="BV176" s="372" t="e">
        <f t="shared" ca="1" si="120"/>
        <v>#N/A</v>
      </c>
      <c r="BW176" s="356">
        <f t="shared" ca="1" si="101"/>
        <v>0</v>
      </c>
      <c r="BX176" s="356" t="e">
        <f ca="1">VLOOKUP(BF176,坦克个性化设定!$B$18:$E$48,4,FALSE)</f>
        <v>#N/A</v>
      </c>
      <c r="BY176" s="357" t="e">
        <f t="shared" ca="1" si="108"/>
        <v>#N/A</v>
      </c>
    </row>
    <row r="177" spans="15:77" x14ac:dyDescent="0.35">
      <c r="O177" s="365">
        <v>174</v>
      </c>
      <c r="P177" s="360" t="e">
        <f t="shared" ca="1" si="115"/>
        <v>#REF!</v>
      </c>
      <c r="Q177" s="360" t="e">
        <f ca="1">ROUND(MIN((BD177-VLOOKUP(R177,$B$22:$F$46,2,FALSE))/(VLOOKUP(R177,$B$22:$F$46,3,FALSE)-VLOOKUP(R177,$B$22:$F$46,2,FALSE)),1)*((VLOOKUP(R177,$B$22:$F$46,4,FALSE)*(AG177/(AG177+VLOOKUP(P177,$D$49:$F$123,3,TRUE)))+VLOOKUP(R177,$B$22:$F$46,5,FALSE)*(1-AG177/(AG177+VLOOKUP(P177,$D$49:$F$123,3,TRUE))))/2)*游戏时长规划!$C$4,0)</f>
        <v>#REF!</v>
      </c>
      <c r="R177" s="360" t="e">
        <f t="shared" ca="1" si="88"/>
        <v>#REF!</v>
      </c>
      <c r="S177" s="360" t="e">
        <f t="shared" ca="1" si="109"/>
        <v>#REF!</v>
      </c>
      <c r="T177" s="360" t="e">
        <f t="shared" ca="1" si="116"/>
        <v>#REF!</v>
      </c>
      <c r="U177" s="370" t="e">
        <f t="shared" ca="1" si="89"/>
        <v>#REF!</v>
      </c>
      <c r="V177" s="363" t="e">
        <f t="shared" ca="1" si="110"/>
        <v>#REF!</v>
      </c>
      <c r="W177" s="360" t="e">
        <f t="shared" ca="1" si="90"/>
        <v>#REF!</v>
      </c>
      <c r="X177" s="81" t="e">
        <f t="shared" ca="1" si="102"/>
        <v>#REF!</v>
      </c>
      <c r="Y177" s="360" t="str">
        <f t="shared" ca="1" si="91"/>
        <v>NULL</v>
      </c>
      <c r="Z177" s="375" t="e">
        <f t="shared" ca="1" si="103"/>
        <v>#REF!</v>
      </c>
      <c r="AA177" s="360">
        <f ca="1">IFERROR(VLOOKUP(IF(V177="T1低",游戏时长规划!$C$67+Z177,Z177),INDIRECT(V177&amp;"星级"),2,TRUE),0)</f>
        <v>0</v>
      </c>
      <c r="AB177" s="375" t="e">
        <f t="shared" ca="1" si="92"/>
        <v>#REF!</v>
      </c>
      <c r="AC177" s="375">
        <f ca="1">($D$14+$D$17)*$L$4/坦克部件养成!$C$2+AC176-IFERROR(IF(RIGHT(AD176,3)*1&gt;RIGHT(VLOOKUP(AC176,INDIRECT(LEFT(AD175,2)&amp;"部件升阶"),5,TRUE),3)*1,VLOOKUP(AD175,INDIRECT(LEFT(AD175,2)&amp;"部件升阶消耗"),2,FALSE),0),0)</f>
        <v>2058.999999999995</v>
      </c>
      <c r="AD177" s="360" t="e">
        <f t="shared" ca="1" si="93"/>
        <v>#REF!</v>
      </c>
      <c r="AE177" s="375" t="e">
        <f ca="1">$D$15*$L$4/坦克部件养成!$C$2+AE176-IF(LEFT(AD177,2)&lt;&gt;LEFT(AD176,2),VLOOKUP(AF176,INDIRECT(LEFT(AD176,2)&amp;"部件升级消耗"),5,FALSE),0)</f>
        <v>#REF!</v>
      </c>
      <c r="AF177" s="360" t="e">
        <f ca="1">MIN(VLOOKUP(AE177,INDIRECT(LEFT(AD177,2)&amp;"部件升级"),2,TRUE),VLOOKUP(LEFT(AD177,2),坦克部件养成!#REF!,6,FALSE))</f>
        <v>#REF!</v>
      </c>
      <c r="AG177" s="378" t="e">
        <f ca="1">MAX(BD$4:BD177)</f>
        <v>#REF!</v>
      </c>
      <c r="AH177" s="378" t="str">
        <f t="shared" ca="1" si="94"/>
        <v/>
      </c>
      <c r="AI177" s="378">
        <f ca="1">IF(Y177="NULL",0,MAX(BY$4:BY177))</f>
        <v>0</v>
      </c>
      <c r="AK177" s="364" t="e">
        <f t="shared" ca="1" si="95"/>
        <v>#REF!</v>
      </c>
      <c r="AL177" s="364" t="e">
        <f ca="1">VLOOKUP(AK177,坦克个性化设定!$B$18:$F$48,5,FALSE)</f>
        <v>#REF!</v>
      </c>
      <c r="AM177" s="372" t="e">
        <f t="shared" ca="1" si="96"/>
        <v>#REF!</v>
      </c>
      <c r="AN177" s="372" t="e">
        <f t="shared" ca="1" si="104"/>
        <v>#REF!</v>
      </c>
      <c r="AO177" s="364">
        <f t="shared" ca="1" si="97"/>
        <v>0</v>
      </c>
      <c r="AP177" s="372" t="e">
        <f ca="1">VLOOKUP($AK177&amp;$AO177,所有坦克升星属性,MATCH(AP$3,所有坦克升星属性标头,0),FALSE)+ROUND(AU177/VLOOKUP($AK177,坦克部件!#REF!,4,FALSE)*VLOOKUP($AK177&amp;0,所有坦克升星属性,MATCH(AP$3,所有坦克升星属性标头,0),FALSE),0)</f>
        <v>#REF!</v>
      </c>
      <c r="AQ177" s="372" t="e">
        <f ca="1">VLOOKUP($AK177&amp;$AO177,所有坦克升星属性,MATCH(AQ$3,所有坦克升星属性标头,0),FALSE)+ROUND(AV177/VLOOKUP($AK177,坦克部件!#REF!,4,FALSE)*VLOOKUP($AK177&amp;0,所有坦克升星属性,MATCH(AQ$3,所有坦克升星属性标头,0),FALSE),0)</f>
        <v>#REF!</v>
      </c>
      <c r="AR177" s="372" t="e">
        <f t="shared" ca="1" si="117"/>
        <v>#REF!</v>
      </c>
      <c r="AS177" s="372" t="e">
        <f t="shared" ca="1" si="117"/>
        <v>#REF!</v>
      </c>
      <c r="AT177" s="372" t="e">
        <f ca="1">VLOOKUP($AK177&amp;$AO177,所有坦克升星属性,MATCH(AT$3,所有坦克升星属性标头,0),FALSE)+ROUND(AW177/VLOOKUP($AK177,坦克部件!#REF!,4,FALSE)*VLOOKUP($AK177&amp;0,所有坦克升星属性,MATCH(AT$3,所有坦克升星属性标头,0),FALSE),0)</f>
        <v>#REF!</v>
      </c>
      <c r="AU177" s="372" t="e">
        <f ca="1">(VLOOKUP($AM177,坦克部件!#REF!,MATCH("标准值",坦克部件!#REF!,0),FALSE)+VLOOKUP($AN177,坦克部件!#REF!,MATCH("标准值",坦克部件!#REF!,0),FALSE))*2</f>
        <v>#REF!</v>
      </c>
      <c r="AV177" s="372" t="e">
        <f ca="1">(VLOOKUP($AM177,坦克部件!#REF!,MATCH("标准值",坦克部件!#REF!,0),FALSE)+VLOOKUP($AN177,坦克部件!#REF!,MATCH("标准值",坦克部件!#REF!,0),FALSE))*2</f>
        <v>#REF!</v>
      </c>
      <c r="AW177" s="372" t="e">
        <f ca="1">(VLOOKUP($AM177,坦克部件!#REF!,MATCH("标准值",坦克部件!#REF!,0),FALSE)+VLOOKUP($AN177,坦克部件!#REF!,MATCH("标准值",坦克部件!#REF!,0),FALSE))*2</f>
        <v>#REF!</v>
      </c>
      <c r="AX177" s="372" t="e">
        <f ca="1">VLOOKUP($AK177,坦克属性统计!$B$3:$AY$33,MATCH(AX$3,坦克属性统计!$B$3:$AY$3,0),FALSE)</f>
        <v>#REF!</v>
      </c>
      <c r="AY177" s="372" t="e">
        <f t="shared" ca="1" si="118"/>
        <v>#REF!</v>
      </c>
      <c r="AZ177" s="372" t="e">
        <f t="shared" ca="1" si="118"/>
        <v>#REF!</v>
      </c>
      <c r="BA177" s="372" t="e">
        <f t="shared" ca="1" si="118"/>
        <v>#REF!</v>
      </c>
      <c r="BB177" s="356" t="e">
        <f t="shared" ca="1" si="98"/>
        <v>#REF!</v>
      </c>
      <c r="BC177" s="356" t="e">
        <f ca="1">VLOOKUP(AK177,坦克个性化设定!$B$18:$E$48,4,FALSE)</f>
        <v>#REF!</v>
      </c>
      <c r="BD177" s="357" t="e">
        <f t="shared" ca="1" si="105"/>
        <v>#REF!</v>
      </c>
      <c r="BF177" s="357" t="str">
        <f t="shared" ca="1" si="99"/>
        <v/>
      </c>
      <c r="BG177" s="372" t="str">
        <f ca="1">IFERROR(VLOOKUP(BF177,坦克个性化设定!$B$18:$F$48,5,FALSE),"")</f>
        <v/>
      </c>
      <c r="BH177" s="372" t="e">
        <f t="shared" ca="1" si="106"/>
        <v>#REF!</v>
      </c>
      <c r="BI177" s="372" t="e">
        <f t="shared" ca="1" si="107"/>
        <v>#REF!</v>
      </c>
      <c r="BJ177" s="364" t="str">
        <f t="shared" ca="1" si="100"/>
        <v>NULL</v>
      </c>
      <c r="BK177" s="372" t="e">
        <f ca="1">VLOOKUP($BF177&amp;IF($BJ177="NULL",0,$BJ177),所有坦克升星属性,MATCH(BK$3,所有坦克升星属性标头,0),FALSE)+ROUND(BP177/VLOOKUP($BF177,坦克部件!#REF!,4,FALSE)*VLOOKUP($BF177&amp;0,所有坦克升星属性,MATCH(BK$3,所有坦克升星属性标头,0),FALSE),0)</f>
        <v>#N/A</v>
      </c>
      <c r="BL177" s="372" t="e">
        <f ca="1">VLOOKUP($BF177&amp;IF($BJ177="NULL",0,$BJ177),所有坦克升星属性,MATCH(BL$3,所有坦克升星属性标头,0),FALSE)+ROUND(BQ177/VLOOKUP($BF177,坦克部件!#REF!,4,FALSE)*VLOOKUP($BF177&amp;0,所有坦克升星属性,MATCH(BL$3,所有坦克升星属性标头,0),FALSE),0)</f>
        <v>#N/A</v>
      </c>
      <c r="BM177" s="372" t="e">
        <f t="shared" ca="1" si="119"/>
        <v>#N/A</v>
      </c>
      <c r="BN177" s="372" t="e">
        <f t="shared" ca="1" si="119"/>
        <v>#N/A</v>
      </c>
      <c r="BO177" s="372" t="e">
        <f ca="1">VLOOKUP($BF177&amp;IF($BJ177="NULL",0,$BJ177),所有坦克升星属性,MATCH(BO$3,所有坦克升星属性标头,0),FALSE)+ROUND(BR177/VLOOKUP($BF177,坦克部件!#REF!,4,FALSE)*VLOOKUP($BF177&amp;0,所有坦克升星属性,MATCH(BO$3,所有坦克升星属性标头,0),FALSE),0)</f>
        <v>#N/A</v>
      </c>
      <c r="BP177" s="372" t="e">
        <f ca="1">(VLOOKUP($BH177,坦克部件!#REF!,MATCH("标准值",坦克部件!#REF!,0),FALSE)+VLOOKUP($BI177,坦克部件!#REF!,MATCH("标准值",坦克部件!#REF!,0),FALSE))*2</f>
        <v>#REF!</v>
      </c>
      <c r="BQ177" s="372" t="e">
        <f ca="1">(VLOOKUP($BH177,坦克部件!#REF!,MATCH("标准值",坦克部件!#REF!,0),FALSE)+VLOOKUP($BI177,坦克部件!#REF!,MATCH("标准值",坦克部件!#REF!,0),FALSE))*2</f>
        <v>#REF!</v>
      </c>
      <c r="BR177" s="372" t="e">
        <f ca="1">(VLOOKUP($BH177,坦克部件!#REF!,MATCH("标准值",坦克部件!#REF!,0),FALSE)+VLOOKUP($BI177,坦克部件!#REF!,MATCH("标准值",坦克部件!#REF!,0),FALSE))*2</f>
        <v>#REF!</v>
      </c>
      <c r="BS177" s="372" t="e">
        <f ca="1">VLOOKUP($BF177,坦克属性统计!$B$3:$AY$33,MATCH(BS$3,坦克属性统计!$B$3:$AY$3,0),FALSE)</f>
        <v>#N/A</v>
      </c>
      <c r="BT177" s="372" t="e">
        <f t="shared" ca="1" si="120"/>
        <v>#N/A</v>
      </c>
      <c r="BU177" s="372" t="e">
        <f t="shared" ca="1" si="120"/>
        <v>#N/A</v>
      </c>
      <c r="BV177" s="372" t="e">
        <f t="shared" ca="1" si="120"/>
        <v>#N/A</v>
      </c>
      <c r="BW177" s="356">
        <f t="shared" ca="1" si="101"/>
        <v>0</v>
      </c>
      <c r="BX177" s="356" t="e">
        <f ca="1">VLOOKUP(BF177,坦克个性化设定!$B$18:$E$48,4,FALSE)</f>
        <v>#N/A</v>
      </c>
      <c r="BY177" s="357" t="e">
        <f t="shared" ca="1" si="108"/>
        <v>#N/A</v>
      </c>
    </row>
    <row r="178" spans="15:77" x14ac:dyDescent="0.35">
      <c r="O178" s="365">
        <v>175</v>
      </c>
      <c r="P178" s="360" t="e">
        <f t="shared" ca="1" si="115"/>
        <v>#REF!</v>
      </c>
      <c r="Q178" s="360" t="e">
        <f ca="1">ROUND(MIN((BD178-VLOOKUP(R178,$B$22:$F$46,2,FALSE))/(VLOOKUP(R178,$B$22:$F$46,3,FALSE)-VLOOKUP(R178,$B$22:$F$46,2,FALSE)),1)*((VLOOKUP(R178,$B$22:$F$46,4,FALSE)*(AG178/(AG178+VLOOKUP(P178,$D$49:$F$123,3,TRUE)))+VLOOKUP(R178,$B$22:$F$46,5,FALSE)*(1-AG178/(AG178+VLOOKUP(P178,$D$49:$F$123,3,TRUE))))/2)*游戏时长规划!$C$4,0)</f>
        <v>#REF!</v>
      </c>
      <c r="R178" s="360" t="e">
        <f t="shared" ca="1" si="88"/>
        <v>#REF!</v>
      </c>
      <c r="S178" s="360" t="e">
        <f t="shared" ca="1" si="109"/>
        <v>#REF!</v>
      </c>
      <c r="T178" s="360" t="e">
        <f t="shared" ca="1" si="116"/>
        <v>#REF!</v>
      </c>
      <c r="U178" s="370" t="e">
        <f t="shared" ca="1" si="89"/>
        <v>#REF!</v>
      </c>
      <c r="V178" s="363" t="e">
        <f t="shared" ca="1" si="110"/>
        <v>#REF!</v>
      </c>
      <c r="W178" s="360" t="e">
        <f t="shared" ca="1" si="90"/>
        <v>#REF!</v>
      </c>
      <c r="X178" s="81" t="e">
        <f t="shared" ca="1" si="102"/>
        <v>#REF!</v>
      </c>
      <c r="Y178" s="360" t="str">
        <f t="shared" ca="1" si="91"/>
        <v>NULL</v>
      </c>
      <c r="Z178" s="375" t="e">
        <f t="shared" ca="1" si="103"/>
        <v>#REF!</v>
      </c>
      <c r="AA178" s="360">
        <f ca="1">IFERROR(VLOOKUP(IF(V178="T1低",游戏时长规划!$C$67+Z178,Z178),INDIRECT(V178&amp;"星级"),2,TRUE),0)</f>
        <v>0</v>
      </c>
      <c r="AB178" s="375" t="e">
        <f t="shared" ca="1" si="92"/>
        <v>#REF!</v>
      </c>
      <c r="AC178" s="375">
        <f ca="1">($D$14+$D$17)*$L$4/坦克部件养成!$C$2+AC177-IFERROR(IF(RIGHT(AD177,3)*1&gt;RIGHT(VLOOKUP(AC177,INDIRECT(LEFT(AD176,2)&amp;"部件升阶"),5,TRUE),3)*1,VLOOKUP(AD176,INDIRECT(LEFT(AD176,2)&amp;"部件升阶消耗"),2,FALSE),0),0)</f>
        <v>2070.8333333333285</v>
      </c>
      <c r="AD178" s="360" t="e">
        <f t="shared" ca="1" si="93"/>
        <v>#REF!</v>
      </c>
      <c r="AE178" s="375" t="e">
        <f ca="1">$D$15*$L$4/坦克部件养成!$C$2+AE177-IF(LEFT(AD178,2)&lt;&gt;LEFT(AD177,2),VLOOKUP(AF177,INDIRECT(LEFT(AD177,2)&amp;"部件升级消耗"),5,FALSE),0)</f>
        <v>#REF!</v>
      </c>
      <c r="AF178" s="360" t="e">
        <f ca="1">MIN(VLOOKUP(AE178,INDIRECT(LEFT(AD178,2)&amp;"部件升级"),2,TRUE),VLOOKUP(LEFT(AD178,2),坦克部件养成!#REF!,6,FALSE))</f>
        <v>#REF!</v>
      </c>
      <c r="AG178" s="378" t="e">
        <f ca="1">MAX(BD$4:BD178)</f>
        <v>#REF!</v>
      </c>
      <c r="AH178" s="378" t="str">
        <f t="shared" ca="1" si="94"/>
        <v/>
      </c>
      <c r="AI178" s="378">
        <f ca="1">IF(Y178="NULL",0,MAX(BY$4:BY178))</f>
        <v>0</v>
      </c>
      <c r="AK178" s="364" t="e">
        <f t="shared" ca="1" si="95"/>
        <v>#REF!</v>
      </c>
      <c r="AL178" s="364" t="e">
        <f ca="1">VLOOKUP(AK178,坦克个性化设定!$B$18:$F$48,5,FALSE)</f>
        <v>#REF!</v>
      </c>
      <c r="AM178" s="372" t="e">
        <f t="shared" ca="1" si="96"/>
        <v>#REF!</v>
      </c>
      <c r="AN178" s="372" t="e">
        <f t="shared" ca="1" si="104"/>
        <v>#REF!</v>
      </c>
      <c r="AO178" s="364">
        <f t="shared" ca="1" si="97"/>
        <v>0</v>
      </c>
      <c r="AP178" s="372" t="e">
        <f ca="1">VLOOKUP($AK178&amp;$AO178,所有坦克升星属性,MATCH(AP$3,所有坦克升星属性标头,0),FALSE)+ROUND(AU178/VLOOKUP($AK178,坦克部件!#REF!,4,FALSE)*VLOOKUP($AK178&amp;0,所有坦克升星属性,MATCH(AP$3,所有坦克升星属性标头,0),FALSE),0)</f>
        <v>#REF!</v>
      </c>
      <c r="AQ178" s="372" t="e">
        <f ca="1">VLOOKUP($AK178&amp;$AO178,所有坦克升星属性,MATCH(AQ$3,所有坦克升星属性标头,0),FALSE)+ROUND(AV178/VLOOKUP($AK178,坦克部件!#REF!,4,FALSE)*VLOOKUP($AK178&amp;0,所有坦克升星属性,MATCH(AQ$3,所有坦克升星属性标头,0),FALSE),0)</f>
        <v>#REF!</v>
      </c>
      <c r="AR178" s="372" t="e">
        <f t="shared" ca="1" si="117"/>
        <v>#REF!</v>
      </c>
      <c r="AS178" s="372" t="e">
        <f t="shared" ca="1" si="117"/>
        <v>#REF!</v>
      </c>
      <c r="AT178" s="372" t="e">
        <f ca="1">VLOOKUP($AK178&amp;$AO178,所有坦克升星属性,MATCH(AT$3,所有坦克升星属性标头,0),FALSE)+ROUND(AW178/VLOOKUP($AK178,坦克部件!#REF!,4,FALSE)*VLOOKUP($AK178&amp;0,所有坦克升星属性,MATCH(AT$3,所有坦克升星属性标头,0),FALSE),0)</f>
        <v>#REF!</v>
      </c>
      <c r="AU178" s="372" t="e">
        <f ca="1">(VLOOKUP($AM178,坦克部件!#REF!,MATCH("标准值",坦克部件!#REF!,0),FALSE)+VLOOKUP($AN178,坦克部件!#REF!,MATCH("标准值",坦克部件!#REF!,0),FALSE))*2</f>
        <v>#REF!</v>
      </c>
      <c r="AV178" s="372" t="e">
        <f ca="1">(VLOOKUP($AM178,坦克部件!#REF!,MATCH("标准值",坦克部件!#REF!,0),FALSE)+VLOOKUP($AN178,坦克部件!#REF!,MATCH("标准值",坦克部件!#REF!,0),FALSE))*2</f>
        <v>#REF!</v>
      </c>
      <c r="AW178" s="372" t="e">
        <f ca="1">(VLOOKUP($AM178,坦克部件!#REF!,MATCH("标准值",坦克部件!#REF!,0),FALSE)+VLOOKUP($AN178,坦克部件!#REF!,MATCH("标准值",坦克部件!#REF!,0),FALSE))*2</f>
        <v>#REF!</v>
      </c>
      <c r="AX178" s="372" t="e">
        <f ca="1">VLOOKUP($AK178,坦克属性统计!$B$3:$AY$33,MATCH(AX$3,坦克属性统计!$B$3:$AY$3,0),FALSE)</f>
        <v>#REF!</v>
      </c>
      <c r="AY178" s="372" t="e">
        <f t="shared" ca="1" si="118"/>
        <v>#REF!</v>
      </c>
      <c r="AZ178" s="372" t="e">
        <f t="shared" ca="1" si="118"/>
        <v>#REF!</v>
      </c>
      <c r="BA178" s="372" t="e">
        <f t="shared" ca="1" si="118"/>
        <v>#REF!</v>
      </c>
      <c r="BB178" s="356" t="e">
        <f t="shared" ca="1" si="98"/>
        <v>#REF!</v>
      </c>
      <c r="BC178" s="356" t="e">
        <f ca="1">VLOOKUP(AK178,坦克个性化设定!$B$18:$E$48,4,FALSE)</f>
        <v>#REF!</v>
      </c>
      <c r="BD178" s="357" t="e">
        <f t="shared" ca="1" si="105"/>
        <v>#REF!</v>
      </c>
      <c r="BF178" s="357" t="str">
        <f t="shared" ca="1" si="99"/>
        <v/>
      </c>
      <c r="BG178" s="372" t="str">
        <f ca="1">IFERROR(VLOOKUP(BF178,坦克个性化设定!$B$18:$F$48,5,FALSE),"")</f>
        <v/>
      </c>
      <c r="BH178" s="372" t="e">
        <f t="shared" ca="1" si="106"/>
        <v>#REF!</v>
      </c>
      <c r="BI178" s="372" t="e">
        <f t="shared" ca="1" si="107"/>
        <v>#REF!</v>
      </c>
      <c r="BJ178" s="364" t="str">
        <f t="shared" ca="1" si="100"/>
        <v>NULL</v>
      </c>
      <c r="BK178" s="372" t="e">
        <f ca="1">VLOOKUP($BF178&amp;IF($BJ178="NULL",0,$BJ178),所有坦克升星属性,MATCH(BK$3,所有坦克升星属性标头,0),FALSE)+ROUND(BP178/VLOOKUP($BF178,坦克部件!#REF!,4,FALSE)*VLOOKUP($BF178&amp;0,所有坦克升星属性,MATCH(BK$3,所有坦克升星属性标头,0),FALSE),0)</f>
        <v>#N/A</v>
      </c>
      <c r="BL178" s="372" t="e">
        <f ca="1">VLOOKUP($BF178&amp;IF($BJ178="NULL",0,$BJ178),所有坦克升星属性,MATCH(BL$3,所有坦克升星属性标头,0),FALSE)+ROUND(BQ178/VLOOKUP($BF178,坦克部件!#REF!,4,FALSE)*VLOOKUP($BF178&amp;0,所有坦克升星属性,MATCH(BL$3,所有坦克升星属性标头,0),FALSE),0)</f>
        <v>#N/A</v>
      </c>
      <c r="BM178" s="372" t="e">
        <f t="shared" ca="1" si="119"/>
        <v>#N/A</v>
      </c>
      <c r="BN178" s="372" t="e">
        <f t="shared" ca="1" si="119"/>
        <v>#N/A</v>
      </c>
      <c r="BO178" s="372" t="e">
        <f ca="1">VLOOKUP($BF178&amp;IF($BJ178="NULL",0,$BJ178),所有坦克升星属性,MATCH(BO$3,所有坦克升星属性标头,0),FALSE)+ROUND(BR178/VLOOKUP($BF178,坦克部件!#REF!,4,FALSE)*VLOOKUP($BF178&amp;0,所有坦克升星属性,MATCH(BO$3,所有坦克升星属性标头,0),FALSE),0)</f>
        <v>#N/A</v>
      </c>
      <c r="BP178" s="372" t="e">
        <f ca="1">(VLOOKUP($BH178,坦克部件!#REF!,MATCH("标准值",坦克部件!#REF!,0),FALSE)+VLOOKUP($BI178,坦克部件!#REF!,MATCH("标准值",坦克部件!#REF!,0),FALSE))*2</f>
        <v>#REF!</v>
      </c>
      <c r="BQ178" s="372" t="e">
        <f ca="1">(VLOOKUP($BH178,坦克部件!#REF!,MATCH("标准值",坦克部件!#REF!,0),FALSE)+VLOOKUP($BI178,坦克部件!#REF!,MATCH("标准值",坦克部件!#REF!,0),FALSE))*2</f>
        <v>#REF!</v>
      </c>
      <c r="BR178" s="372" t="e">
        <f ca="1">(VLOOKUP($BH178,坦克部件!#REF!,MATCH("标准值",坦克部件!#REF!,0),FALSE)+VLOOKUP($BI178,坦克部件!#REF!,MATCH("标准值",坦克部件!#REF!,0),FALSE))*2</f>
        <v>#REF!</v>
      </c>
      <c r="BS178" s="372" t="e">
        <f ca="1">VLOOKUP($BF178,坦克属性统计!$B$3:$AY$33,MATCH(BS$3,坦克属性统计!$B$3:$AY$3,0),FALSE)</f>
        <v>#N/A</v>
      </c>
      <c r="BT178" s="372" t="e">
        <f t="shared" ca="1" si="120"/>
        <v>#N/A</v>
      </c>
      <c r="BU178" s="372" t="e">
        <f t="shared" ca="1" si="120"/>
        <v>#N/A</v>
      </c>
      <c r="BV178" s="372" t="e">
        <f t="shared" ca="1" si="120"/>
        <v>#N/A</v>
      </c>
      <c r="BW178" s="356">
        <f t="shared" ca="1" si="101"/>
        <v>0</v>
      </c>
      <c r="BX178" s="356" t="e">
        <f ca="1">VLOOKUP(BF178,坦克个性化设定!$B$18:$E$48,4,FALSE)</f>
        <v>#N/A</v>
      </c>
      <c r="BY178" s="357" t="e">
        <f t="shared" ca="1" si="108"/>
        <v>#N/A</v>
      </c>
    </row>
    <row r="179" spans="15:77" x14ac:dyDescent="0.35">
      <c r="O179" s="365">
        <v>176</v>
      </c>
      <c r="P179" s="360" t="e">
        <f t="shared" ca="1" si="115"/>
        <v>#REF!</v>
      </c>
      <c r="Q179" s="360" t="e">
        <f ca="1">ROUND(MIN((BD179-VLOOKUP(R179,$B$22:$F$46,2,FALSE))/(VLOOKUP(R179,$B$22:$F$46,3,FALSE)-VLOOKUP(R179,$B$22:$F$46,2,FALSE)),1)*((VLOOKUP(R179,$B$22:$F$46,4,FALSE)*(AG179/(AG179+VLOOKUP(P179,$D$49:$F$123,3,TRUE)))+VLOOKUP(R179,$B$22:$F$46,5,FALSE)*(1-AG179/(AG179+VLOOKUP(P179,$D$49:$F$123,3,TRUE))))/2)*游戏时长规划!$C$4,0)</f>
        <v>#REF!</v>
      </c>
      <c r="R179" s="360" t="e">
        <f t="shared" ca="1" si="88"/>
        <v>#REF!</v>
      </c>
      <c r="S179" s="360" t="e">
        <f t="shared" ca="1" si="109"/>
        <v>#REF!</v>
      </c>
      <c r="T179" s="360" t="e">
        <f t="shared" ca="1" si="116"/>
        <v>#REF!</v>
      </c>
      <c r="U179" s="370" t="e">
        <f t="shared" ca="1" si="89"/>
        <v>#REF!</v>
      </c>
      <c r="V179" s="363" t="e">
        <f t="shared" ca="1" si="110"/>
        <v>#REF!</v>
      </c>
      <c r="W179" s="360" t="e">
        <f t="shared" ca="1" si="90"/>
        <v>#REF!</v>
      </c>
      <c r="X179" s="81" t="e">
        <f t="shared" ca="1" si="102"/>
        <v>#REF!</v>
      </c>
      <c r="Y179" s="360" t="str">
        <f t="shared" ca="1" si="91"/>
        <v>NULL</v>
      </c>
      <c r="Z179" s="375" t="e">
        <f t="shared" ca="1" si="103"/>
        <v>#REF!</v>
      </c>
      <c r="AA179" s="360">
        <f ca="1">IFERROR(VLOOKUP(IF(V179="T1低",游戏时长规划!$C$67+Z179,Z179),INDIRECT(V179&amp;"星级"),2,TRUE),0)</f>
        <v>0</v>
      </c>
      <c r="AB179" s="375" t="e">
        <f t="shared" ca="1" si="92"/>
        <v>#REF!</v>
      </c>
      <c r="AC179" s="375">
        <f ca="1">($D$14+$D$17)*$L$4/坦克部件养成!$C$2+AC178-IFERROR(IF(RIGHT(AD178,3)*1&gt;RIGHT(VLOOKUP(AC178,INDIRECT(LEFT(AD177,2)&amp;"部件升阶"),5,TRUE),3)*1,VLOOKUP(AD177,INDIRECT(LEFT(AD177,2)&amp;"部件升阶消耗"),2,FALSE),0),0)</f>
        <v>2082.666666666662</v>
      </c>
      <c r="AD179" s="360" t="e">
        <f t="shared" ca="1" si="93"/>
        <v>#REF!</v>
      </c>
      <c r="AE179" s="375" t="e">
        <f ca="1">$D$15*$L$4/坦克部件养成!$C$2+AE178-IF(LEFT(AD179,2)&lt;&gt;LEFT(AD178,2),VLOOKUP(AF178,INDIRECT(LEFT(AD178,2)&amp;"部件升级消耗"),5,FALSE),0)</f>
        <v>#REF!</v>
      </c>
      <c r="AF179" s="360" t="e">
        <f ca="1">MIN(VLOOKUP(AE179,INDIRECT(LEFT(AD179,2)&amp;"部件升级"),2,TRUE),VLOOKUP(LEFT(AD179,2),坦克部件养成!#REF!,6,FALSE))</f>
        <v>#REF!</v>
      </c>
      <c r="AG179" s="378" t="e">
        <f ca="1">MAX(BD$4:BD179)</f>
        <v>#REF!</v>
      </c>
      <c r="AH179" s="378" t="str">
        <f t="shared" ca="1" si="94"/>
        <v/>
      </c>
      <c r="AI179" s="378">
        <f ca="1">IF(Y179="NULL",0,MAX(BY$4:BY179))</f>
        <v>0</v>
      </c>
      <c r="AK179" s="364" t="e">
        <f t="shared" ca="1" si="95"/>
        <v>#REF!</v>
      </c>
      <c r="AL179" s="364" t="e">
        <f ca="1">VLOOKUP(AK179,坦克个性化设定!$B$18:$F$48,5,FALSE)</f>
        <v>#REF!</v>
      </c>
      <c r="AM179" s="372" t="e">
        <f t="shared" ca="1" si="96"/>
        <v>#REF!</v>
      </c>
      <c r="AN179" s="372" t="e">
        <f t="shared" ca="1" si="104"/>
        <v>#REF!</v>
      </c>
      <c r="AO179" s="364">
        <f t="shared" ca="1" si="97"/>
        <v>0</v>
      </c>
      <c r="AP179" s="372" t="e">
        <f ca="1">VLOOKUP($AK179&amp;$AO179,所有坦克升星属性,MATCH(AP$3,所有坦克升星属性标头,0),FALSE)+ROUND(AU179/VLOOKUP($AK179,坦克部件!#REF!,4,FALSE)*VLOOKUP($AK179&amp;0,所有坦克升星属性,MATCH(AP$3,所有坦克升星属性标头,0),FALSE),0)</f>
        <v>#REF!</v>
      </c>
      <c r="AQ179" s="372" t="e">
        <f ca="1">VLOOKUP($AK179&amp;$AO179,所有坦克升星属性,MATCH(AQ$3,所有坦克升星属性标头,0),FALSE)+ROUND(AV179/VLOOKUP($AK179,坦克部件!#REF!,4,FALSE)*VLOOKUP($AK179&amp;0,所有坦克升星属性,MATCH(AQ$3,所有坦克升星属性标头,0),FALSE),0)</f>
        <v>#REF!</v>
      </c>
      <c r="AR179" s="372" t="e">
        <f t="shared" ca="1" si="117"/>
        <v>#REF!</v>
      </c>
      <c r="AS179" s="372" t="e">
        <f t="shared" ca="1" si="117"/>
        <v>#REF!</v>
      </c>
      <c r="AT179" s="372" t="e">
        <f ca="1">VLOOKUP($AK179&amp;$AO179,所有坦克升星属性,MATCH(AT$3,所有坦克升星属性标头,0),FALSE)+ROUND(AW179/VLOOKUP($AK179,坦克部件!#REF!,4,FALSE)*VLOOKUP($AK179&amp;0,所有坦克升星属性,MATCH(AT$3,所有坦克升星属性标头,0),FALSE),0)</f>
        <v>#REF!</v>
      </c>
      <c r="AU179" s="372" t="e">
        <f ca="1">(VLOOKUP($AM179,坦克部件!#REF!,MATCH("标准值",坦克部件!#REF!,0),FALSE)+VLOOKUP($AN179,坦克部件!#REF!,MATCH("标准值",坦克部件!#REF!,0),FALSE))*2</f>
        <v>#REF!</v>
      </c>
      <c r="AV179" s="372" t="e">
        <f ca="1">(VLOOKUP($AM179,坦克部件!#REF!,MATCH("标准值",坦克部件!#REF!,0),FALSE)+VLOOKUP($AN179,坦克部件!#REF!,MATCH("标准值",坦克部件!#REF!,0),FALSE))*2</f>
        <v>#REF!</v>
      </c>
      <c r="AW179" s="372" t="e">
        <f ca="1">(VLOOKUP($AM179,坦克部件!#REF!,MATCH("标准值",坦克部件!#REF!,0),FALSE)+VLOOKUP($AN179,坦克部件!#REF!,MATCH("标准值",坦克部件!#REF!,0),FALSE))*2</f>
        <v>#REF!</v>
      </c>
      <c r="AX179" s="372" t="e">
        <f ca="1">VLOOKUP($AK179,坦克属性统计!$B$3:$AY$33,MATCH(AX$3,坦克属性统计!$B$3:$AY$3,0),FALSE)</f>
        <v>#REF!</v>
      </c>
      <c r="AY179" s="372" t="e">
        <f t="shared" ca="1" si="118"/>
        <v>#REF!</v>
      </c>
      <c r="AZ179" s="372" t="e">
        <f t="shared" ca="1" si="118"/>
        <v>#REF!</v>
      </c>
      <c r="BA179" s="372" t="e">
        <f t="shared" ca="1" si="118"/>
        <v>#REF!</v>
      </c>
      <c r="BB179" s="356" t="e">
        <f t="shared" ca="1" si="98"/>
        <v>#REF!</v>
      </c>
      <c r="BC179" s="356" t="e">
        <f ca="1">VLOOKUP(AK179,坦克个性化设定!$B$18:$E$48,4,FALSE)</f>
        <v>#REF!</v>
      </c>
      <c r="BD179" s="357" t="e">
        <f t="shared" ca="1" si="105"/>
        <v>#REF!</v>
      </c>
      <c r="BF179" s="357" t="str">
        <f t="shared" ca="1" si="99"/>
        <v/>
      </c>
      <c r="BG179" s="372" t="str">
        <f ca="1">IFERROR(VLOOKUP(BF179,坦克个性化设定!$B$18:$F$48,5,FALSE),"")</f>
        <v/>
      </c>
      <c r="BH179" s="372" t="e">
        <f t="shared" ca="1" si="106"/>
        <v>#REF!</v>
      </c>
      <c r="BI179" s="372" t="e">
        <f t="shared" ca="1" si="107"/>
        <v>#REF!</v>
      </c>
      <c r="BJ179" s="364" t="str">
        <f t="shared" ca="1" si="100"/>
        <v>NULL</v>
      </c>
      <c r="BK179" s="372" t="e">
        <f ca="1">VLOOKUP($BF179&amp;IF($BJ179="NULL",0,$BJ179),所有坦克升星属性,MATCH(BK$3,所有坦克升星属性标头,0),FALSE)+ROUND(BP179/VLOOKUP($BF179,坦克部件!#REF!,4,FALSE)*VLOOKUP($BF179&amp;0,所有坦克升星属性,MATCH(BK$3,所有坦克升星属性标头,0),FALSE),0)</f>
        <v>#N/A</v>
      </c>
      <c r="BL179" s="372" t="e">
        <f ca="1">VLOOKUP($BF179&amp;IF($BJ179="NULL",0,$BJ179),所有坦克升星属性,MATCH(BL$3,所有坦克升星属性标头,0),FALSE)+ROUND(BQ179/VLOOKUP($BF179,坦克部件!#REF!,4,FALSE)*VLOOKUP($BF179&amp;0,所有坦克升星属性,MATCH(BL$3,所有坦克升星属性标头,0),FALSE),0)</f>
        <v>#N/A</v>
      </c>
      <c r="BM179" s="372" t="e">
        <f t="shared" ca="1" si="119"/>
        <v>#N/A</v>
      </c>
      <c r="BN179" s="372" t="e">
        <f t="shared" ca="1" si="119"/>
        <v>#N/A</v>
      </c>
      <c r="BO179" s="372" t="e">
        <f ca="1">VLOOKUP($BF179&amp;IF($BJ179="NULL",0,$BJ179),所有坦克升星属性,MATCH(BO$3,所有坦克升星属性标头,0),FALSE)+ROUND(BR179/VLOOKUP($BF179,坦克部件!#REF!,4,FALSE)*VLOOKUP($BF179&amp;0,所有坦克升星属性,MATCH(BO$3,所有坦克升星属性标头,0),FALSE),0)</f>
        <v>#N/A</v>
      </c>
      <c r="BP179" s="372" t="e">
        <f ca="1">(VLOOKUP($BH179,坦克部件!#REF!,MATCH("标准值",坦克部件!#REF!,0),FALSE)+VLOOKUP($BI179,坦克部件!#REF!,MATCH("标准值",坦克部件!#REF!,0),FALSE))*2</f>
        <v>#REF!</v>
      </c>
      <c r="BQ179" s="372" t="e">
        <f ca="1">(VLOOKUP($BH179,坦克部件!#REF!,MATCH("标准值",坦克部件!#REF!,0),FALSE)+VLOOKUP($BI179,坦克部件!#REF!,MATCH("标准值",坦克部件!#REF!,0),FALSE))*2</f>
        <v>#REF!</v>
      </c>
      <c r="BR179" s="372" t="e">
        <f ca="1">(VLOOKUP($BH179,坦克部件!#REF!,MATCH("标准值",坦克部件!#REF!,0),FALSE)+VLOOKUP($BI179,坦克部件!#REF!,MATCH("标准值",坦克部件!#REF!,0),FALSE))*2</f>
        <v>#REF!</v>
      </c>
      <c r="BS179" s="372" t="e">
        <f ca="1">VLOOKUP($BF179,坦克属性统计!$B$3:$AY$33,MATCH(BS$3,坦克属性统计!$B$3:$AY$3,0),FALSE)</f>
        <v>#N/A</v>
      </c>
      <c r="BT179" s="372" t="e">
        <f t="shared" ca="1" si="120"/>
        <v>#N/A</v>
      </c>
      <c r="BU179" s="372" t="e">
        <f t="shared" ca="1" si="120"/>
        <v>#N/A</v>
      </c>
      <c r="BV179" s="372" t="e">
        <f t="shared" ca="1" si="120"/>
        <v>#N/A</v>
      </c>
      <c r="BW179" s="356">
        <f t="shared" ca="1" si="101"/>
        <v>0</v>
      </c>
      <c r="BX179" s="356" t="e">
        <f ca="1">VLOOKUP(BF179,坦克个性化设定!$B$18:$E$48,4,FALSE)</f>
        <v>#N/A</v>
      </c>
      <c r="BY179" s="357" t="e">
        <f t="shared" ca="1" si="108"/>
        <v>#N/A</v>
      </c>
    </row>
    <row r="180" spans="15:77" x14ac:dyDescent="0.35">
      <c r="O180" s="365">
        <v>177</v>
      </c>
      <c r="P180" s="360" t="e">
        <f t="shared" ca="1" si="115"/>
        <v>#REF!</v>
      </c>
      <c r="Q180" s="360" t="e">
        <f ca="1">ROUND(MIN((BD180-VLOOKUP(R180,$B$22:$F$46,2,FALSE))/(VLOOKUP(R180,$B$22:$F$46,3,FALSE)-VLOOKUP(R180,$B$22:$F$46,2,FALSE)),1)*((VLOOKUP(R180,$B$22:$F$46,4,FALSE)*(AG180/(AG180+VLOOKUP(P180,$D$49:$F$123,3,TRUE)))+VLOOKUP(R180,$B$22:$F$46,5,FALSE)*(1-AG180/(AG180+VLOOKUP(P180,$D$49:$F$123,3,TRUE))))/2)*游戏时长规划!$C$4,0)</f>
        <v>#REF!</v>
      </c>
      <c r="R180" s="360" t="e">
        <f t="shared" ca="1" si="88"/>
        <v>#REF!</v>
      </c>
      <c r="S180" s="360" t="e">
        <f t="shared" ca="1" si="109"/>
        <v>#REF!</v>
      </c>
      <c r="T180" s="360" t="e">
        <f t="shared" ca="1" si="116"/>
        <v>#REF!</v>
      </c>
      <c r="U180" s="370" t="e">
        <f t="shared" ca="1" si="89"/>
        <v>#REF!</v>
      </c>
      <c r="V180" s="363" t="e">
        <f t="shared" ca="1" si="110"/>
        <v>#REF!</v>
      </c>
      <c r="W180" s="360" t="e">
        <f t="shared" ca="1" si="90"/>
        <v>#REF!</v>
      </c>
      <c r="X180" s="81" t="e">
        <f t="shared" ca="1" si="102"/>
        <v>#REF!</v>
      </c>
      <c r="Y180" s="360" t="str">
        <f t="shared" ca="1" si="91"/>
        <v>NULL</v>
      </c>
      <c r="Z180" s="375" t="e">
        <f t="shared" ca="1" si="103"/>
        <v>#REF!</v>
      </c>
      <c r="AA180" s="360">
        <f ca="1">IFERROR(VLOOKUP(IF(V180="T1低",游戏时长规划!$C$67+Z180,Z180),INDIRECT(V180&amp;"星级"),2,TRUE),0)</f>
        <v>0</v>
      </c>
      <c r="AB180" s="375" t="e">
        <f t="shared" ca="1" si="92"/>
        <v>#REF!</v>
      </c>
      <c r="AC180" s="375">
        <f ca="1">($D$14+$D$17)*$L$4/坦克部件养成!$C$2+AC179-IFERROR(IF(RIGHT(AD179,3)*1&gt;RIGHT(VLOOKUP(AC179,INDIRECT(LEFT(AD178,2)&amp;"部件升阶"),5,TRUE),3)*1,VLOOKUP(AD178,INDIRECT(LEFT(AD178,2)&amp;"部件升阶消耗"),2,FALSE),0),0)</f>
        <v>2094.4999999999955</v>
      </c>
      <c r="AD180" s="360" t="e">
        <f t="shared" ca="1" si="93"/>
        <v>#REF!</v>
      </c>
      <c r="AE180" s="375" t="e">
        <f ca="1">$D$15*$L$4/坦克部件养成!$C$2+AE179-IF(LEFT(AD180,2)&lt;&gt;LEFT(AD179,2),VLOOKUP(AF179,INDIRECT(LEFT(AD179,2)&amp;"部件升级消耗"),5,FALSE),0)</f>
        <v>#REF!</v>
      </c>
      <c r="AF180" s="360" t="e">
        <f ca="1">MIN(VLOOKUP(AE180,INDIRECT(LEFT(AD180,2)&amp;"部件升级"),2,TRUE),VLOOKUP(LEFT(AD180,2),坦克部件养成!#REF!,6,FALSE))</f>
        <v>#REF!</v>
      </c>
      <c r="AG180" s="378" t="e">
        <f ca="1">MAX(BD$4:BD180)</f>
        <v>#REF!</v>
      </c>
      <c r="AH180" s="378" t="str">
        <f t="shared" ca="1" si="94"/>
        <v/>
      </c>
      <c r="AI180" s="378">
        <f ca="1">IF(Y180="NULL",0,MAX(BY$4:BY180))</f>
        <v>0</v>
      </c>
      <c r="AK180" s="364" t="e">
        <f t="shared" ca="1" si="95"/>
        <v>#REF!</v>
      </c>
      <c r="AL180" s="364" t="e">
        <f ca="1">VLOOKUP(AK180,坦克个性化设定!$B$18:$F$48,5,FALSE)</f>
        <v>#REF!</v>
      </c>
      <c r="AM180" s="372" t="e">
        <f t="shared" ca="1" si="96"/>
        <v>#REF!</v>
      </c>
      <c r="AN180" s="372" t="e">
        <f t="shared" ca="1" si="104"/>
        <v>#REF!</v>
      </c>
      <c r="AO180" s="364">
        <f t="shared" ca="1" si="97"/>
        <v>0</v>
      </c>
      <c r="AP180" s="372" t="e">
        <f ca="1">VLOOKUP($AK180&amp;$AO180,所有坦克升星属性,MATCH(AP$3,所有坦克升星属性标头,0),FALSE)+ROUND(AU180/VLOOKUP($AK180,坦克部件!#REF!,4,FALSE)*VLOOKUP($AK180&amp;0,所有坦克升星属性,MATCH(AP$3,所有坦克升星属性标头,0),FALSE),0)</f>
        <v>#REF!</v>
      </c>
      <c r="AQ180" s="372" t="e">
        <f ca="1">VLOOKUP($AK180&amp;$AO180,所有坦克升星属性,MATCH(AQ$3,所有坦克升星属性标头,0),FALSE)+ROUND(AV180/VLOOKUP($AK180,坦克部件!#REF!,4,FALSE)*VLOOKUP($AK180&amp;0,所有坦克升星属性,MATCH(AQ$3,所有坦克升星属性标头,0),FALSE),0)</f>
        <v>#REF!</v>
      </c>
      <c r="AR180" s="372" t="e">
        <f t="shared" ca="1" si="117"/>
        <v>#REF!</v>
      </c>
      <c r="AS180" s="372" t="e">
        <f t="shared" ca="1" si="117"/>
        <v>#REF!</v>
      </c>
      <c r="AT180" s="372" t="e">
        <f ca="1">VLOOKUP($AK180&amp;$AO180,所有坦克升星属性,MATCH(AT$3,所有坦克升星属性标头,0),FALSE)+ROUND(AW180/VLOOKUP($AK180,坦克部件!#REF!,4,FALSE)*VLOOKUP($AK180&amp;0,所有坦克升星属性,MATCH(AT$3,所有坦克升星属性标头,0),FALSE),0)</f>
        <v>#REF!</v>
      </c>
      <c r="AU180" s="372" t="e">
        <f ca="1">(VLOOKUP($AM180,坦克部件!#REF!,MATCH("标准值",坦克部件!#REF!,0),FALSE)+VLOOKUP($AN180,坦克部件!#REF!,MATCH("标准值",坦克部件!#REF!,0),FALSE))*2</f>
        <v>#REF!</v>
      </c>
      <c r="AV180" s="372" t="e">
        <f ca="1">(VLOOKUP($AM180,坦克部件!#REF!,MATCH("标准值",坦克部件!#REF!,0),FALSE)+VLOOKUP($AN180,坦克部件!#REF!,MATCH("标准值",坦克部件!#REF!,0),FALSE))*2</f>
        <v>#REF!</v>
      </c>
      <c r="AW180" s="372" t="e">
        <f ca="1">(VLOOKUP($AM180,坦克部件!#REF!,MATCH("标准值",坦克部件!#REF!,0),FALSE)+VLOOKUP($AN180,坦克部件!#REF!,MATCH("标准值",坦克部件!#REF!,0),FALSE))*2</f>
        <v>#REF!</v>
      </c>
      <c r="AX180" s="372" t="e">
        <f ca="1">VLOOKUP($AK180,坦克属性统计!$B$3:$AY$33,MATCH(AX$3,坦克属性统计!$B$3:$AY$3,0),FALSE)</f>
        <v>#REF!</v>
      </c>
      <c r="AY180" s="372" t="e">
        <f t="shared" ca="1" si="118"/>
        <v>#REF!</v>
      </c>
      <c r="AZ180" s="372" t="e">
        <f t="shared" ca="1" si="118"/>
        <v>#REF!</v>
      </c>
      <c r="BA180" s="372" t="e">
        <f t="shared" ca="1" si="118"/>
        <v>#REF!</v>
      </c>
      <c r="BB180" s="356" t="e">
        <f t="shared" ca="1" si="98"/>
        <v>#REF!</v>
      </c>
      <c r="BC180" s="356" t="e">
        <f ca="1">VLOOKUP(AK180,坦克个性化设定!$B$18:$E$48,4,FALSE)</f>
        <v>#REF!</v>
      </c>
      <c r="BD180" s="357" t="e">
        <f t="shared" ca="1" si="105"/>
        <v>#REF!</v>
      </c>
      <c r="BF180" s="357" t="str">
        <f t="shared" ca="1" si="99"/>
        <v/>
      </c>
      <c r="BG180" s="372" t="str">
        <f ca="1">IFERROR(VLOOKUP(BF180,坦克个性化设定!$B$18:$F$48,5,FALSE),"")</f>
        <v/>
      </c>
      <c r="BH180" s="372" t="e">
        <f t="shared" ca="1" si="106"/>
        <v>#REF!</v>
      </c>
      <c r="BI180" s="372" t="e">
        <f t="shared" ca="1" si="107"/>
        <v>#REF!</v>
      </c>
      <c r="BJ180" s="364" t="str">
        <f t="shared" ca="1" si="100"/>
        <v>NULL</v>
      </c>
      <c r="BK180" s="372" t="e">
        <f ca="1">VLOOKUP($BF180&amp;IF($BJ180="NULL",0,$BJ180),所有坦克升星属性,MATCH(BK$3,所有坦克升星属性标头,0),FALSE)+ROUND(BP180/VLOOKUP($BF180,坦克部件!#REF!,4,FALSE)*VLOOKUP($BF180&amp;0,所有坦克升星属性,MATCH(BK$3,所有坦克升星属性标头,0),FALSE),0)</f>
        <v>#N/A</v>
      </c>
      <c r="BL180" s="372" t="e">
        <f ca="1">VLOOKUP($BF180&amp;IF($BJ180="NULL",0,$BJ180),所有坦克升星属性,MATCH(BL$3,所有坦克升星属性标头,0),FALSE)+ROUND(BQ180/VLOOKUP($BF180,坦克部件!#REF!,4,FALSE)*VLOOKUP($BF180&amp;0,所有坦克升星属性,MATCH(BL$3,所有坦克升星属性标头,0),FALSE),0)</f>
        <v>#N/A</v>
      </c>
      <c r="BM180" s="372" t="e">
        <f t="shared" ca="1" si="119"/>
        <v>#N/A</v>
      </c>
      <c r="BN180" s="372" t="e">
        <f t="shared" ca="1" si="119"/>
        <v>#N/A</v>
      </c>
      <c r="BO180" s="372" t="e">
        <f ca="1">VLOOKUP($BF180&amp;IF($BJ180="NULL",0,$BJ180),所有坦克升星属性,MATCH(BO$3,所有坦克升星属性标头,0),FALSE)+ROUND(BR180/VLOOKUP($BF180,坦克部件!#REF!,4,FALSE)*VLOOKUP($BF180&amp;0,所有坦克升星属性,MATCH(BO$3,所有坦克升星属性标头,0),FALSE),0)</f>
        <v>#N/A</v>
      </c>
      <c r="BP180" s="372" t="e">
        <f ca="1">(VLOOKUP($BH180,坦克部件!#REF!,MATCH("标准值",坦克部件!#REF!,0),FALSE)+VLOOKUP($BI180,坦克部件!#REF!,MATCH("标准值",坦克部件!#REF!,0),FALSE))*2</f>
        <v>#REF!</v>
      </c>
      <c r="BQ180" s="372" t="e">
        <f ca="1">(VLOOKUP($BH180,坦克部件!#REF!,MATCH("标准值",坦克部件!#REF!,0),FALSE)+VLOOKUP($BI180,坦克部件!#REF!,MATCH("标准值",坦克部件!#REF!,0),FALSE))*2</f>
        <v>#REF!</v>
      </c>
      <c r="BR180" s="372" t="e">
        <f ca="1">(VLOOKUP($BH180,坦克部件!#REF!,MATCH("标准值",坦克部件!#REF!,0),FALSE)+VLOOKUP($BI180,坦克部件!#REF!,MATCH("标准值",坦克部件!#REF!,0),FALSE))*2</f>
        <v>#REF!</v>
      </c>
      <c r="BS180" s="372" t="e">
        <f ca="1">VLOOKUP($BF180,坦克属性统计!$B$3:$AY$33,MATCH(BS$3,坦克属性统计!$B$3:$AY$3,0),FALSE)</f>
        <v>#N/A</v>
      </c>
      <c r="BT180" s="372" t="e">
        <f t="shared" ca="1" si="120"/>
        <v>#N/A</v>
      </c>
      <c r="BU180" s="372" t="e">
        <f t="shared" ca="1" si="120"/>
        <v>#N/A</v>
      </c>
      <c r="BV180" s="372" t="e">
        <f t="shared" ca="1" si="120"/>
        <v>#N/A</v>
      </c>
      <c r="BW180" s="356">
        <f t="shared" ca="1" si="101"/>
        <v>0</v>
      </c>
      <c r="BX180" s="356" t="e">
        <f ca="1">VLOOKUP(BF180,坦克个性化设定!$B$18:$E$48,4,FALSE)</f>
        <v>#N/A</v>
      </c>
      <c r="BY180" s="357" t="e">
        <f t="shared" ca="1" si="108"/>
        <v>#N/A</v>
      </c>
    </row>
    <row r="181" spans="15:77" x14ac:dyDescent="0.35">
      <c r="O181" s="365">
        <v>178</v>
      </c>
      <c r="P181" s="360" t="e">
        <f t="shared" ca="1" si="115"/>
        <v>#REF!</v>
      </c>
      <c r="Q181" s="360" t="e">
        <f ca="1">ROUND(MIN((BD181-VLOOKUP(R181,$B$22:$F$46,2,FALSE))/(VLOOKUP(R181,$B$22:$F$46,3,FALSE)-VLOOKUP(R181,$B$22:$F$46,2,FALSE)),1)*((VLOOKUP(R181,$B$22:$F$46,4,FALSE)*(AG181/(AG181+VLOOKUP(P181,$D$49:$F$123,3,TRUE)))+VLOOKUP(R181,$B$22:$F$46,5,FALSE)*(1-AG181/(AG181+VLOOKUP(P181,$D$49:$F$123,3,TRUE))))/2)*游戏时长规划!$C$4,0)</f>
        <v>#REF!</v>
      </c>
      <c r="R181" s="360" t="e">
        <f t="shared" ca="1" si="88"/>
        <v>#REF!</v>
      </c>
      <c r="S181" s="360" t="e">
        <f t="shared" ca="1" si="109"/>
        <v>#REF!</v>
      </c>
      <c r="T181" s="360" t="e">
        <f t="shared" ca="1" si="116"/>
        <v>#REF!</v>
      </c>
      <c r="U181" s="370" t="e">
        <f t="shared" ca="1" si="89"/>
        <v>#REF!</v>
      </c>
      <c r="V181" s="363" t="e">
        <f t="shared" ca="1" si="110"/>
        <v>#REF!</v>
      </c>
      <c r="W181" s="360" t="e">
        <f t="shared" ca="1" si="90"/>
        <v>#REF!</v>
      </c>
      <c r="X181" s="81" t="e">
        <f t="shared" ca="1" si="102"/>
        <v>#REF!</v>
      </c>
      <c r="Y181" s="360" t="str">
        <f t="shared" ca="1" si="91"/>
        <v>NULL</v>
      </c>
      <c r="Z181" s="375" t="e">
        <f t="shared" ca="1" si="103"/>
        <v>#REF!</v>
      </c>
      <c r="AA181" s="360">
        <f ca="1">IFERROR(VLOOKUP(IF(V181="T1低",游戏时长规划!$C$67+Z181,Z181),INDIRECT(V181&amp;"星级"),2,TRUE),0)</f>
        <v>0</v>
      </c>
      <c r="AB181" s="375" t="e">
        <f t="shared" ca="1" si="92"/>
        <v>#REF!</v>
      </c>
      <c r="AC181" s="375">
        <f ca="1">($D$14+$D$17)*$L$4/坦克部件养成!$C$2+AC180-IFERROR(IF(RIGHT(AD180,3)*1&gt;RIGHT(VLOOKUP(AC180,INDIRECT(LEFT(AD179,2)&amp;"部件升阶"),5,TRUE),3)*1,VLOOKUP(AD179,INDIRECT(LEFT(AD179,2)&amp;"部件升阶消耗"),2,FALSE),0),0)</f>
        <v>2106.3333333333289</v>
      </c>
      <c r="AD181" s="360" t="e">
        <f t="shared" ca="1" si="93"/>
        <v>#REF!</v>
      </c>
      <c r="AE181" s="375" t="e">
        <f ca="1">$D$15*$L$4/坦克部件养成!$C$2+AE180-IF(LEFT(AD181,2)&lt;&gt;LEFT(AD180,2),VLOOKUP(AF180,INDIRECT(LEFT(AD180,2)&amp;"部件升级消耗"),5,FALSE),0)</f>
        <v>#REF!</v>
      </c>
      <c r="AF181" s="360" t="e">
        <f ca="1">MIN(VLOOKUP(AE181,INDIRECT(LEFT(AD181,2)&amp;"部件升级"),2,TRUE),VLOOKUP(LEFT(AD181,2),坦克部件养成!#REF!,6,FALSE))</f>
        <v>#REF!</v>
      </c>
      <c r="AG181" s="378" t="e">
        <f ca="1">MAX(BD$4:BD181)</f>
        <v>#REF!</v>
      </c>
      <c r="AH181" s="378" t="str">
        <f t="shared" ca="1" si="94"/>
        <v/>
      </c>
      <c r="AI181" s="378">
        <f ca="1">IF(Y181="NULL",0,MAX(BY$4:BY181))</f>
        <v>0</v>
      </c>
      <c r="AK181" s="364" t="e">
        <f t="shared" ca="1" si="95"/>
        <v>#REF!</v>
      </c>
      <c r="AL181" s="364" t="e">
        <f ca="1">VLOOKUP(AK181,坦克个性化设定!$B$18:$F$48,5,FALSE)</f>
        <v>#REF!</v>
      </c>
      <c r="AM181" s="372" t="e">
        <f t="shared" ca="1" si="96"/>
        <v>#REF!</v>
      </c>
      <c r="AN181" s="372" t="e">
        <f t="shared" ca="1" si="104"/>
        <v>#REF!</v>
      </c>
      <c r="AO181" s="364">
        <f t="shared" ca="1" si="97"/>
        <v>0</v>
      </c>
      <c r="AP181" s="372" t="e">
        <f ca="1">VLOOKUP($AK181&amp;$AO181,所有坦克升星属性,MATCH(AP$3,所有坦克升星属性标头,0),FALSE)+ROUND(AU181/VLOOKUP($AK181,坦克部件!#REF!,4,FALSE)*VLOOKUP($AK181&amp;0,所有坦克升星属性,MATCH(AP$3,所有坦克升星属性标头,0),FALSE),0)</f>
        <v>#REF!</v>
      </c>
      <c r="AQ181" s="372" t="e">
        <f ca="1">VLOOKUP($AK181&amp;$AO181,所有坦克升星属性,MATCH(AQ$3,所有坦克升星属性标头,0),FALSE)+ROUND(AV181/VLOOKUP($AK181,坦克部件!#REF!,4,FALSE)*VLOOKUP($AK181&amp;0,所有坦克升星属性,MATCH(AQ$3,所有坦克升星属性标头,0),FALSE),0)</f>
        <v>#REF!</v>
      </c>
      <c r="AR181" s="372" t="e">
        <f t="shared" ca="1" si="117"/>
        <v>#REF!</v>
      </c>
      <c r="AS181" s="372" t="e">
        <f t="shared" ca="1" si="117"/>
        <v>#REF!</v>
      </c>
      <c r="AT181" s="372" t="e">
        <f ca="1">VLOOKUP($AK181&amp;$AO181,所有坦克升星属性,MATCH(AT$3,所有坦克升星属性标头,0),FALSE)+ROUND(AW181/VLOOKUP($AK181,坦克部件!#REF!,4,FALSE)*VLOOKUP($AK181&amp;0,所有坦克升星属性,MATCH(AT$3,所有坦克升星属性标头,0),FALSE),0)</f>
        <v>#REF!</v>
      </c>
      <c r="AU181" s="372" t="e">
        <f ca="1">(VLOOKUP($AM181,坦克部件!#REF!,MATCH("标准值",坦克部件!#REF!,0),FALSE)+VLOOKUP($AN181,坦克部件!#REF!,MATCH("标准值",坦克部件!#REF!,0),FALSE))*2</f>
        <v>#REF!</v>
      </c>
      <c r="AV181" s="372" t="e">
        <f ca="1">(VLOOKUP($AM181,坦克部件!#REF!,MATCH("标准值",坦克部件!#REF!,0),FALSE)+VLOOKUP($AN181,坦克部件!#REF!,MATCH("标准值",坦克部件!#REF!,0),FALSE))*2</f>
        <v>#REF!</v>
      </c>
      <c r="AW181" s="372" t="e">
        <f ca="1">(VLOOKUP($AM181,坦克部件!#REF!,MATCH("标准值",坦克部件!#REF!,0),FALSE)+VLOOKUP($AN181,坦克部件!#REF!,MATCH("标准值",坦克部件!#REF!,0),FALSE))*2</f>
        <v>#REF!</v>
      </c>
      <c r="AX181" s="372" t="e">
        <f ca="1">VLOOKUP($AK181,坦克属性统计!$B$3:$AY$33,MATCH(AX$3,坦克属性统计!$B$3:$AY$3,0),FALSE)</f>
        <v>#REF!</v>
      </c>
      <c r="AY181" s="372" t="e">
        <f t="shared" ca="1" si="118"/>
        <v>#REF!</v>
      </c>
      <c r="AZ181" s="372" t="e">
        <f t="shared" ca="1" si="118"/>
        <v>#REF!</v>
      </c>
      <c r="BA181" s="372" t="e">
        <f t="shared" ca="1" si="118"/>
        <v>#REF!</v>
      </c>
      <c r="BB181" s="356" t="e">
        <f t="shared" ca="1" si="98"/>
        <v>#REF!</v>
      </c>
      <c r="BC181" s="356" t="e">
        <f ca="1">VLOOKUP(AK181,坦克个性化设定!$B$18:$E$48,4,FALSE)</f>
        <v>#REF!</v>
      </c>
      <c r="BD181" s="357" t="e">
        <f t="shared" ca="1" si="105"/>
        <v>#REF!</v>
      </c>
      <c r="BF181" s="357" t="str">
        <f t="shared" ca="1" si="99"/>
        <v/>
      </c>
      <c r="BG181" s="372" t="str">
        <f ca="1">IFERROR(VLOOKUP(BF181,坦克个性化设定!$B$18:$F$48,5,FALSE),"")</f>
        <v/>
      </c>
      <c r="BH181" s="372" t="e">
        <f t="shared" ca="1" si="106"/>
        <v>#REF!</v>
      </c>
      <c r="BI181" s="372" t="e">
        <f t="shared" ca="1" si="107"/>
        <v>#REF!</v>
      </c>
      <c r="BJ181" s="364" t="str">
        <f t="shared" ca="1" si="100"/>
        <v>NULL</v>
      </c>
      <c r="BK181" s="372" t="e">
        <f ca="1">VLOOKUP($BF181&amp;IF($BJ181="NULL",0,$BJ181),所有坦克升星属性,MATCH(BK$3,所有坦克升星属性标头,0),FALSE)+ROUND(BP181/VLOOKUP($BF181,坦克部件!#REF!,4,FALSE)*VLOOKUP($BF181&amp;0,所有坦克升星属性,MATCH(BK$3,所有坦克升星属性标头,0),FALSE),0)</f>
        <v>#N/A</v>
      </c>
      <c r="BL181" s="372" t="e">
        <f ca="1">VLOOKUP($BF181&amp;IF($BJ181="NULL",0,$BJ181),所有坦克升星属性,MATCH(BL$3,所有坦克升星属性标头,0),FALSE)+ROUND(BQ181/VLOOKUP($BF181,坦克部件!#REF!,4,FALSE)*VLOOKUP($BF181&amp;0,所有坦克升星属性,MATCH(BL$3,所有坦克升星属性标头,0),FALSE),0)</f>
        <v>#N/A</v>
      </c>
      <c r="BM181" s="372" t="e">
        <f t="shared" ca="1" si="119"/>
        <v>#N/A</v>
      </c>
      <c r="BN181" s="372" t="e">
        <f t="shared" ca="1" si="119"/>
        <v>#N/A</v>
      </c>
      <c r="BO181" s="372" t="e">
        <f ca="1">VLOOKUP($BF181&amp;IF($BJ181="NULL",0,$BJ181),所有坦克升星属性,MATCH(BO$3,所有坦克升星属性标头,0),FALSE)+ROUND(BR181/VLOOKUP($BF181,坦克部件!#REF!,4,FALSE)*VLOOKUP($BF181&amp;0,所有坦克升星属性,MATCH(BO$3,所有坦克升星属性标头,0),FALSE),0)</f>
        <v>#N/A</v>
      </c>
      <c r="BP181" s="372" t="e">
        <f ca="1">(VLOOKUP($BH181,坦克部件!#REF!,MATCH("标准值",坦克部件!#REF!,0),FALSE)+VLOOKUP($BI181,坦克部件!#REF!,MATCH("标准值",坦克部件!#REF!,0),FALSE))*2</f>
        <v>#REF!</v>
      </c>
      <c r="BQ181" s="372" t="e">
        <f ca="1">(VLOOKUP($BH181,坦克部件!#REF!,MATCH("标准值",坦克部件!#REF!,0),FALSE)+VLOOKUP($BI181,坦克部件!#REF!,MATCH("标准值",坦克部件!#REF!,0),FALSE))*2</f>
        <v>#REF!</v>
      </c>
      <c r="BR181" s="372" t="e">
        <f ca="1">(VLOOKUP($BH181,坦克部件!#REF!,MATCH("标准值",坦克部件!#REF!,0),FALSE)+VLOOKUP($BI181,坦克部件!#REF!,MATCH("标准值",坦克部件!#REF!,0),FALSE))*2</f>
        <v>#REF!</v>
      </c>
      <c r="BS181" s="372" t="e">
        <f ca="1">VLOOKUP($BF181,坦克属性统计!$B$3:$AY$33,MATCH(BS$3,坦克属性统计!$B$3:$AY$3,0),FALSE)</f>
        <v>#N/A</v>
      </c>
      <c r="BT181" s="372" t="e">
        <f t="shared" ca="1" si="120"/>
        <v>#N/A</v>
      </c>
      <c r="BU181" s="372" t="e">
        <f t="shared" ca="1" si="120"/>
        <v>#N/A</v>
      </c>
      <c r="BV181" s="372" t="e">
        <f t="shared" ca="1" si="120"/>
        <v>#N/A</v>
      </c>
      <c r="BW181" s="356">
        <f t="shared" ca="1" si="101"/>
        <v>0</v>
      </c>
      <c r="BX181" s="356" t="e">
        <f ca="1">VLOOKUP(BF181,坦克个性化设定!$B$18:$E$48,4,FALSE)</f>
        <v>#N/A</v>
      </c>
      <c r="BY181" s="357" t="e">
        <f t="shared" ca="1" si="108"/>
        <v>#N/A</v>
      </c>
    </row>
    <row r="182" spans="15:77" x14ac:dyDescent="0.35">
      <c r="O182" s="365">
        <v>179</v>
      </c>
      <c r="P182" s="360" t="e">
        <f t="shared" ca="1" si="115"/>
        <v>#REF!</v>
      </c>
      <c r="Q182" s="360" t="e">
        <f ca="1">ROUND(MIN((BD182-VLOOKUP(R182,$B$22:$F$46,2,FALSE))/(VLOOKUP(R182,$B$22:$F$46,3,FALSE)-VLOOKUP(R182,$B$22:$F$46,2,FALSE)),1)*((VLOOKUP(R182,$B$22:$F$46,4,FALSE)*(AG182/(AG182+VLOOKUP(P182,$D$49:$F$123,3,TRUE)))+VLOOKUP(R182,$B$22:$F$46,5,FALSE)*(1-AG182/(AG182+VLOOKUP(P182,$D$49:$F$123,3,TRUE))))/2)*游戏时长规划!$C$4,0)</f>
        <v>#REF!</v>
      </c>
      <c r="R182" s="360" t="e">
        <f t="shared" ca="1" si="88"/>
        <v>#REF!</v>
      </c>
      <c r="S182" s="360" t="e">
        <f t="shared" ca="1" si="109"/>
        <v>#REF!</v>
      </c>
      <c r="T182" s="360" t="e">
        <f t="shared" ca="1" si="116"/>
        <v>#REF!</v>
      </c>
      <c r="U182" s="370" t="e">
        <f t="shared" ca="1" si="89"/>
        <v>#REF!</v>
      </c>
      <c r="V182" s="363" t="e">
        <f t="shared" ca="1" si="110"/>
        <v>#REF!</v>
      </c>
      <c r="W182" s="360" t="e">
        <f t="shared" ca="1" si="90"/>
        <v>#REF!</v>
      </c>
      <c r="X182" s="81" t="e">
        <f t="shared" ca="1" si="102"/>
        <v>#REF!</v>
      </c>
      <c r="Y182" s="360" t="str">
        <f t="shared" ca="1" si="91"/>
        <v>NULL</v>
      </c>
      <c r="Z182" s="375" t="e">
        <f t="shared" ca="1" si="103"/>
        <v>#REF!</v>
      </c>
      <c r="AA182" s="360">
        <f ca="1">IFERROR(VLOOKUP(IF(V182="T1低",游戏时长规划!$C$67+Z182,Z182),INDIRECT(V182&amp;"星级"),2,TRUE),0)</f>
        <v>0</v>
      </c>
      <c r="AB182" s="375" t="e">
        <f t="shared" ca="1" si="92"/>
        <v>#REF!</v>
      </c>
      <c r="AC182" s="375">
        <f ca="1">($D$14+$D$17)*$L$4/坦克部件养成!$C$2+AC181-IFERROR(IF(RIGHT(AD181,3)*1&gt;RIGHT(VLOOKUP(AC181,INDIRECT(LEFT(AD180,2)&amp;"部件升阶"),5,TRUE),3)*1,VLOOKUP(AD180,INDIRECT(LEFT(AD180,2)&amp;"部件升阶消耗"),2,FALSE),0),0)</f>
        <v>2118.1666666666624</v>
      </c>
      <c r="AD182" s="360" t="e">
        <f t="shared" ca="1" si="93"/>
        <v>#REF!</v>
      </c>
      <c r="AE182" s="375" t="e">
        <f ca="1">$D$15*$L$4/坦克部件养成!$C$2+AE181-IF(LEFT(AD182,2)&lt;&gt;LEFT(AD181,2),VLOOKUP(AF181,INDIRECT(LEFT(AD181,2)&amp;"部件升级消耗"),5,FALSE),0)</f>
        <v>#REF!</v>
      </c>
      <c r="AF182" s="360" t="e">
        <f ca="1">MIN(VLOOKUP(AE182,INDIRECT(LEFT(AD182,2)&amp;"部件升级"),2,TRUE),VLOOKUP(LEFT(AD182,2),坦克部件养成!#REF!,6,FALSE))</f>
        <v>#REF!</v>
      </c>
      <c r="AG182" s="378" t="e">
        <f ca="1">MAX(BD$4:BD182)</f>
        <v>#REF!</v>
      </c>
      <c r="AH182" s="378" t="str">
        <f t="shared" ca="1" si="94"/>
        <v/>
      </c>
      <c r="AI182" s="378">
        <f ca="1">IF(Y182="NULL",0,MAX(BY$4:BY182))</f>
        <v>0</v>
      </c>
      <c r="AK182" s="364" t="e">
        <f t="shared" ca="1" si="95"/>
        <v>#REF!</v>
      </c>
      <c r="AL182" s="364" t="e">
        <f ca="1">VLOOKUP(AK182,坦克个性化设定!$B$18:$F$48,5,FALSE)</f>
        <v>#REF!</v>
      </c>
      <c r="AM182" s="372" t="e">
        <f t="shared" ca="1" si="96"/>
        <v>#REF!</v>
      </c>
      <c r="AN182" s="372" t="e">
        <f t="shared" ca="1" si="104"/>
        <v>#REF!</v>
      </c>
      <c r="AO182" s="364">
        <f t="shared" ca="1" si="97"/>
        <v>0</v>
      </c>
      <c r="AP182" s="372" t="e">
        <f ca="1">VLOOKUP($AK182&amp;$AO182,所有坦克升星属性,MATCH(AP$3,所有坦克升星属性标头,0),FALSE)+ROUND(AU182/VLOOKUP($AK182,坦克部件!#REF!,4,FALSE)*VLOOKUP($AK182&amp;0,所有坦克升星属性,MATCH(AP$3,所有坦克升星属性标头,0),FALSE),0)</f>
        <v>#REF!</v>
      </c>
      <c r="AQ182" s="372" t="e">
        <f ca="1">VLOOKUP($AK182&amp;$AO182,所有坦克升星属性,MATCH(AQ$3,所有坦克升星属性标头,0),FALSE)+ROUND(AV182/VLOOKUP($AK182,坦克部件!#REF!,4,FALSE)*VLOOKUP($AK182&amp;0,所有坦克升星属性,MATCH(AQ$3,所有坦克升星属性标头,0),FALSE),0)</f>
        <v>#REF!</v>
      </c>
      <c r="AR182" s="372" t="e">
        <f t="shared" ca="1" si="117"/>
        <v>#REF!</v>
      </c>
      <c r="AS182" s="372" t="e">
        <f t="shared" ca="1" si="117"/>
        <v>#REF!</v>
      </c>
      <c r="AT182" s="372" t="e">
        <f ca="1">VLOOKUP($AK182&amp;$AO182,所有坦克升星属性,MATCH(AT$3,所有坦克升星属性标头,0),FALSE)+ROUND(AW182/VLOOKUP($AK182,坦克部件!#REF!,4,FALSE)*VLOOKUP($AK182&amp;0,所有坦克升星属性,MATCH(AT$3,所有坦克升星属性标头,0),FALSE),0)</f>
        <v>#REF!</v>
      </c>
      <c r="AU182" s="372" t="e">
        <f ca="1">(VLOOKUP($AM182,坦克部件!#REF!,MATCH("标准值",坦克部件!#REF!,0),FALSE)+VLOOKUP($AN182,坦克部件!#REF!,MATCH("标准值",坦克部件!#REF!,0),FALSE))*2</f>
        <v>#REF!</v>
      </c>
      <c r="AV182" s="372" t="e">
        <f ca="1">(VLOOKUP($AM182,坦克部件!#REF!,MATCH("标准值",坦克部件!#REF!,0),FALSE)+VLOOKUP($AN182,坦克部件!#REF!,MATCH("标准值",坦克部件!#REF!,0),FALSE))*2</f>
        <v>#REF!</v>
      </c>
      <c r="AW182" s="372" t="e">
        <f ca="1">(VLOOKUP($AM182,坦克部件!#REF!,MATCH("标准值",坦克部件!#REF!,0),FALSE)+VLOOKUP($AN182,坦克部件!#REF!,MATCH("标准值",坦克部件!#REF!,0),FALSE))*2</f>
        <v>#REF!</v>
      </c>
      <c r="AX182" s="372" t="e">
        <f ca="1">VLOOKUP($AK182,坦克属性统计!$B$3:$AY$33,MATCH(AX$3,坦克属性统计!$B$3:$AY$3,0),FALSE)</f>
        <v>#REF!</v>
      </c>
      <c r="AY182" s="372" t="e">
        <f t="shared" ca="1" si="118"/>
        <v>#REF!</v>
      </c>
      <c r="AZ182" s="372" t="e">
        <f t="shared" ca="1" si="118"/>
        <v>#REF!</v>
      </c>
      <c r="BA182" s="372" t="e">
        <f t="shared" ca="1" si="118"/>
        <v>#REF!</v>
      </c>
      <c r="BB182" s="356" t="e">
        <f t="shared" ca="1" si="98"/>
        <v>#REF!</v>
      </c>
      <c r="BC182" s="356" t="e">
        <f ca="1">VLOOKUP(AK182,坦克个性化设定!$B$18:$E$48,4,FALSE)</f>
        <v>#REF!</v>
      </c>
      <c r="BD182" s="357" t="e">
        <f t="shared" ca="1" si="105"/>
        <v>#REF!</v>
      </c>
      <c r="BF182" s="357" t="str">
        <f t="shared" ca="1" si="99"/>
        <v/>
      </c>
      <c r="BG182" s="372" t="str">
        <f ca="1">IFERROR(VLOOKUP(BF182,坦克个性化设定!$B$18:$F$48,5,FALSE),"")</f>
        <v/>
      </c>
      <c r="BH182" s="372" t="e">
        <f t="shared" ca="1" si="106"/>
        <v>#REF!</v>
      </c>
      <c r="BI182" s="372" t="e">
        <f t="shared" ca="1" si="107"/>
        <v>#REF!</v>
      </c>
      <c r="BJ182" s="364" t="str">
        <f t="shared" ca="1" si="100"/>
        <v>NULL</v>
      </c>
      <c r="BK182" s="372" t="e">
        <f ca="1">VLOOKUP($BF182&amp;IF($BJ182="NULL",0,$BJ182),所有坦克升星属性,MATCH(BK$3,所有坦克升星属性标头,0),FALSE)+ROUND(BP182/VLOOKUP($BF182,坦克部件!#REF!,4,FALSE)*VLOOKUP($BF182&amp;0,所有坦克升星属性,MATCH(BK$3,所有坦克升星属性标头,0),FALSE),0)</f>
        <v>#N/A</v>
      </c>
      <c r="BL182" s="372" t="e">
        <f ca="1">VLOOKUP($BF182&amp;IF($BJ182="NULL",0,$BJ182),所有坦克升星属性,MATCH(BL$3,所有坦克升星属性标头,0),FALSE)+ROUND(BQ182/VLOOKUP($BF182,坦克部件!#REF!,4,FALSE)*VLOOKUP($BF182&amp;0,所有坦克升星属性,MATCH(BL$3,所有坦克升星属性标头,0),FALSE),0)</f>
        <v>#N/A</v>
      </c>
      <c r="BM182" s="372" t="e">
        <f t="shared" ca="1" si="119"/>
        <v>#N/A</v>
      </c>
      <c r="BN182" s="372" t="e">
        <f t="shared" ca="1" si="119"/>
        <v>#N/A</v>
      </c>
      <c r="BO182" s="372" t="e">
        <f ca="1">VLOOKUP($BF182&amp;IF($BJ182="NULL",0,$BJ182),所有坦克升星属性,MATCH(BO$3,所有坦克升星属性标头,0),FALSE)+ROUND(BR182/VLOOKUP($BF182,坦克部件!#REF!,4,FALSE)*VLOOKUP($BF182&amp;0,所有坦克升星属性,MATCH(BO$3,所有坦克升星属性标头,0),FALSE),0)</f>
        <v>#N/A</v>
      </c>
      <c r="BP182" s="372" t="e">
        <f ca="1">(VLOOKUP($BH182,坦克部件!#REF!,MATCH("标准值",坦克部件!#REF!,0),FALSE)+VLOOKUP($BI182,坦克部件!#REF!,MATCH("标准值",坦克部件!#REF!,0),FALSE))*2</f>
        <v>#REF!</v>
      </c>
      <c r="BQ182" s="372" t="e">
        <f ca="1">(VLOOKUP($BH182,坦克部件!#REF!,MATCH("标准值",坦克部件!#REF!,0),FALSE)+VLOOKUP($BI182,坦克部件!#REF!,MATCH("标准值",坦克部件!#REF!,0),FALSE))*2</f>
        <v>#REF!</v>
      </c>
      <c r="BR182" s="372" t="e">
        <f ca="1">(VLOOKUP($BH182,坦克部件!#REF!,MATCH("标准值",坦克部件!#REF!,0),FALSE)+VLOOKUP($BI182,坦克部件!#REF!,MATCH("标准值",坦克部件!#REF!,0),FALSE))*2</f>
        <v>#REF!</v>
      </c>
      <c r="BS182" s="372" t="e">
        <f ca="1">VLOOKUP($BF182,坦克属性统计!$B$3:$AY$33,MATCH(BS$3,坦克属性统计!$B$3:$AY$3,0),FALSE)</f>
        <v>#N/A</v>
      </c>
      <c r="BT182" s="372" t="e">
        <f t="shared" ca="1" si="120"/>
        <v>#N/A</v>
      </c>
      <c r="BU182" s="372" t="e">
        <f t="shared" ca="1" si="120"/>
        <v>#N/A</v>
      </c>
      <c r="BV182" s="372" t="e">
        <f t="shared" ca="1" si="120"/>
        <v>#N/A</v>
      </c>
      <c r="BW182" s="356">
        <f t="shared" ca="1" si="101"/>
        <v>0</v>
      </c>
      <c r="BX182" s="356" t="e">
        <f ca="1">VLOOKUP(BF182,坦克个性化设定!$B$18:$E$48,4,FALSE)</f>
        <v>#N/A</v>
      </c>
      <c r="BY182" s="357" t="e">
        <f t="shared" ca="1" si="108"/>
        <v>#N/A</v>
      </c>
    </row>
    <row r="183" spans="15:77" x14ac:dyDescent="0.35">
      <c r="O183" s="365">
        <v>180</v>
      </c>
      <c r="P183" s="360" t="e">
        <f t="shared" ca="1" si="115"/>
        <v>#REF!</v>
      </c>
      <c r="Q183" s="360" t="e">
        <f ca="1">ROUND(MIN((BD183-VLOOKUP(R183,$B$22:$F$46,2,FALSE))/(VLOOKUP(R183,$B$22:$F$46,3,FALSE)-VLOOKUP(R183,$B$22:$F$46,2,FALSE)),1)*((VLOOKUP(R183,$B$22:$F$46,4,FALSE)*(AG183/(AG183+VLOOKUP(P183,$D$49:$F$123,3,TRUE)))+VLOOKUP(R183,$B$22:$F$46,5,FALSE)*(1-AG183/(AG183+VLOOKUP(P183,$D$49:$F$123,3,TRUE))))/2)*游戏时长规划!$C$4,0)</f>
        <v>#REF!</v>
      </c>
      <c r="R183" s="360" t="e">
        <f t="shared" ca="1" si="88"/>
        <v>#REF!</v>
      </c>
      <c r="S183" s="360" t="e">
        <f t="shared" ca="1" si="109"/>
        <v>#REF!</v>
      </c>
      <c r="T183" s="360" t="e">
        <f t="shared" ca="1" si="116"/>
        <v>#REF!</v>
      </c>
      <c r="U183" s="370" t="e">
        <f t="shared" ca="1" si="89"/>
        <v>#REF!</v>
      </c>
      <c r="V183" s="363" t="e">
        <f t="shared" ca="1" si="110"/>
        <v>#REF!</v>
      </c>
      <c r="W183" s="360" t="e">
        <f t="shared" ca="1" si="90"/>
        <v>#REF!</v>
      </c>
      <c r="X183" s="81" t="e">
        <f t="shared" ca="1" si="102"/>
        <v>#REF!</v>
      </c>
      <c r="Y183" s="360" t="str">
        <f t="shared" ca="1" si="91"/>
        <v>NULL</v>
      </c>
      <c r="Z183" s="375" t="e">
        <f t="shared" ca="1" si="103"/>
        <v>#REF!</v>
      </c>
      <c r="AA183" s="360">
        <f ca="1">IFERROR(VLOOKUP(IF(V183="T1低",游戏时长规划!$C$67+Z183,Z183),INDIRECT(V183&amp;"星级"),2,TRUE),0)</f>
        <v>0</v>
      </c>
      <c r="AB183" s="375" t="e">
        <f t="shared" ca="1" si="92"/>
        <v>#REF!</v>
      </c>
      <c r="AC183" s="375">
        <f ca="1">($D$14+$D$17)*$L$4/坦克部件养成!$C$2+AC182-IFERROR(IF(RIGHT(AD182,3)*1&gt;RIGHT(VLOOKUP(AC182,INDIRECT(LEFT(AD181,2)&amp;"部件升阶"),5,TRUE),3)*1,VLOOKUP(AD181,INDIRECT(LEFT(AD181,2)&amp;"部件升阶消耗"),2,FALSE),0),0)</f>
        <v>2129.9999999999959</v>
      </c>
      <c r="AD183" s="360" t="e">
        <f t="shared" ca="1" si="93"/>
        <v>#REF!</v>
      </c>
      <c r="AE183" s="375" t="e">
        <f ca="1">$D$15*$L$4/坦克部件养成!$C$2+AE182-IF(LEFT(AD183,2)&lt;&gt;LEFT(AD182,2),VLOOKUP(AF182,INDIRECT(LEFT(AD182,2)&amp;"部件升级消耗"),5,FALSE),0)</f>
        <v>#REF!</v>
      </c>
      <c r="AF183" s="360" t="e">
        <f ca="1">MIN(VLOOKUP(AE183,INDIRECT(LEFT(AD183,2)&amp;"部件升级"),2,TRUE),VLOOKUP(LEFT(AD183,2),坦克部件养成!#REF!,6,FALSE))</f>
        <v>#REF!</v>
      </c>
      <c r="AG183" s="378" t="e">
        <f ca="1">MAX(BD$4:BD183)</f>
        <v>#REF!</v>
      </c>
      <c r="AH183" s="378" t="str">
        <f t="shared" ca="1" si="94"/>
        <v/>
      </c>
      <c r="AI183" s="378">
        <f ca="1">IF(Y183="NULL",0,MAX(BY$4:BY183))</f>
        <v>0</v>
      </c>
      <c r="AK183" s="364" t="e">
        <f t="shared" ca="1" si="95"/>
        <v>#REF!</v>
      </c>
      <c r="AL183" s="364" t="e">
        <f ca="1">VLOOKUP(AK183,坦克个性化设定!$B$18:$F$48,5,FALSE)</f>
        <v>#REF!</v>
      </c>
      <c r="AM183" s="372" t="e">
        <f t="shared" ca="1" si="96"/>
        <v>#REF!</v>
      </c>
      <c r="AN183" s="372" t="e">
        <f t="shared" ca="1" si="104"/>
        <v>#REF!</v>
      </c>
      <c r="AO183" s="364">
        <f t="shared" ca="1" si="97"/>
        <v>0</v>
      </c>
      <c r="AP183" s="372" t="e">
        <f ca="1">VLOOKUP($AK183&amp;$AO183,所有坦克升星属性,MATCH(AP$3,所有坦克升星属性标头,0),FALSE)+ROUND(AU183/VLOOKUP($AK183,坦克部件!#REF!,4,FALSE)*VLOOKUP($AK183&amp;0,所有坦克升星属性,MATCH(AP$3,所有坦克升星属性标头,0),FALSE),0)</f>
        <v>#REF!</v>
      </c>
      <c r="AQ183" s="372" t="e">
        <f ca="1">VLOOKUP($AK183&amp;$AO183,所有坦克升星属性,MATCH(AQ$3,所有坦克升星属性标头,0),FALSE)+ROUND(AV183/VLOOKUP($AK183,坦克部件!#REF!,4,FALSE)*VLOOKUP($AK183&amp;0,所有坦克升星属性,MATCH(AQ$3,所有坦克升星属性标头,0),FALSE),0)</f>
        <v>#REF!</v>
      </c>
      <c r="AR183" s="372" t="e">
        <f t="shared" ca="1" si="117"/>
        <v>#REF!</v>
      </c>
      <c r="AS183" s="372" t="e">
        <f t="shared" ca="1" si="117"/>
        <v>#REF!</v>
      </c>
      <c r="AT183" s="372" t="e">
        <f ca="1">VLOOKUP($AK183&amp;$AO183,所有坦克升星属性,MATCH(AT$3,所有坦克升星属性标头,0),FALSE)+ROUND(AW183/VLOOKUP($AK183,坦克部件!#REF!,4,FALSE)*VLOOKUP($AK183&amp;0,所有坦克升星属性,MATCH(AT$3,所有坦克升星属性标头,0),FALSE),0)</f>
        <v>#REF!</v>
      </c>
      <c r="AU183" s="372" t="e">
        <f ca="1">(VLOOKUP($AM183,坦克部件!#REF!,MATCH("标准值",坦克部件!#REF!,0),FALSE)+VLOOKUP($AN183,坦克部件!#REF!,MATCH("标准值",坦克部件!#REF!,0),FALSE))*2</f>
        <v>#REF!</v>
      </c>
      <c r="AV183" s="372" t="e">
        <f ca="1">(VLOOKUP($AM183,坦克部件!#REF!,MATCH("标准值",坦克部件!#REF!,0),FALSE)+VLOOKUP($AN183,坦克部件!#REF!,MATCH("标准值",坦克部件!#REF!,0),FALSE))*2</f>
        <v>#REF!</v>
      </c>
      <c r="AW183" s="372" t="e">
        <f ca="1">(VLOOKUP($AM183,坦克部件!#REF!,MATCH("标准值",坦克部件!#REF!,0),FALSE)+VLOOKUP($AN183,坦克部件!#REF!,MATCH("标准值",坦克部件!#REF!,0),FALSE))*2</f>
        <v>#REF!</v>
      </c>
      <c r="AX183" s="372" t="e">
        <f ca="1">VLOOKUP($AK183,坦克属性统计!$B$3:$AY$33,MATCH(AX$3,坦克属性统计!$B$3:$AY$3,0),FALSE)</f>
        <v>#REF!</v>
      </c>
      <c r="AY183" s="372" t="e">
        <f t="shared" ca="1" si="118"/>
        <v>#REF!</v>
      </c>
      <c r="AZ183" s="372" t="e">
        <f t="shared" ca="1" si="118"/>
        <v>#REF!</v>
      </c>
      <c r="BA183" s="372" t="e">
        <f t="shared" ca="1" si="118"/>
        <v>#REF!</v>
      </c>
      <c r="BB183" s="356" t="e">
        <f t="shared" ca="1" si="98"/>
        <v>#REF!</v>
      </c>
      <c r="BC183" s="356" t="e">
        <f ca="1">VLOOKUP(AK183,坦克个性化设定!$B$18:$E$48,4,FALSE)</f>
        <v>#REF!</v>
      </c>
      <c r="BD183" s="357" t="e">
        <f t="shared" ca="1" si="105"/>
        <v>#REF!</v>
      </c>
      <c r="BF183" s="357" t="str">
        <f t="shared" ca="1" si="99"/>
        <v/>
      </c>
      <c r="BG183" s="372" t="str">
        <f ca="1">IFERROR(VLOOKUP(BF183,坦克个性化设定!$B$18:$F$48,5,FALSE),"")</f>
        <v/>
      </c>
      <c r="BH183" s="372" t="e">
        <f t="shared" ca="1" si="106"/>
        <v>#REF!</v>
      </c>
      <c r="BI183" s="372" t="e">
        <f t="shared" ca="1" si="107"/>
        <v>#REF!</v>
      </c>
      <c r="BJ183" s="364" t="str">
        <f t="shared" ca="1" si="100"/>
        <v>NULL</v>
      </c>
      <c r="BK183" s="372" t="e">
        <f ca="1">VLOOKUP($BF183&amp;IF($BJ183="NULL",0,$BJ183),所有坦克升星属性,MATCH(BK$3,所有坦克升星属性标头,0),FALSE)+ROUND(BP183/VLOOKUP($BF183,坦克部件!#REF!,4,FALSE)*VLOOKUP($BF183&amp;0,所有坦克升星属性,MATCH(BK$3,所有坦克升星属性标头,0),FALSE),0)</f>
        <v>#N/A</v>
      </c>
      <c r="BL183" s="372" t="e">
        <f ca="1">VLOOKUP($BF183&amp;IF($BJ183="NULL",0,$BJ183),所有坦克升星属性,MATCH(BL$3,所有坦克升星属性标头,0),FALSE)+ROUND(BQ183/VLOOKUP($BF183,坦克部件!#REF!,4,FALSE)*VLOOKUP($BF183&amp;0,所有坦克升星属性,MATCH(BL$3,所有坦克升星属性标头,0),FALSE),0)</f>
        <v>#N/A</v>
      </c>
      <c r="BM183" s="372" t="e">
        <f t="shared" ca="1" si="119"/>
        <v>#N/A</v>
      </c>
      <c r="BN183" s="372" t="e">
        <f t="shared" ca="1" si="119"/>
        <v>#N/A</v>
      </c>
      <c r="BO183" s="372" t="e">
        <f ca="1">VLOOKUP($BF183&amp;IF($BJ183="NULL",0,$BJ183),所有坦克升星属性,MATCH(BO$3,所有坦克升星属性标头,0),FALSE)+ROUND(BR183/VLOOKUP($BF183,坦克部件!#REF!,4,FALSE)*VLOOKUP($BF183&amp;0,所有坦克升星属性,MATCH(BO$3,所有坦克升星属性标头,0),FALSE),0)</f>
        <v>#N/A</v>
      </c>
      <c r="BP183" s="372" t="e">
        <f ca="1">(VLOOKUP($BH183,坦克部件!#REF!,MATCH("标准值",坦克部件!#REF!,0),FALSE)+VLOOKUP($BI183,坦克部件!#REF!,MATCH("标准值",坦克部件!#REF!,0),FALSE))*2</f>
        <v>#REF!</v>
      </c>
      <c r="BQ183" s="372" t="e">
        <f ca="1">(VLOOKUP($BH183,坦克部件!#REF!,MATCH("标准值",坦克部件!#REF!,0),FALSE)+VLOOKUP($BI183,坦克部件!#REF!,MATCH("标准值",坦克部件!#REF!,0),FALSE))*2</f>
        <v>#REF!</v>
      </c>
      <c r="BR183" s="372" t="e">
        <f ca="1">(VLOOKUP($BH183,坦克部件!#REF!,MATCH("标准值",坦克部件!#REF!,0),FALSE)+VLOOKUP($BI183,坦克部件!#REF!,MATCH("标准值",坦克部件!#REF!,0),FALSE))*2</f>
        <v>#REF!</v>
      </c>
      <c r="BS183" s="372" t="e">
        <f ca="1">VLOOKUP($BF183,坦克属性统计!$B$3:$AY$33,MATCH(BS$3,坦克属性统计!$B$3:$AY$3,0),FALSE)</f>
        <v>#N/A</v>
      </c>
      <c r="BT183" s="372" t="e">
        <f t="shared" ca="1" si="120"/>
        <v>#N/A</v>
      </c>
      <c r="BU183" s="372" t="e">
        <f t="shared" ca="1" si="120"/>
        <v>#N/A</v>
      </c>
      <c r="BV183" s="372" t="e">
        <f t="shared" ca="1" si="120"/>
        <v>#N/A</v>
      </c>
      <c r="BW183" s="356">
        <f t="shared" ca="1" si="101"/>
        <v>0</v>
      </c>
      <c r="BX183" s="356" t="e">
        <f ca="1">VLOOKUP(BF183,坦克个性化设定!$B$18:$E$48,4,FALSE)</f>
        <v>#N/A</v>
      </c>
      <c r="BY183" s="357" t="e">
        <f t="shared" ca="1" si="108"/>
        <v>#N/A</v>
      </c>
    </row>
    <row r="184" spans="15:77" x14ac:dyDescent="0.35">
      <c r="O184" s="365">
        <v>181</v>
      </c>
      <c r="P184" s="360" t="e">
        <f t="shared" ca="1" si="115"/>
        <v>#REF!</v>
      </c>
      <c r="Q184" s="360" t="e">
        <f ca="1">ROUND(MIN((BD184-VLOOKUP(R184,$B$22:$F$46,2,FALSE))/(VLOOKUP(R184,$B$22:$F$46,3,FALSE)-VLOOKUP(R184,$B$22:$F$46,2,FALSE)),1)*((VLOOKUP(R184,$B$22:$F$46,4,FALSE)*(AG184/(AG184+VLOOKUP(P184,$D$49:$F$123,3,TRUE)))+VLOOKUP(R184,$B$22:$F$46,5,FALSE)*(1-AG184/(AG184+VLOOKUP(P184,$D$49:$F$123,3,TRUE))))/2)*游戏时长规划!$C$4,0)</f>
        <v>#REF!</v>
      </c>
      <c r="R184" s="360" t="e">
        <f t="shared" ca="1" si="88"/>
        <v>#REF!</v>
      </c>
      <c r="S184" s="360" t="e">
        <f t="shared" ca="1" si="109"/>
        <v>#REF!</v>
      </c>
      <c r="T184" s="360" t="e">
        <f t="shared" ca="1" si="116"/>
        <v>#REF!</v>
      </c>
      <c r="U184" s="370" t="e">
        <f t="shared" ca="1" si="89"/>
        <v>#REF!</v>
      </c>
      <c r="V184" s="363" t="e">
        <f t="shared" ca="1" si="110"/>
        <v>#REF!</v>
      </c>
      <c r="W184" s="360" t="e">
        <f t="shared" ca="1" si="90"/>
        <v>#REF!</v>
      </c>
      <c r="X184" s="81" t="e">
        <f t="shared" ca="1" si="102"/>
        <v>#REF!</v>
      </c>
      <c r="Y184" s="360" t="str">
        <f t="shared" ca="1" si="91"/>
        <v>NULL</v>
      </c>
      <c r="Z184" s="375" t="e">
        <f t="shared" ca="1" si="103"/>
        <v>#REF!</v>
      </c>
      <c r="AA184" s="360">
        <f ca="1">IFERROR(VLOOKUP(IF(V184="T1低",游戏时长规划!$C$67+Z184,Z184),INDIRECT(V184&amp;"星级"),2,TRUE),0)</f>
        <v>0</v>
      </c>
      <c r="AB184" s="375" t="e">
        <f t="shared" ca="1" si="92"/>
        <v>#REF!</v>
      </c>
      <c r="AC184" s="375">
        <f ca="1">($D$14+$D$17)*$L$4/坦克部件养成!$C$2+AC183-IFERROR(IF(RIGHT(AD183,3)*1&gt;RIGHT(VLOOKUP(AC183,INDIRECT(LEFT(AD182,2)&amp;"部件升阶"),5,TRUE),3)*1,VLOOKUP(AD182,INDIRECT(LEFT(AD182,2)&amp;"部件升阶消耗"),2,FALSE),0),0)</f>
        <v>2141.8333333333294</v>
      </c>
      <c r="AD184" s="360" t="e">
        <f t="shared" ca="1" si="93"/>
        <v>#REF!</v>
      </c>
      <c r="AE184" s="375" t="e">
        <f ca="1">$D$15*$L$4/坦克部件养成!$C$2+AE183-IF(LEFT(AD184,2)&lt;&gt;LEFT(AD183,2),VLOOKUP(AF183,INDIRECT(LEFT(AD183,2)&amp;"部件升级消耗"),5,FALSE),0)</f>
        <v>#REF!</v>
      </c>
      <c r="AF184" s="360" t="e">
        <f ca="1">MIN(VLOOKUP(AE184,INDIRECT(LEFT(AD184,2)&amp;"部件升级"),2,TRUE),VLOOKUP(LEFT(AD184,2),坦克部件养成!#REF!,6,FALSE))</f>
        <v>#REF!</v>
      </c>
      <c r="AG184" s="378" t="e">
        <f ca="1">MAX(BD$4:BD184)</f>
        <v>#REF!</v>
      </c>
      <c r="AH184" s="378" t="str">
        <f t="shared" ca="1" si="94"/>
        <v/>
      </c>
      <c r="AI184" s="378">
        <f ca="1">IF(Y184="NULL",0,MAX(BY$4:BY184))</f>
        <v>0</v>
      </c>
      <c r="AK184" s="364" t="e">
        <f t="shared" ca="1" si="95"/>
        <v>#REF!</v>
      </c>
      <c r="AL184" s="364" t="e">
        <f ca="1">VLOOKUP(AK184,坦克个性化设定!$B$18:$F$48,5,FALSE)</f>
        <v>#REF!</v>
      </c>
      <c r="AM184" s="372" t="e">
        <f t="shared" ca="1" si="96"/>
        <v>#REF!</v>
      </c>
      <c r="AN184" s="372" t="e">
        <f t="shared" ca="1" si="104"/>
        <v>#REF!</v>
      </c>
      <c r="AO184" s="364">
        <f t="shared" ca="1" si="97"/>
        <v>0</v>
      </c>
      <c r="AP184" s="372" t="e">
        <f ca="1">VLOOKUP($AK184&amp;$AO184,所有坦克升星属性,MATCH(AP$3,所有坦克升星属性标头,0),FALSE)+ROUND(AU184/VLOOKUP($AK184,坦克部件!#REF!,4,FALSE)*VLOOKUP($AK184&amp;0,所有坦克升星属性,MATCH(AP$3,所有坦克升星属性标头,0),FALSE),0)</f>
        <v>#REF!</v>
      </c>
      <c r="AQ184" s="372" t="e">
        <f ca="1">VLOOKUP($AK184&amp;$AO184,所有坦克升星属性,MATCH(AQ$3,所有坦克升星属性标头,0),FALSE)+ROUND(AV184/VLOOKUP($AK184,坦克部件!#REF!,4,FALSE)*VLOOKUP($AK184&amp;0,所有坦克升星属性,MATCH(AQ$3,所有坦克升星属性标头,0),FALSE),0)</f>
        <v>#REF!</v>
      </c>
      <c r="AR184" s="372" t="e">
        <f t="shared" ref="AR184:AS203" ca="1" si="121">VLOOKUP($AK184&amp;$AO184,所有坦克升星属性,MATCH(AR$3,所有坦克升星属性标头,0),FALSE)</f>
        <v>#REF!</v>
      </c>
      <c r="AS184" s="372" t="e">
        <f t="shared" ca="1" si="121"/>
        <v>#REF!</v>
      </c>
      <c r="AT184" s="372" t="e">
        <f ca="1">VLOOKUP($AK184&amp;$AO184,所有坦克升星属性,MATCH(AT$3,所有坦克升星属性标头,0),FALSE)+ROUND(AW184/VLOOKUP($AK184,坦克部件!#REF!,4,FALSE)*VLOOKUP($AK184&amp;0,所有坦克升星属性,MATCH(AT$3,所有坦克升星属性标头,0),FALSE),0)</f>
        <v>#REF!</v>
      </c>
      <c r="AU184" s="372" t="e">
        <f ca="1">(VLOOKUP($AM184,坦克部件!#REF!,MATCH("标准值",坦克部件!#REF!,0),FALSE)+VLOOKUP($AN184,坦克部件!#REF!,MATCH("标准值",坦克部件!#REF!,0),FALSE))*2</f>
        <v>#REF!</v>
      </c>
      <c r="AV184" s="372" t="e">
        <f ca="1">(VLOOKUP($AM184,坦克部件!#REF!,MATCH("标准值",坦克部件!#REF!,0),FALSE)+VLOOKUP($AN184,坦克部件!#REF!,MATCH("标准值",坦克部件!#REF!,0),FALSE))*2</f>
        <v>#REF!</v>
      </c>
      <c r="AW184" s="372" t="e">
        <f ca="1">(VLOOKUP($AM184,坦克部件!#REF!,MATCH("标准值",坦克部件!#REF!,0),FALSE)+VLOOKUP($AN184,坦克部件!#REF!,MATCH("标准值",坦克部件!#REF!,0),FALSE))*2</f>
        <v>#REF!</v>
      </c>
      <c r="AX184" s="372" t="e">
        <f ca="1">VLOOKUP($AK184,坦克属性统计!$B$3:$AY$33,MATCH(AX$3,坦克属性统计!$B$3:$AY$3,0),FALSE)</f>
        <v>#REF!</v>
      </c>
      <c r="AY184" s="372" t="e">
        <f t="shared" ref="AY184:BA203" ca="1" si="122">VLOOKUP($AK184&amp;$AO184,所有坦克升星属性,MATCH(AY$3,所有坦克升星属性标头,0),FALSE)</f>
        <v>#REF!</v>
      </c>
      <c r="AZ184" s="372" t="e">
        <f t="shared" ca="1" si="122"/>
        <v>#REF!</v>
      </c>
      <c r="BA184" s="372" t="e">
        <f t="shared" ca="1" si="122"/>
        <v>#REF!</v>
      </c>
      <c r="BB184" s="356" t="e">
        <f t="shared" ca="1" si="98"/>
        <v>#REF!</v>
      </c>
      <c r="BC184" s="356" t="e">
        <f ca="1">VLOOKUP(AK184,坦克个性化设定!$B$18:$E$48,4,FALSE)</f>
        <v>#REF!</v>
      </c>
      <c r="BD184" s="357" t="e">
        <f t="shared" ca="1" si="105"/>
        <v>#REF!</v>
      </c>
      <c r="BF184" s="357" t="str">
        <f t="shared" ca="1" si="99"/>
        <v/>
      </c>
      <c r="BG184" s="372" t="str">
        <f ca="1">IFERROR(VLOOKUP(BF184,坦克个性化设定!$B$18:$F$48,5,FALSE),"")</f>
        <v/>
      </c>
      <c r="BH184" s="372" t="e">
        <f t="shared" ca="1" si="106"/>
        <v>#REF!</v>
      </c>
      <c r="BI184" s="372" t="e">
        <f t="shared" ca="1" si="107"/>
        <v>#REF!</v>
      </c>
      <c r="BJ184" s="364" t="str">
        <f t="shared" ca="1" si="100"/>
        <v>NULL</v>
      </c>
      <c r="BK184" s="372" t="e">
        <f ca="1">VLOOKUP($BF184&amp;IF($BJ184="NULL",0,$BJ184),所有坦克升星属性,MATCH(BK$3,所有坦克升星属性标头,0),FALSE)+ROUND(BP184/VLOOKUP($BF184,坦克部件!#REF!,4,FALSE)*VLOOKUP($BF184&amp;0,所有坦克升星属性,MATCH(BK$3,所有坦克升星属性标头,0),FALSE),0)</f>
        <v>#N/A</v>
      </c>
      <c r="BL184" s="372" t="e">
        <f ca="1">VLOOKUP($BF184&amp;IF($BJ184="NULL",0,$BJ184),所有坦克升星属性,MATCH(BL$3,所有坦克升星属性标头,0),FALSE)+ROUND(BQ184/VLOOKUP($BF184,坦克部件!#REF!,4,FALSE)*VLOOKUP($BF184&amp;0,所有坦克升星属性,MATCH(BL$3,所有坦克升星属性标头,0),FALSE),0)</f>
        <v>#N/A</v>
      </c>
      <c r="BM184" s="372" t="e">
        <f t="shared" ref="BM184:BN203" ca="1" si="123">VLOOKUP($BF184&amp;IF($BJ184="NULL",0,$BJ184),所有坦克升星属性,MATCH(BM$3,所有坦克升星属性标头,0),FALSE)</f>
        <v>#N/A</v>
      </c>
      <c r="BN184" s="372" t="e">
        <f t="shared" ca="1" si="123"/>
        <v>#N/A</v>
      </c>
      <c r="BO184" s="372" t="e">
        <f ca="1">VLOOKUP($BF184&amp;IF($BJ184="NULL",0,$BJ184),所有坦克升星属性,MATCH(BO$3,所有坦克升星属性标头,0),FALSE)+ROUND(BR184/VLOOKUP($BF184,坦克部件!#REF!,4,FALSE)*VLOOKUP($BF184&amp;0,所有坦克升星属性,MATCH(BO$3,所有坦克升星属性标头,0),FALSE),0)</f>
        <v>#N/A</v>
      </c>
      <c r="BP184" s="372" t="e">
        <f ca="1">(VLOOKUP($BH184,坦克部件!#REF!,MATCH("标准值",坦克部件!#REF!,0),FALSE)+VLOOKUP($BI184,坦克部件!#REF!,MATCH("标准值",坦克部件!#REF!,0),FALSE))*2</f>
        <v>#REF!</v>
      </c>
      <c r="BQ184" s="372" t="e">
        <f ca="1">(VLOOKUP($BH184,坦克部件!#REF!,MATCH("标准值",坦克部件!#REF!,0),FALSE)+VLOOKUP($BI184,坦克部件!#REF!,MATCH("标准值",坦克部件!#REF!,0),FALSE))*2</f>
        <v>#REF!</v>
      </c>
      <c r="BR184" s="372" t="e">
        <f ca="1">(VLOOKUP($BH184,坦克部件!#REF!,MATCH("标准值",坦克部件!#REF!,0),FALSE)+VLOOKUP($BI184,坦克部件!#REF!,MATCH("标准值",坦克部件!#REF!,0),FALSE))*2</f>
        <v>#REF!</v>
      </c>
      <c r="BS184" s="372" t="e">
        <f ca="1">VLOOKUP($BF184,坦克属性统计!$B$3:$AY$33,MATCH(BS$3,坦克属性统计!$B$3:$AY$3,0),FALSE)</f>
        <v>#N/A</v>
      </c>
      <c r="BT184" s="372" t="e">
        <f t="shared" ref="BT184:BV203" ca="1" si="124">VLOOKUP($BF184&amp;IF($BJ184="NULL",0,$BJ184),所有坦克升星属性,MATCH(BT$3,所有坦克升星属性标头,0),FALSE)</f>
        <v>#N/A</v>
      </c>
      <c r="BU184" s="372" t="e">
        <f t="shared" ca="1" si="124"/>
        <v>#N/A</v>
      </c>
      <c r="BV184" s="372" t="e">
        <f t="shared" ca="1" si="124"/>
        <v>#N/A</v>
      </c>
      <c r="BW184" s="356">
        <f t="shared" ca="1" si="101"/>
        <v>0</v>
      </c>
      <c r="BX184" s="356" t="e">
        <f ca="1">VLOOKUP(BF184,坦克个性化设定!$B$18:$E$48,4,FALSE)</f>
        <v>#N/A</v>
      </c>
      <c r="BY184" s="357" t="e">
        <f t="shared" ca="1" si="108"/>
        <v>#N/A</v>
      </c>
    </row>
    <row r="185" spans="15:77" x14ac:dyDescent="0.35">
      <c r="O185" s="365">
        <v>182</v>
      </c>
      <c r="P185" s="360" t="e">
        <f t="shared" ca="1" si="115"/>
        <v>#REF!</v>
      </c>
      <c r="Q185" s="360" t="e">
        <f ca="1">ROUND(MIN((BD185-VLOOKUP(R185,$B$22:$F$46,2,FALSE))/(VLOOKUP(R185,$B$22:$F$46,3,FALSE)-VLOOKUP(R185,$B$22:$F$46,2,FALSE)),1)*((VLOOKUP(R185,$B$22:$F$46,4,FALSE)*(AG185/(AG185+VLOOKUP(P185,$D$49:$F$123,3,TRUE)))+VLOOKUP(R185,$B$22:$F$46,5,FALSE)*(1-AG185/(AG185+VLOOKUP(P185,$D$49:$F$123,3,TRUE))))/2)*游戏时长规划!$C$4,0)</f>
        <v>#REF!</v>
      </c>
      <c r="R185" s="360" t="e">
        <f t="shared" ca="1" si="88"/>
        <v>#REF!</v>
      </c>
      <c r="S185" s="360" t="e">
        <f t="shared" ca="1" si="109"/>
        <v>#REF!</v>
      </c>
      <c r="T185" s="360" t="e">
        <f t="shared" ca="1" si="116"/>
        <v>#REF!</v>
      </c>
      <c r="U185" s="370" t="e">
        <f t="shared" ca="1" si="89"/>
        <v>#REF!</v>
      </c>
      <c r="V185" s="363" t="e">
        <f t="shared" ca="1" si="110"/>
        <v>#REF!</v>
      </c>
      <c r="W185" s="360" t="e">
        <f t="shared" ca="1" si="90"/>
        <v>#REF!</v>
      </c>
      <c r="X185" s="81" t="e">
        <f t="shared" ca="1" si="102"/>
        <v>#REF!</v>
      </c>
      <c r="Y185" s="360" t="str">
        <f t="shared" ca="1" si="91"/>
        <v>NULL</v>
      </c>
      <c r="Z185" s="375" t="e">
        <f t="shared" ca="1" si="103"/>
        <v>#REF!</v>
      </c>
      <c r="AA185" s="360">
        <f ca="1">IFERROR(VLOOKUP(IF(V185="T1低",游戏时长规划!$C$67+Z185,Z185),INDIRECT(V185&amp;"星级"),2,TRUE),0)</f>
        <v>0</v>
      </c>
      <c r="AB185" s="375" t="e">
        <f t="shared" ca="1" si="92"/>
        <v>#REF!</v>
      </c>
      <c r="AC185" s="375">
        <f ca="1">($D$14+$D$17)*$L$4/坦克部件养成!$C$2+AC184-IFERROR(IF(RIGHT(AD184,3)*1&gt;RIGHT(VLOOKUP(AC184,INDIRECT(LEFT(AD183,2)&amp;"部件升阶"),5,TRUE),3)*1,VLOOKUP(AD183,INDIRECT(LEFT(AD183,2)&amp;"部件升阶消耗"),2,FALSE),0),0)</f>
        <v>2153.6666666666629</v>
      </c>
      <c r="AD185" s="360" t="e">
        <f t="shared" ca="1" si="93"/>
        <v>#REF!</v>
      </c>
      <c r="AE185" s="375" t="e">
        <f ca="1">$D$15*$L$4/坦克部件养成!$C$2+AE184-IF(LEFT(AD185,2)&lt;&gt;LEFT(AD184,2),VLOOKUP(AF184,INDIRECT(LEFT(AD184,2)&amp;"部件升级消耗"),5,FALSE),0)</f>
        <v>#REF!</v>
      </c>
      <c r="AF185" s="360" t="e">
        <f ca="1">MIN(VLOOKUP(AE185,INDIRECT(LEFT(AD185,2)&amp;"部件升级"),2,TRUE),VLOOKUP(LEFT(AD185,2),坦克部件养成!#REF!,6,FALSE))</f>
        <v>#REF!</v>
      </c>
      <c r="AG185" s="378" t="e">
        <f ca="1">MAX(BD$4:BD185)</f>
        <v>#REF!</v>
      </c>
      <c r="AH185" s="378" t="str">
        <f t="shared" ca="1" si="94"/>
        <v/>
      </c>
      <c r="AI185" s="378">
        <f ca="1">IF(Y185="NULL",0,MAX(BY$4:BY185))</f>
        <v>0</v>
      </c>
      <c r="AK185" s="364" t="e">
        <f t="shared" ca="1" si="95"/>
        <v>#REF!</v>
      </c>
      <c r="AL185" s="364" t="e">
        <f ca="1">VLOOKUP(AK185,坦克个性化设定!$B$18:$F$48,5,FALSE)</f>
        <v>#REF!</v>
      </c>
      <c r="AM185" s="372" t="e">
        <f t="shared" ca="1" si="96"/>
        <v>#REF!</v>
      </c>
      <c r="AN185" s="372" t="e">
        <f t="shared" ca="1" si="104"/>
        <v>#REF!</v>
      </c>
      <c r="AO185" s="364">
        <f t="shared" ca="1" si="97"/>
        <v>0</v>
      </c>
      <c r="AP185" s="372" t="e">
        <f ca="1">VLOOKUP($AK185&amp;$AO185,所有坦克升星属性,MATCH(AP$3,所有坦克升星属性标头,0),FALSE)+ROUND(AU185/VLOOKUP($AK185,坦克部件!#REF!,4,FALSE)*VLOOKUP($AK185&amp;0,所有坦克升星属性,MATCH(AP$3,所有坦克升星属性标头,0),FALSE),0)</f>
        <v>#REF!</v>
      </c>
      <c r="AQ185" s="372" t="e">
        <f ca="1">VLOOKUP($AK185&amp;$AO185,所有坦克升星属性,MATCH(AQ$3,所有坦克升星属性标头,0),FALSE)+ROUND(AV185/VLOOKUP($AK185,坦克部件!#REF!,4,FALSE)*VLOOKUP($AK185&amp;0,所有坦克升星属性,MATCH(AQ$3,所有坦克升星属性标头,0),FALSE),0)</f>
        <v>#REF!</v>
      </c>
      <c r="AR185" s="372" t="e">
        <f t="shared" ca="1" si="121"/>
        <v>#REF!</v>
      </c>
      <c r="AS185" s="372" t="e">
        <f t="shared" ca="1" si="121"/>
        <v>#REF!</v>
      </c>
      <c r="AT185" s="372" t="e">
        <f ca="1">VLOOKUP($AK185&amp;$AO185,所有坦克升星属性,MATCH(AT$3,所有坦克升星属性标头,0),FALSE)+ROUND(AW185/VLOOKUP($AK185,坦克部件!#REF!,4,FALSE)*VLOOKUP($AK185&amp;0,所有坦克升星属性,MATCH(AT$3,所有坦克升星属性标头,0),FALSE),0)</f>
        <v>#REF!</v>
      </c>
      <c r="AU185" s="372" t="e">
        <f ca="1">(VLOOKUP($AM185,坦克部件!#REF!,MATCH("标准值",坦克部件!#REF!,0),FALSE)+VLOOKUP($AN185,坦克部件!#REF!,MATCH("标准值",坦克部件!#REF!,0),FALSE))*2</f>
        <v>#REF!</v>
      </c>
      <c r="AV185" s="372" t="e">
        <f ca="1">(VLOOKUP($AM185,坦克部件!#REF!,MATCH("标准值",坦克部件!#REF!,0),FALSE)+VLOOKUP($AN185,坦克部件!#REF!,MATCH("标准值",坦克部件!#REF!,0),FALSE))*2</f>
        <v>#REF!</v>
      </c>
      <c r="AW185" s="372" t="e">
        <f ca="1">(VLOOKUP($AM185,坦克部件!#REF!,MATCH("标准值",坦克部件!#REF!,0),FALSE)+VLOOKUP($AN185,坦克部件!#REF!,MATCH("标准值",坦克部件!#REF!,0),FALSE))*2</f>
        <v>#REF!</v>
      </c>
      <c r="AX185" s="372" t="e">
        <f ca="1">VLOOKUP($AK185,坦克属性统计!$B$3:$AY$33,MATCH(AX$3,坦克属性统计!$B$3:$AY$3,0),FALSE)</f>
        <v>#REF!</v>
      </c>
      <c r="AY185" s="372" t="e">
        <f t="shared" ca="1" si="122"/>
        <v>#REF!</v>
      </c>
      <c r="AZ185" s="372" t="e">
        <f t="shared" ca="1" si="122"/>
        <v>#REF!</v>
      </c>
      <c r="BA185" s="372" t="e">
        <f t="shared" ca="1" si="122"/>
        <v>#REF!</v>
      </c>
      <c r="BB185" s="356" t="e">
        <f t="shared" ca="1" si="98"/>
        <v>#REF!</v>
      </c>
      <c r="BC185" s="356" t="e">
        <f ca="1">VLOOKUP(AK185,坦克个性化设定!$B$18:$E$48,4,FALSE)</f>
        <v>#REF!</v>
      </c>
      <c r="BD185" s="357" t="e">
        <f t="shared" ca="1" si="105"/>
        <v>#REF!</v>
      </c>
      <c r="BF185" s="357" t="str">
        <f t="shared" ca="1" si="99"/>
        <v/>
      </c>
      <c r="BG185" s="372" t="str">
        <f ca="1">IFERROR(VLOOKUP(BF185,坦克个性化设定!$B$18:$F$48,5,FALSE),"")</f>
        <v/>
      </c>
      <c r="BH185" s="372" t="e">
        <f t="shared" ca="1" si="106"/>
        <v>#REF!</v>
      </c>
      <c r="BI185" s="372" t="e">
        <f t="shared" ca="1" si="107"/>
        <v>#REF!</v>
      </c>
      <c r="BJ185" s="364" t="str">
        <f t="shared" ca="1" si="100"/>
        <v>NULL</v>
      </c>
      <c r="BK185" s="372" t="e">
        <f ca="1">VLOOKUP($BF185&amp;IF($BJ185="NULL",0,$BJ185),所有坦克升星属性,MATCH(BK$3,所有坦克升星属性标头,0),FALSE)+ROUND(BP185/VLOOKUP($BF185,坦克部件!#REF!,4,FALSE)*VLOOKUP($BF185&amp;0,所有坦克升星属性,MATCH(BK$3,所有坦克升星属性标头,0),FALSE),0)</f>
        <v>#N/A</v>
      </c>
      <c r="BL185" s="372" t="e">
        <f ca="1">VLOOKUP($BF185&amp;IF($BJ185="NULL",0,$BJ185),所有坦克升星属性,MATCH(BL$3,所有坦克升星属性标头,0),FALSE)+ROUND(BQ185/VLOOKUP($BF185,坦克部件!#REF!,4,FALSE)*VLOOKUP($BF185&amp;0,所有坦克升星属性,MATCH(BL$3,所有坦克升星属性标头,0),FALSE),0)</f>
        <v>#N/A</v>
      </c>
      <c r="BM185" s="372" t="e">
        <f t="shared" ca="1" si="123"/>
        <v>#N/A</v>
      </c>
      <c r="BN185" s="372" t="e">
        <f t="shared" ca="1" si="123"/>
        <v>#N/A</v>
      </c>
      <c r="BO185" s="372" t="e">
        <f ca="1">VLOOKUP($BF185&amp;IF($BJ185="NULL",0,$BJ185),所有坦克升星属性,MATCH(BO$3,所有坦克升星属性标头,0),FALSE)+ROUND(BR185/VLOOKUP($BF185,坦克部件!#REF!,4,FALSE)*VLOOKUP($BF185&amp;0,所有坦克升星属性,MATCH(BO$3,所有坦克升星属性标头,0),FALSE),0)</f>
        <v>#N/A</v>
      </c>
      <c r="BP185" s="372" t="e">
        <f ca="1">(VLOOKUP($BH185,坦克部件!#REF!,MATCH("标准值",坦克部件!#REF!,0),FALSE)+VLOOKUP($BI185,坦克部件!#REF!,MATCH("标准值",坦克部件!#REF!,0),FALSE))*2</f>
        <v>#REF!</v>
      </c>
      <c r="BQ185" s="372" t="e">
        <f ca="1">(VLOOKUP($BH185,坦克部件!#REF!,MATCH("标准值",坦克部件!#REF!,0),FALSE)+VLOOKUP($BI185,坦克部件!#REF!,MATCH("标准值",坦克部件!#REF!,0),FALSE))*2</f>
        <v>#REF!</v>
      </c>
      <c r="BR185" s="372" t="e">
        <f ca="1">(VLOOKUP($BH185,坦克部件!#REF!,MATCH("标准值",坦克部件!#REF!,0),FALSE)+VLOOKUP($BI185,坦克部件!#REF!,MATCH("标准值",坦克部件!#REF!,0),FALSE))*2</f>
        <v>#REF!</v>
      </c>
      <c r="BS185" s="372" t="e">
        <f ca="1">VLOOKUP($BF185,坦克属性统计!$B$3:$AY$33,MATCH(BS$3,坦克属性统计!$B$3:$AY$3,0),FALSE)</f>
        <v>#N/A</v>
      </c>
      <c r="BT185" s="372" t="e">
        <f t="shared" ca="1" si="124"/>
        <v>#N/A</v>
      </c>
      <c r="BU185" s="372" t="e">
        <f t="shared" ca="1" si="124"/>
        <v>#N/A</v>
      </c>
      <c r="BV185" s="372" t="e">
        <f t="shared" ca="1" si="124"/>
        <v>#N/A</v>
      </c>
      <c r="BW185" s="356">
        <f t="shared" ca="1" si="101"/>
        <v>0</v>
      </c>
      <c r="BX185" s="356" t="e">
        <f ca="1">VLOOKUP(BF185,坦克个性化设定!$B$18:$E$48,4,FALSE)</f>
        <v>#N/A</v>
      </c>
      <c r="BY185" s="357" t="e">
        <f t="shared" ca="1" si="108"/>
        <v>#N/A</v>
      </c>
    </row>
    <row r="186" spans="15:77" x14ac:dyDescent="0.35">
      <c r="O186" s="365">
        <v>183</v>
      </c>
      <c r="P186" s="360" t="e">
        <f t="shared" ca="1" si="115"/>
        <v>#REF!</v>
      </c>
      <c r="Q186" s="360" t="e">
        <f ca="1">ROUND(MIN((BD186-VLOOKUP(R186,$B$22:$F$46,2,FALSE))/(VLOOKUP(R186,$B$22:$F$46,3,FALSE)-VLOOKUP(R186,$B$22:$F$46,2,FALSE)),1)*((VLOOKUP(R186,$B$22:$F$46,4,FALSE)*(AG186/(AG186+VLOOKUP(P186,$D$49:$F$123,3,TRUE)))+VLOOKUP(R186,$B$22:$F$46,5,FALSE)*(1-AG186/(AG186+VLOOKUP(P186,$D$49:$F$123,3,TRUE))))/2)*游戏时长规划!$C$4,0)</f>
        <v>#REF!</v>
      </c>
      <c r="R186" s="360" t="e">
        <f t="shared" ca="1" si="88"/>
        <v>#REF!</v>
      </c>
      <c r="S186" s="360" t="e">
        <f t="shared" ca="1" si="109"/>
        <v>#REF!</v>
      </c>
      <c r="T186" s="360" t="e">
        <f t="shared" ca="1" si="116"/>
        <v>#REF!</v>
      </c>
      <c r="U186" s="370" t="e">
        <f t="shared" ca="1" si="89"/>
        <v>#REF!</v>
      </c>
      <c r="V186" s="363" t="e">
        <f t="shared" ca="1" si="110"/>
        <v>#REF!</v>
      </c>
      <c r="W186" s="360" t="e">
        <f t="shared" ca="1" si="90"/>
        <v>#REF!</v>
      </c>
      <c r="X186" s="81" t="e">
        <f t="shared" ca="1" si="102"/>
        <v>#REF!</v>
      </c>
      <c r="Y186" s="360" t="str">
        <f t="shared" ca="1" si="91"/>
        <v>NULL</v>
      </c>
      <c r="Z186" s="375" t="e">
        <f t="shared" ca="1" si="103"/>
        <v>#REF!</v>
      </c>
      <c r="AA186" s="360">
        <f ca="1">IFERROR(VLOOKUP(IF(V186="T1低",游戏时长规划!$C$67+Z186,Z186),INDIRECT(V186&amp;"星级"),2,TRUE),0)</f>
        <v>0</v>
      </c>
      <c r="AB186" s="375" t="e">
        <f t="shared" ca="1" si="92"/>
        <v>#REF!</v>
      </c>
      <c r="AC186" s="375">
        <f ca="1">($D$14+$D$17)*$L$4/坦克部件养成!$C$2+AC185-IFERROR(IF(RIGHT(AD185,3)*1&gt;RIGHT(VLOOKUP(AC185,INDIRECT(LEFT(AD184,2)&amp;"部件升阶"),5,TRUE),3)*1,VLOOKUP(AD184,INDIRECT(LEFT(AD184,2)&amp;"部件升阶消耗"),2,FALSE),0),0)</f>
        <v>2165.4999999999964</v>
      </c>
      <c r="AD186" s="360" t="e">
        <f t="shared" ca="1" si="93"/>
        <v>#REF!</v>
      </c>
      <c r="AE186" s="375" t="e">
        <f ca="1">$D$15*$L$4/坦克部件养成!$C$2+AE185-IF(LEFT(AD186,2)&lt;&gt;LEFT(AD185,2),VLOOKUP(AF185,INDIRECT(LEFT(AD185,2)&amp;"部件升级消耗"),5,FALSE),0)</f>
        <v>#REF!</v>
      </c>
      <c r="AF186" s="360" t="e">
        <f ca="1">MIN(VLOOKUP(AE186,INDIRECT(LEFT(AD186,2)&amp;"部件升级"),2,TRUE),VLOOKUP(LEFT(AD186,2),坦克部件养成!#REF!,6,FALSE))</f>
        <v>#REF!</v>
      </c>
      <c r="AG186" s="378" t="e">
        <f ca="1">MAX(BD$4:BD186)</f>
        <v>#REF!</v>
      </c>
      <c r="AH186" s="378" t="str">
        <f t="shared" ca="1" si="94"/>
        <v/>
      </c>
      <c r="AI186" s="378">
        <f ca="1">IF(Y186="NULL",0,MAX(BY$4:BY186))</f>
        <v>0</v>
      </c>
      <c r="AK186" s="364" t="e">
        <f t="shared" ca="1" si="95"/>
        <v>#REF!</v>
      </c>
      <c r="AL186" s="364" t="e">
        <f ca="1">VLOOKUP(AK186,坦克个性化设定!$B$18:$F$48,5,FALSE)</f>
        <v>#REF!</v>
      </c>
      <c r="AM186" s="372" t="e">
        <f t="shared" ca="1" si="96"/>
        <v>#REF!</v>
      </c>
      <c r="AN186" s="372" t="e">
        <f t="shared" ca="1" si="104"/>
        <v>#REF!</v>
      </c>
      <c r="AO186" s="364">
        <f t="shared" ca="1" si="97"/>
        <v>0</v>
      </c>
      <c r="AP186" s="372" t="e">
        <f ca="1">VLOOKUP($AK186&amp;$AO186,所有坦克升星属性,MATCH(AP$3,所有坦克升星属性标头,0),FALSE)+ROUND(AU186/VLOOKUP($AK186,坦克部件!#REF!,4,FALSE)*VLOOKUP($AK186&amp;0,所有坦克升星属性,MATCH(AP$3,所有坦克升星属性标头,0),FALSE),0)</f>
        <v>#REF!</v>
      </c>
      <c r="AQ186" s="372" t="e">
        <f ca="1">VLOOKUP($AK186&amp;$AO186,所有坦克升星属性,MATCH(AQ$3,所有坦克升星属性标头,0),FALSE)+ROUND(AV186/VLOOKUP($AK186,坦克部件!#REF!,4,FALSE)*VLOOKUP($AK186&amp;0,所有坦克升星属性,MATCH(AQ$3,所有坦克升星属性标头,0),FALSE),0)</f>
        <v>#REF!</v>
      </c>
      <c r="AR186" s="372" t="e">
        <f t="shared" ca="1" si="121"/>
        <v>#REF!</v>
      </c>
      <c r="AS186" s="372" t="e">
        <f t="shared" ca="1" si="121"/>
        <v>#REF!</v>
      </c>
      <c r="AT186" s="372" t="e">
        <f ca="1">VLOOKUP($AK186&amp;$AO186,所有坦克升星属性,MATCH(AT$3,所有坦克升星属性标头,0),FALSE)+ROUND(AW186/VLOOKUP($AK186,坦克部件!#REF!,4,FALSE)*VLOOKUP($AK186&amp;0,所有坦克升星属性,MATCH(AT$3,所有坦克升星属性标头,0),FALSE),0)</f>
        <v>#REF!</v>
      </c>
      <c r="AU186" s="372" t="e">
        <f ca="1">(VLOOKUP($AM186,坦克部件!#REF!,MATCH("标准值",坦克部件!#REF!,0),FALSE)+VLOOKUP($AN186,坦克部件!#REF!,MATCH("标准值",坦克部件!#REF!,0),FALSE))*2</f>
        <v>#REF!</v>
      </c>
      <c r="AV186" s="372" t="e">
        <f ca="1">(VLOOKUP($AM186,坦克部件!#REF!,MATCH("标准值",坦克部件!#REF!,0),FALSE)+VLOOKUP($AN186,坦克部件!#REF!,MATCH("标准值",坦克部件!#REF!,0),FALSE))*2</f>
        <v>#REF!</v>
      </c>
      <c r="AW186" s="372" t="e">
        <f ca="1">(VLOOKUP($AM186,坦克部件!#REF!,MATCH("标准值",坦克部件!#REF!,0),FALSE)+VLOOKUP($AN186,坦克部件!#REF!,MATCH("标准值",坦克部件!#REF!,0),FALSE))*2</f>
        <v>#REF!</v>
      </c>
      <c r="AX186" s="372" t="e">
        <f ca="1">VLOOKUP($AK186,坦克属性统计!$B$3:$AY$33,MATCH(AX$3,坦克属性统计!$B$3:$AY$3,0),FALSE)</f>
        <v>#REF!</v>
      </c>
      <c r="AY186" s="372" t="e">
        <f t="shared" ca="1" si="122"/>
        <v>#REF!</v>
      </c>
      <c r="AZ186" s="372" t="e">
        <f t="shared" ca="1" si="122"/>
        <v>#REF!</v>
      </c>
      <c r="BA186" s="372" t="e">
        <f t="shared" ca="1" si="122"/>
        <v>#REF!</v>
      </c>
      <c r="BB186" s="356" t="e">
        <f t="shared" ca="1" si="98"/>
        <v>#REF!</v>
      </c>
      <c r="BC186" s="356" t="e">
        <f ca="1">VLOOKUP(AK186,坦克个性化设定!$B$18:$E$48,4,FALSE)</f>
        <v>#REF!</v>
      </c>
      <c r="BD186" s="357" t="e">
        <f t="shared" ca="1" si="105"/>
        <v>#REF!</v>
      </c>
      <c r="BF186" s="357" t="str">
        <f t="shared" ca="1" si="99"/>
        <v/>
      </c>
      <c r="BG186" s="372" t="str">
        <f ca="1">IFERROR(VLOOKUP(BF186,坦克个性化设定!$B$18:$F$48,5,FALSE),"")</f>
        <v/>
      </c>
      <c r="BH186" s="372" t="e">
        <f t="shared" ca="1" si="106"/>
        <v>#REF!</v>
      </c>
      <c r="BI186" s="372" t="e">
        <f t="shared" ca="1" si="107"/>
        <v>#REF!</v>
      </c>
      <c r="BJ186" s="364" t="str">
        <f t="shared" ca="1" si="100"/>
        <v>NULL</v>
      </c>
      <c r="BK186" s="372" t="e">
        <f ca="1">VLOOKUP($BF186&amp;IF($BJ186="NULL",0,$BJ186),所有坦克升星属性,MATCH(BK$3,所有坦克升星属性标头,0),FALSE)+ROUND(BP186/VLOOKUP($BF186,坦克部件!#REF!,4,FALSE)*VLOOKUP($BF186&amp;0,所有坦克升星属性,MATCH(BK$3,所有坦克升星属性标头,0),FALSE),0)</f>
        <v>#N/A</v>
      </c>
      <c r="BL186" s="372" t="e">
        <f ca="1">VLOOKUP($BF186&amp;IF($BJ186="NULL",0,$BJ186),所有坦克升星属性,MATCH(BL$3,所有坦克升星属性标头,0),FALSE)+ROUND(BQ186/VLOOKUP($BF186,坦克部件!#REF!,4,FALSE)*VLOOKUP($BF186&amp;0,所有坦克升星属性,MATCH(BL$3,所有坦克升星属性标头,0),FALSE),0)</f>
        <v>#N/A</v>
      </c>
      <c r="BM186" s="372" t="e">
        <f t="shared" ca="1" si="123"/>
        <v>#N/A</v>
      </c>
      <c r="BN186" s="372" t="e">
        <f t="shared" ca="1" si="123"/>
        <v>#N/A</v>
      </c>
      <c r="BO186" s="372" t="e">
        <f ca="1">VLOOKUP($BF186&amp;IF($BJ186="NULL",0,$BJ186),所有坦克升星属性,MATCH(BO$3,所有坦克升星属性标头,0),FALSE)+ROUND(BR186/VLOOKUP($BF186,坦克部件!#REF!,4,FALSE)*VLOOKUP($BF186&amp;0,所有坦克升星属性,MATCH(BO$3,所有坦克升星属性标头,0),FALSE),0)</f>
        <v>#N/A</v>
      </c>
      <c r="BP186" s="372" t="e">
        <f ca="1">(VLOOKUP($BH186,坦克部件!#REF!,MATCH("标准值",坦克部件!#REF!,0),FALSE)+VLOOKUP($BI186,坦克部件!#REF!,MATCH("标准值",坦克部件!#REF!,0),FALSE))*2</f>
        <v>#REF!</v>
      </c>
      <c r="BQ186" s="372" t="e">
        <f ca="1">(VLOOKUP($BH186,坦克部件!#REF!,MATCH("标准值",坦克部件!#REF!,0),FALSE)+VLOOKUP($BI186,坦克部件!#REF!,MATCH("标准值",坦克部件!#REF!,0),FALSE))*2</f>
        <v>#REF!</v>
      </c>
      <c r="BR186" s="372" t="e">
        <f ca="1">(VLOOKUP($BH186,坦克部件!#REF!,MATCH("标准值",坦克部件!#REF!,0),FALSE)+VLOOKUP($BI186,坦克部件!#REF!,MATCH("标准值",坦克部件!#REF!,0),FALSE))*2</f>
        <v>#REF!</v>
      </c>
      <c r="BS186" s="372" t="e">
        <f ca="1">VLOOKUP($BF186,坦克属性统计!$B$3:$AY$33,MATCH(BS$3,坦克属性统计!$B$3:$AY$3,0),FALSE)</f>
        <v>#N/A</v>
      </c>
      <c r="BT186" s="372" t="e">
        <f t="shared" ca="1" si="124"/>
        <v>#N/A</v>
      </c>
      <c r="BU186" s="372" t="e">
        <f t="shared" ca="1" si="124"/>
        <v>#N/A</v>
      </c>
      <c r="BV186" s="372" t="e">
        <f t="shared" ca="1" si="124"/>
        <v>#N/A</v>
      </c>
      <c r="BW186" s="356">
        <f t="shared" ca="1" si="101"/>
        <v>0</v>
      </c>
      <c r="BX186" s="356" t="e">
        <f ca="1">VLOOKUP(BF186,坦克个性化设定!$B$18:$E$48,4,FALSE)</f>
        <v>#N/A</v>
      </c>
      <c r="BY186" s="357" t="e">
        <f t="shared" ca="1" si="108"/>
        <v>#N/A</v>
      </c>
    </row>
    <row r="187" spans="15:77" x14ac:dyDescent="0.35">
      <c r="O187" s="365">
        <v>184</v>
      </c>
      <c r="P187" s="360" t="e">
        <f t="shared" ca="1" si="115"/>
        <v>#REF!</v>
      </c>
      <c r="Q187" s="360" t="e">
        <f ca="1">ROUND(MIN((BD187-VLOOKUP(R187,$B$22:$F$46,2,FALSE))/(VLOOKUP(R187,$B$22:$F$46,3,FALSE)-VLOOKUP(R187,$B$22:$F$46,2,FALSE)),1)*((VLOOKUP(R187,$B$22:$F$46,4,FALSE)*(AG187/(AG187+VLOOKUP(P187,$D$49:$F$123,3,TRUE)))+VLOOKUP(R187,$B$22:$F$46,5,FALSE)*(1-AG187/(AG187+VLOOKUP(P187,$D$49:$F$123,3,TRUE))))/2)*游戏时长规划!$C$4,0)</f>
        <v>#REF!</v>
      </c>
      <c r="R187" s="360" t="e">
        <f t="shared" ca="1" si="88"/>
        <v>#REF!</v>
      </c>
      <c r="S187" s="360" t="e">
        <f t="shared" ca="1" si="109"/>
        <v>#REF!</v>
      </c>
      <c r="T187" s="360" t="e">
        <f t="shared" ca="1" si="116"/>
        <v>#REF!</v>
      </c>
      <c r="U187" s="370" t="e">
        <f t="shared" ca="1" si="89"/>
        <v>#REF!</v>
      </c>
      <c r="V187" s="363" t="e">
        <f t="shared" ca="1" si="110"/>
        <v>#REF!</v>
      </c>
      <c r="W187" s="360" t="e">
        <f t="shared" ca="1" si="90"/>
        <v>#REF!</v>
      </c>
      <c r="X187" s="81" t="e">
        <f t="shared" ca="1" si="102"/>
        <v>#REF!</v>
      </c>
      <c r="Y187" s="360" t="str">
        <f t="shared" ca="1" si="91"/>
        <v>NULL</v>
      </c>
      <c r="Z187" s="375" t="e">
        <f t="shared" ca="1" si="103"/>
        <v>#REF!</v>
      </c>
      <c r="AA187" s="360">
        <f ca="1">IFERROR(VLOOKUP(IF(V187="T1低",游戏时长规划!$C$67+Z187,Z187),INDIRECT(V187&amp;"星级"),2,TRUE),0)</f>
        <v>0</v>
      </c>
      <c r="AB187" s="375" t="e">
        <f t="shared" ca="1" si="92"/>
        <v>#REF!</v>
      </c>
      <c r="AC187" s="375">
        <f ca="1">($D$14+$D$17)*$L$4/坦克部件养成!$C$2+AC186-IFERROR(IF(RIGHT(AD186,3)*1&gt;RIGHT(VLOOKUP(AC186,INDIRECT(LEFT(AD185,2)&amp;"部件升阶"),5,TRUE),3)*1,VLOOKUP(AD185,INDIRECT(LEFT(AD185,2)&amp;"部件升阶消耗"),2,FALSE),0),0)</f>
        <v>2177.3333333333298</v>
      </c>
      <c r="AD187" s="360" t="e">
        <f t="shared" ca="1" si="93"/>
        <v>#REF!</v>
      </c>
      <c r="AE187" s="375" t="e">
        <f ca="1">$D$15*$L$4/坦克部件养成!$C$2+AE186-IF(LEFT(AD187,2)&lt;&gt;LEFT(AD186,2),VLOOKUP(AF186,INDIRECT(LEFT(AD186,2)&amp;"部件升级消耗"),5,FALSE),0)</f>
        <v>#REF!</v>
      </c>
      <c r="AF187" s="360" t="e">
        <f ca="1">MIN(VLOOKUP(AE187,INDIRECT(LEFT(AD187,2)&amp;"部件升级"),2,TRUE),VLOOKUP(LEFT(AD187,2),坦克部件养成!#REF!,6,FALSE))</f>
        <v>#REF!</v>
      </c>
      <c r="AG187" s="378" t="e">
        <f ca="1">MAX(BD$4:BD187)</f>
        <v>#REF!</v>
      </c>
      <c r="AH187" s="378" t="str">
        <f t="shared" ca="1" si="94"/>
        <v/>
      </c>
      <c r="AI187" s="378">
        <f ca="1">IF(Y187="NULL",0,MAX(BY$4:BY187))</f>
        <v>0</v>
      </c>
      <c r="AK187" s="364" t="e">
        <f t="shared" ca="1" si="95"/>
        <v>#REF!</v>
      </c>
      <c r="AL187" s="364" t="e">
        <f ca="1">VLOOKUP(AK187,坦克个性化设定!$B$18:$F$48,5,FALSE)</f>
        <v>#REF!</v>
      </c>
      <c r="AM187" s="372" t="e">
        <f t="shared" ca="1" si="96"/>
        <v>#REF!</v>
      </c>
      <c r="AN187" s="372" t="e">
        <f t="shared" ca="1" si="104"/>
        <v>#REF!</v>
      </c>
      <c r="AO187" s="364">
        <f t="shared" ca="1" si="97"/>
        <v>0</v>
      </c>
      <c r="AP187" s="372" t="e">
        <f ca="1">VLOOKUP($AK187&amp;$AO187,所有坦克升星属性,MATCH(AP$3,所有坦克升星属性标头,0),FALSE)+ROUND(AU187/VLOOKUP($AK187,坦克部件!#REF!,4,FALSE)*VLOOKUP($AK187&amp;0,所有坦克升星属性,MATCH(AP$3,所有坦克升星属性标头,0),FALSE),0)</f>
        <v>#REF!</v>
      </c>
      <c r="AQ187" s="372" t="e">
        <f ca="1">VLOOKUP($AK187&amp;$AO187,所有坦克升星属性,MATCH(AQ$3,所有坦克升星属性标头,0),FALSE)+ROUND(AV187/VLOOKUP($AK187,坦克部件!#REF!,4,FALSE)*VLOOKUP($AK187&amp;0,所有坦克升星属性,MATCH(AQ$3,所有坦克升星属性标头,0),FALSE),0)</f>
        <v>#REF!</v>
      </c>
      <c r="AR187" s="372" t="e">
        <f t="shared" ca="1" si="121"/>
        <v>#REF!</v>
      </c>
      <c r="AS187" s="372" t="e">
        <f t="shared" ca="1" si="121"/>
        <v>#REF!</v>
      </c>
      <c r="AT187" s="372" t="e">
        <f ca="1">VLOOKUP($AK187&amp;$AO187,所有坦克升星属性,MATCH(AT$3,所有坦克升星属性标头,0),FALSE)+ROUND(AW187/VLOOKUP($AK187,坦克部件!#REF!,4,FALSE)*VLOOKUP($AK187&amp;0,所有坦克升星属性,MATCH(AT$3,所有坦克升星属性标头,0),FALSE),0)</f>
        <v>#REF!</v>
      </c>
      <c r="AU187" s="372" t="e">
        <f ca="1">(VLOOKUP($AM187,坦克部件!#REF!,MATCH("标准值",坦克部件!#REF!,0),FALSE)+VLOOKUP($AN187,坦克部件!#REF!,MATCH("标准值",坦克部件!#REF!,0),FALSE))*2</f>
        <v>#REF!</v>
      </c>
      <c r="AV187" s="372" t="e">
        <f ca="1">(VLOOKUP($AM187,坦克部件!#REF!,MATCH("标准值",坦克部件!#REF!,0),FALSE)+VLOOKUP($AN187,坦克部件!#REF!,MATCH("标准值",坦克部件!#REF!,0),FALSE))*2</f>
        <v>#REF!</v>
      </c>
      <c r="AW187" s="372" t="e">
        <f ca="1">(VLOOKUP($AM187,坦克部件!#REF!,MATCH("标准值",坦克部件!#REF!,0),FALSE)+VLOOKUP($AN187,坦克部件!#REF!,MATCH("标准值",坦克部件!#REF!,0),FALSE))*2</f>
        <v>#REF!</v>
      </c>
      <c r="AX187" s="372" t="e">
        <f ca="1">VLOOKUP($AK187,坦克属性统计!$B$3:$AY$33,MATCH(AX$3,坦克属性统计!$B$3:$AY$3,0),FALSE)</f>
        <v>#REF!</v>
      </c>
      <c r="AY187" s="372" t="e">
        <f t="shared" ca="1" si="122"/>
        <v>#REF!</v>
      </c>
      <c r="AZ187" s="372" t="e">
        <f t="shared" ca="1" si="122"/>
        <v>#REF!</v>
      </c>
      <c r="BA187" s="372" t="e">
        <f t="shared" ca="1" si="122"/>
        <v>#REF!</v>
      </c>
      <c r="BB187" s="356" t="e">
        <f t="shared" ca="1" si="98"/>
        <v>#REF!</v>
      </c>
      <c r="BC187" s="356" t="e">
        <f ca="1">VLOOKUP(AK187,坦克个性化设定!$B$18:$E$48,4,FALSE)</f>
        <v>#REF!</v>
      </c>
      <c r="BD187" s="357" t="e">
        <f t="shared" ca="1" si="105"/>
        <v>#REF!</v>
      </c>
      <c r="BF187" s="357" t="str">
        <f t="shared" ca="1" si="99"/>
        <v/>
      </c>
      <c r="BG187" s="372" t="str">
        <f ca="1">IFERROR(VLOOKUP(BF187,坦克个性化设定!$B$18:$F$48,5,FALSE),"")</f>
        <v/>
      </c>
      <c r="BH187" s="372" t="e">
        <f t="shared" ca="1" si="106"/>
        <v>#REF!</v>
      </c>
      <c r="BI187" s="372" t="e">
        <f t="shared" ca="1" si="107"/>
        <v>#REF!</v>
      </c>
      <c r="BJ187" s="364" t="str">
        <f t="shared" ca="1" si="100"/>
        <v>NULL</v>
      </c>
      <c r="BK187" s="372" t="e">
        <f ca="1">VLOOKUP($BF187&amp;IF($BJ187="NULL",0,$BJ187),所有坦克升星属性,MATCH(BK$3,所有坦克升星属性标头,0),FALSE)+ROUND(BP187/VLOOKUP($BF187,坦克部件!#REF!,4,FALSE)*VLOOKUP($BF187&amp;0,所有坦克升星属性,MATCH(BK$3,所有坦克升星属性标头,0),FALSE),0)</f>
        <v>#N/A</v>
      </c>
      <c r="BL187" s="372" t="e">
        <f ca="1">VLOOKUP($BF187&amp;IF($BJ187="NULL",0,$BJ187),所有坦克升星属性,MATCH(BL$3,所有坦克升星属性标头,0),FALSE)+ROUND(BQ187/VLOOKUP($BF187,坦克部件!#REF!,4,FALSE)*VLOOKUP($BF187&amp;0,所有坦克升星属性,MATCH(BL$3,所有坦克升星属性标头,0),FALSE),0)</f>
        <v>#N/A</v>
      </c>
      <c r="BM187" s="372" t="e">
        <f t="shared" ca="1" si="123"/>
        <v>#N/A</v>
      </c>
      <c r="BN187" s="372" t="e">
        <f t="shared" ca="1" si="123"/>
        <v>#N/A</v>
      </c>
      <c r="BO187" s="372" t="e">
        <f ca="1">VLOOKUP($BF187&amp;IF($BJ187="NULL",0,$BJ187),所有坦克升星属性,MATCH(BO$3,所有坦克升星属性标头,0),FALSE)+ROUND(BR187/VLOOKUP($BF187,坦克部件!#REF!,4,FALSE)*VLOOKUP($BF187&amp;0,所有坦克升星属性,MATCH(BO$3,所有坦克升星属性标头,0),FALSE),0)</f>
        <v>#N/A</v>
      </c>
      <c r="BP187" s="372" t="e">
        <f ca="1">(VLOOKUP($BH187,坦克部件!#REF!,MATCH("标准值",坦克部件!#REF!,0),FALSE)+VLOOKUP($BI187,坦克部件!#REF!,MATCH("标准值",坦克部件!#REF!,0),FALSE))*2</f>
        <v>#REF!</v>
      </c>
      <c r="BQ187" s="372" t="e">
        <f ca="1">(VLOOKUP($BH187,坦克部件!#REF!,MATCH("标准值",坦克部件!#REF!,0),FALSE)+VLOOKUP($BI187,坦克部件!#REF!,MATCH("标准值",坦克部件!#REF!,0),FALSE))*2</f>
        <v>#REF!</v>
      </c>
      <c r="BR187" s="372" t="e">
        <f ca="1">(VLOOKUP($BH187,坦克部件!#REF!,MATCH("标准值",坦克部件!#REF!,0),FALSE)+VLOOKUP($BI187,坦克部件!#REF!,MATCH("标准值",坦克部件!#REF!,0),FALSE))*2</f>
        <v>#REF!</v>
      </c>
      <c r="BS187" s="372" t="e">
        <f ca="1">VLOOKUP($BF187,坦克属性统计!$B$3:$AY$33,MATCH(BS$3,坦克属性统计!$B$3:$AY$3,0),FALSE)</f>
        <v>#N/A</v>
      </c>
      <c r="BT187" s="372" t="e">
        <f t="shared" ca="1" si="124"/>
        <v>#N/A</v>
      </c>
      <c r="BU187" s="372" t="e">
        <f t="shared" ca="1" si="124"/>
        <v>#N/A</v>
      </c>
      <c r="BV187" s="372" t="e">
        <f t="shared" ca="1" si="124"/>
        <v>#N/A</v>
      </c>
      <c r="BW187" s="356">
        <f t="shared" ca="1" si="101"/>
        <v>0</v>
      </c>
      <c r="BX187" s="356" t="e">
        <f ca="1">VLOOKUP(BF187,坦克个性化设定!$B$18:$E$48,4,FALSE)</f>
        <v>#N/A</v>
      </c>
      <c r="BY187" s="357" t="e">
        <f t="shared" ca="1" si="108"/>
        <v>#N/A</v>
      </c>
    </row>
    <row r="188" spans="15:77" x14ac:dyDescent="0.35">
      <c r="O188" s="365">
        <v>185</v>
      </c>
      <c r="P188" s="360" t="e">
        <f t="shared" ca="1" si="115"/>
        <v>#REF!</v>
      </c>
      <c r="Q188" s="360" t="e">
        <f ca="1">ROUND(MIN((BD188-VLOOKUP(R188,$B$22:$F$46,2,FALSE))/(VLOOKUP(R188,$B$22:$F$46,3,FALSE)-VLOOKUP(R188,$B$22:$F$46,2,FALSE)),1)*((VLOOKUP(R188,$B$22:$F$46,4,FALSE)*(AG188/(AG188+VLOOKUP(P188,$D$49:$F$123,3,TRUE)))+VLOOKUP(R188,$B$22:$F$46,5,FALSE)*(1-AG188/(AG188+VLOOKUP(P188,$D$49:$F$123,3,TRUE))))/2)*游戏时长规划!$C$4,0)</f>
        <v>#REF!</v>
      </c>
      <c r="R188" s="360" t="e">
        <f t="shared" ca="1" si="88"/>
        <v>#REF!</v>
      </c>
      <c r="S188" s="360" t="e">
        <f t="shared" ca="1" si="109"/>
        <v>#REF!</v>
      </c>
      <c r="T188" s="360" t="e">
        <f t="shared" ca="1" si="116"/>
        <v>#REF!</v>
      </c>
      <c r="U188" s="370" t="e">
        <f t="shared" ca="1" si="89"/>
        <v>#REF!</v>
      </c>
      <c r="V188" s="363" t="e">
        <f t="shared" ca="1" si="110"/>
        <v>#REF!</v>
      </c>
      <c r="W188" s="360" t="e">
        <f t="shared" ca="1" si="90"/>
        <v>#REF!</v>
      </c>
      <c r="X188" s="81" t="e">
        <f t="shared" ca="1" si="102"/>
        <v>#REF!</v>
      </c>
      <c r="Y188" s="360" t="str">
        <f t="shared" ca="1" si="91"/>
        <v>NULL</v>
      </c>
      <c r="Z188" s="375" t="e">
        <f t="shared" ca="1" si="103"/>
        <v>#REF!</v>
      </c>
      <c r="AA188" s="360">
        <f ca="1">IFERROR(VLOOKUP(IF(V188="T1低",游戏时长规划!$C$67+Z188,Z188),INDIRECT(V188&amp;"星级"),2,TRUE),0)</f>
        <v>0</v>
      </c>
      <c r="AB188" s="375" t="e">
        <f t="shared" ca="1" si="92"/>
        <v>#REF!</v>
      </c>
      <c r="AC188" s="375">
        <f ca="1">($D$14+$D$17)*$L$4/坦克部件养成!$C$2+AC187-IFERROR(IF(RIGHT(AD187,3)*1&gt;RIGHT(VLOOKUP(AC187,INDIRECT(LEFT(AD186,2)&amp;"部件升阶"),5,TRUE),3)*1,VLOOKUP(AD186,INDIRECT(LEFT(AD186,2)&amp;"部件升阶消耗"),2,FALSE),0),0)</f>
        <v>2189.1666666666633</v>
      </c>
      <c r="AD188" s="360" t="e">
        <f t="shared" ca="1" si="93"/>
        <v>#REF!</v>
      </c>
      <c r="AE188" s="375" t="e">
        <f ca="1">$D$15*$L$4/坦克部件养成!$C$2+AE187-IF(LEFT(AD188,2)&lt;&gt;LEFT(AD187,2),VLOOKUP(AF187,INDIRECT(LEFT(AD187,2)&amp;"部件升级消耗"),5,FALSE),0)</f>
        <v>#REF!</v>
      </c>
      <c r="AF188" s="360" t="e">
        <f ca="1">MIN(VLOOKUP(AE188,INDIRECT(LEFT(AD188,2)&amp;"部件升级"),2,TRUE),VLOOKUP(LEFT(AD188,2),坦克部件养成!#REF!,6,FALSE))</f>
        <v>#REF!</v>
      </c>
      <c r="AG188" s="378" t="e">
        <f ca="1">MAX(BD$4:BD188)</f>
        <v>#REF!</v>
      </c>
      <c r="AH188" s="378" t="str">
        <f t="shared" ca="1" si="94"/>
        <v/>
      </c>
      <c r="AI188" s="378">
        <f ca="1">IF(Y188="NULL",0,MAX(BY$4:BY188))</f>
        <v>0</v>
      </c>
      <c r="AK188" s="364" t="e">
        <f t="shared" ca="1" si="95"/>
        <v>#REF!</v>
      </c>
      <c r="AL188" s="364" t="e">
        <f ca="1">VLOOKUP(AK188,坦克个性化设定!$B$18:$F$48,5,FALSE)</f>
        <v>#REF!</v>
      </c>
      <c r="AM188" s="372" t="e">
        <f t="shared" ca="1" si="96"/>
        <v>#REF!</v>
      </c>
      <c r="AN188" s="372" t="e">
        <f t="shared" ca="1" si="104"/>
        <v>#REF!</v>
      </c>
      <c r="AO188" s="364">
        <f t="shared" ca="1" si="97"/>
        <v>0</v>
      </c>
      <c r="AP188" s="372" t="e">
        <f ca="1">VLOOKUP($AK188&amp;$AO188,所有坦克升星属性,MATCH(AP$3,所有坦克升星属性标头,0),FALSE)+ROUND(AU188/VLOOKUP($AK188,坦克部件!#REF!,4,FALSE)*VLOOKUP($AK188&amp;0,所有坦克升星属性,MATCH(AP$3,所有坦克升星属性标头,0),FALSE),0)</f>
        <v>#REF!</v>
      </c>
      <c r="AQ188" s="372" t="e">
        <f ca="1">VLOOKUP($AK188&amp;$AO188,所有坦克升星属性,MATCH(AQ$3,所有坦克升星属性标头,0),FALSE)+ROUND(AV188/VLOOKUP($AK188,坦克部件!#REF!,4,FALSE)*VLOOKUP($AK188&amp;0,所有坦克升星属性,MATCH(AQ$3,所有坦克升星属性标头,0),FALSE),0)</f>
        <v>#REF!</v>
      </c>
      <c r="AR188" s="372" t="e">
        <f t="shared" ca="1" si="121"/>
        <v>#REF!</v>
      </c>
      <c r="AS188" s="372" t="e">
        <f t="shared" ca="1" si="121"/>
        <v>#REF!</v>
      </c>
      <c r="AT188" s="372" t="e">
        <f ca="1">VLOOKUP($AK188&amp;$AO188,所有坦克升星属性,MATCH(AT$3,所有坦克升星属性标头,0),FALSE)+ROUND(AW188/VLOOKUP($AK188,坦克部件!#REF!,4,FALSE)*VLOOKUP($AK188&amp;0,所有坦克升星属性,MATCH(AT$3,所有坦克升星属性标头,0),FALSE),0)</f>
        <v>#REF!</v>
      </c>
      <c r="AU188" s="372" t="e">
        <f ca="1">(VLOOKUP($AM188,坦克部件!#REF!,MATCH("标准值",坦克部件!#REF!,0),FALSE)+VLOOKUP($AN188,坦克部件!#REF!,MATCH("标准值",坦克部件!#REF!,0),FALSE))*2</f>
        <v>#REF!</v>
      </c>
      <c r="AV188" s="372" t="e">
        <f ca="1">(VLOOKUP($AM188,坦克部件!#REF!,MATCH("标准值",坦克部件!#REF!,0),FALSE)+VLOOKUP($AN188,坦克部件!#REF!,MATCH("标准值",坦克部件!#REF!,0),FALSE))*2</f>
        <v>#REF!</v>
      </c>
      <c r="AW188" s="372" t="e">
        <f ca="1">(VLOOKUP($AM188,坦克部件!#REF!,MATCH("标准值",坦克部件!#REF!,0),FALSE)+VLOOKUP($AN188,坦克部件!#REF!,MATCH("标准值",坦克部件!#REF!,0),FALSE))*2</f>
        <v>#REF!</v>
      </c>
      <c r="AX188" s="372" t="e">
        <f ca="1">VLOOKUP($AK188,坦克属性统计!$B$3:$AY$33,MATCH(AX$3,坦克属性统计!$B$3:$AY$3,0),FALSE)</f>
        <v>#REF!</v>
      </c>
      <c r="AY188" s="372" t="e">
        <f t="shared" ca="1" si="122"/>
        <v>#REF!</v>
      </c>
      <c r="AZ188" s="372" t="e">
        <f t="shared" ca="1" si="122"/>
        <v>#REF!</v>
      </c>
      <c r="BA188" s="372" t="e">
        <f t="shared" ca="1" si="122"/>
        <v>#REF!</v>
      </c>
      <c r="BB188" s="356" t="e">
        <f t="shared" ca="1" si="98"/>
        <v>#REF!</v>
      </c>
      <c r="BC188" s="356" t="e">
        <f ca="1">VLOOKUP(AK188,坦克个性化设定!$B$18:$E$48,4,FALSE)</f>
        <v>#REF!</v>
      </c>
      <c r="BD188" s="357" t="e">
        <f t="shared" ca="1" si="105"/>
        <v>#REF!</v>
      </c>
      <c r="BF188" s="357" t="str">
        <f t="shared" ca="1" si="99"/>
        <v/>
      </c>
      <c r="BG188" s="372" t="str">
        <f ca="1">IFERROR(VLOOKUP(BF188,坦克个性化设定!$B$18:$F$48,5,FALSE),"")</f>
        <v/>
      </c>
      <c r="BH188" s="372" t="e">
        <f t="shared" ca="1" si="106"/>
        <v>#REF!</v>
      </c>
      <c r="BI188" s="372" t="e">
        <f t="shared" ca="1" si="107"/>
        <v>#REF!</v>
      </c>
      <c r="BJ188" s="364" t="str">
        <f t="shared" ca="1" si="100"/>
        <v>NULL</v>
      </c>
      <c r="BK188" s="372" t="e">
        <f ca="1">VLOOKUP($BF188&amp;IF($BJ188="NULL",0,$BJ188),所有坦克升星属性,MATCH(BK$3,所有坦克升星属性标头,0),FALSE)+ROUND(BP188/VLOOKUP($BF188,坦克部件!#REF!,4,FALSE)*VLOOKUP($BF188&amp;0,所有坦克升星属性,MATCH(BK$3,所有坦克升星属性标头,0),FALSE),0)</f>
        <v>#N/A</v>
      </c>
      <c r="BL188" s="372" t="e">
        <f ca="1">VLOOKUP($BF188&amp;IF($BJ188="NULL",0,$BJ188),所有坦克升星属性,MATCH(BL$3,所有坦克升星属性标头,0),FALSE)+ROUND(BQ188/VLOOKUP($BF188,坦克部件!#REF!,4,FALSE)*VLOOKUP($BF188&amp;0,所有坦克升星属性,MATCH(BL$3,所有坦克升星属性标头,0),FALSE),0)</f>
        <v>#N/A</v>
      </c>
      <c r="BM188" s="372" t="e">
        <f t="shared" ca="1" si="123"/>
        <v>#N/A</v>
      </c>
      <c r="BN188" s="372" t="e">
        <f t="shared" ca="1" si="123"/>
        <v>#N/A</v>
      </c>
      <c r="BO188" s="372" t="e">
        <f ca="1">VLOOKUP($BF188&amp;IF($BJ188="NULL",0,$BJ188),所有坦克升星属性,MATCH(BO$3,所有坦克升星属性标头,0),FALSE)+ROUND(BR188/VLOOKUP($BF188,坦克部件!#REF!,4,FALSE)*VLOOKUP($BF188&amp;0,所有坦克升星属性,MATCH(BO$3,所有坦克升星属性标头,0),FALSE),0)</f>
        <v>#N/A</v>
      </c>
      <c r="BP188" s="372" t="e">
        <f ca="1">(VLOOKUP($BH188,坦克部件!#REF!,MATCH("标准值",坦克部件!#REF!,0),FALSE)+VLOOKUP($BI188,坦克部件!#REF!,MATCH("标准值",坦克部件!#REF!,0),FALSE))*2</f>
        <v>#REF!</v>
      </c>
      <c r="BQ188" s="372" t="e">
        <f ca="1">(VLOOKUP($BH188,坦克部件!#REF!,MATCH("标准值",坦克部件!#REF!,0),FALSE)+VLOOKUP($BI188,坦克部件!#REF!,MATCH("标准值",坦克部件!#REF!,0),FALSE))*2</f>
        <v>#REF!</v>
      </c>
      <c r="BR188" s="372" t="e">
        <f ca="1">(VLOOKUP($BH188,坦克部件!#REF!,MATCH("标准值",坦克部件!#REF!,0),FALSE)+VLOOKUP($BI188,坦克部件!#REF!,MATCH("标准值",坦克部件!#REF!,0),FALSE))*2</f>
        <v>#REF!</v>
      </c>
      <c r="BS188" s="372" t="e">
        <f ca="1">VLOOKUP($BF188,坦克属性统计!$B$3:$AY$33,MATCH(BS$3,坦克属性统计!$B$3:$AY$3,0),FALSE)</f>
        <v>#N/A</v>
      </c>
      <c r="BT188" s="372" t="e">
        <f t="shared" ca="1" si="124"/>
        <v>#N/A</v>
      </c>
      <c r="BU188" s="372" t="e">
        <f t="shared" ca="1" si="124"/>
        <v>#N/A</v>
      </c>
      <c r="BV188" s="372" t="e">
        <f t="shared" ca="1" si="124"/>
        <v>#N/A</v>
      </c>
      <c r="BW188" s="356">
        <f t="shared" ca="1" si="101"/>
        <v>0</v>
      </c>
      <c r="BX188" s="356" t="e">
        <f ca="1">VLOOKUP(BF188,坦克个性化设定!$B$18:$E$48,4,FALSE)</f>
        <v>#N/A</v>
      </c>
      <c r="BY188" s="357" t="e">
        <f t="shared" ca="1" si="108"/>
        <v>#N/A</v>
      </c>
    </row>
    <row r="189" spans="15:77" x14ac:dyDescent="0.35">
      <c r="O189" s="365">
        <v>186</v>
      </c>
      <c r="P189" s="360" t="e">
        <f t="shared" ca="1" si="115"/>
        <v>#REF!</v>
      </c>
      <c r="Q189" s="360" t="e">
        <f ca="1">ROUND(MIN((BD189-VLOOKUP(R189,$B$22:$F$46,2,FALSE))/(VLOOKUP(R189,$B$22:$F$46,3,FALSE)-VLOOKUP(R189,$B$22:$F$46,2,FALSE)),1)*((VLOOKUP(R189,$B$22:$F$46,4,FALSE)*(AG189/(AG189+VLOOKUP(P189,$D$49:$F$123,3,TRUE)))+VLOOKUP(R189,$B$22:$F$46,5,FALSE)*(1-AG189/(AG189+VLOOKUP(P189,$D$49:$F$123,3,TRUE))))/2)*游戏时长规划!$C$4,0)</f>
        <v>#REF!</v>
      </c>
      <c r="R189" s="360" t="e">
        <f t="shared" ca="1" si="88"/>
        <v>#REF!</v>
      </c>
      <c r="S189" s="360" t="e">
        <f t="shared" ca="1" si="109"/>
        <v>#REF!</v>
      </c>
      <c r="T189" s="360" t="e">
        <f t="shared" ca="1" si="116"/>
        <v>#REF!</v>
      </c>
      <c r="U189" s="370" t="e">
        <f t="shared" ca="1" si="89"/>
        <v>#REF!</v>
      </c>
      <c r="V189" s="363" t="e">
        <f t="shared" ca="1" si="110"/>
        <v>#REF!</v>
      </c>
      <c r="W189" s="360" t="e">
        <f t="shared" ca="1" si="90"/>
        <v>#REF!</v>
      </c>
      <c r="X189" s="81" t="e">
        <f t="shared" ca="1" si="102"/>
        <v>#REF!</v>
      </c>
      <c r="Y189" s="360" t="str">
        <f t="shared" ca="1" si="91"/>
        <v>NULL</v>
      </c>
      <c r="Z189" s="375" t="e">
        <f t="shared" ca="1" si="103"/>
        <v>#REF!</v>
      </c>
      <c r="AA189" s="360">
        <f ca="1">IFERROR(VLOOKUP(IF(V189="T1低",游戏时长规划!$C$67+Z189,Z189),INDIRECT(V189&amp;"星级"),2,TRUE),0)</f>
        <v>0</v>
      </c>
      <c r="AB189" s="375" t="e">
        <f t="shared" ca="1" si="92"/>
        <v>#REF!</v>
      </c>
      <c r="AC189" s="375">
        <f ca="1">($D$14+$D$17)*$L$4/坦克部件养成!$C$2+AC188-IFERROR(IF(RIGHT(AD188,3)*1&gt;RIGHT(VLOOKUP(AC188,INDIRECT(LEFT(AD187,2)&amp;"部件升阶"),5,TRUE),3)*1,VLOOKUP(AD187,INDIRECT(LEFT(AD187,2)&amp;"部件升阶消耗"),2,FALSE),0),0)</f>
        <v>2200.9999999999968</v>
      </c>
      <c r="AD189" s="360" t="e">
        <f t="shared" ca="1" si="93"/>
        <v>#REF!</v>
      </c>
      <c r="AE189" s="375" t="e">
        <f ca="1">$D$15*$L$4/坦克部件养成!$C$2+AE188-IF(LEFT(AD189,2)&lt;&gt;LEFT(AD188,2),VLOOKUP(AF188,INDIRECT(LEFT(AD188,2)&amp;"部件升级消耗"),5,FALSE),0)</f>
        <v>#REF!</v>
      </c>
      <c r="AF189" s="360" t="e">
        <f ca="1">MIN(VLOOKUP(AE189,INDIRECT(LEFT(AD189,2)&amp;"部件升级"),2,TRUE),VLOOKUP(LEFT(AD189,2),坦克部件养成!#REF!,6,FALSE))</f>
        <v>#REF!</v>
      </c>
      <c r="AG189" s="378" t="e">
        <f ca="1">MAX(BD$4:BD189)</f>
        <v>#REF!</v>
      </c>
      <c r="AH189" s="378" t="str">
        <f t="shared" ca="1" si="94"/>
        <v/>
      </c>
      <c r="AI189" s="378">
        <f ca="1">IF(Y189="NULL",0,MAX(BY$4:BY189))</f>
        <v>0</v>
      </c>
      <c r="AK189" s="364" t="e">
        <f t="shared" ca="1" si="95"/>
        <v>#REF!</v>
      </c>
      <c r="AL189" s="364" t="e">
        <f ca="1">VLOOKUP(AK189,坦克个性化设定!$B$18:$F$48,5,FALSE)</f>
        <v>#REF!</v>
      </c>
      <c r="AM189" s="372" t="e">
        <f t="shared" ca="1" si="96"/>
        <v>#REF!</v>
      </c>
      <c r="AN189" s="372" t="e">
        <f t="shared" ca="1" si="104"/>
        <v>#REF!</v>
      </c>
      <c r="AO189" s="364">
        <f t="shared" ca="1" si="97"/>
        <v>0</v>
      </c>
      <c r="AP189" s="372" t="e">
        <f ca="1">VLOOKUP($AK189&amp;$AO189,所有坦克升星属性,MATCH(AP$3,所有坦克升星属性标头,0),FALSE)+ROUND(AU189/VLOOKUP($AK189,坦克部件!#REF!,4,FALSE)*VLOOKUP($AK189&amp;0,所有坦克升星属性,MATCH(AP$3,所有坦克升星属性标头,0),FALSE),0)</f>
        <v>#REF!</v>
      </c>
      <c r="AQ189" s="372" t="e">
        <f ca="1">VLOOKUP($AK189&amp;$AO189,所有坦克升星属性,MATCH(AQ$3,所有坦克升星属性标头,0),FALSE)+ROUND(AV189/VLOOKUP($AK189,坦克部件!#REF!,4,FALSE)*VLOOKUP($AK189&amp;0,所有坦克升星属性,MATCH(AQ$3,所有坦克升星属性标头,0),FALSE),0)</f>
        <v>#REF!</v>
      </c>
      <c r="AR189" s="372" t="e">
        <f t="shared" ca="1" si="121"/>
        <v>#REF!</v>
      </c>
      <c r="AS189" s="372" t="e">
        <f t="shared" ca="1" si="121"/>
        <v>#REF!</v>
      </c>
      <c r="AT189" s="372" t="e">
        <f ca="1">VLOOKUP($AK189&amp;$AO189,所有坦克升星属性,MATCH(AT$3,所有坦克升星属性标头,0),FALSE)+ROUND(AW189/VLOOKUP($AK189,坦克部件!#REF!,4,FALSE)*VLOOKUP($AK189&amp;0,所有坦克升星属性,MATCH(AT$3,所有坦克升星属性标头,0),FALSE),0)</f>
        <v>#REF!</v>
      </c>
      <c r="AU189" s="372" t="e">
        <f ca="1">(VLOOKUP($AM189,坦克部件!#REF!,MATCH("标准值",坦克部件!#REF!,0),FALSE)+VLOOKUP($AN189,坦克部件!#REF!,MATCH("标准值",坦克部件!#REF!,0),FALSE))*2</f>
        <v>#REF!</v>
      </c>
      <c r="AV189" s="372" t="e">
        <f ca="1">(VLOOKUP($AM189,坦克部件!#REF!,MATCH("标准值",坦克部件!#REF!,0),FALSE)+VLOOKUP($AN189,坦克部件!#REF!,MATCH("标准值",坦克部件!#REF!,0),FALSE))*2</f>
        <v>#REF!</v>
      </c>
      <c r="AW189" s="372" t="e">
        <f ca="1">(VLOOKUP($AM189,坦克部件!#REF!,MATCH("标准值",坦克部件!#REF!,0),FALSE)+VLOOKUP($AN189,坦克部件!#REF!,MATCH("标准值",坦克部件!#REF!,0),FALSE))*2</f>
        <v>#REF!</v>
      </c>
      <c r="AX189" s="372" t="e">
        <f ca="1">VLOOKUP($AK189,坦克属性统计!$B$3:$AY$33,MATCH(AX$3,坦克属性统计!$B$3:$AY$3,0),FALSE)</f>
        <v>#REF!</v>
      </c>
      <c r="AY189" s="372" t="e">
        <f t="shared" ca="1" si="122"/>
        <v>#REF!</v>
      </c>
      <c r="AZ189" s="372" t="e">
        <f t="shared" ca="1" si="122"/>
        <v>#REF!</v>
      </c>
      <c r="BA189" s="372" t="e">
        <f t="shared" ca="1" si="122"/>
        <v>#REF!</v>
      </c>
      <c r="BB189" s="356" t="e">
        <f t="shared" ca="1" si="98"/>
        <v>#REF!</v>
      </c>
      <c r="BC189" s="356" t="e">
        <f ca="1">VLOOKUP(AK189,坦克个性化设定!$B$18:$E$48,4,FALSE)</f>
        <v>#REF!</v>
      </c>
      <c r="BD189" s="357" t="e">
        <f t="shared" ca="1" si="105"/>
        <v>#REF!</v>
      </c>
      <c r="BF189" s="357" t="str">
        <f t="shared" ca="1" si="99"/>
        <v/>
      </c>
      <c r="BG189" s="372" t="str">
        <f ca="1">IFERROR(VLOOKUP(BF189,坦克个性化设定!$B$18:$F$48,5,FALSE),"")</f>
        <v/>
      </c>
      <c r="BH189" s="372" t="e">
        <f t="shared" ca="1" si="106"/>
        <v>#REF!</v>
      </c>
      <c r="BI189" s="372" t="e">
        <f t="shared" ca="1" si="107"/>
        <v>#REF!</v>
      </c>
      <c r="BJ189" s="364" t="str">
        <f t="shared" ca="1" si="100"/>
        <v>NULL</v>
      </c>
      <c r="BK189" s="372" t="e">
        <f ca="1">VLOOKUP($BF189&amp;IF($BJ189="NULL",0,$BJ189),所有坦克升星属性,MATCH(BK$3,所有坦克升星属性标头,0),FALSE)+ROUND(BP189/VLOOKUP($BF189,坦克部件!#REF!,4,FALSE)*VLOOKUP($BF189&amp;0,所有坦克升星属性,MATCH(BK$3,所有坦克升星属性标头,0),FALSE),0)</f>
        <v>#N/A</v>
      </c>
      <c r="BL189" s="372" t="e">
        <f ca="1">VLOOKUP($BF189&amp;IF($BJ189="NULL",0,$BJ189),所有坦克升星属性,MATCH(BL$3,所有坦克升星属性标头,0),FALSE)+ROUND(BQ189/VLOOKUP($BF189,坦克部件!#REF!,4,FALSE)*VLOOKUP($BF189&amp;0,所有坦克升星属性,MATCH(BL$3,所有坦克升星属性标头,0),FALSE),0)</f>
        <v>#N/A</v>
      </c>
      <c r="BM189" s="372" t="e">
        <f t="shared" ca="1" si="123"/>
        <v>#N/A</v>
      </c>
      <c r="BN189" s="372" t="e">
        <f t="shared" ca="1" si="123"/>
        <v>#N/A</v>
      </c>
      <c r="BO189" s="372" t="e">
        <f ca="1">VLOOKUP($BF189&amp;IF($BJ189="NULL",0,$BJ189),所有坦克升星属性,MATCH(BO$3,所有坦克升星属性标头,0),FALSE)+ROUND(BR189/VLOOKUP($BF189,坦克部件!#REF!,4,FALSE)*VLOOKUP($BF189&amp;0,所有坦克升星属性,MATCH(BO$3,所有坦克升星属性标头,0),FALSE),0)</f>
        <v>#N/A</v>
      </c>
      <c r="BP189" s="372" t="e">
        <f ca="1">(VLOOKUP($BH189,坦克部件!#REF!,MATCH("标准值",坦克部件!#REF!,0),FALSE)+VLOOKUP($BI189,坦克部件!#REF!,MATCH("标准值",坦克部件!#REF!,0),FALSE))*2</f>
        <v>#REF!</v>
      </c>
      <c r="BQ189" s="372" t="e">
        <f ca="1">(VLOOKUP($BH189,坦克部件!#REF!,MATCH("标准值",坦克部件!#REF!,0),FALSE)+VLOOKUP($BI189,坦克部件!#REF!,MATCH("标准值",坦克部件!#REF!,0),FALSE))*2</f>
        <v>#REF!</v>
      </c>
      <c r="BR189" s="372" t="e">
        <f ca="1">(VLOOKUP($BH189,坦克部件!#REF!,MATCH("标准值",坦克部件!#REF!,0),FALSE)+VLOOKUP($BI189,坦克部件!#REF!,MATCH("标准值",坦克部件!#REF!,0),FALSE))*2</f>
        <v>#REF!</v>
      </c>
      <c r="BS189" s="372" t="e">
        <f ca="1">VLOOKUP($BF189,坦克属性统计!$B$3:$AY$33,MATCH(BS$3,坦克属性统计!$B$3:$AY$3,0),FALSE)</f>
        <v>#N/A</v>
      </c>
      <c r="BT189" s="372" t="e">
        <f t="shared" ca="1" si="124"/>
        <v>#N/A</v>
      </c>
      <c r="BU189" s="372" t="e">
        <f t="shared" ca="1" si="124"/>
        <v>#N/A</v>
      </c>
      <c r="BV189" s="372" t="e">
        <f t="shared" ca="1" si="124"/>
        <v>#N/A</v>
      </c>
      <c r="BW189" s="356">
        <f t="shared" ca="1" si="101"/>
        <v>0</v>
      </c>
      <c r="BX189" s="356" t="e">
        <f ca="1">VLOOKUP(BF189,坦克个性化设定!$B$18:$E$48,4,FALSE)</f>
        <v>#N/A</v>
      </c>
      <c r="BY189" s="357" t="e">
        <f t="shared" ca="1" si="108"/>
        <v>#N/A</v>
      </c>
    </row>
    <row r="190" spans="15:77" x14ac:dyDescent="0.35">
      <c r="O190" s="365">
        <v>187</v>
      </c>
      <c r="P190" s="360" t="e">
        <f t="shared" ca="1" si="115"/>
        <v>#REF!</v>
      </c>
      <c r="Q190" s="360" t="e">
        <f ca="1">ROUND(MIN((BD190-VLOOKUP(R190,$B$22:$F$46,2,FALSE))/(VLOOKUP(R190,$B$22:$F$46,3,FALSE)-VLOOKUP(R190,$B$22:$F$46,2,FALSE)),1)*((VLOOKUP(R190,$B$22:$F$46,4,FALSE)*(AG190/(AG190+VLOOKUP(P190,$D$49:$F$123,3,TRUE)))+VLOOKUP(R190,$B$22:$F$46,5,FALSE)*(1-AG190/(AG190+VLOOKUP(P190,$D$49:$F$123,3,TRUE))))/2)*游戏时长规划!$C$4,0)</f>
        <v>#REF!</v>
      </c>
      <c r="R190" s="360" t="e">
        <f t="shared" ca="1" si="88"/>
        <v>#REF!</v>
      </c>
      <c r="S190" s="360" t="e">
        <f t="shared" ca="1" si="109"/>
        <v>#REF!</v>
      </c>
      <c r="T190" s="360" t="e">
        <f t="shared" ca="1" si="116"/>
        <v>#REF!</v>
      </c>
      <c r="U190" s="370" t="e">
        <f t="shared" ca="1" si="89"/>
        <v>#REF!</v>
      </c>
      <c r="V190" s="363" t="e">
        <f t="shared" ca="1" si="110"/>
        <v>#REF!</v>
      </c>
      <c r="W190" s="360" t="e">
        <f t="shared" ca="1" si="90"/>
        <v>#REF!</v>
      </c>
      <c r="X190" s="81" t="e">
        <f t="shared" ca="1" si="102"/>
        <v>#REF!</v>
      </c>
      <c r="Y190" s="360" t="str">
        <f t="shared" ca="1" si="91"/>
        <v>NULL</v>
      </c>
      <c r="Z190" s="375" t="e">
        <f t="shared" ca="1" si="103"/>
        <v>#REF!</v>
      </c>
      <c r="AA190" s="360">
        <f ca="1">IFERROR(VLOOKUP(IF(V190="T1低",游戏时长规划!$C$67+Z190,Z190),INDIRECT(V190&amp;"星级"),2,TRUE),0)</f>
        <v>0</v>
      </c>
      <c r="AB190" s="375" t="e">
        <f t="shared" ca="1" si="92"/>
        <v>#REF!</v>
      </c>
      <c r="AC190" s="375">
        <f ca="1">($D$14+$D$17)*$L$4/坦克部件养成!$C$2+AC189-IFERROR(IF(RIGHT(AD189,3)*1&gt;RIGHT(VLOOKUP(AC189,INDIRECT(LEFT(AD188,2)&amp;"部件升阶"),5,TRUE),3)*1,VLOOKUP(AD188,INDIRECT(LEFT(AD188,2)&amp;"部件升阶消耗"),2,FALSE),0),0)</f>
        <v>2212.8333333333303</v>
      </c>
      <c r="AD190" s="360" t="e">
        <f t="shared" ca="1" si="93"/>
        <v>#REF!</v>
      </c>
      <c r="AE190" s="375" t="e">
        <f ca="1">$D$15*$L$4/坦克部件养成!$C$2+AE189-IF(LEFT(AD190,2)&lt;&gt;LEFT(AD189,2),VLOOKUP(AF189,INDIRECT(LEFT(AD189,2)&amp;"部件升级消耗"),5,FALSE),0)</f>
        <v>#REF!</v>
      </c>
      <c r="AF190" s="360" t="e">
        <f ca="1">MIN(VLOOKUP(AE190,INDIRECT(LEFT(AD190,2)&amp;"部件升级"),2,TRUE),VLOOKUP(LEFT(AD190,2),坦克部件养成!#REF!,6,FALSE))</f>
        <v>#REF!</v>
      </c>
      <c r="AG190" s="378" t="e">
        <f ca="1">MAX(BD$4:BD190)</f>
        <v>#REF!</v>
      </c>
      <c r="AH190" s="378" t="str">
        <f t="shared" ca="1" si="94"/>
        <v/>
      </c>
      <c r="AI190" s="378">
        <f ca="1">IF(Y190="NULL",0,MAX(BY$4:BY190))</f>
        <v>0</v>
      </c>
      <c r="AK190" s="364" t="e">
        <f t="shared" ca="1" si="95"/>
        <v>#REF!</v>
      </c>
      <c r="AL190" s="364" t="e">
        <f ca="1">VLOOKUP(AK190,坦克个性化设定!$B$18:$F$48,5,FALSE)</f>
        <v>#REF!</v>
      </c>
      <c r="AM190" s="372" t="e">
        <f t="shared" ca="1" si="96"/>
        <v>#REF!</v>
      </c>
      <c r="AN190" s="372" t="e">
        <f t="shared" ca="1" si="104"/>
        <v>#REF!</v>
      </c>
      <c r="AO190" s="364">
        <f t="shared" ca="1" si="97"/>
        <v>0</v>
      </c>
      <c r="AP190" s="372" t="e">
        <f ca="1">VLOOKUP($AK190&amp;$AO190,所有坦克升星属性,MATCH(AP$3,所有坦克升星属性标头,0),FALSE)+ROUND(AU190/VLOOKUP($AK190,坦克部件!#REF!,4,FALSE)*VLOOKUP($AK190&amp;0,所有坦克升星属性,MATCH(AP$3,所有坦克升星属性标头,0),FALSE),0)</f>
        <v>#REF!</v>
      </c>
      <c r="AQ190" s="372" t="e">
        <f ca="1">VLOOKUP($AK190&amp;$AO190,所有坦克升星属性,MATCH(AQ$3,所有坦克升星属性标头,0),FALSE)+ROUND(AV190/VLOOKUP($AK190,坦克部件!#REF!,4,FALSE)*VLOOKUP($AK190&amp;0,所有坦克升星属性,MATCH(AQ$3,所有坦克升星属性标头,0),FALSE),0)</f>
        <v>#REF!</v>
      </c>
      <c r="AR190" s="372" t="e">
        <f t="shared" ca="1" si="121"/>
        <v>#REF!</v>
      </c>
      <c r="AS190" s="372" t="e">
        <f t="shared" ca="1" si="121"/>
        <v>#REF!</v>
      </c>
      <c r="AT190" s="372" t="e">
        <f ca="1">VLOOKUP($AK190&amp;$AO190,所有坦克升星属性,MATCH(AT$3,所有坦克升星属性标头,0),FALSE)+ROUND(AW190/VLOOKUP($AK190,坦克部件!#REF!,4,FALSE)*VLOOKUP($AK190&amp;0,所有坦克升星属性,MATCH(AT$3,所有坦克升星属性标头,0),FALSE),0)</f>
        <v>#REF!</v>
      </c>
      <c r="AU190" s="372" t="e">
        <f ca="1">(VLOOKUP($AM190,坦克部件!#REF!,MATCH("标准值",坦克部件!#REF!,0),FALSE)+VLOOKUP($AN190,坦克部件!#REF!,MATCH("标准值",坦克部件!#REF!,0),FALSE))*2</f>
        <v>#REF!</v>
      </c>
      <c r="AV190" s="372" t="e">
        <f ca="1">(VLOOKUP($AM190,坦克部件!#REF!,MATCH("标准值",坦克部件!#REF!,0),FALSE)+VLOOKUP($AN190,坦克部件!#REF!,MATCH("标准值",坦克部件!#REF!,0),FALSE))*2</f>
        <v>#REF!</v>
      </c>
      <c r="AW190" s="372" t="e">
        <f ca="1">(VLOOKUP($AM190,坦克部件!#REF!,MATCH("标准值",坦克部件!#REF!,0),FALSE)+VLOOKUP($AN190,坦克部件!#REF!,MATCH("标准值",坦克部件!#REF!,0),FALSE))*2</f>
        <v>#REF!</v>
      </c>
      <c r="AX190" s="372" t="e">
        <f ca="1">VLOOKUP($AK190,坦克属性统计!$B$3:$AY$33,MATCH(AX$3,坦克属性统计!$B$3:$AY$3,0),FALSE)</f>
        <v>#REF!</v>
      </c>
      <c r="AY190" s="372" t="e">
        <f t="shared" ca="1" si="122"/>
        <v>#REF!</v>
      </c>
      <c r="AZ190" s="372" t="e">
        <f t="shared" ca="1" si="122"/>
        <v>#REF!</v>
      </c>
      <c r="BA190" s="372" t="e">
        <f t="shared" ca="1" si="122"/>
        <v>#REF!</v>
      </c>
      <c r="BB190" s="356" t="e">
        <f t="shared" ca="1" si="98"/>
        <v>#REF!</v>
      </c>
      <c r="BC190" s="356" t="e">
        <f ca="1">VLOOKUP(AK190,坦克个性化设定!$B$18:$E$48,4,FALSE)</f>
        <v>#REF!</v>
      </c>
      <c r="BD190" s="357" t="e">
        <f t="shared" ca="1" si="105"/>
        <v>#REF!</v>
      </c>
      <c r="BF190" s="357" t="str">
        <f t="shared" ca="1" si="99"/>
        <v/>
      </c>
      <c r="BG190" s="372" t="str">
        <f ca="1">IFERROR(VLOOKUP(BF190,坦克个性化设定!$B$18:$F$48,5,FALSE),"")</f>
        <v/>
      </c>
      <c r="BH190" s="372" t="e">
        <f t="shared" ca="1" si="106"/>
        <v>#REF!</v>
      </c>
      <c r="BI190" s="372" t="e">
        <f t="shared" ca="1" si="107"/>
        <v>#REF!</v>
      </c>
      <c r="BJ190" s="364" t="str">
        <f t="shared" ca="1" si="100"/>
        <v>NULL</v>
      </c>
      <c r="BK190" s="372" t="e">
        <f ca="1">VLOOKUP($BF190&amp;IF($BJ190="NULL",0,$BJ190),所有坦克升星属性,MATCH(BK$3,所有坦克升星属性标头,0),FALSE)+ROUND(BP190/VLOOKUP($BF190,坦克部件!#REF!,4,FALSE)*VLOOKUP($BF190&amp;0,所有坦克升星属性,MATCH(BK$3,所有坦克升星属性标头,0),FALSE),0)</f>
        <v>#N/A</v>
      </c>
      <c r="BL190" s="372" t="e">
        <f ca="1">VLOOKUP($BF190&amp;IF($BJ190="NULL",0,$BJ190),所有坦克升星属性,MATCH(BL$3,所有坦克升星属性标头,0),FALSE)+ROUND(BQ190/VLOOKUP($BF190,坦克部件!#REF!,4,FALSE)*VLOOKUP($BF190&amp;0,所有坦克升星属性,MATCH(BL$3,所有坦克升星属性标头,0),FALSE),0)</f>
        <v>#N/A</v>
      </c>
      <c r="BM190" s="372" t="e">
        <f t="shared" ca="1" si="123"/>
        <v>#N/A</v>
      </c>
      <c r="BN190" s="372" t="e">
        <f t="shared" ca="1" si="123"/>
        <v>#N/A</v>
      </c>
      <c r="BO190" s="372" t="e">
        <f ca="1">VLOOKUP($BF190&amp;IF($BJ190="NULL",0,$BJ190),所有坦克升星属性,MATCH(BO$3,所有坦克升星属性标头,0),FALSE)+ROUND(BR190/VLOOKUP($BF190,坦克部件!#REF!,4,FALSE)*VLOOKUP($BF190&amp;0,所有坦克升星属性,MATCH(BO$3,所有坦克升星属性标头,0),FALSE),0)</f>
        <v>#N/A</v>
      </c>
      <c r="BP190" s="372" t="e">
        <f ca="1">(VLOOKUP($BH190,坦克部件!#REF!,MATCH("标准值",坦克部件!#REF!,0),FALSE)+VLOOKUP($BI190,坦克部件!#REF!,MATCH("标准值",坦克部件!#REF!,0),FALSE))*2</f>
        <v>#REF!</v>
      </c>
      <c r="BQ190" s="372" t="e">
        <f ca="1">(VLOOKUP($BH190,坦克部件!#REF!,MATCH("标准值",坦克部件!#REF!,0),FALSE)+VLOOKUP($BI190,坦克部件!#REF!,MATCH("标准值",坦克部件!#REF!,0),FALSE))*2</f>
        <v>#REF!</v>
      </c>
      <c r="BR190" s="372" t="e">
        <f ca="1">(VLOOKUP($BH190,坦克部件!#REF!,MATCH("标准值",坦克部件!#REF!,0),FALSE)+VLOOKUP($BI190,坦克部件!#REF!,MATCH("标准值",坦克部件!#REF!,0),FALSE))*2</f>
        <v>#REF!</v>
      </c>
      <c r="BS190" s="372" t="e">
        <f ca="1">VLOOKUP($BF190,坦克属性统计!$B$3:$AY$33,MATCH(BS$3,坦克属性统计!$B$3:$AY$3,0),FALSE)</f>
        <v>#N/A</v>
      </c>
      <c r="BT190" s="372" t="e">
        <f t="shared" ca="1" si="124"/>
        <v>#N/A</v>
      </c>
      <c r="BU190" s="372" t="e">
        <f t="shared" ca="1" si="124"/>
        <v>#N/A</v>
      </c>
      <c r="BV190" s="372" t="e">
        <f t="shared" ca="1" si="124"/>
        <v>#N/A</v>
      </c>
      <c r="BW190" s="356">
        <f t="shared" ca="1" si="101"/>
        <v>0</v>
      </c>
      <c r="BX190" s="356" t="e">
        <f ca="1">VLOOKUP(BF190,坦克个性化设定!$B$18:$E$48,4,FALSE)</f>
        <v>#N/A</v>
      </c>
      <c r="BY190" s="357" t="e">
        <f t="shared" ca="1" si="108"/>
        <v>#N/A</v>
      </c>
    </row>
    <row r="191" spans="15:77" x14ac:dyDescent="0.35">
      <c r="O191" s="365">
        <v>188</v>
      </c>
      <c r="P191" s="360" t="e">
        <f t="shared" ca="1" si="115"/>
        <v>#REF!</v>
      </c>
      <c r="Q191" s="360" t="e">
        <f ca="1">ROUND(MIN((BD191-VLOOKUP(R191,$B$22:$F$46,2,FALSE))/(VLOOKUP(R191,$B$22:$F$46,3,FALSE)-VLOOKUP(R191,$B$22:$F$46,2,FALSE)),1)*((VLOOKUP(R191,$B$22:$F$46,4,FALSE)*(AG191/(AG191+VLOOKUP(P191,$D$49:$F$123,3,TRUE)))+VLOOKUP(R191,$B$22:$F$46,5,FALSE)*(1-AG191/(AG191+VLOOKUP(P191,$D$49:$F$123,3,TRUE))))/2)*游戏时长规划!$C$4,0)</f>
        <v>#REF!</v>
      </c>
      <c r="R191" s="360" t="e">
        <f t="shared" ca="1" si="88"/>
        <v>#REF!</v>
      </c>
      <c r="S191" s="360" t="e">
        <f t="shared" ca="1" si="109"/>
        <v>#REF!</v>
      </c>
      <c r="T191" s="360" t="e">
        <f t="shared" ca="1" si="116"/>
        <v>#REF!</v>
      </c>
      <c r="U191" s="370" t="e">
        <f t="shared" ca="1" si="89"/>
        <v>#REF!</v>
      </c>
      <c r="V191" s="363" t="e">
        <f t="shared" ca="1" si="110"/>
        <v>#REF!</v>
      </c>
      <c r="W191" s="360" t="e">
        <f t="shared" ca="1" si="90"/>
        <v>#REF!</v>
      </c>
      <c r="X191" s="81" t="e">
        <f t="shared" ca="1" si="102"/>
        <v>#REF!</v>
      </c>
      <c r="Y191" s="360" t="str">
        <f t="shared" ca="1" si="91"/>
        <v>NULL</v>
      </c>
      <c r="Z191" s="375" t="e">
        <f t="shared" ca="1" si="103"/>
        <v>#REF!</v>
      </c>
      <c r="AA191" s="360">
        <f ca="1">IFERROR(VLOOKUP(IF(V191="T1低",游戏时长规划!$C$67+Z191,Z191),INDIRECT(V191&amp;"星级"),2,TRUE),0)</f>
        <v>0</v>
      </c>
      <c r="AB191" s="375" t="e">
        <f t="shared" ca="1" si="92"/>
        <v>#REF!</v>
      </c>
      <c r="AC191" s="375">
        <f ca="1">($D$14+$D$17)*$L$4/坦克部件养成!$C$2+AC190-IFERROR(IF(RIGHT(AD190,3)*1&gt;RIGHT(VLOOKUP(AC190,INDIRECT(LEFT(AD189,2)&amp;"部件升阶"),5,TRUE),3)*1,VLOOKUP(AD189,INDIRECT(LEFT(AD189,2)&amp;"部件升阶消耗"),2,FALSE),0),0)</f>
        <v>2224.6666666666638</v>
      </c>
      <c r="AD191" s="360" t="e">
        <f t="shared" ca="1" si="93"/>
        <v>#REF!</v>
      </c>
      <c r="AE191" s="375" t="e">
        <f ca="1">$D$15*$L$4/坦克部件养成!$C$2+AE190-IF(LEFT(AD191,2)&lt;&gt;LEFT(AD190,2),VLOOKUP(AF190,INDIRECT(LEFT(AD190,2)&amp;"部件升级消耗"),5,FALSE),0)</f>
        <v>#REF!</v>
      </c>
      <c r="AF191" s="360" t="e">
        <f ca="1">MIN(VLOOKUP(AE191,INDIRECT(LEFT(AD191,2)&amp;"部件升级"),2,TRUE),VLOOKUP(LEFT(AD191,2),坦克部件养成!#REF!,6,FALSE))</f>
        <v>#REF!</v>
      </c>
      <c r="AG191" s="378" t="e">
        <f ca="1">MAX(BD$4:BD191)</f>
        <v>#REF!</v>
      </c>
      <c r="AH191" s="378" t="str">
        <f t="shared" ca="1" si="94"/>
        <v/>
      </c>
      <c r="AI191" s="378">
        <f ca="1">IF(Y191="NULL",0,MAX(BY$4:BY191))</f>
        <v>0</v>
      </c>
      <c r="AK191" s="364" t="e">
        <f t="shared" ca="1" si="95"/>
        <v>#REF!</v>
      </c>
      <c r="AL191" s="364" t="e">
        <f ca="1">VLOOKUP(AK191,坦克个性化设定!$B$18:$F$48,5,FALSE)</f>
        <v>#REF!</v>
      </c>
      <c r="AM191" s="372" t="e">
        <f t="shared" ca="1" si="96"/>
        <v>#REF!</v>
      </c>
      <c r="AN191" s="372" t="e">
        <f t="shared" ca="1" si="104"/>
        <v>#REF!</v>
      </c>
      <c r="AO191" s="364">
        <f t="shared" ca="1" si="97"/>
        <v>0</v>
      </c>
      <c r="AP191" s="372" t="e">
        <f ca="1">VLOOKUP($AK191&amp;$AO191,所有坦克升星属性,MATCH(AP$3,所有坦克升星属性标头,0),FALSE)+ROUND(AU191/VLOOKUP($AK191,坦克部件!#REF!,4,FALSE)*VLOOKUP($AK191&amp;0,所有坦克升星属性,MATCH(AP$3,所有坦克升星属性标头,0),FALSE),0)</f>
        <v>#REF!</v>
      </c>
      <c r="AQ191" s="372" t="e">
        <f ca="1">VLOOKUP($AK191&amp;$AO191,所有坦克升星属性,MATCH(AQ$3,所有坦克升星属性标头,0),FALSE)+ROUND(AV191/VLOOKUP($AK191,坦克部件!#REF!,4,FALSE)*VLOOKUP($AK191&amp;0,所有坦克升星属性,MATCH(AQ$3,所有坦克升星属性标头,0),FALSE),0)</f>
        <v>#REF!</v>
      </c>
      <c r="AR191" s="372" t="e">
        <f t="shared" ca="1" si="121"/>
        <v>#REF!</v>
      </c>
      <c r="AS191" s="372" t="e">
        <f t="shared" ca="1" si="121"/>
        <v>#REF!</v>
      </c>
      <c r="AT191" s="372" t="e">
        <f ca="1">VLOOKUP($AK191&amp;$AO191,所有坦克升星属性,MATCH(AT$3,所有坦克升星属性标头,0),FALSE)+ROUND(AW191/VLOOKUP($AK191,坦克部件!#REF!,4,FALSE)*VLOOKUP($AK191&amp;0,所有坦克升星属性,MATCH(AT$3,所有坦克升星属性标头,0),FALSE),0)</f>
        <v>#REF!</v>
      </c>
      <c r="AU191" s="372" t="e">
        <f ca="1">(VLOOKUP($AM191,坦克部件!#REF!,MATCH("标准值",坦克部件!#REF!,0),FALSE)+VLOOKUP($AN191,坦克部件!#REF!,MATCH("标准值",坦克部件!#REF!,0),FALSE))*2</f>
        <v>#REF!</v>
      </c>
      <c r="AV191" s="372" t="e">
        <f ca="1">(VLOOKUP($AM191,坦克部件!#REF!,MATCH("标准值",坦克部件!#REF!,0),FALSE)+VLOOKUP($AN191,坦克部件!#REF!,MATCH("标准值",坦克部件!#REF!,0),FALSE))*2</f>
        <v>#REF!</v>
      </c>
      <c r="AW191" s="372" t="e">
        <f ca="1">(VLOOKUP($AM191,坦克部件!#REF!,MATCH("标准值",坦克部件!#REF!,0),FALSE)+VLOOKUP($AN191,坦克部件!#REF!,MATCH("标准值",坦克部件!#REF!,0),FALSE))*2</f>
        <v>#REF!</v>
      </c>
      <c r="AX191" s="372" t="e">
        <f ca="1">VLOOKUP($AK191,坦克属性统计!$B$3:$AY$33,MATCH(AX$3,坦克属性统计!$B$3:$AY$3,0),FALSE)</f>
        <v>#REF!</v>
      </c>
      <c r="AY191" s="372" t="e">
        <f t="shared" ca="1" si="122"/>
        <v>#REF!</v>
      </c>
      <c r="AZ191" s="372" t="e">
        <f t="shared" ca="1" si="122"/>
        <v>#REF!</v>
      </c>
      <c r="BA191" s="372" t="e">
        <f t="shared" ca="1" si="122"/>
        <v>#REF!</v>
      </c>
      <c r="BB191" s="356" t="e">
        <f t="shared" ca="1" si="98"/>
        <v>#REF!</v>
      </c>
      <c r="BC191" s="356" t="e">
        <f ca="1">VLOOKUP(AK191,坦克个性化设定!$B$18:$E$48,4,FALSE)</f>
        <v>#REF!</v>
      </c>
      <c r="BD191" s="357" t="e">
        <f t="shared" ca="1" si="105"/>
        <v>#REF!</v>
      </c>
      <c r="BF191" s="357" t="str">
        <f t="shared" ca="1" si="99"/>
        <v/>
      </c>
      <c r="BG191" s="372" t="str">
        <f ca="1">IFERROR(VLOOKUP(BF191,坦克个性化设定!$B$18:$F$48,5,FALSE),"")</f>
        <v/>
      </c>
      <c r="BH191" s="372" t="e">
        <f t="shared" ca="1" si="106"/>
        <v>#REF!</v>
      </c>
      <c r="BI191" s="372" t="e">
        <f t="shared" ca="1" si="107"/>
        <v>#REF!</v>
      </c>
      <c r="BJ191" s="364" t="str">
        <f t="shared" ca="1" si="100"/>
        <v>NULL</v>
      </c>
      <c r="BK191" s="372" t="e">
        <f ca="1">VLOOKUP($BF191&amp;IF($BJ191="NULL",0,$BJ191),所有坦克升星属性,MATCH(BK$3,所有坦克升星属性标头,0),FALSE)+ROUND(BP191/VLOOKUP($BF191,坦克部件!#REF!,4,FALSE)*VLOOKUP($BF191&amp;0,所有坦克升星属性,MATCH(BK$3,所有坦克升星属性标头,0),FALSE),0)</f>
        <v>#N/A</v>
      </c>
      <c r="BL191" s="372" t="e">
        <f ca="1">VLOOKUP($BF191&amp;IF($BJ191="NULL",0,$BJ191),所有坦克升星属性,MATCH(BL$3,所有坦克升星属性标头,0),FALSE)+ROUND(BQ191/VLOOKUP($BF191,坦克部件!#REF!,4,FALSE)*VLOOKUP($BF191&amp;0,所有坦克升星属性,MATCH(BL$3,所有坦克升星属性标头,0),FALSE),0)</f>
        <v>#N/A</v>
      </c>
      <c r="BM191" s="372" t="e">
        <f t="shared" ca="1" si="123"/>
        <v>#N/A</v>
      </c>
      <c r="BN191" s="372" t="e">
        <f t="shared" ca="1" si="123"/>
        <v>#N/A</v>
      </c>
      <c r="BO191" s="372" t="e">
        <f ca="1">VLOOKUP($BF191&amp;IF($BJ191="NULL",0,$BJ191),所有坦克升星属性,MATCH(BO$3,所有坦克升星属性标头,0),FALSE)+ROUND(BR191/VLOOKUP($BF191,坦克部件!#REF!,4,FALSE)*VLOOKUP($BF191&amp;0,所有坦克升星属性,MATCH(BO$3,所有坦克升星属性标头,0),FALSE),0)</f>
        <v>#N/A</v>
      </c>
      <c r="BP191" s="372" t="e">
        <f ca="1">(VLOOKUP($BH191,坦克部件!#REF!,MATCH("标准值",坦克部件!#REF!,0),FALSE)+VLOOKUP($BI191,坦克部件!#REF!,MATCH("标准值",坦克部件!#REF!,0),FALSE))*2</f>
        <v>#REF!</v>
      </c>
      <c r="BQ191" s="372" t="e">
        <f ca="1">(VLOOKUP($BH191,坦克部件!#REF!,MATCH("标准值",坦克部件!#REF!,0),FALSE)+VLOOKUP($BI191,坦克部件!#REF!,MATCH("标准值",坦克部件!#REF!,0),FALSE))*2</f>
        <v>#REF!</v>
      </c>
      <c r="BR191" s="372" t="e">
        <f ca="1">(VLOOKUP($BH191,坦克部件!#REF!,MATCH("标准值",坦克部件!#REF!,0),FALSE)+VLOOKUP($BI191,坦克部件!#REF!,MATCH("标准值",坦克部件!#REF!,0),FALSE))*2</f>
        <v>#REF!</v>
      </c>
      <c r="BS191" s="372" t="e">
        <f ca="1">VLOOKUP($BF191,坦克属性统计!$B$3:$AY$33,MATCH(BS$3,坦克属性统计!$B$3:$AY$3,0),FALSE)</f>
        <v>#N/A</v>
      </c>
      <c r="BT191" s="372" t="e">
        <f t="shared" ca="1" si="124"/>
        <v>#N/A</v>
      </c>
      <c r="BU191" s="372" t="e">
        <f t="shared" ca="1" si="124"/>
        <v>#N/A</v>
      </c>
      <c r="BV191" s="372" t="e">
        <f t="shared" ca="1" si="124"/>
        <v>#N/A</v>
      </c>
      <c r="BW191" s="356">
        <f t="shared" ca="1" si="101"/>
        <v>0</v>
      </c>
      <c r="BX191" s="356" t="e">
        <f ca="1">VLOOKUP(BF191,坦克个性化设定!$B$18:$E$48,4,FALSE)</f>
        <v>#N/A</v>
      </c>
      <c r="BY191" s="357" t="e">
        <f t="shared" ca="1" si="108"/>
        <v>#N/A</v>
      </c>
    </row>
    <row r="192" spans="15:77" x14ac:dyDescent="0.35">
      <c r="O192" s="365">
        <v>189</v>
      </c>
      <c r="P192" s="360" t="e">
        <f t="shared" ca="1" si="115"/>
        <v>#REF!</v>
      </c>
      <c r="Q192" s="360" t="e">
        <f ca="1">ROUND(MIN((BD192-VLOOKUP(R192,$B$22:$F$46,2,FALSE))/(VLOOKUP(R192,$B$22:$F$46,3,FALSE)-VLOOKUP(R192,$B$22:$F$46,2,FALSE)),1)*((VLOOKUP(R192,$B$22:$F$46,4,FALSE)*(AG192/(AG192+VLOOKUP(P192,$D$49:$F$123,3,TRUE)))+VLOOKUP(R192,$B$22:$F$46,5,FALSE)*(1-AG192/(AG192+VLOOKUP(P192,$D$49:$F$123,3,TRUE))))/2)*游戏时长规划!$C$4,0)</f>
        <v>#REF!</v>
      </c>
      <c r="R192" s="360" t="e">
        <f t="shared" ca="1" si="88"/>
        <v>#REF!</v>
      </c>
      <c r="S192" s="360" t="e">
        <f t="shared" ca="1" si="109"/>
        <v>#REF!</v>
      </c>
      <c r="T192" s="360" t="e">
        <f t="shared" ca="1" si="116"/>
        <v>#REF!</v>
      </c>
      <c r="U192" s="370" t="e">
        <f t="shared" ca="1" si="89"/>
        <v>#REF!</v>
      </c>
      <c r="V192" s="363" t="e">
        <f t="shared" ca="1" si="110"/>
        <v>#REF!</v>
      </c>
      <c r="W192" s="360" t="e">
        <f t="shared" ca="1" si="90"/>
        <v>#REF!</v>
      </c>
      <c r="X192" s="81" t="e">
        <f t="shared" ca="1" si="102"/>
        <v>#REF!</v>
      </c>
      <c r="Y192" s="360" t="str">
        <f t="shared" ca="1" si="91"/>
        <v>NULL</v>
      </c>
      <c r="Z192" s="375" t="e">
        <f t="shared" ca="1" si="103"/>
        <v>#REF!</v>
      </c>
      <c r="AA192" s="360">
        <f ca="1">IFERROR(VLOOKUP(IF(V192="T1低",游戏时长规划!$C$67+Z192,Z192),INDIRECT(V192&amp;"星级"),2,TRUE),0)</f>
        <v>0</v>
      </c>
      <c r="AB192" s="375" t="e">
        <f t="shared" ca="1" si="92"/>
        <v>#REF!</v>
      </c>
      <c r="AC192" s="375">
        <f ca="1">($D$14+$D$17)*$L$4/坦克部件养成!$C$2+AC191-IFERROR(IF(RIGHT(AD191,3)*1&gt;RIGHT(VLOOKUP(AC191,INDIRECT(LEFT(AD190,2)&amp;"部件升阶"),5,TRUE),3)*1,VLOOKUP(AD190,INDIRECT(LEFT(AD190,2)&amp;"部件升阶消耗"),2,FALSE),0),0)</f>
        <v>2236.4999999999973</v>
      </c>
      <c r="AD192" s="360" t="e">
        <f t="shared" ca="1" si="93"/>
        <v>#REF!</v>
      </c>
      <c r="AE192" s="375" t="e">
        <f ca="1">$D$15*$L$4/坦克部件养成!$C$2+AE191-IF(LEFT(AD192,2)&lt;&gt;LEFT(AD191,2),VLOOKUP(AF191,INDIRECT(LEFT(AD191,2)&amp;"部件升级消耗"),5,FALSE),0)</f>
        <v>#REF!</v>
      </c>
      <c r="AF192" s="360" t="e">
        <f ca="1">MIN(VLOOKUP(AE192,INDIRECT(LEFT(AD192,2)&amp;"部件升级"),2,TRUE),VLOOKUP(LEFT(AD192,2),坦克部件养成!#REF!,6,FALSE))</f>
        <v>#REF!</v>
      </c>
      <c r="AG192" s="378" t="e">
        <f ca="1">MAX(BD$4:BD192)</f>
        <v>#REF!</v>
      </c>
      <c r="AH192" s="378" t="str">
        <f t="shared" ca="1" si="94"/>
        <v/>
      </c>
      <c r="AI192" s="378">
        <f ca="1">IF(Y192="NULL",0,MAX(BY$4:BY192))</f>
        <v>0</v>
      </c>
      <c r="AK192" s="364" t="e">
        <f t="shared" ca="1" si="95"/>
        <v>#REF!</v>
      </c>
      <c r="AL192" s="364" t="e">
        <f ca="1">VLOOKUP(AK192,坦克个性化设定!$B$18:$F$48,5,FALSE)</f>
        <v>#REF!</v>
      </c>
      <c r="AM192" s="372" t="e">
        <f t="shared" ca="1" si="96"/>
        <v>#REF!</v>
      </c>
      <c r="AN192" s="372" t="e">
        <f t="shared" ca="1" si="104"/>
        <v>#REF!</v>
      </c>
      <c r="AO192" s="364">
        <f t="shared" ca="1" si="97"/>
        <v>0</v>
      </c>
      <c r="AP192" s="372" t="e">
        <f ca="1">VLOOKUP($AK192&amp;$AO192,所有坦克升星属性,MATCH(AP$3,所有坦克升星属性标头,0),FALSE)+ROUND(AU192/VLOOKUP($AK192,坦克部件!#REF!,4,FALSE)*VLOOKUP($AK192&amp;0,所有坦克升星属性,MATCH(AP$3,所有坦克升星属性标头,0),FALSE),0)</f>
        <v>#REF!</v>
      </c>
      <c r="AQ192" s="372" t="e">
        <f ca="1">VLOOKUP($AK192&amp;$AO192,所有坦克升星属性,MATCH(AQ$3,所有坦克升星属性标头,0),FALSE)+ROUND(AV192/VLOOKUP($AK192,坦克部件!#REF!,4,FALSE)*VLOOKUP($AK192&amp;0,所有坦克升星属性,MATCH(AQ$3,所有坦克升星属性标头,0),FALSE),0)</f>
        <v>#REF!</v>
      </c>
      <c r="AR192" s="372" t="e">
        <f t="shared" ca="1" si="121"/>
        <v>#REF!</v>
      </c>
      <c r="AS192" s="372" t="e">
        <f t="shared" ca="1" si="121"/>
        <v>#REF!</v>
      </c>
      <c r="AT192" s="372" t="e">
        <f ca="1">VLOOKUP($AK192&amp;$AO192,所有坦克升星属性,MATCH(AT$3,所有坦克升星属性标头,0),FALSE)+ROUND(AW192/VLOOKUP($AK192,坦克部件!#REF!,4,FALSE)*VLOOKUP($AK192&amp;0,所有坦克升星属性,MATCH(AT$3,所有坦克升星属性标头,0),FALSE),0)</f>
        <v>#REF!</v>
      </c>
      <c r="AU192" s="372" t="e">
        <f ca="1">(VLOOKUP($AM192,坦克部件!#REF!,MATCH("标准值",坦克部件!#REF!,0),FALSE)+VLOOKUP($AN192,坦克部件!#REF!,MATCH("标准值",坦克部件!#REF!,0),FALSE))*2</f>
        <v>#REF!</v>
      </c>
      <c r="AV192" s="372" t="e">
        <f ca="1">(VLOOKUP($AM192,坦克部件!#REF!,MATCH("标准值",坦克部件!#REF!,0),FALSE)+VLOOKUP($AN192,坦克部件!#REF!,MATCH("标准值",坦克部件!#REF!,0),FALSE))*2</f>
        <v>#REF!</v>
      </c>
      <c r="AW192" s="372" t="e">
        <f ca="1">(VLOOKUP($AM192,坦克部件!#REF!,MATCH("标准值",坦克部件!#REF!,0),FALSE)+VLOOKUP($AN192,坦克部件!#REF!,MATCH("标准值",坦克部件!#REF!,0),FALSE))*2</f>
        <v>#REF!</v>
      </c>
      <c r="AX192" s="372" t="e">
        <f ca="1">VLOOKUP($AK192,坦克属性统计!$B$3:$AY$33,MATCH(AX$3,坦克属性统计!$B$3:$AY$3,0),FALSE)</f>
        <v>#REF!</v>
      </c>
      <c r="AY192" s="372" t="e">
        <f t="shared" ca="1" si="122"/>
        <v>#REF!</v>
      </c>
      <c r="AZ192" s="372" t="e">
        <f t="shared" ca="1" si="122"/>
        <v>#REF!</v>
      </c>
      <c r="BA192" s="372" t="e">
        <f t="shared" ca="1" si="122"/>
        <v>#REF!</v>
      </c>
      <c r="BB192" s="356" t="e">
        <f t="shared" ca="1" si="98"/>
        <v>#REF!</v>
      </c>
      <c r="BC192" s="356" t="e">
        <f ca="1">VLOOKUP(AK192,坦克个性化设定!$B$18:$E$48,4,FALSE)</f>
        <v>#REF!</v>
      </c>
      <c r="BD192" s="357" t="e">
        <f t="shared" ca="1" si="105"/>
        <v>#REF!</v>
      </c>
      <c r="BF192" s="357" t="str">
        <f t="shared" ca="1" si="99"/>
        <v/>
      </c>
      <c r="BG192" s="372" t="str">
        <f ca="1">IFERROR(VLOOKUP(BF192,坦克个性化设定!$B$18:$F$48,5,FALSE),"")</f>
        <v/>
      </c>
      <c r="BH192" s="372" t="e">
        <f t="shared" ca="1" si="106"/>
        <v>#REF!</v>
      </c>
      <c r="BI192" s="372" t="e">
        <f t="shared" ca="1" si="107"/>
        <v>#REF!</v>
      </c>
      <c r="BJ192" s="364" t="str">
        <f t="shared" ca="1" si="100"/>
        <v>NULL</v>
      </c>
      <c r="BK192" s="372" t="e">
        <f ca="1">VLOOKUP($BF192&amp;IF($BJ192="NULL",0,$BJ192),所有坦克升星属性,MATCH(BK$3,所有坦克升星属性标头,0),FALSE)+ROUND(BP192/VLOOKUP($BF192,坦克部件!#REF!,4,FALSE)*VLOOKUP($BF192&amp;0,所有坦克升星属性,MATCH(BK$3,所有坦克升星属性标头,0),FALSE),0)</f>
        <v>#N/A</v>
      </c>
      <c r="BL192" s="372" t="e">
        <f ca="1">VLOOKUP($BF192&amp;IF($BJ192="NULL",0,$BJ192),所有坦克升星属性,MATCH(BL$3,所有坦克升星属性标头,0),FALSE)+ROUND(BQ192/VLOOKUP($BF192,坦克部件!#REF!,4,FALSE)*VLOOKUP($BF192&amp;0,所有坦克升星属性,MATCH(BL$3,所有坦克升星属性标头,0),FALSE),0)</f>
        <v>#N/A</v>
      </c>
      <c r="BM192" s="372" t="e">
        <f t="shared" ca="1" si="123"/>
        <v>#N/A</v>
      </c>
      <c r="BN192" s="372" t="e">
        <f t="shared" ca="1" si="123"/>
        <v>#N/A</v>
      </c>
      <c r="BO192" s="372" t="e">
        <f ca="1">VLOOKUP($BF192&amp;IF($BJ192="NULL",0,$BJ192),所有坦克升星属性,MATCH(BO$3,所有坦克升星属性标头,0),FALSE)+ROUND(BR192/VLOOKUP($BF192,坦克部件!#REF!,4,FALSE)*VLOOKUP($BF192&amp;0,所有坦克升星属性,MATCH(BO$3,所有坦克升星属性标头,0),FALSE),0)</f>
        <v>#N/A</v>
      </c>
      <c r="BP192" s="372" t="e">
        <f ca="1">(VLOOKUP($BH192,坦克部件!#REF!,MATCH("标准值",坦克部件!#REF!,0),FALSE)+VLOOKUP($BI192,坦克部件!#REF!,MATCH("标准值",坦克部件!#REF!,0),FALSE))*2</f>
        <v>#REF!</v>
      </c>
      <c r="BQ192" s="372" t="e">
        <f ca="1">(VLOOKUP($BH192,坦克部件!#REF!,MATCH("标准值",坦克部件!#REF!,0),FALSE)+VLOOKUP($BI192,坦克部件!#REF!,MATCH("标准值",坦克部件!#REF!,0),FALSE))*2</f>
        <v>#REF!</v>
      </c>
      <c r="BR192" s="372" t="e">
        <f ca="1">(VLOOKUP($BH192,坦克部件!#REF!,MATCH("标准值",坦克部件!#REF!,0),FALSE)+VLOOKUP($BI192,坦克部件!#REF!,MATCH("标准值",坦克部件!#REF!,0),FALSE))*2</f>
        <v>#REF!</v>
      </c>
      <c r="BS192" s="372" t="e">
        <f ca="1">VLOOKUP($BF192,坦克属性统计!$B$3:$AY$33,MATCH(BS$3,坦克属性统计!$B$3:$AY$3,0),FALSE)</f>
        <v>#N/A</v>
      </c>
      <c r="BT192" s="372" t="e">
        <f t="shared" ca="1" si="124"/>
        <v>#N/A</v>
      </c>
      <c r="BU192" s="372" t="e">
        <f t="shared" ca="1" si="124"/>
        <v>#N/A</v>
      </c>
      <c r="BV192" s="372" t="e">
        <f t="shared" ca="1" si="124"/>
        <v>#N/A</v>
      </c>
      <c r="BW192" s="356">
        <f t="shared" ca="1" si="101"/>
        <v>0</v>
      </c>
      <c r="BX192" s="356" t="e">
        <f ca="1">VLOOKUP(BF192,坦克个性化设定!$B$18:$E$48,4,FALSE)</f>
        <v>#N/A</v>
      </c>
      <c r="BY192" s="357" t="e">
        <f t="shared" ca="1" si="108"/>
        <v>#N/A</v>
      </c>
    </row>
    <row r="193" spans="15:77" x14ac:dyDescent="0.35">
      <c r="O193" s="365">
        <v>190</v>
      </c>
      <c r="P193" s="360" t="e">
        <f t="shared" ca="1" si="115"/>
        <v>#REF!</v>
      </c>
      <c r="Q193" s="360" t="e">
        <f ca="1">ROUND(MIN((BD193-VLOOKUP(R193,$B$22:$F$46,2,FALSE))/(VLOOKUP(R193,$B$22:$F$46,3,FALSE)-VLOOKUP(R193,$B$22:$F$46,2,FALSE)),1)*((VLOOKUP(R193,$B$22:$F$46,4,FALSE)*(AG193/(AG193+VLOOKUP(P193,$D$49:$F$123,3,TRUE)))+VLOOKUP(R193,$B$22:$F$46,5,FALSE)*(1-AG193/(AG193+VLOOKUP(P193,$D$49:$F$123,3,TRUE))))/2)*游戏时长规划!$C$4,0)</f>
        <v>#REF!</v>
      </c>
      <c r="R193" s="360" t="e">
        <f t="shared" ca="1" si="88"/>
        <v>#REF!</v>
      </c>
      <c r="S193" s="360" t="e">
        <f t="shared" ca="1" si="109"/>
        <v>#REF!</v>
      </c>
      <c r="T193" s="360" t="e">
        <f t="shared" ca="1" si="116"/>
        <v>#REF!</v>
      </c>
      <c r="U193" s="370" t="e">
        <f t="shared" ca="1" si="89"/>
        <v>#REF!</v>
      </c>
      <c r="V193" s="363" t="e">
        <f t="shared" ca="1" si="110"/>
        <v>#REF!</v>
      </c>
      <c r="W193" s="360" t="e">
        <f t="shared" ca="1" si="90"/>
        <v>#REF!</v>
      </c>
      <c r="X193" s="81" t="e">
        <f t="shared" ca="1" si="102"/>
        <v>#REF!</v>
      </c>
      <c r="Y193" s="360" t="str">
        <f t="shared" ca="1" si="91"/>
        <v>NULL</v>
      </c>
      <c r="Z193" s="375" t="e">
        <f t="shared" ca="1" si="103"/>
        <v>#REF!</v>
      </c>
      <c r="AA193" s="360">
        <f ca="1">IFERROR(VLOOKUP(IF(V193="T1低",游戏时长规划!$C$67+Z193,Z193),INDIRECT(V193&amp;"星级"),2,TRUE),0)</f>
        <v>0</v>
      </c>
      <c r="AB193" s="375" t="e">
        <f t="shared" ca="1" si="92"/>
        <v>#REF!</v>
      </c>
      <c r="AC193" s="375">
        <f ca="1">($D$14+$D$17)*$L$4/坦克部件养成!$C$2+AC192-IFERROR(IF(RIGHT(AD192,3)*1&gt;RIGHT(VLOOKUP(AC192,INDIRECT(LEFT(AD191,2)&amp;"部件升阶"),5,TRUE),3)*1,VLOOKUP(AD191,INDIRECT(LEFT(AD191,2)&amp;"部件升阶消耗"),2,FALSE),0),0)</f>
        <v>2248.3333333333308</v>
      </c>
      <c r="AD193" s="360" t="e">
        <f t="shared" ca="1" si="93"/>
        <v>#REF!</v>
      </c>
      <c r="AE193" s="375" t="e">
        <f ca="1">$D$15*$L$4/坦克部件养成!$C$2+AE192-IF(LEFT(AD193,2)&lt;&gt;LEFT(AD192,2),VLOOKUP(AF192,INDIRECT(LEFT(AD192,2)&amp;"部件升级消耗"),5,FALSE),0)</f>
        <v>#REF!</v>
      </c>
      <c r="AF193" s="360" t="e">
        <f ca="1">MIN(VLOOKUP(AE193,INDIRECT(LEFT(AD193,2)&amp;"部件升级"),2,TRUE),VLOOKUP(LEFT(AD193,2),坦克部件养成!#REF!,6,FALSE))</f>
        <v>#REF!</v>
      </c>
      <c r="AG193" s="378" t="e">
        <f ca="1">MAX(BD$4:BD193)</f>
        <v>#REF!</v>
      </c>
      <c r="AH193" s="378" t="str">
        <f t="shared" ca="1" si="94"/>
        <v/>
      </c>
      <c r="AI193" s="378">
        <f ca="1">IF(Y193="NULL",0,MAX(BY$4:BY193))</f>
        <v>0</v>
      </c>
      <c r="AK193" s="364" t="e">
        <f t="shared" ca="1" si="95"/>
        <v>#REF!</v>
      </c>
      <c r="AL193" s="364" t="e">
        <f ca="1">VLOOKUP(AK193,坦克个性化设定!$B$18:$F$48,5,FALSE)</f>
        <v>#REF!</v>
      </c>
      <c r="AM193" s="372" t="e">
        <f t="shared" ca="1" si="96"/>
        <v>#REF!</v>
      </c>
      <c r="AN193" s="372" t="e">
        <f t="shared" ca="1" si="104"/>
        <v>#REF!</v>
      </c>
      <c r="AO193" s="364">
        <f t="shared" ca="1" si="97"/>
        <v>0</v>
      </c>
      <c r="AP193" s="372" t="e">
        <f ca="1">VLOOKUP($AK193&amp;$AO193,所有坦克升星属性,MATCH(AP$3,所有坦克升星属性标头,0),FALSE)+ROUND(AU193/VLOOKUP($AK193,坦克部件!#REF!,4,FALSE)*VLOOKUP($AK193&amp;0,所有坦克升星属性,MATCH(AP$3,所有坦克升星属性标头,0),FALSE),0)</f>
        <v>#REF!</v>
      </c>
      <c r="AQ193" s="372" t="e">
        <f ca="1">VLOOKUP($AK193&amp;$AO193,所有坦克升星属性,MATCH(AQ$3,所有坦克升星属性标头,0),FALSE)+ROUND(AV193/VLOOKUP($AK193,坦克部件!#REF!,4,FALSE)*VLOOKUP($AK193&amp;0,所有坦克升星属性,MATCH(AQ$3,所有坦克升星属性标头,0),FALSE),0)</f>
        <v>#REF!</v>
      </c>
      <c r="AR193" s="372" t="e">
        <f t="shared" ca="1" si="121"/>
        <v>#REF!</v>
      </c>
      <c r="AS193" s="372" t="e">
        <f t="shared" ca="1" si="121"/>
        <v>#REF!</v>
      </c>
      <c r="AT193" s="372" t="e">
        <f ca="1">VLOOKUP($AK193&amp;$AO193,所有坦克升星属性,MATCH(AT$3,所有坦克升星属性标头,0),FALSE)+ROUND(AW193/VLOOKUP($AK193,坦克部件!#REF!,4,FALSE)*VLOOKUP($AK193&amp;0,所有坦克升星属性,MATCH(AT$3,所有坦克升星属性标头,0),FALSE),0)</f>
        <v>#REF!</v>
      </c>
      <c r="AU193" s="372" t="e">
        <f ca="1">(VLOOKUP($AM193,坦克部件!#REF!,MATCH("标准值",坦克部件!#REF!,0),FALSE)+VLOOKUP($AN193,坦克部件!#REF!,MATCH("标准值",坦克部件!#REF!,0),FALSE))*2</f>
        <v>#REF!</v>
      </c>
      <c r="AV193" s="372" t="e">
        <f ca="1">(VLOOKUP($AM193,坦克部件!#REF!,MATCH("标准值",坦克部件!#REF!,0),FALSE)+VLOOKUP($AN193,坦克部件!#REF!,MATCH("标准值",坦克部件!#REF!,0),FALSE))*2</f>
        <v>#REF!</v>
      </c>
      <c r="AW193" s="372" t="e">
        <f ca="1">(VLOOKUP($AM193,坦克部件!#REF!,MATCH("标准值",坦克部件!#REF!,0),FALSE)+VLOOKUP($AN193,坦克部件!#REF!,MATCH("标准值",坦克部件!#REF!,0),FALSE))*2</f>
        <v>#REF!</v>
      </c>
      <c r="AX193" s="372" t="e">
        <f ca="1">VLOOKUP($AK193,坦克属性统计!$B$3:$AY$33,MATCH(AX$3,坦克属性统计!$B$3:$AY$3,0),FALSE)</f>
        <v>#REF!</v>
      </c>
      <c r="AY193" s="372" t="e">
        <f t="shared" ca="1" si="122"/>
        <v>#REF!</v>
      </c>
      <c r="AZ193" s="372" t="e">
        <f t="shared" ca="1" si="122"/>
        <v>#REF!</v>
      </c>
      <c r="BA193" s="372" t="e">
        <f t="shared" ca="1" si="122"/>
        <v>#REF!</v>
      </c>
      <c r="BB193" s="356" t="e">
        <f t="shared" ca="1" si="98"/>
        <v>#REF!</v>
      </c>
      <c r="BC193" s="356" t="e">
        <f ca="1">VLOOKUP(AK193,坦克个性化设定!$B$18:$E$48,4,FALSE)</f>
        <v>#REF!</v>
      </c>
      <c r="BD193" s="357" t="e">
        <f t="shared" ca="1" si="105"/>
        <v>#REF!</v>
      </c>
      <c r="BF193" s="357" t="str">
        <f t="shared" ca="1" si="99"/>
        <v/>
      </c>
      <c r="BG193" s="372" t="str">
        <f ca="1">IFERROR(VLOOKUP(BF193,坦克个性化设定!$B$18:$F$48,5,FALSE),"")</f>
        <v/>
      </c>
      <c r="BH193" s="372" t="e">
        <f t="shared" ca="1" si="106"/>
        <v>#REF!</v>
      </c>
      <c r="BI193" s="372" t="e">
        <f t="shared" ca="1" si="107"/>
        <v>#REF!</v>
      </c>
      <c r="BJ193" s="364" t="str">
        <f t="shared" ca="1" si="100"/>
        <v>NULL</v>
      </c>
      <c r="BK193" s="372" t="e">
        <f ca="1">VLOOKUP($BF193&amp;IF($BJ193="NULL",0,$BJ193),所有坦克升星属性,MATCH(BK$3,所有坦克升星属性标头,0),FALSE)+ROUND(BP193/VLOOKUP($BF193,坦克部件!#REF!,4,FALSE)*VLOOKUP($BF193&amp;0,所有坦克升星属性,MATCH(BK$3,所有坦克升星属性标头,0),FALSE),0)</f>
        <v>#N/A</v>
      </c>
      <c r="BL193" s="372" t="e">
        <f ca="1">VLOOKUP($BF193&amp;IF($BJ193="NULL",0,$BJ193),所有坦克升星属性,MATCH(BL$3,所有坦克升星属性标头,0),FALSE)+ROUND(BQ193/VLOOKUP($BF193,坦克部件!#REF!,4,FALSE)*VLOOKUP($BF193&amp;0,所有坦克升星属性,MATCH(BL$3,所有坦克升星属性标头,0),FALSE),0)</f>
        <v>#N/A</v>
      </c>
      <c r="BM193" s="372" t="e">
        <f t="shared" ca="1" si="123"/>
        <v>#N/A</v>
      </c>
      <c r="BN193" s="372" t="e">
        <f t="shared" ca="1" si="123"/>
        <v>#N/A</v>
      </c>
      <c r="BO193" s="372" t="e">
        <f ca="1">VLOOKUP($BF193&amp;IF($BJ193="NULL",0,$BJ193),所有坦克升星属性,MATCH(BO$3,所有坦克升星属性标头,0),FALSE)+ROUND(BR193/VLOOKUP($BF193,坦克部件!#REF!,4,FALSE)*VLOOKUP($BF193&amp;0,所有坦克升星属性,MATCH(BO$3,所有坦克升星属性标头,0),FALSE),0)</f>
        <v>#N/A</v>
      </c>
      <c r="BP193" s="372" t="e">
        <f ca="1">(VLOOKUP($BH193,坦克部件!#REF!,MATCH("标准值",坦克部件!#REF!,0),FALSE)+VLOOKUP($BI193,坦克部件!#REF!,MATCH("标准值",坦克部件!#REF!,0),FALSE))*2</f>
        <v>#REF!</v>
      </c>
      <c r="BQ193" s="372" t="e">
        <f ca="1">(VLOOKUP($BH193,坦克部件!#REF!,MATCH("标准值",坦克部件!#REF!,0),FALSE)+VLOOKUP($BI193,坦克部件!#REF!,MATCH("标准值",坦克部件!#REF!,0),FALSE))*2</f>
        <v>#REF!</v>
      </c>
      <c r="BR193" s="372" t="e">
        <f ca="1">(VLOOKUP($BH193,坦克部件!#REF!,MATCH("标准值",坦克部件!#REF!,0),FALSE)+VLOOKUP($BI193,坦克部件!#REF!,MATCH("标准值",坦克部件!#REF!,0),FALSE))*2</f>
        <v>#REF!</v>
      </c>
      <c r="BS193" s="372" t="e">
        <f ca="1">VLOOKUP($BF193,坦克属性统计!$B$3:$AY$33,MATCH(BS$3,坦克属性统计!$B$3:$AY$3,0),FALSE)</f>
        <v>#N/A</v>
      </c>
      <c r="BT193" s="372" t="e">
        <f t="shared" ca="1" si="124"/>
        <v>#N/A</v>
      </c>
      <c r="BU193" s="372" t="e">
        <f t="shared" ca="1" si="124"/>
        <v>#N/A</v>
      </c>
      <c r="BV193" s="372" t="e">
        <f t="shared" ca="1" si="124"/>
        <v>#N/A</v>
      </c>
      <c r="BW193" s="356">
        <f t="shared" ca="1" si="101"/>
        <v>0</v>
      </c>
      <c r="BX193" s="356" t="e">
        <f ca="1">VLOOKUP(BF193,坦克个性化设定!$B$18:$E$48,4,FALSE)</f>
        <v>#N/A</v>
      </c>
      <c r="BY193" s="357" t="e">
        <f t="shared" ca="1" si="108"/>
        <v>#N/A</v>
      </c>
    </row>
    <row r="194" spans="15:77" x14ac:dyDescent="0.35">
      <c r="O194" s="365">
        <v>191</v>
      </c>
      <c r="P194" s="360" t="e">
        <f t="shared" ca="1" si="115"/>
        <v>#REF!</v>
      </c>
      <c r="Q194" s="360" t="e">
        <f ca="1">ROUND(MIN((BD194-VLOOKUP(R194,$B$22:$F$46,2,FALSE))/(VLOOKUP(R194,$B$22:$F$46,3,FALSE)-VLOOKUP(R194,$B$22:$F$46,2,FALSE)),1)*((VLOOKUP(R194,$B$22:$F$46,4,FALSE)*(AG194/(AG194+VLOOKUP(P194,$D$49:$F$123,3,TRUE)))+VLOOKUP(R194,$B$22:$F$46,5,FALSE)*(1-AG194/(AG194+VLOOKUP(P194,$D$49:$F$123,3,TRUE))))/2)*游戏时长规划!$C$4,0)</f>
        <v>#REF!</v>
      </c>
      <c r="R194" s="360" t="e">
        <f t="shared" ca="1" si="88"/>
        <v>#REF!</v>
      </c>
      <c r="S194" s="360" t="e">
        <f t="shared" ca="1" si="109"/>
        <v>#REF!</v>
      </c>
      <c r="T194" s="360" t="e">
        <f t="shared" ca="1" si="116"/>
        <v>#REF!</v>
      </c>
      <c r="U194" s="370" t="e">
        <f t="shared" ca="1" si="89"/>
        <v>#REF!</v>
      </c>
      <c r="V194" s="363" t="e">
        <f t="shared" ca="1" si="110"/>
        <v>#REF!</v>
      </c>
      <c r="W194" s="360" t="e">
        <f t="shared" ca="1" si="90"/>
        <v>#REF!</v>
      </c>
      <c r="X194" s="81" t="e">
        <f t="shared" ca="1" si="102"/>
        <v>#REF!</v>
      </c>
      <c r="Y194" s="360" t="str">
        <f t="shared" ca="1" si="91"/>
        <v>NULL</v>
      </c>
      <c r="Z194" s="375" t="e">
        <f t="shared" ca="1" si="103"/>
        <v>#REF!</v>
      </c>
      <c r="AA194" s="360">
        <f ca="1">IFERROR(VLOOKUP(IF(V194="T1低",游戏时长规划!$C$67+Z194,Z194),INDIRECT(V194&amp;"星级"),2,TRUE),0)</f>
        <v>0</v>
      </c>
      <c r="AB194" s="375" t="e">
        <f t="shared" ca="1" si="92"/>
        <v>#REF!</v>
      </c>
      <c r="AC194" s="375">
        <f ca="1">($D$14+$D$17)*$L$4/坦克部件养成!$C$2+AC193-IFERROR(IF(RIGHT(AD193,3)*1&gt;RIGHT(VLOOKUP(AC193,INDIRECT(LEFT(AD192,2)&amp;"部件升阶"),5,TRUE),3)*1,VLOOKUP(AD192,INDIRECT(LEFT(AD192,2)&amp;"部件升阶消耗"),2,FALSE),0),0)</f>
        <v>2260.1666666666642</v>
      </c>
      <c r="AD194" s="360" t="e">
        <f t="shared" ca="1" si="93"/>
        <v>#REF!</v>
      </c>
      <c r="AE194" s="375" t="e">
        <f ca="1">$D$15*$L$4/坦克部件养成!$C$2+AE193-IF(LEFT(AD194,2)&lt;&gt;LEFT(AD193,2),VLOOKUP(AF193,INDIRECT(LEFT(AD193,2)&amp;"部件升级消耗"),5,FALSE),0)</f>
        <v>#REF!</v>
      </c>
      <c r="AF194" s="360" t="e">
        <f ca="1">MIN(VLOOKUP(AE194,INDIRECT(LEFT(AD194,2)&amp;"部件升级"),2,TRUE),VLOOKUP(LEFT(AD194,2),坦克部件养成!#REF!,6,FALSE))</f>
        <v>#REF!</v>
      </c>
      <c r="AG194" s="378" t="e">
        <f ca="1">MAX(BD$4:BD194)</f>
        <v>#REF!</v>
      </c>
      <c r="AH194" s="378" t="str">
        <f t="shared" ca="1" si="94"/>
        <v/>
      </c>
      <c r="AI194" s="378">
        <f ca="1">IF(Y194="NULL",0,MAX(BY$4:BY194))</f>
        <v>0</v>
      </c>
      <c r="AK194" s="364" t="e">
        <f t="shared" ca="1" si="95"/>
        <v>#REF!</v>
      </c>
      <c r="AL194" s="364" t="e">
        <f ca="1">VLOOKUP(AK194,坦克个性化设定!$B$18:$F$48,5,FALSE)</f>
        <v>#REF!</v>
      </c>
      <c r="AM194" s="372" t="e">
        <f t="shared" ca="1" si="96"/>
        <v>#REF!</v>
      </c>
      <c r="AN194" s="372" t="e">
        <f t="shared" ca="1" si="104"/>
        <v>#REF!</v>
      </c>
      <c r="AO194" s="364">
        <f t="shared" ca="1" si="97"/>
        <v>0</v>
      </c>
      <c r="AP194" s="372" t="e">
        <f ca="1">VLOOKUP($AK194&amp;$AO194,所有坦克升星属性,MATCH(AP$3,所有坦克升星属性标头,0),FALSE)+ROUND(AU194/VLOOKUP($AK194,坦克部件!#REF!,4,FALSE)*VLOOKUP($AK194&amp;0,所有坦克升星属性,MATCH(AP$3,所有坦克升星属性标头,0),FALSE),0)</f>
        <v>#REF!</v>
      </c>
      <c r="AQ194" s="372" t="e">
        <f ca="1">VLOOKUP($AK194&amp;$AO194,所有坦克升星属性,MATCH(AQ$3,所有坦克升星属性标头,0),FALSE)+ROUND(AV194/VLOOKUP($AK194,坦克部件!#REF!,4,FALSE)*VLOOKUP($AK194&amp;0,所有坦克升星属性,MATCH(AQ$3,所有坦克升星属性标头,0),FALSE),0)</f>
        <v>#REF!</v>
      </c>
      <c r="AR194" s="372" t="e">
        <f t="shared" ca="1" si="121"/>
        <v>#REF!</v>
      </c>
      <c r="AS194" s="372" t="e">
        <f t="shared" ca="1" si="121"/>
        <v>#REF!</v>
      </c>
      <c r="AT194" s="372" t="e">
        <f ca="1">VLOOKUP($AK194&amp;$AO194,所有坦克升星属性,MATCH(AT$3,所有坦克升星属性标头,0),FALSE)+ROUND(AW194/VLOOKUP($AK194,坦克部件!#REF!,4,FALSE)*VLOOKUP($AK194&amp;0,所有坦克升星属性,MATCH(AT$3,所有坦克升星属性标头,0),FALSE),0)</f>
        <v>#REF!</v>
      </c>
      <c r="AU194" s="372" t="e">
        <f ca="1">(VLOOKUP($AM194,坦克部件!#REF!,MATCH("标准值",坦克部件!#REF!,0),FALSE)+VLOOKUP($AN194,坦克部件!#REF!,MATCH("标准值",坦克部件!#REF!,0),FALSE))*2</f>
        <v>#REF!</v>
      </c>
      <c r="AV194" s="372" t="e">
        <f ca="1">(VLOOKUP($AM194,坦克部件!#REF!,MATCH("标准值",坦克部件!#REF!,0),FALSE)+VLOOKUP($AN194,坦克部件!#REF!,MATCH("标准值",坦克部件!#REF!,0),FALSE))*2</f>
        <v>#REF!</v>
      </c>
      <c r="AW194" s="372" t="e">
        <f ca="1">(VLOOKUP($AM194,坦克部件!#REF!,MATCH("标准值",坦克部件!#REF!,0),FALSE)+VLOOKUP($AN194,坦克部件!#REF!,MATCH("标准值",坦克部件!#REF!,0),FALSE))*2</f>
        <v>#REF!</v>
      </c>
      <c r="AX194" s="372" t="e">
        <f ca="1">VLOOKUP($AK194,坦克属性统计!$B$3:$AY$33,MATCH(AX$3,坦克属性统计!$B$3:$AY$3,0),FALSE)</f>
        <v>#REF!</v>
      </c>
      <c r="AY194" s="372" t="e">
        <f t="shared" ca="1" si="122"/>
        <v>#REF!</v>
      </c>
      <c r="AZ194" s="372" t="e">
        <f t="shared" ca="1" si="122"/>
        <v>#REF!</v>
      </c>
      <c r="BA194" s="372" t="e">
        <f t="shared" ca="1" si="122"/>
        <v>#REF!</v>
      </c>
      <c r="BB194" s="356" t="e">
        <f t="shared" ca="1" si="98"/>
        <v>#REF!</v>
      </c>
      <c r="BC194" s="356" t="e">
        <f ca="1">VLOOKUP(AK194,坦克个性化设定!$B$18:$E$48,4,FALSE)</f>
        <v>#REF!</v>
      </c>
      <c r="BD194" s="357" t="e">
        <f t="shared" ca="1" si="105"/>
        <v>#REF!</v>
      </c>
      <c r="BF194" s="357" t="str">
        <f t="shared" ca="1" si="99"/>
        <v/>
      </c>
      <c r="BG194" s="372" t="str">
        <f ca="1">IFERROR(VLOOKUP(BF194,坦克个性化设定!$B$18:$F$48,5,FALSE),"")</f>
        <v/>
      </c>
      <c r="BH194" s="372" t="e">
        <f t="shared" ca="1" si="106"/>
        <v>#REF!</v>
      </c>
      <c r="BI194" s="372" t="e">
        <f t="shared" ca="1" si="107"/>
        <v>#REF!</v>
      </c>
      <c r="BJ194" s="364" t="str">
        <f t="shared" ca="1" si="100"/>
        <v>NULL</v>
      </c>
      <c r="BK194" s="372" t="e">
        <f ca="1">VLOOKUP($BF194&amp;IF($BJ194="NULL",0,$BJ194),所有坦克升星属性,MATCH(BK$3,所有坦克升星属性标头,0),FALSE)+ROUND(BP194/VLOOKUP($BF194,坦克部件!#REF!,4,FALSE)*VLOOKUP($BF194&amp;0,所有坦克升星属性,MATCH(BK$3,所有坦克升星属性标头,0),FALSE),0)</f>
        <v>#N/A</v>
      </c>
      <c r="BL194" s="372" t="e">
        <f ca="1">VLOOKUP($BF194&amp;IF($BJ194="NULL",0,$BJ194),所有坦克升星属性,MATCH(BL$3,所有坦克升星属性标头,0),FALSE)+ROUND(BQ194/VLOOKUP($BF194,坦克部件!#REF!,4,FALSE)*VLOOKUP($BF194&amp;0,所有坦克升星属性,MATCH(BL$3,所有坦克升星属性标头,0),FALSE),0)</f>
        <v>#N/A</v>
      </c>
      <c r="BM194" s="372" t="e">
        <f t="shared" ca="1" si="123"/>
        <v>#N/A</v>
      </c>
      <c r="BN194" s="372" t="e">
        <f t="shared" ca="1" si="123"/>
        <v>#N/A</v>
      </c>
      <c r="BO194" s="372" t="e">
        <f ca="1">VLOOKUP($BF194&amp;IF($BJ194="NULL",0,$BJ194),所有坦克升星属性,MATCH(BO$3,所有坦克升星属性标头,0),FALSE)+ROUND(BR194/VLOOKUP($BF194,坦克部件!#REF!,4,FALSE)*VLOOKUP($BF194&amp;0,所有坦克升星属性,MATCH(BO$3,所有坦克升星属性标头,0),FALSE),0)</f>
        <v>#N/A</v>
      </c>
      <c r="BP194" s="372" t="e">
        <f ca="1">(VLOOKUP($BH194,坦克部件!#REF!,MATCH("标准值",坦克部件!#REF!,0),FALSE)+VLOOKUP($BI194,坦克部件!#REF!,MATCH("标准值",坦克部件!#REF!,0),FALSE))*2</f>
        <v>#REF!</v>
      </c>
      <c r="BQ194" s="372" t="e">
        <f ca="1">(VLOOKUP($BH194,坦克部件!#REF!,MATCH("标准值",坦克部件!#REF!,0),FALSE)+VLOOKUP($BI194,坦克部件!#REF!,MATCH("标准值",坦克部件!#REF!,0),FALSE))*2</f>
        <v>#REF!</v>
      </c>
      <c r="BR194" s="372" t="e">
        <f ca="1">(VLOOKUP($BH194,坦克部件!#REF!,MATCH("标准值",坦克部件!#REF!,0),FALSE)+VLOOKUP($BI194,坦克部件!#REF!,MATCH("标准值",坦克部件!#REF!,0),FALSE))*2</f>
        <v>#REF!</v>
      </c>
      <c r="BS194" s="372" t="e">
        <f ca="1">VLOOKUP($BF194,坦克属性统计!$B$3:$AY$33,MATCH(BS$3,坦克属性统计!$B$3:$AY$3,0),FALSE)</f>
        <v>#N/A</v>
      </c>
      <c r="BT194" s="372" t="e">
        <f t="shared" ca="1" si="124"/>
        <v>#N/A</v>
      </c>
      <c r="BU194" s="372" t="e">
        <f t="shared" ca="1" si="124"/>
        <v>#N/A</v>
      </c>
      <c r="BV194" s="372" t="e">
        <f t="shared" ca="1" si="124"/>
        <v>#N/A</v>
      </c>
      <c r="BW194" s="356">
        <f t="shared" ca="1" si="101"/>
        <v>0</v>
      </c>
      <c r="BX194" s="356" t="e">
        <f ca="1">VLOOKUP(BF194,坦克个性化设定!$B$18:$E$48,4,FALSE)</f>
        <v>#N/A</v>
      </c>
      <c r="BY194" s="357" t="e">
        <f t="shared" ca="1" si="108"/>
        <v>#N/A</v>
      </c>
    </row>
    <row r="195" spans="15:77" x14ac:dyDescent="0.35">
      <c r="O195" s="365">
        <v>192</v>
      </c>
      <c r="P195" s="360" t="e">
        <f t="shared" ca="1" si="115"/>
        <v>#REF!</v>
      </c>
      <c r="Q195" s="360" t="e">
        <f ca="1">ROUND(MIN((BD195-VLOOKUP(R195,$B$22:$F$46,2,FALSE))/(VLOOKUP(R195,$B$22:$F$46,3,FALSE)-VLOOKUP(R195,$B$22:$F$46,2,FALSE)),1)*((VLOOKUP(R195,$B$22:$F$46,4,FALSE)*(AG195/(AG195+VLOOKUP(P195,$D$49:$F$123,3,TRUE)))+VLOOKUP(R195,$B$22:$F$46,5,FALSE)*(1-AG195/(AG195+VLOOKUP(P195,$D$49:$F$123,3,TRUE))))/2)*游戏时长规划!$C$4,0)</f>
        <v>#REF!</v>
      </c>
      <c r="R195" s="360" t="e">
        <f t="shared" ca="1" si="88"/>
        <v>#REF!</v>
      </c>
      <c r="S195" s="360" t="e">
        <f t="shared" ca="1" si="109"/>
        <v>#REF!</v>
      </c>
      <c r="T195" s="360" t="e">
        <f t="shared" ca="1" si="116"/>
        <v>#REF!</v>
      </c>
      <c r="U195" s="370" t="e">
        <f t="shared" ca="1" si="89"/>
        <v>#REF!</v>
      </c>
      <c r="V195" s="363" t="e">
        <f t="shared" ca="1" si="110"/>
        <v>#REF!</v>
      </c>
      <c r="W195" s="360" t="e">
        <f t="shared" ca="1" si="90"/>
        <v>#REF!</v>
      </c>
      <c r="X195" s="81" t="e">
        <f t="shared" ca="1" si="102"/>
        <v>#REF!</v>
      </c>
      <c r="Y195" s="360" t="str">
        <f t="shared" ca="1" si="91"/>
        <v>NULL</v>
      </c>
      <c r="Z195" s="375" t="e">
        <f t="shared" ca="1" si="103"/>
        <v>#REF!</v>
      </c>
      <c r="AA195" s="360">
        <f ca="1">IFERROR(VLOOKUP(IF(V195="T1低",游戏时长规划!$C$67+Z195,Z195),INDIRECT(V195&amp;"星级"),2,TRUE),0)</f>
        <v>0</v>
      </c>
      <c r="AB195" s="375" t="e">
        <f t="shared" ca="1" si="92"/>
        <v>#REF!</v>
      </c>
      <c r="AC195" s="375">
        <f ca="1">($D$14+$D$17)*$L$4/坦克部件养成!$C$2+AC194-IFERROR(IF(RIGHT(AD194,3)*1&gt;RIGHT(VLOOKUP(AC194,INDIRECT(LEFT(AD193,2)&amp;"部件升阶"),5,TRUE),3)*1,VLOOKUP(AD193,INDIRECT(LEFT(AD193,2)&amp;"部件升阶消耗"),2,FALSE),0),0)</f>
        <v>2271.9999999999977</v>
      </c>
      <c r="AD195" s="360" t="e">
        <f t="shared" ca="1" si="93"/>
        <v>#REF!</v>
      </c>
      <c r="AE195" s="375" t="e">
        <f ca="1">$D$15*$L$4/坦克部件养成!$C$2+AE194-IF(LEFT(AD195,2)&lt;&gt;LEFT(AD194,2),VLOOKUP(AF194,INDIRECT(LEFT(AD194,2)&amp;"部件升级消耗"),5,FALSE),0)</f>
        <v>#REF!</v>
      </c>
      <c r="AF195" s="360" t="e">
        <f ca="1">MIN(VLOOKUP(AE195,INDIRECT(LEFT(AD195,2)&amp;"部件升级"),2,TRUE),VLOOKUP(LEFT(AD195,2),坦克部件养成!#REF!,6,FALSE))</f>
        <v>#REF!</v>
      </c>
      <c r="AG195" s="378" t="e">
        <f ca="1">MAX(BD$4:BD195)</f>
        <v>#REF!</v>
      </c>
      <c r="AH195" s="378" t="str">
        <f t="shared" ca="1" si="94"/>
        <v/>
      </c>
      <c r="AI195" s="378">
        <f ca="1">IF(Y195="NULL",0,MAX(BY$4:BY195))</f>
        <v>0</v>
      </c>
      <c r="AK195" s="364" t="e">
        <f t="shared" ca="1" si="95"/>
        <v>#REF!</v>
      </c>
      <c r="AL195" s="364" t="e">
        <f ca="1">VLOOKUP(AK195,坦克个性化设定!$B$18:$F$48,5,FALSE)</f>
        <v>#REF!</v>
      </c>
      <c r="AM195" s="372" t="e">
        <f t="shared" ca="1" si="96"/>
        <v>#REF!</v>
      </c>
      <c r="AN195" s="372" t="e">
        <f t="shared" ca="1" si="104"/>
        <v>#REF!</v>
      </c>
      <c r="AO195" s="364">
        <f t="shared" ca="1" si="97"/>
        <v>0</v>
      </c>
      <c r="AP195" s="372" t="e">
        <f ca="1">VLOOKUP($AK195&amp;$AO195,所有坦克升星属性,MATCH(AP$3,所有坦克升星属性标头,0),FALSE)+ROUND(AU195/VLOOKUP($AK195,坦克部件!#REF!,4,FALSE)*VLOOKUP($AK195&amp;0,所有坦克升星属性,MATCH(AP$3,所有坦克升星属性标头,0),FALSE),0)</f>
        <v>#REF!</v>
      </c>
      <c r="AQ195" s="372" t="e">
        <f ca="1">VLOOKUP($AK195&amp;$AO195,所有坦克升星属性,MATCH(AQ$3,所有坦克升星属性标头,0),FALSE)+ROUND(AV195/VLOOKUP($AK195,坦克部件!#REF!,4,FALSE)*VLOOKUP($AK195&amp;0,所有坦克升星属性,MATCH(AQ$3,所有坦克升星属性标头,0),FALSE),0)</f>
        <v>#REF!</v>
      </c>
      <c r="AR195" s="372" t="e">
        <f t="shared" ca="1" si="121"/>
        <v>#REF!</v>
      </c>
      <c r="AS195" s="372" t="e">
        <f t="shared" ca="1" si="121"/>
        <v>#REF!</v>
      </c>
      <c r="AT195" s="372" t="e">
        <f ca="1">VLOOKUP($AK195&amp;$AO195,所有坦克升星属性,MATCH(AT$3,所有坦克升星属性标头,0),FALSE)+ROUND(AW195/VLOOKUP($AK195,坦克部件!#REF!,4,FALSE)*VLOOKUP($AK195&amp;0,所有坦克升星属性,MATCH(AT$3,所有坦克升星属性标头,0),FALSE),0)</f>
        <v>#REF!</v>
      </c>
      <c r="AU195" s="372" t="e">
        <f ca="1">(VLOOKUP($AM195,坦克部件!#REF!,MATCH("标准值",坦克部件!#REF!,0),FALSE)+VLOOKUP($AN195,坦克部件!#REF!,MATCH("标准值",坦克部件!#REF!,0),FALSE))*2</f>
        <v>#REF!</v>
      </c>
      <c r="AV195" s="372" t="e">
        <f ca="1">(VLOOKUP($AM195,坦克部件!#REF!,MATCH("标准值",坦克部件!#REF!,0),FALSE)+VLOOKUP($AN195,坦克部件!#REF!,MATCH("标准值",坦克部件!#REF!,0),FALSE))*2</f>
        <v>#REF!</v>
      </c>
      <c r="AW195" s="372" t="e">
        <f ca="1">(VLOOKUP($AM195,坦克部件!#REF!,MATCH("标准值",坦克部件!#REF!,0),FALSE)+VLOOKUP($AN195,坦克部件!#REF!,MATCH("标准值",坦克部件!#REF!,0),FALSE))*2</f>
        <v>#REF!</v>
      </c>
      <c r="AX195" s="372" t="e">
        <f ca="1">VLOOKUP($AK195,坦克属性统计!$B$3:$AY$33,MATCH(AX$3,坦克属性统计!$B$3:$AY$3,0),FALSE)</f>
        <v>#REF!</v>
      </c>
      <c r="AY195" s="372" t="e">
        <f t="shared" ca="1" si="122"/>
        <v>#REF!</v>
      </c>
      <c r="AZ195" s="372" t="e">
        <f t="shared" ca="1" si="122"/>
        <v>#REF!</v>
      </c>
      <c r="BA195" s="372" t="e">
        <f t="shared" ca="1" si="122"/>
        <v>#REF!</v>
      </c>
      <c r="BB195" s="356" t="e">
        <f t="shared" ca="1" si="98"/>
        <v>#REF!</v>
      </c>
      <c r="BC195" s="356" t="e">
        <f ca="1">VLOOKUP(AK195,坦克个性化设定!$B$18:$E$48,4,FALSE)</f>
        <v>#REF!</v>
      </c>
      <c r="BD195" s="357" t="e">
        <f t="shared" ca="1" si="105"/>
        <v>#REF!</v>
      </c>
      <c r="BF195" s="357" t="str">
        <f t="shared" ca="1" si="99"/>
        <v/>
      </c>
      <c r="BG195" s="372" t="str">
        <f ca="1">IFERROR(VLOOKUP(BF195,坦克个性化设定!$B$18:$F$48,5,FALSE),"")</f>
        <v/>
      </c>
      <c r="BH195" s="372" t="e">
        <f t="shared" ca="1" si="106"/>
        <v>#REF!</v>
      </c>
      <c r="BI195" s="372" t="e">
        <f t="shared" ca="1" si="107"/>
        <v>#REF!</v>
      </c>
      <c r="BJ195" s="364" t="str">
        <f t="shared" ca="1" si="100"/>
        <v>NULL</v>
      </c>
      <c r="BK195" s="372" t="e">
        <f ca="1">VLOOKUP($BF195&amp;IF($BJ195="NULL",0,$BJ195),所有坦克升星属性,MATCH(BK$3,所有坦克升星属性标头,0),FALSE)+ROUND(BP195/VLOOKUP($BF195,坦克部件!#REF!,4,FALSE)*VLOOKUP($BF195&amp;0,所有坦克升星属性,MATCH(BK$3,所有坦克升星属性标头,0),FALSE),0)</f>
        <v>#N/A</v>
      </c>
      <c r="BL195" s="372" t="e">
        <f ca="1">VLOOKUP($BF195&amp;IF($BJ195="NULL",0,$BJ195),所有坦克升星属性,MATCH(BL$3,所有坦克升星属性标头,0),FALSE)+ROUND(BQ195/VLOOKUP($BF195,坦克部件!#REF!,4,FALSE)*VLOOKUP($BF195&amp;0,所有坦克升星属性,MATCH(BL$3,所有坦克升星属性标头,0),FALSE),0)</f>
        <v>#N/A</v>
      </c>
      <c r="BM195" s="372" t="e">
        <f t="shared" ca="1" si="123"/>
        <v>#N/A</v>
      </c>
      <c r="BN195" s="372" t="e">
        <f t="shared" ca="1" si="123"/>
        <v>#N/A</v>
      </c>
      <c r="BO195" s="372" t="e">
        <f ca="1">VLOOKUP($BF195&amp;IF($BJ195="NULL",0,$BJ195),所有坦克升星属性,MATCH(BO$3,所有坦克升星属性标头,0),FALSE)+ROUND(BR195/VLOOKUP($BF195,坦克部件!#REF!,4,FALSE)*VLOOKUP($BF195&amp;0,所有坦克升星属性,MATCH(BO$3,所有坦克升星属性标头,0),FALSE),0)</f>
        <v>#N/A</v>
      </c>
      <c r="BP195" s="372" t="e">
        <f ca="1">(VLOOKUP($BH195,坦克部件!#REF!,MATCH("标准值",坦克部件!#REF!,0),FALSE)+VLOOKUP($BI195,坦克部件!#REF!,MATCH("标准值",坦克部件!#REF!,0),FALSE))*2</f>
        <v>#REF!</v>
      </c>
      <c r="BQ195" s="372" t="e">
        <f ca="1">(VLOOKUP($BH195,坦克部件!#REF!,MATCH("标准值",坦克部件!#REF!,0),FALSE)+VLOOKUP($BI195,坦克部件!#REF!,MATCH("标准值",坦克部件!#REF!,0),FALSE))*2</f>
        <v>#REF!</v>
      </c>
      <c r="BR195" s="372" t="e">
        <f ca="1">(VLOOKUP($BH195,坦克部件!#REF!,MATCH("标准值",坦克部件!#REF!,0),FALSE)+VLOOKUP($BI195,坦克部件!#REF!,MATCH("标准值",坦克部件!#REF!,0),FALSE))*2</f>
        <v>#REF!</v>
      </c>
      <c r="BS195" s="372" t="e">
        <f ca="1">VLOOKUP($BF195,坦克属性统计!$B$3:$AY$33,MATCH(BS$3,坦克属性统计!$B$3:$AY$3,0),FALSE)</f>
        <v>#N/A</v>
      </c>
      <c r="BT195" s="372" t="e">
        <f t="shared" ca="1" si="124"/>
        <v>#N/A</v>
      </c>
      <c r="BU195" s="372" t="e">
        <f t="shared" ca="1" si="124"/>
        <v>#N/A</v>
      </c>
      <c r="BV195" s="372" t="e">
        <f t="shared" ca="1" si="124"/>
        <v>#N/A</v>
      </c>
      <c r="BW195" s="356">
        <f t="shared" ca="1" si="101"/>
        <v>0</v>
      </c>
      <c r="BX195" s="356" t="e">
        <f ca="1">VLOOKUP(BF195,坦克个性化设定!$B$18:$E$48,4,FALSE)</f>
        <v>#N/A</v>
      </c>
      <c r="BY195" s="357" t="e">
        <f t="shared" ca="1" si="108"/>
        <v>#N/A</v>
      </c>
    </row>
    <row r="196" spans="15:77" x14ac:dyDescent="0.35">
      <c r="O196" s="365">
        <v>193</v>
      </c>
      <c r="P196" s="360" t="e">
        <f t="shared" ca="1" si="115"/>
        <v>#REF!</v>
      </c>
      <c r="Q196" s="360" t="e">
        <f ca="1">ROUND(MIN((BD196-VLOOKUP(R196,$B$22:$F$46,2,FALSE))/(VLOOKUP(R196,$B$22:$F$46,3,FALSE)-VLOOKUP(R196,$B$22:$F$46,2,FALSE)),1)*((VLOOKUP(R196,$B$22:$F$46,4,FALSE)*(AG196/(AG196+VLOOKUP(P196,$D$49:$F$123,3,TRUE)))+VLOOKUP(R196,$B$22:$F$46,5,FALSE)*(1-AG196/(AG196+VLOOKUP(P196,$D$49:$F$123,3,TRUE))))/2)*游戏时长规划!$C$4,0)</f>
        <v>#REF!</v>
      </c>
      <c r="R196" s="360" t="e">
        <f t="shared" ref="R196:R259" ca="1" si="125">VLOOKUP(P196,$D$49:$E$112,2,TRUE)</f>
        <v>#REF!</v>
      </c>
      <c r="S196" s="360" t="e">
        <f t="shared" ca="1" si="109"/>
        <v>#REF!</v>
      </c>
      <c r="T196" s="360" t="e">
        <f t="shared" ca="1" si="116"/>
        <v>#REF!</v>
      </c>
      <c r="U196" s="370" t="e">
        <f t="shared" ref="U196:U259" ca="1" si="126">IF(AI195&gt;=AG195,IFERROR(VLOOKUP(W195,$H$79:$K$89,2,FALSE),"雷诺FT"),IF(O196=1,"雷诺FT",U195))</f>
        <v>#REF!</v>
      </c>
      <c r="V196" s="363" t="e">
        <f t="shared" ca="1" si="110"/>
        <v>#REF!</v>
      </c>
      <c r="W196" s="360" t="e">
        <f t="shared" ref="W196:W259" ca="1" si="127">VLOOKUP(V196,$H$31:$J$43,3,FALSE)</f>
        <v>#REF!</v>
      </c>
      <c r="X196" s="81" t="e">
        <f t="shared" ca="1" si="102"/>
        <v>#REF!</v>
      </c>
      <c r="Y196" s="360" t="str">
        <f t="shared" ref="Y196:Y259" ca="1" si="128">IFERROR(VLOOKUP(X196,INDIRECT(W196&amp;"星级"),2,TRUE),"NULL")</f>
        <v>NULL</v>
      </c>
      <c r="Z196" s="375" t="e">
        <f t="shared" ca="1" si="103"/>
        <v>#REF!</v>
      </c>
      <c r="AA196" s="360">
        <f ca="1">IFERROR(VLOOKUP(IF(V196="T1低",游戏时长规划!$C$67+Z196,Z196),INDIRECT(V196&amp;"星级"),2,TRUE),0)</f>
        <v>0</v>
      </c>
      <c r="AB196" s="375" t="e">
        <f t="shared" ref="AB196:AB259" ca="1" si="129">VLOOKUP(R196,$H$16:$K$28,4,FALSE)</f>
        <v>#REF!</v>
      </c>
      <c r="AC196" s="375">
        <f ca="1">($D$14+$D$17)*$L$4/坦克部件养成!$C$2+AC195-IFERROR(IF(RIGHT(AD195,3)*1&gt;RIGHT(VLOOKUP(AC195,INDIRECT(LEFT(AD194,2)&amp;"部件升阶"),5,TRUE),3)*1,VLOOKUP(AD194,INDIRECT(LEFT(AD194,2)&amp;"部件升阶消耗"),2,FALSE),0),0)</f>
        <v>2283.8333333333312</v>
      </c>
      <c r="AD196" s="360" t="e">
        <f t="shared" ref="AD196:AD259" ca="1" si="130">IF(AB196="T1",IFERROR(VLOOKUP(AC196,T1部件升阶,5,TRUE),"T111"),"T"&amp;MAX(RIGHT(IFERROR(VLOOKUP(AC196-VLOOKUP(AD195,INDIRECT(LEFT(AD195,2)&amp;"部件升阶消耗"),2,FALSE),INDIRECT(AB196&amp;"部件升阶"),5,TRUE),"T000"),3)*1,RIGHT(VLOOKUP(AC196,INDIRECT(LEFT(AD195,2)&amp;"部件升阶"),5,TRUE),3)*1))</f>
        <v>#REF!</v>
      </c>
      <c r="AE196" s="375" t="e">
        <f ca="1">$D$15*$L$4/坦克部件养成!$C$2+AE195-IF(LEFT(AD196,2)&lt;&gt;LEFT(AD195,2),VLOOKUP(AF195,INDIRECT(LEFT(AD195,2)&amp;"部件升级消耗"),5,FALSE),0)</f>
        <v>#REF!</v>
      </c>
      <c r="AF196" s="360" t="e">
        <f ca="1">MIN(VLOOKUP(AE196,INDIRECT(LEFT(AD196,2)&amp;"部件升级"),2,TRUE),VLOOKUP(LEFT(AD196,2),坦克部件养成!#REF!,6,FALSE))</f>
        <v>#REF!</v>
      </c>
      <c r="AG196" s="378" t="e">
        <f ca="1">MAX(BD$4:BD196)</f>
        <v>#REF!</v>
      </c>
      <c r="AH196" s="378" t="str">
        <f t="shared" ref="AH196:AH259" ca="1" si="131">IFERROR(VLOOKUP(W196,$H$79:$K$89,MATCH(VLOOKUP(U196,$H$46:$M$76,2,FALSE),$H$79:$K$79,0),FALSE),"")</f>
        <v/>
      </c>
      <c r="AI196" s="378">
        <f ca="1">IF(Y196="NULL",0,MAX(BY$4:BY196))</f>
        <v>0</v>
      </c>
      <c r="AK196" s="364" t="e">
        <f t="shared" ref="AK196:AK259" ca="1" si="132">U196</f>
        <v>#REF!</v>
      </c>
      <c r="AL196" s="364" t="e">
        <f ca="1">VLOOKUP(AK196,坦克个性化设定!$B$18:$F$48,5,FALSE)</f>
        <v>#REF!</v>
      </c>
      <c r="AM196" s="372" t="e">
        <f t="shared" ref="AM196:AM259" ca="1" si="133">AF196</f>
        <v>#REF!</v>
      </c>
      <c r="AN196" s="372" t="e">
        <f t="shared" ca="1" si="104"/>
        <v>#REF!</v>
      </c>
      <c r="AO196" s="364">
        <f t="shared" ref="AO196:AO259" ca="1" si="134">AA196</f>
        <v>0</v>
      </c>
      <c r="AP196" s="372" t="e">
        <f ca="1">VLOOKUP($AK196&amp;$AO196,所有坦克升星属性,MATCH(AP$3,所有坦克升星属性标头,0),FALSE)+ROUND(AU196/VLOOKUP($AK196,坦克部件!#REF!,4,FALSE)*VLOOKUP($AK196&amp;0,所有坦克升星属性,MATCH(AP$3,所有坦克升星属性标头,0),FALSE),0)</f>
        <v>#REF!</v>
      </c>
      <c r="AQ196" s="372" t="e">
        <f ca="1">VLOOKUP($AK196&amp;$AO196,所有坦克升星属性,MATCH(AQ$3,所有坦克升星属性标头,0),FALSE)+ROUND(AV196/VLOOKUP($AK196,坦克部件!#REF!,4,FALSE)*VLOOKUP($AK196&amp;0,所有坦克升星属性,MATCH(AQ$3,所有坦克升星属性标头,0),FALSE),0)</f>
        <v>#REF!</v>
      </c>
      <c r="AR196" s="372" t="e">
        <f t="shared" ca="1" si="121"/>
        <v>#REF!</v>
      </c>
      <c r="AS196" s="372" t="e">
        <f t="shared" ca="1" si="121"/>
        <v>#REF!</v>
      </c>
      <c r="AT196" s="372" t="e">
        <f ca="1">VLOOKUP($AK196&amp;$AO196,所有坦克升星属性,MATCH(AT$3,所有坦克升星属性标头,0),FALSE)+ROUND(AW196/VLOOKUP($AK196,坦克部件!#REF!,4,FALSE)*VLOOKUP($AK196&amp;0,所有坦克升星属性,MATCH(AT$3,所有坦克升星属性标头,0),FALSE),0)</f>
        <v>#REF!</v>
      </c>
      <c r="AU196" s="372" t="e">
        <f ca="1">(VLOOKUP($AM196,坦克部件!#REF!,MATCH("标准值",坦克部件!#REF!,0),FALSE)+VLOOKUP($AN196,坦克部件!#REF!,MATCH("标准值",坦克部件!#REF!,0),FALSE))*2</f>
        <v>#REF!</v>
      </c>
      <c r="AV196" s="372" t="e">
        <f ca="1">(VLOOKUP($AM196,坦克部件!#REF!,MATCH("标准值",坦克部件!#REF!,0),FALSE)+VLOOKUP($AN196,坦克部件!#REF!,MATCH("标准值",坦克部件!#REF!,0),FALSE))*2</f>
        <v>#REF!</v>
      </c>
      <c r="AW196" s="372" t="e">
        <f ca="1">(VLOOKUP($AM196,坦克部件!#REF!,MATCH("标准值",坦克部件!#REF!,0),FALSE)+VLOOKUP($AN196,坦克部件!#REF!,MATCH("标准值",坦克部件!#REF!,0),FALSE))*2</f>
        <v>#REF!</v>
      </c>
      <c r="AX196" s="372" t="e">
        <f ca="1">VLOOKUP($AK196,坦克属性统计!$B$3:$AY$33,MATCH(AX$3,坦克属性统计!$B$3:$AY$3,0),FALSE)</f>
        <v>#REF!</v>
      </c>
      <c r="AY196" s="372" t="e">
        <f t="shared" ca="1" si="122"/>
        <v>#REF!</v>
      </c>
      <c r="AZ196" s="372" t="e">
        <f t="shared" ca="1" si="122"/>
        <v>#REF!</v>
      </c>
      <c r="BA196" s="372" t="e">
        <f t="shared" ca="1" si="122"/>
        <v>#REF!</v>
      </c>
      <c r="BB196" s="356" t="e">
        <f t="shared" ref="BB196:BB259" ca="1" si="135">IF(LEN(AL196)=5,(60-(AX196-1)*AY196)/AZ196+AX196,IF(RIGHT(AL196,2)="弹夹",((60-(AX196-1)*AY196)/(BA196+(AX196-1)*AY196)+1)*AX196,60/AZ196+AX196))</f>
        <v>#REF!</v>
      </c>
      <c r="BC196" s="356" t="e">
        <f ca="1">VLOOKUP(AK196,坦克个性化设定!$B$18:$E$48,4,FALSE)</f>
        <v>#REF!</v>
      </c>
      <c r="BD196" s="357" t="e">
        <f t="shared" ca="1" si="105"/>
        <v>#REF!</v>
      </c>
      <c r="BF196" s="357" t="str">
        <f t="shared" ref="BF196:BF259" ca="1" si="136">AH196</f>
        <v/>
      </c>
      <c r="BG196" s="372" t="str">
        <f ca="1">IFERROR(VLOOKUP(BF196,坦克个性化设定!$B$18:$F$48,5,FALSE),"")</f>
        <v/>
      </c>
      <c r="BH196" s="372" t="e">
        <f t="shared" ca="1" si="106"/>
        <v>#REF!</v>
      </c>
      <c r="BI196" s="372" t="e">
        <f t="shared" ca="1" si="107"/>
        <v>#REF!</v>
      </c>
      <c r="BJ196" s="364" t="str">
        <f t="shared" ref="BJ196:BJ259" ca="1" si="137">Y196</f>
        <v>NULL</v>
      </c>
      <c r="BK196" s="372" t="e">
        <f ca="1">VLOOKUP($BF196&amp;IF($BJ196="NULL",0,$BJ196),所有坦克升星属性,MATCH(BK$3,所有坦克升星属性标头,0),FALSE)+ROUND(BP196/VLOOKUP($BF196,坦克部件!#REF!,4,FALSE)*VLOOKUP($BF196&amp;0,所有坦克升星属性,MATCH(BK$3,所有坦克升星属性标头,0),FALSE),0)</f>
        <v>#N/A</v>
      </c>
      <c r="BL196" s="372" t="e">
        <f ca="1">VLOOKUP($BF196&amp;IF($BJ196="NULL",0,$BJ196),所有坦克升星属性,MATCH(BL$3,所有坦克升星属性标头,0),FALSE)+ROUND(BQ196/VLOOKUP($BF196,坦克部件!#REF!,4,FALSE)*VLOOKUP($BF196&amp;0,所有坦克升星属性,MATCH(BL$3,所有坦克升星属性标头,0),FALSE),0)</f>
        <v>#N/A</v>
      </c>
      <c r="BM196" s="372" t="e">
        <f t="shared" ca="1" si="123"/>
        <v>#N/A</v>
      </c>
      <c r="BN196" s="372" t="e">
        <f t="shared" ca="1" si="123"/>
        <v>#N/A</v>
      </c>
      <c r="BO196" s="372" t="e">
        <f ca="1">VLOOKUP($BF196&amp;IF($BJ196="NULL",0,$BJ196),所有坦克升星属性,MATCH(BO$3,所有坦克升星属性标头,0),FALSE)+ROUND(BR196/VLOOKUP($BF196,坦克部件!#REF!,4,FALSE)*VLOOKUP($BF196&amp;0,所有坦克升星属性,MATCH(BO$3,所有坦克升星属性标头,0),FALSE),0)</f>
        <v>#N/A</v>
      </c>
      <c r="BP196" s="372" t="e">
        <f ca="1">(VLOOKUP($BH196,坦克部件!#REF!,MATCH("标准值",坦克部件!#REF!,0),FALSE)+VLOOKUP($BI196,坦克部件!#REF!,MATCH("标准值",坦克部件!#REF!,0),FALSE))*2</f>
        <v>#REF!</v>
      </c>
      <c r="BQ196" s="372" t="e">
        <f ca="1">(VLOOKUP($BH196,坦克部件!#REF!,MATCH("标准值",坦克部件!#REF!,0),FALSE)+VLOOKUP($BI196,坦克部件!#REF!,MATCH("标准值",坦克部件!#REF!,0),FALSE))*2</f>
        <v>#REF!</v>
      </c>
      <c r="BR196" s="372" t="e">
        <f ca="1">(VLOOKUP($BH196,坦克部件!#REF!,MATCH("标准值",坦克部件!#REF!,0),FALSE)+VLOOKUP($BI196,坦克部件!#REF!,MATCH("标准值",坦克部件!#REF!,0),FALSE))*2</f>
        <v>#REF!</v>
      </c>
      <c r="BS196" s="372" t="e">
        <f ca="1">VLOOKUP($BF196,坦克属性统计!$B$3:$AY$33,MATCH(BS$3,坦克属性统计!$B$3:$AY$3,0),FALSE)</f>
        <v>#N/A</v>
      </c>
      <c r="BT196" s="372" t="e">
        <f t="shared" ca="1" si="124"/>
        <v>#N/A</v>
      </c>
      <c r="BU196" s="372" t="e">
        <f t="shared" ca="1" si="124"/>
        <v>#N/A</v>
      </c>
      <c r="BV196" s="372" t="e">
        <f t="shared" ca="1" si="124"/>
        <v>#N/A</v>
      </c>
      <c r="BW196" s="356">
        <f t="shared" ref="BW196:BW259" ca="1" si="138">IFERROR(IF(LEN(BG196)=5,(60-(BS196-1)*BT196)/BU196+BS196,IF(RIGHT(BG196,2)="弹夹",((60-(BS196-1)*BT196)/(BV196+(BS196-1)*BT196)+1)*BS196,60/BU196+BS196)),0)</f>
        <v>0</v>
      </c>
      <c r="BX196" s="356" t="e">
        <f ca="1">VLOOKUP(BF196,坦克个性化设定!$B$18:$E$48,4,FALSE)</f>
        <v>#N/A</v>
      </c>
      <c r="BY196" s="357" t="e">
        <f t="shared" ca="1" si="108"/>
        <v>#N/A</v>
      </c>
    </row>
    <row r="197" spans="15:77" x14ac:dyDescent="0.35">
      <c r="O197" s="365">
        <v>194</v>
      </c>
      <c r="P197" s="360" t="e">
        <f t="shared" ca="1" si="115"/>
        <v>#REF!</v>
      </c>
      <c r="Q197" s="360" t="e">
        <f ca="1">ROUND(MIN((BD197-VLOOKUP(R197,$B$22:$F$46,2,FALSE))/(VLOOKUP(R197,$B$22:$F$46,3,FALSE)-VLOOKUP(R197,$B$22:$F$46,2,FALSE)),1)*((VLOOKUP(R197,$B$22:$F$46,4,FALSE)*(AG197/(AG197+VLOOKUP(P197,$D$49:$F$123,3,TRUE)))+VLOOKUP(R197,$B$22:$F$46,5,FALSE)*(1-AG197/(AG197+VLOOKUP(P197,$D$49:$F$123,3,TRUE))))/2)*游戏时长规划!$C$4,0)</f>
        <v>#REF!</v>
      </c>
      <c r="R197" s="360" t="e">
        <f t="shared" ca="1" si="125"/>
        <v>#REF!</v>
      </c>
      <c r="S197" s="360" t="e">
        <f t="shared" ca="1" si="109"/>
        <v>#REF!</v>
      </c>
      <c r="T197" s="360" t="e">
        <f t="shared" ca="1" si="116"/>
        <v>#REF!</v>
      </c>
      <c r="U197" s="370" t="e">
        <f t="shared" ca="1" si="126"/>
        <v>#REF!</v>
      </c>
      <c r="V197" s="363" t="e">
        <f t="shared" ca="1" si="110"/>
        <v>#REF!</v>
      </c>
      <c r="W197" s="360" t="e">
        <f t="shared" ca="1" si="127"/>
        <v>#REF!</v>
      </c>
      <c r="X197" s="81" t="e">
        <f t="shared" ref="X197:X260" ca="1" si="139">IF(U197&lt;&gt;U196,IF(Y196&lt;&gt;"NULL",(IF(VLOOKUP(T197,$H$31:$I$43,2,FALSE)&lt;VLOOKUP(W197,$H$31:$I$43,2,FALSE),0,$E$12))+(IF(VLOOKUP(S197,$H$31:$I$43,2,FALSE)&lt;VLOOKUP(W197,$H$31:$I$43,2,FALSE),0,1))*$E$13*$L$4,(IF(VLOOKUP(T197,$H$31:$I$43,2,FALSE)&lt;VLOOKUP(W197,$H$31:$I$43,2,FALSE),0,$E$12))+(IF(VLOOKUP(S197,$H$31:$I$43,2,FALSE)&lt;VLOOKUP(W197,$H$31:$I$43,2,FALSE),0,1))*$E$13*$L$4),(IF(VLOOKUP(T197,$H$31:$I$43,2,FALSE)&lt;VLOOKUP(W197,$H$31:$I$43,2,FALSE),0,$E$12))+(IF(VLOOKUP(S197,$H$31:$I$43,2,FALSE)&lt;VLOOKUP(W197,$H$31:$I$43,2,FALSE),0,1))*$E$13*$L$4+X196)</f>
        <v>#REF!</v>
      </c>
      <c r="Y197" s="360" t="str">
        <f t="shared" ca="1" si="128"/>
        <v>NULL</v>
      </c>
      <c r="Z197" s="375" t="e">
        <f t="shared" ref="Z197:Z260" ca="1" si="140">IF(O197=1,($E$13+$E$12)*$L$4,IF(V197=V196,IF(Y197="NULL",($E$13+$E$12)*$L$4+Z196,$E$13*$L$4+Z196),($E$13+$E$12)*$L$4+IF(ISNUMBER(X196),X196,0)))</f>
        <v>#REF!</v>
      </c>
      <c r="AA197" s="360">
        <f ca="1">IFERROR(VLOOKUP(IF(V197="T1低",游戏时长规划!$C$67+Z197,Z197),INDIRECT(V197&amp;"星级"),2,TRUE),0)</f>
        <v>0</v>
      </c>
      <c r="AB197" s="375" t="e">
        <f t="shared" ca="1" si="129"/>
        <v>#REF!</v>
      </c>
      <c r="AC197" s="375">
        <f ca="1">($D$14+$D$17)*$L$4/坦克部件养成!$C$2+AC196-IFERROR(IF(RIGHT(AD196,3)*1&gt;RIGHT(VLOOKUP(AC196,INDIRECT(LEFT(AD195,2)&amp;"部件升阶"),5,TRUE),3)*1,VLOOKUP(AD195,INDIRECT(LEFT(AD195,2)&amp;"部件升阶消耗"),2,FALSE),0),0)</f>
        <v>2295.6666666666647</v>
      </c>
      <c r="AD197" s="360" t="e">
        <f t="shared" ca="1" si="130"/>
        <v>#REF!</v>
      </c>
      <c r="AE197" s="375" t="e">
        <f ca="1">$D$15*$L$4/坦克部件养成!$C$2+AE196-IF(LEFT(AD197,2)&lt;&gt;LEFT(AD196,2),VLOOKUP(AF196,INDIRECT(LEFT(AD196,2)&amp;"部件升级消耗"),5,FALSE),0)</f>
        <v>#REF!</v>
      </c>
      <c r="AF197" s="360" t="e">
        <f ca="1">MIN(VLOOKUP(AE197,INDIRECT(LEFT(AD197,2)&amp;"部件升级"),2,TRUE),VLOOKUP(LEFT(AD197,2),坦克部件养成!#REF!,6,FALSE))</f>
        <v>#REF!</v>
      </c>
      <c r="AG197" s="378" t="e">
        <f ca="1">MAX(BD$4:BD197)</f>
        <v>#REF!</v>
      </c>
      <c r="AH197" s="378" t="str">
        <f t="shared" ca="1" si="131"/>
        <v/>
      </c>
      <c r="AI197" s="378">
        <f ca="1">IF(Y197="NULL",0,MAX(BY$4:BY197))</f>
        <v>0</v>
      </c>
      <c r="AK197" s="364" t="e">
        <f t="shared" ca="1" si="132"/>
        <v>#REF!</v>
      </c>
      <c r="AL197" s="364" t="e">
        <f ca="1">VLOOKUP(AK197,坦克个性化设定!$B$18:$F$48,5,FALSE)</f>
        <v>#REF!</v>
      </c>
      <c r="AM197" s="372" t="e">
        <f t="shared" ca="1" si="133"/>
        <v>#REF!</v>
      </c>
      <c r="AN197" s="372" t="e">
        <f t="shared" ref="AN197:AN260" ca="1" si="141">AD197</f>
        <v>#REF!</v>
      </c>
      <c r="AO197" s="364">
        <f t="shared" ca="1" si="134"/>
        <v>0</v>
      </c>
      <c r="AP197" s="372" t="e">
        <f ca="1">VLOOKUP($AK197&amp;$AO197,所有坦克升星属性,MATCH(AP$3,所有坦克升星属性标头,0),FALSE)+ROUND(AU197/VLOOKUP($AK197,坦克部件!#REF!,4,FALSE)*VLOOKUP($AK197&amp;0,所有坦克升星属性,MATCH(AP$3,所有坦克升星属性标头,0),FALSE),0)</f>
        <v>#REF!</v>
      </c>
      <c r="AQ197" s="372" t="e">
        <f ca="1">VLOOKUP($AK197&amp;$AO197,所有坦克升星属性,MATCH(AQ$3,所有坦克升星属性标头,0),FALSE)+ROUND(AV197/VLOOKUP($AK197,坦克部件!#REF!,4,FALSE)*VLOOKUP($AK197&amp;0,所有坦克升星属性,MATCH(AQ$3,所有坦克升星属性标头,0),FALSE),0)</f>
        <v>#REF!</v>
      </c>
      <c r="AR197" s="372" t="e">
        <f t="shared" ca="1" si="121"/>
        <v>#REF!</v>
      </c>
      <c r="AS197" s="372" t="e">
        <f t="shared" ca="1" si="121"/>
        <v>#REF!</v>
      </c>
      <c r="AT197" s="372" t="e">
        <f ca="1">VLOOKUP($AK197&amp;$AO197,所有坦克升星属性,MATCH(AT$3,所有坦克升星属性标头,0),FALSE)+ROUND(AW197/VLOOKUP($AK197,坦克部件!#REF!,4,FALSE)*VLOOKUP($AK197&amp;0,所有坦克升星属性,MATCH(AT$3,所有坦克升星属性标头,0),FALSE),0)</f>
        <v>#REF!</v>
      </c>
      <c r="AU197" s="372" t="e">
        <f ca="1">(VLOOKUP($AM197,坦克部件!#REF!,MATCH("标准值",坦克部件!#REF!,0),FALSE)+VLOOKUP($AN197,坦克部件!#REF!,MATCH("标准值",坦克部件!#REF!,0),FALSE))*2</f>
        <v>#REF!</v>
      </c>
      <c r="AV197" s="372" t="e">
        <f ca="1">(VLOOKUP($AM197,坦克部件!#REF!,MATCH("标准值",坦克部件!#REF!,0),FALSE)+VLOOKUP($AN197,坦克部件!#REF!,MATCH("标准值",坦克部件!#REF!,0),FALSE))*2</f>
        <v>#REF!</v>
      </c>
      <c r="AW197" s="372" t="e">
        <f ca="1">(VLOOKUP($AM197,坦克部件!#REF!,MATCH("标准值",坦克部件!#REF!,0),FALSE)+VLOOKUP($AN197,坦克部件!#REF!,MATCH("标准值",坦克部件!#REF!,0),FALSE))*2</f>
        <v>#REF!</v>
      </c>
      <c r="AX197" s="372" t="e">
        <f ca="1">VLOOKUP($AK197,坦克属性统计!$B$3:$AY$33,MATCH(AX$3,坦克属性统计!$B$3:$AY$3,0),FALSE)</f>
        <v>#REF!</v>
      </c>
      <c r="AY197" s="372" t="e">
        <f t="shared" ca="1" si="122"/>
        <v>#REF!</v>
      </c>
      <c r="AZ197" s="372" t="e">
        <f t="shared" ca="1" si="122"/>
        <v>#REF!</v>
      </c>
      <c r="BA197" s="372" t="e">
        <f t="shared" ca="1" si="122"/>
        <v>#REF!</v>
      </c>
      <c r="BB197" s="356" t="e">
        <f t="shared" ca="1" si="135"/>
        <v>#REF!</v>
      </c>
      <c r="BC197" s="356" t="e">
        <f ca="1">VLOOKUP(AK197,坦克个性化设定!$B$18:$E$48,4,FALSE)</f>
        <v>#REF!</v>
      </c>
      <c r="BD197" s="357" t="e">
        <f t="shared" ref="BD197:BD260" ca="1" si="142">ROUND(SQRT(AP197*AQ197*BB197/2+AVERAGE(AR197,AS197)*AT197*100),0)</f>
        <v>#REF!</v>
      </c>
      <c r="BF197" s="357" t="str">
        <f t="shared" ca="1" si="136"/>
        <v/>
      </c>
      <c r="BG197" s="372" t="str">
        <f ca="1">IFERROR(VLOOKUP(BF197,坦克个性化设定!$B$18:$F$48,5,FALSE),"")</f>
        <v/>
      </c>
      <c r="BH197" s="372" t="e">
        <f t="shared" ref="BH197:BH260" ca="1" si="143">AM197</f>
        <v>#REF!</v>
      </c>
      <c r="BI197" s="372" t="e">
        <f t="shared" ref="BI197:BI260" ca="1" si="144">AN197</f>
        <v>#REF!</v>
      </c>
      <c r="BJ197" s="364" t="str">
        <f t="shared" ca="1" si="137"/>
        <v>NULL</v>
      </c>
      <c r="BK197" s="372" t="e">
        <f ca="1">VLOOKUP($BF197&amp;IF($BJ197="NULL",0,$BJ197),所有坦克升星属性,MATCH(BK$3,所有坦克升星属性标头,0),FALSE)+ROUND(BP197/VLOOKUP($BF197,坦克部件!#REF!,4,FALSE)*VLOOKUP($BF197&amp;0,所有坦克升星属性,MATCH(BK$3,所有坦克升星属性标头,0),FALSE),0)</f>
        <v>#N/A</v>
      </c>
      <c r="BL197" s="372" t="e">
        <f ca="1">VLOOKUP($BF197&amp;IF($BJ197="NULL",0,$BJ197),所有坦克升星属性,MATCH(BL$3,所有坦克升星属性标头,0),FALSE)+ROUND(BQ197/VLOOKUP($BF197,坦克部件!#REF!,4,FALSE)*VLOOKUP($BF197&amp;0,所有坦克升星属性,MATCH(BL$3,所有坦克升星属性标头,0),FALSE),0)</f>
        <v>#N/A</v>
      </c>
      <c r="BM197" s="372" t="e">
        <f t="shared" ca="1" si="123"/>
        <v>#N/A</v>
      </c>
      <c r="BN197" s="372" t="e">
        <f t="shared" ca="1" si="123"/>
        <v>#N/A</v>
      </c>
      <c r="BO197" s="372" t="e">
        <f ca="1">VLOOKUP($BF197&amp;IF($BJ197="NULL",0,$BJ197),所有坦克升星属性,MATCH(BO$3,所有坦克升星属性标头,0),FALSE)+ROUND(BR197/VLOOKUP($BF197,坦克部件!#REF!,4,FALSE)*VLOOKUP($BF197&amp;0,所有坦克升星属性,MATCH(BO$3,所有坦克升星属性标头,0),FALSE),0)</f>
        <v>#N/A</v>
      </c>
      <c r="BP197" s="372" t="e">
        <f ca="1">(VLOOKUP($BH197,坦克部件!#REF!,MATCH("标准值",坦克部件!#REF!,0),FALSE)+VLOOKUP($BI197,坦克部件!#REF!,MATCH("标准值",坦克部件!#REF!,0),FALSE))*2</f>
        <v>#REF!</v>
      </c>
      <c r="BQ197" s="372" t="e">
        <f ca="1">(VLOOKUP($BH197,坦克部件!#REF!,MATCH("标准值",坦克部件!#REF!,0),FALSE)+VLOOKUP($BI197,坦克部件!#REF!,MATCH("标准值",坦克部件!#REF!,0),FALSE))*2</f>
        <v>#REF!</v>
      </c>
      <c r="BR197" s="372" t="e">
        <f ca="1">(VLOOKUP($BH197,坦克部件!#REF!,MATCH("标准值",坦克部件!#REF!,0),FALSE)+VLOOKUP($BI197,坦克部件!#REF!,MATCH("标准值",坦克部件!#REF!,0),FALSE))*2</f>
        <v>#REF!</v>
      </c>
      <c r="BS197" s="372" t="e">
        <f ca="1">VLOOKUP($BF197,坦克属性统计!$B$3:$AY$33,MATCH(BS$3,坦克属性统计!$B$3:$AY$3,0),FALSE)</f>
        <v>#N/A</v>
      </c>
      <c r="BT197" s="372" t="e">
        <f t="shared" ca="1" si="124"/>
        <v>#N/A</v>
      </c>
      <c r="BU197" s="372" t="e">
        <f t="shared" ca="1" si="124"/>
        <v>#N/A</v>
      </c>
      <c r="BV197" s="372" t="e">
        <f t="shared" ca="1" si="124"/>
        <v>#N/A</v>
      </c>
      <c r="BW197" s="356">
        <f t="shared" ca="1" si="138"/>
        <v>0</v>
      </c>
      <c r="BX197" s="356" t="e">
        <f ca="1">VLOOKUP(BF197,坦克个性化设定!$B$18:$E$48,4,FALSE)</f>
        <v>#N/A</v>
      </c>
      <c r="BY197" s="357" t="e">
        <f t="shared" ref="BY197:BY260" ca="1" si="145">ROUND(SQRT(BK197*BL197*BW197/2+AVERAGE(BM197,BN197)*BO197*100),0)</f>
        <v>#N/A</v>
      </c>
    </row>
    <row r="198" spans="15:77" x14ac:dyDescent="0.35">
      <c r="O198" s="365">
        <v>195</v>
      </c>
      <c r="P198" s="360" t="e">
        <f t="shared" ca="1" si="115"/>
        <v>#REF!</v>
      </c>
      <c r="Q198" s="360" t="e">
        <f ca="1">ROUND(MIN((BD198-VLOOKUP(R198,$B$22:$F$46,2,FALSE))/(VLOOKUP(R198,$B$22:$F$46,3,FALSE)-VLOOKUP(R198,$B$22:$F$46,2,FALSE)),1)*((VLOOKUP(R198,$B$22:$F$46,4,FALSE)*(AG198/(AG198+VLOOKUP(P198,$D$49:$F$123,3,TRUE)))+VLOOKUP(R198,$B$22:$F$46,5,FALSE)*(1-AG198/(AG198+VLOOKUP(P198,$D$49:$F$123,3,TRUE))))/2)*游戏时长规划!$C$4,0)</f>
        <v>#REF!</v>
      </c>
      <c r="R198" s="360" t="e">
        <f t="shared" ca="1" si="125"/>
        <v>#REF!</v>
      </c>
      <c r="S198" s="360" t="e">
        <f t="shared" ca="1" si="109"/>
        <v>#REF!</v>
      </c>
      <c r="T198" s="360" t="e">
        <f t="shared" ca="1" si="116"/>
        <v>#REF!</v>
      </c>
      <c r="U198" s="370" t="e">
        <f t="shared" ca="1" si="126"/>
        <v>#REF!</v>
      </c>
      <c r="V198" s="363" t="e">
        <f t="shared" ca="1" si="110"/>
        <v>#REF!</v>
      </c>
      <c r="W198" s="360" t="e">
        <f t="shared" ca="1" si="127"/>
        <v>#REF!</v>
      </c>
      <c r="X198" s="81" t="e">
        <f t="shared" ca="1" si="139"/>
        <v>#REF!</v>
      </c>
      <c r="Y198" s="360" t="str">
        <f t="shared" ca="1" si="128"/>
        <v>NULL</v>
      </c>
      <c r="Z198" s="375" t="e">
        <f t="shared" ca="1" si="140"/>
        <v>#REF!</v>
      </c>
      <c r="AA198" s="360">
        <f ca="1">IFERROR(VLOOKUP(IF(V198="T1低",游戏时长规划!$C$67+Z198,Z198),INDIRECT(V198&amp;"星级"),2,TRUE),0)</f>
        <v>0</v>
      </c>
      <c r="AB198" s="375" t="e">
        <f t="shared" ca="1" si="129"/>
        <v>#REF!</v>
      </c>
      <c r="AC198" s="375">
        <f ca="1">($D$14+$D$17)*$L$4/坦克部件养成!$C$2+AC197-IFERROR(IF(RIGHT(AD197,3)*1&gt;RIGHT(VLOOKUP(AC197,INDIRECT(LEFT(AD196,2)&amp;"部件升阶"),5,TRUE),3)*1,VLOOKUP(AD196,INDIRECT(LEFT(AD196,2)&amp;"部件升阶消耗"),2,FALSE),0),0)</f>
        <v>2307.4999999999982</v>
      </c>
      <c r="AD198" s="360" t="e">
        <f t="shared" ca="1" si="130"/>
        <v>#REF!</v>
      </c>
      <c r="AE198" s="375" t="e">
        <f ca="1">$D$15*$L$4/坦克部件养成!$C$2+AE197-IF(LEFT(AD198,2)&lt;&gt;LEFT(AD197,2),VLOOKUP(AF197,INDIRECT(LEFT(AD197,2)&amp;"部件升级消耗"),5,FALSE),0)</f>
        <v>#REF!</v>
      </c>
      <c r="AF198" s="360" t="e">
        <f ca="1">MIN(VLOOKUP(AE198,INDIRECT(LEFT(AD198,2)&amp;"部件升级"),2,TRUE),VLOOKUP(LEFT(AD198,2),坦克部件养成!#REF!,6,FALSE))</f>
        <v>#REF!</v>
      </c>
      <c r="AG198" s="378" t="e">
        <f ca="1">MAX(BD$4:BD198)</f>
        <v>#REF!</v>
      </c>
      <c r="AH198" s="378" t="str">
        <f t="shared" ca="1" si="131"/>
        <v/>
      </c>
      <c r="AI198" s="378">
        <f ca="1">IF(Y198="NULL",0,MAX(BY$4:BY198))</f>
        <v>0</v>
      </c>
      <c r="AK198" s="364" t="e">
        <f t="shared" ca="1" si="132"/>
        <v>#REF!</v>
      </c>
      <c r="AL198" s="364" t="e">
        <f ca="1">VLOOKUP(AK198,坦克个性化设定!$B$18:$F$48,5,FALSE)</f>
        <v>#REF!</v>
      </c>
      <c r="AM198" s="372" t="e">
        <f t="shared" ca="1" si="133"/>
        <v>#REF!</v>
      </c>
      <c r="AN198" s="372" t="e">
        <f t="shared" ca="1" si="141"/>
        <v>#REF!</v>
      </c>
      <c r="AO198" s="364">
        <f t="shared" ca="1" si="134"/>
        <v>0</v>
      </c>
      <c r="AP198" s="372" t="e">
        <f ca="1">VLOOKUP($AK198&amp;$AO198,所有坦克升星属性,MATCH(AP$3,所有坦克升星属性标头,0),FALSE)+ROUND(AU198/VLOOKUP($AK198,坦克部件!#REF!,4,FALSE)*VLOOKUP($AK198&amp;0,所有坦克升星属性,MATCH(AP$3,所有坦克升星属性标头,0),FALSE),0)</f>
        <v>#REF!</v>
      </c>
      <c r="AQ198" s="372" t="e">
        <f ca="1">VLOOKUP($AK198&amp;$AO198,所有坦克升星属性,MATCH(AQ$3,所有坦克升星属性标头,0),FALSE)+ROUND(AV198/VLOOKUP($AK198,坦克部件!#REF!,4,FALSE)*VLOOKUP($AK198&amp;0,所有坦克升星属性,MATCH(AQ$3,所有坦克升星属性标头,0),FALSE),0)</f>
        <v>#REF!</v>
      </c>
      <c r="AR198" s="372" t="e">
        <f t="shared" ca="1" si="121"/>
        <v>#REF!</v>
      </c>
      <c r="AS198" s="372" t="e">
        <f t="shared" ca="1" si="121"/>
        <v>#REF!</v>
      </c>
      <c r="AT198" s="372" t="e">
        <f ca="1">VLOOKUP($AK198&amp;$AO198,所有坦克升星属性,MATCH(AT$3,所有坦克升星属性标头,0),FALSE)+ROUND(AW198/VLOOKUP($AK198,坦克部件!#REF!,4,FALSE)*VLOOKUP($AK198&amp;0,所有坦克升星属性,MATCH(AT$3,所有坦克升星属性标头,0),FALSE),0)</f>
        <v>#REF!</v>
      </c>
      <c r="AU198" s="372" t="e">
        <f ca="1">(VLOOKUP($AM198,坦克部件!#REF!,MATCH("标准值",坦克部件!#REF!,0),FALSE)+VLOOKUP($AN198,坦克部件!#REF!,MATCH("标准值",坦克部件!#REF!,0),FALSE))*2</f>
        <v>#REF!</v>
      </c>
      <c r="AV198" s="372" t="e">
        <f ca="1">(VLOOKUP($AM198,坦克部件!#REF!,MATCH("标准值",坦克部件!#REF!,0),FALSE)+VLOOKUP($AN198,坦克部件!#REF!,MATCH("标准值",坦克部件!#REF!,0),FALSE))*2</f>
        <v>#REF!</v>
      </c>
      <c r="AW198" s="372" t="e">
        <f ca="1">(VLOOKUP($AM198,坦克部件!#REF!,MATCH("标准值",坦克部件!#REF!,0),FALSE)+VLOOKUP($AN198,坦克部件!#REF!,MATCH("标准值",坦克部件!#REF!,0),FALSE))*2</f>
        <v>#REF!</v>
      </c>
      <c r="AX198" s="372" t="e">
        <f ca="1">VLOOKUP($AK198,坦克属性统计!$B$3:$AY$33,MATCH(AX$3,坦克属性统计!$B$3:$AY$3,0),FALSE)</f>
        <v>#REF!</v>
      </c>
      <c r="AY198" s="372" t="e">
        <f t="shared" ca="1" si="122"/>
        <v>#REF!</v>
      </c>
      <c r="AZ198" s="372" t="e">
        <f t="shared" ca="1" si="122"/>
        <v>#REF!</v>
      </c>
      <c r="BA198" s="372" t="e">
        <f t="shared" ca="1" si="122"/>
        <v>#REF!</v>
      </c>
      <c r="BB198" s="356" t="e">
        <f t="shared" ca="1" si="135"/>
        <v>#REF!</v>
      </c>
      <c r="BC198" s="356" t="e">
        <f ca="1">VLOOKUP(AK198,坦克个性化设定!$B$18:$E$48,4,FALSE)</f>
        <v>#REF!</v>
      </c>
      <c r="BD198" s="357" t="e">
        <f t="shared" ca="1" si="142"/>
        <v>#REF!</v>
      </c>
      <c r="BF198" s="357" t="str">
        <f t="shared" ca="1" si="136"/>
        <v/>
      </c>
      <c r="BG198" s="372" t="str">
        <f ca="1">IFERROR(VLOOKUP(BF198,坦克个性化设定!$B$18:$F$48,5,FALSE),"")</f>
        <v/>
      </c>
      <c r="BH198" s="372" t="e">
        <f t="shared" ca="1" si="143"/>
        <v>#REF!</v>
      </c>
      <c r="BI198" s="372" t="e">
        <f t="shared" ca="1" si="144"/>
        <v>#REF!</v>
      </c>
      <c r="BJ198" s="364" t="str">
        <f t="shared" ca="1" si="137"/>
        <v>NULL</v>
      </c>
      <c r="BK198" s="372" t="e">
        <f ca="1">VLOOKUP($BF198&amp;IF($BJ198="NULL",0,$BJ198),所有坦克升星属性,MATCH(BK$3,所有坦克升星属性标头,0),FALSE)+ROUND(BP198/VLOOKUP($BF198,坦克部件!#REF!,4,FALSE)*VLOOKUP($BF198&amp;0,所有坦克升星属性,MATCH(BK$3,所有坦克升星属性标头,0),FALSE),0)</f>
        <v>#N/A</v>
      </c>
      <c r="BL198" s="372" t="e">
        <f ca="1">VLOOKUP($BF198&amp;IF($BJ198="NULL",0,$BJ198),所有坦克升星属性,MATCH(BL$3,所有坦克升星属性标头,0),FALSE)+ROUND(BQ198/VLOOKUP($BF198,坦克部件!#REF!,4,FALSE)*VLOOKUP($BF198&amp;0,所有坦克升星属性,MATCH(BL$3,所有坦克升星属性标头,0),FALSE),0)</f>
        <v>#N/A</v>
      </c>
      <c r="BM198" s="372" t="e">
        <f t="shared" ca="1" si="123"/>
        <v>#N/A</v>
      </c>
      <c r="BN198" s="372" t="e">
        <f t="shared" ca="1" si="123"/>
        <v>#N/A</v>
      </c>
      <c r="BO198" s="372" t="e">
        <f ca="1">VLOOKUP($BF198&amp;IF($BJ198="NULL",0,$BJ198),所有坦克升星属性,MATCH(BO$3,所有坦克升星属性标头,0),FALSE)+ROUND(BR198/VLOOKUP($BF198,坦克部件!#REF!,4,FALSE)*VLOOKUP($BF198&amp;0,所有坦克升星属性,MATCH(BO$3,所有坦克升星属性标头,0),FALSE),0)</f>
        <v>#N/A</v>
      </c>
      <c r="BP198" s="372" t="e">
        <f ca="1">(VLOOKUP($BH198,坦克部件!#REF!,MATCH("标准值",坦克部件!#REF!,0),FALSE)+VLOOKUP($BI198,坦克部件!#REF!,MATCH("标准值",坦克部件!#REF!,0),FALSE))*2</f>
        <v>#REF!</v>
      </c>
      <c r="BQ198" s="372" t="e">
        <f ca="1">(VLOOKUP($BH198,坦克部件!#REF!,MATCH("标准值",坦克部件!#REF!,0),FALSE)+VLOOKUP($BI198,坦克部件!#REF!,MATCH("标准值",坦克部件!#REF!,0),FALSE))*2</f>
        <v>#REF!</v>
      </c>
      <c r="BR198" s="372" t="e">
        <f ca="1">(VLOOKUP($BH198,坦克部件!#REF!,MATCH("标准值",坦克部件!#REF!,0),FALSE)+VLOOKUP($BI198,坦克部件!#REF!,MATCH("标准值",坦克部件!#REF!,0),FALSE))*2</f>
        <v>#REF!</v>
      </c>
      <c r="BS198" s="372" t="e">
        <f ca="1">VLOOKUP($BF198,坦克属性统计!$B$3:$AY$33,MATCH(BS$3,坦克属性统计!$B$3:$AY$3,0),FALSE)</f>
        <v>#N/A</v>
      </c>
      <c r="BT198" s="372" t="e">
        <f t="shared" ca="1" si="124"/>
        <v>#N/A</v>
      </c>
      <c r="BU198" s="372" t="e">
        <f t="shared" ca="1" si="124"/>
        <v>#N/A</v>
      </c>
      <c r="BV198" s="372" t="e">
        <f t="shared" ca="1" si="124"/>
        <v>#N/A</v>
      </c>
      <c r="BW198" s="356">
        <f t="shared" ca="1" si="138"/>
        <v>0</v>
      </c>
      <c r="BX198" s="356" t="e">
        <f ca="1">VLOOKUP(BF198,坦克个性化设定!$B$18:$E$48,4,FALSE)</f>
        <v>#N/A</v>
      </c>
      <c r="BY198" s="357" t="e">
        <f t="shared" ca="1" si="145"/>
        <v>#N/A</v>
      </c>
    </row>
    <row r="199" spans="15:77" x14ac:dyDescent="0.35">
      <c r="O199" s="365">
        <v>196</v>
      </c>
      <c r="P199" s="360" t="e">
        <f t="shared" ca="1" si="115"/>
        <v>#REF!</v>
      </c>
      <c r="Q199" s="360" t="e">
        <f ca="1">ROUND(MIN((BD199-VLOOKUP(R199,$B$22:$F$46,2,FALSE))/(VLOOKUP(R199,$B$22:$F$46,3,FALSE)-VLOOKUP(R199,$B$22:$F$46,2,FALSE)),1)*((VLOOKUP(R199,$B$22:$F$46,4,FALSE)*(AG199/(AG199+VLOOKUP(P199,$D$49:$F$123,3,TRUE)))+VLOOKUP(R199,$B$22:$F$46,5,FALSE)*(1-AG199/(AG199+VLOOKUP(P199,$D$49:$F$123,3,TRUE))))/2)*游戏时长规划!$C$4,0)</f>
        <v>#REF!</v>
      </c>
      <c r="R199" s="360" t="e">
        <f t="shared" ca="1" si="125"/>
        <v>#REF!</v>
      </c>
      <c r="S199" s="360" t="e">
        <f t="shared" ref="S199:S262" ca="1" si="146">VLOOKUP(R199,$H$16:$I$28,2,FALSE)</f>
        <v>#REF!</v>
      </c>
      <c r="T199" s="360" t="e">
        <f t="shared" ca="1" si="116"/>
        <v>#REF!</v>
      </c>
      <c r="U199" s="370" t="e">
        <f t="shared" ca="1" si="126"/>
        <v>#REF!</v>
      </c>
      <c r="V199" s="363" t="e">
        <f t="shared" ref="V199:V262" ca="1" si="147">VLOOKUP(U199,$H$46:$L$76,5,FALSE)</f>
        <v>#REF!</v>
      </c>
      <c r="W199" s="360" t="e">
        <f t="shared" ca="1" si="127"/>
        <v>#REF!</v>
      </c>
      <c r="X199" s="81" t="e">
        <f t="shared" ca="1" si="139"/>
        <v>#REF!</v>
      </c>
      <c r="Y199" s="360" t="str">
        <f t="shared" ca="1" si="128"/>
        <v>NULL</v>
      </c>
      <c r="Z199" s="375" t="e">
        <f t="shared" ca="1" si="140"/>
        <v>#REF!</v>
      </c>
      <c r="AA199" s="360">
        <f ca="1">IFERROR(VLOOKUP(IF(V199="T1低",游戏时长规划!$C$67+Z199,Z199),INDIRECT(V199&amp;"星级"),2,TRUE),0)</f>
        <v>0</v>
      </c>
      <c r="AB199" s="375" t="e">
        <f t="shared" ca="1" si="129"/>
        <v>#REF!</v>
      </c>
      <c r="AC199" s="375">
        <f ca="1">($D$14+$D$17)*$L$4/坦克部件养成!$C$2+AC198-IFERROR(IF(RIGHT(AD198,3)*1&gt;RIGHT(VLOOKUP(AC198,INDIRECT(LEFT(AD197,2)&amp;"部件升阶"),5,TRUE),3)*1,VLOOKUP(AD197,INDIRECT(LEFT(AD197,2)&amp;"部件升阶消耗"),2,FALSE),0),0)</f>
        <v>2319.3333333333317</v>
      </c>
      <c r="AD199" s="360" t="e">
        <f t="shared" ca="1" si="130"/>
        <v>#REF!</v>
      </c>
      <c r="AE199" s="375" t="e">
        <f ca="1">$D$15*$L$4/坦克部件养成!$C$2+AE198-IF(LEFT(AD199,2)&lt;&gt;LEFT(AD198,2),VLOOKUP(AF198,INDIRECT(LEFT(AD198,2)&amp;"部件升级消耗"),5,FALSE),0)</f>
        <v>#REF!</v>
      </c>
      <c r="AF199" s="360" t="e">
        <f ca="1">MIN(VLOOKUP(AE199,INDIRECT(LEFT(AD199,2)&amp;"部件升级"),2,TRUE),VLOOKUP(LEFT(AD199,2),坦克部件养成!#REF!,6,FALSE))</f>
        <v>#REF!</v>
      </c>
      <c r="AG199" s="378" t="e">
        <f ca="1">MAX(BD$4:BD199)</f>
        <v>#REF!</v>
      </c>
      <c r="AH199" s="378" t="str">
        <f t="shared" ca="1" si="131"/>
        <v/>
      </c>
      <c r="AI199" s="378">
        <f ca="1">IF(Y199="NULL",0,MAX(BY$4:BY199))</f>
        <v>0</v>
      </c>
      <c r="AK199" s="364" t="e">
        <f t="shared" ca="1" si="132"/>
        <v>#REF!</v>
      </c>
      <c r="AL199" s="364" t="e">
        <f ca="1">VLOOKUP(AK199,坦克个性化设定!$B$18:$F$48,5,FALSE)</f>
        <v>#REF!</v>
      </c>
      <c r="AM199" s="372" t="e">
        <f t="shared" ca="1" si="133"/>
        <v>#REF!</v>
      </c>
      <c r="AN199" s="372" t="e">
        <f t="shared" ca="1" si="141"/>
        <v>#REF!</v>
      </c>
      <c r="AO199" s="364">
        <f t="shared" ca="1" si="134"/>
        <v>0</v>
      </c>
      <c r="AP199" s="372" t="e">
        <f ca="1">VLOOKUP($AK199&amp;$AO199,所有坦克升星属性,MATCH(AP$3,所有坦克升星属性标头,0),FALSE)+ROUND(AU199/VLOOKUP($AK199,坦克部件!#REF!,4,FALSE)*VLOOKUP($AK199&amp;0,所有坦克升星属性,MATCH(AP$3,所有坦克升星属性标头,0),FALSE),0)</f>
        <v>#REF!</v>
      </c>
      <c r="AQ199" s="372" t="e">
        <f ca="1">VLOOKUP($AK199&amp;$AO199,所有坦克升星属性,MATCH(AQ$3,所有坦克升星属性标头,0),FALSE)+ROUND(AV199/VLOOKUP($AK199,坦克部件!#REF!,4,FALSE)*VLOOKUP($AK199&amp;0,所有坦克升星属性,MATCH(AQ$3,所有坦克升星属性标头,0),FALSE),0)</f>
        <v>#REF!</v>
      </c>
      <c r="AR199" s="372" t="e">
        <f t="shared" ca="1" si="121"/>
        <v>#REF!</v>
      </c>
      <c r="AS199" s="372" t="e">
        <f t="shared" ca="1" si="121"/>
        <v>#REF!</v>
      </c>
      <c r="AT199" s="372" t="e">
        <f ca="1">VLOOKUP($AK199&amp;$AO199,所有坦克升星属性,MATCH(AT$3,所有坦克升星属性标头,0),FALSE)+ROUND(AW199/VLOOKUP($AK199,坦克部件!#REF!,4,FALSE)*VLOOKUP($AK199&amp;0,所有坦克升星属性,MATCH(AT$3,所有坦克升星属性标头,0),FALSE),0)</f>
        <v>#REF!</v>
      </c>
      <c r="AU199" s="372" t="e">
        <f ca="1">(VLOOKUP($AM199,坦克部件!#REF!,MATCH("标准值",坦克部件!#REF!,0),FALSE)+VLOOKUP($AN199,坦克部件!#REF!,MATCH("标准值",坦克部件!#REF!,0),FALSE))*2</f>
        <v>#REF!</v>
      </c>
      <c r="AV199" s="372" t="e">
        <f ca="1">(VLOOKUP($AM199,坦克部件!#REF!,MATCH("标准值",坦克部件!#REF!,0),FALSE)+VLOOKUP($AN199,坦克部件!#REF!,MATCH("标准值",坦克部件!#REF!,0),FALSE))*2</f>
        <v>#REF!</v>
      </c>
      <c r="AW199" s="372" t="e">
        <f ca="1">(VLOOKUP($AM199,坦克部件!#REF!,MATCH("标准值",坦克部件!#REF!,0),FALSE)+VLOOKUP($AN199,坦克部件!#REF!,MATCH("标准值",坦克部件!#REF!,0),FALSE))*2</f>
        <v>#REF!</v>
      </c>
      <c r="AX199" s="372" t="e">
        <f ca="1">VLOOKUP($AK199,坦克属性统计!$B$3:$AY$33,MATCH(AX$3,坦克属性统计!$B$3:$AY$3,0),FALSE)</f>
        <v>#REF!</v>
      </c>
      <c r="AY199" s="372" t="e">
        <f t="shared" ca="1" si="122"/>
        <v>#REF!</v>
      </c>
      <c r="AZ199" s="372" t="e">
        <f t="shared" ca="1" si="122"/>
        <v>#REF!</v>
      </c>
      <c r="BA199" s="372" t="e">
        <f t="shared" ca="1" si="122"/>
        <v>#REF!</v>
      </c>
      <c r="BB199" s="356" t="e">
        <f t="shared" ca="1" si="135"/>
        <v>#REF!</v>
      </c>
      <c r="BC199" s="356" t="e">
        <f ca="1">VLOOKUP(AK199,坦克个性化设定!$B$18:$E$48,4,FALSE)</f>
        <v>#REF!</v>
      </c>
      <c r="BD199" s="357" t="e">
        <f t="shared" ca="1" si="142"/>
        <v>#REF!</v>
      </c>
      <c r="BF199" s="357" t="str">
        <f t="shared" ca="1" si="136"/>
        <v/>
      </c>
      <c r="BG199" s="372" t="str">
        <f ca="1">IFERROR(VLOOKUP(BF199,坦克个性化设定!$B$18:$F$48,5,FALSE),"")</f>
        <v/>
      </c>
      <c r="BH199" s="372" t="e">
        <f t="shared" ca="1" si="143"/>
        <v>#REF!</v>
      </c>
      <c r="BI199" s="372" t="e">
        <f t="shared" ca="1" si="144"/>
        <v>#REF!</v>
      </c>
      <c r="BJ199" s="364" t="str">
        <f t="shared" ca="1" si="137"/>
        <v>NULL</v>
      </c>
      <c r="BK199" s="372" t="e">
        <f ca="1">VLOOKUP($BF199&amp;IF($BJ199="NULL",0,$BJ199),所有坦克升星属性,MATCH(BK$3,所有坦克升星属性标头,0),FALSE)+ROUND(BP199/VLOOKUP($BF199,坦克部件!#REF!,4,FALSE)*VLOOKUP($BF199&amp;0,所有坦克升星属性,MATCH(BK$3,所有坦克升星属性标头,0),FALSE),0)</f>
        <v>#N/A</v>
      </c>
      <c r="BL199" s="372" t="e">
        <f ca="1">VLOOKUP($BF199&amp;IF($BJ199="NULL",0,$BJ199),所有坦克升星属性,MATCH(BL$3,所有坦克升星属性标头,0),FALSE)+ROUND(BQ199/VLOOKUP($BF199,坦克部件!#REF!,4,FALSE)*VLOOKUP($BF199&amp;0,所有坦克升星属性,MATCH(BL$3,所有坦克升星属性标头,0),FALSE),0)</f>
        <v>#N/A</v>
      </c>
      <c r="BM199" s="372" t="e">
        <f t="shared" ca="1" si="123"/>
        <v>#N/A</v>
      </c>
      <c r="BN199" s="372" t="e">
        <f t="shared" ca="1" si="123"/>
        <v>#N/A</v>
      </c>
      <c r="BO199" s="372" t="e">
        <f ca="1">VLOOKUP($BF199&amp;IF($BJ199="NULL",0,$BJ199),所有坦克升星属性,MATCH(BO$3,所有坦克升星属性标头,0),FALSE)+ROUND(BR199/VLOOKUP($BF199,坦克部件!#REF!,4,FALSE)*VLOOKUP($BF199&amp;0,所有坦克升星属性,MATCH(BO$3,所有坦克升星属性标头,0),FALSE),0)</f>
        <v>#N/A</v>
      </c>
      <c r="BP199" s="372" t="e">
        <f ca="1">(VLOOKUP($BH199,坦克部件!#REF!,MATCH("标准值",坦克部件!#REF!,0),FALSE)+VLOOKUP($BI199,坦克部件!#REF!,MATCH("标准值",坦克部件!#REF!,0),FALSE))*2</f>
        <v>#REF!</v>
      </c>
      <c r="BQ199" s="372" t="e">
        <f ca="1">(VLOOKUP($BH199,坦克部件!#REF!,MATCH("标准值",坦克部件!#REF!,0),FALSE)+VLOOKUP($BI199,坦克部件!#REF!,MATCH("标准值",坦克部件!#REF!,0),FALSE))*2</f>
        <v>#REF!</v>
      </c>
      <c r="BR199" s="372" t="e">
        <f ca="1">(VLOOKUP($BH199,坦克部件!#REF!,MATCH("标准值",坦克部件!#REF!,0),FALSE)+VLOOKUP($BI199,坦克部件!#REF!,MATCH("标准值",坦克部件!#REF!,0),FALSE))*2</f>
        <v>#REF!</v>
      </c>
      <c r="BS199" s="372" t="e">
        <f ca="1">VLOOKUP($BF199,坦克属性统计!$B$3:$AY$33,MATCH(BS$3,坦克属性统计!$B$3:$AY$3,0),FALSE)</f>
        <v>#N/A</v>
      </c>
      <c r="BT199" s="372" t="e">
        <f t="shared" ca="1" si="124"/>
        <v>#N/A</v>
      </c>
      <c r="BU199" s="372" t="e">
        <f t="shared" ca="1" si="124"/>
        <v>#N/A</v>
      </c>
      <c r="BV199" s="372" t="e">
        <f t="shared" ca="1" si="124"/>
        <v>#N/A</v>
      </c>
      <c r="BW199" s="356">
        <f t="shared" ca="1" si="138"/>
        <v>0</v>
      </c>
      <c r="BX199" s="356" t="e">
        <f ca="1">VLOOKUP(BF199,坦克个性化设定!$B$18:$E$48,4,FALSE)</f>
        <v>#N/A</v>
      </c>
      <c r="BY199" s="357" t="e">
        <f t="shared" ca="1" si="145"/>
        <v>#N/A</v>
      </c>
    </row>
    <row r="200" spans="15:77" x14ac:dyDescent="0.35">
      <c r="O200" s="365">
        <v>197</v>
      </c>
      <c r="P200" s="360" t="e">
        <f t="shared" ca="1" si="115"/>
        <v>#REF!</v>
      </c>
      <c r="Q200" s="360" t="e">
        <f ca="1">ROUND(MIN((BD200-VLOOKUP(R200,$B$22:$F$46,2,FALSE))/(VLOOKUP(R200,$B$22:$F$46,3,FALSE)-VLOOKUP(R200,$B$22:$F$46,2,FALSE)),1)*((VLOOKUP(R200,$B$22:$F$46,4,FALSE)*(AG200/(AG200+VLOOKUP(P200,$D$49:$F$123,3,TRUE)))+VLOOKUP(R200,$B$22:$F$46,5,FALSE)*(1-AG200/(AG200+VLOOKUP(P200,$D$49:$F$123,3,TRUE))))/2)*游戏时长规划!$C$4,0)</f>
        <v>#REF!</v>
      </c>
      <c r="R200" s="360" t="e">
        <f t="shared" ca="1" si="125"/>
        <v>#REF!</v>
      </c>
      <c r="S200" s="360" t="e">
        <f t="shared" ca="1" si="146"/>
        <v>#REF!</v>
      </c>
      <c r="T200" s="360" t="e">
        <f t="shared" ca="1" si="116"/>
        <v>#REF!</v>
      </c>
      <c r="U200" s="370" t="e">
        <f t="shared" ca="1" si="126"/>
        <v>#REF!</v>
      </c>
      <c r="V200" s="363" t="e">
        <f t="shared" ca="1" si="147"/>
        <v>#REF!</v>
      </c>
      <c r="W200" s="360" t="e">
        <f t="shared" ca="1" si="127"/>
        <v>#REF!</v>
      </c>
      <c r="X200" s="81" t="e">
        <f t="shared" ca="1" si="139"/>
        <v>#REF!</v>
      </c>
      <c r="Y200" s="360" t="str">
        <f t="shared" ca="1" si="128"/>
        <v>NULL</v>
      </c>
      <c r="Z200" s="375" t="e">
        <f t="shared" ca="1" si="140"/>
        <v>#REF!</v>
      </c>
      <c r="AA200" s="360">
        <f ca="1">IFERROR(VLOOKUP(IF(V200="T1低",游戏时长规划!$C$67+Z200,Z200),INDIRECT(V200&amp;"星级"),2,TRUE),0)</f>
        <v>0</v>
      </c>
      <c r="AB200" s="375" t="e">
        <f t="shared" ca="1" si="129"/>
        <v>#REF!</v>
      </c>
      <c r="AC200" s="375">
        <f ca="1">($D$14+$D$17)*$L$4/坦克部件养成!$C$2+AC199-IFERROR(IF(RIGHT(AD199,3)*1&gt;RIGHT(VLOOKUP(AC199,INDIRECT(LEFT(AD198,2)&amp;"部件升阶"),5,TRUE),3)*1,VLOOKUP(AD198,INDIRECT(LEFT(AD198,2)&amp;"部件升阶消耗"),2,FALSE),0),0)</f>
        <v>2331.1666666666652</v>
      </c>
      <c r="AD200" s="360" t="e">
        <f t="shared" ca="1" si="130"/>
        <v>#REF!</v>
      </c>
      <c r="AE200" s="375" t="e">
        <f ca="1">$D$15*$L$4/坦克部件养成!$C$2+AE199-IF(LEFT(AD200,2)&lt;&gt;LEFT(AD199,2),VLOOKUP(AF199,INDIRECT(LEFT(AD199,2)&amp;"部件升级消耗"),5,FALSE),0)</f>
        <v>#REF!</v>
      </c>
      <c r="AF200" s="360" t="e">
        <f ca="1">MIN(VLOOKUP(AE200,INDIRECT(LEFT(AD200,2)&amp;"部件升级"),2,TRUE),VLOOKUP(LEFT(AD200,2),坦克部件养成!#REF!,6,FALSE))</f>
        <v>#REF!</v>
      </c>
      <c r="AG200" s="378" t="e">
        <f ca="1">MAX(BD$4:BD200)</f>
        <v>#REF!</v>
      </c>
      <c r="AH200" s="378" t="str">
        <f t="shared" ca="1" si="131"/>
        <v/>
      </c>
      <c r="AI200" s="378">
        <f ca="1">IF(Y200="NULL",0,MAX(BY$4:BY200))</f>
        <v>0</v>
      </c>
      <c r="AK200" s="364" t="e">
        <f t="shared" ca="1" si="132"/>
        <v>#REF!</v>
      </c>
      <c r="AL200" s="364" t="e">
        <f ca="1">VLOOKUP(AK200,坦克个性化设定!$B$18:$F$48,5,FALSE)</f>
        <v>#REF!</v>
      </c>
      <c r="AM200" s="372" t="e">
        <f t="shared" ca="1" si="133"/>
        <v>#REF!</v>
      </c>
      <c r="AN200" s="372" t="e">
        <f t="shared" ca="1" si="141"/>
        <v>#REF!</v>
      </c>
      <c r="AO200" s="364">
        <f t="shared" ca="1" si="134"/>
        <v>0</v>
      </c>
      <c r="AP200" s="372" t="e">
        <f ca="1">VLOOKUP($AK200&amp;$AO200,所有坦克升星属性,MATCH(AP$3,所有坦克升星属性标头,0),FALSE)+ROUND(AU200/VLOOKUP($AK200,坦克部件!#REF!,4,FALSE)*VLOOKUP($AK200&amp;0,所有坦克升星属性,MATCH(AP$3,所有坦克升星属性标头,0),FALSE),0)</f>
        <v>#REF!</v>
      </c>
      <c r="AQ200" s="372" t="e">
        <f ca="1">VLOOKUP($AK200&amp;$AO200,所有坦克升星属性,MATCH(AQ$3,所有坦克升星属性标头,0),FALSE)+ROUND(AV200/VLOOKUP($AK200,坦克部件!#REF!,4,FALSE)*VLOOKUP($AK200&amp;0,所有坦克升星属性,MATCH(AQ$3,所有坦克升星属性标头,0),FALSE),0)</f>
        <v>#REF!</v>
      </c>
      <c r="AR200" s="372" t="e">
        <f t="shared" ca="1" si="121"/>
        <v>#REF!</v>
      </c>
      <c r="AS200" s="372" t="e">
        <f t="shared" ca="1" si="121"/>
        <v>#REF!</v>
      </c>
      <c r="AT200" s="372" t="e">
        <f ca="1">VLOOKUP($AK200&amp;$AO200,所有坦克升星属性,MATCH(AT$3,所有坦克升星属性标头,0),FALSE)+ROUND(AW200/VLOOKUP($AK200,坦克部件!#REF!,4,FALSE)*VLOOKUP($AK200&amp;0,所有坦克升星属性,MATCH(AT$3,所有坦克升星属性标头,0),FALSE),0)</f>
        <v>#REF!</v>
      </c>
      <c r="AU200" s="372" t="e">
        <f ca="1">(VLOOKUP($AM200,坦克部件!#REF!,MATCH("标准值",坦克部件!#REF!,0),FALSE)+VLOOKUP($AN200,坦克部件!#REF!,MATCH("标准值",坦克部件!#REF!,0),FALSE))*2</f>
        <v>#REF!</v>
      </c>
      <c r="AV200" s="372" t="e">
        <f ca="1">(VLOOKUP($AM200,坦克部件!#REF!,MATCH("标准值",坦克部件!#REF!,0),FALSE)+VLOOKUP($AN200,坦克部件!#REF!,MATCH("标准值",坦克部件!#REF!,0),FALSE))*2</f>
        <v>#REF!</v>
      </c>
      <c r="AW200" s="372" t="e">
        <f ca="1">(VLOOKUP($AM200,坦克部件!#REF!,MATCH("标准值",坦克部件!#REF!,0),FALSE)+VLOOKUP($AN200,坦克部件!#REF!,MATCH("标准值",坦克部件!#REF!,0),FALSE))*2</f>
        <v>#REF!</v>
      </c>
      <c r="AX200" s="372" t="e">
        <f ca="1">VLOOKUP($AK200,坦克属性统计!$B$3:$AY$33,MATCH(AX$3,坦克属性统计!$B$3:$AY$3,0),FALSE)</f>
        <v>#REF!</v>
      </c>
      <c r="AY200" s="372" t="e">
        <f t="shared" ca="1" si="122"/>
        <v>#REF!</v>
      </c>
      <c r="AZ200" s="372" t="e">
        <f t="shared" ca="1" si="122"/>
        <v>#REF!</v>
      </c>
      <c r="BA200" s="372" t="e">
        <f t="shared" ca="1" si="122"/>
        <v>#REF!</v>
      </c>
      <c r="BB200" s="356" t="e">
        <f t="shared" ca="1" si="135"/>
        <v>#REF!</v>
      </c>
      <c r="BC200" s="356" t="e">
        <f ca="1">VLOOKUP(AK200,坦克个性化设定!$B$18:$E$48,4,FALSE)</f>
        <v>#REF!</v>
      </c>
      <c r="BD200" s="357" t="e">
        <f t="shared" ca="1" si="142"/>
        <v>#REF!</v>
      </c>
      <c r="BF200" s="357" t="str">
        <f t="shared" ca="1" si="136"/>
        <v/>
      </c>
      <c r="BG200" s="372" t="str">
        <f ca="1">IFERROR(VLOOKUP(BF200,坦克个性化设定!$B$18:$F$48,5,FALSE),"")</f>
        <v/>
      </c>
      <c r="BH200" s="372" t="e">
        <f t="shared" ca="1" si="143"/>
        <v>#REF!</v>
      </c>
      <c r="BI200" s="372" t="e">
        <f t="shared" ca="1" si="144"/>
        <v>#REF!</v>
      </c>
      <c r="BJ200" s="364" t="str">
        <f t="shared" ca="1" si="137"/>
        <v>NULL</v>
      </c>
      <c r="BK200" s="372" t="e">
        <f ca="1">VLOOKUP($BF200&amp;IF($BJ200="NULL",0,$BJ200),所有坦克升星属性,MATCH(BK$3,所有坦克升星属性标头,0),FALSE)+ROUND(BP200/VLOOKUP($BF200,坦克部件!#REF!,4,FALSE)*VLOOKUP($BF200&amp;0,所有坦克升星属性,MATCH(BK$3,所有坦克升星属性标头,0),FALSE),0)</f>
        <v>#N/A</v>
      </c>
      <c r="BL200" s="372" t="e">
        <f ca="1">VLOOKUP($BF200&amp;IF($BJ200="NULL",0,$BJ200),所有坦克升星属性,MATCH(BL$3,所有坦克升星属性标头,0),FALSE)+ROUND(BQ200/VLOOKUP($BF200,坦克部件!#REF!,4,FALSE)*VLOOKUP($BF200&amp;0,所有坦克升星属性,MATCH(BL$3,所有坦克升星属性标头,0),FALSE),0)</f>
        <v>#N/A</v>
      </c>
      <c r="BM200" s="372" t="e">
        <f t="shared" ca="1" si="123"/>
        <v>#N/A</v>
      </c>
      <c r="BN200" s="372" t="e">
        <f t="shared" ca="1" si="123"/>
        <v>#N/A</v>
      </c>
      <c r="BO200" s="372" t="e">
        <f ca="1">VLOOKUP($BF200&amp;IF($BJ200="NULL",0,$BJ200),所有坦克升星属性,MATCH(BO$3,所有坦克升星属性标头,0),FALSE)+ROUND(BR200/VLOOKUP($BF200,坦克部件!#REF!,4,FALSE)*VLOOKUP($BF200&amp;0,所有坦克升星属性,MATCH(BO$3,所有坦克升星属性标头,0),FALSE),0)</f>
        <v>#N/A</v>
      </c>
      <c r="BP200" s="372" t="e">
        <f ca="1">(VLOOKUP($BH200,坦克部件!#REF!,MATCH("标准值",坦克部件!#REF!,0),FALSE)+VLOOKUP($BI200,坦克部件!#REF!,MATCH("标准值",坦克部件!#REF!,0),FALSE))*2</f>
        <v>#REF!</v>
      </c>
      <c r="BQ200" s="372" t="e">
        <f ca="1">(VLOOKUP($BH200,坦克部件!#REF!,MATCH("标准值",坦克部件!#REF!,0),FALSE)+VLOOKUP($BI200,坦克部件!#REF!,MATCH("标准值",坦克部件!#REF!,0),FALSE))*2</f>
        <v>#REF!</v>
      </c>
      <c r="BR200" s="372" t="e">
        <f ca="1">(VLOOKUP($BH200,坦克部件!#REF!,MATCH("标准值",坦克部件!#REF!,0),FALSE)+VLOOKUP($BI200,坦克部件!#REF!,MATCH("标准值",坦克部件!#REF!,0),FALSE))*2</f>
        <v>#REF!</v>
      </c>
      <c r="BS200" s="372" t="e">
        <f ca="1">VLOOKUP($BF200,坦克属性统计!$B$3:$AY$33,MATCH(BS$3,坦克属性统计!$B$3:$AY$3,0),FALSE)</f>
        <v>#N/A</v>
      </c>
      <c r="BT200" s="372" t="e">
        <f t="shared" ca="1" si="124"/>
        <v>#N/A</v>
      </c>
      <c r="BU200" s="372" t="e">
        <f t="shared" ca="1" si="124"/>
        <v>#N/A</v>
      </c>
      <c r="BV200" s="372" t="e">
        <f t="shared" ca="1" si="124"/>
        <v>#N/A</v>
      </c>
      <c r="BW200" s="356">
        <f t="shared" ca="1" si="138"/>
        <v>0</v>
      </c>
      <c r="BX200" s="356" t="e">
        <f ca="1">VLOOKUP(BF200,坦克个性化设定!$B$18:$E$48,4,FALSE)</f>
        <v>#N/A</v>
      </c>
      <c r="BY200" s="357" t="e">
        <f t="shared" ca="1" si="145"/>
        <v>#N/A</v>
      </c>
    </row>
    <row r="201" spans="15:77" x14ac:dyDescent="0.35">
      <c r="O201" s="365">
        <v>198</v>
      </c>
      <c r="P201" s="360" t="e">
        <f t="shared" ca="1" si="115"/>
        <v>#REF!</v>
      </c>
      <c r="Q201" s="360" t="e">
        <f ca="1">ROUND(MIN((BD201-VLOOKUP(R201,$B$22:$F$46,2,FALSE))/(VLOOKUP(R201,$B$22:$F$46,3,FALSE)-VLOOKUP(R201,$B$22:$F$46,2,FALSE)),1)*((VLOOKUP(R201,$B$22:$F$46,4,FALSE)*(AG201/(AG201+VLOOKUP(P201,$D$49:$F$123,3,TRUE)))+VLOOKUP(R201,$B$22:$F$46,5,FALSE)*(1-AG201/(AG201+VLOOKUP(P201,$D$49:$F$123,3,TRUE))))/2)*游戏时长规划!$C$4,0)</f>
        <v>#REF!</v>
      </c>
      <c r="R201" s="360" t="e">
        <f t="shared" ca="1" si="125"/>
        <v>#REF!</v>
      </c>
      <c r="S201" s="360" t="e">
        <f t="shared" ca="1" si="146"/>
        <v>#REF!</v>
      </c>
      <c r="T201" s="360" t="e">
        <f t="shared" ca="1" si="116"/>
        <v>#REF!</v>
      </c>
      <c r="U201" s="370" t="e">
        <f t="shared" ca="1" si="126"/>
        <v>#REF!</v>
      </c>
      <c r="V201" s="363" t="e">
        <f t="shared" ca="1" si="147"/>
        <v>#REF!</v>
      </c>
      <c r="W201" s="360" t="e">
        <f t="shared" ca="1" si="127"/>
        <v>#REF!</v>
      </c>
      <c r="X201" s="81" t="e">
        <f t="shared" ca="1" si="139"/>
        <v>#REF!</v>
      </c>
      <c r="Y201" s="360" t="str">
        <f t="shared" ca="1" si="128"/>
        <v>NULL</v>
      </c>
      <c r="Z201" s="375" t="e">
        <f t="shared" ca="1" si="140"/>
        <v>#REF!</v>
      </c>
      <c r="AA201" s="360">
        <f ca="1">IFERROR(VLOOKUP(IF(V201="T1低",游戏时长规划!$C$67+Z201,Z201),INDIRECT(V201&amp;"星级"),2,TRUE),0)</f>
        <v>0</v>
      </c>
      <c r="AB201" s="375" t="e">
        <f t="shared" ca="1" si="129"/>
        <v>#REF!</v>
      </c>
      <c r="AC201" s="375">
        <f ca="1">($D$14+$D$17)*$L$4/坦克部件养成!$C$2+AC200-IFERROR(IF(RIGHT(AD200,3)*1&gt;RIGHT(VLOOKUP(AC200,INDIRECT(LEFT(AD199,2)&amp;"部件升阶"),5,TRUE),3)*1,VLOOKUP(AD199,INDIRECT(LEFT(AD199,2)&amp;"部件升阶消耗"),2,FALSE),0),0)</f>
        <v>2342.9999999999986</v>
      </c>
      <c r="AD201" s="360" t="e">
        <f t="shared" ca="1" si="130"/>
        <v>#REF!</v>
      </c>
      <c r="AE201" s="375" t="e">
        <f ca="1">$D$15*$L$4/坦克部件养成!$C$2+AE200-IF(LEFT(AD201,2)&lt;&gt;LEFT(AD200,2),VLOOKUP(AF200,INDIRECT(LEFT(AD200,2)&amp;"部件升级消耗"),5,FALSE),0)</f>
        <v>#REF!</v>
      </c>
      <c r="AF201" s="360" t="e">
        <f ca="1">MIN(VLOOKUP(AE201,INDIRECT(LEFT(AD201,2)&amp;"部件升级"),2,TRUE),VLOOKUP(LEFT(AD201,2),坦克部件养成!#REF!,6,FALSE))</f>
        <v>#REF!</v>
      </c>
      <c r="AG201" s="378" t="e">
        <f ca="1">MAX(BD$4:BD201)</f>
        <v>#REF!</v>
      </c>
      <c r="AH201" s="378" t="str">
        <f t="shared" ca="1" si="131"/>
        <v/>
      </c>
      <c r="AI201" s="378">
        <f ca="1">IF(Y201="NULL",0,MAX(BY$4:BY201))</f>
        <v>0</v>
      </c>
      <c r="AK201" s="364" t="e">
        <f t="shared" ca="1" si="132"/>
        <v>#REF!</v>
      </c>
      <c r="AL201" s="364" t="e">
        <f ca="1">VLOOKUP(AK201,坦克个性化设定!$B$18:$F$48,5,FALSE)</f>
        <v>#REF!</v>
      </c>
      <c r="AM201" s="372" t="e">
        <f t="shared" ca="1" si="133"/>
        <v>#REF!</v>
      </c>
      <c r="AN201" s="372" t="e">
        <f t="shared" ca="1" si="141"/>
        <v>#REF!</v>
      </c>
      <c r="AO201" s="364">
        <f t="shared" ca="1" si="134"/>
        <v>0</v>
      </c>
      <c r="AP201" s="372" t="e">
        <f ca="1">VLOOKUP($AK201&amp;$AO201,所有坦克升星属性,MATCH(AP$3,所有坦克升星属性标头,0),FALSE)+ROUND(AU201/VLOOKUP($AK201,坦克部件!#REF!,4,FALSE)*VLOOKUP($AK201&amp;0,所有坦克升星属性,MATCH(AP$3,所有坦克升星属性标头,0),FALSE),0)</f>
        <v>#REF!</v>
      </c>
      <c r="AQ201" s="372" t="e">
        <f ca="1">VLOOKUP($AK201&amp;$AO201,所有坦克升星属性,MATCH(AQ$3,所有坦克升星属性标头,0),FALSE)+ROUND(AV201/VLOOKUP($AK201,坦克部件!#REF!,4,FALSE)*VLOOKUP($AK201&amp;0,所有坦克升星属性,MATCH(AQ$3,所有坦克升星属性标头,0),FALSE),0)</f>
        <v>#REF!</v>
      </c>
      <c r="AR201" s="372" t="e">
        <f t="shared" ca="1" si="121"/>
        <v>#REF!</v>
      </c>
      <c r="AS201" s="372" t="e">
        <f t="shared" ca="1" si="121"/>
        <v>#REF!</v>
      </c>
      <c r="AT201" s="372" t="e">
        <f ca="1">VLOOKUP($AK201&amp;$AO201,所有坦克升星属性,MATCH(AT$3,所有坦克升星属性标头,0),FALSE)+ROUND(AW201/VLOOKUP($AK201,坦克部件!#REF!,4,FALSE)*VLOOKUP($AK201&amp;0,所有坦克升星属性,MATCH(AT$3,所有坦克升星属性标头,0),FALSE),0)</f>
        <v>#REF!</v>
      </c>
      <c r="AU201" s="372" t="e">
        <f ca="1">(VLOOKUP($AM201,坦克部件!#REF!,MATCH("标准值",坦克部件!#REF!,0),FALSE)+VLOOKUP($AN201,坦克部件!#REF!,MATCH("标准值",坦克部件!#REF!,0),FALSE))*2</f>
        <v>#REF!</v>
      </c>
      <c r="AV201" s="372" t="e">
        <f ca="1">(VLOOKUP($AM201,坦克部件!#REF!,MATCH("标准值",坦克部件!#REF!,0),FALSE)+VLOOKUP($AN201,坦克部件!#REF!,MATCH("标准值",坦克部件!#REF!,0),FALSE))*2</f>
        <v>#REF!</v>
      </c>
      <c r="AW201" s="372" t="e">
        <f ca="1">(VLOOKUP($AM201,坦克部件!#REF!,MATCH("标准值",坦克部件!#REF!,0),FALSE)+VLOOKUP($AN201,坦克部件!#REF!,MATCH("标准值",坦克部件!#REF!,0),FALSE))*2</f>
        <v>#REF!</v>
      </c>
      <c r="AX201" s="372" t="e">
        <f ca="1">VLOOKUP($AK201,坦克属性统计!$B$3:$AY$33,MATCH(AX$3,坦克属性统计!$B$3:$AY$3,0),FALSE)</f>
        <v>#REF!</v>
      </c>
      <c r="AY201" s="372" t="e">
        <f t="shared" ca="1" si="122"/>
        <v>#REF!</v>
      </c>
      <c r="AZ201" s="372" t="e">
        <f t="shared" ca="1" si="122"/>
        <v>#REF!</v>
      </c>
      <c r="BA201" s="372" t="e">
        <f t="shared" ca="1" si="122"/>
        <v>#REF!</v>
      </c>
      <c r="BB201" s="356" t="e">
        <f t="shared" ca="1" si="135"/>
        <v>#REF!</v>
      </c>
      <c r="BC201" s="356" t="e">
        <f ca="1">VLOOKUP(AK201,坦克个性化设定!$B$18:$E$48,4,FALSE)</f>
        <v>#REF!</v>
      </c>
      <c r="BD201" s="357" t="e">
        <f t="shared" ca="1" si="142"/>
        <v>#REF!</v>
      </c>
      <c r="BF201" s="357" t="str">
        <f t="shared" ca="1" si="136"/>
        <v/>
      </c>
      <c r="BG201" s="372" t="str">
        <f ca="1">IFERROR(VLOOKUP(BF201,坦克个性化设定!$B$18:$F$48,5,FALSE),"")</f>
        <v/>
      </c>
      <c r="BH201" s="372" t="e">
        <f t="shared" ca="1" si="143"/>
        <v>#REF!</v>
      </c>
      <c r="BI201" s="372" t="e">
        <f t="shared" ca="1" si="144"/>
        <v>#REF!</v>
      </c>
      <c r="BJ201" s="364" t="str">
        <f t="shared" ca="1" si="137"/>
        <v>NULL</v>
      </c>
      <c r="BK201" s="372" t="e">
        <f ca="1">VLOOKUP($BF201&amp;IF($BJ201="NULL",0,$BJ201),所有坦克升星属性,MATCH(BK$3,所有坦克升星属性标头,0),FALSE)+ROUND(BP201/VLOOKUP($BF201,坦克部件!#REF!,4,FALSE)*VLOOKUP($BF201&amp;0,所有坦克升星属性,MATCH(BK$3,所有坦克升星属性标头,0),FALSE),0)</f>
        <v>#N/A</v>
      </c>
      <c r="BL201" s="372" t="e">
        <f ca="1">VLOOKUP($BF201&amp;IF($BJ201="NULL",0,$BJ201),所有坦克升星属性,MATCH(BL$3,所有坦克升星属性标头,0),FALSE)+ROUND(BQ201/VLOOKUP($BF201,坦克部件!#REF!,4,FALSE)*VLOOKUP($BF201&amp;0,所有坦克升星属性,MATCH(BL$3,所有坦克升星属性标头,0),FALSE),0)</f>
        <v>#N/A</v>
      </c>
      <c r="BM201" s="372" t="e">
        <f t="shared" ca="1" si="123"/>
        <v>#N/A</v>
      </c>
      <c r="BN201" s="372" t="e">
        <f t="shared" ca="1" si="123"/>
        <v>#N/A</v>
      </c>
      <c r="BO201" s="372" t="e">
        <f ca="1">VLOOKUP($BF201&amp;IF($BJ201="NULL",0,$BJ201),所有坦克升星属性,MATCH(BO$3,所有坦克升星属性标头,0),FALSE)+ROUND(BR201/VLOOKUP($BF201,坦克部件!#REF!,4,FALSE)*VLOOKUP($BF201&amp;0,所有坦克升星属性,MATCH(BO$3,所有坦克升星属性标头,0),FALSE),0)</f>
        <v>#N/A</v>
      </c>
      <c r="BP201" s="372" t="e">
        <f ca="1">(VLOOKUP($BH201,坦克部件!#REF!,MATCH("标准值",坦克部件!#REF!,0),FALSE)+VLOOKUP($BI201,坦克部件!#REF!,MATCH("标准值",坦克部件!#REF!,0),FALSE))*2</f>
        <v>#REF!</v>
      </c>
      <c r="BQ201" s="372" t="e">
        <f ca="1">(VLOOKUP($BH201,坦克部件!#REF!,MATCH("标准值",坦克部件!#REF!,0),FALSE)+VLOOKUP($BI201,坦克部件!#REF!,MATCH("标准值",坦克部件!#REF!,0),FALSE))*2</f>
        <v>#REF!</v>
      </c>
      <c r="BR201" s="372" t="e">
        <f ca="1">(VLOOKUP($BH201,坦克部件!#REF!,MATCH("标准值",坦克部件!#REF!,0),FALSE)+VLOOKUP($BI201,坦克部件!#REF!,MATCH("标准值",坦克部件!#REF!,0),FALSE))*2</f>
        <v>#REF!</v>
      </c>
      <c r="BS201" s="372" t="e">
        <f ca="1">VLOOKUP($BF201,坦克属性统计!$B$3:$AY$33,MATCH(BS$3,坦克属性统计!$B$3:$AY$3,0),FALSE)</f>
        <v>#N/A</v>
      </c>
      <c r="BT201" s="372" t="e">
        <f t="shared" ca="1" si="124"/>
        <v>#N/A</v>
      </c>
      <c r="BU201" s="372" t="e">
        <f t="shared" ca="1" si="124"/>
        <v>#N/A</v>
      </c>
      <c r="BV201" s="372" t="e">
        <f t="shared" ca="1" si="124"/>
        <v>#N/A</v>
      </c>
      <c r="BW201" s="356">
        <f t="shared" ca="1" si="138"/>
        <v>0</v>
      </c>
      <c r="BX201" s="356" t="e">
        <f ca="1">VLOOKUP(BF201,坦克个性化设定!$B$18:$E$48,4,FALSE)</f>
        <v>#N/A</v>
      </c>
      <c r="BY201" s="357" t="e">
        <f t="shared" ca="1" si="145"/>
        <v>#N/A</v>
      </c>
    </row>
    <row r="202" spans="15:77" x14ac:dyDescent="0.35">
      <c r="O202" s="365">
        <v>199</v>
      </c>
      <c r="P202" s="360" t="e">
        <f t="shared" ca="1" si="115"/>
        <v>#REF!</v>
      </c>
      <c r="Q202" s="360" t="e">
        <f ca="1">ROUND(MIN((BD202-VLOOKUP(R202,$B$22:$F$46,2,FALSE))/(VLOOKUP(R202,$B$22:$F$46,3,FALSE)-VLOOKUP(R202,$B$22:$F$46,2,FALSE)),1)*((VLOOKUP(R202,$B$22:$F$46,4,FALSE)*(AG202/(AG202+VLOOKUP(P202,$D$49:$F$123,3,TRUE)))+VLOOKUP(R202,$B$22:$F$46,5,FALSE)*(1-AG202/(AG202+VLOOKUP(P202,$D$49:$F$123,3,TRUE))))/2)*游戏时长规划!$C$4,0)</f>
        <v>#REF!</v>
      </c>
      <c r="R202" s="360" t="e">
        <f t="shared" ca="1" si="125"/>
        <v>#REF!</v>
      </c>
      <c r="S202" s="360" t="e">
        <f t="shared" ca="1" si="146"/>
        <v>#REF!</v>
      </c>
      <c r="T202" s="360" t="e">
        <f t="shared" ca="1" si="116"/>
        <v>#REF!</v>
      </c>
      <c r="U202" s="370" t="e">
        <f t="shared" ca="1" si="126"/>
        <v>#REF!</v>
      </c>
      <c r="V202" s="363" t="e">
        <f t="shared" ca="1" si="147"/>
        <v>#REF!</v>
      </c>
      <c r="W202" s="360" t="e">
        <f t="shared" ca="1" si="127"/>
        <v>#REF!</v>
      </c>
      <c r="X202" s="81" t="e">
        <f t="shared" ca="1" si="139"/>
        <v>#REF!</v>
      </c>
      <c r="Y202" s="360" t="str">
        <f t="shared" ca="1" si="128"/>
        <v>NULL</v>
      </c>
      <c r="Z202" s="375" t="e">
        <f t="shared" ca="1" si="140"/>
        <v>#REF!</v>
      </c>
      <c r="AA202" s="360">
        <f ca="1">IFERROR(VLOOKUP(IF(V202="T1低",游戏时长规划!$C$67+Z202,Z202),INDIRECT(V202&amp;"星级"),2,TRUE),0)</f>
        <v>0</v>
      </c>
      <c r="AB202" s="375" t="e">
        <f t="shared" ca="1" si="129"/>
        <v>#REF!</v>
      </c>
      <c r="AC202" s="375">
        <f ca="1">($D$14+$D$17)*$L$4/坦克部件养成!$C$2+AC201-IFERROR(IF(RIGHT(AD201,3)*1&gt;RIGHT(VLOOKUP(AC201,INDIRECT(LEFT(AD200,2)&amp;"部件升阶"),5,TRUE),3)*1,VLOOKUP(AD200,INDIRECT(LEFT(AD200,2)&amp;"部件升阶消耗"),2,FALSE),0),0)</f>
        <v>2354.8333333333321</v>
      </c>
      <c r="AD202" s="360" t="e">
        <f t="shared" ca="1" si="130"/>
        <v>#REF!</v>
      </c>
      <c r="AE202" s="375" t="e">
        <f ca="1">$D$15*$L$4/坦克部件养成!$C$2+AE201-IF(LEFT(AD202,2)&lt;&gt;LEFT(AD201,2),VLOOKUP(AF201,INDIRECT(LEFT(AD201,2)&amp;"部件升级消耗"),5,FALSE),0)</f>
        <v>#REF!</v>
      </c>
      <c r="AF202" s="360" t="e">
        <f ca="1">MIN(VLOOKUP(AE202,INDIRECT(LEFT(AD202,2)&amp;"部件升级"),2,TRUE),VLOOKUP(LEFT(AD202,2),坦克部件养成!#REF!,6,FALSE))</f>
        <v>#REF!</v>
      </c>
      <c r="AG202" s="378" t="e">
        <f ca="1">MAX(BD$4:BD202)</f>
        <v>#REF!</v>
      </c>
      <c r="AH202" s="378" t="str">
        <f t="shared" ca="1" si="131"/>
        <v/>
      </c>
      <c r="AI202" s="378">
        <f ca="1">IF(Y202="NULL",0,MAX(BY$4:BY202))</f>
        <v>0</v>
      </c>
      <c r="AK202" s="364" t="e">
        <f t="shared" ca="1" si="132"/>
        <v>#REF!</v>
      </c>
      <c r="AL202" s="364" t="e">
        <f ca="1">VLOOKUP(AK202,坦克个性化设定!$B$18:$F$48,5,FALSE)</f>
        <v>#REF!</v>
      </c>
      <c r="AM202" s="372" t="e">
        <f t="shared" ca="1" si="133"/>
        <v>#REF!</v>
      </c>
      <c r="AN202" s="372" t="e">
        <f t="shared" ca="1" si="141"/>
        <v>#REF!</v>
      </c>
      <c r="AO202" s="364">
        <f t="shared" ca="1" si="134"/>
        <v>0</v>
      </c>
      <c r="AP202" s="372" t="e">
        <f ca="1">VLOOKUP($AK202&amp;$AO202,所有坦克升星属性,MATCH(AP$3,所有坦克升星属性标头,0),FALSE)+ROUND(AU202/VLOOKUP($AK202,坦克部件!#REF!,4,FALSE)*VLOOKUP($AK202&amp;0,所有坦克升星属性,MATCH(AP$3,所有坦克升星属性标头,0),FALSE),0)</f>
        <v>#REF!</v>
      </c>
      <c r="AQ202" s="372" t="e">
        <f ca="1">VLOOKUP($AK202&amp;$AO202,所有坦克升星属性,MATCH(AQ$3,所有坦克升星属性标头,0),FALSE)+ROUND(AV202/VLOOKUP($AK202,坦克部件!#REF!,4,FALSE)*VLOOKUP($AK202&amp;0,所有坦克升星属性,MATCH(AQ$3,所有坦克升星属性标头,0),FALSE),0)</f>
        <v>#REF!</v>
      </c>
      <c r="AR202" s="372" t="e">
        <f t="shared" ca="1" si="121"/>
        <v>#REF!</v>
      </c>
      <c r="AS202" s="372" t="e">
        <f t="shared" ca="1" si="121"/>
        <v>#REF!</v>
      </c>
      <c r="AT202" s="372" t="e">
        <f ca="1">VLOOKUP($AK202&amp;$AO202,所有坦克升星属性,MATCH(AT$3,所有坦克升星属性标头,0),FALSE)+ROUND(AW202/VLOOKUP($AK202,坦克部件!#REF!,4,FALSE)*VLOOKUP($AK202&amp;0,所有坦克升星属性,MATCH(AT$3,所有坦克升星属性标头,0),FALSE),0)</f>
        <v>#REF!</v>
      </c>
      <c r="AU202" s="372" t="e">
        <f ca="1">(VLOOKUP($AM202,坦克部件!#REF!,MATCH("标准值",坦克部件!#REF!,0),FALSE)+VLOOKUP($AN202,坦克部件!#REF!,MATCH("标准值",坦克部件!#REF!,0),FALSE))*2</f>
        <v>#REF!</v>
      </c>
      <c r="AV202" s="372" t="e">
        <f ca="1">(VLOOKUP($AM202,坦克部件!#REF!,MATCH("标准值",坦克部件!#REF!,0),FALSE)+VLOOKUP($AN202,坦克部件!#REF!,MATCH("标准值",坦克部件!#REF!,0),FALSE))*2</f>
        <v>#REF!</v>
      </c>
      <c r="AW202" s="372" t="e">
        <f ca="1">(VLOOKUP($AM202,坦克部件!#REF!,MATCH("标准值",坦克部件!#REF!,0),FALSE)+VLOOKUP($AN202,坦克部件!#REF!,MATCH("标准值",坦克部件!#REF!,0),FALSE))*2</f>
        <v>#REF!</v>
      </c>
      <c r="AX202" s="372" t="e">
        <f ca="1">VLOOKUP($AK202,坦克属性统计!$B$3:$AY$33,MATCH(AX$3,坦克属性统计!$B$3:$AY$3,0),FALSE)</f>
        <v>#REF!</v>
      </c>
      <c r="AY202" s="372" t="e">
        <f t="shared" ca="1" si="122"/>
        <v>#REF!</v>
      </c>
      <c r="AZ202" s="372" t="e">
        <f t="shared" ca="1" si="122"/>
        <v>#REF!</v>
      </c>
      <c r="BA202" s="372" t="e">
        <f t="shared" ca="1" si="122"/>
        <v>#REF!</v>
      </c>
      <c r="BB202" s="356" t="e">
        <f t="shared" ca="1" si="135"/>
        <v>#REF!</v>
      </c>
      <c r="BC202" s="356" t="e">
        <f ca="1">VLOOKUP(AK202,坦克个性化设定!$B$18:$E$48,4,FALSE)</f>
        <v>#REF!</v>
      </c>
      <c r="BD202" s="357" t="e">
        <f t="shared" ca="1" si="142"/>
        <v>#REF!</v>
      </c>
      <c r="BF202" s="357" t="str">
        <f t="shared" ca="1" si="136"/>
        <v/>
      </c>
      <c r="BG202" s="372" t="str">
        <f ca="1">IFERROR(VLOOKUP(BF202,坦克个性化设定!$B$18:$F$48,5,FALSE),"")</f>
        <v/>
      </c>
      <c r="BH202" s="372" t="e">
        <f t="shared" ca="1" si="143"/>
        <v>#REF!</v>
      </c>
      <c r="BI202" s="372" t="e">
        <f t="shared" ca="1" si="144"/>
        <v>#REF!</v>
      </c>
      <c r="BJ202" s="364" t="str">
        <f t="shared" ca="1" si="137"/>
        <v>NULL</v>
      </c>
      <c r="BK202" s="372" t="e">
        <f ca="1">VLOOKUP($BF202&amp;IF($BJ202="NULL",0,$BJ202),所有坦克升星属性,MATCH(BK$3,所有坦克升星属性标头,0),FALSE)+ROUND(BP202/VLOOKUP($BF202,坦克部件!#REF!,4,FALSE)*VLOOKUP($BF202&amp;0,所有坦克升星属性,MATCH(BK$3,所有坦克升星属性标头,0),FALSE),0)</f>
        <v>#N/A</v>
      </c>
      <c r="BL202" s="372" t="e">
        <f ca="1">VLOOKUP($BF202&amp;IF($BJ202="NULL",0,$BJ202),所有坦克升星属性,MATCH(BL$3,所有坦克升星属性标头,0),FALSE)+ROUND(BQ202/VLOOKUP($BF202,坦克部件!#REF!,4,FALSE)*VLOOKUP($BF202&amp;0,所有坦克升星属性,MATCH(BL$3,所有坦克升星属性标头,0),FALSE),0)</f>
        <v>#N/A</v>
      </c>
      <c r="BM202" s="372" t="e">
        <f t="shared" ca="1" si="123"/>
        <v>#N/A</v>
      </c>
      <c r="BN202" s="372" t="e">
        <f t="shared" ca="1" si="123"/>
        <v>#N/A</v>
      </c>
      <c r="BO202" s="372" t="e">
        <f ca="1">VLOOKUP($BF202&amp;IF($BJ202="NULL",0,$BJ202),所有坦克升星属性,MATCH(BO$3,所有坦克升星属性标头,0),FALSE)+ROUND(BR202/VLOOKUP($BF202,坦克部件!#REF!,4,FALSE)*VLOOKUP($BF202&amp;0,所有坦克升星属性,MATCH(BO$3,所有坦克升星属性标头,0),FALSE),0)</f>
        <v>#N/A</v>
      </c>
      <c r="BP202" s="372" t="e">
        <f ca="1">(VLOOKUP($BH202,坦克部件!#REF!,MATCH("标准值",坦克部件!#REF!,0),FALSE)+VLOOKUP($BI202,坦克部件!#REF!,MATCH("标准值",坦克部件!#REF!,0),FALSE))*2</f>
        <v>#REF!</v>
      </c>
      <c r="BQ202" s="372" t="e">
        <f ca="1">(VLOOKUP($BH202,坦克部件!#REF!,MATCH("标准值",坦克部件!#REF!,0),FALSE)+VLOOKUP($BI202,坦克部件!#REF!,MATCH("标准值",坦克部件!#REF!,0),FALSE))*2</f>
        <v>#REF!</v>
      </c>
      <c r="BR202" s="372" t="e">
        <f ca="1">(VLOOKUP($BH202,坦克部件!#REF!,MATCH("标准值",坦克部件!#REF!,0),FALSE)+VLOOKUP($BI202,坦克部件!#REF!,MATCH("标准值",坦克部件!#REF!,0),FALSE))*2</f>
        <v>#REF!</v>
      </c>
      <c r="BS202" s="372" t="e">
        <f ca="1">VLOOKUP($BF202,坦克属性统计!$B$3:$AY$33,MATCH(BS$3,坦克属性统计!$B$3:$AY$3,0),FALSE)</f>
        <v>#N/A</v>
      </c>
      <c r="BT202" s="372" t="e">
        <f t="shared" ca="1" si="124"/>
        <v>#N/A</v>
      </c>
      <c r="BU202" s="372" t="e">
        <f t="shared" ca="1" si="124"/>
        <v>#N/A</v>
      </c>
      <c r="BV202" s="372" t="e">
        <f t="shared" ca="1" si="124"/>
        <v>#N/A</v>
      </c>
      <c r="BW202" s="356">
        <f t="shared" ca="1" si="138"/>
        <v>0</v>
      </c>
      <c r="BX202" s="356" t="e">
        <f ca="1">VLOOKUP(BF202,坦克个性化设定!$B$18:$E$48,4,FALSE)</f>
        <v>#N/A</v>
      </c>
      <c r="BY202" s="357" t="e">
        <f t="shared" ca="1" si="145"/>
        <v>#N/A</v>
      </c>
    </row>
    <row r="203" spans="15:77" x14ac:dyDescent="0.35">
      <c r="O203" s="365">
        <v>200</v>
      </c>
      <c r="P203" s="360" t="e">
        <f t="shared" ca="1" si="115"/>
        <v>#REF!</v>
      </c>
      <c r="Q203" s="360" t="e">
        <f ca="1">ROUND(MIN((BD203-VLOOKUP(R203,$B$22:$F$46,2,FALSE))/(VLOOKUP(R203,$B$22:$F$46,3,FALSE)-VLOOKUP(R203,$B$22:$F$46,2,FALSE)),1)*((VLOOKUP(R203,$B$22:$F$46,4,FALSE)*(AG203/(AG203+VLOOKUP(P203,$D$49:$F$123,3,TRUE)))+VLOOKUP(R203,$B$22:$F$46,5,FALSE)*(1-AG203/(AG203+VLOOKUP(P203,$D$49:$F$123,3,TRUE))))/2)*游戏时长规划!$C$4,0)</f>
        <v>#REF!</v>
      </c>
      <c r="R203" s="360" t="e">
        <f t="shared" ca="1" si="125"/>
        <v>#REF!</v>
      </c>
      <c r="S203" s="360" t="e">
        <f t="shared" ca="1" si="146"/>
        <v>#REF!</v>
      </c>
      <c r="T203" s="360" t="e">
        <f t="shared" ca="1" si="116"/>
        <v>#REF!</v>
      </c>
      <c r="U203" s="370" t="e">
        <f t="shared" ca="1" si="126"/>
        <v>#REF!</v>
      </c>
      <c r="V203" s="363" t="e">
        <f t="shared" ca="1" si="147"/>
        <v>#REF!</v>
      </c>
      <c r="W203" s="360" t="e">
        <f t="shared" ca="1" si="127"/>
        <v>#REF!</v>
      </c>
      <c r="X203" s="81" t="e">
        <f t="shared" ca="1" si="139"/>
        <v>#REF!</v>
      </c>
      <c r="Y203" s="360" t="str">
        <f t="shared" ca="1" si="128"/>
        <v>NULL</v>
      </c>
      <c r="Z203" s="375" t="e">
        <f t="shared" ca="1" si="140"/>
        <v>#REF!</v>
      </c>
      <c r="AA203" s="360">
        <f ca="1">IFERROR(VLOOKUP(IF(V203="T1低",游戏时长规划!$C$67+Z203,Z203),INDIRECT(V203&amp;"星级"),2,TRUE),0)</f>
        <v>0</v>
      </c>
      <c r="AB203" s="375" t="e">
        <f t="shared" ca="1" si="129"/>
        <v>#REF!</v>
      </c>
      <c r="AC203" s="375">
        <f ca="1">($D$14+$D$17)*$L$4/坦克部件养成!$C$2+AC202-IFERROR(IF(RIGHT(AD202,3)*1&gt;RIGHT(VLOOKUP(AC202,INDIRECT(LEFT(AD201,2)&amp;"部件升阶"),5,TRUE),3)*1,VLOOKUP(AD201,INDIRECT(LEFT(AD201,2)&amp;"部件升阶消耗"),2,FALSE),0),0)</f>
        <v>2366.6666666666656</v>
      </c>
      <c r="AD203" s="360" t="e">
        <f t="shared" ca="1" si="130"/>
        <v>#REF!</v>
      </c>
      <c r="AE203" s="375" t="e">
        <f ca="1">$D$15*$L$4/坦克部件养成!$C$2+AE202-IF(LEFT(AD203,2)&lt;&gt;LEFT(AD202,2),VLOOKUP(AF202,INDIRECT(LEFT(AD202,2)&amp;"部件升级消耗"),5,FALSE),0)</f>
        <v>#REF!</v>
      </c>
      <c r="AF203" s="360" t="e">
        <f ca="1">MIN(VLOOKUP(AE203,INDIRECT(LEFT(AD203,2)&amp;"部件升级"),2,TRUE),VLOOKUP(LEFT(AD203,2),坦克部件养成!#REF!,6,FALSE))</f>
        <v>#REF!</v>
      </c>
      <c r="AG203" s="378" t="e">
        <f ca="1">MAX(BD$4:BD203)</f>
        <v>#REF!</v>
      </c>
      <c r="AH203" s="378" t="str">
        <f t="shared" ca="1" si="131"/>
        <v/>
      </c>
      <c r="AI203" s="378">
        <f ca="1">IF(Y203="NULL",0,MAX(BY$4:BY203))</f>
        <v>0</v>
      </c>
      <c r="AK203" s="364" t="e">
        <f t="shared" ca="1" si="132"/>
        <v>#REF!</v>
      </c>
      <c r="AL203" s="364" t="e">
        <f ca="1">VLOOKUP(AK203,坦克个性化设定!$B$18:$F$48,5,FALSE)</f>
        <v>#REF!</v>
      </c>
      <c r="AM203" s="372" t="e">
        <f t="shared" ca="1" si="133"/>
        <v>#REF!</v>
      </c>
      <c r="AN203" s="372" t="e">
        <f t="shared" ca="1" si="141"/>
        <v>#REF!</v>
      </c>
      <c r="AO203" s="364">
        <f t="shared" ca="1" si="134"/>
        <v>0</v>
      </c>
      <c r="AP203" s="372" t="e">
        <f ca="1">VLOOKUP($AK203&amp;$AO203,所有坦克升星属性,MATCH(AP$3,所有坦克升星属性标头,0),FALSE)+ROUND(AU203/VLOOKUP($AK203,坦克部件!#REF!,4,FALSE)*VLOOKUP($AK203&amp;0,所有坦克升星属性,MATCH(AP$3,所有坦克升星属性标头,0),FALSE),0)</f>
        <v>#REF!</v>
      </c>
      <c r="AQ203" s="372" t="e">
        <f ca="1">VLOOKUP($AK203&amp;$AO203,所有坦克升星属性,MATCH(AQ$3,所有坦克升星属性标头,0),FALSE)+ROUND(AV203/VLOOKUP($AK203,坦克部件!#REF!,4,FALSE)*VLOOKUP($AK203&amp;0,所有坦克升星属性,MATCH(AQ$3,所有坦克升星属性标头,0),FALSE),0)</f>
        <v>#REF!</v>
      </c>
      <c r="AR203" s="372" t="e">
        <f t="shared" ca="1" si="121"/>
        <v>#REF!</v>
      </c>
      <c r="AS203" s="372" t="e">
        <f t="shared" ca="1" si="121"/>
        <v>#REF!</v>
      </c>
      <c r="AT203" s="372" t="e">
        <f ca="1">VLOOKUP($AK203&amp;$AO203,所有坦克升星属性,MATCH(AT$3,所有坦克升星属性标头,0),FALSE)+ROUND(AW203/VLOOKUP($AK203,坦克部件!#REF!,4,FALSE)*VLOOKUP($AK203&amp;0,所有坦克升星属性,MATCH(AT$3,所有坦克升星属性标头,0),FALSE),0)</f>
        <v>#REF!</v>
      </c>
      <c r="AU203" s="372" t="e">
        <f ca="1">(VLOOKUP($AM203,坦克部件!#REF!,MATCH("标准值",坦克部件!#REF!,0),FALSE)+VLOOKUP($AN203,坦克部件!#REF!,MATCH("标准值",坦克部件!#REF!,0),FALSE))*2</f>
        <v>#REF!</v>
      </c>
      <c r="AV203" s="372" t="e">
        <f ca="1">(VLOOKUP($AM203,坦克部件!#REF!,MATCH("标准值",坦克部件!#REF!,0),FALSE)+VLOOKUP($AN203,坦克部件!#REF!,MATCH("标准值",坦克部件!#REF!,0),FALSE))*2</f>
        <v>#REF!</v>
      </c>
      <c r="AW203" s="372" t="e">
        <f ca="1">(VLOOKUP($AM203,坦克部件!#REF!,MATCH("标准值",坦克部件!#REF!,0),FALSE)+VLOOKUP($AN203,坦克部件!#REF!,MATCH("标准值",坦克部件!#REF!,0),FALSE))*2</f>
        <v>#REF!</v>
      </c>
      <c r="AX203" s="372" t="e">
        <f ca="1">VLOOKUP($AK203,坦克属性统计!$B$3:$AY$33,MATCH(AX$3,坦克属性统计!$B$3:$AY$3,0),FALSE)</f>
        <v>#REF!</v>
      </c>
      <c r="AY203" s="372" t="e">
        <f t="shared" ca="1" si="122"/>
        <v>#REF!</v>
      </c>
      <c r="AZ203" s="372" t="e">
        <f t="shared" ca="1" si="122"/>
        <v>#REF!</v>
      </c>
      <c r="BA203" s="372" t="e">
        <f t="shared" ca="1" si="122"/>
        <v>#REF!</v>
      </c>
      <c r="BB203" s="356" t="e">
        <f t="shared" ca="1" si="135"/>
        <v>#REF!</v>
      </c>
      <c r="BC203" s="356" t="e">
        <f ca="1">VLOOKUP(AK203,坦克个性化设定!$B$18:$E$48,4,FALSE)</f>
        <v>#REF!</v>
      </c>
      <c r="BD203" s="357" t="e">
        <f t="shared" ca="1" si="142"/>
        <v>#REF!</v>
      </c>
      <c r="BF203" s="357" t="str">
        <f t="shared" ca="1" si="136"/>
        <v/>
      </c>
      <c r="BG203" s="372" t="str">
        <f ca="1">IFERROR(VLOOKUP(BF203,坦克个性化设定!$B$18:$F$48,5,FALSE),"")</f>
        <v/>
      </c>
      <c r="BH203" s="372" t="e">
        <f t="shared" ca="1" si="143"/>
        <v>#REF!</v>
      </c>
      <c r="BI203" s="372" t="e">
        <f t="shared" ca="1" si="144"/>
        <v>#REF!</v>
      </c>
      <c r="BJ203" s="364" t="str">
        <f t="shared" ca="1" si="137"/>
        <v>NULL</v>
      </c>
      <c r="BK203" s="372" t="e">
        <f ca="1">VLOOKUP($BF203&amp;IF($BJ203="NULL",0,$BJ203),所有坦克升星属性,MATCH(BK$3,所有坦克升星属性标头,0),FALSE)+ROUND(BP203/VLOOKUP($BF203,坦克部件!#REF!,4,FALSE)*VLOOKUP($BF203&amp;0,所有坦克升星属性,MATCH(BK$3,所有坦克升星属性标头,0),FALSE),0)</f>
        <v>#N/A</v>
      </c>
      <c r="BL203" s="372" t="e">
        <f ca="1">VLOOKUP($BF203&amp;IF($BJ203="NULL",0,$BJ203),所有坦克升星属性,MATCH(BL$3,所有坦克升星属性标头,0),FALSE)+ROUND(BQ203/VLOOKUP($BF203,坦克部件!#REF!,4,FALSE)*VLOOKUP($BF203&amp;0,所有坦克升星属性,MATCH(BL$3,所有坦克升星属性标头,0),FALSE),0)</f>
        <v>#N/A</v>
      </c>
      <c r="BM203" s="372" t="e">
        <f t="shared" ca="1" si="123"/>
        <v>#N/A</v>
      </c>
      <c r="BN203" s="372" t="e">
        <f t="shared" ca="1" si="123"/>
        <v>#N/A</v>
      </c>
      <c r="BO203" s="372" t="e">
        <f ca="1">VLOOKUP($BF203&amp;IF($BJ203="NULL",0,$BJ203),所有坦克升星属性,MATCH(BO$3,所有坦克升星属性标头,0),FALSE)+ROUND(BR203/VLOOKUP($BF203,坦克部件!#REF!,4,FALSE)*VLOOKUP($BF203&amp;0,所有坦克升星属性,MATCH(BO$3,所有坦克升星属性标头,0),FALSE),0)</f>
        <v>#N/A</v>
      </c>
      <c r="BP203" s="372" t="e">
        <f ca="1">(VLOOKUP($BH203,坦克部件!#REF!,MATCH("标准值",坦克部件!#REF!,0),FALSE)+VLOOKUP($BI203,坦克部件!#REF!,MATCH("标准值",坦克部件!#REF!,0),FALSE))*2</f>
        <v>#REF!</v>
      </c>
      <c r="BQ203" s="372" t="e">
        <f ca="1">(VLOOKUP($BH203,坦克部件!#REF!,MATCH("标准值",坦克部件!#REF!,0),FALSE)+VLOOKUP($BI203,坦克部件!#REF!,MATCH("标准值",坦克部件!#REF!,0),FALSE))*2</f>
        <v>#REF!</v>
      </c>
      <c r="BR203" s="372" t="e">
        <f ca="1">(VLOOKUP($BH203,坦克部件!#REF!,MATCH("标准值",坦克部件!#REF!,0),FALSE)+VLOOKUP($BI203,坦克部件!#REF!,MATCH("标准值",坦克部件!#REF!,0),FALSE))*2</f>
        <v>#REF!</v>
      </c>
      <c r="BS203" s="372" t="e">
        <f ca="1">VLOOKUP($BF203,坦克属性统计!$B$3:$AY$33,MATCH(BS$3,坦克属性统计!$B$3:$AY$3,0),FALSE)</f>
        <v>#N/A</v>
      </c>
      <c r="BT203" s="372" t="e">
        <f t="shared" ca="1" si="124"/>
        <v>#N/A</v>
      </c>
      <c r="BU203" s="372" t="e">
        <f t="shared" ca="1" si="124"/>
        <v>#N/A</v>
      </c>
      <c r="BV203" s="372" t="e">
        <f t="shared" ca="1" si="124"/>
        <v>#N/A</v>
      </c>
      <c r="BW203" s="356">
        <f t="shared" ca="1" si="138"/>
        <v>0</v>
      </c>
      <c r="BX203" s="356" t="e">
        <f ca="1">VLOOKUP(BF203,坦克个性化设定!$B$18:$E$48,4,FALSE)</f>
        <v>#N/A</v>
      </c>
      <c r="BY203" s="357" t="e">
        <f t="shared" ca="1" si="145"/>
        <v>#N/A</v>
      </c>
    </row>
    <row r="204" spans="15:77" x14ac:dyDescent="0.35">
      <c r="O204" s="365">
        <v>201</v>
      </c>
      <c r="P204" s="360" t="e">
        <f t="shared" ca="1" si="115"/>
        <v>#REF!</v>
      </c>
      <c r="Q204" s="360" t="e">
        <f ca="1">ROUND(MIN((BD204-VLOOKUP(R204,$B$22:$F$46,2,FALSE))/(VLOOKUP(R204,$B$22:$F$46,3,FALSE)-VLOOKUP(R204,$B$22:$F$46,2,FALSE)),1)*((VLOOKUP(R204,$B$22:$F$46,4,FALSE)*(AG204/(AG204+VLOOKUP(P204,$D$49:$F$123,3,TRUE)))+VLOOKUP(R204,$B$22:$F$46,5,FALSE)*(1-AG204/(AG204+VLOOKUP(P204,$D$49:$F$123,3,TRUE))))/2)*游戏时长规划!$C$4,0)</f>
        <v>#REF!</v>
      </c>
      <c r="R204" s="360" t="e">
        <f t="shared" ca="1" si="125"/>
        <v>#REF!</v>
      </c>
      <c r="S204" s="360" t="e">
        <f t="shared" ca="1" si="146"/>
        <v>#REF!</v>
      </c>
      <c r="T204" s="360" t="e">
        <f t="shared" ca="1" si="116"/>
        <v>#REF!</v>
      </c>
      <c r="U204" s="370" t="e">
        <f t="shared" ca="1" si="126"/>
        <v>#REF!</v>
      </c>
      <c r="V204" s="363" t="e">
        <f t="shared" ca="1" si="147"/>
        <v>#REF!</v>
      </c>
      <c r="W204" s="360" t="e">
        <f t="shared" ca="1" si="127"/>
        <v>#REF!</v>
      </c>
      <c r="X204" s="81" t="e">
        <f t="shared" ca="1" si="139"/>
        <v>#REF!</v>
      </c>
      <c r="Y204" s="360" t="str">
        <f t="shared" ca="1" si="128"/>
        <v>NULL</v>
      </c>
      <c r="Z204" s="375" t="e">
        <f t="shared" ca="1" si="140"/>
        <v>#REF!</v>
      </c>
      <c r="AA204" s="360">
        <f ca="1">IFERROR(VLOOKUP(IF(V204="T1低",游戏时长规划!$C$67+Z204,Z204),INDIRECT(V204&amp;"星级"),2,TRUE),0)</f>
        <v>0</v>
      </c>
      <c r="AB204" s="375" t="e">
        <f t="shared" ca="1" si="129"/>
        <v>#REF!</v>
      </c>
      <c r="AC204" s="375">
        <f ca="1">($D$14+$D$17)*$L$4/坦克部件养成!$C$2+AC203-IFERROR(IF(RIGHT(AD203,3)*1&gt;RIGHT(VLOOKUP(AC203,INDIRECT(LEFT(AD202,2)&amp;"部件升阶"),5,TRUE),3)*1,VLOOKUP(AD202,INDIRECT(LEFT(AD202,2)&amp;"部件升阶消耗"),2,FALSE),0),0)</f>
        <v>2378.4999999999991</v>
      </c>
      <c r="AD204" s="360" t="e">
        <f t="shared" ca="1" si="130"/>
        <v>#REF!</v>
      </c>
      <c r="AE204" s="375" t="e">
        <f ca="1">$D$15*$L$4/坦克部件养成!$C$2+AE203-IF(LEFT(AD204,2)&lt;&gt;LEFT(AD203,2),VLOOKUP(AF203,INDIRECT(LEFT(AD203,2)&amp;"部件升级消耗"),5,FALSE),0)</f>
        <v>#REF!</v>
      </c>
      <c r="AF204" s="360" t="e">
        <f ca="1">MIN(VLOOKUP(AE204,INDIRECT(LEFT(AD204,2)&amp;"部件升级"),2,TRUE),VLOOKUP(LEFT(AD204,2),坦克部件养成!#REF!,6,FALSE))</f>
        <v>#REF!</v>
      </c>
      <c r="AG204" s="378" t="e">
        <f ca="1">MAX(BD$4:BD204)</f>
        <v>#REF!</v>
      </c>
      <c r="AH204" s="378" t="str">
        <f t="shared" ca="1" si="131"/>
        <v/>
      </c>
      <c r="AI204" s="378">
        <f ca="1">IF(Y204="NULL",0,MAX(BY$4:BY204))</f>
        <v>0</v>
      </c>
      <c r="AK204" s="364" t="e">
        <f t="shared" ca="1" si="132"/>
        <v>#REF!</v>
      </c>
      <c r="AL204" s="364" t="e">
        <f ca="1">VLOOKUP(AK204,坦克个性化设定!$B$18:$F$48,5,FALSE)</f>
        <v>#REF!</v>
      </c>
      <c r="AM204" s="372" t="e">
        <f t="shared" ca="1" si="133"/>
        <v>#REF!</v>
      </c>
      <c r="AN204" s="372" t="e">
        <f t="shared" ca="1" si="141"/>
        <v>#REF!</v>
      </c>
      <c r="AO204" s="364">
        <f t="shared" ca="1" si="134"/>
        <v>0</v>
      </c>
      <c r="AP204" s="372" t="e">
        <f ca="1">VLOOKUP($AK204&amp;$AO204,所有坦克升星属性,MATCH(AP$3,所有坦克升星属性标头,0),FALSE)+ROUND(AU204/VLOOKUP($AK204,坦克部件!#REF!,4,FALSE)*VLOOKUP($AK204&amp;0,所有坦克升星属性,MATCH(AP$3,所有坦克升星属性标头,0),FALSE),0)</f>
        <v>#REF!</v>
      </c>
      <c r="AQ204" s="372" t="e">
        <f ca="1">VLOOKUP($AK204&amp;$AO204,所有坦克升星属性,MATCH(AQ$3,所有坦克升星属性标头,0),FALSE)+ROUND(AV204/VLOOKUP($AK204,坦克部件!#REF!,4,FALSE)*VLOOKUP($AK204&amp;0,所有坦克升星属性,MATCH(AQ$3,所有坦克升星属性标头,0),FALSE),0)</f>
        <v>#REF!</v>
      </c>
      <c r="AR204" s="372" t="e">
        <f t="shared" ref="AR204:AS223" ca="1" si="148">VLOOKUP($AK204&amp;$AO204,所有坦克升星属性,MATCH(AR$3,所有坦克升星属性标头,0),FALSE)</f>
        <v>#REF!</v>
      </c>
      <c r="AS204" s="372" t="e">
        <f t="shared" ca="1" si="148"/>
        <v>#REF!</v>
      </c>
      <c r="AT204" s="372" t="e">
        <f ca="1">VLOOKUP($AK204&amp;$AO204,所有坦克升星属性,MATCH(AT$3,所有坦克升星属性标头,0),FALSE)+ROUND(AW204/VLOOKUP($AK204,坦克部件!#REF!,4,FALSE)*VLOOKUP($AK204&amp;0,所有坦克升星属性,MATCH(AT$3,所有坦克升星属性标头,0),FALSE),0)</f>
        <v>#REF!</v>
      </c>
      <c r="AU204" s="372" t="e">
        <f ca="1">(VLOOKUP($AM204,坦克部件!#REF!,MATCH("标准值",坦克部件!#REF!,0),FALSE)+VLOOKUP($AN204,坦克部件!#REF!,MATCH("标准值",坦克部件!#REF!,0),FALSE))*2</f>
        <v>#REF!</v>
      </c>
      <c r="AV204" s="372" t="e">
        <f ca="1">(VLOOKUP($AM204,坦克部件!#REF!,MATCH("标准值",坦克部件!#REF!,0),FALSE)+VLOOKUP($AN204,坦克部件!#REF!,MATCH("标准值",坦克部件!#REF!,0),FALSE))*2</f>
        <v>#REF!</v>
      </c>
      <c r="AW204" s="372" t="e">
        <f ca="1">(VLOOKUP($AM204,坦克部件!#REF!,MATCH("标准值",坦克部件!#REF!,0),FALSE)+VLOOKUP($AN204,坦克部件!#REF!,MATCH("标准值",坦克部件!#REF!,0),FALSE))*2</f>
        <v>#REF!</v>
      </c>
      <c r="AX204" s="372" t="e">
        <f ca="1">VLOOKUP($AK204,坦克属性统计!$B$3:$AY$33,MATCH(AX$3,坦克属性统计!$B$3:$AY$3,0),FALSE)</f>
        <v>#REF!</v>
      </c>
      <c r="AY204" s="372" t="e">
        <f t="shared" ref="AY204:BA223" ca="1" si="149">VLOOKUP($AK204&amp;$AO204,所有坦克升星属性,MATCH(AY$3,所有坦克升星属性标头,0),FALSE)</f>
        <v>#REF!</v>
      </c>
      <c r="AZ204" s="372" t="e">
        <f t="shared" ca="1" si="149"/>
        <v>#REF!</v>
      </c>
      <c r="BA204" s="372" t="e">
        <f t="shared" ca="1" si="149"/>
        <v>#REF!</v>
      </c>
      <c r="BB204" s="356" t="e">
        <f t="shared" ca="1" si="135"/>
        <v>#REF!</v>
      </c>
      <c r="BC204" s="356" t="e">
        <f ca="1">VLOOKUP(AK204,坦克个性化设定!$B$18:$E$48,4,FALSE)</f>
        <v>#REF!</v>
      </c>
      <c r="BD204" s="357" t="e">
        <f t="shared" ca="1" si="142"/>
        <v>#REF!</v>
      </c>
      <c r="BF204" s="357" t="str">
        <f t="shared" ca="1" si="136"/>
        <v/>
      </c>
      <c r="BG204" s="372" t="str">
        <f ca="1">IFERROR(VLOOKUP(BF204,坦克个性化设定!$B$18:$F$48,5,FALSE),"")</f>
        <v/>
      </c>
      <c r="BH204" s="372" t="e">
        <f t="shared" ca="1" si="143"/>
        <v>#REF!</v>
      </c>
      <c r="BI204" s="372" t="e">
        <f t="shared" ca="1" si="144"/>
        <v>#REF!</v>
      </c>
      <c r="BJ204" s="364" t="str">
        <f t="shared" ca="1" si="137"/>
        <v>NULL</v>
      </c>
      <c r="BK204" s="372" t="e">
        <f ca="1">VLOOKUP($BF204&amp;IF($BJ204="NULL",0,$BJ204),所有坦克升星属性,MATCH(BK$3,所有坦克升星属性标头,0),FALSE)+ROUND(BP204/VLOOKUP($BF204,坦克部件!#REF!,4,FALSE)*VLOOKUP($BF204&amp;0,所有坦克升星属性,MATCH(BK$3,所有坦克升星属性标头,0),FALSE),0)</f>
        <v>#N/A</v>
      </c>
      <c r="BL204" s="372" t="e">
        <f ca="1">VLOOKUP($BF204&amp;IF($BJ204="NULL",0,$BJ204),所有坦克升星属性,MATCH(BL$3,所有坦克升星属性标头,0),FALSE)+ROUND(BQ204/VLOOKUP($BF204,坦克部件!#REF!,4,FALSE)*VLOOKUP($BF204&amp;0,所有坦克升星属性,MATCH(BL$3,所有坦克升星属性标头,0),FALSE),0)</f>
        <v>#N/A</v>
      </c>
      <c r="BM204" s="372" t="e">
        <f t="shared" ref="BM204:BN223" ca="1" si="150">VLOOKUP($BF204&amp;IF($BJ204="NULL",0,$BJ204),所有坦克升星属性,MATCH(BM$3,所有坦克升星属性标头,0),FALSE)</f>
        <v>#N/A</v>
      </c>
      <c r="BN204" s="372" t="e">
        <f t="shared" ca="1" si="150"/>
        <v>#N/A</v>
      </c>
      <c r="BO204" s="372" t="e">
        <f ca="1">VLOOKUP($BF204&amp;IF($BJ204="NULL",0,$BJ204),所有坦克升星属性,MATCH(BO$3,所有坦克升星属性标头,0),FALSE)+ROUND(BR204/VLOOKUP($BF204,坦克部件!#REF!,4,FALSE)*VLOOKUP($BF204&amp;0,所有坦克升星属性,MATCH(BO$3,所有坦克升星属性标头,0),FALSE),0)</f>
        <v>#N/A</v>
      </c>
      <c r="BP204" s="372" t="e">
        <f ca="1">(VLOOKUP($BH204,坦克部件!#REF!,MATCH("标准值",坦克部件!#REF!,0),FALSE)+VLOOKUP($BI204,坦克部件!#REF!,MATCH("标准值",坦克部件!#REF!,0),FALSE))*2</f>
        <v>#REF!</v>
      </c>
      <c r="BQ204" s="372" t="e">
        <f ca="1">(VLOOKUP($BH204,坦克部件!#REF!,MATCH("标准值",坦克部件!#REF!,0),FALSE)+VLOOKUP($BI204,坦克部件!#REF!,MATCH("标准值",坦克部件!#REF!,0),FALSE))*2</f>
        <v>#REF!</v>
      </c>
      <c r="BR204" s="372" t="e">
        <f ca="1">(VLOOKUP($BH204,坦克部件!#REF!,MATCH("标准值",坦克部件!#REF!,0),FALSE)+VLOOKUP($BI204,坦克部件!#REF!,MATCH("标准值",坦克部件!#REF!,0),FALSE))*2</f>
        <v>#REF!</v>
      </c>
      <c r="BS204" s="372" t="e">
        <f ca="1">VLOOKUP($BF204,坦克属性统计!$B$3:$AY$33,MATCH(BS$3,坦克属性统计!$B$3:$AY$3,0),FALSE)</f>
        <v>#N/A</v>
      </c>
      <c r="BT204" s="372" t="e">
        <f t="shared" ref="BT204:BV223" ca="1" si="151">VLOOKUP($BF204&amp;IF($BJ204="NULL",0,$BJ204),所有坦克升星属性,MATCH(BT$3,所有坦克升星属性标头,0),FALSE)</f>
        <v>#N/A</v>
      </c>
      <c r="BU204" s="372" t="e">
        <f t="shared" ca="1" si="151"/>
        <v>#N/A</v>
      </c>
      <c r="BV204" s="372" t="e">
        <f t="shared" ca="1" si="151"/>
        <v>#N/A</v>
      </c>
      <c r="BW204" s="356">
        <f t="shared" ca="1" si="138"/>
        <v>0</v>
      </c>
      <c r="BX204" s="356" t="e">
        <f ca="1">VLOOKUP(BF204,坦克个性化设定!$B$18:$E$48,4,FALSE)</f>
        <v>#N/A</v>
      </c>
      <c r="BY204" s="357" t="e">
        <f t="shared" ca="1" si="145"/>
        <v>#N/A</v>
      </c>
    </row>
    <row r="205" spans="15:77" x14ac:dyDescent="0.35">
      <c r="O205" s="365">
        <v>202</v>
      </c>
      <c r="P205" s="360" t="e">
        <f t="shared" ca="1" si="115"/>
        <v>#REF!</v>
      </c>
      <c r="Q205" s="360" t="e">
        <f ca="1">ROUND(MIN((BD205-VLOOKUP(R205,$B$22:$F$46,2,FALSE))/(VLOOKUP(R205,$B$22:$F$46,3,FALSE)-VLOOKUP(R205,$B$22:$F$46,2,FALSE)),1)*((VLOOKUP(R205,$B$22:$F$46,4,FALSE)*(AG205/(AG205+VLOOKUP(P205,$D$49:$F$123,3,TRUE)))+VLOOKUP(R205,$B$22:$F$46,5,FALSE)*(1-AG205/(AG205+VLOOKUP(P205,$D$49:$F$123,3,TRUE))))/2)*游戏时长规划!$C$4,0)</f>
        <v>#REF!</v>
      </c>
      <c r="R205" s="360" t="e">
        <f t="shared" ca="1" si="125"/>
        <v>#REF!</v>
      </c>
      <c r="S205" s="360" t="e">
        <f t="shared" ca="1" si="146"/>
        <v>#REF!</v>
      </c>
      <c r="T205" s="360" t="e">
        <f t="shared" ca="1" si="116"/>
        <v>#REF!</v>
      </c>
      <c r="U205" s="370" t="e">
        <f t="shared" ca="1" si="126"/>
        <v>#REF!</v>
      </c>
      <c r="V205" s="363" t="e">
        <f t="shared" ca="1" si="147"/>
        <v>#REF!</v>
      </c>
      <c r="W205" s="360" t="e">
        <f t="shared" ca="1" si="127"/>
        <v>#REF!</v>
      </c>
      <c r="X205" s="81" t="e">
        <f t="shared" ca="1" si="139"/>
        <v>#REF!</v>
      </c>
      <c r="Y205" s="360" t="str">
        <f t="shared" ca="1" si="128"/>
        <v>NULL</v>
      </c>
      <c r="Z205" s="375" t="e">
        <f t="shared" ca="1" si="140"/>
        <v>#REF!</v>
      </c>
      <c r="AA205" s="360">
        <f ca="1">IFERROR(VLOOKUP(IF(V205="T1低",游戏时长规划!$C$67+Z205,Z205),INDIRECT(V205&amp;"星级"),2,TRUE),0)</f>
        <v>0</v>
      </c>
      <c r="AB205" s="375" t="e">
        <f t="shared" ca="1" si="129"/>
        <v>#REF!</v>
      </c>
      <c r="AC205" s="375">
        <f ca="1">($D$14+$D$17)*$L$4/坦克部件养成!$C$2+AC204-IFERROR(IF(RIGHT(AD204,3)*1&gt;RIGHT(VLOOKUP(AC204,INDIRECT(LEFT(AD203,2)&amp;"部件升阶"),5,TRUE),3)*1,VLOOKUP(AD203,INDIRECT(LEFT(AD203,2)&amp;"部件升阶消耗"),2,FALSE),0),0)</f>
        <v>2390.3333333333326</v>
      </c>
      <c r="AD205" s="360" t="e">
        <f t="shared" ca="1" si="130"/>
        <v>#REF!</v>
      </c>
      <c r="AE205" s="375" t="e">
        <f ca="1">$D$15*$L$4/坦克部件养成!$C$2+AE204-IF(LEFT(AD205,2)&lt;&gt;LEFT(AD204,2),VLOOKUP(AF204,INDIRECT(LEFT(AD204,2)&amp;"部件升级消耗"),5,FALSE),0)</f>
        <v>#REF!</v>
      </c>
      <c r="AF205" s="360" t="e">
        <f ca="1">MIN(VLOOKUP(AE205,INDIRECT(LEFT(AD205,2)&amp;"部件升级"),2,TRUE),VLOOKUP(LEFT(AD205,2),坦克部件养成!#REF!,6,FALSE))</f>
        <v>#REF!</v>
      </c>
      <c r="AG205" s="378" t="e">
        <f ca="1">MAX(BD$4:BD205)</f>
        <v>#REF!</v>
      </c>
      <c r="AH205" s="378" t="str">
        <f t="shared" ca="1" si="131"/>
        <v/>
      </c>
      <c r="AI205" s="378">
        <f ca="1">IF(Y205="NULL",0,MAX(BY$4:BY205))</f>
        <v>0</v>
      </c>
      <c r="AK205" s="364" t="e">
        <f t="shared" ca="1" si="132"/>
        <v>#REF!</v>
      </c>
      <c r="AL205" s="364" t="e">
        <f ca="1">VLOOKUP(AK205,坦克个性化设定!$B$18:$F$48,5,FALSE)</f>
        <v>#REF!</v>
      </c>
      <c r="AM205" s="372" t="e">
        <f t="shared" ca="1" si="133"/>
        <v>#REF!</v>
      </c>
      <c r="AN205" s="372" t="e">
        <f t="shared" ca="1" si="141"/>
        <v>#REF!</v>
      </c>
      <c r="AO205" s="364">
        <f t="shared" ca="1" si="134"/>
        <v>0</v>
      </c>
      <c r="AP205" s="372" t="e">
        <f ca="1">VLOOKUP($AK205&amp;$AO205,所有坦克升星属性,MATCH(AP$3,所有坦克升星属性标头,0),FALSE)+ROUND(AU205/VLOOKUP($AK205,坦克部件!#REF!,4,FALSE)*VLOOKUP($AK205&amp;0,所有坦克升星属性,MATCH(AP$3,所有坦克升星属性标头,0),FALSE),0)</f>
        <v>#REF!</v>
      </c>
      <c r="AQ205" s="372" t="e">
        <f ca="1">VLOOKUP($AK205&amp;$AO205,所有坦克升星属性,MATCH(AQ$3,所有坦克升星属性标头,0),FALSE)+ROUND(AV205/VLOOKUP($AK205,坦克部件!#REF!,4,FALSE)*VLOOKUP($AK205&amp;0,所有坦克升星属性,MATCH(AQ$3,所有坦克升星属性标头,0),FALSE),0)</f>
        <v>#REF!</v>
      </c>
      <c r="AR205" s="372" t="e">
        <f t="shared" ca="1" si="148"/>
        <v>#REF!</v>
      </c>
      <c r="AS205" s="372" t="e">
        <f t="shared" ca="1" si="148"/>
        <v>#REF!</v>
      </c>
      <c r="AT205" s="372" t="e">
        <f ca="1">VLOOKUP($AK205&amp;$AO205,所有坦克升星属性,MATCH(AT$3,所有坦克升星属性标头,0),FALSE)+ROUND(AW205/VLOOKUP($AK205,坦克部件!#REF!,4,FALSE)*VLOOKUP($AK205&amp;0,所有坦克升星属性,MATCH(AT$3,所有坦克升星属性标头,0),FALSE),0)</f>
        <v>#REF!</v>
      </c>
      <c r="AU205" s="372" t="e">
        <f ca="1">(VLOOKUP($AM205,坦克部件!#REF!,MATCH("标准值",坦克部件!#REF!,0),FALSE)+VLOOKUP($AN205,坦克部件!#REF!,MATCH("标准值",坦克部件!#REF!,0),FALSE))*2</f>
        <v>#REF!</v>
      </c>
      <c r="AV205" s="372" t="e">
        <f ca="1">(VLOOKUP($AM205,坦克部件!#REF!,MATCH("标准值",坦克部件!#REF!,0),FALSE)+VLOOKUP($AN205,坦克部件!#REF!,MATCH("标准值",坦克部件!#REF!,0),FALSE))*2</f>
        <v>#REF!</v>
      </c>
      <c r="AW205" s="372" t="e">
        <f ca="1">(VLOOKUP($AM205,坦克部件!#REF!,MATCH("标准值",坦克部件!#REF!,0),FALSE)+VLOOKUP($AN205,坦克部件!#REF!,MATCH("标准值",坦克部件!#REF!,0),FALSE))*2</f>
        <v>#REF!</v>
      </c>
      <c r="AX205" s="372" t="e">
        <f ca="1">VLOOKUP($AK205,坦克属性统计!$B$3:$AY$33,MATCH(AX$3,坦克属性统计!$B$3:$AY$3,0),FALSE)</f>
        <v>#REF!</v>
      </c>
      <c r="AY205" s="372" t="e">
        <f t="shared" ca="1" si="149"/>
        <v>#REF!</v>
      </c>
      <c r="AZ205" s="372" t="e">
        <f t="shared" ca="1" si="149"/>
        <v>#REF!</v>
      </c>
      <c r="BA205" s="372" t="e">
        <f t="shared" ca="1" si="149"/>
        <v>#REF!</v>
      </c>
      <c r="BB205" s="356" t="e">
        <f t="shared" ca="1" si="135"/>
        <v>#REF!</v>
      </c>
      <c r="BC205" s="356" t="e">
        <f ca="1">VLOOKUP(AK205,坦克个性化设定!$B$18:$E$48,4,FALSE)</f>
        <v>#REF!</v>
      </c>
      <c r="BD205" s="357" t="e">
        <f t="shared" ca="1" si="142"/>
        <v>#REF!</v>
      </c>
      <c r="BF205" s="357" t="str">
        <f t="shared" ca="1" si="136"/>
        <v/>
      </c>
      <c r="BG205" s="372" t="str">
        <f ca="1">IFERROR(VLOOKUP(BF205,坦克个性化设定!$B$18:$F$48,5,FALSE),"")</f>
        <v/>
      </c>
      <c r="BH205" s="372" t="e">
        <f t="shared" ca="1" si="143"/>
        <v>#REF!</v>
      </c>
      <c r="BI205" s="372" t="e">
        <f t="shared" ca="1" si="144"/>
        <v>#REF!</v>
      </c>
      <c r="BJ205" s="364" t="str">
        <f t="shared" ca="1" si="137"/>
        <v>NULL</v>
      </c>
      <c r="BK205" s="372" t="e">
        <f ca="1">VLOOKUP($BF205&amp;IF($BJ205="NULL",0,$BJ205),所有坦克升星属性,MATCH(BK$3,所有坦克升星属性标头,0),FALSE)+ROUND(BP205/VLOOKUP($BF205,坦克部件!#REF!,4,FALSE)*VLOOKUP($BF205&amp;0,所有坦克升星属性,MATCH(BK$3,所有坦克升星属性标头,0),FALSE),0)</f>
        <v>#N/A</v>
      </c>
      <c r="BL205" s="372" t="e">
        <f ca="1">VLOOKUP($BF205&amp;IF($BJ205="NULL",0,$BJ205),所有坦克升星属性,MATCH(BL$3,所有坦克升星属性标头,0),FALSE)+ROUND(BQ205/VLOOKUP($BF205,坦克部件!#REF!,4,FALSE)*VLOOKUP($BF205&amp;0,所有坦克升星属性,MATCH(BL$3,所有坦克升星属性标头,0),FALSE),0)</f>
        <v>#N/A</v>
      </c>
      <c r="BM205" s="372" t="e">
        <f t="shared" ca="1" si="150"/>
        <v>#N/A</v>
      </c>
      <c r="BN205" s="372" t="e">
        <f t="shared" ca="1" si="150"/>
        <v>#N/A</v>
      </c>
      <c r="BO205" s="372" t="e">
        <f ca="1">VLOOKUP($BF205&amp;IF($BJ205="NULL",0,$BJ205),所有坦克升星属性,MATCH(BO$3,所有坦克升星属性标头,0),FALSE)+ROUND(BR205/VLOOKUP($BF205,坦克部件!#REF!,4,FALSE)*VLOOKUP($BF205&amp;0,所有坦克升星属性,MATCH(BO$3,所有坦克升星属性标头,0),FALSE),0)</f>
        <v>#N/A</v>
      </c>
      <c r="BP205" s="372" t="e">
        <f ca="1">(VLOOKUP($BH205,坦克部件!#REF!,MATCH("标准值",坦克部件!#REF!,0),FALSE)+VLOOKUP($BI205,坦克部件!#REF!,MATCH("标准值",坦克部件!#REF!,0),FALSE))*2</f>
        <v>#REF!</v>
      </c>
      <c r="BQ205" s="372" t="e">
        <f ca="1">(VLOOKUP($BH205,坦克部件!#REF!,MATCH("标准值",坦克部件!#REF!,0),FALSE)+VLOOKUP($BI205,坦克部件!#REF!,MATCH("标准值",坦克部件!#REF!,0),FALSE))*2</f>
        <v>#REF!</v>
      </c>
      <c r="BR205" s="372" t="e">
        <f ca="1">(VLOOKUP($BH205,坦克部件!#REF!,MATCH("标准值",坦克部件!#REF!,0),FALSE)+VLOOKUP($BI205,坦克部件!#REF!,MATCH("标准值",坦克部件!#REF!,0),FALSE))*2</f>
        <v>#REF!</v>
      </c>
      <c r="BS205" s="372" t="e">
        <f ca="1">VLOOKUP($BF205,坦克属性统计!$B$3:$AY$33,MATCH(BS$3,坦克属性统计!$B$3:$AY$3,0),FALSE)</f>
        <v>#N/A</v>
      </c>
      <c r="BT205" s="372" t="e">
        <f t="shared" ca="1" si="151"/>
        <v>#N/A</v>
      </c>
      <c r="BU205" s="372" t="e">
        <f t="shared" ca="1" si="151"/>
        <v>#N/A</v>
      </c>
      <c r="BV205" s="372" t="e">
        <f t="shared" ca="1" si="151"/>
        <v>#N/A</v>
      </c>
      <c r="BW205" s="356">
        <f t="shared" ca="1" si="138"/>
        <v>0</v>
      </c>
      <c r="BX205" s="356" t="e">
        <f ca="1">VLOOKUP(BF205,坦克个性化设定!$B$18:$E$48,4,FALSE)</f>
        <v>#N/A</v>
      </c>
      <c r="BY205" s="357" t="e">
        <f t="shared" ca="1" si="145"/>
        <v>#N/A</v>
      </c>
    </row>
    <row r="206" spans="15:77" x14ac:dyDescent="0.35">
      <c r="O206" s="365">
        <v>203</v>
      </c>
      <c r="P206" s="360" t="e">
        <f t="shared" ca="1" si="115"/>
        <v>#REF!</v>
      </c>
      <c r="Q206" s="360" t="e">
        <f ca="1">ROUND(MIN((BD206-VLOOKUP(R206,$B$22:$F$46,2,FALSE))/(VLOOKUP(R206,$B$22:$F$46,3,FALSE)-VLOOKUP(R206,$B$22:$F$46,2,FALSE)),1)*((VLOOKUP(R206,$B$22:$F$46,4,FALSE)*(AG206/(AG206+VLOOKUP(P206,$D$49:$F$123,3,TRUE)))+VLOOKUP(R206,$B$22:$F$46,5,FALSE)*(1-AG206/(AG206+VLOOKUP(P206,$D$49:$F$123,3,TRUE))))/2)*游戏时长规划!$C$4,0)</f>
        <v>#REF!</v>
      </c>
      <c r="R206" s="360" t="e">
        <f t="shared" ca="1" si="125"/>
        <v>#REF!</v>
      </c>
      <c r="S206" s="360" t="e">
        <f t="shared" ca="1" si="146"/>
        <v>#REF!</v>
      </c>
      <c r="T206" s="360" t="e">
        <f t="shared" ca="1" si="116"/>
        <v>#REF!</v>
      </c>
      <c r="U206" s="370" t="e">
        <f t="shared" ca="1" si="126"/>
        <v>#REF!</v>
      </c>
      <c r="V206" s="363" t="e">
        <f t="shared" ca="1" si="147"/>
        <v>#REF!</v>
      </c>
      <c r="W206" s="360" t="e">
        <f t="shared" ca="1" si="127"/>
        <v>#REF!</v>
      </c>
      <c r="X206" s="81" t="e">
        <f t="shared" ca="1" si="139"/>
        <v>#REF!</v>
      </c>
      <c r="Y206" s="360" t="str">
        <f t="shared" ca="1" si="128"/>
        <v>NULL</v>
      </c>
      <c r="Z206" s="375" t="e">
        <f t="shared" ca="1" si="140"/>
        <v>#REF!</v>
      </c>
      <c r="AA206" s="360">
        <f ca="1">IFERROR(VLOOKUP(IF(V206="T1低",游戏时长规划!$C$67+Z206,Z206),INDIRECT(V206&amp;"星级"),2,TRUE),0)</f>
        <v>0</v>
      </c>
      <c r="AB206" s="375" t="e">
        <f t="shared" ca="1" si="129"/>
        <v>#REF!</v>
      </c>
      <c r="AC206" s="375">
        <f ca="1">($D$14+$D$17)*$L$4/坦克部件养成!$C$2+AC205-IFERROR(IF(RIGHT(AD205,3)*1&gt;RIGHT(VLOOKUP(AC205,INDIRECT(LEFT(AD204,2)&amp;"部件升阶"),5,TRUE),3)*1,VLOOKUP(AD204,INDIRECT(LEFT(AD204,2)&amp;"部件升阶消耗"),2,FALSE),0),0)</f>
        <v>2402.1666666666661</v>
      </c>
      <c r="AD206" s="360" t="e">
        <f t="shared" ca="1" si="130"/>
        <v>#REF!</v>
      </c>
      <c r="AE206" s="375" t="e">
        <f ca="1">$D$15*$L$4/坦克部件养成!$C$2+AE205-IF(LEFT(AD206,2)&lt;&gt;LEFT(AD205,2),VLOOKUP(AF205,INDIRECT(LEFT(AD205,2)&amp;"部件升级消耗"),5,FALSE),0)</f>
        <v>#REF!</v>
      </c>
      <c r="AF206" s="360" t="e">
        <f ca="1">MIN(VLOOKUP(AE206,INDIRECT(LEFT(AD206,2)&amp;"部件升级"),2,TRUE),VLOOKUP(LEFT(AD206,2),坦克部件养成!#REF!,6,FALSE))</f>
        <v>#REF!</v>
      </c>
      <c r="AG206" s="378" t="e">
        <f ca="1">MAX(BD$4:BD206)</f>
        <v>#REF!</v>
      </c>
      <c r="AH206" s="378" t="str">
        <f t="shared" ca="1" si="131"/>
        <v/>
      </c>
      <c r="AI206" s="378">
        <f ca="1">IF(Y206="NULL",0,MAX(BY$4:BY206))</f>
        <v>0</v>
      </c>
      <c r="AK206" s="364" t="e">
        <f t="shared" ca="1" si="132"/>
        <v>#REF!</v>
      </c>
      <c r="AL206" s="364" t="e">
        <f ca="1">VLOOKUP(AK206,坦克个性化设定!$B$18:$F$48,5,FALSE)</f>
        <v>#REF!</v>
      </c>
      <c r="AM206" s="372" t="e">
        <f t="shared" ca="1" si="133"/>
        <v>#REF!</v>
      </c>
      <c r="AN206" s="372" t="e">
        <f t="shared" ca="1" si="141"/>
        <v>#REF!</v>
      </c>
      <c r="AO206" s="364">
        <f t="shared" ca="1" si="134"/>
        <v>0</v>
      </c>
      <c r="AP206" s="372" t="e">
        <f ca="1">VLOOKUP($AK206&amp;$AO206,所有坦克升星属性,MATCH(AP$3,所有坦克升星属性标头,0),FALSE)+ROUND(AU206/VLOOKUP($AK206,坦克部件!#REF!,4,FALSE)*VLOOKUP($AK206&amp;0,所有坦克升星属性,MATCH(AP$3,所有坦克升星属性标头,0),FALSE),0)</f>
        <v>#REF!</v>
      </c>
      <c r="AQ206" s="372" t="e">
        <f ca="1">VLOOKUP($AK206&amp;$AO206,所有坦克升星属性,MATCH(AQ$3,所有坦克升星属性标头,0),FALSE)+ROUND(AV206/VLOOKUP($AK206,坦克部件!#REF!,4,FALSE)*VLOOKUP($AK206&amp;0,所有坦克升星属性,MATCH(AQ$3,所有坦克升星属性标头,0),FALSE),0)</f>
        <v>#REF!</v>
      </c>
      <c r="AR206" s="372" t="e">
        <f t="shared" ca="1" si="148"/>
        <v>#REF!</v>
      </c>
      <c r="AS206" s="372" t="e">
        <f t="shared" ca="1" si="148"/>
        <v>#REF!</v>
      </c>
      <c r="AT206" s="372" t="e">
        <f ca="1">VLOOKUP($AK206&amp;$AO206,所有坦克升星属性,MATCH(AT$3,所有坦克升星属性标头,0),FALSE)+ROUND(AW206/VLOOKUP($AK206,坦克部件!#REF!,4,FALSE)*VLOOKUP($AK206&amp;0,所有坦克升星属性,MATCH(AT$3,所有坦克升星属性标头,0),FALSE),0)</f>
        <v>#REF!</v>
      </c>
      <c r="AU206" s="372" t="e">
        <f ca="1">(VLOOKUP($AM206,坦克部件!#REF!,MATCH("标准值",坦克部件!#REF!,0),FALSE)+VLOOKUP($AN206,坦克部件!#REF!,MATCH("标准值",坦克部件!#REF!,0),FALSE))*2</f>
        <v>#REF!</v>
      </c>
      <c r="AV206" s="372" t="e">
        <f ca="1">(VLOOKUP($AM206,坦克部件!#REF!,MATCH("标准值",坦克部件!#REF!,0),FALSE)+VLOOKUP($AN206,坦克部件!#REF!,MATCH("标准值",坦克部件!#REF!,0),FALSE))*2</f>
        <v>#REF!</v>
      </c>
      <c r="AW206" s="372" t="e">
        <f ca="1">(VLOOKUP($AM206,坦克部件!#REF!,MATCH("标准值",坦克部件!#REF!,0),FALSE)+VLOOKUP($AN206,坦克部件!#REF!,MATCH("标准值",坦克部件!#REF!,0),FALSE))*2</f>
        <v>#REF!</v>
      </c>
      <c r="AX206" s="372" t="e">
        <f ca="1">VLOOKUP($AK206,坦克属性统计!$B$3:$AY$33,MATCH(AX$3,坦克属性统计!$B$3:$AY$3,0),FALSE)</f>
        <v>#REF!</v>
      </c>
      <c r="AY206" s="372" t="e">
        <f t="shared" ca="1" si="149"/>
        <v>#REF!</v>
      </c>
      <c r="AZ206" s="372" t="e">
        <f t="shared" ca="1" si="149"/>
        <v>#REF!</v>
      </c>
      <c r="BA206" s="372" t="e">
        <f t="shared" ca="1" si="149"/>
        <v>#REF!</v>
      </c>
      <c r="BB206" s="356" t="e">
        <f t="shared" ca="1" si="135"/>
        <v>#REF!</v>
      </c>
      <c r="BC206" s="356" t="e">
        <f ca="1">VLOOKUP(AK206,坦克个性化设定!$B$18:$E$48,4,FALSE)</f>
        <v>#REF!</v>
      </c>
      <c r="BD206" s="357" t="e">
        <f t="shared" ca="1" si="142"/>
        <v>#REF!</v>
      </c>
      <c r="BF206" s="357" t="str">
        <f t="shared" ca="1" si="136"/>
        <v/>
      </c>
      <c r="BG206" s="372" t="str">
        <f ca="1">IFERROR(VLOOKUP(BF206,坦克个性化设定!$B$18:$F$48,5,FALSE),"")</f>
        <v/>
      </c>
      <c r="BH206" s="372" t="e">
        <f t="shared" ca="1" si="143"/>
        <v>#REF!</v>
      </c>
      <c r="BI206" s="372" t="e">
        <f t="shared" ca="1" si="144"/>
        <v>#REF!</v>
      </c>
      <c r="BJ206" s="364" t="str">
        <f t="shared" ca="1" si="137"/>
        <v>NULL</v>
      </c>
      <c r="BK206" s="372" t="e">
        <f ca="1">VLOOKUP($BF206&amp;IF($BJ206="NULL",0,$BJ206),所有坦克升星属性,MATCH(BK$3,所有坦克升星属性标头,0),FALSE)+ROUND(BP206/VLOOKUP($BF206,坦克部件!#REF!,4,FALSE)*VLOOKUP($BF206&amp;0,所有坦克升星属性,MATCH(BK$3,所有坦克升星属性标头,0),FALSE),0)</f>
        <v>#N/A</v>
      </c>
      <c r="BL206" s="372" t="e">
        <f ca="1">VLOOKUP($BF206&amp;IF($BJ206="NULL",0,$BJ206),所有坦克升星属性,MATCH(BL$3,所有坦克升星属性标头,0),FALSE)+ROUND(BQ206/VLOOKUP($BF206,坦克部件!#REF!,4,FALSE)*VLOOKUP($BF206&amp;0,所有坦克升星属性,MATCH(BL$3,所有坦克升星属性标头,0),FALSE),0)</f>
        <v>#N/A</v>
      </c>
      <c r="BM206" s="372" t="e">
        <f t="shared" ca="1" si="150"/>
        <v>#N/A</v>
      </c>
      <c r="BN206" s="372" t="e">
        <f t="shared" ca="1" si="150"/>
        <v>#N/A</v>
      </c>
      <c r="BO206" s="372" t="e">
        <f ca="1">VLOOKUP($BF206&amp;IF($BJ206="NULL",0,$BJ206),所有坦克升星属性,MATCH(BO$3,所有坦克升星属性标头,0),FALSE)+ROUND(BR206/VLOOKUP($BF206,坦克部件!#REF!,4,FALSE)*VLOOKUP($BF206&amp;0,所有坦克升星属性,MATCH(BO$3,所有坦克升星属性标头,0),FALSE),0)</f>
        <v>#N/A</v>
      </c>
      <c r="BP206" s="372" t="e">
        <f ca="1">(VLOOKUP($BH206,坦克部件!#REF!,MATCH("标准值",坦克部件!#REF!,0),FALSE)+VLOOKUP($BI206,坦克部件!#REF!,MATCH("标准值",坦克部件!#REF!,0),FALSE))*2</f>
        <v>#REF!</v>
      </c>
      <c r="BQ206" s="372" t="e">
        <f ca="1">(VLOOKUP($BH206,坦克部件!#REF!,MATCH("标准值",坦克部件!#REF!,0),FALSE)+VLOOKUP($BI206,坦克部件!#REF!,MATCH("标准值",坦克部件!#REF!,0),FALSE))*2</f>
        <v>#REF!</v>
      </c>
      <c r="BR206" s="372" t="e">
        <f ca="1">(VLOOKUP($BH206,坦克部件!#REF!,MATCH("标准值",坦克部件!#REF!,0),FALSE)+VLOOKUP($BI206,坦克部件!#REF!,MATCH("标准值",坦克部件!#REF!,0),FALSE))*2</f>
        <v>#REF!</v>
      </c>
      <c r="BS206" s="372" t="e">
        <f ca="1">VLOOKUP($BF206,坦克属性统计!$B$3:$AY$33,MATCH(BS$3,坦克属性统计!$B$3:$AY$3,0),FALSE)</f>
        <v>#N/A</v>
      </c>
      <c r="BT206" s="372" t="e">
        <f t="shared" ca="1" si="151"/>
        <v>#N/A</v>
      </c>
      <c r="BU206" s="372" t="e">
        <f t="shared" ca="1" si="151"/>
        <v>#N/A</v>
      </c>
      <c r="BV206" s="372" t="e">
        <f t="shared" ca="1" si="151"/>
        <v>#N/A</v>
      </c>
      <c r="BW206" s="356">
        <f t="shared" ca="1" si="138"/>
        <v>0</v>
      </c>
      <c r="BX206" s="356" t="e">
        <f ca="1">VLOOKUP(BF206,坦克个性化设定!$B$18:$E$48,4,FALSE)</f>
        <v>#N/A</v>
      </c>
      <c r="BY206" s="357" t="e">
        <f t="shared" ca="1" si="145"/>
        <v>#N/A</v>
      </c>
    </row>
    <row r="207" spans="15:77" x14ac:dyDescent="0.35">
      <c r="O207" s="365">
        <v>204</v>
      </c>
      <c r="P207" s="360" t="e">
        <f t="shared" ca="1" si="115"/>
        <v>#REF!</v>
      </c>
      <c r="Q207" s="360" t="e">
        <f ca="1">ROUND(MIN((BD207-VLOOKUP(R207,$B$22:$F$46,2,FALSE))/(VLOOKUP(R207,$B$22:$F$46,3,FALSE)-VLOOKUP(R207,$B$22:$F$46,2,FALSE)),1)*((VLOOKUP(R207,$B$22:$F$46,4,FALSE)*(AG207/(AG207+VLOOKUP(P207,$D$49:$F$123,3,TRUE)))+VLOOKUP(R207,$B$22:$F$46,5,FALSE)*(1-AG207/(AG207+VLOOKUP(P207,$D$49:$F$123,3,TRUE))))/2)*游戏时长规划!$C$4,0)</f>
        <v>#REF!</v>
      </c>
      <c r="R207" s="360" t="e">
        <f t="shared" ca="1" si="125"/>
        <v>#REF!</v>
      </c>
      <c r="S207" s="360" t="e">
        <f t="shared" ca="1" si="146"/>
        <v>#REF!</v>
      </c>
      <c r="T207" s="360" t="e">
        <f t="shared" ca="1" si="116"/>
        <v>#REF!</v>
      </c>
      <c r="U207" s="370" t="e">
        <f t="shared" ca="1" si="126"/>
        <v>#REF!</v>
      </c>
      <c r="V207" s="363" t="e">
        <f t="shared" ca="1" si="147"/>
        <v>#REF!</v>
      </c>
      <c r="W207" s="360" t="e">
        <f t="shared" ca="1" si="127"/>
        <v>#REF!</v>
      </c>
      <c r="X207" s="81" t="e">
        <f t="shared" ca="1" si="139"/>
        <v>#REF!</v>
      </c>
      <c r="Y207" s="360" t="str">
        <f t="shared" ca="1" si="128"/>
        <v>NULL</v>
      </c>
      <c r="Z207" s="375" t="e">
        <f t="shared" ca="1" si="140"/>
        <v>#REF!</v>
      </c>
      <c r="AA207" s="360">
        <f ca="1">IFERROR(VLOOKUP(IF(V207="T1低",游戏时长规划!$C$67+Z207,Z207),INDIRECT(V207&amp;"星级"),2,TRUE),0)</f>
        <v>0</v>
      </c>
      <c r="AB207" s="375" t="e">
        <f t="shared" ca="1" si="129"/>
        <v>#REF!</v>
      </c>
      <c r="AC207" s="375">
        <f ca="1">($D$14+$D$17)*$L$4/坦克部件养成!$C$2+AC206-IFERROR(IF(RIGHT(AD206,3)*1&gt;RIGHT(VLOOKUP(AC206,INDIRECT(LEFT(AD205,2)&amp;"部件升阶"),5,TRUE),3)*1,VLOOKUP(AD205,INDIRECT(LEFT(AD205,2)&amp;"部件升阶消耗"),2,FALSE),0),0)</f>
        <v>2413.9999999999995</v>
      </c>
      <c r="AD207" s="360" t="e">
        <f t="shared" ca="1" si="130"/>
        <v>#REF!</v>
      </c>
      <c r="AE207" s="375" t="e">
        <f ca="1">$D$15*$L$4/坦克部件养成!$C$2+AE206-IF(LEFT(AD207,2)&lt;&gt;LEFT(AD206,2),VLOOKUP(AF206,INDIRECT(LEFT(AD206,2)&amp;"部件升级消耗"),5,FALSE),0)</f>
        <v>#REF!</v>
      </c>
      <c r="AF207" s="360" t="e">
        <f ca="1">MIN(VLOOKUP(AE207,INDIRECT(LEFT(AD207,2)&amp;"部件升级"),2,TRUE),VLOOKUP(LEFT(AD207,2),坦克部件养成!#REF!,6,FALSE))</f>
        <v>#REF!</v>
      </c>
      <c r="AG207" s="378" t="e">
        <f ca="1">MAX(BD$4:BD207)</f>
        <v>#REF!</v>
      </c>
      <c r="AH207" s="378" t="str">
        <f t="shared" ca="1" si="131"/>
        <v/>
      </c>
      <c r="AI207" s="378">
        <f ca="1">IF(Y207="NULL",0,MAX(BY$4:BY207))</f>
        <v>0</v>
      </c>
      <c r="AK207" s="364" t="e">
        <f t="shared" ca="1" si="132"/>
        <v>#REF!</v>
      </c>
      <c r="AL207" s="364" t="e">
        <f ca="1">VLOOKUP(AK207,坦克个性化设定!$B$18:$F$48,5,FALSE)</f>
        <v>#REF!</v>
      </c>
      <c r="AM207" s="372" t="e">
        <f t="shared" ca="1" si="133"/>
        <v>#REF!</v>
      </c>
      <c r="AN207" s="372" t="e">
        <f t="shared" ca="1" si="141"/>
        <v>#REF!</v>
      </c>
      <c r="AO207" s="364">
        <f t="shared" ca="1" si="134"/>
        <v>0</v>
      </c>
      <c r="AP207" s="372" t="e">
        <f ca="1">VLOOKUP($AK207&amp;$AO207,所有坦克升星属性,MATCH(AP$3,所有坦克升星属性标头,0),FALSE)+ROUND(AU207/VLOOKUP($AK207,坦克部件!#REF!,4,FALSE)*VLOOKUP($AK207&amp;0,所有坦克升星属性,MATCH(AP$3,所有坦克升星属性标头,0),FALSE),0)</f>
        <v>#REF!</v>
      </c>
      <c r="AQ207" s="372" t="e">
        <f ca="1">VLOOKUP($AK207&amp;$AO207,所有坦克升星属性,MATCH(AQ$3,所有坦克升星属性标头,0),FALSE)+ROUND(AV207/VLOOKUP($AK207,坦克部件!#REF!,4,FALSE)*VLOOKUP($AK207&amp;0,所有坦克升星属性,MATCH(AQ$3,所有坦克升星属性标头,0),FALSE),0)</f>
        <v>#REF!</v>
      </c>
      <c r="AR207" s="372" t="e">
        <f t="shared" ca="1" si="148"/>
        <v>#REF!</v>
      </c>
      <c r="AS207" s="372" t="e">
        <f t="shared" ca="1" si="148"/>
        <v>#REF!</v>
      </c>
      <c r="AT207" s="372" t="e">
        <f ca="1">VLOOKUP($AK207&amp;$AO207,所有坦克升星属性,MATCH(AT$3,所有坦克升星属性标头,0),FALSE)+ROUND(AW207/VLOOKUP($AK207,坦克部件!#REF!,4,FALSE)*VLOOKUP($AK207&amp;0,所有坦克升星属性,MATCH(AT$3,所有坦克升星属性标头,0),FALSE),0)</f>
        <v>#REF!</v>
      </c>
      <c r="AU207" s="372" t="e">
        <f ca="1">(VLOOKUP($AM207,坦克部件!#REF!,MATCH("标准值",坦克部件!#REF!,0),FALSE)+VLOOKUP($AN207,坦克部件!#REF!,MATCH("标准值",坦克部件!#REF!,0),FALSE))*2</f>
        <v>#REF!</v>
      </c>
      <c r="AV207" s="372" t="e">
        <f ca="1">(VLOOKUP($AM207,坦克部件!#REF!,MATCH("标准值",坦克部件!#REF!,0),FALSE)+VLOOKUP($AN207,坦克部件!#REF!,MATCH("标准值",坦克部件!#REF!,0),FALSE))*2</f>
        <v>#REF!</v>
      </c>
      <c r="AW207" s="372" t="e">
        <f ca="1">(VLOOKUP($AM207,坦克部件!#REF!,MATCH("标准值",坦克部件!#REF!,0),FALSE)+VLOOKUP($AN207,坦克部件!#REF!,MATCH("标准值",坦克部件!#REF!,0),FALSE))*2</f>
        <v>#REF!</v>
      </c>
      <c r="AX207" s="372" t="e">
        <f ca="1">VLOOKUP($AK207,坦克属性统计!$B$3:$AY$33,MATCH(AX$3,坦克属性统计!$B$3:$AY$3,0),FALSE)</f>
        <v>#REF!</v>
      </c>
      <c r="AY207" s="372" t="e">
        <f t="shared" ca="1" si="149"/>
        <v>#REF!</v>
      </c>
      <c r="AZ207" s="372" t="e">
        <f t="shared" ca="1" si="149"/>
        <v>#REF!</v>
      </c>
      <c r="BA207" s="372" t="e">
        <f t="shared" ca="1" si="149"/>
        <v>#REF!</v>
      </c>
      <c r="BB207" s="356" t="e">
        <f t="shared" ca="1" si="135"/>
        <v>#REF!</v>
      </c>
      <c r="BC207" s="356" t="e">
        <f ca="1">VLOOKUP(AK207,坦克个性化设定!$B$18:$E$48,4,FALSE)</f>
        <v>#REF!</v>
      </c>
      <c r="BD207" s="357" t="e">
        <f t="shared" ca="1" si="142"/>
        <v>#REF!</v>
      </c>
      <c r="BF207" s="357" t="str">
        <f t="shared" ca="1" si="136"/>
        <v/>
      </c>
      <c r="BG207" s="372" t="str">
        <f ca="1">IFERROR(VLOOKUP(BF207,坦克个性化设定!$B$18:$F$48,5,FALSE),"")</f>
        <v/>
      </c>
      <c r="BH207" s="372" t="e">
        <f t="shared" ca="1" si="143"/>
        <v>#REF!</v>
      </c>
      <c r="BI207" s="372" t="e">
        <f t="shared" ca="1" si="144"/>
        <v>#REF!</v>
      </c>
      <c r="BJ207" s="364" t="str">
        <f t="shared" ca="1" si="137"/>
        <v>NULL</v>
      </c>
      <c r="BK207" s="372" t="e">
        <f ca="1">VLOOKUP($BF207&amp;IF($BJ207="NULL",0,$BJ207),所有坦克升星属性,MATCH(BK$3,所有坦克升星属性标头,0),FALSE)+ROUND(BP207/VLOOKUP($BF207,坦克部件!#REF!,4,FALSE)*VLOOKUP($BF207&amp;0,所有坦克升星属性,MATCH(BK$3,所有坦克升星属性标头,0),FALSE),0)</f>
        <v>#N/A</v>
      </c>
      <c r="BL207" s="372" t="e">
        <f ca="1">VLOOKUP($BF207&amp;IF($BJ207="NULL",0,$BJ207),所有坦克升星属性,MATCH(BL$3,所有坦克升星属性标头,0),FALSE)+ROUND(BQ207/VLOOKUP($BF207,坦克部件!#REF!,4,FALSE)*VLOOKUP($BF207&amp;0,所有坦克升星属性,MATCH(BL$3,所有坦克升星属性标头,0),FALSE),0)</f>
        <v>#N/A</v>
      </c>
      <c r="BM207" s="372" t="e">
        <f t="shared" ca="1" si="150"/>
        <v>#N/A</v>
      </c>
      <c r="BN207" s="372" t="e">
        <f t="shared" ca="1" si="150"/>
        <v>#N/A</v>
      </c>
      <c r="BO207" s="372" t="e">
        <f ca="1">VLOOKUP($BF207&amp;IF($BJ207="NULL",0,$BJ207),所有坦克升星属性,MATCH(BO$3,所有坦克升星属性标头,0),FALSE)+ROUND(BR207/VLOOKUP($BF207,坦克部件!#REF!,4,FALSE)*VLOOKUP($BF207&amp;0,所有坦克升星属性,MATCH(BO$3,所有坦克升星属性标头,0),FALSE),0)</f>
        <v>#N/A</v>
      </c>
      <c r="BP207" s="372" t="e">
        <f ca="1">(VLOOKUP($BH207,坦克部件!#REF!,MATCH("标准值",坦克部件!#REF!,0),FALSE)+VLOOKUP($BI207,坦克部件!#REF!,MATCH("标准值",坦克部件!#REF!,0),FALSE))*2</f>
        <v>#REF!</v>
      </c>
      <c r="BQ207" s="372" t="e">
        <f ca="1">(VLOOKUP($BH207,坦克部件!#REF!,MATCH("标准值",坦克部件!#REF!,0),FALSE)+VLOOKUP($BI207,坦克部件!#REF!,MATCH("标准值",坦克部件!#REF!,0),FALSE))*2</f>
        <v>#REF!</v>
      </c>
      <c r="BR207" s="372" t="e">
        <f ca="1">(VLOOKUP($BH207,坦克部件!#REF!,MATCH("标准值",坦克部件!#REF!,0),FALSE)+VLOOKUP($BI207,坦克部件!#REF!,MATCH("标准值",坦克部件!#REF!,0),FALSE))*2</f>
        <v>#REF!</v>
      </c>
      <c r="BS207" s="372" t="e">
        <f ca="1">VLOOKUP($BF207,坦克属性统计!$B$3:$AY$33,MATCH(BS$3,坦克属性统计!$B$3:$AY$3,0),FALSE)</f>
        <v>#N/A</v>
      </c>
      <c r="BT207" s="372" t="e">
        <f t="shared" ca="1" si="151"/>
        <v>#N/A</v>
      </c>
      <c r="BU207" s="372" t="e">
        <f t="shared" ca="1" si="151"/>
        <v>#N/A</v>
      </c>
      <c r="BV207" s="372" t="e">
        <f t="shared" ca="1" si="151"/>
        <v>#N/A</v>
      </c>
      <c r="BW207" s="356">
        <f t="shared" ca="1" si="138"/>
        <v>0</v>
      </c>
      <c r="BX207" s="356" t="e">
        <f ca="1">VLOOKUP(BF207,坦克个性化设定!$B$18:$E$48,4,FALSE)</f>
        <v>#N/A</v>
      </c>
      <c r="BY207" s="357" t="e">
        <f t="shared" ca="1" si="145"/>
        <v>#N/A</v>
      </c>
    </row>
    <row r="208" spans="15:77" x14ac:dyDescent="0.35">
      <c r="O208" s="365">
        <v>205</v>
      </c>
      <c r="P208" s="360" t="e">
        <f t="shared" ca="1" si="115"/>
        <v>#REF!</v>
      </c>
      <c r="Q208" s="360" t="e">
        <f ca="1">ROUND(MIN((BD208-VLOOKUP(R208,$B$22:$F$46,2,FALSE))/(VLOOKUP(R208,$B$22:$F$46,3,FALSE)-VLOOKUP(R208,$B$22:$F$46,2,FALSE)),1)*((VLOOKUP(R208,$B$22:$F$46,4,FALSE)*(AG208/(AG208+VLOOKUP(P208,$D$49:$F$123,3,TRUE)))+VLOOKUP(R208,$B$22:$F$46,5,FALSE)*(1-AG208/(AG208+VLOOKUP(P208,$D$49:$F$123,3,TRUE))))/2)*游戏时长规划!$C$4,0)</f>
        <v>#REF!</v>
      </c>
      <c r="R208" s="360" t="e">
        <f t="shared" ca="1" si="125"/>
        <v>#REF!</v>
      </c>
      <c r="S208" s="360" t="e">
        <f t="shared" ca="1" si="146"/>
        <v>#REF!</v>
      </c>
      <c r="T208" s="360" t="e">
        <f t="shared" ca="1" si="116"/>
        <v>#REF!</v>
      </c>
      <c r="U208" s="370" t="e">
        <f t="shared" ca="1" si="126"/>
        <v>#REF!</v>
      </c>
      <c r="V208" s="363" t="e">
        <f t="shared" ca="1" si="147"/>
        <v>#REF!</v>
      </c>
      <c r="W208" s="360" t="e">
        <f t="shared" ca="1" si="127"/>
        <v>#REF!</v>
      </c>
      <c r="X208" s="81" t="e">
        <f t="shared" ca="1" si="139"/>
        <v>#REF!</v>
      </c>
      <c r="Y208" s="360" t="str">
        <f t="shared" ca="1" si="128"/>
        <v>NULL</v>
      </c>
      <c r="Z208" s="375" t="e">
        <f t="shared" ca="1" si="140"/>
        <v>#REF!</v>
      </c>
      <c r="AA208" s="360">
        <f ca="1">IFERROR(VLOOKUP(IF(V208="T1低",游戏时长规划!$C$67+Z208,Z208),INDIRECT(V208&amp;"星级"),2,TRUE),0)</f>
        <v>0</v>
      </c>
      <c r="AB208" s="375" t="e">
        <f t="shared" ca="1" si="129"/>
        <v>#REF!</v>
      </c>
      <c r="AC208" s="375">
        <f ca="1">($D$14+$D$17)*$L$4/坦克部件养成!$C$2+AC207-IFERROR(IF(RIGHT(AD207,3)*1&gt;RIGHT(VLOOKUP(AC207,INDIRECT(LEFT(AD206,2)&amp;"部件升阶"),5,TRUE),3)*1,VLOOKUP(AD206,INDIRECT(LEFT(AD206,2)&amp;"部件升阶消耗"),2,FALSE),0),0)</f>
        <v>2425.833333333333</v>
      </c>
      <c r="AD208" s="360" t="e">
        <f t="shared" ca="1" si="130"/>
        <v>#REF!</v>
      </c>
      <c r="AE208" s="375" t="e">
        <f ca="1">$D$15*$L$4/坦克部件养成!$C$2+AE207-IF(LEFT(AD208,2)&lt;&gt;LEFT(AD207,2),VLOOKUP(AF207,INDIRECT(LEFT(AD207,2)&amp;"部件升级消耗"),5,FALSE),0)</f>
        <v>#REF!</v>
      </c>
      <c r="AF208" s="360" t="e">
        <f ca="1">MIN(VLOOKUP(AE208,INDIRECT(LEFT(AD208,2)&amp;"部件升级"),2,TRUE),VLOOKUP(LEFT(AD208,2),坦克部件养成!#REF!,6,FALSE))</f>
        <v>#REF!</v>
      </c>
      <c r="AG208" s="378" t="e">
        <f ca="1">MAX(BD$4:BD208)</f>
        <v>#REF!</v>
      </c>
      <c r="AH208" s="378" t="str">
        <f t="shared" ca="1" si="131"/>
        <v/>
      </c>
      <c r="AI208" s="378">
        <f ca="1">IF(Y208="NULL",0,MAX(BY$4:BY208))</f>
        <v>0</v>
      </c>
      <c r="AK208" s="364" t="e">
        <f t="shared" ca="1" si="132"/>
        <v>#REF!</v>
      </c>
      <c r="AL208" s="364" t="e">
        <f ca="1">VLOOKUP(AK208,坦克个性化设定!$B$18:$F$48,5,FALSE)</f>
        <v>#REF!</v>
      </c>
      <c r="AM208" s="372" t="e">
        <f t="shared" ca="1" si="133"/>
        <v>#REF!</v>
      </c>
      <c r="AN208" s="372" t="e">
        <f t="shared" ca="1" si="141"/>
        <v>#REF!</v>
      </c>
      <c r="AO208" s="364">
        <f t="shared" ca="1" si="134"/>
        <v>0</v>
      </c>
      <c r="AP208" s="372" t="e">
        <f ca="1">VLOOKUP($AK208&amp;$AO208,所有坦克升星属性,MATCH(AP$3,所有坦克升星属性标头,0),FALSE)+ROUND(AU208/VLOOKUP($AK208,坦克部件!#REF!,4,FALSE)*VLOOKUP($AK208&amp;0,所有坦克升星属性,MATCH(AP$3,所有坦克升星属性标头,0),FALSE),0)</f>
        <v>#REF!</v>
      </c>
      <c r="AQ208" s="372" t="e">
        <f ca="1">VLOOKUP($AK208&amp;$AO208,所有坦克升星属性,MATCH(AQ$3,所有坦克升星属性标头,0),FALSE)+ROUND(AV208/VLOOKUP($AK208,坦克部件!#REF!,4,FALSE)*VLOOKUP($AK208&amp;0,所有坦克升星属性,MATCH(AQ$3,所有坦克升星属性标头,0),FALSE),0)</f>
        <v>#REF!</v>
      </c>
      <c r="AR208" s="372" t="e">
        <f t="shared" ca="1" si="148"/>
        <v>#REF!</v>
      </c>
      <c r="AS208" s="372" t="e">
        <f t="shared" ca="1" si="148"/>
        <v>#REF!</v>
      </c>
      <c r="AT208" s="372" t="e">
        <f ca="1">VLOOKUP($AK208&amp;$AO208,所有坦克升星属性,MATCH(AT$3,所有坦克升星属性标头,0),FALSE)+ROUND(AW208/VLOOKUP($AK208,坦克部件!#REF!,4,FALSE)*VLOOKUP($AK208&amp;0,所有坦克升星属性,MATCH(AT$3,所有坦克升星属性标头,0),FALSE),0)</f>
        <v>#REF!</v>
      </c>
      <c r="AU208" s="372" t="e">
        <f ca="1">(VLOOKUP($AM208,坦克部件!#REF!,MATCH("标准值",坦克部件!#REF!,0),FALSE)+VLOOKUP($AN208,坦克部件!#REF!,MATCH("标准值",坦克部件!#REF!,0),FALSE))*2</f>
        <v>#REF!</v>
      </c>
      <c r="AV208" s="372" t="e">
        <f ca="1">(VLOOKUP($AM208,坦克部件!#REF!,MATCH("标准值",坦克部件!#REF!,0),FALSE)+VLOOKUP($AN208,坦克部件!#REF!,MATCH("标准值",坦克部件!#REF!,0),FALSE))*2</f>
        <v>#REF!</v>
      </c>
      <c r="AW208" s="372" t="e">
        <f ca="1">(VLOOKUP($AM208,坦克部件!#REF!,MATCH("标准值",坦克部件!#REF!,0),FALSE)+VLOOKUP($AN208,坦克部件!#REF!,MATCH("标准值",坦克部件!#REF!,0),FALSE))*2</f>
        <v>#REF!</v>
      </c>
      <c r="AX208" s="372" t="e">
        <f ca="1">VLOOKUP($AK208,坦克属性统计!$B$3:$AY$33,MATCH(AX$3,坦克属性统计!$B$3:$AY$3,0),FALSE)</f>
        <v>#REF!</v>
      </c>
      <c r="AY208" s="372" t="e">
        <f t="shared" ca="1" si="149"/>
        <v>#REF!</v>
      </c>
      <c r="AZ208" s="372" t="e">
        <f t="shared" ca="1" si="149"/>
        <v>#REF!</v>
      </c>
      <c r="BA208" s="372" t="e">
        <f t="shared" ca="1" si="149"/>
        <v>#REF!</v>
      </c>
      <c r="BB208" s="356" t="e">
        <f t="shared" ca="1" si="135"/>
        <v>#REF!</v>
      </c>
      <c r="BC208" s="356" t="e">
        <f ca="1">VLOOKUP(AK208,坦克个性化设定!$B$18:$E$48,4,FALSE)</f>
        <v>#REF!</v>
      </c>
      <c r="BD208" s="357" t="e">
        <f t="shared" ca="1" si="142"/>
        <v>#REF!</v>
      </c>
      <c r="BF208" s="357" t="str">
        <f t="shared" ca="1" si="136"/>
        <v/>
      </c>
      <c r="BG208" s="372" t="str">
        <f ca="1">IFERROR(VLOOKUP(BF208,坦克个性化设定!$B$18:$F$48,5,FALSE),"")</f>
        <v/>
      </c>
      <c r="BH208" s="372" t="e">
        <f t="shared" ca="1" si="143"/>
        <v>#REF!</v>
      </c>
      <c r="BI208" s="372" t="e">
        <f t="shared" ca="1" si="144"/>
        <v>#REF!</v>
      </c>
      <c r="BJ208" s="364" t="str">
        <f t="shared" ca="1" si="137"/>
        <v>NULL</v>
      </c>
      <c r="BK208" s="372" t="e">
        <f ca="1">VLOOKUP($BF208&amp;IF($BJ208="NULL",0,$BJ208),所有坦克升星属性,MATCH(BK$3,所有坦克升星属性标头,0),FALSE)+ROUND(BP208/VLOOKUP($BF208,坦克部件!#REF!,4,FALSE)*VLOOKUP($BF208&amp;0,所有坦克升星属性,MATCH(BK$3,所有坦克升星属性标头,0),FALSE),0)</f>
        <v>#N/A</v>
      </c>
      <c r="BL208" s="372" t="e">
        <f ca="1">VLOOKUP($BF208&amp;IF($BJ208="NULL",0,$BJ208),所有坦克升星属性,MATCH(BL$3,所有坦克升星属性标头,0),FALSE)+ROUND(BQ208/VLOOKUP($BF208,坦克部件!#REF!,4,FALSE)*VLOOKUP($BF208&amp;0,所有坦克升星属性,MATCH(BL$3,所有坦克升星属性标头,0),FALSE),0)</f>
        <v>#N/A</v>
      </c>
      <c r="BM208" s="372" t="e">
        <f t="shared" ca="1" si="150"/>
        <v>#N/A</v>
      </c>
      <c r="BN208" s="372" t="e">
        <f t="shared" ca="1" si="150"/>
        <v>#N/A</v>
      </c>
      <c r="BO208" s="372" t="e">
        <f ca="1">VLOOKUP($BF208&amp;IF($BJ208="NULL",0,$BJ208),所有坦克升星属性,MATCH(BO$3,所有坦克升星属性标头,0),FALSE)+ROUND(BR208/VLOOKUP($BF208,坦克部件!#REF!,4,FALSE)*VLOOKUP($BF208&amp;0,所有坦克升星属性,MATCH(BO$3,所有坦克升星属性标头,0),FALSE),0)</f>
        <v>#N/A</v>
      </c>
      <c r="BP208" s="372" t="e">
        <f ca="1">(VLOOKUP($BH208,坦克部件!#REF!,MATCH("标准值",坦克部件!#REF!,0),FALSE)+VLOOKUP($BI208,坦克部件!#REF!,MATCH("标准值",坦克部件!#REF!,0),FALSE))*2</f>
        <v>#REF!</v>
      </c>
      <c r="BQ208" s="372" t="e">
        <f ca="1">(VLOOKUP($BH208,坦克部件!#REF!,MATCH("标准值",坦克部件!#REF!,0),FALSE)+VLOOKUP($BI208,坦克部件!#REF!,MATCH("标准值",坦克部件!#REF!,0),FALSE))*2</f>
        <v>#REF!</v>
      </c>
      <c r="BR208" s="372" t="e">
        <f ca="1">(VLOOKUP($BH208,坦克部件!#REF!,MATCH("标准值",坦克部件!#REF!,0),FALSE)+VLOOKUP($BI208,坦克部件!#REF!,MATCH("标准值",坦克部件!#REF!,0),FALSE))*2</f>
        <v>#REF!</v>
      </c>
      <c r="BS208" s="372" t="e">
        <f ca="1">VLOOKUP($BF208,坦克属性统计!$B$3:$AY$33,MATCH(BS$3,坦克属性统计!$B$3:$AY$3,0),FALSE)</f>
        <v>#N/A</v>
      </c>
      <c r="BT208" s="372" t="e">
        <f t="shared" ca="1" si="151"/>
        <v>#N/A</v>
      </c>
      <c r="BU208" s="372" t="e">
        <f t="shared" ca="1" si="151"/>
        <v>#N/A</v>
      </c>
      <c r="BV208" s="372" t="e">
        <f t="shared" ca="1" si="151"/>
        <v>#N/A</v>
      </c>
      <c r="BW208" s="356">
        <f t="shared" ca="1" si="138"/>
        <v>0</v>
      </c>
      <c r="BX208" s="356" t="e">
        <f ca="1">VLOOKUP(BF208,坦克个性化设定!$B$18:$E$48,4,FALSE)</f>
        <v>#N/A</v>
      </c>
      <c r="BY208" s="357" t="e">
        <f t="shared" ca="1" si="145"/>
        <v>#N/A</v>
      </c>
    </row>
    <row r="209" spans="15:77" x14ac:dyDescent="0.35">
      <c r="O209" s="365">
        <v>206</v>
      </c>
      <c r="P209" s="360" t="e">
        <f t="shared" ca="1" si="115"/>
        <v>#REF!</v>
      </c>
      <c r="Q209" s="360" t="e">
        <f ca="1">ROUND(MIN((BD209-VLOOKUP(R209,$B$22:$F$46,2,FALSE))/(VLOOKUP(R209,$B$22:$F$46,3,FALSE)-VLOOKUP(R209,$B$22:$F$46,2,FALSE)),1)*((VLOOKUP(R209,$B$22:$F$46,4,FALSE)*(AG209/(AG209+VLOOKUP(P209,$D$49:$F$123,3,TRUE)))+VLOOKUP(R209,$B$22:$F$46,5,FALSE)*(1-AG209/(AG209+VLOOKUP(P209,$D$49:$F$123,3,TRUE))))/2)*游戏时长规划!$C$4,0)</f>
        <v>#REF!</v>
      </c>
      <c r="R209" s="360" t="e">
        <f t="shared" ca="1" si="125"/>
        <v>#REF!</v>
      </c>
      <c r="S209" s="360" t="e">
        <f t="shared" ca="1" si="146"/>
        <v>#REF!</v>
      </c>
      <c r="T209" s="360" t="e">
        <f t="shared" ca="1" si="116"/>
        <v>#REF!</v>
      </c>
      <c r="U209" s="370" t="e">
        <f t="shared" ca="1" si="126"/>
        <v>#REF!</v>
      </c>
      <c r="V209" s="363" t="e">
        <f t="shared" ca="1" si="147"/>
        <v>#REF!</v>
      </c>
      <c r="W209" s="360" t="e">
        <f t="shared" ca="1" si="127"/>
        <v>#REF!</v>
      </c>
      <c r="X209" s="81" t="e">
        <f t="shared" ca="1" si="139"/>
        <v>#REF!</v>
      </c>
      <c r="Y209" s="360" t="str">
        <f t="shared" ca="1" si="128"/>
        <v>NULL</v>
      </c>
      <c r="Z209" s="375" t="e">
        <f t="shared" ca="1" si="140"/>
        <v>#REF!</v>
      </c>
      <c r="AA209" s="360">
        <f ca="1">IFERROR(VLOOKUP(IF(V209="T1低",游戏时长规划!$C$67+Z209,Z209),INDIRECT(V209&amp;"星级"),2,TRUE),0)</f>
        <v>0</v>
      </c>
      <c r="AB209" s="375" t="e">
        <f t="shared" ca="1" si="129"/>
        <v>#REF!</v>
      </c>
      <c r="AC209" s="375">
        <f ca="1">($D$14+$D$17)*$L$4/坦克部件养成!$C$2+AC208-IFERROR(IF(RIGHT(AD208,3)*1&gt;RIGHT(VLOOKUP(AC208,INDIRECT(LEFT(AD207,2)&amp;"部件升阶"),5,TRUE),3)*1,VLOOKUP(AD207,INDIRECT(LEFT(AD207,2)&amp;"部件升阶消耗"),2,FALSE),0),0)</f>
        <v>2437.6666666666665</v>
      </c>
      <c r="AD209" s="360" t="e">
        <f t="shared" ca="1" si="130"/>
        <v>#REF!</v>
      </c>
      <c r="AE209" s="375" t="e">
        <f ca="1">$D$15*$L$4/坦克部件养成!$C$2+AE208-IF(LEFT(AD209,2)&lt;&gt;LEFT(AD208,2),VLOOKUP(AF208,INDIRECT(LEFT(AD208,2)&amp;"部件升级消耗"),5,FALSE),0)</f>
        <v>#REF!</v>
      </c>
      <c r="AF209" s="360" t="e">
        <f ca="1">MIN(VLOOKUP(AE209,INDIRECT(LEFT(AD209,2)&amp;"部件升级"),2,TRUE),VLOOKUP(LEFT(AD209,2),坦克部件养成!#REF!,6,FALSE))</f>
        <v>#REF!</v>
      </c>
      <c r="AG209" s="378" t="e">
        <f ca="1">MAX(BD$4:BD209)</f>
        <v>#REF!</v>
      </c>
      <c r="AH209" s="378" t="str">
        <f t="shared" ca="1" si="131"/>
        <v/>
      </c>
      <c r="AI209" s="378">
        <f ca="1">IF(Y209="NULL",0,MAX(BY$4:BY209))</f>
        <v>0</v>
      </c>
      <c r="AK209" s="364" t="e">
        <f t="shared" ca="1" si="132"/>
        <v>#REF!</v>
      </c>
      <c r="AL209" s="364" t="e">
        <f ca="1">VLOOKUP(AK209,坦克个性化设定!$B$18:$F$48,5,FALSE)</f>
        <v>#REF!</v>
      </c>
      <c r="AM209" s="372" t="e">
        <f t="shared" ca="1" si="133"/>
        <v>#REF!</v>
      </c>
      <c r="AN209" s="372" t="e">
        <f t="shared" ca="1" si="141"/>
        <v>#REF!</v>
      </c>
      <c r="AO209" s="364">
        <f t="shared" ca="1" si="134"/>
        <v>0</v>
      </c>
      <c r="AP209" s="372" t="e">
        <f ca="1">VLOOKUP($AK209&amp;$AO209,所有坦克升星属性,MATCH(AP$3,所有坦克升星属性标头,0),FALSE)+ROUND(AU209/VLOOKUP($AK209,坦克部件!#REF!,4,FALSE)*VLOOKUP($AK209&amp;0,所有坦克升星属性,MATCH(AP$3,所有坦克升星属性标头,0),FALSE),0)</f>
        <v>#REF!</v>
      </c>
      <c r="AQ209" s="372" t="e">
        <f ca="1">VLOOKUP($AK209&amp;$AO209,所有坦克升星属性,MATCH(AQ$3,所有坦克升星属性标头,0),FALSE)+ROUND(AV209/VLOOKUP($AK209,坦克部件!#REF!,4,FALSE)*VLOOKUP($AK209&amp;0,所有坦克升星属性,MATCH(AQ$3,所有坦克升星属性标头,0),FALSE),0)</f>
        <v>#REF!</v>
      </c>
      <c r="AR209" s="372" t="e">
        <f t="shared" ca="1" si="148"/>
        <v>#REF!</v>
      </c>
      <c r="AS209" s="372" t="e">
        <f t="shared" ca="1" si="148"/>
        <v>#REF!</v>
      </c>
      <c r="AT209" s="372" t="e">
        <f ca="1">VLOOKUP($AK209&amp;$AO209,所有坦克升星属性,MATCH(AT$3,所有坦克升星属性标头,0),FALSE)+ROUND(AW209/VLOOKUP($AK209,坦克部件!#REF!,4,FALSE)*VLOOKUP($AK209&amp;0,所有坦克升星属性,MATCH(AT$3,所有坦克升星属性标头,0),FALSE),0)</f>
        <v>#REF!</v>
      </c>
      <c r="AU209" s="372" t="e">
        <f ca="1">(VLOOKUP($AM209,坦克部件!#REF!,MATCH("标准值",坦克部件!#REF!,0),FALSE)+VLOOKUP($AN209,坦克部件!#REF!,MATCH("标准值",坦克部件!#REF!,0),FALSE))*2</f>
        <v>#REF!</v>
      </c>
      <c r="AV209" s="372" t="e">
        <f ca="1">(VLOOKUP($AM209,坦克部件!#REF!,MATCH("标准值",坦克部件!#REF!,0),FALSE)+VLOOKUP($AN209,坦克部件!#REF!,MATCH("标准值",坦克部件!#REF!,0),FALSE))*2</f>
        <v>#REF!</v>
      </c>
      <c r="AW209" s="372" t="e">
        <f ca="1">(VLOOKUP($AM209,坦克部件!#REF!,MATCH("标准值",坦克部件!#REF!,0),FALSE)+VLOOKUP($AN209,坦克部件!#REF!,MATCH("标准值",坦克部件!#REF!,0),FALSE))*2</f>
        <v>#REF!</v>
      </c>
      <c r="AX209" s="372" t="e">
        <f ca="1">VLOOKUP($AK209,坦克属性统计!$B$3:$AY$33,MATCH(AX$3,坦克属性统计!$B$3:$AY$3,0),FALSE)</f>
        <v>#REF!</v>
      </c>
      <c r="AY209" s="372" t="e">
        <f t="shared" ca="1" si="149"/>
        <v>#REF!</v>
      </c>
      <c r="AZ209" s="372" t="e">
        <f t="shared" ca="1" si="149"/>
        <v>#REF!</v>
      </c>
      <c r="BA209" s="372" t="e">
        <f t="shared" ca="1" si="149"/>
        <v>#REF!</v>
      </c>
      <c r="BB209" s="356" t="e">
        <f t="shared" ca="1" si="135"/>
        <v>#REF!</v>
      </c>
      <c r="BC209" s="356" t="e">
        <f ca="1">VLOOKUP(AK209,坦克个性化设定!$B$18:$E$48,4,FALSE)</f>
        <v>#REF!</v>
      </c>
      <c r="BD209" s="357" t="e">
        <f t="shared" ca="1" si="142"/>
        <v>#REF!</v>
      </c>
      <c r="BF209" s="357" t="str">
        <f t="shared" ca="1" si="136"/>
        <v/>
      </c>
      <c r="BG209" s="372" t="str">
        <f ca="1">IFERROR(VLOOKUP(BF209,坦克个性化设定!$B$18:$F$48,5,FALSE),"")</f>
        <v/>
      </c>
      <c r="BH209" s="372" t="e">
        <f t="shared" ca="1" si="143"/>
        <v>#REF!</v>
      </c>
      <c r="BI209" s="372" t="e">
        <f t="shared" ca="1" si="144"/>
        <v>#REF!</v>
      </c>
      <c r="BJ209" s="364" t="str">
        <f t="shared" ca="1" si="137"/>
        <v>NULL</v>
      </c>
      <c r="BK209" s="372" t="e">
        <f ca="1">VLOOKUP($BF209&amp;IF($BJ209="NULL",0,$BJ209),所有坦克升星属性,MATCH(BK$3,所有坦克升星属性标头,0),FALSE)+ROUND(BP209/VLOOKUP($BF209,坦克部件!#REF!,4,FALSE)*VLOOKUP($BF209&amp;0,所有坦克升星属性,MATCH(BK$3,所有坦克升星属性标头,0),FALSE),0)</f>
        <v>#N/A</v>
      </c>
      <c r="BL209" s="372" t="e">
        <f ca="1">VLOOKUP($BF209&amp;IF($BJ209="NULL",0,$BJ209),所有坦克升星属性,MATCH(BL$3,所有坦克升星属性标头,0),FALSE)+ROUND(BQ209/VLOOKUP($BF209,坦克部件!#REF!,4,FALSE)*VLOOKUP($BF209&amp;0,所有坦克升星属性,MATCH(BL$3,所有坦克升星属性标头,0),FALSE),0)</f>
        <v>#N/A</v>
      </c>
      <c r="BM209" s="372" t="e">
        <f t="shared" ca="1" si="150"/>
        <v>#N/A</v>
      </c>
      <c r="BN209" s="372" t="e">
        <f t="shared" ca="1" si="150"/>
        <v>#N/A</v>
      </c>
      <c r="BO209" s="372" t="e">
        <f ca="1">VLOOKUP($BF209&amp;IF($BJ209="NULL",0,$BJ209),所有坦克升星属性,MATCH(BO$3,所有坦克升星属性标头,0),FALSE)+ROUND(BR209/VLOOKUP($BF209,坦克部件!#REF!,4,FALSE)*VLOOKUP($BF209&amp;0,所有坦克升星属性,MATCH(BO$3,所有坦克升星属性标头,0),FALSE),0)</f>
        <v>#N/A</v>
      </c>
      <c r="BP209" s="372" t="e">
        <f ca="1">(VLOOKUP($BH209,坦克部件!#REF!,MATCH("标准值",坦克部件!#REF!,0),FALSE)+VLOOKUP($BI209,坦克部件!#REF!,MATCH("标准值",坦克部件!#REF!,0),FALSE))*2</f>
        <v>#REF!</v>
      </c>
      <c r="BQ209" s="372" t="e">
        <f ca="1">(VLOOKUP($BH209,坦克部件!#REF!,MATCH("标准值",坦克部件!#REF!,0),FALSE)+VLOOKUP($BI209,坦克部件!#REF!,MATCH("标准值",坦克部件!#REF!,0),FALSE))*2</f>
        <v>#REF!</v>
      </c>
      <c r="BR209" s="372" t="e">
        <f ca="1">(VLOOKUP($BH209,坦克部件!#REF!,MATCH("标准值",坦克部件!#REF!,0),FALSE)+VLOOKUP($BI209,坦克部件!#REF!,MATCH("标准值",坦克部件!#REF!,0),FALSE))*2</f>
        <v>#REF!</v>
      </c>
      <c r="BS209" s="372" t="e">
        <f ca="1">VLOOKUP($BF209,坦克属性统计!$B$3:$AY$33,MATCH(BS$3,坦克属性统计!$B$3:$AY$3,0),FALSE)</f>
        <v>#N/A</v>
      </c>
      <c r="BT209" s="372" t="e">
        <f t="shared" ca="1" si="151"/>
        <v>#N/A</v>
      </c>
      <c r="BU209" s="372" t="e">
        <f t="shared" ca="1" si="151"/>
        <v>#N/A</v>
      </c>
      <c r="BV209" s="372" t="e">
        <f t="shared" ca="1" si="151"/>
        <v>#N/A</v>
      </c>
      <c r="BW209" s="356">
        <f t="shared" ca="1" si="138"/>
        <v>0</v>
      </c>
      <c r="BX209" s="356" t="e">
        <f ca="1">VLOOKUP(BF209,坦克个性化设定!$B$18:$E$48,4,FALSE)</f>
        <v>#N/A</v>
      </c>
      <c r="BY209" s="357" t="e">
        <f t="shared" ca="1" si="145"/>
        <v>#N/A</v>
      </c>
    </row>
    <row r="210" spans="15:77" x14ac:dyDescent="0.35">
      <c r="O210" s="365">
        <v>207</v>
      </c>
      <c r="P210" s="360" t="e">
        <f t="shared" ca="1" si="115"/>
        <v>#REF!</v>
      </c>
      <c r="Q210" s="360" t="e">
        <f ca="1">ROUND(MIN((BD210-VLOOKUP(R210,$B$22:$F$46,2,FALSE))/(VLOOKUP(R210,$B$22:$F$46,3,FALSE)-VLOOKUP(R210,$B$22:$F$46,2,FALSE)),1)*((VLOOKUP(R210,$B$22:$F$46,4,FALSE)*(AG210/(AG210+VLOOKUP(P210,$D$49:$F$123,3,TRUE)))+VLOOKUP(R210,$B$22:$F$46,5,FALSE)*(1-AG210/(AG210+VLOOKUP(P210,$D$49:$F$123,3,TRUE))))/2)*游戏时长规划!$C$4,0)</f>
        <v>#REF!</v>
      </c>
      <c r="R210" s="360" t="e">
        <f t="shared" ca="1" si="125"/>
        <v>#REF!</v>
      </c>
      <c r="S210" s="360" t="e">
        <f t="shared" ca="1" si="146"/>
        <v>#REF!</v>
      </c>
      <c r="T210" s="360" t="e">
        <f t="shared" ca="1" si="116"/>
        <v>#REF!</v>
      </c>
      <c r="U210" s="370" t="e">
        <f t="shared" ca="1" si="126"/>
        <v>#REF!</v>
      </c>
      <c r="V210" s="363" t="e">
        <f t="shared" ca="1" si="147"/>
        <v>#REF!</v>
      </c>
      <c r="W210" s="360" t="e">
        <f t="shared" ca="1" si="127"/>
        <v>#REF!</v>
      </c>
      <c r="X210" s="81" t="e">
        <f t="shared" ca="1" si="139"/>
        <v>#REF!</v>
      </c>
      <c r="Y210" s="360" t="str">
        <f t="shared" ca="1" si="128"/>
        <v>NULL</v>
      </c>
      <c r="Z210" s="375" t="e">
        <f t="shared" ca="1" si="140"/>
        <v>#REF!</v>
      </c>
      <c r="AA210" s="360">
        <f ca="1">IFERROR(VLOOKUP(IF(V210="T1低",游戏时长规划!$C$67+Z210,Z210),INDIRECT(V210&amp;"星级"),2,TRUE),0)</f>
        <v>0</v>
      </c>
      <c r="AB210" s="375" t="e">
        <f t="shared" ca="1" si="129"/>
        <v>#REF!</v>
      </c>
      <c r="AC210" s="375">
        <f ca="1">($D$14+$D$17)*$L$4/坦克部件养成!$C$2+AC209-IFERROR(IF(RIGHT(AD209,3)*1&gt;RIGHT(VLOOKUP(AC209,INDIRECT(LEFT(AD208,2)&amp;"部件升阶"),5,TRUE),3)*1,VLOOKUP(AD208,INDIRECT(LEFT(AD208,2)&amp;"部件升阶消耗"),2,FALSE),0),0)</f>
        <v>2449.5</v>
      </c>
      <c r="AD210" s="360" t="e">
        <f t="shared" ca="1" si="130"/>
        <v>#REF!</v>
      </c>
      <c r="AE210" s="375" t="e">
        <f ca="1">$D$15*$L$4/坦克部件养成!$C$2+AE209-IF(LEFT(AD210,2)&lt;&gt;LEFT(AD209,2),VLOOKUP(AF209,INDIRECT(LEFT(AD209,2)&amp;"部件升级消耗"),5,FALSE),0)</f>
        <v>#REF!</v>
      </c>
      <c r="AF210" s="360" t="e">
        <f ca="1">MIN(VLOOKUP(AE210,INDIRECT(LEFT(AD210,2)&amp;"部件升级"),2,TRUE),VLOOKUP(LEFT(AD210,2),坦克部件养成!#REF!,6,FALSE))</f>
        <v>#REF!</v>
      </c>
      <c r="AG210" s="378" t="e">
        <f ca="1">MAX(BD$4:BD210)</f>
        <v>#REF!</v>
      </c>
      <c r="AH210" s="378" t="str">
        <f t="shared" ca="1" si="131"/>
        <v/>
      </c>
      <c r="AI210" s="378">
        <f ca="1">IF(Y210="NULL",0,MAX(BY$4:BY210))</f>
        <v>0</v>
      </c>
      <c r="AK210" s="364" t="e">
        <f t="shared" ca="1" si="132"/>
        <v>#REF!</v>
      </c>
      <c r="AL210" s="364" t="e">
        <f ca="1">VLOOKUP(AK210,坦克个性化设定!$B$18:$F$48,5,FALSE)</f>
        <v>#REF!</v>
      </c>
      <c r="AM210" s="372" t="e">
        <f t="shared" ca="1" si="133"/>
        <v>#REF!</v>
      </c>
      <c r="AN210" s="372" t="e">
        <f t="shared" ca="1" si="141"/>
        <v>#REF!</v>
      </c>
      <c r="AO210" s="364">
        <f t="shared" ca="1" si="134"/>
        <v>0</v>
      </c>
      <c r="AP210" s="372" t="e">
        <f ca="1">VLOOKUP($AK210&amp;$AO210,所有坦克升星属性,MATCH(AP$3,所有坦克升星属性标头,0),FALSE)+ROUND(AU210/VLOOKUP($AK210,坦克部件!#REF!,4,FALSE)*VLOOKUP($AK210&amp;0,所有坦克升星属性,MATCH(AP$3,所有坦克升星属性标头,0),FALSE),0)</f>
        <v>#REF!</v>
      </c>
      <c r="AQ210" s="372" t="e">
        <f ca="1">VLOOKUP($AK210&amp;$AO210,所有坦克升星属性,MATCH(AQ$3,所有坦克升星属性标头,0),FALSE)+ROUND(AV210/VLOOKUP($AK210,坦克部件!#REF!,4,FALSE)*VLOOKUP($AK210&amp;0,所有坦克升星属性,MATCH(AQ$3,所有坦克升星属性标头,0),FALSE),0)</f>
        <v>#REF!</v>
      </c>
      <c r="AR210" s="372" t="e">
        <f t="shared" ca="1" si="148"/>
        <v>#REF!</v>
      </c>
      <c r="AS210" s="372" t="e">
        <f t="shared" ca="1" si="148"/>
        <v>#REF!</v>
      </c>
      <c r="AT210" s="372" t="e">
        <f ca="1">VLOOKUP($AK210&amp;$AO210,所有坦克升星属性,MATCH(AT$3,所有坦克升星属性标头,0),FALSE)+ROUND(AW210/VLOOKUP($AK210,坦克部件!#REF!,4,FALSE)*VLOOKUP($AK210&amp;0,所有坦克升星属性,MATCH(AT$3,所有坦克升星属性标头,0),FALSE),0)</f>
        <v>#REF!</v>
      </c>
      <c r="AU210" s="372" t="e">
        <f ca="1">(VLOOKUP($AM210,坦克部件!#REF!,MATCH("标准值",坦克部件!#REF!,0),FALSE)+VLOOKUP($AN210,坦克部件!#REF!,MATCH("标准值",坦克部件!#REF!,0),FALSE))*2</f>
        <v>#REF!</v>
      </c>
      <c r="AV210" s="372" t="e">
        <f ca="1">(VLOOKUP($AM210,坦克部件!#REF!,MATCH("标准值",坦克部件!#REF!,0),FALSE)+VLOOKUP($AN210,坦克部件!#REF!,MATCH("标准值",坦克部件!#REF!,0),FALSE))*2</f>
        <v>#REF!</v>
      </c>
      <c r="AW210" s="372" t="e">
        <f ca="1">(VLOOKUP($AM210,坦克部件!#REF!,MATCH("标准值",坦克部件!#REF!,0),FALSE)+VLOOKUP($AN210,坦克部件!#REF!,MATCH("标准值",坦克部件!#REF!,0),FALSE))*2</f>
        <v>#REF!</v>
      </c>
      <c r="AX210" s="372" t="e">
        <f ca="1">VLOOKUP($AK210,坦克属性统计!$B$3:$AY$33,MATCH(AX$3,坦克属性统计!$B$3:$AY$3,0),FALSE)</f>
        <v>#REF!</v>
      </c>
      <c r="AY210" s="372" t="e">
        <f t="shared" ca="1" si="149"/>
        <v>#REF!</v>
      </c>
      <c r="AZ210" s="372" t="e">
        <f t="shared" ca="1" si="149"/>
        <v>#REF!</v>
      </c>
      <c r="BA210" s="372" t="e">
        <f t="shared" ca="1" si="149"/>
        <v>#REF!</v>
      </c>
      <c r="BB210" s="356" t="e">
        <f t="shared" ca="1" si="135"/>
        <v>#REF!</v>
      </c>
      <c r="BC210" s="356" t="e">
        <f ca="1">VLOOKUP(AK210,坦克个性化设定!$B$18:$E$48,4,FALSE)</f>
        <v>#REF!</v>
      </c>
      <c r="BD210" s="357" t="e">
        <f t="shared" ca="1" si="142"/>
        <v>#REF!</v>
      </c>
      <c r="BF210" s="357" t="str">
        <f t="shared" ca="1" si="136"/>
        <v/>
      </c>
      <c r="BG210" s="372" t="str">
        <f ca="1">IFERROR(VLOOKUP(BF210,坦克个性化设定!$B$18:$F$48,5,FALSE),"")</f>
        <v/>
      </c>
      <c r="BH210" s="372" t="e">
        <f t="shared" ca="1" si="143"/>
        <v>#REF!</v>
      </c>
      <c r="BI210" s="372" t="e">
        <f t="shared" ca="1" si="144"/>
        <v>#REF!</v>
      </c>
      <c r="BJ210" s="364" t="str">
        <f t="shared" ca="1" si="137"/>
        <v>NULL</v>
      </c>
      <c r="BK210" s="372" t="e">
        <f ca="1">VLOOKUP($BF210&amp;IF($BJ210="NULL",0,$BJ210),所有坦克升星属性,MATCH(BK$3,所有坦克升星属性标头,0),FALSE)+ROUND(BP210/VLOOKUP($BF210,坦克部件!#REF!,4,FALSE)*VLOOKUP($BF210&amp;0,所有坦克升星属性,MATCH(BK$3,所有坦克升星属性标头,0),FALSE),0)</f>
        <v>#N/A</v>
      </c>
      <c r="BL210" s="372" t="e">
        <f ca="1">VLOOKUP($BF210&amp;IF($BJ210="NULL",0,$BJ210),所有坦克升星属性,MATCH(BL$3,所有坦克升星属性标头,0),FALSE)+ROUND(BQ210/VLOOKUP($BF210,坦克部件!#REF!,4,FALSE)*VLOOKUP($BF210&amp;0,所有坦克升星属性,MATCH(BL$3,所有坦克升星属性标头,0),FALSE),0)</f>
        <v>#N/A</v>
      </c>
      <c r="BM210" s="372" t="e">
        <f t="shared" ca="1" si="150"/>
        <v>#N/A</v>
      </c>
      <c r="BN210" s="372" t="e">
        <f t="shared" ca="1" si="150"/>
        <v>#N/A</v>
      </c>
      <c r="BO210" s="372" t="e">
        <f ca="1">VLOOKUP($BF210&amp;IF($BJ210="NULL",0,$BJ210),所有坦克升星属性,MATCH(BO$3,所有坦克升星属性标头,0),FALSE)+ROUND(BR210/VLOOKUP($BF210,坦克部件!#REF!,4,FALSE)*VLOOKUP($BF210&amp;0,所有坦克升星属性,MATCH(BO$3,所有坦克升星属性标头,0),FALSE),0)</f>
        <v>#N/A</v>
      </c>
      <c r="BP210" s="372" t="e">
        <f ca="1">(VLOOKUP($BH210,坦克部件!#REF!,MATCH("标准值",坦克部件!#REF!,0),FALSE)+VLOOKUP($BI210,坦克部件!#REF!,MATCH("标准值",坦克部件!#REF!,0),FALSE))*2</f>
        <v>#REF!</v>
      </c>
      <c r="BQ210" s="372" t="e">
        <f ca="1">(VLOOKUP($BH210,坦克部件!#REF!,MATCH("标准值",坦克部件!#REF!,0),FALSE)+VLOOKUP($BI210,坦克部件!#REF!,MATCH("标准值",坦克部件!#REF!,0),FALSE))*2</f>
        <v>#REF!</v>
      </c>
      <c r="BR210" s="372" t="e">
        <f ca="1">(VLOOKUP($BH210,坦克部件!#REF!,MATCH("标准值",坦克部件!#REF!,0),FALSE)+VLOOKUP($BI210,坦克部件!#REF!,MATCH("标准值",坦克部件!#REF!,0),FALSE))*2</f>
        <v>#REF!</v>
      </c>
      <c r="BS210" s="372" t="e">
        <f ca="1">VLOOKUP($BF210,坦克属性统计!$B$3:$AY$33,MATCH(BS$3,坦克属性统计!$B$3:$AY$3,0),FALSE)</f>
        <v>#N/A</v>
      </c>
      <c r="BT210" s="372" t="e">
        <f t="shared" ca="1" si="151"/>
        <v>#N/A</v>
      </c>
      <c r="BU210" s="372" t="e">
        <f t="shared" ca="1" si="151"/>
        <v>#N/A</v>
      </c>
      <c r="BV210" s="372" t="e">
        <f t="shared" ca="1" si="151"/>
        <v>#N/A</v>
      </c>
      <c r="BW210" s="356">
        <f t="shared" ca="1" si="138"/>
        <v>0</v>
      </c>
      <c r="BX210" s="356" t="e">
        <f ca="1">VLOOKUP(BF210,坦克个性化设定!$B$18:$E$48,4,FALSE)</f>
        <v>#N/A</v>
      </c>
      <c r="BY210" s="357" t="e">
        <f t="shared" ca="1" si="145"/>
        <v>#N/A</v>
      </c>
    </row>
    <row r="211" spans="15:77" x14ac:dyDescent="0.35">
      <c r="O211" s="365">
        <v>208</v>
      </c>
      <c r="P211" s="360" t="e">
        <f t="shared" ca="1" si="115"/>
        <v>#REF!</v>
      </c>
      <c r="Q211" s="360" t="e">
        <f ca="1">ROUND(MIN((BD211-VLOOKUP(R211,$B$22:$F$46,2,FALSE))/(VLOOKUP(R211,$B$22:$F$46,3,FALSE)-VLOOKUP(R211,$B$22:$F$46,2,FALSE)),1)*((VLOOKUP(R211,$B$22:$F$46,4,FALSE)*(AG211/(AG211+VLOOKUP(P211,$D$49:$F$123,3,TRUE)))+VLOOKUP(R211,$B$22:$F$46,5,FALSE)*(1-AG211/(AG211+VLOOKUP(P211,$D$49:$F$123,3,TRUE))))/2)*游戏时长规划!$C$4,0)</f>
        <v>#REF!</v>
      </c>
      <c r="R211" s="360" t="e">
        <f t="shared" ca="1" si="125"/>
        <v>#REF!</v>
      </c>
      <c r="S211" s="360" t="e">
        <f t="shared" ca="1" si="146"/>
        <v>#REF!</v>
      </c>
      <c r="T211" s="360" t="e">
        <f t="shared" ca="1" si="116"/>
        <v>#REF!</v>
      </c>
      <c r="U211" s="370" t="e">
        <f t="shared" ca="1" si="126"/>
        <v>#REF!</v>
      </c>
      <c r="V211" s="363" t="e">
        <f t="shared" ca="1" si="147"/>
        <v>#REF!</v>
      </c>
      <c r="W211" s="360" t="e">
        <f t="shared" ca="1" si="127"/>
        <v>#REF!</v>
      </c>
      <c r="X211" s="81" t="e">
        <f t="shared" ca="1" si="139"/>
        <v>#REF!</v>
      </c>
      <c r="Y211" s="360" t="str">
        <f t="shared" ca="1" si="128"/>
        <v>NULL</v>
      </c>
      <c r="Z211" s="375" t="e">
        <f t="shared" ca="1" si="140"/>
        <v>#REF!</v>
      </c>
      <c r="AA211" s="360">
        <f ca="1">IFERROR(VLOOKUP(IF(V211="T1低",游戏时长规划!$C$67+Z211,Z211),INDIRECT(V211&amp;"星级"),2,TRUE),0)</f>
        <v>0</v>
      </c>
      <c r="AB211" s="375" t="e">
        <f t="shared" ca="1" si="129"/>
        <v>#REF!</v>
      </c>
      <c r="AC211" s="375">
        <f ca="1">($D$14+$D$17)*$L$4/坦克部件养成!$C$2+AC210-IFERROR(IF(RIGHT(AD210,3)*1&gt;RIGHT(VLOOKUP(AC210,INDIRECT(LEFT(AD209,2)&amp;"部件升阶"),5,TRUE),3)*1,VLOOKUP(AD209,INDIRECT(LEFT(AD209,2)&amp;"部件升阶消耗"),2,FALSE),0),0)</f>
        <v>2461.3333333333335</v>
      </c>
      <c r="AD211" s="360" t="e">
        <f t="shared" ca="1" si="130"/>
        <v>#REF!</v>
      </c>
      <c r="AE211" s="375" t="e">
        <f ca="1">$D$15*$L$4/坦克部件养成!$C$2+AE210-IF(LEFT(AD211,2)&lt;&gt;LEFT(AD210,2),VLOOKUP(AF210,INDIRECT(LEFT(AD210,2)&amp;"部件升级消耗"),5,FALSE),0)</f>
        <v>#REF!</v>
      </c>
      <c r="AF211" s="360" t="e">
        <f ca="1">MIN(VLOOKUP(AE211,INDIRECT(LEFT(AD211,2)&amp;"部件升级"),2,TRUE),VLOOKUP(LEFT(AD211,2),坦克部件养成!#REF!,6,FALSE))</f>
        <v>#REF!</v>
      </c>
      <c r="AG211" s="378" t="e">
        <f ca="1">MAX(BD$4:BD211)</f>
        <v>#REF!</v>
      </c>
      <c r="AH211" s="378" t="str">
        <f t="shared" ca="1" si="131"/>
        <v/>
      </c>
      <c r="AI211" s="378">
        <f ca="1">IF(Y211="NULL",0,MAX(BY$4:BY211))</f>
        <v>0</v>
      </c>
      <c r="AK211" s="364" t="e">
        <f t="shared" ca="1" si="132"/>
        <v>#REF!</v>
      </c>
      <c r="AL211" s="364" t="e">
        <f ca="1">VLOOKUP(AK211,坦克个性化设定!$B$18:$F$48,5,FALSE)</f>
        <v>#REF!</v>
      </c>
      <c r="AM211" s="372" t="e">
        <f t="shared" ca="1" si="133"/>
        <v>#REF!</v>
      </c>
      <c r="AN211" s="372" t="e">
        <f t="shared" ca="1" si="141"/>
        <v>#REF!</v>
      </c>
      <c r="AO211" s="364">
        <f t="shared" ca="1" si="134"/>
        <v>0</v>
      </c>
      <c r="AP211" s="372" t="e">
        <f ca="1">VLOOKUP($AK211&amp;$AO211,所有坦克升星属性,MATCH(AP$3,所有坦克升星属性标头,0),FALSE)+ROUND(AU211/VLOOKUP($AK211,坦克部件!#REF!,4,FALSE)*VLOOKUP($AK211&amp;0,所有坦克升星属性,MATCH(AP$3,所有坦克升星属性标头,0),FALSE),0)</f>
        <v>#REF!</v>
      </c>
      <c r="AQ211" s="372" t="e">
        <f ca="1">VLOOKUP($AK211&amp;$AO211,所有坦克升星属性,MATCH(AQ$3,所有坦克升星属性标头,0),FALSE)+ROUND(AV211/VLOOKUP($AK211,坦克部件!#REF!,4,FALSE)*VLOOKUP($AK211&amp;0,所有坦克升星属性,MATCH(AQ$3,所有坦克升星属性标头,0),FALSE),0)</f>
        <v>#REF!</v>
      </c>
      <c r="AR211" s="372" t="e">
        <f t="shared" ca="1" si="148"/>
        <v>#REF!</v>
      </c>
      <c r="AS211" s="372" t="e">
        <f t="shared" ca="1" si="148"/>
        <v>#REF!</v>
      </c>
      <c r="AT211" s="372" t="e">
        <f ca="1">VLOOKUP($AK211&amp;$AO211,所有坦克升星属性,MATCH(AT$3,所有坦克升星属性标头,0),FALSE)+ROUND(AW211/VLOOKUP($AK211,坦克部件!#REF!,4,FALSE)*VLOOKUP($AK211&amp;0,所有坦克升星属性,MATCH(AT$3,所有坦克升星属性标头,0),FALSE),0)</f>
        <v>#REF!</v>
      </c>
      <c r="AU211" s="372" t="e">
        <f ca="1">(VLOOKUP($AM211,坦克部件!#REF!,MATCH("标准值",坦克部件!#REF!,0),FALSE)+VLOOKUP($AN211,坦克部件!#REF!,MATCH("标准值",坦克部件!#REF!,0),FALSE))*2</f>
        <v>#REF!</v>
      </c>
      <c r="AV211" s="372" t="e">
        <f ca="1">(VLOOKUP($AM211,坦克部件!#REF!,MATCH("标准值",坦克部件!#REF!,0),FALSE)+VLOOKUP($AN211,坦克部件!#REF!,MATCH("标准值",坦克部件!#REF!,0),FALSE))*2</f>
        <v>#REF!</v>
      </c>
      <c r="AW211" s="372" t="e">
        <f ca="1">(VLOOKUP($AM211,坦克部件!#REF!,MATCH("标准值",坦克部件!#REF!,0),FALSE)+VLOOKUP($AN211,坦克部件!#REF!,MATCH("标准值",坦克部件!#REF!,0),FALSE))*2</f>
        <v>#REF!</v>
      </c>
      <c r="AX211" s="372" t="e">
        <f ca="1">VLOOKUP($AK211,坦克属性统计!$B$3:$AY$33,MATCH(AX$3,坦克属性统计!$B$3:$AY$3,0),FALSE)</f>
        <v>#REF!</v>
      </c>
      <c r="AY211" s="372" t="e">
        <f t="shared" ca="1" si="149"/>
        <v>#REF!</v>
      </c>
      <c r="AZ211" s="372" t="e">
        <f t="shared" ca="1" si="149"/>
        <v>#REF!</v>
      </c>
      <c r="BA211" s="372" t="e">
        <f t="shared" ca="1" si="149"/>
        <v>#REF!</v>
      </c>
      <c r="BB211" s="356" t="e">
        <f t="shared" ca="1" si="135"/>
        <v>#REF!</v>
      </c>
      <c r="BC211" s="356" t="e">
        <f ca="1">VLOOKUP(AK211,坦克个性化设定!$B$18:$E$48,4,FALSE)</f>
        <v>#REF!</v>
      </c>
      <c r="BD211" s="357" t="e">
        <f t="shared" ca="1" si="142"/>
        <v>#REF!</v>
      </c>
      <c r="BF211" s="357" t="str">
        <f t="shared" ca="1" si="136"/>
        <v/>
      </c>
      <c r="BG211" s="372" t="str">
        <f ca="1">IFERROR(VLOOKUP(BF211,坦克个性化设定!$B$18:$F$48,5,FALSE),"")</f>
        <v/>
      </c>
      <c r="BH211" s="372" t="e">
        <f t="shared" ca="1" si="143"/>
        <v>#REF!</v>
      </c>
      <c r="BI211" s="372" t="e">
        <f t="shared" ca="1" si="144"/>
        <v>#REF!</v>
      </c>
      <c r="BJ211" s="364" t="str">
        <f t="shared" ca="1" si="137"/>
        <v>NULL</v>
      </c>
      <c r="BK211" s="372" t="e">
        <f ca="1">VLOOKUP($BF211&amp;IF($BJ211="NULL",0,$BJ211),所有坦克升星属性,MATCH(BK$3,所有坦克升星属性标头,0),FALSE)+ROUND(BP211/VLOOKUP($BF211,坦克部件!#REF!,4,FALSE)*VLOOKUP($BF211&amp;0,所有坦克升星属性,MATCH(BK$3,所有坦克升星属性标头,0),FALSE),0)</f>
        <v>#N/A</v>
      </c>
      <c r="BL211" s="372" t="e">
        <f ca="1">VLOOKUP($BF211&amp;IF($BJ211="NULL",0,$BJ211),所有坦克升星属性,MATCH(BL$3,所有坦克升星属性标头,0),FALSE)+ROUND(BQ211/VLOOKUP($BF211,坦克部件!#REF!,4,FALSE)*VLOOKUP($BF211&amp;0,所有坦克升星属性,MATCH(BL$3,所有坦克升星属性标头,0),FALSE),0)</f>
        <v>#N/A</v>
      </c>
      <c r="BM211" s="372" t="e">
        <f t="shared" ca="1" si="150"/>
        <v>#N/A</v>
      </c>
      <c r="BN211" s="372" t="e">
        <f t="shared" ca="1" si="150"/>
        <v>#N/A</v>
      </c>
      <c r="BO211" s="372" t="e">
        <f ca="1">VLOOKUP($BF211&amp;IF($BJ211="NULL",0,$BJ211),所有坦克升星属性,MATCH(BO$3,所有坦克升星属性标头,0),FALSE)+ROUND(BR211/VLOOKUP($BF211,坦克部件!#REF!,4,FALSE)*VLOOKUP($BF211&amp;0,所有坦克升星属性,MATCH(BO$3,所有坦克升星属性标头,0),FALSE),0)</f>
        <v>#N/A</v>
      </c>
      <c r="BP211" s="372" t="e">
        <f ca="1">(VLOOKUP($BH211,坦克部件!#REF!,MATCH("标准值",坦克部件!#REF!,0),FALSE)+VLOOKUP($BI211,坦克部件!#REF!,MATCH("标准值",坦克部件!#REF!,0),FALSE))*2</f>
        <v>#REF!</v>
      </c>
      <c r="BQ211" s="372" t="e">
        <f ca="1">(VLOOKUP($BH211,坦克部件!#REF!,MATCH("标准值",坦克部件!#REF!,0),FALSE)+VLOOKUP($BI211,坦克部件!#REF!,MATCH("标准值",坦克部件!#REF!,0),FALSE))*2</f>
        <v>#REF!</v>
      </c>
      <c r="BR211" s="372" t="e">
        <f ca="1">(VLOOKUP($BH211,坦克部件!#REF!,MATCH("标准值",坦克部件!#REF!,0),FALSE)+VLOOKUP($BI211,坦克部件!#REF!,MATCH("标准值",坦克部件!#REF!,0),FALSE))*2</f>
        <v>#REF!</v>
      </c>
      <c r="BS211" s="372" t="e">
        <f ca="1">VLOOKUP($BF211,坦克属性统计!$B$3:$AY$33,MATCH(BS$3,坦克属性统计!$B$3:$AY$3,0),FALSE)</f>
        <v>#N/A</v>
      </c>
      <c r="BT211" s="372" t="e">
        <f t="shared" ca="1" si="151"/>
        <v>#N/A</v>
      </c>
      <c r="BU211" s="372" t="e">
        <f t="shared" ca="1" si="151"/>
        <v>#N/A</v>
      </c>
      <c r="BV211" s="372" t="e">
        <f t="shared" ca="1" si="151"/>
        <v>#N/A</v>
      </c>
      <c r="BW211" s="356">
        <f t="shared" ca="1" si="138"/>
        <v>0</v>
      </c>
      <c r="BX211" s="356" t="e">
        <f ca="1">VLOOKUP(BF211,坦克个性化设定!$B$18:$E$48,4,FALSE)</f>
        <v>#N/A</v>
      </c>
      <c r="BY211" s="357" t="e">
        <f t="shared" ca="1" si="145"/>
        <v>#N/A</v>
      </c>
    </row>
    <row r="212" spans="15:77" x14ac:dyDescent="0.35">
      <c r="O212" s="365">
        <v>209</v>
      </c>
      <c r="P212" s="360" t="e">
        <f t="shared" ca="1" si="115"/>
        <v>#REF!</v>
      </c>
      <c r="Q212" s="360" t="e">
        <f ca="1">ROUND(MIN((BD212-VLOOKUP(R212,$B$22:$F$46,2,FALSE))/(VLOOKUP(R212,$B$22:$F$46,3,FALSE)-VLOOKUP(R212,$B$22:$F$46,2,FALSE)),1)*((VLOOKUP(R212,$B$22:$F$46,4,FALSE)*(AG212/(AG212+VLOOKUP(P212,$D$49:$F$123,3,TRUE)))+VLOOKUP(R212,$B$22:$F$46,5,FALSE)*(1-AG212/(AG212+VLOOKUP(P212,$D$49:$F$123,3,TRUE))))/2)*游戏时长规划!$C$4,0)</f>
        <v>#REF!</v>
      </c>
      <c r="R212" s="360" t="e">
        <f t="shared" ca="1" si="125"/>
        <v>#REF!</v>
      </c>
      <c r="S212" s="360" t="e">
        <f t="shared" ca="1" si="146"/>
        <v>#REF!</v>
      </c>
      <c r="T212" s="360" t="e">
        <f t="shared" ca="1" si="116"/>
        <v>#REF!</v>
      </c>
      <c r="U212" s="370" t="e">
        <f t="shared" ca="1" si="126"/>
        <v>#REF!</v>
      </c>
      <c r="V212" s="363" t="e">
        <f t="shared" ca="1" si="147"/>
        <v>#REF!</v>
      </c>
      <c r="W212" s="360" t="e">
        <f t="shared" ca="1" si="127"/>
        <v>#REF!</v>
      </c>
      <c r="X212" s="81" t="e">
        <f t="shared" ca="1" si="139"/>
        <v>#REF!</v>
      </c>
      <c r="Y212" s="360" t="str">
        <f t="shared" ca="1" si="128"/>
        <v>NULL</v>
      </c>
      <c r="Z212" s="375" t="e">
        <f t="shared" ca="1" si="140"/>
        <v>#REF!</v>
      </c>
      <c r="AA212" s="360">
        <f ca="1">IFERROR(VLOOKUP(IF(V212="T1低",游戏时长规划!$C$67+Z212,Z212),INDIRECT(V212&amp;"星级"),2,TRUE),0)</f>
        <v>0</v>
      </c>
      <c r="AB212" s="375" t="e">
        <f t="shared" ca="1" si="129"/>
        <v>#REF!</v>
      </c>
      <c r="AC212" s="375">
        <f ca="1">($D$14+$D$17)*$L$4/坦克部件养成!$C$2+AC211-IFERROR(IF(RIGHT(AD211,3)*1&gt;RIGHT(VLOOKUP(AC211,INDIRECT(LEFT(AD210,2)&amp;"部件升阶"),5,TRUE),3)*1,VLOOKUP(AD210,INDIRECT(LEFT(AD210,2)&amp;"部件升阶消耗"),2,FALSE),0),0)</f>
        <v>2473.166666666667</v>
      </c>
      <c r="AD212" s="360" t="e">
        <f t="shared" ca="1" si="130"/>
        <v>#REF!</v>
      </c>
      <c r="AE212" s="375" t="e">
        <f ca="1">$D$15*$L$4/坦克部件养成!$C$2+AE211-IF(LEFT(AD212,2)&lt;&gt;LEFT(AD211,2),VLOOKUP(AF211,INDIRECT(LEFT(AD211,2)&amp;"部件升级消耗"),5,FALSE),0)</f>
        <v>#REF!</v>
      </c>
      <c r="AF212" s="360" t="e">
        <f ca="1">MIN(VLOOKUP(AE212,INDIRECT(LEFT(AD212,2)&amp;"部件升级"),2,TRUE),VLOOKUP(LEFT(AD212,2),坦克部件养成!#REF!,6,FALSE))</f>
        <v>#REF!</v>
      </c>
      <c r="AG212" s="378" t="e">
        <f ca="1">MAX(BD$4:BD212)</f>
        <v>#REF!</v>
      </c>
      <c r="AH212" s="378" t="str">
        <f t="shared" ca="1" si="131"/>
        <v/>
      </c>
      <c r="AI212" s="378">
        <f ca="1">IF(Y212="NULL",0,MAX(BY$4:BY212))</f>
        <v>0</v>
      </c>
      <c r="AK212" s="364" t="e">
        <f t="shared" ca="1" si="132"/>
        <v>#REF!</v>
      </c>
      <c r="AL212" s="364" t="e">
        <f ca="1">VLOOKUP(AK212,坦克个性化设定!$B$18:$F$48,5,FALSE)</f>
        <v>#REF!</v>
      </c>
      <c r="AM212" s="372" t="e">
        <f t="shared" ca="1" si="133"/>
        <v>#REF!</v>
      </c>
      <c r="AN212" s="372" t="e">
        <f t="shared" ca="1" si="141"/>
        <v>#REF!</v>
      </c>
      <c r="AO212" s="364">
        <f t="shared" ca="1" si="134"/>
        <v>0</v>
      </c>
      <c r="AP212" s="372" t="e">
        <f ca="1">VLOOKUP($AK212&amp;$AO212,所有坦克升星属性,MATCH(AP$3,所有坦克升星属性标头,0),FALSE)+ROUND(AU212/VLOOKUP($AK212,坦克部件!#REF!,4,FALSE)*VLOOKUP($AK212&amp;0,所有坦克升星属性,MATCH(AP$3,所有坦克升星属性标头,0),FALSE),0)</f>
        <v>#REF!</v>
      </c>
      <c r="AQ212" s="372" t="e">
        <f ca="1">VLOOKUP($AK212&amp;$AO212,所有坦克升星属性,MATCH(AQ$3,所有坦克升星属性标头,0),FALSE)+ROUND(AV212/VLOOKUP($AK212,坦克部件!#REF!,4,FALSE)*VLOOKUP($AK212&amp;0,所有坦克升星属性,MATCH(AQ$3,所有坦克升星属性标头,0),FALSE),0)</f>
        <v>#REF!</v>
      </c>
      <c r="AR212" s="372" t="e">
        <f t="shared" ca="1" si="148"/>
        <v>#REF!</v>
      </c>
      <c r="AS212" s="372" t="e">
        <f t="shared" ca="1" si="148"/>
        <v>#REF!</v>
      </c>
      <c r="AT212" s="372" t="e">
        <f ca="1">VLOOKUP($AK212&amp;$AO212,所有坦克升星属性,MATCH(AT$3,所有坦克升星属性标头,0),FALSE)+ROUND(AW212/VLOOKUP($AK212,坦克部件!#REF!,4,FALSE)*VLOOKUP($AK212&amp;0,所有坦克升星属性,MATCH(AT$3,所有坦克升星属性标头,0),FALSE),0)</f>
        <v>#REF!</v>
      </c>
      <c r="AU212" s="372" t="e">
        <f ca="1">(VLOOKUP($AM212,坦克部件!#REF!,MATCH("标准值",坦克部件!#REF!,0),FALSE)+VLOOKUP($AN212,坦克部件!#REF!,MATCH("标准值",坦克部件!#REF!,0),FALSE))*2</f>
        <v>#REF!</v>
      </c>
      <c r="AV212" s="372" t="e">
        <f ca="1">(VLOOKUP($AM212,坦克部件!#REF!,MATCH("标准值",坦克部件!#REF!,0),FALSE)+VLOOKUP($AN212,坦克部件!#REF!,MATCH("标准值",坦克部件!#REF!,0),FALSE))*2</f>
        <v>#REF!</v>
      </c>
      <c r="AW212" s="372" t="e">
        <f ca="1">(VLOOKUP($AM212,坦克部件!#REF!,MATCH("标准值",坦克部件!#REF!,0),FALSE)+VLOOKUP($AN212,坦克部件!#REF!,MATCH("标准值",坦克部件!#REF!,0),FALSE))*2</f>
        <v>#REF!</v>
      </c>
      <c r="AX212" s="372" t="e">
        <f ca="1">VLOOKUP($AK212,坦克属性统计!$B$3:$AY$33,MATCH(AX$3,坦克属性统计!$B$3:$AY$3,0),FALSE)</f>
        <v>#REF!</v>
      </c>
      <c r="AY212" s="372" t="e">
        <f t="shared" ca="1" si="149"/>
        <v>#REF!</v>
      </c>
      <c r="AZ212" s="372" t="e">
        <f t="shared" ca="1" si="149"/>
        <v>#REF!</v>
      </c>
      <c r="BA212" s="372" t="e">
        <f t="shared" ca="1" si="149"/>
        <v>#REF!</v>
      </c>
      <c r="BB212" s="356" t="e">
        <f t="shared" ca="1" si="135"/>
        <v>#REF!</v>
      </c>
      <c r="BC212" s="356" t="e">
        <f ca="1">VLOOKUP(AK212,坦克个性化设定!$B$18:$E$48,4,FALSE)</f>
        <v>#REF!</v>
      </c>
      <c r="BD212" s="357" t="e">
        <f t="shared" ca="1" si="142"/>
        <v>#REF!</v>
      </c>
      <c r="BF212" s="357" t="str">
        <f t="shared" ca="1" si="136"/>
        <v/>
      </c>
      <c r="BG212" s="372" t="str">
        <f ca="1">IFERROR(VLOOKUP(BF212,坦克个性化设定!$B$18:$F$48,5,FALSE),"")</f>
        <v/>
      </c>
      <c r="BH212" s="372" t="e">
        <f t="shared" ca="1" si="143"/>
        <v>#REF!</v>
      </c>
      <c r="BI212" s="372" t="e">
        <f t="shared" ca="1" si="144"/>
        <v>#REF!</v>
      </c>
      <c r="BJ212" s="364" t="str">
        <f t="shared" ca="1" si="137"/>
        <v>NULL</v>
      </c>
      <c r="BK212" s="372" t="e">
        <f ca="1">VLOOKUP($BF212&amp;IF($BJ212="NULL",0,$BJ212),所有坦克升星属性,MATCH(BK$3,所有坦克升星属性标头,0),FALSE)+ROUND(BP212/VLOOKUP($BF212,坦克部件!#REF!,4,FALSE)*VLOOKUP($BF212&amp;0,所有坦克升星属性,MATCH(BK$3,所有坦克升星属性标头,0),FALSE),0)</f>
        <v>#N/A</v>
      </c>
      <c r="BL212" s="372" t="e">
        <f ca="1">VLOOKUP($BF212&amp;IF($BJ212="NULL",0,$BJ212),所有坦克升星属性,MATCH(BL$3,所有坦克升星属性标头,0),FALSE)+ROUND(BQ212/VLOOKUP($BF212,坦克部件!#REF!,4,FALSE)*VLOOKUP($BF212&amp;0,所有坦克升星属性,MATCH(BL$3,所有坦克升星属性标头,0),FALSE),0)</f>
        <v>#N/A</v>
      </c>
      <c r="BM212" s="372" t="e">
        <f t="shared" ca="1" si="150"/>
        <v>#N/A</v>
      </c>
      <c r="BN212" s="372" t="e">
        <f t="shared" ca="1" si="150"/>
        <v>#N/A</v>
      </c>
      <c r="BO212" s="372" t="e">
        <f ca="1">VLOOKUP($BF212&amp;IF($BJ212="NULL",0,$BJ212),所有坦克升星属性,MATCH(BO$3,所有坦克升星属性标头,0),FALSE)+ROUND(BR212/VLOOKUP($BF212,坦克部件!#REF!,4,FALSE)*VLOOKUP($BF212&amp;0,所有坦克升星属性,MATCH(BO$3,所有坦克升星属性标头,0),FALSE),0)</f>
        <v>#N/A</v>
      </c>
      <c r="BP212" s="372" t="e">
        <f ca="1">(VLOOKUP($BH212,坦克部件!#REF!,MATCH("标准值",坦克部件!#REF!,0),FALSE)+VLOOKUP($BI212,坦克部件!#REF!,MATCH("标准值",坦克部件!#REF!,0),FALSE))*2</f>
        <v>#REF!</v>
      </c>
      <c r="BQ212" s="372" t="e">
        <f ca="1">(VLOOKUP($BH212,坦克部件!#REF!,MATCH("标准值",坦克部件!#REF!,0),FALSE)+VLOOKUP($BI212,坦克部件!#REF!,MATCH("标准值",坦克部件!#REF!,0),FALSE))*2</f>
        <v>#REF!</v>
      </c>
      <c r="BR212" s="372" t="e">
        <f ca="1">(VLOOKUP($BH212,坦克部件!#REF!,MATCH("标准值",坦克部件!#REF!,0),FALSE)+VLOOKUP($BI212,坦克部件!#REF!,MATCH("标准值",坦克部件!#REF!,0),FALSE))*2</f>
        <v>#REF!</v>
      </c>
      <c r="BS212" s="372" t="e">
        <f ca="1">VLOOKUP($BF212,坦克属性统计!$B$3:$AY$33,MATCH(BS$3,坦克属性统计!$B$3:$AY$3,0),FALSE)</f>
        <v>#N/A</v>
      </c>
      <c r="BT212" s="372" t="e">
        <f t="shared" ca="1" si="151"/>
        <v>#N/A</v>
      </c>
      <c r="BU212" s="372" t="e">
        <f t="shared" ca="1" si="151"/>
        <v>#N/A</v>
      </c>
      <c r="BV212" s="372" t="e">
        <f t="shared" ca="1" si="151"/>
        <v>#N/A</v>
      </c>
      <c r="BW212" s="356">
        <f t="shared" ca="1" si="138"/>
        <v>0</v>
      </c>
      <c r="BX212" s="356" t="e">
        <f ca="1">VLOOKUP(BF212,坦克个性化设定!$B$18:$E$48,4,FALSE)</f>
        <v>#N/A</v>
      </c>
      <c r="BY212" s="357" t="e">
        <f t="shared" ca="1" si="145"/>
        <v>#N/A</v>
      </c>
    </row>
    <row r="213" spans="15:77" x14ac:dyDescent="0.35">
      <c r="O213" s="365">
        <v>210</v>
      </c>
      <c r="P213" s="360" t="e">
        <f t="shared" ca="1" si="115"/>
        <v>#REF!</v>
      </c>
      <c r="Q213" s="360" t="e">
        <f ca="1">ROUND(MIN((BD213-VLOOKUP(R213,$B$22:$F$46,2,FALSE))/(VLOOKUP(R213,$B$22:$F$46,3,FALSE)-VLOOKUP(R213,$B$22:$F$46,2,FALSE)),1)*((VLOOKUP(R213,$B$22:$F$46,4,FALSE)*(AG213/(AG213+VLOOKUP(P213,$D$49:$F$123,3,TRUE)))+VLOOKUP(R213,$B$22:$F$46,5,FALSE)*(1-AG213/(AG213+VLOOKUP(P213,$D$49:$F$123,3,TRUE))))/2)*游戏时长规划!$C$4,0)</f>
        <v>#REF!</v>
      </c>
      <c r="R213" s="360" t="e">
        <f t="shared" ca="1" si="125"/>
        <v>#REF!</v>
      </c>
      <c r="S213" s="360" t="e">
        <f t="shared" ca="1" si="146"/>
        <v>#REF!</v>
      </c>
      <c r="T213" s="360" t="e">
        <f t="shared" ca="1" si="116"/>
        <v>#REF!</v>
      </c>
      <c r="U213" s="370" t="e">
        <f t="shared" ca="1" si="126"/>
        <v>#REF!</v>
      </c>
      <c r="V213" s="363" t="e">
        <f t="shared" ca="1" si="147"/>
        <v>#REF!</v>
      </c>
      <c r="W213" s="360" t="e">
        <f t="shared" ca="1" si="127"/>
        <v>#REF!</v>
      </c>
      <c r="X213" s="81" t="e">
        <f t="shared" ca="1" si="139"/>
        <v>#REF!</v>
      </c>
      <c r="Y213" s="360" t="str">
        <f t="shared" ca="1" si="128"/>
        <v>NULL</v>
      </c>
      <c r="Z213" s="375" t="e">
        <f t="shared" ca="1" si="140"/>
        <v>#REF!</v>
      </c>
      <c r="AA213" s="360">
        <f ca="1">IFERROR(VLOOKUP(IF(V213="T1低",游戏时长规划!$C$67+Z213,Z213),INDIRECT(V213&amp;"星级"),2,TRUE),0)</f>
        <v>0</v>
      </c>
      <c r="AB213" s="375" t="e">
        <f t="shared" ca="1" si="129"/>
        <v>#REF!</v>
      </c>
      <c r="AC213" s="375">
        <f ca="1">($D$14+$D$17)*$L$4/坦克部件养成!$C$2+AC212-IFERROR(IF(RIGHT(AD212,3)*1&gt;RIGHT(VLOOKUP(AC212,INDIRECT(LEFT(AD211,2)&amp;"部件升阶"),5,TRUE),3)*1,VLOOKUP(AD211,INDIRECT(LEFT(AD211,2)&amp;"部件升阶消耗"),2,FALSE),0),0)</f>
        <v>2485.0000000000005</v>
      </c>
      <c r="AD213" s="360" t="e">
        <f t="shared" ca="1" si="130"/>
        <v>#REF!</v>
      </c>
      <c r="AE213" s="375" t="e">
        <f ca="1">$D$15*$L$4/坦克部件养成!$C$2+AE212-IF(LEFT(AD213,2)&lt;&gt;LEFT(AD212,2),VLOOKUP(AF212,INDIRECT(LEFT(AD212,2)&amp;"部件升级消耗"),5,FALSE),0)</f>
        <v>#REF!</v>
      </c>
      <c r="AF213" s="360" t="e">
        <f ca="1">MIN(VLOOKUP(AE213,INDIRECT(LEFT(AD213,2)&amp;"部件升级"),2,TRUE),VLOOKUP(LEFT(AD213,2),坦克部件养成!#REF!,6,FALSE))</f>
        <v>#REF!</v>
      </c>
      <c r="AG213" s="378" t="e">
        <f ca="1">MAX(BD$4:BD213)</f>
        <v>#REF!</v>
      </c>
      <c r="AH213" s="378" t="str">
        <f t="shared" ca="1" si="131"/>
        <v/>
      </c>
      <c r="AI213" s="378">
        <f ca="1">IF(Y213="NULL",0,MAX(BY$4:BY213))</f>
        <v>0</v>
      </c>
      <c r="AK213" s="364" t="e">
        <f t="shared" ca="1" si="132"/>
        <v>#REF!</v>
      </c>
      <c r="AL213" s="364" t="e">
        <f ca="1">VLOOKUP(AK213,坦克个性化设定!$B$18:$F$48,5,FALSE)</f>
        <v>#REF!</v>
      </c>
      <c r="AM213" s="372" t="e">
        <f t="shared" ca="1" si="133"/>
        <v>#REF!</v>
      </c>
      <c r="AN213" s="372" t="e">
        <f t="shared" ca="1" si="141"/>
        <v>#REF!</v>
      </c>
      <c r="AO213" s="364">
        <f t="shared" ca="1" si="134"/>
        <v>0</v>
      </c>
      <c r="AP213" s="372" t="e">
        <f ca="1">VLOOKUP($AK213&amp;$AO213,所有坦克升星属性,MATCH(AP$3,所有坦克升星属性标头,0),FALSE)+ROUND(AU213/VLOOKUP($AK213,坦克部件!#REF!,4,FALSE)*VLOOKUP($AK213&amp;0,所有坦克升星属性,MATCH(AP$3,所有坦克升星属性标头,0),FALSE),0)</f>
        <v>#REF!</v>
      </c>
      <c r="AQ213" s="372" t="e">
        <f ca="1">VLOOKUP($AK213&amp;$AO213,所有坦克升星属性,MATCH(AQ$3,所有坦克升星属性标头,0),FALSE)+ROUND(AV213/VLOOKUP($AK213,坦克部件!#REF!,4,FALSE)*VLOOKUP($AK213&amp;0,所有坦克升星属性,MATCH(AQ$3,所有坦克升星属性标头,0),FALSE),0)</f>
        <v>#REF!</v>
      </c>
      <c r="AR213" s="372" t="e">
        <f t="shared" ca="1" si="148"/>
        <v>#REF!</v>
      </c>
      <c r="AS213" s="372" t="e">
        <f t="shared" ca="1" si="148"/>
        <v>#REF!</v>
      </c>
      <c r="AT213" s="372" t="e">
        <f ca="1">VLOOKUP($AK213&amp;$AO213,所有坦克升星属性,MATCH(AT$3,所有坦克升星属性标头,0),FALSE)+ROUND(AW213/VLOOKUP($AK213,坦克部件!#REF!,4,FALSE)*VLOOKUP($AK213&amp;0,所有坦克升星属性,MATCH(AT$3,所有坦克升星属性标头,0),FALSE),0)</f>
        <v>#REF!</v>
      </c>
      <c r="AU213" s="372" t="e">
        <f ca="1">(VLOOKUP($AM213,坦克部件!#REF!,MATCH("标准值",坦克部件!#REF!,0),FALSE)+VLOOKUP($AN213,坦克部件!#REF!,MATCH("标准值",坦克部件!#REF!,0),FALSE))*2</f>
        <v>#REF!</v>
      </c>
      <c r="AV213" s="372" t="e">
        <f ca="1">(VLOOKUP($AM213,坦克部件!#REF!,MATCH("标准值",坦克部件!#REF!,0),FALSE)+VLOOKUP($AN213,坦克部件!#REF!,MATCH("标准值",坦克部件!#REF!,0),FALSE))*2</f>
        <v>#REF!</v>
      </c>
      <c r="AW213" s="372" t="e">
        <f ca="1">(VLOOKUP($AM213,坦克部件!#REF!,MATCH("标准值",坦克部件!#REF!,0),FALSE)+VLOOKUP($AN213,坦克部件!#REF!,MATCH("标准值",坦克部件!#REF!,0),FALSE))*2</f>
        <v>#REF!</v>
      </c>
      <c r="AX213" s="372" t="e">
        <f ca="1">VLOOKUP($AK213,坦克属性统计!$B$3:$AY$33,MATCH(AX$3,坦克属性统计!$B$3:$AY$3,0),FALSE)</f>
        <v>#REF!</v>
      </c>
      <c r="AY213" s="372" t="e">
        <f t="shared" ca="1" si="149"/>
        <v>#REF!</v>
      </c>
      <c r="AZ213" s="372" t="e">
        <f t="shared" ca="1" si="149"/>
        <v>#REF!</v>
      </c>
      <c r="BA213" s="372" t="e">
        <f t="shared" ca="1" si="149"/>
        <v>#REF!</v>
      </c>
      <c r="BB213" s="356" t="e">
        <f t="shared" ca="1" si="135"/>
        <v>#REF!</v>
      </c>
      <c r="BC213" s="356" t="e">
        <f ca="1">VLOOKUP(AK213,坦克个性化设定!$B$18:$E$48,4,FALSE)</f>
        <v>#REF!</v>
      </c>
      <c r="BD213" s="357" t="e">
        <f t="shared" ca="1" si="142"/>
        <v>#REF!</v>
      </c>
      <c r="BF213" s="357" t="str">
        <f t="shared" ca="1" si="136"/>
        <v/>
      </c>
      <c r="BG213" s="372" t="str">
        <f ca="1">IFERROR(VLOOKUP(BF213,坦克个性化设定!$B$18:$F$48,5,FALSE),"")</f>
        <v/>
      </c>
      <c r="BH213" s="372" t="e">
        <f t="shared" ca="1" si="143"/>
        <v>#REF!</v>
      </c>
      <c r="BI213" s="372" t="e">
        <f t="shared" ca="1" si="144"/>
        <v>#REF!</v>
      </c>
      <c r="BJ213" s="364" t="str">
        <f t="shared" ca="1" si="137"/>
        <v>NULL</v>
      </c>
      <c r="BK213" s="372" t="e">
        <f ca="1">VLOOKUP($BF213&amp;IF($BJ213="NULL",0,$BJ213),所有坦克升星属性,MATCH(BK$3,所有坦克升星属性标头,0),FALSE)+ROUND(BP213/VLOOKUP($BF213,坦克部件!#REF!,4,FALSE)*VLOOKUP($BF213&amp;0,所有坦克升星属性,MATCH(BK$3,所有坦克升星属性标头,0),FALSE),0)</f>
        <v>#N/A</v>
      </c>
      <c r="BL213" s="372" t="e">
        <f ca="1">VLOOKUP($BF213&amp;IF($BJ213="NULL",0,$BJ213),所有坦克升星属性,MATCH(BL$3,所有坦克升星属性标头,0),FALSE)+ROUND(BQ213/VLOOKUP($BF213,坦克部件!#REF!,4,FALSE)*VLOOKUP($BF213&amp;0,所有坦克升星属性,MATCH(BL$3,所有坦克升星属性标头,0),FALSE),0)</f>
        <v>#N/A</v>
      </c>
      <c r="BM213" s="372" t="e">
        <f t="shared" ca="1" si="150"/>
        <v>#N/A</v>
      </c>
      <c r="BN213" s="372" t="e">
        <f t="shared" ca="1" si="150"/>
        <v>#N/A</v>
      </c>
      <c r="BO213" s="372" t="e">
        <f ca="1">VLOOKUP($BF213&amp;IF($BJ213="NULL",0,$BJ213),所有坦克升星属性,MATCH(BO$3,所有坦克升星属性标头,0),FALSE)+ROUND(BR213/VLOOKUP($BF213,坦克部件!#REF!,4,FALSE)*VLOOKUP($BF213&amp;0,所有坦克升星属性,MATCH(BO$3,所有坦克升星属性标头,0),FALSE),0)</f>
        <v>#N/A</v>
      </c>
      <c r="BP213" s="372" t="e">
        <f ca="1">(VLOOKUP($BH213,坦克部件!#REF!,MATCH("标准值",坦克部件!#REF!,0),FALSE)+VLOOKUP($BI213,坦克部件!#REF!,MATCH("标准值",坦克部件!#REF!,0),FALSE))*2</f>
        <v>#REF!</v>
      </c>
      <c r="BQ213" s="372" t="e">
        <f ca="1">(VLOOKUP($BH213,坦克部件!#REF!,MATCH("标准值",坦克部件!#REF!,0),FALSE)+VLOOKUP($BI213,坦克部件!#REF!,MATCH("标准值",坦克部件!#REF!,0),FALSE))*2</f>
        <v>#REF!</v>
      </c>
      <c r="BR213" s="372" t="e">
        <f ca="1">(VLOOKUP($BH213,坦克部件!#REF!,MATCH("标准值",坦克部件!#REF!,0),FALSE)+VLOOKUP($BI213,坦克部件!#REF!,MATCH("标准值",坦克部件!#REF!,0),FALSE))*2</f>
        <v>#REF!</v>
      </c>
      <c r="BS213" s="372" t="e">
        <f ca="1">VLOOKUP($BF213,坦克属性统计!$B$3:$AY$33,MATCH(BS$3,坦克属性统计!$B$3:$AY$3,0),FALSE)</f>
        <v>#N/A</v>
      </c>
      <c r="BT213" s="372" t="e">
        <f t="shared" ca="1" si="151"/>
        <v>#N/A</v>
      </c>
      <c r="BU213" s="372" t="e">
        <f t="shared" ca="1" si="151"/>
        <v>#N/A</v>
      </c>
      <c r="BV213" s="372" t="e">
        <f t="shared" ca="1" si="151"/>
        <v>#N/A</v>
      </c>
      <c r="BW213" s="356">
        <f t="shared" ca="1" si="138"/>
        <v>0</v>
      </c>
      <c r="BX213" s="356" t="e">
        <f ca="1">VLOOKUP(BF213,坦克个性化设定!$B$18:$E$48,4,FALSE)</f>
        <v>#N/A</v>
      </c>
      <c r="BY213" s="357" t="e">
        <f t="shared" ca="1" si="145"/>
        <v>#N/A</v>
      </c>
    </row>
    <row r="214" spans="15:77" x14ac:dyDescent="0.35">
      <c r="O214" s="365">
        <v>211</v>
      </c>
      <c r="P214" s="360" t="e">
        <f t="shared" ca="1" si="115"/>
        <v>#REF!</v>
      </c>
      <c r="Q214" s="360" t="e">
        <f ca="1">ROUND(MIN((BD214-VLOOKUP(R214,$B$22:$F$46,2,FALSE))/(VLOOKUP(R214,$B$22:$F$46,3,FALSE)-VLOOKUP(R214,$B$22:$F$46,2,FALSE)),1)*((VLOOKUP(R214,$B$22:$F$46,4,FALSE)*(AG214/(AG214+VLOOKUP(P214,$D$49:$F$123,3,TRUE)))+VLOOKUP(R214,$B$22:$F$46,5,FALSE)*(1-AG214/(AG214+VLOOKUP(P214,$D$49:$F$123,3,TRUE))))/2)*游戏时长规划!$C$4,0)</f>
        <v>#REF!</v>
      </c>
      <c r="R214" s="360" t="e">
        <f t="shared" ca="1" si="125"/>
        <v>#REF!</v>
      </c>
      <c r="S214" s="360" t="e">
        <f t="shared" ca="1" si="146"/>
        <v>#REF!</v>
      </c>
      <c r="T214" s="360" t="e">
        <f t="shared" ca="1" si="116"/>
        <v>#REF!</v>
      </c>
      <c r="U214" s="370" t="e">
        <f t="shared" ca="1" si="126"/>
        <v>#REF!</v>
      </c>
      <c r="V214" s="363" t="e">
        <f t="shared" ca="1" si="147"/>
        <v>#REF!</v>
      </c>
      <c r="W214" s="360" t="e">
        <f t="shared" ca="1" si="127"/>
        <v>#REF!</v>
      </c>
      <c r="X214" s="81" t="e">
        <f t="shared" ca="1" si="139"/>
        <v>#REF!</v>
      </c>
      <c r="Y214" s="360" t="str">
        <f t="shared" ca="1" si="128"/>
        <v>NULL</v>
      </c>
      <c r="Z214" s="375" t="e">
        <f t="shared" ca="1" si="140"/>
        <v>#REF!</v>
      </c>
      <c r="AA214" s="360">
        <f ca="1">IFERROR(VLOOKUP(IF(V214="T1低",游戏时长规划!$C$67+Z214,Z214),INDIRECT(V214&amp;"星级"),2,TRUE),0)</f>
        <v>0</v>
      </c>
      <c r="AB214" s="375" t="e">
        <f t="shared" ca="1" si="129"/>
        <v>#REF!</v>
      </c>
      <c r="AC214" s="375">
        <f ca="1">($D$14+$D$17)*$L$4/坦克部件养成!$C$2+AC213-IFERROR(IF(RIGHT(AD213,3)*1&gt;RIGHT(VLOOKUP(AC213,INDIRECT(LEFT(AD212,2)&amp;"部件升阶"),5,TRUE),3)*1,VLOOKUP(AD212,INDIRECT(LEFT(AD212,2)&amp;"部件升阶消耗"),2,FALSE),0),0)</f>
        <v>2496.8333333333339</v>
      </c>
      <c r="AD214" s="360" t="e">
        <f t="shared" ca="1" si="130"/>
        <v>#REF!</v>
      </c>
      <c r="AE214" s="375" t="e">
        <f ca="1">$D$15*$L$4/坦克部件养成!$C$2+AE213-IF(LEFT(AD214,2)&lt;&gt;LEFT(AD213,2),VLOOKUP(AF213,INDIRECT(LEFT(AD213,2)&amp;"部件升级消耗"),5,FALSE),0)</f>
        <v>#REF!</v>
      </c>
      <c r="AF214" s="360" t="e">
        <f ca="1">MIN(VLOOKUP(AE214,INDIRECT(LEFT(AD214,2)&amp;"部件升级"),2,TRUE),VLOOKUP(LEFT(AD214,2),坦克部件养成!#REF!,6,FALSE))</f>
        <v>#REF!</v>
      </c>
      <c r="AG214" s="378" t="e">
        <f ca="1">MAX(BD$4:BD214)</f>
        <v>#REF!</v>
      </c>
      <c r="AH214" s="378" t="str">
        <f t="shared" ca="1" si="131"/>
        <v/>
      </c>
      <c r="AI214" s="378">
        <f ca="1">IF(Y214="NULL",0,MAX(BY$4:BY214))</f>
        <v>0</v>
      </c>
      <c r="AK214" s="364" t="e">
        <f t="shared" ca="1" si="132"/>
        <v>#REF!</v>
      </c>
      <c r="AL214" s="364" t="e">
        <f ca="1">VLOOKUP(AK214,坦克个性化设定!$B$18:$F$48,5,FALSE)</f>
        <v>#REF!</v>
      </c>
      <c r="AM214" s="372" t="e">
        <f t="shared" ca="1" si="133"/>
        <v>#REF!</v>
      </c>
      <c r="AN214" s="372" t="e">
        <f t="shared" ca="1" si="141"/>
        <v>#REF!</v>
      </c>
      <c r="AO214" s="364">
        <f t="shared" ca="1" si="134"/>
        <v>0</v>
      </c>
      <c r="AP214" s="372" t="e">
        <f ca="1">VLOOKUP($AK214&amp;$AO214,所有坦克升星属性,MATCH(AP$3,所有坦克升星属性标头,0),FALSE)+ROUND(AU214/VLOOKUP($AK214,坦克部件!#REF!,4,FALSE)*VLOOKUP($AK214&amp;0,所有坦克升星属性,MATCH(AP$3,所有坦克升星属性标头,0),FALSE),0)</f>
        <v>#REF!</v>
      </c>
      <c r="AQ214" s="372" t="e">
        <f ca="1">VLOOKUP($AK214&amp;$AO214,所有坦克升星属性,MATCH(AQ$3,所有坦克升星属性标头,0),FALSE)+ROUND(AV214/VLOOKUP($AK214,坦克部件!#REF!,4,FALSE)*VLOOKUP($AK214&amp;0,所有坦克升星属性,MATCH(AQ$3,所有坦克升星属性标头,0),FALSE),0)</f>
        <v>#REF!</v>
      </c>
      <c r="AR214" s="372" t="e">
        <f t="shared" ca="1" si="148"/>
        <v>#REF!</v>
      </c>
      <c r="AS214" s="372" t="e">
        <f t="shared" ca="1" si="148"/>
        <v>#REF!</v>
      </c>
      <c r="AT214" s="372" t="e">
        <f ca="1">VLOOKUP($AK214&amp;$AO214,所有坦克升星属性,MATCH(AT$3,所有坦克升星属性标头,0),FALSE)+ROUND(AW214/VLOOKUP($AK214,坦克部件!#REF!,4,FALSE)*VLOOKUP($AK214&amp;0,所有坦克升星属性,MATCH(AT$3,所有坦克升星属性标头,0),FALSE),0)</f>
        <v>#REF!</v>
      </c>
      <c r="AU214" s="372" t="e">
        <f ca="1">(VLOOKUP($AM214,坦克部件!#REF!,MATCH("标准值",坦克部件!#REF!,0),FALSE)+VLOOKUP($AN214,坦克部件!#REF!,MATCH("标准值",坦克部件!#REF!,0),FALSE))*2</f>
        <v>#REF!</v>
      </c>
      <c r="AV214" s="372" t="e">
        <f ca="1">(VLOOKUP($AM214,坦克部件!#REF!,MATCH("标准值",坦克部件!#REF!,0),FALSE)+VLOOKUP($AN214,坦克部件!#REF!,MATCH("标准值",坦克部件!#REF!,0),FALSE))*2</f>
        <v>#REF!</v>
      </c>
      <c r="AW214" s="372" t="e">
        <f ca="1">(VLOOKUP($AM214,坦克部件!#REF!,MATCH("标准值",坦克部件!#REF!,0),FALSE)+VLOOKUP($AN214,坦克部件!#REF!,MATCH("标准值",坦克部件!#REF!,0),FALSE))*2</f>
        <v>#REF!</v>
      </c>
      <c r="AX214" s="372" t="e">
        <f ca="1">VLOOKUP($AK214,坦克属性统计!$B$3:$AY$33,MATCH(AX$3,坦克属性统计!$B$3:$AY$3,0),FALSE)</f>
        <v>#REF!</v>
      </c>
      <c r="AY214" s="372" t="e">
        <f t="shared" ca="1" si="149"/>
        <v>#REF!</v>
      </c>
      <c r="AZ214" s="372" t="e">
        <f t="shared" ca="1" si="149"/>
        <v>#REF!</v>
      </c>
      <c r="BA214" s="372" t="e">
        <f t="shared" ca="1" si="149"/>
        <v>#REF!</v>
      </c>
      <c r="BB214" s="356" t="e">
        <f t="shared" ca="1" si="135"/>
        <v>#REF!</v>
      </c>
      <c r="BC214" s="356" t="e">
        <f ca="1">VLOOKUP(AK214,坦克个性化设定!$B$18:$E$48,4,FALSE)</f>
        <v>#REF!</v>
      </c>
      <c r="BD214" s="357" t="e">
        <f t="shared" ca="1" si="142"/>
        <v>#REF!</v>
      </c>
      <c r="BF214" s="357" t="str">
        <f t="shared" ca="1" si="136"/>
        <v/>
      </c>
      <c r="BG214" s="372" t="str">
        <f ca="1">IFERROR(VLOOKUP(BF214,坦克个性化设定!$B$18:$F$48,5,FALSE),"")</f>
        <v/>
      </c>
      <c r="BH214" s="372" t="e">
        <f t="shared" ca="1" si="143"/>
        <v>#REF!</v>
      </c>
      <c r="BI214" s="372" t="e">
        <f t="shared" ca="1" si="144"/>
        <v>#REF!</v>
      </c>
      <c r="BJ214" s="364" t="str">
        <f t="shared" ca="1" si="137"/>
        <v>NULL</v>
      </c>
      <c r="BK214" s="372" t="e">
        <f ca="1">VLOOKUP($BF214&amp;IF($BJ214="NULL",0,$BJ214),所有坦克升星属性,MATCH(BK$3,所有坦克升星属性标头,0),FALSE)+ROUND(BP214/VLOOKUP($BF214,坦克部件!#REF!,4,FALSE)*VLOOKUP($BF214&amp;0,所有坦克升星属性,MATCH(BK$3,所有坦克升星属性标头,0),FALSE),0)</f>
        <v>#N/A</v>
      </c>
      <c r="BL214" s="372" t="e">
        <f ca="1">VLOOKUP($BF214&amp;IF($BJ214="NULL",0,$BJ214),所有坦克升星属性,MATCH(BL$3,所有坦克升星属性标头,0),FALSE)+ROUND(BQ214/VLOOKUP($BF214,坦克部件!#REF!,4,FALSE)*VLOOKUP($BF214&amp;0,所有坦克升星属性,MATCH(BL$3,所有坦克升星属性标头,0),FALSE),0)</f>
        <v>#N/A</v>
      </c>
      <c r="BM214" s="372" t="e">
        <f t="shared" ca="1" si="150"/>
        <v>#N/A</v>
      </c>
      <c r="BN214" s="372" t="e">
        <f t="shared" ca="1" si="150"/>
        <v>#N/A</v>
      </c>
      <c r="BO214" s="372" t="e">
        <f ca="1">VLOOKUP($BF214&amp;IF($BJ214="NULL",0,$BJ214),所有坦克升星属性,MATCH(BO$3,所有坦克升星属性标头,0),FALSE)+ROUND(BR214/VLOOKUP($BF214,坦克部件!#REF!,4,FALSE)*VLOOKUP($BF214&amp;0,所有坦克升星属性,MATCH(BO$3,所有坦克升星属性标头,0),FALSE),0)</f>
        <v>#N/A</v>
      </c>
      <c r="BP214" s="372" t="e">
        <f ca="1">(VLOOKUP($BH214,坦克部件!#REF!,MATCH("标准值",坦克部件!#REF!,0),FALSE)+VLOOKUP($BI214,坦克部件!#REF!,MATCH("标准值",坦克部件!#REF!,0),FALSE))*2</f>
        <v>#REF!</v>
      </c>
      <c r="BQ214" s="372" t="e">
        <f ca="1">(VLOOKUP($BH214,坦克部件!#REF!,MATCH("标准值",坦克部件!#REF!,0),FALSE)+VLOOKUP($BI214,坦克部件!#REF!,MATCH("标准值",坦克部件!#REF!,0),FALSE))*2</f>
        <v>#REF!</v>
      </c>
      <c r="BR214" s="372" t="e">
        <f ca="1">(VLOOKUP($BH214,坦克部件!#REF!,MATCH("标准值",坦克部件!#REF!,0),FALSE)+VLOOKUP($BI214,坦克部件!#REF!,MATCH("标准值",坦克部件!#REF!,0),FALSE))*2</f>
        <v>#REF!</v>
      </c>
      <c r="BS214" s="372" t="e">
        <f ca="1">VLOOKUP($BF214,坦克属性统计!$B$3:$AY$33,MATCH(BS$3,坦克属性统计!$B$3:$AY$3,0),FALSE)</f>
        <v>#N/A</v>
      </c>
      <c r="BT214" s="372" t="e">
        <f t="shared" ca="1" si="151"/>
        <v>#N/A</v>
      </c>
      <c r="BU214" s="372" t="e">
        <f t="shared" ca="1" si="151"/>
        <v>#N/A</v>
      </c>
      <c r="BV214" s="372" t="e">
        <f t="shared" ca="1" si="151"/>
        <v>#N/A</v>
      </c>
      <c r="BW214" s="356">
        <f t="shared" ca="1" si="138"/>
        <v>0</v>
      </c>
      <c r="BX214" s="356" t="e">
        <f ca="1">VLOOKUP(BF214,坦克个性化设定!$B$18:$E$48,4,FALSE)</f>
        <v>#N/A</v>
      </c>
      <c r="BY214" s="357" t="e">
        <f t="shared" ca="1" si="145"/>
        <v>#N/A</v>
      </c>
    </row>
    <row r="215" spans="15:77" x14ac:dyDescent="0.35">
      <c r="O215" s="365">
        <v>212</v>
      </c>
      <c r="P215" s="360" t="e">
        <f t="shared" ref="P215:P277" ca="1" si="152">P214+Q214</f>
        <v>#REF!</v>
      </c>
      <c r="Q215" s="360" t="e">
        <f ca="1">ROUND(MIN((BD215-VLOOKUP(R215,$B$22:$F$46,2,FALSE))/(VLOOKUP(R215,$B$22:$F$46,3,FALSE)-VLOOKUP(R215,$B$22:$F$46,2,FALSE)),1)*((VLOOKUP(R215,$B$22:$F$46,4,FALSE)*(AG215/(AG215+VLOOKUP(P215,$D$49:$F$123,3,TRUE)))+VLOOKUP(R215,$B$22:$F$46,5,FALSE)*(1-AG215/(AG215+VLOOKUP(P215,$D$49:$F$123,3,TRUE))))/2)*游戏时长规划!$C$4,0)</f>
        <v>#REF!</v>
      </c>
      <c r="R215" s="360" t="e">
        <f t="shared" ca="1" si="125"/>
        <v>#REF!</v>
      </c>
      <c r="S215" s="360" t="e">
        <f t="shared" ca="1" si="146"/>
        <v>#REF!</v>
      </c>
      <c r="T215" s="360" t="e">
        <f t="shared" ref="T215:T277" ca="1" si="153">VLOOKUP(R215,$H$16:$J$28,3,FALSE)</f>
        <v>#REF!</v>
      </c>
      <c r="U215" s="370" t="e">
        <f t="shared" ca="1" si="126"/>
        <v>#REF!</v>
      </c>
      <c r="V215" s="363" t="e">
        <f t="shared" ca="1" si="147"/>
        <v>#REF!</v>
      </c>
      <c r="W215" s="360" t="e">
        <f t="shared" ca="1" si="127"/>
        <v>#REF!</v>
      </c>
      <c r="X215" s="81" t="e">
        <f t="shared" ca="1" si="139"/>
        <v>#REF!</v>
      </c>
      <c r="Y215" s="360" t="str">
        <f t="shared" ca="1" si="128"/>
        <v>NULL</v>
      </c>
      <c r="Z215" s="375" t="e">
        <f t="shared" ca="1" si="140"/>
        <v>#REF!</v>
      </c>
      <c r="AA215" s="360">
        <f ca="1">IFERROR(VLOOKUP(IF(V215="T1低",游戏时长规划!$C$67+Z215,Z215),INDIRECT(V215&amp;"星级"),2,TRUE),0)</f>
        <v>0</v>
      </c>
      <c r="AB215" s="375" t="e">
        <f t="shared" ca="1" si="129"/>
        <v>#REF!</v>
      </c>
      <c r="AC215" s="375">
        <f ca="1">($D$14+$D$17)*$L$4/坦克部件养成!$C$2+AC214-IFERROR(IF(RIGHT(AD214,3)*1&gt;RIGHT(VLOOKUP(AC214,INDIRECT(LEFT(AD213,2)&amp;"部件升阶"),5,TRUE),3)*1,VLOOKUP(AD213,INDIRECT(LEFT(AD213,2)&amp;"部件升阶消耗"),2,FALSE),0),0)</f>
        <v>2508.6666666666674</v>
      </c>
      <c r="AD215" s="360" t="e">
        <f t="shared" ca="1" si="130"/>
        <v>#REF!</v>
      </c>
      <c r="AE215" s="375" t="e">
        <f ca="1">$D$15*$L$4/坦克部件养成!$C$2+AE214-IF(LEFT(AD215,2)&lt;&gt;LEFT(AD214,2),VLOOKUP(AF214,INDIRECT(LEFT(AD214,2)&amp;"部件升级消耗"),5,FALSE),0)</f>
        <v>#REF!</v>
      </c>
      <c r="AF215" s="360" t="e">
        <f ca="1">MIN(VLOOKUP(AE215,INDIRECT(LEFT(AD215,2)&amp;"部件升级"),2,TRUE),VLOOKUP(LEFT(AD215,2),坦克部件养成!#REF!,6,FALSE))</f>
        <v>#REF!</v>
      </c>
      <c r="AG215" s="378" t="e">
        <f ca="1">MAX(BD$4:BD215)</f>
        <v>#REF!</v>
      </c>
      <c r="AH215" s="378" t="str">
        <f t="shared" ca="1" si="131"/>
        <v/>
      </c>
      <c r="AI215" s="378">
        <f ca="1">IF(Y215="NULL",0,MAX(BY$4:BY215))</f>
        <v>0</v>
      </c>
      <c r="AK215" s="364" t="e">
        <f t="shared" ca="1" si="132"/>
        <v>#REF!</v>
      </c>
      <c r="AL215" s="364" t="e">
        <f ca="1">VLOOKUP(AK215,坦克个性化设定!$B$18:$F$48,5,FALSE)</f>
        <v>#REF!</v>
      </c>
      <c r="AM215" s="372" t="e">
        <f t="shared" ca="1" si="133"/>
        <v>#REF!</v>
      </c>
      <c r="AN215" s="372" t="e">
        <f t="shared" ca="1" si="141"/>
        <v>#REF!</v>
      </c>
      <c r="AO215" s="364">
        <f t="shared" ca="1" si="134"/>
        <v>0</v>
      </c>
      <c r="AP215" s="372" t="e">
        <f ca="1">VLOOKUP($AK215&amp;$AO215,所有坦克升星属性,MATCH(AP$3,所有坦克升星属性标头,0),FALSE)+ROUND(AU215/VLOOKUP($AK215,坦克部件!#REF!,4,FALSE)*VLOOKUP($AK215&amp;0,所有坦克升星属性,MATCH(AP$3,所有坦克升星属性标头,0),FALSE),0)</f>
        <v>#REF!</v>
      </c>
      <c r="AQ215" s="372" t="e">
        <f ca="1">VLOOKUP($AK215&amp;$AO215,所有坦克升星属性,MATCH(AQ$3,所有坦克升星属性标头,0),FALSE)+ROUND(AV215/VLOOKUP($AK215,坦克部件!#REF!,4,FALSE)*VLOOKUP($AK215&amp;0,所有坦克升星属性,MATCH(AQ$3,所有坦克升星属性标头,0),FALSE),0)</f>
        <v>#REF!</v>
      </c>
      <c r="AR215" s="372" t="e">
        <f t="shared" ca="1" si="148"/>
        <v>#REF!</v>
      </c>
      <c r="AS215" s="372" t="e">
        <f t="shared" ca="1" si="148"/>
        <v>#REF!</v>
      </c>
      <c r="AT215" s="372" t="e">
        <f ca="1">VLOOKUP($AK215&amp;$AO215,所有坦克升星属性,MATCH(AT$3,所有坦克升星属性标头,0),FALSE)+ROUND(AW215/VLOOKUP($AK215,坦克部件!#REF!,4,FALSE)*VLOOKUP($AK215&amp;0,所有坦克升星属性,MATCH(AT$3,所有坦克升星属性标头,0),FALSE),0)</f>
        <v>#REF!</v>
      </c>
      <c r="AU215" s="372" t="e">
        <f ca="1">(VLOOKUP($AM215,坦克部件!#REF!,MATCH("标准值",坦克部件!#REF!,0),FALSE)+VLOOKUP($AN215,坦克部件!#REF!,MATCH("标准值",坦克部件!#REF!,0),FALSE))*2</f>
        <v>#REF!</v>
      </c>
      <c r="AV215" s="372" t="e">
        <f ca="1">(VLOOKUP($AM215,坦克部件!#REF!,MATCH("标准值",坦克部件!#REF!,0),FALSE)+VLOOKUP($AN215,坦克部件!#REF!,MATCH("标准值",坦克部件!#REF!,0),FALSE))*2</f>
        <v>#REF!</v>
      </c>
      <c r="AW215" s="372" t="e">
        <f ca="1">(VLOOKUP($AM215,坦克部件!#REF!,MATCH("标准值",坦克部件!#REF!,0),FALSE)+VLOOKUP($AN215,坦克部件!#REF!,MATCH("标准值",坦克部件!#REF!,0),FALSE))*2</f>
        <v>#REF!</v>
      </c>
      <c r="AX215" s="372" t="e">
        <f ca="1">VLOOKUP($AK215,坦克属性统计!$B$3:$AY$33,MATCH(AX$3,坦克属性统计!$B$3:$AY$3,0),FALSE)</f>
        <v>#REF!</v>
      </c>
      <c r="AY215" s="372" t="e">
        <f t="shared" ca="1" si="149"/>
        <v>#REF!</v>
      </c>
      <c r="AZ215" s="372" t="e">
        <f t="shared" ca="1" si="149"/>
        <v>#REF!</v>
      </c>
      <c r="BA215" s="372" t="e">
        <f t="shared" ca="1" si="149"/>
        <v>#REF!</v>
      </c>
      <c r="BB215" s="356" t="e">
        <f t="shared" ca="1" si="135"/>
        <v>#REF!</v>
      </c>
      <c r="BC215" s="356" t="e">
        <f ca="1">VLOOKUP(AK215,坦克个性化设定!$B$18:$E$48,4,FALSE)</f>
        <v>#REF!</v>
      </c>
      <c r="BD215" s="357" t="e">
        <f t="shared" ca="1" si="142"/>
        <v>#REF!</v>
      </c>
      <c r="BF215" s="357" t="str">
        <f t="shared" ca="1" si="136"/>
        <v/>
      </c>
      <c r="BG215" s="372" t="str">
        <f ca="1">IFERROR(VLOOKUP(BF215,坦克个性化设定!$B$18:$F$48,5,FALSE),"")</f>
        <v/>
      </c>
      <c r="BH215" s="372" t="e">
        <f t="shared" ca="1" si="143"/>
        <v>#REF!</v>
      </c>
      <c r="BI215" s="372" t="e">
        <f t="shared" ca="1" si="144"/>
        <v>#REF!</v>
      </c>
      <c r="BJ215" s="364" t="str">
        <f t="shared" ca="1" si="137"/>
        <v>NULL</v>
      </c>
      <c r="BK215" s="372" t="e">
        <f ca="1">VLOOKUP($BF215&amp;IF($BJ215="NULL",0,$BJ215),所有坦克升星属性,MATCH(BK$3,所有坦克升星属性标头,0),FALSE)+ROUND(BP215/VLOOKUP($BF215,坦克部件!#REF!,4,FALSE)*VLOOKUP($BF215&amp;0,所有坦克升星属性,MATCH(BK$3,所有坦克升星属性标头,0),FALSE),0)</f>
        <v>#N/A</v>
      </c>
      <c r="BL215" s="372" t="e">
        <f ca="1">VLOOKUP($BF215&amp;IF($BJ215="NULL",0,$BJ215),所有坦克升星属性,MATCH(BL$3,所有坦克升星属性标头,0),FALSE)+ROUND(BQ215/VLOOKUP($BF215,坦克部件!#REF!,4,FALSE)*VLOOKUP($BF215&amp;0,所有坦克升星属性,MATCH(BL$3,所有坦克升星属性标头,0),FALSE),0)</f>
        <v>#N/A</v>
      </c>
      <c r="BM215" s="372" t="e">
        <f t="shared" ca="1" si="150"/>
        <v>#N/A</v>
      </c>
      <c r="BN215" s="372" t="e">
        <f t="shared" ca="1" si="150"/>
        <v>#N/A</v>
      </c>
      <c r="BO215" s="372" t="e">
        <f ca="1">VLOOKUP($BF215&amp;IF($BJ215="NULL",0,$BJ215),所有坦克升星属性,MATCH(BO$3,所有坦克升星属性标头,0),FALSE)+ROUND(BR215/VLOOKUP($BF215,坦克部件!#REF!,4,FALSE)*VLOOKUP($BF215&amp;0,所有坦克升星属性,MATCH(BO$3,所有坦克升星属性标头,0),FALSE),0)</f>
        <v>#N/A</v>
      </c>
      <c r="BP215" s="372" t="e">
        <f ca="1">(VLOOKUP($BH215,坦克部件!#REF!,MATCH("标准值",坦克部件!#REF!,0),FALSE)+VLOOKUP($BI215,坦克部件!#REF!,MATCH("标准值",坦克部件!#REF!,0),FALSE))*2</f>
        <v>#REF!</v>
      </c>
      <c r="BQ215" s="372" t="e">
        <f ca="1">(VLOOKUP($BH215,坦克部件!#REF!,MATCH("标准值",坦克部件!#REF!,0),FALSE)+VLOOKUP($BI215,坦克部件!#REF!,MATCH("标准值",坦克部件!#REF!,0),FALSE))*2</f>
        <v>#REF!</v>
      </c>
      <c r="BR215" s="372" t="e">
        <f ca="1">(VLOOKUP($BH215,坦克部件!#REF!,MATCH("标准值",坦克部件!#REF!,0),FALSE)+VLOOKUP($BI215,坦克部件!#REF!,MATCH("标准值",坦克部件!#REF!,0),FALSE))*2</f>
        <v>#REF!</v>
      </c>
      <c r="BS215" s="372" t="e">
        <f ca="1">VLOOKUP($BF215,坦克属性统计!$B$3:$AY$33,MATCH(BS$3,坦克属性统计!$B$3:$AY$3,0),FALSE)</f>
        <v>#N/A</v>
      </c>
      <c r="BT215" s="372" t="e">
        <f t="shared" ca="1" si="151"/>
        <v>#N/A</v>
      </c>
      <c r="BU215" s="372" t="e">
        <f t="shared" ca="1" si="151"/>
        <v>#N/A</v>
      </c>
      <c r="BV215" s="372" t="e">
        <f t="shared" ca="1" si="151"/>
        <v>#N/A</v>
      </c>
      <c r="BW215" s="356">
        <f t="shared" ca="1" si="138"/>
        <v>0</v>
      </c>
      <c r="BX215" s="356" t="e">
        <f ca="1">VLOOKUP(BF215,坦克个性化设定!$B$18:$E$48,4,FALSE)</f>
        <v>#N/A</v>
      </c>
      <c r="BY215" s="357" t="e">
        <f t="shared" ca="1" si="145"/>
        <v>#N/A</v>
      </c>
    </row>
    <row r="216" spans="15:77" x14ac:dyDescent="0.35">
      <c r="O216" s="365">
        <v>213</v>
      </c>
      <c r="P216" s="360" t="e">
        <f t="shared" ca="1" si="152"/>
        <v>#REF!</v>
      </c>
      <c r="Q216" s="360" t="e">
        <f ca="1">ROUND(MIN((BD216-VLOOKUP(R216,$B$22:$F$46,2,FALSE))/(VLOOKUP(R216,$B$22:$F$46,3,FALSE)-VLOOKUP(R216,$B$22:$F$46,2,FALSE)),1)*((VLOOKUP(R216,$B$22:$F$46,4,FALSE)*(AG216/(AG216+VLOOKUP(P216,$D$49:$F$123,3,TRUE)))+VLOOKUP(R216,$B$22:$F$46,5,FALSE)*(1-AG216/(AG216+VLOOKUP(P216,$D$49:$F$123,3,TRUE))))/2)*游戏时长规划!$C$4,0)</f>
        <v>#REF!</v>
      </c>
      <c r="R216" s="360" t="e">
        <f t="shared" ca="1" si="125"/>
        <v>#REF!</v>
      </c>
      <c r="S216" s="360" t="e">
        <f t="shared" ca="1" si="146"/>
        <v>#REF!</v>
      </c>
      <c r="T216" s="360" t="e">
        <f t="shared" ca="1" si="153"/>
        <v>#REF!</v>
      </c>
      <c r="U216" s="370" t="e">
        <f t="shared" ca="1" si="126"/>
        <v>#REF!</v>
      </c>
      <c r="V216" s="363" t="e">
        <f t="shared" ca="1" si="147"/>
        <v>#REF!</v>
      </c>
      <c r="W216" s="360" t="e">
        <f t="shared" ca="1" si="127"/>
        <v>#REF!</v>
      </c>
      <c r="X216" s="81" t="e">
        <f t="shared" ca="1" si="139"/>
        <v>#REF!</v>
      </c>
      <c r="Y216" s="360" t="str">
        <f t="shared" ca="1" si="128"/>
        <v>NULL</v>
      </c>
      <c r="Z216" s="375" t="e">
        <f t="shared" ca="1" si="140"/>
        <v>#REF!</v>
      </c>
      <c r="AA216" s="360">
        <f ca="1">IFERROR(VLOOKUP(IF(V216="T1低",游戏时长规划!$C$67+Z216,Z216),INDIRECT(V216&amp;"星级"),2,TRUE),0)</f>
        <v>0</v>
      </c>
      <c r="AB216" s="375" t="e">
        <f t="shared" ca="1" si="129"/>
        <v>#REF!</v>
      </c>
      <c r="AC216" s="375">
        <f ca="1">($D$14+$D$17)*$L$4/坦克部件养成!$C$2+AC215-IFERROR(IF(RIGHT(AD215,3)*1&gt;RIGHT(VLOOKUP(AC215,INDIRECT(LEFT(AD214,2)&amp;"部件升阶"),5,TRUE),3)*1,VLOOKUP(AD214,INDIRECT(LEFT(AD214,2)&amp;"部件升阶消耗"),2,FALSE),0),0)</f>
        <v>2520.5000000000009</v>
      </c>
      <c r="AD216" s="360" t="e">
        <f t="shared" ca="1" si="130"/>
        <v>#REF!</v>
      </c>
      <c r="AE216" s="375" t="e">
        <f ca="1">$D$15*$L$4/坦克部件养成!$C$2+AE215-IF(LEFT(AD216,2)&lt;&gt;LEFT(AD215,2),VLOOKUP(AF215,INDIRECT(LEFT(AD215,2)&amp;"部件升级消耗"),5,FALSE),0)</f>
        <v>#REF!</v>
      </c>
      <c r="AF216" s="360" t="e">
        <f ca="1">MIN(VLOOKUP(AE216,INDIRECT(LEFT(AD216,2)&amp;"部件升级"),2,TRUE),VLOOKUP(LEFT(AD216,2),坦克部件养成!#REF!,6,FALSE))</f>
        <v>#REF!</v>
      </c>
      <c r="AG216" s="378" t="e">
        <f ca="1">MAX(BD$4:BD216)</f>
        <v>#REF!</v>
      </c>
      <c r="AH216" s="378" t="str">
        <f t="shared" ca="1" si="131"/>
        <v/>
      </c>
      <c r="AI216" s="378">
        <f ca="1">IF(Y216="NULL",0,MAX(BY$4:BY216))</f>
        <v>0</v>
      </c>
      <c r="AK216" s="364" t="e">
        <f t="shared" ca="1" si="132"/>
        <v>#REF!</v>
      </c>
      <c r="AL216" s="364" t="e">
        <f ca="1">VLOOKUP(AK216,坦克个性化设定!$B$18:$F$48,5,FALSE)</f>
        <v>#REF!</v>
      </c>
      <c r="AM216" s="372" t="e">
        <f t="shared" ca="1" si="133"/>
        <v>#REF!</v>
      </c>
      <c r="AN216" s="372" t="e">
        <f t="shared" ca="1" si="141"/>
        <v>#REF!</v>
      </c>
      <c r="AO216" s="364">
        <f t="shared" ca="1" si="134"/>
        <v>0</v>
      </c>
      <c r="AP216" s="372" t="e">
        <f ca="1">VLOOKUP($AK216&amp;$AO216,所有坦克升星属性,MATCH(AP$3,所有坦克升星属性标头,0),FALSE)+ROUND(AU216/VLOOKUP($AK216,坦克部件!#REF!,4,FALSE)*VLOOKUP($AK216&amp;0,所有坦克升星属性,MATCH(AP$3,所有坦克升星属性标头,0),FALSE),0)</f>
        <v>#REF!</v>
      </c>
      <c r="AQ216" s="372" t="e">
        <f ca="1">VLOOKUP($AK216&amp;$AO216,所有坦克升星属性,MATCH(AQ$3,所有坦克升星属性标头,0),FALSE)+ROUND(AV216/VLOOKUP($AK216,坦克部件!#REF!,4,FALSE)*VLOOKUP($AK216&amp;0,所有坦克升星属性,MATCH(AQ$3,所有坦克升星属性标头,0),FALSE),0)</f>
        <v>#REF!</v>
      </c>
      <c r="AR216" s="372" t="e">
        <f t="shared" ca="1" si="148"/>
        <v>#REF!</v>
      </c>
      <c r="AS216" s="372" t="e">
        <f t="shared" ca="1" si="148"/>
        <v>#REF!</v>
      </c>
      <c r="AT216" s="372" t="e">
        <f ca="1">VLOOKUP($AK216&amp;$AO216,所有坦克升星属性,MATCH(AT$3,所有坦克升星属性标头,0),FALSE)+ROUND(AW216/VLOOKUP($AK216,坦克部件!#REF!,4,FALSE)*VLOOKUP($AK216&amp;0,所有坦克升星属性,MATCH(AT$3,所有坦克升星属性标头,0),FALSE),0)</f>
        <v>#REF!</v>
      </c>
      <c r="AU216" s="372" t="e">
        <f ca="1">(VLOOKUP($AM216,坦克部件!#REF!,MATCH("标准值",坦克部件!#REF!,0),FALSE)+VLOOKUP($AN216,坦克部件!#REF!,MATCH("标准值",坦克部件!#REF!,0),FALSE))*2</f>
        <v>#REF!</v>
      </c>
      <c r="AV216" s="372" t="e">
        <f ca="1">(VLOOKUP($AM216,坦克部件!#REF!,MATCH("标准值",坦克部件!#REF!,0),FALSE)+VLOOKUP($AN216,坦克部件!#REF!,MATCH("标准值",坦克部件!#REF!,0),FALSE))*2</f>
        <v>#REF!</v>
      </c>
      <c r="AW216" s="372" t="e">
        <f ca="1">(VLOOKUP($AM216,坦克部件!#REF!,MATCH("标准值",坦克部件!#REF!,0),FALSE)+VLOOKUP($AN216,坦克部件!#REF!,MATCH("标准值",坦克部件!#REF!,0),FALSE))*2</f>
        <v>#REF!</v>
      </c>
      <c r="AX216" s="372" t="e">
        <f ca="1">VLOOKUP($AK216,坦克属性统计!$B$3:$AY$33,MATCH(AX$3,坦克属性统计!$B$3:$AY$3,0),FALSE)</f>
        <v>#REF!</v>
      </c>
      <c r="AY216" s="372" t="e">
        <f t="shared" ca="1" si="149"/>
        <v>#REF!</v>
      </c>
      <c r="AZ216" s="372" t="e">
        <f t="shared" ca="1" si="149"/>
        <v>#REF!</v>
      </c>
      <c r="BA216" s="372" t="e">
        <f t="shared" ca="1" si="149"/>
        <v>#REF!</v>
      </c>
      <c r="BB216" s="356" t="e">
        <f t="shared" ca="1" si="135"/>
        <v>#REF!</v>
      </c>
      <c r="BC216" s="356" t="e">
        <f ca="1">VLOOKUP(AK216,坦克个性化设定!$B$18:$E$48,4,FALSE)</f>
        <v>#REF!</v>
      </c>
      <c r="BD216" s="357" t="e">
        <f t="shared" ca="1" si="142"/>
        <v>#REF!</v>
      </c>
      <c r="BF216" s="357" t="str">
        <f t="shared" ca="1" si="136"/>
        <v/>
      </c>
      <c r="BG216" s="372" t="str">
        <f ca="1">IFERROR(VLOOKUP(BF216,坦克个性化设定!$B$18:$F$48,5,FALSE),"")</f>
        <v/>
      </c>
      <c r="BH216" s="372" t="e">
        <f t="shared" ca="1" si="143"/>
        <v>#REF!</v>
      </c>
      <c r="BI216" s="372" t="e">
        <f t="shared" ca="1" si="144"/>
        <v>#REF!</v>
      </c>
      <c r="BJ216" s="364" t="str">
        <f t="shared" ca="1" si="137"/>
        <v>NULL</v>
      </c>
      <c r="BK216" s="372" t="e">
        <f ca="1">VLOOKUP($BF216&amp;IF($BJ216="NULL",0,$BJ216),所有坦克升星属性,MATCH(BK$3,所有坦克升星属性标头,0),FALSE)+ROUND(BP216/VLOOKUP($BF216,坦克部件!#REF!,4,FALSE)*VLOOKUP($BF216&amp;0,所有坦克升星属性,MATCH(BK$3,所有坦克升星属性标头,0),FALSE),0)</f>
        <v>#N/A</v>
      </c>
      <c r="BL216" s="372" t="e">
        <f ca="1">VLOOKUP($BF216&amp;IF($BJ216="NULL",0,$BJ216),所有坦克升星属性,MATCH(BL$3,所有坦克升星属性标头,0),FALSE)+ROUND(BQ216/VLOOKUP($BF216,坦克部件!#REF!,4,FALSE)*VLOOKUP($BF216&amp;0,所有坦克升星属性,MATCH(BL$3,所有坦克升星属性标头,0),FALSE),0)</f>
        <v>#N/A</v>
      </c>
      <c r="BM216" s="372" t="e">
        <f t="shared" ca="1" si="150"/>
        <v>#N/A</v>
      </c>
      <c r="BN216" s="372" t="e">
        <f t="shared" ca="1" si="150"/>
        <v>#N/A</v>
      </c>
      <c r="BO216" s="372" t="e">
        <f ca="1">VLOOKUP($BF216&amp;IF($BJ216="NULL",0,$BJ216),所有坦克升星属性,MATCH(BO$3,所有坦克升星属性标头,0),FALSE)+ROUND(BR216/VLOOKUP($BF216,坦克部件!#REF!,4,FALSE)*VLOOKUP($BF216&amp;0,所有坦克升星属性,MATCH(BO$3,所有坦克升星属性标头,0),FALSE),0)</f>
        <v>#N/A</v>
      </c>
      <c r="BP216" s="372" t="e">
        <f ca="1">(VLOOKUP($BH216,坦克部件!#REF!,MATCH("标准值",坦克部件!#REF!,0),FALSE)+VLOOKUP($BI216,坦克部件!#REF!,MATCH("标准值",坦克部件!#REF!,0),FALSE))*2</f>
        <v>#REF!</v>
      </c>
      <c r="BQ216" s="372" t="e">
        <f ca="1">(VLOOKUP($BH216,坦克部件!#REF!,MATCH("标准值",坦克部件!#REF!,0),FALSE)+VLOOKUP($BI216,坦克部件!#REF!,MATCH("标准值",坦克部件!#REF!,0),FALSE))*2</f>
        <v>#REF!</v>
      </c>
      <c r="BR216" s="372" t="e">
        <f ca="1">(VLOOKUP($BH216,坦克部件!#REF!,MATCH("标准值",坦克部件!#REF!,0),FALSE)+VLOOKUP($BI216,坦克部件!#REF!,MATCH("标准值",坦克部件!#REF!,0),FALSE))*2</f>
        <v>#REF!</v>
      </c>
      <c r="BS216" s="372" t="e">
        <f ca="1">VLOOKUP($BF216,坦克属性统计!$B$3:$AY$33,MATCH(BS$3,坦克属性统计!$B$3:$AY$3,0),FALSE)</f>
        <v>#N/A</v>
      </c>
      <c r="BT216" s="372" t="e">
        <f t="shared" ca="1" si="151"/>
        <v>#N/A</v>
      </c>
      <c r="BU216" s="372" t="e">
        <f t="shared" ca="1" si="151"/>
        <v>#N/A</v>
      </c>
      <c r="BV216" s="372" t="e">
        <f t="shared" ca="1" si="151"/>
        <v>#N/A</v>
      </c>
      <c r="BW216" s="356">
        <f t="shared" ca="1" si="138"/>
        <v>0</v>
      </c>
      <c r="BX216" s="356" t="e">
        <f ca="1">VLOOKUP(BF216,坦克个性化设定!$B$18:$E$48,4,FALSE)</f>
        <v>#N/A</v>
      </c>
      <c r="BY216" s="357" t="e">
        <f t="shared" ca="1" si="145"/>
        <v>#N/A</v>
      </c>
    </row>
    <row r="217" spans="15:77" x14ac:dyDescent="0.35">
      <c r="O217" s="365">
        <v>214</v>
      </c>
      <c r="P217" s="360" t="e">
        <f t="shared" ca="1" si="152"/>
        <v>#REF!</v>
      </c>
      <c r="Q217" s="360" t="e">
        <f ca="1">ROUND(MIN((BD217-VLOOKUP(R217,$B$22:$F$46,2,FALSE))/(VLOOKUP(R217,$B$22:$F$46,3,FALSE)-VLOOKUP(R217,$B$22:$F$46,2,FALSE)),1)*((VLOOKUP(R217,$B$22:$F$46,4,FALSE)*(AG217/(AG217+VLOOKUP(P217,$D$49:$F$123,3,TRUE)))+VLOOKUP(R217,$B$22:$F$46,5,FALSE)*(1-AG217/(AG217+VLOOKUP(P217,$D$49:$F$123,3,TRUE))))/2)*游戏时长规划!$C$4,0)</f>
        <v>#REF!</v>
      </c>
      <c r="R217" s="360" t="e">
        <f t="shared" ca="1" si="125"/>
        <v>#REF!</v>
      </c>
      <c r="S217" s="360" t="e">
        <f t="shared" ca="1" si="146"/>
        <v>#REF!</v>
      </c>
      <c r="T217" s="360" t="e">
        <f t="shared" ca="1" si="153"/>
        <v>#REF!</v>
      </c>
      <c r="U217" s="370" t="e">
        <f t="shared" ca="1" si="126"/>
        <v>#REF!</v>
      </c>
      <c r="V217" s="363" t="e">
        <f t="shared" ca="1" si="147"/>
        <v>#REF!</v>
      </c>
      <c r="W217" s="360" t="e">
        <f t="shared" ca="1" si="127"/>
        <v>#REF!</v>
      </c>
      <c r="X217" s="81" t="e">
        <f t="shared" ca="1" si="139"/>
        <v>#REF!</v>
      </c>
      <c r="Y217" s="360" t="str">
        <f t="shared" ca="1" si="128"/>
        <v>NULL</v>
      </c>
      <c r="Z217" s="375" t="e">
        <f t="shared" ca="1" si="140"/>
        <v>#REF!</v>
      </c>
      <c r="AA217" s="360">
        <f ca="1">IFERROR(VLOOKUP(IF(V217="T1低",游戏时长规划!$C$67+Z217,Z217),INDIRECT(V217&amp;"星级"),2,TRUE),0)</f>
        <v>0</v>
      </c>
      <c r="AB217" s="375" t="e">
        <f t="shared" ca="1" si="129"/>
        <v>#REF!</v>
      </c>
      <c r="AC217" s="375">
        <f ca="1">($D$14+$D$17)*$L$4/坦克部件养成!$C$2+AC216-IFERROR(IF(RIGHT(AD216,3)*1&gt;RIGHT(VLOOKUP(AC216,INDIRECT(LEFT(AD215,2)&amp;"部件升阶"),5,TRUE),3)*1,VLOOKUP(AD215,INDIRECT(LEFT(AD215,2)&amp;"部件升阶消耗"),2,FALSE),0),0)</f>
        <v>2532.3333333333344</v>
      </c>
      <c r="AD217" s="360" t="e">
        <f t="shared" ca="1" si="130"/>
        <v>#REF!</v>
      </c>
      <c r="AE217" s="375" t="e">
        <f ca="1">$D$15*$L$4/坦克部件养成!$C$2+AE216-IF(LEFT(AD217,2)&lt;&gt;LEFT(AD216,2),VLOOKUP(AF216,INDIRECT(LEFT(AD216,2)&amp;"部件升级消耗"),5,FALSE),0)</f>
        <v>#REF!</v>
      </c>
      <c r="AF217" s="360" t="e">
        <f ca="1">MIN(VLOOKUP(AE217,INDIRECT(LEFT(AD217,2)&amp;"部件升级"),2,TRUE),VLOOKUP(LEFT(AD217,2),坦克部件养成!#REF!,6,FALSE))</f>
        <v>#REF!</v>
      </c>
      <c r="AG217" s="378" t="e">
        <f ca="1">MAX(BD$4:BD217)</f>
        <v>#REF!</v>
      </c>
      <c r="AH217" s="378" t="str">
        <f t="shared" ca="1" si="131"/>
        <v/>
      </c>
      <c r="AI217" s="378">
        <f ca="1">IF(Y217="NULL",0,MAX(BY$4:BY217))</f>
        <v>0</v>
      </c>
      <c r="AK217" s="364" t="e">
        <f t="shared" ca="1" si="132"/>
        <v>#REF!</v>
      </c>
      <c r="AL217" s="364" t="e">
        <f ca="1">VLOOKUP(AK217,坦克个性化设定!$B$18:$F$48,5,FALSE)</f>
        <v>#REF!</v>
      </c>
      <c r="AM217" s="372" t="e">
        <f t="shared" ca="1" si="133"/>
        <v>#REF!</v>
      </c>
      <c r="AN217" s="372" t="e">
        <f t="shared" ca="1" si="141"/>
        <v>#REF!</v>
      </c>
      <c r="AO217" s="364">
        <f t="shared" ca="1" si="134"/>
        <v>0</v>
      </c>
      <c r="AP217" s="372" t="e">
        <f ca="1">VLOOKUP($AK217&amp;$AO217,所有坦克升星属性,MATCH(AP$3,所有坦克升星属性标头,0),FALSE)+ROUND(AU217/VLOOKUP($AK217,坦克部件!#REF!,4,FALSE)*VLOOKUP($AK217&amp;0,所有坦克升星属性,MATCH(AP$3,所有坦克升星属性标头,0),FALSE),0)</f>
        <v>#REF!</v>
      </c>
      <c r="AQ217" s="372" t="e">
        <f ca="1">VLOOKUP($AK217&amp;$AO217,所有坦克升星属性,MATCH(AQ$3,所有坦克升星属性标头,0),FALSE)+ROUND(AV217/VLOOKUP($AK217,坦克部件!#REF!,4,FALSE)*VLOOKUP($AK217&amp;0,所有坦克升星属性,MATCH(AQ$3,所有坦克升星属性标头,0),FALSE),0)</f>
        <v>#REF!</v>
      </c>
      <c r="AR217" s="372" t="e">
        <f t="shared" ca="1" si="148"/>
        <v>#REF!</v>
      </c>
      <c r="AS217" s="372" t="e">
        <f t="shared" ca="1" si="148"/>
        <v>#REF!</v>
      </c>
      <c r="AT217" s="372" t="e">
        <f ca="1">VLOOKUP($AK217&amp;$AO217,所有坦克升星属性,MATCH(AT$3,所有坦克升星属性标头,0),FALSE)+ROUND(AW217/VLOOKUP($AK217,坦克部件!#REF!,4,FALSE)*VLOOKUP($AK217&amp;0,所有坦克升星属性,MATCH(AT$3,所有坦克升星属性标头,0),FALSE),0)</f>
        <v>#REF!</v>
      </c>
      <c r="AU217" s="372" t="e">
        <f ca="1">(VLOOKUP($AM217,坦克部件!#REF!,MATCH("标准值",坦克部件!#REF!,0),FALSE)+VLOOKUP($AN217,坦克部件!#REF!,MATCH("标准值",坦克部件!#REF!,0),FALSE))*2</f>
        <v>#REF!</v>
      </c>
      <c r="AV217" s="372" t="e">
        <f ca="1">(VLOOKUP($AM217,坦克部件!#REF!,MATCH("标准值",坦克部件!#REF!,0),FALSE)+VLOOKUP($AN217,坦克部件!#REF!,MATCH("标准值",坦克部件!#REF!,0),FALSE))*2</f>
        <v>#REF!</v>
      </c>
      <c r="AW217" s="372" t="e">
        <f ca="1">(VLOOKUP($AM217,坦克部件!#REF!,MATCH("标准值",坦克部件!#REF!,0),FALSE)+VLOOKUP($AN217,坦克部件!#REF!,MATCH("标准值",坦克部件!#REF!,0),FALSE))*2</f>
        <v>#REF!</v>
      </c>
      <c r="AX217" s="372" t="e">
        <f ca="1">VLOOKUP($AK217,坦克属性统计!$B$3:$AY$33,MATCH(AX$3,坦克属性统计!$B$3:$AY$3,0),FALSE)</f>
        <v>#REF!</v>
      </c>
      <c r="AY217" s="372" t="e">
        <f t="shared" ca="1" si="149"/>
        <v>#REF!</v>
      </c>
      <c r="AZ217" s="372" t="e">
        <f t="shared" ca="1" si="149"/>
        <v>#REF!</v>
      </c>
      <c r="BA217" s="372" t="e">
        <f t="shared" ca="1" si="149"/>
        <v>#REF!</v>
      </c>
      <c r="BB217" s="356" t="e">
        <f t="shared" ca="1" si="135"/>
        <v>#REF!</v>
      </c>
      <c r="BC217" s="356" t="e">
        <f ca="1">VLOOKUP(AK217,坦克个性化设定!$B$18:$E$48,4,FALSE)</f>
        <v>#REF!</v>
      </c>
      <c r="BD217" s="357" t="e">
        <f t="shared" ca="1" si="142"/>
        <v>#REF!</v>
      </c>
      <c r="BF217" s="357" t="str">
        <f t="shared" ca="1" si="136"/>
        <v/>
      </c>
      <c r="BG217" s="372" t="str">
        <f ca="1">IFERROR(VLOOKUP(BF217,坦克个性化设定!$B$18:$F$48,5,FALSE),"")</f>
        <v/>
      </c>
      <c r="BH217" s="372" t="e">
        <f t="shared" ca="1" si="143"/>
        <v>#REF!</v>
      </c>
      <c r="BI217" s="372" t="e">
        <f t="shared" ca="1" si="144"/>
        <v>#REF!</v>
      </c>
      <c r="BJ217" s="364" t="str">
        <f t="shared" ca="1" si="137"/>
        <v>NULL</v>
      </c>
      <c r="BK217" s="372" t="e">
        <f ca="1">VLOOKUP($BF217&amp;IF($BJ217="NULL",0,$BJ217),所有坦克升星属性,MATCH(BK$3,所有坦克升星属性标头,0),FALSE)+ROUND(BP217/VLOOKUP($BF217,坦克部件!#REF!,4,FALSE)*VLOOKUP($BF217&amp;0,所有坦克升星属性,MATCH(BK$3,所有坦克升星属性标头,0),FALSE),0)</f>
        <v>#N/A</v>
      </c>
      <c r="BL217" s="372" t="e">
        <f ca="1">VLOOKUP($BF217&amp;IF($BJ217="NULL",0,$BJ217),所有坦克升星属性,MATCH(BL$3,所有坦克升星属性标头,0),FALSE)+ROUND(BQ217/VLOOKUP($BF217,坦克部件!#REF!,4,FALSE)*VLOOKUP($BF217&amp;0,所有坦克升星属性,MATCH(BL$3,所有坦克升星属性标头,0),FALSE),0)</f>
        <v>#N/A</v>
      </c>
      <c r="BM217" s="372" t="e">
        <f t="shared" ca="1" si="150"/>
        <v>#N/A</v>
      </c>
      <c r="BN217" s="372" t="e">
        <f t="shared" ca="1" si="150"/>
        <v>#N/A</v>
      </c>
      <c r="BO217" s="372" t="e">
        <f ca="1">VLOOKUP($BF217&amp;IF($BJ217="NULL",0,$BJ217),所有坦克升星属性,MATCH(BO$3,所有坦克升星属性标头,0),FALSE)+ROUND(BR217/VLOOKUP($BF217,坦克部件!#REF!,4,FALSE)*VLOOKUP($BF217&amp;0,所有坦克升星属性,MATCH(BO$3,所有坦克升星属性标头,0),FALSE),0)</f>
        <v>#N/A</v>
      </c>
      <c r="BP217" s="372" t="e">
        <f ca="1">(VLOOKUP($BH217,坦克部件!#REF!,MATCH("标准值",坦克部件!#REF!,0),FALSE)+VLOOKUP($BI217,坦克部件!#REF!,MATCH("标准值",坦克部件!#REF!,0),FALSE))*2</f>
        <v>#REF!</v>
      </c>
      <c r="BQ217" s="372" t="e">
        <f ca="1">(VLOOKUP($BH217,坦克部件!#REF!,MATCH("标准值",坦克部件!#REF!,0),FALSE)+VLOOKUP($BI217,坦克部件!#REF!,MATCH("标准值",坦克部件!#REF!,0),FALSE))*2</f>
        <v>#REF!</v>
      </c>
      <c r="BR217" s="372" t="e">
        <f ca="1">(VLOOKUP($BH217,坦克部件!#REF!,MATCH("标准值",坦克部件!#REF!,0),FALSE)+VLOOKUP($BI217,坦克部件!#REF!,MATCH("标准值",坦克部件!#REF!,0),FALSE))*2</f>
        <v>#REF!</v>
      </c>
      <c r="BS217" s="372" t="e">
        <f ca="1">VLOOKUP($BF217,坦克属性统计!$B$3:$AY$33,MATCH(BS$3,坦克属性统计!$B$3:$AY$3,0),FALSE)</f>
        <v>#N/A</v>
      </c>
      <c r="BT217" s="372" t="e">
        <f t="shared" ca="1" si="151"/>
        <v>#N/A</v>
      </c>
      <c r="BU217" s="372" t="e">
        <f t="shared" ca="1" si="151"/>
        <v>#N/A</v>
      </c>
      <c r="BV217" s="372" t="e">
        <f t="shared" ca="1" si="151"/>
        <v>#N/A</v>
      </c>
      <c r="BW217" s="356">
        <f t="shared" ca="1" si="138"/>
        <v>0</v>
      </c>
      <c r="BX217" s="356" t="e">
        <f ca="1">VLOOKUP(BF217,坦克个性化设定!$B$18:$E$48,4,FALSE)</f>
        <v>#N/A</v>
      </c>
      <c r="BY217" s="357" t="e">
        <f t="shared" ca="1" si="145"/>
        <v>#N/A</v>
      </c>
    </row>
    <row r="218" spans="15:77" x14ac:dyDescent="0.35">
      <c r="O218" s="365">
        <v>215</v>
      </c>
      <c r="P218" s="360" t="e">
        <f t="shared" ca="1" si="152"/>
        <v>#REF!</v>
      </c>
      <c r="Q218" s="360" t="e">
        <f ca="1">ROUND(MIN((BD218-VLOOKUP(R218,$B$22:$F$46,2,FALSE))/(VLOOKUP(R218,$B$22:$F$46,3,FALSE)-VLOOKUP(R218,$B$22:$F$46,2,FALSE)),1)*((VLOOKUP(R218,$B$22:$F$46,4,FALSE)*(AG218/(AG218+VLOOKUP(P218,$D$49:$F$123,3,TRUE)))+VLOOKUP(R218,$B$22:$F$46,5,FALSE)*(1-AG218/(AG218+VLOOKUP(P218,$D$49:$F$123,3,TRUE))))/2)*游戏时长规划!$C$4,0)</f>
        <v>#REF!</v>
      </c>
      <c r="R218" s="360" t="e">
        <f t="shared" ca="1" si="125"/>
        <v>#REF!</v>
      </c>
      <c r="S218" s="360" t="e">
        <f t="shared" ca="1" si="146"/>
        <v>#REF!</v>
      </c>
      <c r="T218" s="360" t="e">
        <f t="shared" ca="1" si="153"/>
        <v>#REF!</v>
      </c>
      <c r="U218" s="370" t="e">
        <f t="shared" ca="1" si="126"/>
        <v>#REF!</v>
      </c>
      <c r="V218" s="363" t="e">
        <f t="shared" ca="1" si="147"/>
        <v>#REF!</v>
      </c>
      <c r="W218" s="360" t="e">
        <f t="shared" ca="1" si="127"/>
        <v>#REF!</v>
      </c>
      <c r="X218" s="81" t="e">
        <f t="shared" ca="1" si="139"/>
        <v>#REF!</v>
      </c>
      <c r="Y218" s="360" t="str">
        <f t="shared" ca="1" si="128"/>
        <v>NULL</v>
      </c>
      <c r="Z218" s="375" t="e">
        <f t="shared" ca="1" si="140"/>
        <v>#REF!</v>
      </c>
      <c r="AA218" s="360">
        <f ca="1">IFERROR(VLOOKUP(IF(V218="T1低",游戏时长规划!$C$67+Z218,Z218),INDIRECT(V218&amp;"星级"),2,TRUE),0)</f>
        <v>0</v>
      </c>
      <c r="AB218" s="375" t="e">
        <f t="shared" ca="1" si="129"/>
        <v>#REF!</v>
      </c>
      <c r="AC218" s="375">
        <f ca="1">($D$14+$D$17)*$L$4/坦克部件养成!$C$2+AC217-IFERROR(IF(RIGHT(AD217,3)*1&gt;RIGHT(VLOOKUP(AC217,INDIRECT(LEFT(AD216,2)&amp;"部件升阶"),5,TRUE),3)*1,VLOOKUP(AD216,INDIRECT(LEFT(AD216,2)&amp;"部件升阶消耗"),2,FALSE),0),0)</f>
        <v>2544.1666666666679</v>
      </c>
      <c r="AD218" s="360" t="e">
        <f t="shared" ca="1" si="130"/>
        <v>#REF!</v>
      </c>
      <c r="AE218" s="375" t="e">
        <f ca="1">$D$15*$L$4/坦克部件养成!$C$2+AE217-IF(LEFT(AD218,2)&lt;&gt;LEFT(AD217,2),VLOOKUP(AF217,INDIRECT(LEFT(AD217,2)&amp;"部件升级消耗"),5,FALSE),0)</f>
        <v>#REF!</v>
      </c>
      <c r="AF218" s="360" t="e">
        <f ca="1">MIN(VLOOKUP(AE218,INDIRECT(LEFT(AD218,2)&amp;"部件升级"),2,TRUE),VLOOKUP(LEFT(AD218,2),坦克部件养成!#REF!,6,FALSE))</f>
        <v>#REF!</v>
      </c>
      <c r="AG218" s="378" t="e">
        <f ca="1">MAX(BD$4:BD218)</f>
        <v>#REF!</v>
      </c>
      <c r="AH218" s="378" t="str">
        <f t="shared" ca="1" si="131"/>
        <v/>
      </c>
      <c r="AI218" s="378">
        <f ca="1">IF(Y218="NULL",0,MAX(BY$4:BY218))</f>
        <v>0</v>
      </c>
      <c r="AK218" s="364" t="e">
        <f t="shared" ca="1" si="132"/>
        <v>#REF!</v>
      </c>
      <c r="AL218" s="364" t="e">
        <f ca="1">VLOOKUP(AK218,坦克个性化设定!$B$18:$F$48,5,FALSE)</f>
        <v>#REF!</v>
      </c>
      <c r="AM218" s="372" t="e">
        <f t="shared" ca="1" si="133"/>
        <v>#REF!</v>
      </c>
      <c r="AN218" s="372" t="e">
        <f t="shared" ca="1" si="141"/>
        <v>#REF!</v>
      </c>
      <c r="AO218" s="364">
        <f t="shared" ca="1" si="134"/>
        <v>0</v>
      </c>
      <c r="AP218" s="372" t="e">
        <f ca="1">VLOOKUP($AK218&amp;$AO218,所有坦克升星属性,MATCH(AP$3,所有坦克升星属性标头,0),FALSE)+ROUND(AU218/VLOOKUP($AK218,坦克部件!#REF!,4,FALSE)*VLOOKUP($AK218&amp;0,所有坦克升星属性,MATCH(AP$3,所有坦克升星属性标头,0),FALSE),0)</f>
        <v>#REF!</v>
      </c>
      <c r="AQ218" s="372" t="e">
        <f ca="1">VLOOKUP($AK218&amp;$AO218,所有坦克升星属性,MATCH(AQ$3,所有坦克升星属性标头,0),FALSE)+ROUND(AV218/VLOOKUP($AK218,坦克部件!#REF!,4,FALSE)*VLOOKUP($AK218&amp;0,所有坦克升星属性,MATCH(AQ$3,所有坦克升星属性标头,0),FALSE),0)</f>
        <v>#REF!</v>
      </c>
      <c r="AR218" s="372" t="e">
        <f t="shared" ca="1" si="148"/>
        <v>#REF!</v>
      </c>
      <c r="AS218" s="372" t="e">
        <f t="shared" ca="1" si="148"/>
        <v>#REF!</v>
      </c>
      <c r="AT218" s="372" t="e">
        <f ca="1">VLOOKUP($AK218&amp;$AO218,所有坦克升星属性,MATCH(AT$3,所有坦克升星属性标头,0),FALSE)+ROUND(AW218/VLOOKUP($AK218,坦克部件!#REF!,4,FALSE)*VLOOKUP($AK218&amp;0,所有坦克升星属性,MATCH(AT$3,所有坦克升星属性标头,0),FALSE),0)</f>
        <v>#REF!</v>
      </c>
      <c r="AU218" s="372" t="e">
        <f ca="1">(VLOOKUP($AM218,坦克部件!#REF!,MATCH("标准值",坦克部件!#REF!,0),FALSE)+VLOOKUP($AN218,坦克部件!#REF!,MATCH("标准值",坦克部件!#REF!,0),FALSE))*2</f>
        <v>#REF!</v>
      </c>
      <c r="AV218" s="372" t="e">
        <f ca="1">(VLOOKUP($AM218,坦克部件!#REF!,MATCH("标准值",坦克部件!#REF!,0),FALSE)+VLOOKUP($AN218,坦克部件!#REF!,MATCH("标准值",坦克部件!#REF!,0),FALSE))*2</f>
        <v>#REF!</v>
      </c>
      <c r="AW218" s="372" t="e">
        <f ca="1">(VLOOKUP($AM218,坦克部件!#REF!,MATCH("标准值",坦克部件!#REF!,0),FALSE)+VLOOKUP($AN218,坦克部件!#REF!,MATCH("标准值",坦克部件!#REF!,0),FALSE))*2</f>
        <v>#REF!</v>
      </c>
      <c r="AX218" s="372" t="e">
        <f ca="1">VLOOKUP($AK218,坦克属性统计!$B$3:$AY$33,MATCH(AX$3,坦克属性统计!$B$3:$AY$3,0),FALSE)</f>
        <v>#REF!</v>
      </c>
      <c r="AY218" s="372" t="e">
        <f t="shared" ca="1" si="149"/>
        <v>#REF!</v>
      </c>
      <c r="AZ218" s="372" t="e">
        <f t="shared" ca="1" si="149"/>
        <v>#REF!</v>
      </c>
      <c r="BA218" s="372" t="e">
        <f t="shared" ca="1" si="149"/>
        <v>#REF!</v>
      </c>
      <c r="BB218" s="356" t="e">
        <f t="shared" ca="1" si="135"/>
        <v>#REF!</v>
      </c>
      <c r="BC218" s="356" t="e">
        <f ca="1">VLOOKUP(AK218,坦克个性化设定!$B$18:$E$48,4,FALSE)</f>
        <v>#REF!</v>
      </c>
      <c r="BD218" s="357" t="e">
        <f t="shared" ca="1" si="142"/>
        <v>#REF!</v>
      </c>
      <c r="BF218" s="357" t="str">
        <f t="shared" ca="1" si="136"/>
        <v/>
      </c>
      <c r="BG218" s="372" t="str">
        <f ca="1">IFERROR(VLOOKUP(BF218,坦克个性化设定!$B$18:$F$48,5,FALSE),"")</f>
        <v/>
      </c>
      <c r="BH218" s="372" t="e">
        <f t="shared" ca="1" si="143"/>
        <v>#REF!</v>
      </c>
      <c r="BI218" s="372" t="e">
        <f t="shared" ca="1" si="144"/>
        <v>#REF!</v>
      </c>
      <c r="BJ218" s="364" t="str">
        <f t="shared" ca="1" si="137"/>
        <v>NULL</v>
      </c>
      <c r="BK218" s="372" t="e">
        <f ca="1">VLOOKUP($BF218&amp;IF($BJ218="NULL",0,$BJ218),所有坦克升星属性,MATCH(BK$3,所有坦克升星属性标头,0),FALSE)+ROUND(BP218/VLOOKUP($BF218,坦克部件!#REF!,4,FALSE)*VLOOKUP($BF218&amp;0,所有坦克升星属性,MATCH(BK$3,所有坦克升星属性标头,0),FALSE),0)</f>
        <v>#N/A</v>
      </c>
      <c r="BL218" s="372" t="e">
        <f ca="1">VLOOKUP($BF218&amp;IF($BJ218="NULL",0,$BJ218),所有坦克升星属性,MATCH(BL$3,所有坦克升星属性标头,0),FALSE)+ROUND(BQ218/VLOOKUP($BF218,坦克部件!#REF!,4,FALSE)*VLOOKUP($BF218&amp;0,所有坦克升星属性,MATCH(BL$3,所有坦克升星属性标头,0),FALSE),0)</f>
        <v>#N/A</v>
      </c>
      <c r="BM218" s="372" t="e">
        <f t="shared" ca="1" si="150"/>
        <v>#N/A</v>
      </c>
      <c r="BN218" s="372" t="e">
        <f t="shared" ca="1" si="150"/>
        <v>#N/A</v>
      </c>
      <c r="BO218" s="372" t="e">
        <f ca="1">VLOOKUP($BF218&amp;IF($BJ218="NULL",0,$BJ218),所有坦克升星属性,MATCH(BO$3,所有坦克升星属性标头,0),FALSE)+ROUND(BR218/VLOOKUP($BF218,坦克部件!#REF!,4,FALSE)*VLOOKUP($BF218&amp;0,所有坦克升星属性,MATCH(BO$3,所有坦克升星属性标头,0),FALSE),0)</f>
        <v>#N/A</v>
      </c>
      <c r="BP218" s="372" t="e">
        <f ca="1">(VLOOKUP($BH218,坦克部件!#REF!,MATCH("标准值",坦克部件!#REF!,0),FALSE)+VLOOKUP($BI218,坦克部件!#REF!,MATCH("标准值",坦克部件!#REF!,0),FALSE))*2</f>
        <v>#REF!</v>
      </c>
      <c r="BQ218" s="372" t="e">
        <f ca="1">(VLOOKUP($BH218,坦克部件!#REF!,MATCH("标准值",坦克部件!#REF!,0),FALSE)+VLOOKUP($BI218,坦克部件!#REF!,MATCH("标准值",坦克部件!#REF!,0),FALSE))*2</f>
        <v>#REF!</v>
      </c>
      <c r="BR218" s="372" t="e">
        <f ca="1">(VLOOKUP($BH218,坦克部件!#REF!,MATCH("标准值",坦克部件!#REF!,0),FALSE)+VLOOKUP($BI218,坦克部件!#REF!,MATCH("标准值",坦克部件!#REF!,0),FALSE))*2</f>
        <v>#REF!</v>
      </c>
      <c r="BS218" s="372" t="e">
        <f ca="1">VLOOKUP($BF218,坦克属性统计!$B$3:$AY$33,MATCH(BS$3,坦克属性统计!$B$3:$AY$3,0),FALSE)</f>
        <v>#N/A</v>
      </c>
      <c r="BT218" s="372" t="e">
        <f t="shared" ca="1" si="151"/>
        <v>#N/A</v>
      </c>
      <c r="BU218" s="372" t="e">
        <f t="shared" ca="1" si="151"/>
        <v>#N/A</v>
      </c>
      <c r="BV218" s="372" t="e">
        <f t="shared" ca="1" si="151"/>
        <v>#N/A</v>
      </c>
      <c r="BW218" s="356">
        <f t="shared" ca="1" si="138"/>
        <v>0</v>
      </c>
      <c r="BX218" s="356" t="e">
        <f ca="1">VLOOKUP(BF218,坦克个性化设定!$B$18:$E$48,4,FALSE)</f>
        <v>#N/A</v>
      </c>
      <c r="BY218" s="357" t="e">
        <f t="shared" ca="1" si="145"/>
        <v>#N/A</v>
      </c>
    </row>
    <row r="219" spans="15:77" x14ac:dyDescent="0.35">
      <c r="O219" s="365">
        <v>216</v>
      </c>
      <c r="P219" s="360" t="e">
        <f t="shared" ca="1" si="152"/>
        <v>#REF!</v>
      </c>
      <c r="Q219" s="360" t="e">
        <f ca="1">ROUND(MIN((BD219-VLOOKUP(R219,$B$22:$F$46,2,FALSE))/(VLOOKUP(R219,$B$22:$F$46,3,FALSE)-VLOOKUP(R219,$B$22:$F$46,2,FALSE)),1)*((VLOOKUP(R219,$B$22:$F$46,4,FALSE)*(AG219/(AG219+VLOOKUP(P219,$D$49:$F$123,3,TRUE)))+VLOOKUP(R219,$B$22:$F$46,5,FALSE)*(1-AG219/(AG219+VLOOKUP(P219,$D$49:$F$123,3,TRUE))))/2)*游戏时长规划!$C$4,0)</f>
        <v>#REF!</v>
      </c>
      <c r="R219" s="360" t="e">
        <f t="shared" ca="1" si="125"/>
        <v>#REF!</v>
      </c>
      <c r="S219" s="360" t="e">
        <f t="shared" ca="1" si="146"/>
        <v>#REF!</v>
      </c>
      <c r="T219" s="360" t="e">
        <f t="shared" ca="1" si="153"/>
        <v>#REF!</v>
      </c>
      <c r="U219" s="370" t="e">
        <f t="shared" ca="1" si="126"/>
        <v>#REF!</v>
      </c>
      <c r="V219" s="363" t="e">
        <f t="shared" ca="1" si="147"/>
        <v>#REF!</v>
      </c>
      <c r="W219" s="360" t="e">
        <f t="shared" ca="1" si="127"/>
        <v>#REF!</v>
      </c>
      <c r="X219" s="81" t="e">
        <f t="shared" ca="1" si="139"/>
        <v>#REF!</v>
      </c>
      <c r="Y219" s="360" t="str">
        <f t="shared" ca="1" si="128"/>
        <v>NULL</v>
      </c>
      <c r="Z219" s="375" t="e">
        <f t="shared" ca="1" si="140"/>
        <v>#REF!</v>
      </c>
      <c r="AA219" s="360">
        <f ca="1">IFERROR(VLOOKUP(IF(V219="T1低",游戏时长规划!$C$67+Z219,Z219),INDIRECT(V219&amp;"星级"),2,TRUE),0)</f>
        <v>0</v>
      </c>
      <c r="AB219" s="375" t="e">
        <f t="shared" ca="1" si="129"/>
        <v>#REF!</v>
      </c>
      <c r="AC219" s="375">
        <f ca="1">($D$14+$D$17)*$L$4/坦克部件养成!$C$2+AC218-IFERROR(IF(RIGHT(AD218,3)*1&gt;RIGHT(VLOOKUP(AC218,INDIRECT(LEFT(AD217,2)&amp;"部件升阶"),5,TRUE),3)*1,VLOOKUP(AD217,INDIRECT(LEFT(AD217,2)&amp;"部件升阶消耗"),2,FALSE),0),0)</f>
        <v>2556.0000000000014</v>
      </c>
      <c r="AD219" s="360" t="e">
        <f t="shared" ca="1" si="130"/>
        <v>#REF!</v>
      </c>
      <c r="AE219" s="375" t="e">
        <f ca="1">$D$15*$L$4/坦克部件养成!$C$2+AE218-IF(LEFT(AD219,2)&lt;&gt;LEFT(AD218,2),VLOOKUP(AF218,INDIRECT(LEFT(AD218,2)&amp;"部件升级消耗"),5,FALSE),0)</f>
        <v>#REF!</v>
      </c>
      <c r="AF219" s="360" t="e">
        <f ca="1">MIN(VLOOKUP(AE219,INDIRECT(LEFT(AD219,2)&amp;"部件升级"),2,TRUE),VLOOKUP(LEFT(AD219,2),坦克部件养成!#REF!,6,FALSE))</f>
        <v>#REF!</v>
      </c>
      <c r="AG219" s="378" t="e">
        <f ca="1">MAX(BD$4:BD219)</f>
        <v>#REF!</v>
      </c>
      <c r="AH219" s="378" t="str">
        <f t="shared" ca="1" si="131"/>
        <v/>
      </c>
      <c r="AI219" s="378">
        <f ca="1">IF(Y219="NULL",0,MAX(BY$4:BY219))</f>
        <v>0</v>
      </c>
      <c r="AK219" s="364" t="e">
        <f t="shared" ca="1" si="132"/>
        <v>#REF!</v>
      </c>
      <c r="AL219" s="364" t="e">
        <f ca="1">VLOOKUP(AK219,坦克个性化设定!$B$18:$F$48,5,FALSE)</f>
        <v>#REF!</v>
      </c>
      <c r="AM219" s="372" t="e">
        <f t="shared" ca="1" si="133"/>
        <v>#REF!</v>
      </c>
      <c r="AN219" s="372" t="e">
        <f t="shared" ca="1" si="141"/>
        <v>#REF!</v>
      </c>
      <c r="AO219" s="364">
        <f t="shared" ca="1" si="134"/>
        <v>0</v>
      </c>
      <c r="AP219" s="372" t="e">
        <f ca="1">VLOOKUP($AK219&amp;$AO219,所有坦克升星属性,MATCH(AP$3,所有坦克升星属性标头,0),FALSE)+ROUND(AU219/VLOOKUP($AK219,坦克部件!#REF!,4,FALSE)*VLOOKUP($AK219&amp;0,所有坦克升星属性,MATCH(AP$3,所有坦克升星属性标头,0),FALSE),0)</f>
        <v>#REF!</v>
      </c>
      <c r="AQ219" s="372" t="e">
        <f ca="1">VLOOKUP($AK219&amp;$AO219,所有坦克升星属性,MATCH(AQ$3,所有坦克升星属性标头,0),FALSE)+ROUND(AV219/VLOOKUP($AK219,坦克部件!#REF!,4,FALSE)*VLOOKUP($AK219&amp;0,所有坦克升星属性,MATCH(AQ$3,所有坦克升星属性标头,0),FALSE),0)</f>
        <v>#REF!</v>
      </c>
      <c r="AR219" s="372" t="e">
        <f t="shared" ca="1" si="148"/>
        <v>#REF!</v>
      </c>
      <c r="AS219" s="372" t="e">
        <f t="shared" ca="1" si="148"/>
        <v>#REF!</v>
      </c>
      <c r="AT219" s="372" t="e">
        <f ca="1">VLOOKUP($AK219&amp;$AO219,所有坦克升星属性,MATCH(AT$3,所有坦克升星属性标头,0),FALSE)+ROUND(AW219/VLOOKUP($AK219,坦克部件!#REF!,4,FALSE)*VLOOKUP($AK219&amp;0,所有坦克升星属性,MATCH(AT$3,所有坦克升星属性标头,0),FALSE),0)</f>
        <v>#REF!</v>
      </c>
      <c r="AU219" s="372" t="e">
        <f ca="1">(VLOOKUP($AM219,坦克部件!#REF!,MATCH("标准值",坦克部件!#REF!,0),FALSE)+VLOOKUP($AN219,坦克部件!#REF!,MATCH("标准值",坦克部件!#REF!,0),FALSE))*2</f>
        <v>#REF!</v>
      </c>
      <c r="AV219" s="372" t="e">
        <f ca="1">(VLOOKUP($AM219,坦克部件!#REF!,MATCH("标准值",坦克部件!#REF!,0),FALSE)+VLOOKUP($AN219,坦克部件!#REF!,MATCH("标准值",坦克部件!#REF!,0),FALSE))*2</f>
        <v>#REF!</v>
      </c>
      <c r="AW219" s="372" t="e">
        <f ca="1">(VLOOKUP($AM219,坦克部件!#REF!,MATCH("标准值",坦克部件!#REF!,0),FALSE)+VLOOKUP($AN219,坦克部件!#REF!,MATCH("标准值",坦克部件!#REF!,0),FALSE))*2</f>
        <v>#REF!</v>
      </c>
      <c r="AX219" s="372" t="e">
        <f ca="1">VLOOKUP($AK219,坦克属性统计!$B$3:$AY$33,MATCH(AX$3,坦克属性统计!$B$3:$AY$3,0),FALSE)</f>
        <v>#REF!</v>
      </c>
      <c r="AY219" s="372" t="e">
        <f t="shared" ca="1" si="149"/>
        <v>#REF!</v>
      </c>
      <c r="AZ219" s="372" t="e">
        <f t="shared" ca="1" si="149"/>
        <v>#REF!</v>
      </c>
      <c r="BA219" s="372" t="e">
        <f t="shared" ca="1" si="149"/>
        <v>#REF!</v>
      </c>
      <c r="BB219" s="356" t="e">
        <f t="shared" ca="1" si="135"/>
        <v>#REF!</v>
      </c>
      <c r="BC219" s="356" t="e">
        <f ca="1">VLOOKUP(AK219,坦克个性化设定!$B$18:$E$48,4,FALSE)</f>
        <v>#REF!</v>
      </c>
      <c r="BD219" s="357" t="e">
        <f t="shared" ca="1" si="142"/>
        <v>#REF!</v>
      </c>
      <c r="BF219" s="357" t="str">
        <f t="shared" ca="1" si="136"/>
        <v/>
      </c>
      <c r="BG219" s="372" t="str">
        <f ca="1">IFERROR(VLOOKUP(BF219,坦克个性化设定!$B$18:$F$48,5,FALSE),"")</f>
        <v/>
      </c>
      <c r="BH219" s="372" t="e">
        <f t="shared" ca="1" si="143"/>
        <v>#REF!</v>
      </c>
      <c r="BI219" s="372" t="e">
        <f t="shared" ca="1" si="144"/>
        <v>#REF!</v>
      </c>
      <c r="BJ219" s="364" t="str">
        <f t="shared" ca="1" si="137"/>
        <v>NULL</v>
      </c>
      <c r="BK219" s="372" t="e">
        <f ca="1">VLOOKUP($BF219&amp;IF($BJ219="NULL",0,$BJ219),所有坦克升星属性,MATCH(BK$3,所有坦克升星属性标头,0),FALSE)+ROUND(BP219/VLOOKUP($BF219,坦克部件!#REF!,4,FALSE)*VLOOKUP($BF219&amp;0,所有坦克升星属性,MATCH(BK$3,所有坦克升星属性标头,0),FALSE),0)</f>
        <v>#N/A</v>
      </c>
      <c r="BL219" s="372" t="e">
        <f ca="1">VLOOKUP($BF219&amp;IF($BJ219="NULL",0,$BJ219),所有坦克升星属性,MATCH(BL$3,所有坦克升星属性标头,0),FALSE)+ROUND(BQ219/VLOOKUP($BF219,坦克部件!#REF!,4,FALSE)*VLOOKUP($BF219&amp;0,所有坦克升星属性,MATCH(BL$3,所有坦克升星属性标头,0),FALSE),0)</f>
        <v>#N/A</v>
      </c>
      <c r="BM219" s="372" t="e">
        <f t="shared" ca="1" si="150"/>
        <v>#N/A</v>
      </c>
      <c r="BN219" s="372" t="e">
        <f t="shared" ca="1" si="150"/>
        <v>#N/A</v>
      </c>
      <c r="BO219" s="372" t="e">
        <f ca="1">VLOOKUP($BF219&amp;IF($BJ219="NULL",0,$BJ219),所有坦克升星属性,MATCH(BO$3,所有坦克升星属性标头,0),FALSE)+ROUND(BR219/VLOOKUP($BF219,坦克部件!#REF!,4,FALSE)*VLOOKUP($BF219&amp;0,所有坦克升星属性,MATCH(BO$3,所有坦克升星属性标头,0),FALSE),0)</f>
        <v>#N/A</v>
      </c>
      <c r="BP219" s="372" t="e">
        <f ca="1">(VLOOKUP($BH219,坦克部件!#REF!,MATCH("标准值",坦克部件!#REF!,0),FALSE)+VLOOKUP($BI219,坦克部件!#REF!,MATCH("标准值",坦克部件!#REF!,0),FALSE))*2</f>
        <v>#REF!</v>
      </c>
      <c r="BQ219" s="372" t="e">
        <f ca="1">(VLOOKUP($BH219,坦克部件!#REF!,MATCH("标准值",坦克部件!#REF!,0),FALSE)+VLOOKUP($BI219,坦克部件!#REF!,MATCH("标准值",坦克部件!#REF!,0),FALSE))*2</f>
        <v>#REF!</v>
      </c>
      <c r="BR219" s="372" t="e">
        <f ca="1">(VLOOKUP($BH219,坦克部件!#REF!,MATCH("标准值",坦克部件!#REF!,0),FALSE)+VLOOKUP($BI219,坦克部件!#REF!,MATCH("标准值",坦克部件!#REF!,0),FALSE))*2</f>
        <v>#REF!</v>
      </c>
      <c r="BS219" s="372" t="e">
        <f ca="1">VLOOKUP($BF219,坦克属性统计!$B$3:$AY$33,MATCH(BS$3,坦克属性统计!$B$3:$AY$3,0),FALSE)</f>
        <v>#N/A</v>
      </c>
      <c r="BT219" s="372" t="e">
        <f t="shared" ca="1" si="151"/>
        <v>#N/A</v>
      </c>
      <c r="BU219" s="372" t="e">
        <f t="shared" ca="1" si="151"/>
        <v>#N/A</v>
      </c>
      <c r="BV219" s="372" t="e">
        <f t="shared" ca="1" si="151"/>
        <v>#N/A</v>
      </c>
      <c r="BW219" s="356">
        <f t="shared" ca="1" si="138"/>
        <v>0</v>
      </c>
      <c r="BX219" s="356" t="e">
        <f ca="1">VLOOKUP(BF219,坦克个性化设定!$B$18:$E$48,4,FALSE)</f>
        <v>#N/A</v>
      </c>
      <c r="BY219" s="357" t="e">
        <f t="shared" ca="1" si="145"/>
        <v>#N/A</v>
      </c>
    </row>
    <row r="220" spans="15:77" x14ac:dyDescent="0.35">
      <c r="O220" s="365">
        <v>217</v>
      </c>
      <c r="P220" s="360" t="e">
        <f t="shared" ca="1" si="152"/>
        <v>#REF!</v>
      </c>
      <c r="Q220" s="360" t="e">
        <f ca="1">ROUND(MIN((BD220-VLOOKUP(R220,$B$22:$F$46,2,FALSE))/(VLOOKUP(R220,$B$22:$F$46,3,FALSE)-VLOOKUP(R220,$B$22:$F$46,2,FALSE)),1)*((VLOOKUP(R220,$B$22:$F$46,4,FALSE)*(AG220/(AG220+VLOOKUP(P220,$D$49:$F$123,3,TRUE)))+VLOOKUP(R220,$B$22:$F$46,5,FALSE)*(1-AG220/(AG220+VLOOKUP(P220,$D$49:$F$123,3,TRUE))))/2)*游戏时长规划!$C$4,0)</f>
        <v>#REF!</v>
      </c>
      <c r="R220" s="360" t="e">
        <f t="shared" ca="1" si="125"/>
        <v>#REF!</v>
      </c>
      <c r="S220" s="360" t="e">
        <f t="shared" ca="1" si="146"/>
        <v>#REF!</v>
      </c>
      <c r="T220" s="360" t="e">
        <f t="shared" ca="1" si="153"/>
        <v>#REF!</v>
      </c>
      <c r="U220" s="370" t="e">
        <f t="shared" ca="1" si="126"/>
        <v>#REF!</v>
      </c>
      <c r="V220" s="363" t="e">
        <f t="shared" ca="1" si="147"/>
        <v>#REF!</v>
      </c>
      <c r="W220" s="360" t="e">
        <f t="shared" ca="1" si="127"/>
        <v>#REF!</v>
      </c>
      <c r="X220" s="81" t="e">
        <f t="shared" ca="1" si="139"/>
        <v>#REF!</v>
      </c>
      <c r="Y220" s="360" t="str">
        <f t="shared" ca="1" si="128"/>
        <v>NULL</v>
      </c>
      <c r="Z220" s="375" t="e">
        <f t="shared" ca="1" si="140"/>
        <v>#REF!</v>
      </c>
      <c r="AA220" s="360">
        <f ca="1">IFERROR(VLOOKUP(IF(V220="T1低",游戏时长规划!$C$67+Z220,Z220),INDIRECT(V220&amp;"星级"),2,TRUE),0)</f>
        <v>0</v>
      </c>
      <c r="AB220" s="375" t="e">
        <f t="shared" ca="1" si="129"/>
        <v>#REF!</v>
      </c>
      <c r="AC220" s="375">
        <f ca="1">($D$14+$D$17)*$L$4/坦克部件养成!$C$2+AC219-IFERROR(IF(RIGHT(AD219,3)*1&gt;RIGHT(VLOOKUP(AC219,INDIRECT(LEFT(AD218,2)&amp;"部件升阶"),5,TRUE),3)*1,VLOOKUP(AD218,INDIRECT(LEFT(AD218,2)&amp;"部件升阶消耗"),2,FALSE),0),0)</f>
        <v>2567.8333333333348</v>
      </c>
      <c r="AD220" s="360" t="e">
        <f t="shared" ca="1" si="130"/>
        <v>#REF!</v>
      </c>
      <c r="AE220" s="375" t="e">
        <f ca="1">$D$15*$L$4/坦克部件养成!$C$2+AE219-IF(LEFT(AD220,2)&lt;&gt;LEFT(AD219,2),VLOOKUP(AF219,INDIRECT(LEFT(AD219,2)&amp;"部件升级消耗"),5,FALSE),0)</f>
        <v>#REF!</v>
      </c>
      <c r="AF220" s="360" t="e">
        <f ca="1">MIN(VLOOKUP(AE220,INDIRECT(LEFT(AD220,2)&amp;"部件升级"),2,TRUE),VLOOKUP(LEFT(AD220,2),坦克部件养成!#REF!,6,FALSE))</f>
        <v>#REF!</v>
      </c>
      <c r="AG220" s="378" t="e">
        <f ca="1">MAX(BD$4:BD220)</f>
        <v>#REF!</v>
      </c>
      <c r="AH220" s="378" t="str">
        <f t="shared" ca="1" si="131"/>
        <v/>
      </c>
      <c r="AI220" s="378">
        <f ca="1">IF(Y220="NULL",0,MAX(BY$4:BY220))</f>
        <v>0</v>
      </c>
      <c r="AK220" s="364" t="e">
        <f t="shared" ca="1" si="132"/>
        <v>#REF!</v>
      </c>
      <c r="AL220" s="364" t="e">
        <f ca="1">VLOOKUP(AK220,坦克个性化设定!$B$18:$F$48,5,FALSE)</f>
        <v>#REF!</v>
      </c>
      <c r="AM220" s="372" t="e">
        <f t="shared" ca="1" si="133"/>
        <v>#REF!</v>
      </c>
      <c r="AN220" s="372" t="e">
        <f t="shared" ca="1" si="141"/>
        <v>#REF!</v>
      </c>
      <c r="AO220" s="364">
        <f t="shared" ca="1" si="134"/>
        <v>0</v>
      </c>
      <c r="AP220" s="372" t="e">
        <f ca="1">VLOOKUP($AK220&amp;$AO220,所有坦克升星属性,MATCH(AP$3,所有坦克升星属性标头,0),FALSE)+ROUND(AU220/VLOOKUP($AK220,坦克部件!#REF!,4,FALSE)*VLOOKUP($AK220&amp;0,所有坦克升星属性,MATCH(AP$3,所有坦克升星属性标头,0),FALSE),0)</f>
        <v>#REF!</v>
      </c>
      <c r="AQ220" s="372" t="e">
        <f ca="1">VLOOKUP($AK220&amp;$AO220,所有坦克升星属性,MATCH(AQ$3,所有坦克升星属性标头,0),FALSE)+ROUND(AV220/VLOOKUP($AK220,坦克部件!#REF!,4,FALSE)*VLOOKUP($AK220&amp;0,所有坦克升星属性,MATCH(AQ$3,所有坦克升星属性标头,0),FALSE),0)</f>
        <v>#REF!</v>
      </c>
      <c r="AR220" s="372" t="e">
        <f t="shared" ca="1" si="148"/>
        <v>#REF!</v>
      </c>
      <c r="AS220" s="372" t="e">
        <f t="shared" ca="1" si="148"/>
        <v>#REF!</v>
      </c>
      <c r="AT220" s="372" t="e">
        <f ca="1">VLOOKUP($AK220&amp;$AO220,所有坦克升星属性,MATCH(AT$3,所有坦克升星属性标头,0),FALSE)+ROUND(AW220/VLOOKUP($AK220,坦克部件!#REF!,4,FALSE)*VLOOKUP($AK220&amp;0,所有坦克升星属性,MATCH(AT$3,所有坦克升星属性标头,0),FALSE),0)</f>
        <v>#REF!</v>
      </c>
      <c r="AU220" s="372" t="e">
        <f ca="1">(VLOOKUP($AM220,坦克部件!#REF!,MATCH("标准值",坦克部件!#REF!,0),FALSE)+VLOOKUP($AN220,坦克部件!#REF!,MATCH("标准值",坦克部件!#REF!,0),FALSE))*2</f>
        <v>#REF!</v>
      </c>
      <c r="AV220" s="372" t="e">
        <f ca="1">(VLOOKUP($AM220,坦克部件!#REF!,MATCH("标准值",坦克部件!#REF!,0),FALSE)+VLOOKUP($AN220,坦克部件!#REF!,MATCH("标准值",坦克部件!#REF!,0),FALSE))*2</f>
        <v>#REF!</v>
      </c>
      <c r="AW220" s="372" t="e">
        <f ca="1">(VLOOKUP($AM220,坦克部件!#REF!,MATCH("标准值",坦克部件!#REF!,0),FALSE)+VLOOKUP($AN220,坦克部件!#REF!,MATCH("标准值",坦克部件!#REF!,0),FALSE))*2</f>
        <v>#REF!</v>
      </c>
      <c r="AX220" s="372" t="e">
        <f ca="1">VLOOKUP($AK220,坦克属性统计!$B$3:$AY$33,MATCH(AX$3,坦克属性统计!$B$3:$AY$3,0),FALSE)</f>
        <v>#REF!</v>
      </c>
      <c r="AY220" s="372" t="e">
        <f t="shared" ca="1" si="149"/>
        <v>#REF!</v>
      </c>
      <c r="AZ220" s="372" t="e">
        <f t="shared" ca="1" si="149"/>
        <v>#REF!</v>
      </c>
      <c r="BA220" s="372" t="e">
        <f t="shared" ca="1" si="149"/>
        <v>#REF!</v>
      </c>
      <c r="BB220" s="356" t="e">
        <f t="shared" ca="1" si="135"/>
        <v>#REF!</v>
      </c>
      <c r="BC220" s="356" t="e">
        <f ca="1">VLOOKUP(AK220,坦克个性化设定!$B$18:$E$48,4,FALSE)</f>
        <v>#REF!</v>
      </c>
      <c r="BD220" s="357" t="e">
        <f t="shared" ca="1" si="142"/>
        <v>#REF!</v>
      </c>
      <c r="BF220" s="357" t="str">
        <f t="shared" ca="1" si="136"/>
        <v/>
      </c>
      <c r="BG220" s="372" t="str">
        <f ca="1">IFERROR(VLOOKUP(BF220,坦克个性化设定!$B$18:$F$48,5,FALSE),"")</f>
        <v/>
      </c>
      <c r="BH220" s="372" t="e">
        <f t="shared" ca="1" si="143"/>
        <v>#REF!</v>
      </c>
      <c r="BI220" s="372" t="e">
        <f t="shared" ca="1" si="144"/>
        <v>#REF!</v>
      </c>
      <c r="BJ220" s="364" t="str">
        <f t="shared" ca="1" si="137"/>
        <v>NULL</v>
      </c>
      <c r="BK220" s="372" t="e">
        <f ca="1">VLOOKUP($BF220&amp;IF($BJ220="NULL",0,$BJ220),所有坦克升星属性,MATCH(BK$3,所有坦克升星属性标头,0),FALSE)+ROUND(BP220/VLOOKUP($BF220,坦克部件!#REF!,4,FALSE)*VLOOKUP($BF220&amp;0,所有坦克升星属性,MATCH(BK$3,所有坦克升星属性标头,0),FALSE),0)</f>
        <v>#N/A</v>
      </c>
      <c r="BL220" s="372" t="e">
        <f ca="1">VLOOKUP($BF220&amp;IF($BJ220="NULL",0,$BJ220),所有坦克升星属性,MATCH(BL$3,所有坦克升星属性标头,0),FALSE)+ROUND(BQ220/VLOOKUP($BF220,坦克部件!#REF!,4,FALSE)*VLOOKUP($BF220&amp;0,所有坦克升星属性,MATCH(BL$3,所有坦克升星属性标头,0),FALSE),0)</f>
        <v>#N/A</v>
      </c>
      <c r="BM220" s="372" t="e">
        <f t="shared" ca="1" si="150"/>
        <v>#N/A</v>
      </c>
      <c r="BN220" s="372" t="e">
        <f t="shared" ca="1" si="150"/>
        <v>#N/A</v>
      </c>
      <c r="BO220" s="372" t="e">
        <f ca="1">VLOOKUP($BF220&amp;IF($BJ220="NULL",0,$BJ220),所有坦克升星属性,MATCH(BO$3,所有坦克升星属性标头,0),FALSE)+ROUND(BR220/VLOOKUP($BF220,坦克部件!#REF!,4,FALSE)*VLOOKUP($BF220&amp;0,所有坦克升星属性,MATCH(BO$3,所有坦克升星属性标头,0),FALSE),0)</f>
        <v>#N/A</v>
      </c>
      <c r="BP220" s="372" t="e">
        <f ca="1">(VLOOKUP($BH220,坦克部件!#REF!,MATCH("标准值",坦克部件!#REF!,0),FALSE)+VLOOKUP($BI220,坦克部件!#REF!,MATCH("标准值",坦克部件!#REF!,0),FALSE))*2</f>
        <v>#REF!</v>
      </c>
      <c r="BQ220" s="372" t="e">
        <f ca="1">(VLOOKUP($BH220,坦克部件!#REF!,MATCH("标准值",坦克部件!#REF!,0),FALSE)+VLOOKUP($BI220,坦克部件!#REF!,MATCH("标准值",坦克部件!#REF!,0),FALSE))*2</f>
        <v>#REF!</v>
      </c>
      <c r="BR220" s="372" t="e">
        <f ca="1">(VLOOKUP($BH220,坦克部件!#REF!,MATCH("标准值",坦克部件!#REF!,0),FALSE)+VLOOKUP($BI220,坦克部件!#REF!,MATCH("标准值",坦克部件!#REF!,0),FALSE))*2</f>
        <v>#REF!</v>
      </c>
      <c r="BS220" s="372" t="e">
        <f ca="1">VLOOKUP($BF220,坦克属性统计!$B$3:$AY$33,MATCH(BS$3,坦克属性统计!$B$3:$AY$3,0),FALSE)</f>
        <v>#N/A</v>
      </c>
      <c r="BT220" s="372" t="e">
        <f t="shared" ca="1" si="151"/>
        <v>#N/A</v>
      </c>
      <c r="BU220" s="372" t="e">
        <f t="shared" ca="1" si="151"/>
        <v>#N/A</v>
      </c>
      <c r="BV220" s="372" t="e">
        <f t="shared" ca="1" si="151"/>
        <v>#N/A</v>
      </c>
      <c r="BW220" s="356">
        <f t="shared" ca="1" si="138"/>
        <v>0</v>
      </c>
      <c r="BX220" s="356" t="e">
        <f ca="1">VLOOKUP(BF220,坦克个性化设定!$B$18:$E$48,4,FALSE)</f>
        <v>#N/A</v>
      </c>
      <c r="BY220" s="357" t="e">
        <f t="shared" ca="1" si="145"/>
        <v>#N/A</v>
      </c>
    </row>
    <row r="221" spans="15:77" x14ac:dyDescent="0.35">
      <c r="O221" s="365">
        <v>218</v>
      </c>
      <c r="P221" s="360" t="e">
        <f t="shared" ca="1" si="152"/>
        <v>#REF!</v>
      </c>
      <c r="Q221" s="360" t="e">
        <f ca="1">ROUND(MIN((BD221-VLOOKUP(R221,$B$22:$F$46,2,FALSE))/(VLOOKUP(R221,$B$22:$F$46,3,FALSE)-VLOOKUP(R221,$B$22:$F$46,2,FALSE)),1)*((VLOOKUP(R221,$B$22:$F$46,4,FALSE)*(AG221/(AG221+VLOOKUP(P221,$D$49:$F$123,3,TRUE)))+VLOOKUP(R221,$B$22:$F$46,5,FALSE)*(1-AG221/(AG221+VLOOKUP(P221,$D$49:$F$123,3,TRUE))))/2)*游戏时长规划!$C$4,0)</f>
        <v>#REF!</v>
      </c>
      <c r="R221" s="360" t="e">
        <f t="shared" ca="1" si="125"/>
        <v>#REF!</v>
      </c>
      <c r="S221" s="360" t="e">
        <f t="shared" ca="1" si="146"/>
        <v>#REF!</v>
      </c>
      <c r="T221" s="360" t="e">
        <f t="shared" ca="1" si="153"/>
        <v>#REF!</v>
      </c>
      <c r="U221" s="370" t="e">
        <f t="shared" ca="1" si="126"/>
        <v>#REF!</v>
      </c>
      <c r="V221" s="363" t="e">
        <f t="shared" ca="1" si="147"/>
        <v>#REF!</v>
      </c>
      <c r="W221" s="360" t="e">
        <f t="shared" ca="1" si="127"/>
        <v>#REF!</v>
      </c>
      <c r="X221" s="81" t="e">
        <f t="shared" ca="1" si="139"/>
        <v>#REF!</v>
      </c>
      <c r="Y221" s="360" t="str">
        <f t="shared" ca="1" si="128"/>
        <v>NULL</v>
      </c>
      <c r="Z221" s="375" t="e">
        <f t="shared" ca="1" si="140"/>
        <v>#REF!</v>
      </c>
      <c r="AA221" s="360">
        <f ca="1">IFERROR(VLOOKUP(IF(V221="T1低",游戏时长规划!$C$67+Z221,Z221),INDIRECT(V221&amp;"星级"),2,TRUE),0)</f>
        <v>0</v>
      </c>
      <c r="AB221" s="375" t="e">
        <f t="shared" ca="1" si="129"/>
        <v>#REF!</v>
      </c>
      <c r="AC221" s="375">
        <f ca="1">($D$14+$D$17)*$L$4/坦克部件养成!$C$2+AC220-IFERROR(IF(RIGHT(AD220,3)*1&gt;RIGHT(VLOOKUP(AC220,INDIRECT(LEFT(AD219,2)&amp;"部件升阶"),5,TRUE),3)*1,VLOOKUP(AD219,INDIRECT(LEFT(AD219,2)&amp;"部件升阶消耗"),2,FALSE),0),0)</f>
        <v>2579.6666666666683</v>
      </c>
      <c r="AD221" s="360" t="e">
        <f t="shared" ca="1" si="130"/>
        <v>#REF!</v>
      </c>
      <c r="AE221" s="375" t="e">
        <f ca="1">$D$15*$L$4/坦克部件养成!$C$2+AE220-IF(LEFT(AD221,2)&lt;&gt;LEFT(AD220,2),VLOOKUP(AF220,INDIRECT(LEFT(AD220,2)&amp;"部件升级消耗"),5,FALSE),0)</f>
        <v>#REF!</v>
      </c>
      <c r="AF221" s="360" t="e">
        <f ca="1">MIN(VLOOKUP(AE221,INDIRECT(LEFT(AD221,2)&amp;"部件升级"),2,TRUE),VLOOKUP(LEFT(AD221,2),坦克部件养成!#REF!,6,FALSE))</f>
        <v>#REF!</v>
      </c>
      <c r="AG221" s="378" t="e">
        <f ca="1">MAX(BD$4:BD221)</f>
        <v>#REF!</v>
      </c>
      <c r="AH221" s="378" t="str">
        <f t="shared" ca="1" si="131"/>
        <v/>
      </c>
      <c r="AI221" s="378">
        <f ca="1">IF(Y221="NULL",0,MAX(BY$4:BY221))</f>
        <v>0</v>
      </c>
      <c r="AK221" s="364" t="e">
        <f t="shared" ca="1" si="132"/>
        <v>#REF!</v>
      </c>
      <c r="AL221" s="364" t="e">
        <f ca="1">VLOOKUP(AK221,坦克个性化设定!$B$18:$F$48,5,FALSE)</f>
        <v>#REF!</v>
      </c>
      <c r="AM221" s="372" t="e">
        <f t="shared" ca="1" si="133"/>
        <v>#REF!</v>
      </c>
      <c r="AN221" s="372" t="e">
        <f t="shared" ca="1" si="141"/>
        <v>#REF!</v>
      </c>
      <c r="AO221" s="364">
        <f t="shared" ca="1" si="134"/>
        <v>0</v>
      </c>
      <c r="AP221" s="372" t="e">
        <f ca="1">VLOOKUP($AK221&amp;$AO221,所有坦克升星属性,MATCH(AP$3,所有坦克升星属性标头,0),FALSE)+ROUND(AU221/VLOOKUP($AK221,坦克部件!#REF!,4,FALSE)*VLOOKUP($AK221&amp;0,所有坦克升星属性,MATCH(AP$3,所有坦克升星属性标头,0),FALSE),0)</f>
        <v>#REF!</v>
      </c>
      <c r="AQ221" s="372" t="e">
        <f ca="1">VLOOKUP($AK221&amp;$AO221,所有坦克升星属性,MATCH(AQ$3,所有坦克升星属性标头,0),FALSE)+ROUND(AV221/VLOOKUP($AK221,坦克部件!#REF!,4,FALSE)*VLOOKUP($AK221&amp;0,所有坦克升星属性,MATCH(AQ$3,所有坦克升星属性标头,0),FALSE),0)</f>
        <v>#REF!</v>
      </c>
      <c r="AR221" s="372" t="e">
        <f t="shared" ca="1" si="148"/>
        <v>#REF!</v>
      </c>
      <c r="AS221" s="372" t="e">
        <f t="shared" ca="1" si="148"/>
        <v>#REF!</v>
      </c>
      <c r="AT221" s="372" t="e">
        <f ca="1">VLOOKUP($AK221&amp;$AO221,所有坦克升星属性,MATCH(AT$3,所有坦克升星属性标头,0),FALSE)+ROUND(AW221/VLOOKUP($AK221,坦克部件!#REF!,4,FALSE)*VLOOKUP($AK221&amp;0,所有坦克升星属性,MATCH(AT$3,所有坦克升星属性标头,0),FALSE),0)</f>
        <v>#REF!</v>
      </c>
      <c r="AU221" s="372" t="e">
        <f ca="1">(VLOOKUP($AM221,坦克部件!#REF!,MATCH("标准值",坦克部件!#REF!,0),FALSE)+VLOOKUP($AN221,坦克部件!#REF!,MATCH("标准值",坦克部件!#REF!,0),FALSE))*2</f>
        <v>#REF!</v>
      </c>
      <c r="AV221" s="372" t="e">
        <f ca="1">(VLOOKUP($AM221,坦克部件!#REF!,MATCH("标准值",坦克部件!#REF!,0),FALSE)+VLOOKUP($AN221,坦克部件!#REF!,MATCH("标准值",坦克部件!#REF!,0),FALSE))*2</f>
        <v>#REF!</v>
      </c>
      <c r="AW221" s="372" t="e">
        <f ca="1">(VLOOKUP($AM221,坦克部件!#REF!,MATCH("标准值",坦克部件!#REF!,0),FALSE)+VLOOKUP($AN221,坦克部件!#REF!,MATCH("标准值",坦克部件!#REF!,0),FALSE))*2</f>
        <v>#REF!</v>
      </c>
      <c r="AX221" s="372" t="e">
        <f ca="1">VLOOKUP($AK221,坦克属性统计!$B$3:$AY$33,MATCH(AX$3,坦克属性统计!$B$3:$AY$3,0),FALSE)</f>
        <v>#REF!</v>
      </c>
      <c r="AY221" s="372" t="e">
        <f t="shared" ca="1" si="149"/>
        <v>#REF!</v>
      </c>
      <c r="AZ221" s="372" t="e">
        <f t="shared" ca="1" si="149"/>
        <v>#REF!</v>
      </c>
      <c r="BA221" s="372" t="e">
        <f t="shared" ca="1" si="149"/>
        <v>#REF!</v>
      </c>
      <c r="BB221" s="356" t="e">
        <f t="shared" ca="1" si="135"/>
        <v>#REF!</v>
      </c>
      <c r="BC221" s="356" t="e">
        <f ca="1">VLOOKUP(AK221,坦克个性化设定!$B$18:$E$48,4,FALSE)</f>
        <v>#REF!</v>
      </c>
      <c r="BD221" s="357" t="e">
        <f t="shared" ca="1" si="142"/>
        <v>#REF!</v>
      </c>
      <c r="BF221" s="357" t="str">
        <f t="shared" ca="1" si="136"/>
        <v/>
      </c>
      <c r="BG221" s="372" t="str">
        <f ca="1">IFERROR(VLOOKUP(BF221,坦克个性化设定!$B$18:$F$48,5,FALSE),"")</f>
        <v/>
      </c>
      <c r="BH221" s="372" t="e">
        <f t="shared" ca="1" si="143"/>
        <v>#REF!</v>
      </c>
      <c r="BI221" s="372" t="e">
        <f t="shared" ca="1" si="144"/>
        <v>#REF!</v>
      </c>
      <c r="BJ221" s="364" t="str">
        <f t="shared" ca="1" si="137"/>
        <v>NULL</v>
      </c>
      <c r="BK221" s="372" t="e">
        <f ca="1">VLOOKUP($BF221&amp;IF($BJ221="NULL",0,$BJ221),所有坦克升星属性,MATCH(BK$3,所有坦克升星属性标头,0),FALSE)+ROUND(BP221/VLOOKUP($BF221,坦克部件!#REF!,4,FALSE)*VLOOKUP($BF221&amp;0,所有坦克升星属性,MATCH(BK$3,所有坦克升星属性标头,0),FALSE),0)</f>
        <v>#N/A</v>
      </c>
      <c r="BL221" s="372" t="e">
        <f ca="1">VLOOKUP($BF221&amp;IF($BJ221="NULL",0,$BJ221),所有坦克升星属性,MATCH(BL$3,所有坦克升星属性标头,0),FALSE)+ROUND(BQ221/VLOOKUP($BF221,坦克部件!#REF!,4,FALSE)*VLOOKUP($BF221&amp;0,所有坦克升星属性,MATCH(BL$3,所有坦克升星属性标头,0),FALSE),0)</f>
        <v>#N/A</v>
      </c>
      <c r="BM221" s="372" t="e">
        <f t="shared" ca="1" si="150"/>
        <v>#N/A</v>
      </c>
      <c r="BN221" s="372" t="e">
        <f t="shared" ca="1" si="150"/>
        <v>#N/A</v>
      </c>
      <c r="BO221" s="372" t="e">
        <f ca="1">VLOOKUP($BF221&amp;IF($BJ221="NULL",0,$BJ221),所有坦克升星属性,MATCH(BO$3,所有坦克升星属性标头,0),FALSE)+ROUND(BR221/VLOOKUP($BF221,坦克部件!#REF!,4,FALSE)*VLOOKUP($BF221&amp;0,所有坦克升星属性,MATCH(BO$3,所有坦克升星属性标头,0),FALSE),0)</f>
        <v>#N/A</v>
      </c>
      <c r="BP221" s="372" t="e">
        <f ca="1">(VLOOKUP($BH221,坦克部件!#REF!,MATCH("标准值",坦克部件!#REF!,0),FALSE)+VLOOKUP($BI221,坦克部件!#REF!,MATCH("标准值",坦克部件!#REF!,0),FALSE))*2</f>
        <v>#REF!</v>
      </c>
      <c r="BQ221" s="372" t="e">
        <f ca="1">(VLOOKUP($BH221,坦克部件!#REF!,MATCH("标准值",坦克部件!#REF!,0),FALSE)+VLOOKUP($BI221,坦克部件!#REF!,MATCH("标准值",坦克部件!#REF!,0),FALSE))*2</f>
        <v>#REF!</v>
      </c>
      <c r="BR221" s="372" t="e">
        <f ca="1">(VLOOKUP($BH221,坦克部件!#REF!,MATCH("标准值",坦克部件!#REF!,0),FALSE)+VLOOKUP($BI221,坦克部件!#REF!,MATCH("标准值",坦克部件!#REF!,0),FALSE))*2</f>
        <v>#REF!</v>
      </c>
      <c r="BS221" s="372" t="e">
        <f ca="1">VLOOKUP($BF221,坦克属性统计!$B$3:$AY$33,MATCH(BS$3,坦克属性统计!$B$3:$AY$3,0),FALSE)</f>
        <v>#N/A</v>
      </c>
      <c r="BT221" s="372" t="e">
        <f t="shared" ca="1" si="151"/>
        <v>#N/A</v>
      </c>
      <c r="BU221" s="372" t="e">
        <f t="shared" ca="1" si="151"/>
        <v>#N/A</v>
      </c>
      <c r="BV221" s="372" t="e">
        <f t="shared" ca="1" si="151"/>
        <v>#N/A</v>
      </c>
      <c r="BW221" s="356">
        <f t="shared" ca="1" si="138"/>
        <v>0</v>
      </c>
      <c r="BX221" s="356" t="e">
        <f ca="1">VLOOKUP(BF221,坦克个性化设定!$B$18:$E$48,4,FALSE)</f>
        <v>#N/A</v>
      </c>
      <c r="BY221" s="357" t="e">
        <f t="shared" ca="1" si="145"/>
        <v>#N/A</v>
      </c>
    </row>
    <row r="222" spans="15:77" x14ac:dyDescent="0.35">
      <c r="O222" s="365">
        <v>219</v>
      </c>
      <c r="P222" s="360" t="e">
        <f t="shared" ca="1" si="152"/>
        <v>#REF!</v>
      </c>
      <c r="Q222" s="360" t="e">
        <f ca="1">ROUND(MIN((BD222-VLOOKUP(R222,$B$22:$F$46,2,FALSE))/(VLOOKUP(R222,$B$22:$F$46,3,FALSE)-VLOOKUP(R222,$B$22:$F$46,2,FALSE)),1)*((VLOOKUP(R222,$B$22:$F$46,4,FALSE)*(AG222/(AG222+VLOOKUP(P222,$D$49:$F$123,3,TRUE)))+VLOOKUP(R222,$B$22:$F$46,5,FALSE)*(1-AG222/(AG222+VLOOKUP(P222,$D$49:$F$123,3,TRUE))))/2)*游戏时长规划!$C$4,0)</f>
        <v>#REF!</v>
      </c>
      <c r="R222" s="360" t="e">
        <f t="shared" ca="1" si="125"/>
        <v>#REF!</v>
      </c>
      <c r="S222" s="360" t="e">
        <f t="shared" ca="1" si="146"/>
        <v>#REF!</v>
      </c>
      <c r="T222" s="360" t="e">
        <f t="shared" ca="1" si="153"/>
        <v>#REF!</v>
      </c>
      <c r="U222" s="370" t="e">
        <f t="shared" ca="1" si="126"/>
        <v>#REF!</v>
      </c>
      <c r="V222" s="363" t="e">
        <f t="shared" ca="1" si="147"/>
        <v>#REF!</v>
      </c>
      <c r="W222" s="360" t="e">
        <f t="shared" ca="1" si="127"/>
        <v>#REF!</v>
      </c>
      <c r="X222" s="81" t="e">
        <f t="shared" ca="1" si="139"/>
        <v>#REF!</v>
      </c>
      <c r="Y222" s="360" t="str">
        <f t="shared" ca="1" si="128"/>
        <v>NULL</v>
      </c>
      <c r="Z222" s="375" t="e">
        <f t="shared" ca="1" si="140"/>
        <v>#REF!</v>
      </c>
      <c r="AA222" s="360">
        <f ca="1">IFERROR(VLOOKUP(IF(V222="T1低",游戏时长规划!$C$67+Z222,Z222),INDIRECT(V222&amp;"星级"),2,TRUE),0)</f>
        <v>0</v>
      </c>
      <c r="AB222" s="375" t="e">
        <f t="shared" ca="1" si="129"/>
        <v>#REF!</v>
      </c>
      <c r="AC222" s="375">
        <f ca="1">($D$14+$D$17)*$L$4/坦克部件养成!$C$2+AC221-IFERROR(IF(RIGHT(AD221,3)*1&gt;RIGHT(VLOOKUP(AC221,INDIRECT(LEFT(AD220,2)&amp;"部件升阶"),5,TRUE),3)*1,VLOOKUP(AD220,INDIRECT(LEFT(AD220,2)&amp;"部件升阶消耗"),2,FALSE),0),0)</f>
        <v>2591.5000000000018</v>
      </c>
      <c r="AD222" s="360" t="e">
        <f t="shared" ca="1" si="130"/>
        <v>#REF!</v>
      </c>
      <c r="AE222" s="375" t="e">
        <f ca="1">$D$15*$L$4/坦克部件养成!$C$2+AE221-IF(LEFT(AD222,2)&lt;&gt;LEFT(AD221,2),VLOOKUP(AF221,INDIRECT(LEFT(AD221,2)&amp;"部件升级消耗"),5,FALSE),0)</f>
        <v>#REF!</v>
      </c>
      <c r="AF222" s="360" t="e">
        <f ca="1">MIN(VLOOKUP(AE222,INDIRECT(LEFT(AD222,2)&amp;"部件升级"),2,TRUE),VLOOKUP(LEFT(AD222,2),坦克部件养成!#REF!,6,FALSE))</f>
        <v>#REF!</v>
      </c>
      <c r="AG222" s="378" t="e">
        <f ca="1">MAX(BD$4:BD222)</f>
        <v>#REF!</v>
      </c>
      <c r="AH222" s="378" t="str">
        <f t="shared" ca="1" si="131"/>
        <v/>
      </c>
      <c r="AI222" s="378">
        <f ca="1">IF(Y222="NULL",0,MAX(BY$4:BY222))</f>
        <v>0</v>
      </c>
      <c r="AK222" s="364" t="e">
        <f t="shared" ca="1" si="132"/>
        <v>#REF!</v>
      </c>
      <c r="AL222" s="364" t="e">
        <f ca="1">VLOOKUP(AK222,坦克个性化设定!$B$18:$F$48,5,FALSE)</f>
        <v>#REF!</v>
      </c>
      <c r="AM222" s="372" t="e">
        <f t="shared" ca="1" si="133"/>
        <v>#REF!</v>
      </c>
      <c r="AN222" s="372" t="e">
        <f t="shared" ca="1" si="141"/>
        <v>#REF!</v>
      </c>
      <c r="AO222" s="364">
        <f t="shared" ca="1" si="134"/>
        <v>0</v>
      </c>
      <c r="AP222" s="372" t="e">
        <f ca="1">VLOOKUP($AK222&amp;$AO222,所有坦克升星属性,MATCH(AP$3,所有坦克升星属性标头,0),FALSE)+ROUND(AU222/VLOOKUP($AK222,坦克部件!#REF!,4,FALSE)*VLOOKUP($AK222&amp;0,所有坦克升星属性,MATCH(AP$3,所有坦克升星属性标头,0),FALSE),0)</f>
        <v>#REF!</v>
      </c>
      <c r="AQ222" s="372" t="e">
        <f ca="1">VLOOKUP($AK222&amp;$AO222,所有坦克升星属性,MATCH(AQ$3,所有坦克升星属性标头,0),FALSE)+ROUND(AV222/VLOOKUP($AK222,坦克部件!#REF!,4,FALSE)*VLOOKUP($AK222&amp;0,所有坦克升星属性,MATCH(AQ$3,所有坦克升星属性标头,0),FALSE),0)</f>
        <v>#REF!</v>
      </c>
      <c r="AR222" s="372" t="e">
        <f t="shared" ca="1" si="148"/>
        <v>#REF!</v>
      </c>
      <c r="AS222" s="372" t="e">
        <f t="shared" ca="1" si="148"/>
        <v>#REF!</v>
      </c>
      <c r="AT222" s="372" t="e">
        <f ca="1">VLOOKUP($AK222&amp;$AO222,所有坦克升星属性,MATCH(AT$3,所有坦克升星属性标头,0),FALSE)+ROUND(AW222/VLOOKUP($AK222,坦克部件!#REF!,4,FALSE)*VLOOKUP($AK222&amp;0,所有坦克升星属性,MATCH(AT$3,所有坦克升星属性标头,0),FALSE),0)</f>
        <v>#REF!</v>
      </c>
      <c r="AU222" s="372" t="e">
        <f ca="1">(VLOOKUP($AM222,坦克部件!#REF!,MATCH("标准值",坦克部件!#REF!,0),FALSE)+VLOOKUP($AN222,坦克部件!#REF!,MATCH("标准值",坦克部件!#REF!,0),FALSE))*2</f>
        <v>#REF!</v>
      </c>
      <c r="AV222" s="372" t="e">
        <f ca="1">(VLOOKUP($AM222,坦克部件!#REF!,MATCH("标准值",坦克部件!#REF!,0),FALSE)+VLOOKUP($AN222,坦克部件!#REF!,MATCH("标准值",坦克部件!#REF!,0),FALSE))*2</f>
        <v>#REF!</v>
      </c>
      <c r="AW222" s="372" t="e">
        <f ca="1">(VLOOKUP($AM222,坦克部件!#REF!,MATCH("标准值",坦克部件!#REF!,0),FALSE)+VLOOKUP($AN222,坦克部件!#REF!,MATCH("标准值",坦克部件!#REF!,0),FALSE))*2</f>
        <v>#REF!</v>
      </c>
      <c r="AX222" s="372" t="e">
        <f ca="1">VLOOKUP($AK222,坦克属性统计!$B$3:$AY$33,MATCH(AX$3,坦克属性统计!$B$3:$AY$3,0),FALSE)</f>
        <v>#REF!</v>
      </c>
      <c r="AY222" s="372" t="e">
        <f t="shared" ca="1" si="149"/>
        <v>#REF!</v>
      </c>
      <c r="AZ222" s="372" t="e">
        <f t="shared" ca="1" si="149"/>
        <v>#REF!</v>
      </c>
      <c r="BA222" s="372" t="e">
        <f t="shared" ca="1" si="149"/>
        <v>#REF!</v>
      </c>
      <c r="BB222" s="356" t="e">
        <f t="shared" ca="1" si="135"/>
        <v>#REF!</v>
      </c>
      <c r="BC222" s="356" t="e">
        <f ca="1">VLOOKUP(AK222,坦克个性化设定!$B$18:$E$48,4,FALSE)</f>
        <v>#REF!</v>
      </c>
      <c r="BD222" s="357" t="e">
        <f t="shared" ca="1" si="142"/>
        <v>#REF!</v>
      </c>
      <c r="BF222" s="357" t="str">
        <f t="shared" ca="1" si="136"/>
        <v/>
      </c>
      <c r="BG222" s="372" t="str">
        <f ca="1">IFERROR(VLOOKUP(BF222,坦克个性化设定!$B$18:$F$48,5,FALSE),"")</f>
        <v/>
      </c>
      <c r="BH222" s="372" t="e">
        <f t="shared" ca="1" si="143"/>
        <v>#REF!</v>
      </c>
      <c r="BI222" s="372" t="e">
        <f t="shared" ca="1" si="144"/>
        <v>#REF!</v>
      </c>
      <c r="BJ222" s="364" t="str">
        <f t="shared" ca="1" si="137"/>
        <v>NULL</v>
      </c>
      <c r="BK222" s="372" t="e">
        <f ca="1">VLOOKUP($BF222&amp;IF($BJ222="NULL",0,$BJ222),所有坦克升星属性,MATCH(BK$3,所有坦克升星属性标头,0),FALSE)+ROUND(BP222/VLOOKUP($BF222,坦克部件!#REF!,4,FALSE)*VLOOKUP($BF222&amp;0,所有坦克升星属性,MATCH(BK$3,所有坦克升星属性标头,0),FALSE),0)</f>
        <v>#N/A</v>
      </c>
      <c r="BL222" s="372" t="e">
        <f ca="1">VLOOKUP($BF222&amp;IF($BJ222="NULL",0,$BJ222),所有坦克升星属性,MATCH(BL$3,所有坦克升星属性标头,0),FALSE)+ROUND(BQ222/VLOOKUP($BF222,坦克部件!#REF!,4,FALSE)*VLOOKUP($BF222&amp;0,所有坦克升星属性,MATCH(BL$3,所有坦克升星属性标头,0),FALSE),0)</f>
        <v>#N/A</v>
      </c>
      <c r="BM222" s="372" t="e">
        <f t="shared" ca="1" si="150"/>
        <v>#N/A</v>
      </c>
      <c r="BN222" s="372" t="e">
        <f t="shared" ca="1" si="150"/>
        <v>#N/A</v>
      </c>
      <c r="BO222" s="372" t="e">
        <f ca="1">VLOOKUP($BF222&amp;IF($BJ222="NULL",0,$BJ222),所有坦克升星属性,MATCH(BO$3,所有坦克升星属性标头,0),FALSE)+ROUND(BR222/VLOOKUP($BF222,坦克部件!#REF!,4,FALSE)*VLOOKUP($BF222&amp;0,所有坦克升星属性,MATCH(BO$3,所有坦克升星属性标头,0),FALSE),0)</f>
        <v>#N/A</v>
      </c>
      <c r="BP222" s="372" t="e">
        <f ca="1">(VLOOKUP($BH222,坦克部件!#REF!,MATCH("标准值",坦克部件!#REF!,0),FALSE)+VLOOKUP($BI222,坦克部件!#REF!,MATCH("标准值",坦克部件!#REF!,0),FALSE))*2</f>
        <v>#REF!</v>
      </c>
      <c r="BQ222" s="372" t="e">
        <f ca="1">(VLOOKUP($BH222,坦克部件!#REF!,MATCH("标准值",坦克部件!#REF!,0),FALSE)+VLOOKUP($BI222,坦克部件!#REF!,MATCH("标准值",坦克部件!#REF!,0),FALSE))*2</f>
        <v>#REF!</v>
      </c>
      <c r="BR222" s="372" t="e">
        <f ca="1">(VLOOKUP($BH222,坦克部件!#REF!,MATCH("标准值",坦克部件!#REF!,0),FALSE)+VLOOKUP($BI222,坦克部件!#REF!,MATCH("标准值",坦克部件!#REF!,0),FALSE))*2</f>
        <v>#REF!</v>
      </c>
      <c r="BS222" s="372" t="e">
        <f ca="1">VLOOKUP($BF222,坦克属性统计!$B$3:$AY$33,MATCH(BS$3,坦克属性统计!$B$3:$AY$3,0),FALSE)</f>
        <v>#N/A</v>
      </c>
      <c r="BT222" s="372" t="e">
        <f t="shared" ca="1" si="151"/>
        <v>#N/A</v>
      </c>
      <c r="BU222" s="372" t="e">
        <f t="shared" ca="1" si="151"/>
        <v>#N/A</v>
      </c>
      <c r="BV222" s="372" t="e">
        <f t="shared" ca="1" si="151"/>
        <v>#N/A</v>
      </c>
      <c r="BW222" s="356">
        <f t="shared" ca="1" si="138"/>
        <v>0</v>
      </c>
      <c r="BX222" s="356" t="e">
        <f ca="1">VLOOKUP(BF222,坦克个性化设定!$B$18:$E$48,4,FALSE)</f>
        <v>#N/A</v>
      </c>
      <c r="BY222" s="357" t="e">
        <f t="shared" ca="1" si="145"/>
        <v>#N/A</v>
      </c>
    </row>
    <row r="223" spans="15:77" x14ac:dyDescent="0.35">
      <c r="O223" s="365">
        <v>220</v>
      </c>
      <c r="P223" s="360" t="e">
        <f t="shared" ca="1" si="152"/>
        <v>#REF!</v>
      </c>
      <c r="Q223" s="360" t="e">
        <f ca="1">ROUND(MIN((BD223-VLOOKUP(R223,$B$22:$F$46,2,FALSE))/(VLOOKUP(R223,$B$22:$F$46,3,FALSE)-VLOOKUP(R223,$B$22:$F$46,2,FALSE)),1)*((VLOOKUP(R223,$B$22:$F$46,4,FALSE)*(AG223/(AG223+VLOOKUP(P223,$D$49:$F$123,3,TRUE)))+VLOOKUP(R223,$B$22:$F$46,5,FALSE)*(1-AG223/(AG223+VLOOKUP(P223,$D$49:$F$123,3,TRUE))))/2)*游戏时长规划!$C$4,0)</f>
        <v>#REF!</v>
      </c>
      <c r="R223" s="360" t="e">
        <f t="shared" ca="1" si="125"/>
        <v>#REF!</v>
      </c>
      <c r="S223" s="360" t="e">
        <f t="shared" ca="1" si="146"/>
        <v>#REF!</v>
      </c>
      <c r="T223" s="360" t="e">
        <f t="shared" ca="1" si="153"/>
        <v>#REF!</v>
      </c>
      <c r="U223" s="370" t="e">
        <f t="shared" ca="1" si="126"/>
        <v>#REF!</v>
      </c>
      <c r="V223" s="363" t="e">
        <f t="shared" ca="1" si="147"/>
        <v>#REF!</v>
      </c>
      <c r="W223" s="360" t="e">
        <f t="shared" ca="1" si="127"/>
        <v>#REF!</v>
      </c>
      <c r="X223" s="81" t="e">
        <f t="shared" ca="1" si="139"/>
        <v>#REF!</v>
      </c>
      <c r="Y223" s="360" t="str">
        <f t="shared" ca="1" si="128"/>
        <v>NULL</v>
      </c>
      <c r="Z223" s="375" t="e">
        <f t="shared" ca="1" si="140"/>
        <v>#REF!</v>
      </c>
      <c r="AA223" s="360">
        <f ca="1">IFERROR(VLOOKUP(IF(V223="T1低",游戏时长规划!$C$67+Z223,Z223),INDIRECT(V223&amp;"星级"),2,TRUE),0)</f>
        <v>0</v>
      </c>
      <c r="AB223" s="375" t="e">
        <f t="shared" ca="1" si="129"/>
        <v>#REF!</v>
      </c>
      <c r="AC223" s="375">
        <f ca="1">($D$14+$D$17)*$L$4/坦克部件养成!$C$2+AC222-IFERROR(IF(RIGHT(AD222,3)*1&gt;RIGHT(VLOOKUP(AC222,INDIRECT(LEFT(AD221,2)&amp;"部件升阶"),5,TRUE),3)*1,VLOOKUP(AD221,INDIRECT(LEFT(AD221,2)&amp;"部件升阶消耗"),2,FALSE),0),0)</f>
        <v>2603.3333333333353</v>
      </c>
      <c r="AD223" s="360" t="e">
        <f t="shared" ca="1" si="130"/>
        <v>#REF!</v>
      </c>
      <c r="AE223" s="375" t="e">
        <f ca="1">$D$15*$L$4/坦克部件养成!$C$2+AE222-IF(LEFT(AD223,2)&lt;&gt;LEFT(AD222,2),VLOOKUP(AF222,INDIRECT(LEFT(AD222,2)&amp;"部件升级消耗"),5,FALSE),0)</f>
        <v>#REF!</v>
      </c>
      <c r="AF223" s="360" t="e">
        <f ca="1">MIN(VLOOKUP(AE223,INDIRECT(LEFT(AD223,2)&amp;"部件升级"),2,TRUE),VLOOKUP(LEFT(AD223,2),坦克部件养成!#REF!,6,FALSE))</f>
        <v>#REF!</v>
      </c>
      <c r="AG223" s="378" t="e">
        <f ca="1">MAX(BD$4:BD223)</f>
        <v>#REF!</v>
      </c>
      <c r="AH223" s="378" t="str">
        <f t="shared" ca="1" si="131"/>
        <v/>
      </c>
      <c r="AI223" s="378">
        <f ca="1">IF(Y223="NULL",0,MAX(BY$4:BY223))</f>
        <v>0</v>
      </c>
      <c r="AK223" s="364" t="e">
        <f t="shared" ca="1" si="132"/>
        <v>#REF!</v>
      </c>
      <c r="AL223" s="364" t="e">
        <f ca="1">VLOOKUP(AK223,坦克个性化设定!$B$18:$F$48,5,FALSE)</f>
        <v>#REF!</v>
      </c>
      <c r="AM223" s="372" t="e">
        <f t="shared" ca="1" si="133"/>
        <v>#REF!</v>
      </c>
      <c r="AN223" s="372" t="e">
        <f t="shared" ca="1" si="141"/>
        <v>#REF!</v>
      </c>
      <c r="AO223" s="364">
        <f t="shared" ca="1" si="134"/>
        <v>0</v>
      </c>
      <c r="AP223" s="372" t="e">
        <f ca="1">VLOOKUP($AK223&amp;$AO223,所有坦克升星属性,MATCH(AP$3,所有坦克升星属性标头,0),FALSE)+ROUND(AU223/VLOOKUP($AK223,坦克部件!#REF!,4,FALSE)*VLOOKUP($AK223&amp;0,所有坦克升星属性,MATCH(AP$3,所有坦克升星属性标头,0),FALSE),0)</f>
        <v>#REF!</v>
      </c>
      <c r="AQ223" s="372" t="e">
        <f ca="1">VLOOKUP($AK223&amp;$AO223,所有坦克升星属性,MATCH(AQ$3,所有坦克升星属性标头,0),FALSE)+ROUND(AV223/VLOOKUP($AK223,坦克部件!#REF!,4,FALSE)*VLOOKUP($AK223&amp;0,所有坦克升星属性,MATCH(AQ$3,所有坦克升星属性标头,0),FALSE),0)</f>
        <v>#REF!</v>
      </c>
      <c r="AR223" s="372" t="e">
        <f t="shared" ca="1" si="148"/>
        <v>#REF!</v>
      </c>
      <c r="AS223" s="372" t="e">
        <f t="shared" ca="1" si="148"/>
        <v>#REF!</v>
      </c>
      <c r="AT223" s="372" t="e">
        <f ca="1">VLOOKUP($AK223&amp;$AO223,所有坦克升星属性,MATCH(AT$3,所有坦克升星属性标头,0),FALSE)+ROUND(AW223/VLOOKUP($AK223,坦克部件!#REF!,4,FALSE)*VLOOKUP($AK223&amp;0,所有坦克升星属性,MATCH(AT$3,所有坦克升星属性标头,0),FALSE),0)</f>
        <v>#REF!</v>
      </c>
      <c r="AU223" s="372" t="e">
        <f ca="1">(VLOOKUP($AM223,坦克部件!#REF!,MATCH("标准值",坦克部件!#REF!,0),FALSE)+VLOOKUP($AN223,坦克部件!#REF!,MATCH("标准值",坦克部件!#REF!,0),FALSE))*2</f>
        <v>#REF!</v>
      </c>
      <c r="AV223" s="372" t="e">
        <f ca="1">(VLOOKUP($AM223,坦克部件!#REF!,MATCH("标准值",坦克部件!#REF!,0),FALSE)+VLOOKUP($AN223,坦克部件!#REF!,MATCH("标准值",坦克部件!#REF!,0),FALSE))*2</f>
        <v>#REF!</v>
      </c>
      <c r="AW223" s="372" t="e">
        <f ca="1">(VLOOKUP($AM223,坦克部件!#REF!,MATCH("标准值",坦克部件!#REF!,0),FALSE)+VLOOKUP($AN223,坦克部件!#REF!,MATCH("标准值",坦克部件!#REF!,0),FALSE))*2</f>
        <v>#REF!</v>
      </c>
      <c r="AX223" s="372" t="e">
        <f ca="1">VLOOKUP($AK223,坦克属性统计!$B$3:$AY$33,MATCH(AX$3,坦克属性统计!$B$3:$AY$3,0),FALSE)</f>
        <v>#REF!</v>
      </c>
      <c r="AY223" s="372" t="e">
        <f t="shared" ca="1" si="149"/>
        <v>#REF!</v>
      </c>
      <c r="AZ223" s="372" t="e">
        <f t="shared" ca="1" si="149"/>
        <v>#REF!</v>
      </c>
      <c r="BA223" s="372" t="e">
        <f t="shared" ca="1" si="149"/>
        <v>#REF!</v>
      </c>
      <c r="BB223" s="356" t="e">
        <f t="shared" ca="1" si="135"/>
        <v>#REF!</v>
      </c>
      <c r="BC223" s="356" t="e">
        <f ca="1">VLOOKUP(AK223,坦克个性化设定!$B$18:$E$48,4,FALSE)</f>
        <v>#REF!</v>
      </c>
      <c r="BD223" s="357" t="e">
        <f t="shared" ca="1" si="142"/>
        <v>#REF!</v>
      </c>
      <c r="BF223" s="357" t="str">
        <f t="shared" ca="1" si="136"/>
        <v/>
      </c>
      <c r="BG223" s="372" t="str">
        <f ca="1">IFERROR(VLOOKUP(BF223,坦克个性化设定!$B$18:$F$48,5,FALSE),"")</f>
        <v/>
      </c>
      <c r="BH223" s="372" t="e">
        <f t="shared" ca="1" si="143"/>
        <v>#REF!</v>
      </c>
      <c r="BI223" s="372" t="e">
        <f t="shared" ca="1" si="144"/>
        <v>#REF!</v>
      </c>
      <c r="BJ223" s="364" t="str">
        <f t="shared" ca="1" si="137"/>
        <v>NULL</v>
      </c>
      <c r="BK223" s="372" t="e">
        <f ca="1">VLOOKUP($BF223&amp;IF($BJ223="NULL",0,$BJ223),所有坦克升星属性,MATCH(BK$3,所有坦克升星属性标头,0),FALSE)+ROUND(BP223/VLOOKUP($BF223,坦克部件!#REF!,4,FALSE)*VLOOKUP($BF223&amp;0,所有坦克升星属性,MATCH(BK$3,所有坦克升星属性标头,0),FALSE),0)</f>
        <v>#N/A</v>
      </c>
      <c r="BL223" s="372" t="e">
        <f ca="1">VLOOKUP($BF223&amp;IF($BJ223="NULL",0,$BJ223),所有坦克升星属性,MATCH(BL$3,所有坦克升星属性标头,0),FALSE)+ROUND(BQ223/VLOOKUP($BF223,坦克部件!#REF!,4,FALSE)*VLOOKUP($BF223&amp;0,所有坦克升星属性,MATCH(BL$3,所有坦克升星属性标头,0),FALSE),0)</f>
        <v>#N/A</v>
      </c>
      <c r="BM223" s="372" t="e">
        <f t="shared" ca="1" si="150"/>
        <v>#N/A</v>
      </c>
      <c r="BN223" s="372" t="e">
        <f t="shared" ca="1" si="150"/>
        <v>#N/A</v>
      </c>
      <c r="BO223" s="372" t="e">
        <f ca="1">VLOOKUP($BF223&amp;IF($BJ223="NULL",0,$BJ223),所有坦克升星属性,MATCH(BO$3,所有坦克升星属性标头,0),FALSE)+ROUND(BR223/VLOOKUP($BF223,坦克部件!#REF!,4,FALSE)*VLOOKUP($BF223&amp;0,所有坦克升星属性,MATCH(BO$3,所有坦克升星属性标头,0),FALSE),0)</f>
        <v>#N/A</v>
      </c>
      <c r="BP223" s="372" t="e">
        <f ca="1">(VLOOKUP($BH223,坦克部件!#REF!,MATCH("标准值",坦克部件!#REF!,0),FALSE)+VLOOKUP($BI223,坦克部件!#REF!,MATCH("标准值",坦克部件!#REF!,0),FALSE))*2</f>
        <v>#REF!</v>
      </c>
      <c r="BQ223" s="372" t="e">
        <f ca="1">(VLOOKUP($BH223,坦克部件!#REF!,MATCH("标准值",坦克部件!#REF!,0),FALSE)+VLOOKUP($BI223,坦克部件!#REF!,MATCH("标准值",坦克部件!#REF!,0),FALSE))*2</f>
        <v>#REF!</v>
      </c>
      <c r="BR223" s="372" t="e">
        <f ca="1">(VLOOKUP($BH223,坦克部件!#REF!,MATCH("标准值",坦克部件!#REF!,0),FALSE)+VLOOKUP($BI223,坦克部件!#REF!,MATCH("标准值",坦克部件!#REF!,0),FALSE))*2</f>
        <v>#REF!</v>
      </c>
      <c r="BS223" s="372" t="e">
        <f ca="1">VLOOKUP($BF223,坦克属性统计!$B$3:$AY$33,MATCH(BS$3,坦克属性统计!$B$3:$AY$3,0),FALSE)</f>
        <v>#N/A</v>
      </c>
      <c r="BT223" s="372" t="e">
        <f t="shared" ca="1" si="151"/>
        <v>#N/A</v>
      </c>
      <c r="BU223" s="372" t="e">
        <f t="shared" ca="1" si="151"/>
        <v>#N/A</v>
      </c>
      <c r="BV223" s="372" t="e">
        <f t="shared" ca="1" si="151"/>
        <v>#N/A</v>
      </c>
      <c r="BW223" s="356">
        <f t="shared" ca="1" si="138"/>
        <v>0</v>
      </c>
      <c r="BX223" s="356" t="e">
        <f ca="1">VLOOKUP(BF223,坦克个性化设定!$B$18:$E$48,4,FALSE)</f>
        <v>#N/A</v>
      </c>
      <c r="BY223" s="357" t="e">
        <f t="shared" ca="1" si="145"/>
        <v>#N/A</v>
      </c>
    </row>
    <row r="224" spans="15:77" x14ac:dyDescent="0.35">
      <c r="O224" s="365">
        <v>221</v>
      </c>
      <c r="P224" s="360" t="e">
        <f t="shared" ca="1" si="152"/>
        <v>#REF!</v>
      </c>
      <c r="Q224" s="360" t="e">
        <f ca="1">ROUND(MIN((BD224-VLOOKUP(R224,$B$22:$F$46,2,FALSE))/(VLOOKUP(R224,$B$22:$F$46,3,FALSE)-VLOOKUP(R224,$B$22:$F$46,2,FALSE)),1)*((VLOOKUP(R224,$B$22:$F$46,4,FALSE)*(AG224/(AG224+VLOOKUP(P224,$D$49:$F$123,3,TRUE)))+VLOOKUP(R224,$B$22:$F$46,5,FALSE)*(1-AG224/(AG224+VLOOKUP(P224,$D$49:$F$123,3,TRUE))))/2)*游戏时长规划!$C$4,0)</f>
        <v>#REF!</v>
      </c>
      <c r="R224" s="360" t="e">
        <f t="shared" ca="1" si="125"/>
        <v>#REF!</v>
      </c>
      <c r="S224" s="360" t="e">
        <f t="shared" ca="1" si="146"/>
        <v>#REF!</v>
      </c>
      <c r="T224" s="360" t="e">
        <f t="shared" ca="1" si="153"/>
        <v>#REF!</v>
      </c>
      <c r="U224" s="370" t="e">
        <f t="shared" ca="1" si="126"/>
        <v>#REF!</v>
      </c>
      <c r="V224" s="363" t="e">
        <f t="shared" ca="1" si="147"/>
        <v>#REF!</v>
      </c>
      <c r="W224" s="360" t="e">
        <f t="shared" ca="1" si="127"/>
        <v>#REF!</v>
      </c>
      <c r="X224" s="81" t="e">
        <f t="shared" ca="1" si="139"/>
        <v>#REF!</v>
      </c>
      <c r="Y224" s="360" t="str">
        <f t="shared" ca="1" si="128"/>
        <v>NULL</v>
      </c>
      <c r="Z224" s="375" t="e">
        <f t="shared" ca="1" si="140"/>
        <v>#REF!</v>
      </c>
      <c r="AA224" s="360">
        <f ca="1">IFERROR(VLOOKUP(IF(V224="T1低",游戏时长规划!$C$67+Z224,Z224),INDIRECT(V224&amp;"星级"),2,TRUE),0)</f>
        <v>0</v>
      </c>
      <c r="AB224" s="375" t="e">
        <f t="shared" ca="1" si="129"/>
        <v>#REF!</v>
      </c>
      <c r="AC224" s="375">
        <f ca="1">($D$14+$D$17)*$L$4/坦克部件养成!$C$2+AC223-IFERROR(IF(RIGHT(AD223,3)*1&gt;RIGHT(VLOOKUP(AC223,INDIRECT(LEFT(AD222,2)&amp;"部件升阶"),5,TRUE),3)*1,VLOOKUP(AD222,INDIRECT(LEFT(AD222,2)&amp;"部件升阶消耗"),2,FALSE),0),0)</f>
        <v>2615.1666666666688</v>
      </c>
      <c r="AD224" s="360" t="e">
        <f t="shared" ca="1" si="130"/>
        <v>#REF!</v>
      </c>
      <c r="AE224" s="375" t="e">
        <f ca="1">$D$15*$L$4/坦克部件养成!$C$2+AE223-IF(LEFT(AD224,2)&lt;&gt;LEFT(AD223,2),VLOOKUP(AF223,INDIRECT(LEFT(AD223,2)&amp;"部件升级消耗"),5,FALSE),0)</f>
        <v>#REF!</v>
      </c>
      <c r="AF224" s="360" t="e">
        <f ca="1">MIN(VLOOKUP(AE224,INDIRECT(LEFT(AD224,2)&amp;"部件升级"),2,TRUE),VLOOKUP(LEFT(AD224,2),坦克部件养成!#REF!,6,FALSE))</f>
        <v>#REF!</v>
      </c>
      <c r="AG224" s="378" t="e">
        <f ca="1">MAX(BD$4:BD224)</f>
        <v>#REF!</v>
      </c>
      <c r="AH224" s="378" t="str">
        <f t="shared" ca="1" si="131"/>
        <v/>
      </c>
      <c r="AI224" s="378">
        <f ca="1">IF(Y224="NULL",0,MAX(BY$4:BY224))</f>
        <v>0</v>
      </c>
      <c r="AK224" s="364" t="e">
        <f t="shared" ca="1" si="132"/>
        <v>#REF!</v>
      </c>
      <c r="AL224" s="364" t="e">
        <f ca="1">VLOOKUP(AK224,坦克个性化设定!$B$18:$F$48,5,FALSE)</f>
        <v>#REF!</v>
      </c>
      <c r="AM224" s="372" t="e">
        <f t="shared" ca="1" si="133"/>
        <v>#REF!</v>
      </c>
      <c r="AN224" s="372" t="e">
        <f t="shared" ca="1" si="141"/>
        <v>#REF!</v>
      </c>
      <c r="AO224" s="364">
        <f t="shared" ca="1" si="134"/>
        <v>0</v>
      </c>
      <c r="AP224" s="372" t="e">
        <f ca="1">VLOOKUP($AK224&amp;$AO224,所有坦克升星属性,MATCH(AP$3,所有坦克升星属性标头,0),FALSE)+ROUND(AU224/VLOOKUP($AK224,坦克部件!#REF!,4,FALSE)*VLOOKUP($AK224&amp;0,所有坦克升星属性,MATCH(AP$3,所有坦克升星属性标头,0),FALSE),0)</f>
        <v>#REF!</v>
      </c>
      <c r="AQ224" s="372" t="e">
        <f ca="1">VLOOKUP($AK224&amp;$AO224,所有坦克升星属性,MATCH(AQ$3,所有坦克升星属性标头,0),FALSE)+ROUND(AV224/VLOOKUP($AK224,坦克部件!#REF!,4,FALSE)*VLOOKUP($AK224&amp;0,所有坦克升星属性,MATCH(AQ$3,所有坦克升星属性标头,0),FALSE),0)</f>
        <v>#REF!</v>
      </c>
      <c r="AR224" s="372" t="e">
        <f t="shared" ref="AR224:AS243" ca="1" si="154">VLOOKUP($AK224&amp;$AO224,所有坦克升星属性,MATCH(AR$3,所有坦克升星属性标头,0),FALSE)</f>
        <v>#REF!</v>
      </c>
      <c r="AS224" s="372" t="e">
        <f t="shared" ca="1" si="154"/>
        <v>#REF!</v>
      </c>
      <c r="AT224" s="372" t="e">
        <f ca="1">VLOOKUP($AK224&amp;$AO224,所有坦克升星属性,MATCH(AT$3,所有坦克升星属性标头,0),FALSE)+ROUND(AW224/VLOOKUP($AK224,坦克部件!#REF!,4,FALSE)*VLOOKUP($AK224&amp;0,所有坦克升星属性,MATCH(AT$3,所有坦克升星属性标头,0),FALSE),0)</f>
        <v>#REF!</v>
      </c>
      <c r="AU224" s="372" t="e">
        <f ca="1">(VLOOKUP($AM224,坦克部件!#REF!,MATCH("标准值",坦克部件!#REF!,0),FALSE)+VLOOKUP($AN224,坦克部件!#REF!,MATCH("标准值",坦克部件!#REF!,0),FALSE))*2</f>
        <v>#REF!</v>
      </c>
      <c r="AV224" s="372" t="e">
        <f ca="1">(VLOOKUP($AM224,坦克部件!#REF!,MATCH("标准值",坦克部件!#REF!,0),FALSE)+VLOOKUP($AN224,坦克部件!#REF!,MATCH("标准值",坦克部件!#REF!,0),FALSE))*2</f>
        <v>#REF!</v>
      </c>
      <c r="AW224" s="372" t="e">
        <f ca="1">(VLOOKUP($AM224,坦克部件!#REF!,MATCH("标准值",坦克部件!#REF!,0),FALSE)+VLOOKUP($AN224,坦克部件!#REF!,MATCH("标准值",坦克部件!#REF!,0),FALSE))*2</f>
        <v>#REF!</v>
      </c>
      <c r="AX224" s="372" t="e">
        <f ca="1">VLOOKUP($AK224,坦克属性统计!$B$3:$AY$33,MATCH(AX$3,坦克属性统计!$B$3:$AY$3,0),FALSE)</f>
        <v>#REF!</v>
      </c>
      <c r="AY224" s="372" t="e">
        <f t="shared" ref="AY224:BA243" ca="1" si="155">VLOOKUP($AK224&amp;$AO224,所有坦克升星属性,MATCH(AY$3,所有坦克升星属性标头,0),FALSE)</f>
        <v>#REF!</v>
      </c>
      <c r="AZ224" s="372" t="e">
        <f t="shared" ca="1" si="155"/>
        <v>#REF!</v>
      </c>
      <c r="BA224" s="372" t="e">
        <f t="shared" ca="1" si="155"/>
        <v>#REF!</v>
      </c>
      <c r="BB224" s="356" t="e">
        <f t="shared" ca="1" si="135"/>
        <v>#REF!</v>
      </c>
      <c r="BC224" s="356" t="e">
        <f ca="1">VLOOKUP(AK224,坦克个性化设定!$B$18:$E$48,4,FALSE)</f>
        <v>#REF!</v>
      </c>
      <c r="BD224" s="357" t="e">
        <f t="shared" ca="1" si="142"/>
        <v>#REF!</v>
      </c>
      <c r="BF224" s="357" t="str">
        <f t="shared" ca="1" si="136"/>
        <v/>
      </c>
      <c r="BG224" s="372" t="str">
        <f ca="1">IFERROR(VLOOKUP(BF224,坦克个性化设定!$B$18:$F$48,5,FALSE),"")</f>
        <v/>
      </c>
      <c r="BH224" s="372" t="e">
        <f t="shared" ca="1" si="143"/>
        <v>#REF!</v>
      </c>
      <c r="BI224" s="372" t="e">
        <f t="shared" ca="1" si="144"/>
        <v>#REF!</v>
      </c>
      <c r="BJ224" s="364" t="str">
        <f t="shared" ca="1" si="137"/>
        <v>NULL</v>
      </c>
      <c r="BK224" s="372" t="e">
        <f ca="1">VLOOKUP($BF224&amp;IF($BJ224="NULL",0,$BJ224),所有坦克升星属性,MATCH(BK$3,所有坦克升星属性标头,0),FALSE)+ROUND(BP224/VLOOKUP($BF224,坦克部件!#REF!,4,FALSE)*VLOOKUP($BF224&amp;0,所有坦克升星属性,MATCH(BK$3,所有坦克升星属性标头,0),FALSE),0)</f>
        <v>#N/A</v>
      </c>
      <c r="BL224" s="372" t="e">
        <f ca="1">VLOOKUP($BF224&amp;IF($BJ224="NULL",0,$BJ224),所有坦克升星属性,MATCH(BL$3,所有坦克升星属性标头,0),FALSE)+ROUND(BQ224/VLOOKUP($BF224,坦克部件!#REF!,4,FALSE)*VLOOKUP($BF224&amp;0,所有坦克升星属性,MATCH(BL$3,所有坦克升星属性标头,0),FALSE),0)</f>
        <v>#N/A</v>
      </c>
      <c r="BM224" s="372" t="e">
        <f t="shared" ref="BM224:BN243" ca="1" si="156">VLOOKUP($BF224&amp;IF($BJ224="NULL",0,$BJ224),所有坦克升星属性,MATCH(BM$3,所有坦克升星属性标头,0),FALSE)</f>
        <v>#N/A</v>
      </c>
      <c r="BN224" s="372" t="e">
        <f t="shared" ca="1" si="156"/>
        <v>#N/A</v>
      </c>
      <c r="BO224" s="372" t="e">
        <f ca="1">VLOOKUP($BF224&amp;IF($BJ224="NULL",0,$BJ224),所有坦克升星属性,MATCH(BO$3,所有坦克升星属性标头,0),FALSE)+ROUND(BR224/VLOOKUP($BF224,坦克部件!#REF!,4,FALSE)*VLOOKUP($BF224&amp;0,所有坦克升星属性,MATCH(BO$3,所有坦克升星属性标头,0),FALSE),0)</f>
        <v>#N/A</v>
      </c>
      <c r="BP224" s="372" t="e">
        <f ca="1">(VLOOKUP($BH224,坦克部件!#REF!,MATCH("标准值",坦克部件!#REF!,0),FALSE)+VLOOKUP($BI224,坦克部件!#REF!,MATCH("标准值",坦克部件!#REF!,0),FALSE))*2</f>
        <v>#REF!</v>
      </c>
      <c r="BQ224" s="372" t="e">
        <f ca="1">(VLOOKUP($BH224,坦克部件!#REF!,MATCH("标准值",坦克部件!#REF!,0),FALSE)+VLOOKUP($BI224,坦克部件!#REF!,MATCH("标准值",坦克部件!#REF!,0),FALSE))*2</f>
        <v>#REF!</v>
      </c>
      <c r="BR224" s="372" t="e">
        <f ca="1">(VLOOKUP($BH224,坦克部件!#REF!,MATCH("标准值",坦克部件!#REF!,0),FALSE)+VLOOKUP($BI224,坦克部件!#REF!,MATCH("标准值",坦克部件!#REF!,0),FALSE))*2</f>
        <v>#REF!</v>
      </c>
      <c r="BS224" s="372" t="e">
        <f ca="1">VLOOKUP($BF224,坦克属性统计!$B$3:$AY$33,MATCH(BS$3,坦克属性统计!$B$3:$AY$3,0),FALSE)</f>
        <v>#N/A</v>
      </c>
      <c r="BT224" s="372" t="e">
        <f t="shared" ref="BT224:BV243" ca="1" si="157">VLOOKUP($BF224&amp;IF($BJ224="NULL",0,$BJ224),所有坦克升星属性,MATCH(BT$3,所有坦克升星属性标头,0),FALSE)</f>
        <v>#N/A</v>
      </c>
      <c r="BU224" s="372" t="e">
        <f t="shared" ca="1" si="157"/>
        <v>#N/A</v>
      </c>
      <c r="BV224" s="372" t="e">
        <f t="shared" ca="1" si="157"/>
        <v>#N/A</v>
      </c>
      <c r="BW224" s="356">
        <f t="shared" ca="1" si="138"/>
        <v>0</v>
      </c>
      <c r="BX224" s="356" t="e">
        <f ca="1">VLOOKUP(BF224,坦克个性化设定!$B$18:$E$48,4,FALSE)</f>
        <v>#N/A</v>
      </c>
      <c r="BY224" s="357" t="e">
        <f t="shared" ca="1" si="145"/>
        <v>#N/A</v>
      </c>
    </row>
    <row r="225" spans="15:77" x14ac:dyDescent="0.35">
      <c r="O225" s="365">
        <v>222</v>
      </c>
      <c r="P225" s="360" t="e">
        <f t="shared" ca="1" si="152"/>
        <v>#REF!</v>
      </c>
      <c r="Q225" s="360" t="e">
        <f ca="1">ROUND(MIN((BD225-VLOOKUP(R225,$B$22:$F$46,2,FALSE))/(VLOOKUP(R225,$B$22:$F$46,3,FALSE)-VLOOKUP(R225,$B$22:$F$46,2,FALSE)),1)*((VLOOKUP(R225,$B$22:$F$46,4,FALSE)*(AG225/(AG225+VLOOKUP(P225,$D$49:$F$123,3,TRUE)))+VLOOKUP(R225,$B$22:$F$46,5,FALSE)*(1-AG225/(AG225+VLOOKUP(P225,$D$49:$F$123,3,TRUE))))/2)*游戏时长规划!$C$4,0)</f>
        <v>#REF!</v>
      </c>
      <c r="R225" s="360" t="e">
        <f t="shared" ca="1" si="125"/>
        <v>#REF!</v>
      </c>
      <c r="S225" s="360" t="e">
        <f t="shared" ca="1" si="146"/>
        <v>#REF!</v>
      </c>
      <c r="T225" s="360" t="e">
        <f t="shared" ca="1" si="153"/>
        <v>#REF!</v>
      </c>
      <c r="U225" s="370" t="e">
        <f t="shared" ca="1" si="126"/>
        <v>#REF!</v>
      </c>
      <c r="V225" s="363" t="e">
        <f t="shared" ca="1" si="147"/>
        <v>#REF!</v>
      </c>
      <c r="W225" s="360" t="e">
        <f t="shared" ca="1" si="127"/>
        <v>#REF!</v>
      </c>
      <c r="X225" s="81" t="e">
        <f t="shared" ca="1" si="139"/>
        <v>#REF!</v>
      </c>
      <c r="Y225" s="360" t="str">
        <f t="shared" ca="1" si="128"/>
        <v>NULL</v>
      </c>
      <c r="Z225" s="375" t="e">
        <f t="shared" ca="1" si="140"/>
        <v>#REF!</v>
      </c>
      <c r="AA225" s="360">
        <f ca="1">IFERROR(VLOOKUP(IF(V225="T1低",游戏时长规划!$C$67+Z225,Z225),INDIRECT(V225&amp;"星级"),2,TRUE),0)</f>
        <v>0</v>
      </c>
      <c r="AB225" s="375" t="e">
        <f t="shared" ca="1" si="129"/>
        <v>#REF!</v>
      </c>
      <c r="AC225" s="375">
        <f ca="1">($D$14+$D$17)*$L$4/坦克部件养成!$C$2+AC224-IFERROR(IF(RIGHT(AD224,3)*1&gt;RIGHT(VLOOKUP(AC224,INDIRECT(LEFT(AD223,2)&amp;"部件升阶"),5,TRUE),3)*1,VLOOKUP(AD223,INDIRECT(LEFT(AD223,2)&amp;"部件升阶消耗"),2,FALSE),0),0)</f>
        <v>2627.0000000000023</v>
      </c>
      <c r="AD225" s="360" t="e">
        <f t="shared" ca="1" si="130"/>
        <v>#REF!</v>
      </c>
      <c r="AE225" s="375" t="e">
        <f ca="1">$D$15*$L$4/坦克部件养成!$C$2+AE224-IF(LEFT(AD225,2)&lt;&gt;LEFT(AD224,2),VLOOKUP(AF224,INDIRECT(LEFT(AD224,2)&amp;"部件升级消耗"),5,FALSE),0)</f>
        <v>#REF!</v>
      </c>
      <c r="AF225" s="360" t="e">
        <f ca="1">MIN(VLOOKUP(AE225,INDIRECT(LEFT(AD225,2)&amp;"部件升级"),2,TRUE),VLOOKUP(LEFT(AD225,2),坦克部件养成!#REF!,6,FALSE))</f>
        <v>#REF!</v>
      </c>
      <c r="AG225" s="378" t="e">
        <f ca="1">MAX(BD$4:BD225)</f>
        <v>#REF!</v>
      </c>
      <c r="AH225" s="378" t="str">
        <f t="shared" ca="1" si="131"/>
        <v/>
      </c>
      <c r="AI225" s="378">
        <f ca="1">IF(Y225="NULL",0,MAX(BY$4:BY225))</f>
        <v>0</v>
      </c>
      <c r="AK225" s="364" t="e">
        <f t="shared" ca="1" si="132"/>
        <v>#REF!</v>
      </c>
      <c r="AL225" s="364" t="e">
        <f ca="1">VLOOKUP(AK225,坦克个性化设定!$B$18:$F$48,5,FALSE)</f>
        <v>#REF!</v>
      </c>
      <c r="AM225" s="372" t="e">
        <f t="shared" ca="1" si="133"/>
        <v>#REF!</v>
      </c>
      <c r="AN225" s="372" t="e">
        <f t="shared" ca="1" si="141"/>
        <v>#REF!</v>
      </c>
      <c r="AO225" s="364">
        <f t="shared" ca="1" si="134"/>
        <v>0</v>
      </c>
      <c r="AP225" s="372" t="e">
        <f ca="1">VLOOKUP($AK225&amp;$AO225,所有坦克升星属性,MATCH(AP$3,所有坦克升星属性标头,0),FALSE)+ROUND(AU225/VLOOKUP($AK225,坦克部件!#REF!,4,FALSE)*VLOOKUP($AK225&amp;0,所有坦克升星属性,MATCH(AP$3,所有坦克升星属性标头,0),FALSE),0)</f>
        <v>#REF!</v>
      </c>
      <c r="AQ225" s="372" t="e">
        <f ca="1">VLOOKUP($AK225&amp;$AO225,所有坦克升星属性,MATCH(AQ$3,所有坦克升星属性标头,0),FALSE)+ROUND(AV225/VLOOKUP($AK225,坦克部件!#REF!,4,FALSE)*VLOOKUP($AK225&amp;0,所有坦克升星属性,MATCH(AQ$3,所有坦克升星属性标头,0),FALSE),0)</f>
        <v>#REF!</v>
      </c>
      <c r="AR225" s="372" t="e">
        <f t="shared" ca="1" si="154"/>
        <v>#REF!</v>
      </c>
      <c r="AS225" s="372" t="e">
        <f t="shared" ca="1" si="154"/>
        <v>#REF!</v>
      </c>
      <c r="AT225" s="372" t="e">
        <f ca="1">VLOOKUP($AK225&amp;$AO225,所有坦克升星属性,MATCH(AT$3,所有坦克升星属性标头,0),FALSE)+ROUND(AW225/VLOOKUP($AK225,坦克部件!#REF!,4,FALSE)*VLOOKUP($AK225&amp;0,所有坦克升星属性,MATCH(AT$3,所有坦克升星属性标头,0),FALSE),0)</f>
        <v>#REF!</v>
      </c>
      <c r="AU225" s="372" t="e">
        <f ca="1">(VLOOKUP($AM225,坦克部件!#REF!,MATCH("标准值",坦克部件!#REF!,0),FALSE)+VLOOKUP($AN225,坦克部件!#REF!,MATCH("标准值",坦克部件!#REF!,0),FALSE))*2</f>
        <v>#REF!</v>
      </c>
      <c r="AV225" s="372" t="e">
        <f ca="1">(VLOOKUP($AM225,坦克部件!#REF!,MATCH("标准值",坦克部件!#REF!,0),FALSE)+VLOOKUP($AN225,坦克部件!#REF!,MATCH("标准值",坦克部件!#REF!,0),FALSE))*2</f>
        <v>#REF!</v>
      </c>
      <c r="AW225" s="372" t="e">
        <f ca="1">(VLOOKUP($AM225,坦克部件!#REF!,MATCH("标准值",坦克部件!#REF!,0),FALSE)+VLOOKUP($AN225,坦克部件!#REF!,MATCH("标准值",坦克部件!#REF!,0),FALSE))*2</f>
        <v>#REF!</v>
      </c>
      <c r="AX225" s="372" t="e">
        <f ca="1">VLOOKUP($AK225,坦克属性统计!$B$3:$AY$33,MATCH(AX$3,坦克属性统计!$B$3:$AY$3,0),FALSE)</f>
        <v>#REF!</v>
      </c>
      <c r="AY225" s="372" t="e">
        <f t="shared" ca="1" si="155"/>
        <v>#REF!</v>
      </c>
      <c r="AZ225" s="372" t="e">
        <f t="shared" ca="1" si="155"/>
        <v>#REF!</v>
      </c>
      <c r="BA225" s="372" t="e">
        <f t="shared" ca="1" si="155"/>
        <v>#REF!</v>
      </c>
      <c r="BB225" s="356" t="e">
        <f t="shared" ca="1" si="135"/>
        <v>#REF!</v>
      </c>
      <c r="BC225" s="356" t="e">
        <f ca="1">VLOOKUP(AK225,坦克个性化设定!$B$18:$E$48,4,FALSE)</f>
        <v>#REF!</v>
      </c>
      <c r="BD225" s="357" t="e">
        <f t="shared" ca="1" si="142"/>
        <v>#REF!</v>
      </c>
      <c r="BF225" s="357" t="str">
        <f t="shared" ca="1" si="136"/>
        <v/>
      </c>
      <c r="BG225" s="372" t="str">
        <f ca="1">IFERROR(VLOOKUP(BF225,坦克个性化设定!$B$18:$F$48,5,FALSE),"")</f>
        <v/>
      </c>
      <c r="BH225" s="372" t="e">
        <f t="shared" ca="1" si="143"/>
        <v>#REF!</v>
      </c>
      <c r="BI225" s="372" t="e">
        <f t="shared" ca="1" si="144"/>
        <v>#REF!</v>
      </c>
      <c r="BJ225" s="364" t="str">
        <f t="shared" ca="1" si="137"/>
        <v>NULL</v>
      </c>
      <c r="BK225" s="372" t="e">
        <f ca="1">VLOOKUP($BF225&amp;IF($BJ225="NULL",0,$BJ225),所有坦克升星属性,MATCH(BK$3,所有坦克升星属性标头,0),FALSE)+ROUND(BP225/VLOOKUP($BF225,坦克部件!#REF!,4,FALSE)*VLOOKUP($BF225&amp;0,所有坦克升星属性,MATCH(BK$3,所有坦克升星属性标头,0),FALSE),0)</f>
        <v>#N/A</v>
      </c>
      <c r="BL225" s="372" t="e">
        <f ca="1">VLOOKUP($BF225&amp;IF($BJ225="NULL",0,$BJ225),所有坦克升星属性,MATCH(BL$3,所有坦克升星属性标头,0),FALSE)+ROUND(BQ225/VLOOKUP($BF225,坦克部件!#REF!,4,FALSE)*VLOOKUP($BF225&amp;0,所有坦克升星属性,MATCH(BL$3,所有坦克升星属性标头,0),FALSE),0)</f>
        <v>#N/A</v>
      </c>
      <c r="BM225" s="372" t="e">
        <f t="shared" ca="1" si="156"/>
        <v>#N/A</v>
      </c>
      <c r="BN225" s="372" t="e">
        <f t="shared" ca="1" si="156"/>
        <v>#N/A</v>
      </c>
      <c r="BO225" s="372" t="e">
        <f ca="1">VLOOKUP($BF225&amp;IF($BJ225="NULL",0,$BJ225),所有坦克升星属性,MATCH(BO$3,所有坦克升星属性标头,0),FALSE)+ROUND(BR225/VLOOKUP($BF225,坦克部件!#REF!,4,FALSE)*VLOOKUP($BF225&amp;0,所有坦克升星属性,MATCH(BO$3,所有坦克升星属性标头,0),FALSE),0)</f>
        <v>#N/A</v>
      </c>
      <c r="BP225" s="372" t="e">
        <f ca="1">(VLOOKUP($BH225,坦克部件!#REF!,MATCH("标准值",坦克部件!#REF!,0),FALSE)+VLOOKUP($BI225,坦克部件!#REF!,MATCH("标准值",坦克部件!#REF!,0),FALSE))*2</f>
        <v>#REF!</v>
      </c>
      <c r="BQ225" s="372" t="e">
        <f ca="1">(VLOOKUP($BH225,坦克部件!#REF!,MATCH("标准值",坦克部件!#REF!,0),FALSE)+VLOOKUP($BI225,坦克部件!#REF!,MATCH("标准值",坦克部件!#REF!,0),FALSE))*2</f>
        <v>#REF!</v>
      </c>
      <c r="BR225" s="372" t="e">
        <f ca="1">(VLOOKUP($BH225,坦克部件!#REF!,MATCH("标准值",坦克部件!#REF!,0),FALSE)+VLOOKUP($BI225,坦克部件!#REF!,MATCH("标准值",坦克部件!#REF!,0),FALSE))*2</f>
        <v>#REF!</v>
      </c>
      <c r="BS225" s="372" t="e">
        <f ca="1">VLOOKUP($BF225,坦克属性统计!$B$3:$AY$33,MATCH(BS$3,坦克属性统计!$B$3:$AY$3,0),FALSE)</f>
        <v>#N/A</v>
      </c>
      <c r="BT225" s="372" t="e">
        <f t="shared" ca="1" si="157"/>
        <v>#N/A</v>
      </c>
      <c r="BU225" s="372" t="e">
        <f t="shared" ca="1" si="157"/>
        <v>#N/A</v>
      </c>
      <c r="BV225" s="372" t="e">
        <f t="shared" ca="1" si="157"/>
        <v>#N/A</v>
      </c>
      <c r="BW225" s="356">
        <f t="shared" ca="1" si="138"/>
        <v>0</v>
      </c>
      <c r="BX225" s="356" t="e">
        <f ca="1">VLOOKUP(BF225,坦克个性化设定!$B$18:$E$48,4,FALSE)</f>
        <v>#N/A</v>
      </c>
      <c r="BY225" s="357" t="e">
        <f t="shared" ca="1" si="145"/>
        <v>#N/A</v>
      </c>
    </row>
    <row r="226" spans="15:77" x14ac:dyDescent="0.35">
      <c r="O226" s="365">
        <v>223</v>
      </c>
      <c r="P226" s="360" t="e">
        <f t="shared" ca="1" si="152"/>
        <v>#REF!</v>
      </c>
      <c r="Q226" s="360" t="e">
        <f ca="1">ROUND(MIN((BD226-VLOOKUP(R226,$B$22:$F$46,2,FALSE))/(VLOOKUP(R226,$B$22:$F$46,3,FALSE)-VLOOKUP(R226,$B$22:$F$46,2,FALSE)),1)*((VLOOKUP(R226,$B$22:$F$46,4,FALSE)*(AG226/(AG226+VLOOKUP(P226,$D$49:$F$123,3,TRUE)))+VLOOKUP(R226,$B$22:$F$46,5,FALSE)*(1-AG226/(AG226+VLOOKUP(P226,$D$49:$F$123,3,TRUE))))/2)*游戏时长规划!$C$4,0)</f>
        <v>#REF!</v>
      </c>
      <c r="R226" s="360" t="e">
        <f t="shared" ca="1" si="125"/>
        <v>#REF!</v>
      </c>
      <c r="S226" s="360" t="e">
        <f t="shared" ca="1" si="146"/>
        <v>#REF!</v>
      </c>
      <c r="T226" s="360" t="e">
        <f t="shared" ca="1" si="153"/>
        <v>#REF!</v>
      </c>
      <c r="U226" s="370" t="e">
        <f t="shared" ca="1" si="126"/>
        <v>#REF!</v>
      </c>
      <c r="V226" s="363" t="e">
        <f t="shared" ca="1" si="147"/>
        <v>#REF!</v>
      </c>
      <c r="W226" s="360" t="e">
        <f t="shared" ca="1" si="127"/>
        <v>#REF!</v>
      </c>
      <c r="X226" s="81" t="e">
        <f t="shared" ca="1" si="139"/>
        <v>#REF!</v>
      </c>
      <c r="Y226" s="360" t="str">
        <f t="shared" ca="1" si="128"/>
        <v>NULL</v>
      </c>
      <c r="Z226" s="375" t="e">
        <f t="shared" ca="1" si="140"/>
        <v>#REF!</v>
      </c>
      <c r="AA226" s="360">
        <f ca="1">IFERROR(VLOOKUP(IF(V226="T1低",游戏时长规划!$C$67+Z226,Z226),INDIRECT(V226&amp;"星级"),2,TRUE),0)</f>
        <v>0</v>
      </c>
      <c r="AB226" s="375" t="e">
        <f t="shared" ca="1" si="129"/>
        <v>#REF!</v>
      </c>
      <c r="AC226" s="375">
        <f ca="1">($D$14+$D$17)*$L$4/坦克部件养成!$C$2+AC225-IFERROR(IF(RIGHT(AD225,3)*1&gt;RIGHT(VLOOKUP(AC225,INDIRECT(LEFT(AD224,2)&amp;"部件升阶"),5,TRUE),3)*1,VLOOKUP(AD224,INDIRECT(LEFT(AD224,2)&amp;"部件升阶消耗"),2,FALSE),0),0)</f>
        <v>2638.8333333333358</v>
      </c>
      <c r="AD226" s="360" t="e">
        <f t="shared" ca="1" si="130"/>
        <v>#REF!</v>
      </c>
      <c r="AE226" s="375" t="e">
        <f ca="1">$D$15*$L$4/坦克部件养成!$C$2+AE225-IF(LEFT(AD226,2)&lt;&gt;LEFT(AD225,2),VLOOKUP(AF225,INDIRECT(LEFT(AD225,2)&amp;"部件升级消耗"),5,FALSE),0)</f>
        <v>#REF!</v>
      </c>
      <c r="AF226" s="360" t="e">
        <f ca="1">MIN(VLOOKUP(AE226,INDIRECT(LEFT(AD226,2)&amp;"部件升级"),2,TRUE),VLOOKUP(LEFT(AD226,2),坦克部件养成!#REF!,6,FALSE))</f>
        <v>#REF!</v>
      </c>
      <c r="AG226" s="378" t="e">
        <f ca="1">MAX(BD$4:BD226)</f>
        <v>#REF!</v>
      </c>
      <c r="AH226" s="378" t="str">
        <f t="shared" ca="1" si="131"/>
        <v/>
      </c>
      <c r="AI226" s="378">
        <f ca="1">IF(Y226="NULL",0,MAX(BY$4:BY226))</f>
        <v>0</v>
      </c>
      <c r="AK226" s="364" t="e">
        <f t="shared" ca="1" si="132"/>
        <v>#REF!</v>
      </c>
      <c r="AL226" s="364" t="e">
        <f ca="1">VLOOKUP(AK226,坦克个性化设定!$B$18:$F$48,5,FALSE)</f>
        <v>#REF!</v>
      </c>
      <c r="AM226" s="372" t="e">
        <f t="shared" ca="1" si="133"/>
        <v>#REF!</v>
      </c>
      <c r="AN226" s="372" t="e">
        <f t="shared" ca="1" si="141"/>
        <v>#REF!</v>
      </c>
      <c r="AO226" s="364">
        <f t="shared" ca="1" si="134"/>
        <v>0</v>
      </c>
      <c r="AP226" s="372" t="e">
        <f ca="1">VLOOKUP($AK226&amp;$AO226,所有坦克升星属性,MATCH(AP$3,所有坦克升星属性标头,0),FALSE)+ROUND(AU226/VLOOKUP($AK226,坦克部件!#REF!,4,FALSE)*VLOOKUP($AK226&amp;0,所有坦克升星属性,MATCH(AP$3,所有坦克升星属性标头,0),FALSE),0)</f>
        <v>#REF!</v>
      </c>
      <c r="AQ226" s="372" t="e">
        <f ca="1">VLOOKUP($AK226&amp;$AO226,所有坦克升星属性,MATCH(AQ$3,所有坦克升星属性标头,0),FALSE)+ROUND(AV226/VLOOKUP($AK226,坦克部件!#REF!,4,FALSE)*VLOOKUP($AK226&amp;0,所有坦克升星属性,MATCH(AQ$3,所有坦克升星属性标头,0),FALSE),0)</f>
        <v>#REF!</v>
      </c>
      <c r="AR226" s="372" t="e">
        <f t="shared" ca="1" si="154"/>
        <v>#REF!</v>
      </c>
      <c r="AS226" s="372" t="e">
        <f t="shared" ca="1" si="154"/>
        <v>#REF!</v>
      </c>
      <c r="AT226" s="372" t="e">
        <f ca="1">VLOOKUP($AK226&amp;$AO226,所有坦克升星属性,MATCH(AT$3,所有坦克升星属性标头,0),FALSE)+ROUND(AW226/VLOOKUP($AK226,坦克部件!#REF!,4,FALSE)*VLOOKUP($AK226&amp;0,所有坦克升星属性,MATCH(AT$3,所有坦克升星属性标头,0),FALSE),0)</f>
        <v>#REF!</v>
      </c>
      <c r="AU226" s="372" t="e">
        <f ca="1">(VLOOKUP($AM226,坦克部件!#REF!,MATCH("标准值",坦克部件!#REF!,0),FALSE)+VLOOKUP($AN226,坦克部件!#REF!,MATCH("标准值",坦克部件!#REF!,0),FALSE))*2</f>
        <v>#REF!</v>
      </c>
      <c r="AV226" s="372" t="e">
        <f ca="1">(VLOOKUP($AM226,坦克部件!#REF!,MATCH("标准值",坦克部件!#REF!,0),FALSE)+VLOOKUP($AN226,坦克部件!#REF!,MATCH("标准值",坦克部件!#REF!,0),FALSE))*2</f>
        <v>#REF!</v>
      </c>
      <c r="AW226" s="372" t="e">
        <f ca="1">(VLOOKUP($AM226,坦克部件!#REF!,MATCH("标准值",坦克部件!#REF!,0),FALSE)+VLOOKUP($AN226,坦克部件!#REF!,MATCH("标准值",坦克部件!#REF!,0),FALSE))*2</f>
        <v>#REF!</v>
      </c>
      <c r="AX226" s="372" t="e">
        <f ca="1">VLOOKUP($AK226,坦克属性统计!$B$3:$AY$33,MATCH(AX$3,坦克属性统计!$B$3:$AY$3,0),FALSE)</f>
        <v>#REF!</v>
      </c>
      <c r="AY226" s="372" t="e">
        <f t="shared" ca="1" si="155"/>
        <v>#REF!</v>
      </c>
      <c r="AZ226" s="372" t="e">
        <f t="shared" ca="1" si="155"/>
        <v>#REF!</v>
      </c>
      <c r="BA226" s="372" t="e">
        <f t="shared" ca="1" si="155"/>
        <v>#REF!</v>
      </c>
      <c r="BB226" s="356" t="e">
        <f t="shared" ca="1" si="135"/>
        <v>#REF!</v>
      </c>
      <c r="BC226" s="356" t="e">
        <f ca="1">VLOOKUP(AK226,坦克个性化设定!$B$18:$E$48,4,FALSE)</f>
        <v>#REF!</v>
      </c>
      <c r="BD226" s="357" t="e">
        <f t="shared" ca="1" si="142"/>
        <v>#REF!</v>
      </c>
      <c r="BF226" s="357" t="str">
        <f t="shared" ca="1" si="136"/>
        <v/>
      </c>
      <c r="BG226" s="372" t="str">
        <f ca="1">IFERROR(VLOOKUP(BF226,坦克个性化设定!$B$18:$F$48,5,FALSE),"")</f>
        <v/>
      </c>
      <c r="BH226" s="372" t="e">
        <f t="shared" ca="1" si="143"/>
        <v>#REF!</v>
      </c>
      <c r="BI226" s="372" t="e">
        <f t="shared" ca="1" si="144"/>
        <v>#REF!</v>
      </c>
      <c r="BJ226" s="364" t="str">
        <f t="shared" ca="1" si="137"/>
        <v>NULL</v>
      </c>
      <c r="BK226" s="372" t="e">
        <f ca="1">VLOOKUP($BF226&amp;IF($BJ226="NULL",0,$BJ226),所有坦克升星属性,MATCH(BK$3,所有坦克升星属性标头,0),FALSE)+ROUND(BP226/VLOOKUP($BF226,坦克部件!#REF!,4,FALSE)*VLOOKUP($BF226&amp;0,所有坦克升星属性,MATCH(BK$3,所有坦克升星属性标头,0),FALSE),0)</f>
        <v>#N/A</v>
      </c>
      <c r="BL226" s="372" t="e">
        <f ca="1">VLOOKUP($BF226&amp;IF($BJ226="NULL",0,$BJ226),所有坦克升星属性,MATCH(BL$3,所有坦克升星属性标头,0),FALSE)+ROUND(BQ226/VLOOKUP($BF226,坦克部件!#REF!,4,FALSE)*VLOOKUP($BF226&amp;0,所有坦克升星属性,MATCH(BL$3,所有坦克升星属性标头,0),FALSE),0)</f>
        <v>#N/A</v>
      </c>
      <c r="BM226" s="372" t="e">
        <f t="shared" ca="1" si="156"/>
        <v>#N/A</v>
      </c>
      <c r="BN226" s="372" t="e">
        <f t="shared" ca="1" si="156"/>
        <v>#N/A</v>
      </c>
      <c r="BO226" s="372" t="e">
        <f ca="1">VLOOKUP($BF226&amp;IF($BJ226="NULL",0,$BJ226),所有坦克升星属性,MATCH(BO$3,所有坦克升星属性标头,0),FALSE)+ROUND(BR226/VLOOKUP($BF226,坦克部件!#REF!,4,FALSE)*VLOOKUP($BF226&amp;0,所有坦克升星属性,MATCH(BO$3,所有坦克升星属性标头,0),FALSE),0)</f>
        <v>#N/A</v>
      </c>
      <c r="BP226" s="372" t="e">
        <f ca="1">(VLOOKUP($BH226,坦克部件!#REF!,MATCH("标准值",坦克部件!#REF!,0),FALSE)+VLOOKUP($BI226,坦克部件!#REF!,MATCH("标准值",坦克部件!#REF!,0),FALSE))*2</f>
        <v>#REF!</v>
      </c>
      <c r="BQ226" s="372" t="e">
        <f ca="1">(VLOOKUP($BH226,坦克部件!#REF!,MATCH("标准值",坦克部件!#REF!,0),FALSE)+VLOOKUP($BI226,坦克部件!#REF!,MATCH("标准值",坦克部件!#REF!,0),FALSE))*2</f>
        <v>#REF!</v>
      </c>
      <c r="BR226" s="372" t="e">
        <f ca="1">(VLOOKUP($BH226,坦克部件!#REF!,MATCH("标准值",坦克部件!#REF!,0),FALSE)+VLOOKUP($BI226,坦克部件!#REF!,MATCH("标准值",坦克部件!#REF!,0),FALSE))*2</f>
        <v>#REF!</v>
      </c>
      <c r="BS226" s="372" t="e">
        <f ca="1">VLOOKUP($BF226,坦克属性统计!$B$3:$AY$33,MATCH(BS$3,坦克属性统计!$B$3:$AY$3,0),FALSE)</f>
        <v>#N/A</v>
      </c>
      <c r="BT226" s="372" t="e">
        <f t="shared" ca="1" si="157"/>
        <v>#N/A</v>
      </c>
      <c r="BU226" s="372" t="e">
        <f t="shared" ca="1" si="157"/>
        <v>#N/A</v>
      </c>
      <c r="BV226" s="372" t="e">
        <f t="shared" ca="1" si="157"/>
        <v>#N/A</v>
      </c>
      <c r="BW226" s="356">
        <f t="shared" ca="1" si="138"/>
        <v>0</v>
      </c>
      <c r="BX226" s="356" t="e">
        <f ca="1">VLOOKUP(BF226,坦克个性化设定!$B$18:$E$48,4,FALSE)</f>
        <v>#N/A</v>
      </c>
      <c r="BY226" s="357" t="e">
        <f t="shared" ca="1" si="145"/>
        <v>#N/A</v>
      </c>
    </row>
    <row r="227" spans="15:77" x14ac:dyDescent="0.35">
      <c r="O227" s="365">
        <v>224</v>
      </c>
      <c r="P227" s="360" t="e">
        <f t="shared" ca="1" si="152"/>
        <v>#REF!</v>
      </c>
      <c r="Q227" s="360" t="e">
        <f ca="1">ROUND(MIN((BD227-VLOOKUP(R227,$B$22:$F$46,2,FALSE))/(VLOOKUP(R227,$B$22:$F$46,3,FALSE)-VLOOKUP(R227,$B$22:$F$46,2,FALSE)),1)*((VLOOKUP(R227,$B$22:$F$46,4,FALSE)*(AG227/(AG227+VLOOKUP(P227,$D$49:$F$123,3,TRUE)))+VLOOKUP(R227,$B$22:$F$46,5,FALSE)*(1-AG227/(AG227+VLOOKUP(P227,$D$49:$F$123,3,TRUE))))/2)*游戏时长规划!$C$4,0)</f>
        <v>#REF!</v>
      </c>
      <c r="R227" s="360" t="e">
        <f t="shared" ca="1" si="125"/>
        <v>#REF!</v>
      </c>
      <c r="S227" s="360" t="e">
        <f t="shared" ca="1" si="146"/>
        <v>#REF!</v>
      </c>
      <c r="T227" s="360" t="e">
        <f t="shared" ca="1" si="153"/>
        <v>#REF!</v>
      </c>
      <c r="U227" s="370" t="e">
        <f t="shared" ca="1" si="126"/>
        <v>#REF!</v>
      </c>
      <c r="V227" s="363" t="e">
        <f t="shared" ca="1" si="147"/>
        <v>#REF!</v>
      </c>
      <c r="W227" s="360" t="e">
        <f t="shared" ca="1" si="127"/>
        <v>#REF!</v>
      </c>
      <c r="X227" s="81" t="e">
        <f t="shared" ca="1" si="139"/>
        <v>#REF!</v>
      </c>
      <c r="Y227" s="360" t="str">
        <f t="shared" ca="1" si="128"/>
        <v>NULL</v>
      </c>
      <c r="Z227" s="375" t="e">
        <f t="shared" ca="1" si="140"/>
        <v>#REF!</v>
      </c>
      <c r="AA227" s="360">
        <f ca="1">IFERROR(VLOOKUP(IF(V227="T1低",游戏时长规划!$C$67+Z227,Z227),INDIRECT(V227&amp;"星级"),2,TRUE),0)</f>
        <v>0</v>
      </c>
      <c r="AB227" s="375" t="e">
        <f t="shared" ca="1" si="129"/>
        <v>#REF!</v>
      </c>
      <c r="AC227" s="375">
        <f ca="1">($D$14+$D$17)*$L$4/坦克部件养成!$C$2+AC226-IFERROR(IF(RIGHT(AD226,3)*1&gt;RIGHT(VLOOKUP(AC226,INDIRECT(LEFT(AD225,2)&amp;"部件升阶"),5,TRUE),3)*1,VLOOKUP(AD225,INDIRECT(LEFT(AD225,2)&amp;"部件升阶消耗"),2,FALSE),0),0)</f>
        <v>2650.6666666666692</v>
      </c>
      <c r="AD227" s="360" t="e">
        <f t="shared" ca="1" si="130"/>
        <v>#REF!</v>
      </c>
      <c r="AE227" s="375" t="e">
        <f ca="1">$D$15*$L$4/坦克部件养成!$C$2+AE226-IF(LEFT(AD227,2)&lt;&gt;LEFT(AD226,2),VLOOKUP(AF226,INDIRECT(LEFT(AD226,2)&amp;"部件升级消耗"),5,FALSE),0)</f>
        <v>#REF!</v>
      </c>
      <c r="AF227" s="360" t="e">
        <f ca="1">MIN(VLOOKUP(AE227,INDIRECT(LEFT(AD227,2)&amp;"部件升级"),2,TRUE),VLOOKUP(LEFT(AD227,2),坦克部件养成!#REF!,6,FALSE))</f>
        <v>#REF!</v>
      </c>
      <c r="AG227" s="378" t="e">
        <f ca="1">MAX(BD$4:BD227)</f>
        <v>#REF!</v>
      </c>
      <c r="AH227" s="378" t="str">
        <f t="shared" ca="1" si="131"/>
        <v/>
      </c>
      <c r="AI227" s="378">
        <f ca="1">IF(Y227="NULL",0,MAX(BY$4:BY227))</f>
        <v>0</v>
      </c>
      <c r="AK227" s="364" t="e">
        <f t="shared" ca="1" si="132"/>
        <v>#REF!</v>
      </c>
      <c r="AL227" s="364" t="e">
        <f ca="1">VLOOKUP(AK227,坦克个性化设定!$B$18:$F$48,5,FALSE)</f>
        <v>#REF!</v>
      </c>
      <c r="AM227" s="372" t="e">
        <f t="shared" ca="1" si="133"/>
        <v>#REF!</v>
      </c>
      <c r="AN227" s="372" t="e">
        <f t="shared" ca="1" si="141"/>
        <v>#REF!</v>
      </c>
      <c r="AO227" s="364">
        <f t="shared" ca="1" si="134"/>
        <v>0</v>
      </c>
      <c r="AP227" s="372" t="e">
        <f ca="1">VLOOKUP($AK227&amp;$AO227,所有坦克升星属性,MATCH(AP$3,所有坦克升星属性标头,0),FALSE)+ROUND(AU227/VLOOKUP($AK227,坦克部件!#REF!,4,FALSE)*VLOOKUP($AK227&amp;0,所有坦克升星属性,MATCH(AP$3,所有坦克升星属性标头,0),FALSE),0)</f>
        <v>#REF!</v>
      </c>
      <c r="AQ227" s="372" t="e">
        <f ca="1">VLOOKUP($AK227&amp;$AO227,所有坦克升星属性,MATCH(AQ$3,所有坦克升星属性标头,0),FALSE)+ROUND(AV227/VLOOKUP($AK227,坦克部件!#REF!,4,FALSE)*VLOOKUP($AK227&amp;0,所有坦克升星属性,MATCH(AQ$3,所有坦克升星属性标头,0),FALSE),0)</f>
        <v>#REF!</v>
      </c>
      <c r="AR227" s="372" t="e">
        <f t="shared" ca="1" si="154"/>
        <v>#REF!</v>
      </c>
      <c r="AS227" s="372" t="e">
        <f t="shared" ca="1" si="154"/>
        <v>#REF!</v>
      </c>
      <c r="AT227" s="372" t="e">
        <f ca="1">VLOOKUP($AK227&amp;$AO227,所有坦克升星属性,MATCH(AT$3,所有坦克升星属性标头,0),FALSE)+ROUND(AW227/VLOOKUP($AK227,坦克部件!#REF!,4,FALSE)*VLOOKUP($AK227&amp;0,所有坦克升星属性,MATCH(AT$3,所有坦克升星属性标头,0),FALSE),0)</f>
        <v>#REF!</v>
      </c>
      <c r="AU227" s="372" t="e">
        <f ca="1">(VLOOKUP($AM227,坦克部件!#REF!,MATCH("标准值",坦克部件!#REF!,0),FALSE)+VLOOKUP($AN227,坦克部件!#REF!,MATCH("标准值",坦克部件!#REF!,0),FALSE))*2</f>
        <v>#REF!</v>
      </c>
      <c r="AV227" s="372" t="e">
        <f ca="1">(VLOOKUP($AM227,坦克部件!#REF!,MATCH("标准值",坦克部件!#REF!,0),FALSE)+VLOOKUP($AN227,坦克部件!#REF!,MATCH("标准值",坦克部件!#REF!,0),FALSE))*2</f>
        <v>#REF!</v>
      </c>
      <c r="AW227" s="372" t="e">
        <f ca="1">(VLOOKUP($AM227,坦克部件!#REF!,MATCH("标准值",坦克部件!#REF!,0),FALSE)+VLOOKUP($AN227,坦克部件!#REF!,MATCH("标准值",坦克部件!#REF!,0),FALSE))*2</f>
        <v>#REF!</v>
      </c>
      <c r="AX227" s="372" t="e">
        <f ca="1">VLOOKUP($AK227,坦克属性统计!$B$3:$AY$33,MATCH(AX$3,坦克属性统计!$B$3:$AY$3,0),FALSE)</f>
        <v>#REF!</v>
      </c>
      <c r="AY227" s="372" t="e">
        <f t="shared" ca="1" si="155"/>
        <v>#REF!</v>
      </c>
      <c r="AZ227" s="372" t="e">
        <f t="shared" ca="1" si="155"/>
        <v>#REF!</v>
      </c>
      <c r="BA227" s="372" t="e">
        <f t="shared" ca="1" si="155"/>
        <v>#REF!</v>
      </c>
      <c r="BB227" s="356" t="e">
        <f t="shared" ca="1" si="135"/>
        <v>#REF!</v>
      </c>
      <c r="BC227" s="356" t="e">
        <f ca="1">VLOOKUP(AK227,坦克个性化设定!$B$18:$E$48,4,FALSE)</f>
        <v>#REF!</v>
      </c>
      <c r="BD227" s="357" t="e">
        <f t="shared" ca="1" si="142"/>
        <v>#REF!</v>
      </c>
      <c r="BF227" s="357" t="str">
        <f t="shared" ca="1" si="136"/>
        <v/>
      </c>
      <c r="BG227" s="372" t="str">
        <f ca="1">IFERROR(VLOOKUP(BF227,坦克个性化设定!$B$18:$F$48,5,FALSE),"")</f>
        <v/>
      </c>
      <c r="BH227" s="372" t="e">
        <f t="shared" ca="1" si="143"/>
        <v>#REF!</v>
      </c>
      <c r="BI227" s="372" t="e">
        <f t="shared" ca="1" si="144"/>
        <v>#REF!</v>
      </c>
      <c r="BJ227" s="364" t="str">
        <f t="shared" ca="1" si="137"/>
        <v>NULL</v>
      </c>
      <c r="BK227" s="372" t="e">
        <f ca="1">VLOOKUP($BF227&amp;IF($BJ227="NULL",0,$BJ227),所有坦克升星属性,MATCH(BK$3,所有坦克升星属性标头,0),FALSE)+ROUND(BP227/VLOOKUP($BF227,坦克部件!#REF!,4,FALSE)*VLOOKUP($BF227&amp;0,所有坦克升星属性,MATCH(BK$3,所有坦克升星属性标头,0),FALSE),0)</f>
        <v>#N/A</v>
      </c>
      <c r="BL227" s="372" t="e">
        <f ca="1">VLOOKUP($BF227&amp;IF($BJ227="NULL",0,$BJ227),所有坦克升星属性,MATCH(BL$3,所有坦克升星属性标头,0),FALSE)+ROUND(BQ227/VLOOKUP($BF227,坦克部件!#REF!,4,FALSE)*VLOOKUP($BF227&amp;0,所有坦克升星属性,MATCH(BL$3,所有坦克升星属性标头,0),FALSE),0)</f>
        <v>#N/A</v>
      </c>
      <c r="BM227" s="372" t="e">
        <f t="shared" ca="1" si="156"/>
        <v>#N/A</v>
      </c>
      <c r="BN227" s="372" t="e">
        <f t="shared" ca="1" si="156"/>
        <v>#N/A</v>
      </c>
      <c r="BO227" s="372" t="e">
        <f ca="1">VLOOKUP($BF227&amp;IF($BJ227="NULL",0,$BJ227),所有坦克升星属性,MATCH(BO$3,所有坦克升星属性标头,0),FALSE)+ROUND(BR227/VLOOKUP($BF227,坦克部件!#REF!,4,FALSE)*VLOOKUP($BF227&amp;0,所有坦克升星属性,MATCH(BO$3,所有坦克升星属性标头,0),FALSE),0)</f>
        <v>#N/A</v>
      </c>
      <c r="BP227" s="372" t="e">
        <f ca="1">(VLOOKUP($BH227,坦克部件!#REF!,MATCH("标准值",坦克部件!#REF!,0),FALSE)+VLOOKUP($BI227,坦克部件!#REF!,MATCH("标准值",坦克部件!#REF!,0),FALSE))*2</f>
        <v>#REF!</v>
      </c>
      <c r="BQ227" s="372" t="e">
        <f ca="1">(VLOOKUP($BH227,坦克部件!#REF!,MATCH("标准值",坦克部件!#REF!,0),FALSE)+VLOOKUP($BI227,坦克部件!#REF!,MATCH("标准值",坦克部件!#REF!,0),FALSE))*2</f>
        <v>#REF!</v>
      </c>
      <c r="BR227" s="372" t="e">
        <f ca="1">(VLOOKUP($BH227,坦克部件!#REF!,MATCH("标准值",坦克部件!#REF!,0),FALSE)+VLOOKUP($BI227,坦克部件!#REF!,MATCH("标准值",坦克部件!#REF!,0),FALSE))*2</f>
        <v>#REF!</v>
      </c>
      <c r="BS227" s="372" t="e">
        <f ca="1">VLOOKUP($BF227,坦克属性统计!$B$3:$AY$33,MATCH(BS$3,坦克属性统计!$B$3:$AY$3,0),FALSE)</f>
        <v>#N/A</v>
      </c>
      <c r="BT227" s="372" t="e">
        <f t="shared" ca="1" si="157"/>
        <v>#N/A</v>
      </c>
      <c r="BU227" s="372" t="e">
        <f t="shared" ca="1" si="157"/>
        <v>#N/A</v>
      </c>
      <c r="BV227" s="372" t="e">
        <f t="shared" ca="1" si="157"/>
        <v>#N/A</v>
      </c>
      <c r="BW227" s="356">
        <f t="shared" ca="1" si="138"/>
        <v>0</v>
      </c>
      <c r="BX227" s="356" t="e">
        <f ca="1">VLOOKUP(BF227,坦克个性化设定!$B$18:$E$48,4,FALSE)</f>
        <v>#N/A</v>
      </c>
      <c r="BY227" s="357" t="e">
        <f t="shared" ca="1" si="145"/>
        <v>#N/A</v>
      </c>
    </row>
    <row r="228" spans="15:77" x14ac:dyDescent="0.35">
      <c r="O228" s="365">
        <v>225</v>
      </c>
      <c r="P228" s="360" t="e">
        <f t="shared" ca="1" si="152"/>
        <v>#REF!</v>
      </c>
      <c r="Q228" s="360" t="e">
        <f ca="1">ROUND(MIN((BD228-VLOOKUP(R228,$B$22:$F$46,2,FALSE))/(VLOOKUP(R228,$B$22:$F$46,3,FALSE)-VLOOKUP(R228,$B$22:$F$46,2,FALSE)),1)*((VLOOKUP(R228,$B$22:$F$46,4,FALSE)*(AG228/(AG228+VLOOKUP(P228,$D$49:$F$123,3,TRUE)))+VLOOKUP(R228,$B$22:$F$46,5,FALSE)*(1-AG228/(AG228+VLOOKUP(P228,$D$49:$F$123,3,TRUE))))/2)*游戏时长规划!$C$4,0)</f>
        <v>#REF!</v>
      </c>
      <c r="R228" s="360" t="e">
        <f t="shared" ca="1" si="125"/>
        <v>#REF!</v>
      </c>
      <c r="S228" s="360" t="e">
        <f t="shared" ca="1" si="146"/>
        <v>#REF!</v>
      </c>
      <c r="T228" s="360" t="e">
        <f t="shared" ca="1" si="153"/>
        <v>#REF!</v>
      </c>
      <c r="U228" s="370" t="e">
        <f t="shared" ca="1" si="126"/>
        <v>#REF!</v>
      </c>
      <c r="V228" s="363" t="e">
        <f t="shared" ca="1" si="147"/>
        <v>#REF!</v>
      </c>
      <c r="W228" s="360" t="e">
        <f t="shared" ca="1" si="127"/>
        <v>#REF!</v>
      </c>
      <c r="X228" s="81" t="e">
        <f t="shared" ca="1" si="139"/>
        <v>#REF!</v>
      </c>
      <c r="Y228" s="360" t="str">
        <f t="shared" ca="1" si="128"/>
        <v>NULL</v>
      </c>
      <c r="Z228" s="375" t="e">
        <f t="shared" ca="1" si="140"/>
        <v>#REF!</v>
      </c>
      <c r="AA228" s="360">
        <f ca="1">IFERROR(VLOOKUP(IF(V228="T1低",游戏时长规划!$C$67+Z228,Z228),INDIRECT(V228&amp;"星级"),2,TRUE),0)</f>
        <v>0</v>
      </c>
      <c r="AB228" s="375" t="e">
        <f t="shared" ca="1" si="129"/>
        <v>#REF!</v>
      </c>
      <c r="AC228" s="375">
        <f ca="1">($D$14+$D$17)*$L$4/坦克部件养成!$C$2+AC227-IFERROR(IF(RIGHT(AD227,3)*1&gt;RIGHT(VLOOKUP(AC227,INDIRECT(LEFT(AD226,2)&amp;"部件升阶"),5,TRUE),3)*1,VLOOKUP(AD226,INDIRECT(LEFT(AD226,2)&amp;"部件升阶消耗"),2,FALSE),0),0)</f>
        <v>2662.5000000000027</v>
      </c>
      <c r="AD228" s="360" t="e">
        <f t="shared" ca="1" si="130"/>
        <v>#REF!</v>
      </c>
      <c r="AE228" s="375" t="e">
        <f ca="1">$D$15*$L$4/坦克部件养成!$C$2+AE227-IF(LEFT(AD228,2)&lt;&gt;LEFT(AD227,2),VLOOKUP(AF227,INDIRECT(LEFT(AD227,2)&amp;"部件升级消耗"),5,FALSE),0)</f>
        <v>#REF!</v>
      </c>
      <c r="AF228" s="360" t="e">
        <f ca="1">MIN(VLOOKUP(AE228,INDIRECT(LEFT(AD228,2)&amp;"部件升级"),2,TRUE),VLOOKUP(LEFT(AD228,2),坦克部件养成!#REF!,6,FALSE))</f>
        <v>#REF!</v>
      </c>
      <c r="AG228" s="378" t="e">
        <f ca="1">MAX(BD$4:BD228)</f>
        <v>#REF!</v>
      </c>
      <c r="AH228" s="378" t="str">
        <f t="shared" ca="1" si="131"/>
        <v/>
      </c>
      <c r="AI228" s="378">
        <f ca="1">IF(Y228="NULL",0,MAX(BY$4:BY228))</f>
        <v>0</v>
      </c>
      <c r="AK228" s="364" t="e">
        <f t="shared" ca="1" si="132"/>
        <v>#REF!</v>
      </c>
      <c r="AL228" s="364" t="e">
        <f ca="1">VLOOKUP(AK228,坦克个性化设定!$B$18:$F$48,5,FALSE)</f>
        <v>#REF!</v>
      </c>
      <c r="AM228" s="372" t="e">
        <f t="shared" ca="1" si="133"/>
        <v>#REF!</v>
      </c>
      <c r="AN228" s="372" t="e">
        <f t="shared" ca="1" si="141"/>
        <v>#REF!</v>
      </c>
      <c r="AO228" s="364">
        <f t="shared" ca="1" si="134"/>
        <v>0</v>
      </c>
      <c r="AP228" s="372" t="e">
        <f ca="1">VLOOKUP($AK228&amp;$AO228,所有坦克升星属性,MATCH(AP$3,所有坦克升星属性标头,0),FALSE)+ROUND(AU228/VLOOKUP($AK228,坦克部件!#REF!,4,FALSE)*VLOOKUP($AK228&amp;0,所有坦克升星属性,MATCH(AP$3,所有坦克升星属性标头,0),FALSE),0)</f>
        <v>#REF!</v>
      </c>
      <c r="AQ228" s="372" t="e">
        <f ca="1">VLOOKUP($AK228&amp;$AO228,所有坦克升星属性,MATCH(AQ$3,所有坦克升星属性标头,0),FALSE)+ROUND(AV228/VLOOKUP($AK228,坦克部件!#REF!,4,FALSE)*VLOOKUP($AK228&amp;0,所有坦克升星属性,MATCH(AQ$3,所有坦克升星属性标头,0),FALSE),0)</f>
        <v>#REF!</v>
      </c>
      <c r="AR228" s="372" t="e">
        <f t="shared" ca="1" si="154"/>
        <v>#REF!</v>
      </c>
      <c r="AS228" s="372" t="e">
        <f t="shared" ca="1" si="154"/>
        <v>#REF!</v>
      </c>
      <c r="AT228" s="372" t="e">
        <f ca="1">VLOOKUP($AK228&amp;$AO228,所有坦克升星属性,MATCH(AT$3,所有坦克升星属性标头,0),FALSE)+ROUND(AW228/VLOOKUP($AK228,坦克部件!#REF!,4,FALSE)*VLOOKUP($AK228&amp;0,所有坦克升星属性,MATCH(AT$3,所有坦克升星属性标头,0),FALSE),0)</f>
        <v>#REF!</v>
      </c>
      <c r="AU228" s="372" t="e">
        <f ca="1">(VLOOKUP($AM228,坦克部件!#REF!,MATCH("标准值",坦克部件!#REF!,0),FALSE)+VLOOKUP($AN228,坦克部件!#REF!,MATCH("标准值",坦克部件!#REF!,0),FALSE))*2</f>
        <v>#REF!</v>
      </c>
      <c r="AV228" s="372" t="e">
        <f ca="1">(VLOOKUP($AM228,坦克部件!#REF!,MATCH("标准值",坦克部件!#REF!,0),FALSE)+VLOOKUP($AN228,坦克部件!#REF!,MATCH("标准值",坦克部件!#REF!,0),FALSE))*2</f>
        <v>#REF!</v>
      </c>
      <c r="AW228" s="372" t="e">
        <f ca="1">(VLOOKUP($AM228,坦克部件!#REF!,MATCH("标准值",坦克部件!#REF!,0),FALSE)+VLOOKUP($AN228,坦克部件!#REF!,MATCH("标准值",坦克部件!#REF!,0),FALSE))*2</f>
        <v>#REF!</v>
      </c>
      <c r="AX228" s="372" t="e">
        <f ca="1">VLOOKUP($AK228,坦克属性统计!$B$3:$AY$33,MATCH(AX$3,坦克属性统计!$B$3:$AY$3,0),FALSE)</f>
        <v>#REF!</v>
      </c>
      <c r="AY228" s="372" t="e">
        <f t="shared" ca="1" si="155"/>
        <v>#REF!</v>
      </c>
      <c r="AZ228" s="372" t="e">
        <f t="shared" ca="1" si="155"/>
        <v>#REF!</v>
      </c>
      <c r="BA228" s="372" t="e">
        <f t="shared" ca="1" si="155"/>
        <v>#REF!</v>
      </c>
      <c r="BB228" s="356" t="e">
        <f t="shared" ca="1" si="135"/>
        <v>#REF!</v>
      </c>
      <c r="BC228" s="356" t="e">
        <f ca="1">VLOOKUP(AK228,坦克个性化设定!$B$18:$E$48,4,FALSE)</f>
        <v>#REF!</v>
      </c>
      <c r="BD228" s="357" t="e">
        <f t="shared" ca="1" si="142"/>
        <v>#REF!</v>
      </c>
      <c r="BF228" s="357" t="str">
        <f t="shared" ca="1" si="136"/>
        <v/>
      </c>
      <c r="BG228" s="372" t="str">
        <f ca="1">IFERROR(VLOOKUP(BF228,坦克个性化设定!$B$18:$F$48,5,FALSE),"")</f>
        <v/>
      </c>
      <c r="BH228" s="372" t="e">
        <f t="shared" ca="1" si="143"/>
        <v>#REF!</v>
      </c>
      <c r="BI228" s="372" t="e">
        <f t="shared" ca="1" si="144"/>
        <v>#REF!</v>
      </c>
      <c r="BJ228" s="364" t="str">
        <f t="shared" ca="1" si="137"/>
        <v>NULL</v>
      </c>
      <c r="BK228" s="372" t="e">
        <f ca="1">VLOOKUP($BF228&amp;IF($BJ228="NULL",0,$BJ228),所有坦克升星属性,MATCH(BK$3,所有坦克升星属性标头,0),FALSE)+ROUND(BP228/VLOOKUP($BF228,坦克部件!#REF!,4,FALSE)*VLOOKUP($BF228&amp;0,所有坦克升星属性,MATCH(BK$3,所有坦克升星属性标头,0),FALSE),0)</f>
        <v>#N/A</v>
      </c>
      <c r="BL228" s="372" t="e">
        <f ca="1">VLOOKUP($BF228&amp;IF($BJ228="NULL",0,$BJ228),所有坦克升星属性,MATCH(BL$3,所有坦克升星属性标头,0),FALSE)+ROUND(BQ228/VLOOKUP($BF228,坦克部件!#REF!,4,FALSE)*VLOOKUP($BF228&amp;0,所有坦克升星属性,MATCH(BL$3,所有坦克升星属性标头,0),FALSE),0)</f>
        <v>#N/A</v>
      </c>
      <c r="BM228" s="372" t="e">
        <f t="shared" ca="1" si="156"/>
        <v>#N/A</v>
      </c>
      <c r="BN228" s="372" t="e">
        <f t="shared" ca="1" si="156"/>
        <v>#N/A</v>
      </c>
      <c r="BO228" s="372" t="e">
        <f ca="1">VLOOKUP($BF228&amp;IF($BJ228="NULL",0,$BJ228),所有坦克升星属性,MATCH(BO$3,所有坦克升星属性标头,0),FALSE)+ROUND(BR228/VLOOKUP($BF228,坦克部件!#REF!,4,FALSE)*VLOOKUP($BF228&amp;0,所有坦克升星属性,MATCH(BO$3,所有坦克升星属性标头,0),FALSE),0)</f>
        <v>#N/A</v>
      </c>
      <c r="BP228" s="372" t="e">
        <f ca="1">(VLOOKUP($BH228,坦克部件!#REF!,MATCH("标准值",坦克部件!#REF!,0),FALSE)+VLOOKUP($BI228,坦克部件!#REF!,MATCH("标准值",坦克部件!#REF!,0),FALSE))*2</f>
        <v>#REF!</v>
      </c>
      <c r="BQ228" s="372" t="e">
        <f ca="1">(VLOOKUP($BH228,坦克部件!#REF!,MATCH("标准值",坦克部件!#REF!,0),FALSE)+VLOOKUP($BI228,坦克部件!#REF!,MATCH("标准值",坦克部件!#REF!,0),FALSE))*2</f>
        <v>#REF!</v>
      </c>
      <c r="BR228" s="372" t="e">
        <f ca="1">(VLOOKUP($BH228,坦克部件!#REF!,MATCH("标准值",坦克部件!#REF!,0),FALSE)+VLOOKUP($BI228,坦克部件!#REF!,MATCH("标准值",坦克部件!#REF!,0),FALSE))*2</f>
        <v>#REF!</v>
      </c>
      <c r="BS228" s="372" t="e">
        <f ca="1">VLOOKUP($BF228,坦克属性统计!$B$3:$AY$33,MATCH(BS$3,坦克属性统计!$B$3:$AY$3,0),FALSE)</f>
        <v>#N/A</v>
      </c>
      <c r="BT228" s="372" t="e">
        <f t="shared" ca="1" si="157"/>
        <v>#N/A</v>
      </c>
      <c r="BU228" s="372" t="e">
        <f t="shared" ca="1" si="157"/>
        <v>#N/A</v>
      </c>
      <c r="BV228" s="372" t="e">
        <f t="shared" ca="1" si="157"/>
        <v>#N/A</v>
      </c>
      <c r="BW228" s="356">
        <f t="shared" ca="1" si="138"/>
        <v>0</v>
      </c>
      <c r="BX228" s="356" t="e">
        <f ca="1">VLOOKUP(BF228,坦克个性化设定!$B$18:$E$48,4,FALSE)</f>
        <v>#N/A</v>
      </c>
      <c r="BY228" s="357" t="e">
        <f t="shared" ca="1" si="145"/>
        <v>#N/A</v>
      </c>
    </row>
    <row r="229" spans="15:77" x14ac:dyDescent="0.35">
      <c r="O229" s="365">
        <v>226</v>
      </c>
      <c r="P229" s="360" t="e">
        <f t="shared" ca="1" si="152"/>
        <v>#REF!</v>
      </c>
      <c r="Q229" s="360" t="e">
        <f ca="1">ROUND(MIN((BD229-VLOOKUP(R229,$B$22:$F$46,2,FALSE))/(VLOOKUP(R229,$B$22:$F$46,3,FALSE)-VLOOKUP(R229,$B$22:$F$46,2,FALSE)),1)*((VLOOKUP(R229,$B$22:$F$46,4,FALSE)*(AG229/(AG229+VLOOKUP(P229,$D$49:$F$123,3,TRUE)))+VLOOKUP(R229,$B$22:$F$46,5,FALSE)*(1-AG229/(AG229+VLOOKUP(P229,$D$49:$F$123,3,TRUE))))/2)*游戏时长规划!$C$4,0)</f>
        <v>#REF!</v>
      </c>
      <c r="R229" s="360" t="e">
        <f t="shared" ca="1" si="125"/>
        <v>#REF!</v>
      </c>
      <c r="S229" s="360" t="e">
        <f t="shared" ca="1" si="146"/>
        <v>#REF!</v>
      </c>
      <c r="T229" s="360" t="e">
        <f t="shared" ca="1" si="153"/>
        <v>#REF!</v>
      </c>
      <c r="U229" s="370" t="e">
        <f t="shared" ca="1" si="126"/>
        <v>#REF!</v>
      </c>
      <c r="V229" s="363" t="e">
        <f t="shared" ca="1" si="147"/>
        <v>#REF!</v>
      </c>
      <c r="W229" s="360" t="e">
        <f t="shared" ca="1" si="127"/>
        <v>#REF!</v>
      </c>
      <c r="X229" s="81" t="e">
        <f t="shared" ca="1" si="139"/>
        <v>#REF!</v>
      </c>
      <c r="Y229" s="360" t="str">
        <f t="shared" ca="1" si="128"/>
        <v>NULL</v>
      </c>
      <c r="Z229" s="375" t="e">
        <f t="shared" ca="1" si="140"/>
        <v>#REF!</v>
      </c>
      <c r="AA229" s="360">
        <f ca="1">IFERROR(VLOOKUP(IF(V229="T1低",游戏时长规划!$C$67+Z229,Z229),INDIRECT(V229&amp;"星级"),2,TRUE),0)</f>
        <v>0</v>
      </c>
      <c r="AB229" s="375" t="e">
        <f t="shared" ca="1" si="129"/>
        <v>#REF!</v>
      </c>
      <c r="AC229" s="375">
        <f ca="1">($D$14+$D$17)*$L$4/坦克部件养成!$C$2+AC228-IFERROR(IF(RIGHT(AD228,3)*1&gt;RIGHT(VLOOKUP(AC228,INDIRECT(LEFT(AD227,2)&amp;"部件升阶"),5,TRUE),3)*1,VLOOKUP(AD227,INDIRECT(LEFT(AD227,2)&amp;"部件升阶消耗"),2,FALSE),0),0)</f>
        <v>2674.3333333333362</v>
      </c>
      <c r="AD229" s="360" t="e">
        <f t="shared" ca="1" si="130"/>
        <v>#REF!</v>
      </c>
      <c r="AE229" s="375" t="e">
        <f ca="1">$D$15*$L$4/坦克部件养成!$C$2+AE228-IF(LEFT(AD229,2)&lt;&gt;LEFT(AD228,2),VLOOKUP(AF228,INDIRECT(LEFT(AD228,2)&amp;"部件升级消耗"),5,FALSE),0)</f>
        <v>#REF!</v>
      </c>
      <c r="AF229" s="360" t="e">
        <f ca="1">MIN(VLOOKUP(AE229,INDIRECT(LEFT(AD229,2)&amp;"部件升级"),2,TRUE),VLOOKUP(LEFT(AD229,2),坦克部件养成!#REF!,6,FALSE))</f>
        <v>#REF!</v>
      </c>
      <c r="AG229" s="378" t="e">
        <f ca="1">MAX(BD$4:BD229)</f>
        <v>#REF!</v>
      </c>
      <c r="AH229" s="378" t="str">
        <f t="shared" ca="1" si="131"/>
        <v/>
      </c>
      <c r="AI229" s="378">
        <f ca="1">IF(Y229="NULL",0,MAX(BY$4:BY229))</f>
        <v>0</v>
      </c>
      <c r="AK229" s="364" t="e">
        <f t="shared" ca="1" si="132"/>
        <v>#REF!</v>
      </c>
      <c r="AL229" s="364" t="e">
        <f ca="1">VLOOKUP(AK229,坦克个性化设定!$B$18:$F$48,5,FALSE)</f>
        <v>#REF!</v>
      </c>
      <c r="AM229" s="372" t="e">
        <f t="shared" ca="1" si="133"/>
        <v>#REF!</v>
      </c>
      <c r="AN229" s="372" t="e">
        <f t="shared" ca="1" si="141"/>
        <v>#REF!</v>
      </c>
      <c r="AO229" s="364">
        <f t="shared" ca="1" si="134"/>
        <v>0</v>
      </c>
      <c r="AP229" s="372" t="e">
        <f ca="1">VLOOKUP($AK229&amp;$AO229,所有坦克升星属性,MATCH(AP$3,所有坦克升星属性标头,0),FALSE)+ROUND(AU229/VLOOKUP($AK229,坦克部件!#REF!,4,FALSE)*VLOOKUP($AK229&amp;0,所有坦克升星属性,MATCH(AP$3,所有坦克升星属性标头,0),FALSE),0)</f>
        <v>#REF!</v>
      </c>
      <c r="AQ229" s="372" t="e">
        <f ca="1">VLOOKUP($AK229&amp;$AO229,所有坦克升星属性,MATCH(AQ$3,所有坦克升星属性标头,0),FALSE)+ROUND(AV229/VLOOKUP($AK229,坦克部件!#REF!,4,FALSE)*VLOOKUP($AK229&amp;0,所有坦克升星属性,MATCH(AQ$3,所有坦克升星属性标头,0),FALSE),0)</f>
        <v>#REF!</v>
      </c>
      <c r="AR229" s="372" t="e">
        <f t="shared" ca="1" si="154"/>
        <v>#REF!</v>
      </c>
      <c r="AS229" s="372" t="e">
        <f t="shared" ca="1" si="154"/>
        <v>#REF!</v>
      </c>
      <c r="AT229" s="372" t="e">
        <f ca="1">VLOOKUP($AK229&amp;$AO229,所有坦克升星属性,MATCH(AT$3,所有坦克升星属性标头,0),FALSE)+ROUND(AW229/VLOOKUP($AK229,坦克部件!#REF!,4,FALSE)*VLOOKUP($AK229&amp;0,所有坦克升星属性,MATCH(AT$3,所有坦克升星属性标头,0),FALSE),0)</f>
        <v>#REF!</v>
      </c>
      <c r="AU229" s="372" t="e">
        <f ca="1">(VLOOKUP($AM229,坦克部件!#REF!,MATCH("标准值",坦克部件!#REF!,0),FALSE)+VLOOKUP($AN229,坦克部件!#REF!,MATCH("标准值",坦克部件!#REF!,0),FALSE))*2</f>
        <v>#REF!</v>
      </c>
      <c r="AV229" s="372" t="e">
        <f ca="1">(VLOOKUP($AM229,坦克部件!#REF!,MATCH("标准值",坦克部件!#REF!,0),FALSE)+VLOOKUP($AN229,坦克部件!#REF!,MATCH("标准值",坦克部件!#REF!,0),FALSE))*2</f>
        <v>#REF!</v>
      </c>
      <c r="AW229" s="372" t="e">
        <f ca="1">(VLOOKUP($AM229,坦克部件!#REF!,MATCH("标准值",坦克部件!#REF!,0),FALSE)+VLOOKUP($AN229,坦克部件!#REF!,MATCH("标准值",坦克部件!#REF!,0),FALSE))*2</f>
        <v>#REF!</v>
      </c>
      <c r="AX229" s="372" t="e">
        <f ca="1">VLOOKUP($AK229,坦克属性统计!$B$3:$AY$33,MATCH(AX$3,坦克属性统计!$B$3:$AY$3,0),FALSE)</f>
        <v>#REF!</v>
      </c>
      <c r="AY229" s="372" t="e">
        <f t="shared" ca="1" si="155"/>
        <v>#REF!</v>
      </c>
      <c r="AZ229" s="372" t="e">
        <f t="shared" ca="1" si="155"/>
        <v>#REF!</v>
      </c>
      <c r="BA229" s="372" t="e">
        <f t="shared" ca="1" si="155"/>
        <v>#REF!</v>
      </c>
      <c r="BB229" s="356" t="e">
        <f t="shared" ca="1" si="135"/>
        <v>#REF!</v>
      </c>
      <c r="BC229" s="356" t="e">
        <f ca="1">VLOOKUP(AK229,坦克个性化设定!$B$18:$E$48,4,FALSE)</f>
        <v>#REF!</v>
      </c>
      <c r="BD229" s="357" t="e">
        <f t="shared" ca="1" si="142"/>
        <v>#REF!</v>
      </c>
      <c r="BF229" s="357" t="str">
        <f t="shared" ca="1" si="136"/>
        <v/>
      </c>
      <c r="BG229" s="372" t="str">
        <f ca="1">IFERROR(VLOOKUP(BF229,坦克个性化设定!$B$18:$F$48,5,FALSE),"")</f>
        <v/>
      </c>
      <c r="BH229" s="372" t="e">
        <f t="shared" ca="1" si="143"/>
        <v>#REF!</v>
      </c>
      <c r="BI229" s="372" t="e">
        <f t="shared" ca="1" si="144"/>
        <v>#REF!</v>
      </c>
      <c r="BJ229" s="364" t="str">
        <f t="shared" ca="1" si="137"/>
        <v>NULL</v>
      </c>
      <c r="BK229" s="372" t="e">
        <f ca="1">VLOOKUP($BF229&amp;IF($BJ229="NULL",0,$BJ229),所有坦克升星属性,MATCH(BK$3,所有坦克升星属性标头,0),FALSE)+ROUND(BP229/VLOOKUP($BF229,坦克部件!#REF!,4,FALSE)*VLOOKUP($BF229&amp;0,所有坦克升星属性,MATCH(BK$3,所有坦克升星属性标头,0),FALSE),0)</f>
        <v>#N/A</v>
      </c>
      <c r="BL229" s="372" t="e">
        <f ca="1">VLOOKUP($BF229&amp;IF($BJ229="NULL",0,$BJ229),所有坦克升星属性,MATCH(BL$3,所有坦克升星属性标头,0),FALSE)+ROUND(BQ229/VLOOKUP($BF229,坦克部件!#REF!,4,FALSE)*VLOOKUP($BF229&amp;0,所有坦克升星属性,MATCH(BL$3,所有坦克升星属性标头,0),FALSE),0)</f>
        <v>#N/A</v>
      </c>
      <c r="BM229" s="372" t="e">
        <f t="shared" ca="1" si="156"/>
        <v>#N/A</v>
      </c>
      <c r="BN229" s="372" t="e">
        <f t="shared" ca="1" si="156"/>
        <v>#N/A</v>
      </c>
      <c r="BO229" s="372" t="e">
        <f ca="1">VLOOKUP($BF229&amp;IF($BJ229="NULL",0,$BJ229),所有坦克升星属性,MATCH(BO$3,所有坦克升星属性标头,0),FALSE)+ROUND(BR229/VLOOKUP($BF229,坦克部件!#REF!,4,FALSE)*VLOOKUP($BF229&amp;0,所有坦克升星属性,MATCH(BO$3,所有坦克升星属性标头,0),FALSE),0)</f>
        <v>#N/A</v>
      </c>
      <c r="BP229" s="372" t="e">
        <f ca="1">(VLOOKUP($BH229,坦克部件!#REF!,MATCH("标准值",坦克部件!#REF!,0),FALSE)+VLOOKUP($BI229,坦克部件!#REF!,MATCH("标准值",坦克部件!#REF!,0),FALSE))*2</f>
        <v>#REF!</v>
      </c>
      <c r="BQ229" s="372" t="e">
        <f ca="1">(VLOOKUP($BH229,坦克部件!#REF!,MATCH("标准值",坦克部件!#REF!,0),FALSE)+VLOOKUP($BI229,坦克部件!#REF!,MATCH("标准值",坦克部件!#REF!,0),FALSE))*2</f>
        <v>#REF!</v>
      </c>
      <c r="BR229" s="372" t="e">
        <f ca="1">(VLOOKUP($BH229,坦克部件!#REF!,MATCH("标准值",坦克部件!#REF!,0),FALSE)+VLOOKUP($BI229,坦克部件!#REF!,MATCH("标准值",坦克部件!#REF!,0),FALSE))*2</f>
        <v>#REF!</v>
      </c>
      <c r="BS229" s="372" t="e">
        <f ca="1">VLOOKUP($BF229,坦克属性统计!$B$3:$AY$33,MATCH(BS$3,坦克属性统计!$B$3:$AY$3,0),FALSE)</f>
        <v>#N/A</v>
      </c>
      <c r="BT229" s="372" t="e">
        <f t="shared" ca="1" si="157"/>
        <v>#N/A</v>
      </c>
      <c r="BU229" s="372" t="e">
        <f t="shared" ca="1" si="157"/>
        <v>#N/A</v>
      </c>
      <c r="BV229" s="372" t="e">
        <f t="shared" ca="1" si="157"/>
        <v>#N/A</v>
      </c>
      <c r="BW229" s="356">
        <f t="shared" ca="1" si="138"/>
        <v>0</v>
      </c>
      <c r="BX229" s="356" t="e">
        <f ca="1">VLOOKUP(BF229,坦克个性化设定!$B$18:$E$48,4,FALSE)</f>
        <v>#N/A</v>
      </c>
      <c r="BY229" s="357" t="e">
        <f t="shared" ca="1" si="145"/>
        <v>#N/A</v>
      </c>
    </row>
    <row r="230" spans="15:77" x14ac:dyDescent="0.35">
      <c r="O230" s="365">
        <v>227</v>
      </c>
      <c r="P230" s="360" t="e">
        <f t="shared" ca="1" si="152"/>
        <v>#REF!</v>
      </c>
      <c r="Q230" s="360" t="e">
        <f ca="1">ROUND(MIN((BD230-VLOOKUP(R230,$B$22:$F$46,2,FALSE))/(VLOOKUP(R230,$B$22:$F$46,3,FALSE)-VLOOKUP(R230,$B$22:$F$46,2,FALSE)),1)*((VLOOKUP(R230,$B$22:$F$46,4,FALSE)*(AG230/(AG230+VLOOKUP(P230,$D$49:$F$123,3,TRUE)))+VLOOKUP(R230,$B$22:$F$46,5,FALSE)*(1-AG230/(AG230+VLOOKUP(P230,$D$49:$F$123,3,TRUE))))/2)*游戏时长规划!$C$4,0)</f>
        <v>#REF!</v>
      </c>
      <c r="R230" s="360" t="e">
        <f t="shared" ca="1" si="125"/>
        <v>#REF!</v>
      </c>
      <c r="S230" s="360" t="e">
        <f t="shared" ca="1" si="146"/>
        <v>#REF!</v>
      </c>
      <c r="T230" s="360" t="e">
        <f t="shared" ca="1" si="153"/>
        <v>#REF!</v>
      </c>
      <c r="U230" s="370" t="e">
        <f t="shared" ca="1" si="126"/>
        <v>#REF!</v>
      </c>
      <c r="V230" s="363" t="e">
        <f t="shared" ca="1" si="147"/>
        <v>#REF!</v>
      </c>
      <c r="W230" s="360" t="e">
        <f t="shared" ca="1" si="127"/>
        <v>#REF!</v>
      </c>
      <c r="X230" s="81" t="e">
        <f t="shared" ca="1" si="139"/>
        <v>#REF!</v>
      </c>
      <c r="Y230" s="360" t="str">
        <f t="shared" ca="1" si="128"/>
        <v>NULL</v>
      </c>
      <c r="Z230" s="375" t="e">
        <f t="shared" ca="1" si="140"/>
        <v>#REF!</v>
      </c>
      <c r="AA230" s="360">
        <f ca="1">IFERROR(VLOOKUP(IF(V230="T1低",游戏时长规划!$C$67+Z230,Z230),INDIRECT(V230&amp;"星级"),2,TRUE),0)</f>
        <v>0</v>
      </c>
      <c r="AB230" s="375" t="e">
        <f t="shared" ca="1" si="129"/>
        <v>#REF!</v>
      </c>
      <c r="AC230" s="375">
        <f ca="1">($D$14+$D$17)*$L$4/坦克部件养成!$C$2+AC229-IFERROR(IF(RIGHT(AD229,3)*1&gt;RIGHT(VLOOKUP(AC229,INDIRECT(LEFT(AD228,2)&amp;"部件升阶"),5,TRUE),3)*1,VLOOKUP(AD228,INDIRECT(LEFT(AD228,2)&amp;"部件升阶消耗"),2,FALSE),0),0)</f>
        <v>2686.1666666666697</v>
      </c>
      <c r="AD230" s="360" t="e">
        <f t="shared" ca="1" si="130"/>
        <v>#REF!</v>
      </c>
      <c r="AE230" s="375" t="e">
        <f ca="1">$D$15*$L$4/坦克部件养成!$C$2+AE229-IF(LEFT(AD230,2)&lt;&gt;LEFT(AD229,2),VLOOKUP(AF229,INDIRECT(LEFT(AD229,2)&amp;"部件升级消耗"),5,FALSE),0)</f>
        <v>#REF!</v>
      </c>
      <c r="AF230" s="360" t="e">
        <f ca="1">MIN(VLOOKUP(AE230,INDIRECT(LEFT(AD230,2)&amp;"部件升级"),2,TRUE),VLOOKUP(LEFT(AD230,2),坦克部件养成!#REF!,6,FALSE))</f>
        <v>#REF!</v>
      </c>
      <c r="AG230" s="378" t="e">
        <f ca="1">MAX(BD$4:BD230)</f>
        <v>#REF!</v>
      </c>
      <c r="AH230" s="378" t="str">
        <f t="shared" ca="1" si="131"/>
        <v/>
      </c>
      <c r="AI230" s="378">
        <f ca="1">IF(Y230="NULL",0,MAX(BY$4:BY230))</f>
        <v>0</v>
      </c>
      <c r="AK230" s="364" t="e">
        <f t="shared" ca="1" si="132"/>
        <v>#REF!</v>
      </c>
      <c r="AL230" s="364" t="e">
        <f ca="1">VLOOKUP(AK230,坦克个性化设定!$B$18:$F$48,5,FALSE)</f>
        <v>#REF!</v>
      </c>
      <c r="AM230" s="372" t="e">
        <f t="shared" ca="1" si="133"/>
        <v>#REF!</v>
      </c>
      <c r="AN230" s="372" t="e">
        <f t="shared" ca="1" si="141"/>
        <v>#REF!</v>
      </c>
      <c r="AO230" s="364">
        <f t="shared" ca="1" si="134"/>
        <v>0</v>
      </c>
      <c r="AP230" s="372" t="e">
        <f ca="1">VLOOKUP($AK230&amp;$AO230,所有坦克升星属性,MATCH(AP$3,所有坦克升星属性标头,0),FALSE)+ROUND(AU230/VLOOKUP($AK230,坦克部件!#REF!,4,FALSE)*VLOOKUP($AK230&amp;0,所有坦克升星属性,MATCH(AP$3,所有坦克升星属性标头,0),FALSE),0)</f>
        <v>#REF!</v>
      </c>
      <c r="AQ230" s="372" t="e">
        <f ca="1">VLOOKUP($AK230&amp;$AO230,所有坦克升星属性,MATCH(AQ$3,所有坦克升星属性标头,0),FALSE)+ROUND(AV230/VLOOKUP($AK230,坦克部件!#REF!,4,FALSE)*VLOOKUP($AK230&amp;0,所有坦克升星属性,MATCH(AQ$3,所有坦克升星属性标头,0),FALSE),0)</f>
        <v>#REF!</v>
      </c>
      <c r="AR230" s="372" t="e">
        <f t="shared" ca="1" si="154"/>
        <v>#REF!</v>
      </c>
      <c r="AS230" s="372" t="e">
        <f t="shared" ca="1" si="154"/>
        <v>#REF!</v>
      </c>
      <c r="AT230" s="372" t="e">
        <f ca="1">VLOOKUP($AK230&amp;$AO230,所有坦克升星属性,MATCH(AT$3,所有坦克升星属性标头,0),FALSE)+ROUND(AW230/VLOOKUP($AK230,坦克部件!#REF!,4,FALSE)*VLOOKUP($AK230&amp;0,所有坦克升星属性,MATCH(AT$3,所有坦克升星属性标头,0),FALSE),0)</f>
        <v>#REF!</v>
      </c>
      <c r="AU230" s="372" t="e">
        <f ca="1">(VLOOKUP($AM230,坦克部件!#REF!,MATCH("标准值",坦克部件!#REF!,0),FALSE)+VLOOKUP($AN230,坦克部件!#REF!,MATCH("标准值",坦克部件!#REF!,0),FALSE))*2</f>
        <v>#REF!</v>
      </c>
      <c r="AV230" s="372" t="e">
        <f ca="1">(VLOOKUP($AM230,坦克部件!#REF!,MATCH("标准值",坦克部件!#REF!,0),FALSE)+VLOOKUP($AN230,坦克部件!#REF!,MATCH("标准值",坦克部件!#REF!,0),FALSE))*2</f>
        <v>#REF!</v>
      </c>
      <c r="AW230" s="372" t="e">
        <f ca="1">(VLOOKUP($AM230,坦克部件!#REF!,MATCH("标准值",坦克部件!#REF!,0),FALSE)+VLOOKUP($AN230,坦克部件!#REF!,MATCH("标准值",坦克部件!#REF!,0),FALSE))*2</f>
        <v>#REF!</v>
      </c>
      <c r="AX230" s="372" t="e">
        <f ca="1">VLOOKUP($AK230,坦克属性统计!$B$3:$AY$33,MATCH(AX$3,坦克属性统计!$B$3:$AY$3,0),FALSE)</f>
        <v>#REF!</v>
      </c>
      <c r="AY230" s="372" t="e">
        <f t="shared" ca="1" si="155"/>
        <v>#REF!</v>
      </c>
      <c r="AZ230" s="372" t="e">
        <f t="shared" ca="1" si="155"/>
        <v>#REF!</v>
      </c>
      <c r="BA230" s="372" t="e">
        <f t="shared" ca="1" si="155"/>
        <v>#REF!</v>
      </c>
      <c r="BB230" s="356" t="e">
        <f t="shared" ca="1" si="135"/>
        <v>#REF!</v>
      </c>
      <c r="BC230" s="356" t="e">
        <f ca="1">VLOOKUP(AK230,坦克个性化设定!$B$18:$E$48,4,FALSE)</f>
        <v>#REF!</v>
      </c>
      <c r="BD230" s="357" t="e">
        <f t="shared" ca="1" si="142"/>
        <v>#REF!</v>
      </c>
      <c r="BF230" s="357" t="str">
        <f t="shared" ca="1" si="136"/>
        <v/>
      </c>
      <c r="BG230" s="372" t="str">
        <f ca="1">IFERROR(VLOOKUP(BF230,坦克个性化设定!$B$18:$F$48,5,FALSE),"")</f>
        <v/>
      </c>
      <c r="BH230" s="372" t="e">
        <f t="shared" ca="1" si="143"/>
        <v>#REF!</v>
      </c>
      <c r="BI230" s="372" t="e">
        <f t="shared" ca="1" si="144"/>
        <v>#REF!</v>
      </c>
      <c r="BJ230" s="364" t="str">
        <f t="shared" ca="1" si="137"/>
        <v>NULL</v>
      </c>
      <c r="BK230" s="372" t="e">
        <f ca="1">VLOOKUP($BF230&amp;IF($BJ230="NULL",0,$BJ230),所有坦克升星属性,MATCH(BK$3,所有坦克升星属性标头,0),FALSE)+ROUND(BP230/VLOOKUP($BF230,坦克部件!#REF!,4,FALSE)*VLOOKUP($BF230&amp;0,所有坦克升星属性,MATCH(BK$3,所有坦克升星属性标头,0),FALSE),0)</f>
        <v>#N/A</v>
      </c>
      <c r="BL230" s="372" t="e">
        <f ca="1">VLOOKUP($BF230&amp;IF($BJ230="NULL",0,$BJ230),所有坦克升星属性,MATCH(BL$3,所有坦克升星属性标头,0),FALSE)+ROUND(BQ230/VLOOKUP($BF230,坦克部件!#REF!,4,FALSE)*VLOOKUP($BF230&amp;0,所有坦克升星属性,MATCH(BL$3,所有坦克升星属性标头,0),FALSE),0)</f>
        <v>#N/A</v>
      </c>
      <c r="BM230" s="372" t="e">
        <f t="shared" ca="1" si="156"/>
        <v>#N/A</v>
      </c>
      <c r="BN230" s="372" t="e">
        <f t="shared" ca="1" si="156"/>
        <v>#N/A</v>
      </c>
      <c r="BO230" s="372" t="e">
        <f ca="1">VLOOKUP($BF230&amp;IF($BJ230="NULL",0,$BJ230),所有坦克升星属性,MATCH(BO$3,所有坦克升星属性标头,0),FALSE)+ROUND(BR230/VLOOKUP($BF230,坦克部件!#REF!,4,FALSE)*VLOOKUP($BF230&amp;0,所有坦克升星属性,MATCH(BO$3,所有坦克升星属性标头,0),FALSE),0)</f>
        <v>#N/A</v>
      </c>
      <c r="BP230" s="372" t="e">
        <f ca="1">(VLOOKUP($BH230,坦克部件!#REF!,MATCH("标准值",坦克部件!#REF!,0),FALSE)+VLOOKUP($BI230,坦克部件!#REF!,MATCH("标准值",坦克部件!#REF!,0),FALSE))*2</f>
        <v>#REF!</v>
      </c>
      <c r="BQ230" s="372" t="e">
        <f ca="1">(VLOOKUP($BH230,坦克部件!#REF!,MATCH("标准值",坦克部件!#REF!,0),FALSE)+VLOOKUP($BI230,坦克部件!#REF!,MATCH("标准值",坦克部件!#REF!,0),FALSE))*2</f>
        <v>#REF!</v>
      </c>
      <c r="BR230" s="372" t="e">
        <f ca="1">(VLOOKUP($BH230,坦克部件!#REF!,MATCH("标准值",坦克部件!#REF!,0),FALSE)+VLOOKUP($BI230,坦克部件!#REF!,MATCH("标准值",坦克部件!#REF!,0),FALSE))*2</f>
        <v>#REF!</v>
      </c>
      <c r="BS230" s="372" t="e">
        <f ca="1">VLOOKUP($BF230,坦克属性统计!$B$3:$AY$33,MATCH(BS$3,坦克属性统计!$B$3:$AY$3,0),FALSE)</f>
        <v>#N/A</v>
      </c>
      <c r="BT230" s="372" t="e">
        <f t="shared" ca="1" si="157"/>
        <v>#N/A</v>
      </c>
      <c r="BU230" s="372" t="e">
        <f t="shared" ca="1" si="157"/>
        <v>#N/A</v>
      </c>
      <c r="BV230" s="372" t="e">
        <f t="shared" ca="1" si="157"/>
        <v>#N/A</v>
      </c>
      <c r="BW230" s="356">
        <f t="shared" ca="1" si="138"/>
        <v>0</v>
      </c>
      <c r="BX230" s="356" t="e">
        <f ca="1">VLOOKUP(BF230,坦克个性化设定!$B$18:$E$48,4,FALSE)</f>
        <v>#N/A</v>
      </c>
      <c r="BY230" s="357" t="e">
        <f t="shared" ca="1" si="145"/>
        <v>#N/A</v>
      </c>
    </row>
    <row r="231" spans="15:77" x14ac:dyDescent="0.35">
      <c r="O231" s="365">
        <v>228</v>
      </c>
      <c r="P231" s="360" t="e">
        <f t="shared" ca="1" si="152"/>
        <v>#REF!</v>
      </c>
      <c r="Q231" s="360" t="e">
        <f ca="1">ROUND(MIN((BD231-VLOOKUP(R231,$B$22:$F$46,2,FALSE))/(VLOOKUP(R231,$B$22:$F$46,3,FALSE)-VLOOKUP(R231,$B$22:$F$46,2,FALSE)),1)*((VLOOKUP(R231,$B$22:$F$46,4,FALSE)*(AG231/(AG231+VLOOKUP(P231,$D$49:$F$123,3,TRUE)))+VLOOKUP(R231,$B$22:$F$46,5,FALSE)*(1-AG231/(AG231+VLOOKUP(P231,$D$49:$F$123,3,TRUE))))/2)*游戏时长规划!$C$4,0)</f>
        <v>#REF!</v>
      </c>
      <c r="R231" s="360" t="e">
        <f t="shared" ca="1" si="125"/>
        <v>#REF!</v>
      </c>
      <c r="S231" s="360" t="e">
        <f t="shared" ca="1" si="146"/>
        <v>#REF!</v>
      </c>
      <c r="T231" s="360" t="e">
        <f t="shared" ca="1" si="153"/>
        <v>#REF!</v>
      </c>
      <c r="U231" s="370" t="e">
        <f t="shared" ca="1" si="126"/>
        <v>#REF!</v>
      </c>
      <c r="V231" s="363" t="e">
        <f t="shared" ca="1" si="147"/>
        <v>#REF!</v>
      </c>
      <c r="W231" s="360" t="e">
        <f t="shared" ca="1" si="127"/>
        <v>#REF!</v>
      </c>
      <c r="X231" s="81" t="e">
        <f t="shared" ca="1" si="139"/>
        <v>#REF!</v>
      </c>
      <c r="Y231" s="360" t="str">
        <f t="shared" ca="1" si="128"/>
        <v>NULL</v>
      </c>
      <c r="Z231" s="375" t="e">
        <f t="shared" ca="1" si="140"/>
        <v>#REF!</v>
      </c>
      <c r="AA231" s="360">
        <f ca="1">IFERROR(VLOOKUP(IF(V231="T1低",游戏时长规划!$C$67+Z231,Z231),INDIRECT(V231&amp;"星级"),2,TRUE),0)</f>
        <v>0</v>
      </c>
      <c r="AB231" s="375" t="e">
        <f t="shared" ca="1" si="129"/>
        <v>#REF!</v>
      </c>
      <c r="AC231" s="375">
        <f ca="1">($D$14+$D$17)*$L$4/坦克部件养成!$C$2+AC230-IFERROR(IF(RIGHT(AD230,3)*1&gt;RIGHT(VLOOKUP(AC230,INDIRECT(LEFT(AD229,2)&amp;"部件升阶"),5,TRUE),3)*1,VLOOKUP(AD229,INDIRECT(LEFT(AD229,2)&amp;"部件升阶消耗"),2,FALSE),0),0)</f>
        <v>2698.0000000000032</v>
      </c>
      <c r="AD231" s="360" t="e">
        <f t="shared" ca="1" si="130"/>
        <v>#REF!</v>
      </c>
      <c r="AE231" s="375" t="e">
        <f ca="1">$D$15*$L$4/坦克部件养成!$C$2+AE230-IF(LEFT(AD231,2)&lt;&gt;LEFT(AD230,2),VLOOKUP(AF230,INDIRECT(LEFT(AD230,2)&amp;"部件升级消耗"),5,FALSE),0)</f>
        <v>#REF!</v>
      </c>
      <c r="AF231" s="360" t="e">
        <f ca="1">MIN(VLOOKUP(AE231,INDIRECT(LEFT(AD231,2)&amp;"部件升级"),2,TRUE),VLOOKUP(LEFT(AD231,2),坦克部件养成!#REF!,6,FALSE))</f>
        <v>#REF!</v>
      </c>
      <c r="AG231" s="378" t="e">
        <f ca="1">MAX(BD$4:BD231)</f>
        <v>#REF!</v>
      </c>
      <c r="AH231" s="378" t="str">
        <f t="shared" ca="1" si="131"/>
        <v/>
      </c>
      <c r="AI231" s="378">
        <f ca="1">IF(Y231="NULL",0,MAX(BY$4:BY231))</f>
        <v>0</v>
      </c>
      <c r="AK231" s="364" t="e">
        <f t="shared" ca="1" si="132"/>
        <v>#REF!</v>
      </c>
      <c r="AL231" s="364" t="e">
        <f ca="1">VLOOKUP(AK231,坦克个性化设定!$B$18:$F$48,5,FALSE)</f>
        <v>#REF!</v>
      </c>
      <c r="AM231" s="372" t="e">
        <f t="shared" ca="1" si="133"/>
        <v>#REF!</v>
      </c>
      <c r="AN231" s="372" t="e">
        <f t="shared" ca="1" si="141"/>
        <v>#REF!</v>
      </c>
      <c r="AO231" s="364">
        <f t="shared" ca="1" si="134"/>
        <v>0</v>
      </c>
      <c r="AP231" s="372" t="e">
        <f ca="1">VLOOKUP($AK231&amp;$AO231,所有坦克升星属性,MATCH(AP$3,所有坦克升星属性标头,0),FALSE)+ROUND(AU231/VLOOKUP($AK231,坦克部件!#REF!,4,FALSE)*VLOOKUP($AK231&amp;0,所有坦克升星属性,MATCH(AP$3,所有坦克升星属性标头,0),FALSE),0)</f>
        <v>#REF!</v>
      </c>
      <c r="AQ231" s="372" t="e">
        <f ca="1">VLOOKUP($AK231&amp;$AO231,所有坦克升星属性,MATCH(AQ$3,所有坦克升星属性标头,0),FALSE)+ROUND(AV231/VLOOKUP($AK231,坦克部件!#REF!,4,FALSE)*VLOOKUP($AK231&amp;0,所有坦克升星属性,MATCH(AQ$3,所有坦克升星属性标头,0),FALSE),0)</f>
        <v>#REF!</v>
      </c>
      <c r="AR231" s="372" t="e">
        <f t="shared" ca="1" si="154"/>
        <v>#REF!</v>
      </c>
      <c r="AS231" s="372" t="e">
        <f t="shared" ca="1" si="154"/>
        <v>#REF!</v>
      </c>
      <c r="AT231" s="372" t="e">
        <f ca="1">VLOOKUP($AK231&amp;$AO231,所有坦克升星属性,MATCH(AT$3,所有坦克升星属性标头,0),FALSE)+ROUND(AW231/VLOOKUP($AK231,坦克部件!#REF!,4,FALSE)*VLOOKUP($AK231&amp;0,所有坦克升星属性,MATCH(AT$3,所有坦克升星属性标头,0),FALSE),0)</f>
        <v>#REF!</v>
      </c>
      <c r="AU231" s="372" t="e">
        <f ca="1">(VLOOKUP($AM231,坦克部件!#REF!,MATCH("标准值",坦克部件!#REF!,0),FALSE)+VLOOKUP($AN231,坦克部件!#REF!,MATCH("标准值",坦克部件!#REF!,0),FALSE))*2</f>
        <v>#REF!</v>
      </c>
      <c r="AV231" s="372" t="e">
        <f ca="1">(VLOOKUP($AM231,坦克部件!#REF!,MATCH("标准值",坦克部件!#REF!,0),FALSE)+VLOOKUP($AN231,坦克部件!#REF!,MATCH("标准值",坦克部件!#REF!,0),FALSE))*2</f>
        <v>#REF!</v>
      </c>
      <c r="AW231" s="372" t="e">
        <f ca="1">(VLOOKUP($AM231,坦克部件!#REF!,MATCH("标准值",坦克部件!#REF!,0),FALSE)+VLOOKUP($AN231,坦克部件!#REF!,MATCH("标准值",坦克部件!#REF!,0),FALSE))*2</f>
        <v>#REF!</v>
      </c>
      <c r="AX231" s="372" t="e">
        <f ca="1">VLOOKUP($AK231,坦克属性统计!$B$3:$AY$33,MATCH(AX$3,坦克属性统计!$B$3:$AY$3,0),FALSE)</f>
        <v>#REF!</v>
      </c>
      <c r="AY231" s="372" t="e">
        <f t="shared" ca="1" si="155"/>
        <v>#REF!</v>
      </c>
      <c r="AZ231" s="372" t="e">
        <f t="shared" ca="1" si="155"/>
        <v>#REF!</v>
      </c>
      <c r="BA231" s="372" t="e">
        <f t="shared" ca="1" si="155"/>
        <v>#REF!</v>
      </c>
      <c r="BB231" s="356" t="e">
        <f t="shared" ca="1" si="135"/>
        <v>#REF!</v>
      </c>
      <c r="BC231" s="356" t="e">
        <f ca="1">VLOOKUP(AK231,坦克个性化设定!$B$18:$E$48,4,FALSE)</f>
        <v>#REF!</v>
      </c>
      <c r="BD231" s="357" t="e">
        <f t="shared" ca="1" si="142"/>
        <v>#REF!</v>
      </c>
      <c r="BF231" s="357" t="str">
        <f t="shared" ca="1" si="136"/>
        <v/>
      </c>
      <c r="BG231" s="372" t="str">
        <f ca="1">IFERROR(VLOOKUP(BF231,坦克个性化设定!$B$18:$F$48,5,FALSE),"")</f>
        <v/>
      </c>
      <c r="BH231" s="372" t="e">
        <f t="shared" ca="1" si="143"/>
        <v>#REF!</v>
      </c>
      <c r="BI231" s="372" t="e">
        <f t="shared" ca="1" si="144"/>
        <v>#REF!</v>
      </c>
      <c r="BJ231" s="364" t="str">
        <f t="shared" ca="1" si="137"/>
        <v>NULL</v>
      </c>
      <c r="BK231" s="372" t="e">
        <f ca="1">VLOOKUP($BF231&amp;IF($BJ231="NULL",0,$BJ231),所有坦克升星属性,MATCH(BK$3,所有坦克升星属性标头,0),FALSE)+ROUND(BP231/VLOOKUP($BF231,坦克部件!#REF!,4,FALSE)*VLOOKUP($BF231&amp;0,所有坦克升星属性,MATCH(BK$3,所有坦克升星属性标头,0),FALSE),0)</f>
        <v>#N/A</v>
      </c>
      <c r="BL231" s="372" t="e">
        <f ca="1">VLOOKUP($BF231&amp;IF($BJ231="NULL",0,$BJ231),所有坦克升星属性,MATCH(BL$3,所有坦克升星属性标头,0),FALSE)+ROUND(BQ231/VLOOKUP($BF231,坦克部件!#REF!,4,FALSE)*VLOOKUP($BF231&amp;0,所有坦克升星属性,MATCH(BL$3,所有坦克升星属性标头,0),FALSE),0)</f>
        <v>#N/A</v>
      </c>
      <c r="BM231" s="372" t="e">
        <f t="shared" ca="1" si="156"/>
        <v>#N/A</v>
      </c>
      <c r="BN231" s="372" t="e">
        <f t="shared" ca="1" si="156"/>
        <v>#N/A</v>
      </c>
      <c r="BO231" s="372" t="e">
        <f ca="1">VLOOKUP($BF231&amp;IF($BJ231="NULL",0,$BJ231),所有坦克升星属性,MATCH(BO$3,所有坦克升星属性标头,0),FALSE)+ROUND(BR231/VLOOKUP($BF231,坦克部件!#REF!,4,FALSE)*VLOOKUP($BF231&amp;0,所有坦克升星属性,MATCH(BO$3,所有坦克升星属性标头,0),FALSE),0)</f>
        <v>#N/A</v>
      </c>
      <c r="BP231" s="372" t="e">
        <f ca="1">(VLOOKUP($BH231,坦克部件!#REF!,MATCH("标准值",坦克部件!#REF!,0),FALSE)+VLOOKUP($BI231,坦克部件!#REF!,MATCH("标准值",坦克部件!#REF!,0),FALSE))*2</f>
        <v>#REF!</v>
      </c>
      <c r="BQ231" s="372" t="e">
        <f ca="1">(VLOOKUP($BH231,坦克部件!#REF!,MATCH("标准值",坦克部件!#REF!,0),FALSE)+VLOOKUP($BI231,坦克部件!#REF!,MATCH("标准值",坦克部件!#REF!,0),FALSE))*2</f>
        <v>#REF!</v>
      </c>
      <c r="BR231" s="372" t="e">
        <f ca="1">(VLOOKUP($BH231,坦克部件!#REF!,MATCH("标准值",坦克部件!#REF!,0),FALSE)+VLOOKUP($BI231,坦克部件!#REF!,MATCH("标准值",坦克部件!#REF!,0),FALSE))*2</f>
        <v>#REF!</v>
      </c>
      <c r="BS231" s="372" t="e">
        <f ca="1">VLOOKUP($BF231,坦克属性统计!$B$3:$AY$33,MATCH(BS$3,坦克属性统计!$B$3:$AY$3,0),FALSE)</f>
        <v>#N/A</v>
      </c>
      <c r="BT231" s="372" t="e">
        <f t="shared" ca="1" si="157"/>
        <v>#N/A</v>
      </c>
      <c r="BU231" s="372" t="e">
        <f t="shared" ca="1" si="157"/>
        <v>#N/A</v>
      </c>
      <c r="BV231" s="372" t="e">
        <f t="shared" ca="1" si="157"/>
        <v>#N/A</v>
      </c>
      <c r="BW231" s="356">
        <f t="shared" ca="1" si="138"/>
        <v>0</v>
      </c>
      <c r="BX231" s="356" t="e">
        <f ca="1">VLOOKUP(BF231,坦克个性化设定!$B$18:$E$48,4,FALSE)</f>
        <v>#N/A</v>
      </c>
      <c r="BY231" s="357" t="e">
        <f t="shared" ca="1" si="145"/>
        <v>#N/A</v>
      </c>
    </row>
    <row r="232" spans="15:77" x14ac:dyDescent="0.35">
      <c r="O232" s="365">
        <v>229</v>
      </c>
      <c r="P232" s="360" t="e">
        <f t="shared" ca="1" si="152"/>
        <v>#REF!</v>
      </c>
      <c r="Q232" s="360" t="e">
        <f ca="1">ROUND(MIN((BD232-VLOOKUP(R232,$B$22:$F$46,2,FALSE))/(VLOOKUP(R232,$B$22:$F$46,3,FALSE)-VLOOKUP(R232,$B$22:$F$46,2,FALSE)),1)*((VLOOKUP(R232,$B$22:$F$46,4,FALSE)*(AG232/(AG232+VLOOKUP(P232,$D$49:$F$123,3,TRUE)))+VLOOKUP(R232,$B$22:$F$46,5,FALSE)*(1-AG232/(AG232+VLOOKUP(P232,$D$49:$F$123,3,TRUE))))/2)*游戏时长规划!$C$4,0)</f>
        <v>#REF!</v>
      </c>
      <c r="R232" s="360" t="e">
        <f t="shared" ca="1" si="125"/>
        <v>#REF!</v>
      </c>
      <c r="S232" s="360" t="e">
        <f t="shared" ca="1" si="146"/>
        <v>#REF!</v>
      </c>
      <c r="T232" s="360" t="e">
        <f t="shared" ca="1" si="153"/>
        <v>#REF!</v>
      </c>
      <c r="U232" s="370" t="e">
        <f t="shared" ca="1" si="126"/>
        <v>#REF!</v>
      </c>
      <c r="V232" s="363" t="e">
        <f t="shared" ca="1" si="147"/>
        <v>#REF!</v>
      </c>
      <c r="W232" s="360" t="e">
        <f t="shared" ca="1" si="127"/>
        <v>#REF!</v>
      </c>
      <c r="X232" s="81" t="e">
        <f t="shared" ca="1" si="139"/>
        <v>#REF!</v>
      </c>
      <c r="Y232" s="360" t="str">
        <f t="shared" ca="1" si="128"/>
        <v>NULL</v>
      </c>
      <c r="Z232" s="375" t="e">
        <f t="shared" ca="1" si="140"/>
        <v>#REF!</v>
      </c>
      <c r="AA232" s="360">
        <f ca="1">IFERROR(VLOOKUP(IF(V232="T1低",游戏时长规划!$C$67+Z232,Z232),INDIRECT(V232&amp;"星级"),2,TRUE),0)</f>
        <v>0</v>
      </c>
      <c r="AB232" s="375" t="e">
        <f t="shared" ca="1" si="129"/>
        <v>#REF!</v>
      </c>
      <c r="AC232" s="375">
        <f ca="1">($D$14+$D$17)*$L$4/坦克部件养成!$C$2+AC231-IFERROR(IF(RIGHT(AD231,3)*1&gt;RIGHT(VLOOKUP(AC231,INDIRECT(LEFT(AD230,2)&amp;"部件升阶"),5,TRUE),3)*1,VLOOKUP(AD230,INDIRECT(LEFT(AD230,2)&amp;"部件升阶消耗"),2,FALSE),0),0)</f>
        <v>2709.8333333333367</v>
      </c>
      <c r="AD232" s="360" t="e">
        <f t="shared" ca="1" si="130"/>
        <v>#REF!</v>
      </c>
      <c r="AE232" s="375" t="e">
        <f ca="1">$D$15*$L$4/坦克部件养成!$C$2+AE231-IF(LEFT(AD232,2)&lt;&gt;LEFT(AD231,2),VLOOKUP(AF231,INDIRECT(LEFT(AD231,2)&amp;"部件升级消耗"),5,FALSE),0)</f>
        <v>#REF!</v>
      </c>
      <c r="AF232" s="360" t="e">
        <f ca="1">MIN(VLOOKUP(AE232,INDIRECT(LEFT(AD232,2)&amp;"部件升级"),2,TRUE),VLOOKUP(LEFT(AD232,2),坦克部件养成!#REF!,6,FALSE))</f>
        <v>#REF!</v>
      </c>
      <c r="AG232" s="378" t="e">
        <f ca="1">MAX(BD$4:BD232)</f>
        <v>#REF!</v>
      </c>
      <c r="AH232" s="378" t="str">
        <f t="shared" ca="1" si="131"/>
        <v/>
      </c>
      <c r="AI232" s="378">
        <f ca="1">IF(Y232="NULL",0,MAX(BY$4:BY232))</f>
        <v>0</v>
      </c>
      <c r="AK232" s="364" t="e">
        <f t="shared" ca="1" si="132"/>
        <v>#REF!</v>
      </c>
      <c r="AL232" s="364" t="e">
        <f ca="1">VLOOKUP(AK232,坦克个性化设定!$B$18:$F$48,5,FALSE)</f>
        <v>#REF!</v>
      </c>
      <c r="AM232" s="372" t="e">
        <f t="shared" ca="1" si="133"/>
        <v>#REF!</v>
      </c>
      <c r="AN232" s="372" t="e">
        <f t="shared" ca="1" si="141"/>
        <v>#REF!</v>
      </c>
      <c r="AO232" s="364">
        <f t="shared" ca="1" si="134"/>
        <v>0</v>
      </c>
      <c r="AP232" s="372" t="e">
        <f ca="1">VLOOKUP($AK232&amp;$AO232,所有坦克升星属性,MATCH(AP$3,所有坦克升星属性标头,0),FALSE)+ROUND(AU232/VLOOKUP($AK232,坦克部件!#REF!,4,FALSE)*VLOOKUP($AK232&amp;0,所有坦克升星属性,MATCH(AP$3,所有坦克升星属性标头,0),FALSE),0)</f>
        <v>#REF!</v>
      </c>
      <c r="AQ232" s="372" t="e">
        <f ca="1">VLOOKUP($AK232&amp;$AO232,所有坦克升星属性,MATCH(AQ$3,所有坦克升星属性标头,0),FALSE)+ROUND(AV232/VLOOKUP($AK232,坦克部件!#REF!,4,FALSE)*VLOOKUP($AK232&amp;0,所有坦克升星属性,MATCH(AQ$3,所有坦克升星属性标头,0),FALSE),0)</f>
        <v>#REF!</v>
      </c>
      <c r="AR232" s="372" t="e">
        <f t="shared" ca="1" si="154"/>
        <v>#REF!</v>
      </c>
      <c r="AS232" s="372" t="e">
        <f t="shared" ca="1" si="154"/>
        <v>#REF!</v>
      </c>
      <c r="AT232" s="372" t="e">
        <f ca="1">VLOOKUP($AK232&amp;$AO232,所有坦克升星属性,MATCH(AT$3,所有坦克升星属性标头,0),FALSE)+ROUND(AW232/VLOOKUP($AK232,坦克部件!#REF!,4,FALSE)*VLOOKUP($AK232&amp;0,所有坦克升星属性,MATCH(AT$3,所有坦克升星属性标头,0),FALSE),0)</f>
        <v>#REF!</v>
      </c>
      <c r="AU232" s="372" t="e">
        <f ca="1">(VLOOKUP($AM232,坦克部件!#REF!,MATCH("标准值",坦克部件!#REF!,0),FALSE)+VLOOKUP($AN232,坦克部件!#REF!,MATCH("标准值",坦克部件!#REF!,0),FALSE))*2</f>
        <v>#REF!</v>
      </c>
      <c r="AV232" s="372" t="e">
        <f ca="1">(VLOOKUP($AM232,坦克部件!#REF!,MATCH("标准值",坦克部件!#REF!,0),FALSE)+VLOOKUP($AN232,坦克部件!#REF!,MATCH("标准值",坦克部件!#REF!,0),FALSE))*2</f>
        <v>#REF!</v>
      </c>
      <c r="AW232" s="372" t="e">
        <f ca="1">(VLOOKUP($AM232,坦克部件!#REF!,MATCH("标准值",坦克部件!#REF!,0),FALSE)+VLOOKUP($AN232,坦克部件!#REF!,MATCH("标准值",坦克部件!#REF!,0),FALSE))*2</f>
        <v>#REF!</v>
      </c>
      <c r="AX232" s="372" t="e">
        <f ca="1">VLOOKUP($AK232,坦克属性统计!$B$3:$AY$33,MATCH(AX$3,坦克属性统计!$B$3:$AY$3,0),FALSE)</f>
        <v>#REF!</v>
      </c>
      <c r="AY232" s="372" t="e">
        <f t="shared" ca="1" si="155"/>
        <v>#REF!</v>
      </c>
      <c r="AZ232" s="372" t="e">
        <f t="shared" ca="1" si="155"/>
        <v>#REF!</v>
      </c>
      <c r="BA232" s="372" t="e">
        <f t="shared" ca="1" si="155"/>
        <v>#REF!</v>
      </c>
      <c r="BB232" s="356" t="e">
        <f t="shared" ca="1" si="135"/>
        <v>#REF!</v>
      </c>
      <c r="BC232" s="356" t="e">
        <f ca="1">VLOOKUP(AK232,坦克个性化设定!$B$18:$E$48,4,FALSE)</f>
        <v>#REF!</v>
      </c>
      <c r="BD232" s="357" t="e">
        <f t="shared" ca="1" si="142"/>
        <v>#REF!</v>
      </c>
      <c r="BF232" s="357" t="str">
        <f t="shared" ca="1" si="136"/>
        <v/>
      </c>
      <c r="BG232" s="372" t="str">
        <f ca="1">IFERROR(VLOOKUP(BF232,坦克个性化设定!$B$18:$F$48,5,FALSE),"")</f>
        <v/>
      </c>
      <c r="BH232" s="372" t="e">
        <f t="shared" ca="1" si="143"/>
        <v>#REF!</v>
      </c>
      <c r="BI232" s="372" t="e">
        <f t="shared" ca="1" si="144"/>
        <v>#REF!</v>
      </c>
      <c r="BJ232" s="364" t="str">
        <f t="shared" ca="1" si="137"/>
        <v>NULL</v>
      </c>
      <c r="BK232" s="372" t="e">
        <f ca="1">VLOOKUP($BF232&amp;IF($BJ232="NULL",0,$BJ232),所有坦克升星属性,MATCH(BK$3,所有坦克升星属性标头,0),FALSE)+ROUND(BP232/VLOOKUP($BF232,坦克部件!#REF!,4,FALSE)*VLOOKUP($BF232&amp;0,所有坦克升星属性,MATCH(BK$3,所有坦克升星属性标头,0),FALSE),0)</f>
        <v>#N/A</v>
      </c>
      <c r="BL232" s="372" t="e">
        <f ca="1">VLOOKUP($BF232&amp;IF($BJ232="NULL",0,$BJ232),所有坦克升星属性,MATCH(BL$3,所有坦克升星属性标头,0),FALSE)+ROUND(BQ232/VLOOKUP($BF232,坦克部件!#REF!,4,FALSE)*VLOOKUP($BF232&amp;0,所有坦克升星属性,MATCH(BL$3,所有坦克升星属性标头,0),FALSE),0)</f>
        <v>#N/A</v>
      </c>
      <c r="BM232" s="372" t="e">
        <f t="shared" ca="1" si="156"/>
        <v>#N/A</v>
      </c>
      <c r="BN232" s="372" t="e">
        <f t="shared" ca="1" si="156"/>
        <v>#N/A</v>
      </c>
      <c r="BO232" s="372" t="e">
        <f ca="1">VLOOKUP($BF232&amp;IF($BJ232="NULL",0,$BJ232),所有坦克升星属性,MATCH(BO$3,所有坦克升星属性标头,0),FALSE)+ROUND(BR232/VLOOKUP($BF232,坦克部件!#REF!,4,FALSE)*VLOOKUP($BF232&amp;0,所有坦克升星属性,MATCH(BO$3,所有坦克升星属性标头,0),FALSE),0)</f>
        <v>#N/A</v>
      </c>
      <c r="BP232" s="372" t="e">
        <f ca="1">(VLOOKUP($BH232,坦克部件!#REF!,MATCH("标准值",坦克部件!#REF!,0),FALSE)+VLOOKUP($BI232,坦克部件!#REF!,MATCH("标准值",坦克部件!#REF!,0),FALSE))*2</f>
        <v>#REF!</v>
      </c>
      <c r="BQ232" s="372" t="e">
        <f ca="1">(VLOOKUP($BH232,坦克部件!#REF!,MATCH("标准值",坦克部件!#REF!,0),FALSE)+VLOOKUP($BI232,坦克部件!#REF!,MATCH("标准值",坦克部件!#REF!,0),FALSE))*2</f>
        <v>#REF!</v>
      </c>
      <c r="BR232" s="372" t="e">
        <f ca="1">(VLOOKUP($BH232,坦克部件!#REF!,MATCH("标准值",坦克部件!#REF!,0),FALSE)+VLOOKUP($BI232,坦克部件!#REF!,MATCH("标准值",坦克部件!#REF!,0),FALSE))*2</f>
        <v>#REF!</v>
      </c>
      <c r="BS232" s="372" t="e">
        <f ca="1">VLOOKUP($BF232,坦克属性统计!$B$3:$AY$33,MATCH(BS$3,坦克属性统计!$B$3:$AY$3,0),FALSE)</f>
        <v>#N/A</v>
      </c>
      <c r="BT232" s="372" t="e">
        <f t="shared" ca="1" si="157"/>
        <v>#N/A</v>
      </c>
      <c r="BU232" s="372" t="e">
        <f t="shared" ca="1" si="157"/>
        <v>#N/A</v>
      </c>
      <c r="BV232" s="372" t="e">
        <f t="shared" ca="1" si="157"/>
        <v>#N/A</v>
      </c>
      <c r="BW232" s="356">
        <f t="shared" ca="1" si="138"/>
        <v>0</v>
      </c>
      <c r="BX232" s="356" t="e">
        <f ca="1">VLOOKUP(BF232,坦克个性化设定!$B$18:$E$48,4,FALSE)</f>
        <v>#N/A</v>
      </c>
      <c r="BY232" s="357" t="e">
        <f t="shared" ca="1" si="145"/>
        <v>#N/A</v>
      </c>
    </row>
    <row r="233" spans="15:77" x14ac:dyDescent="0.35">
      <c r="O233" s="365">
        <v>230</v>
      </c>
      <c r="P233" s="360" t="e">
        <f t="shared" ca="1" si="152"/>
        <v>#REF!</v>
      </c>
      <c r="Q233" s="360" t="e">
        <f ca="1">ROUND(MIN((BD233-VLOOKUP(R233,$B$22:$F$46,2,FALSE))/(VLOOKUP(R233,$B$22:$F$46,3,FALSE)-VLOOKUP(R233,$B$22:$F$46,2,FALSE)),1)*((VLOOKUP(R233,$B$22:$F$46,4,FALSE)*(AG233/(AG233+VLOOKUP(P233,$D$49:$F$123,3,TRUE)))+VLOOKUP(R233,$B$22:$F$46,5,FALSE)*(1-AG233/(AG233+VLOOKUP(P233,$D$49:$F$123,3,TRUE))))/2)*游戏时长规划!$C$4,0)</f>
        <v>#REF!</v>
      </c>
      <c r="R233" s="360" t="e">
        <f t="shared" ca="1" si="125"/>
        <v>#REF!</v>
      </c>
      <c r="S233" s="360" t="e">
        <f t="shared" ca="1" si="146"/>
        <v>#REF!</v>
      </c>
      <c r="T233" s="360" t="e">
        <f t="shared" ca="1" si="153"/>
        <v>#REF!</v>
      </c>
      <c r="U233" s="370" t="e">
        <f t="shared" ca="1" si="126"/>
        <v>#REF!</v>
      </c>
      <c r="V233" s="363" t="e">
        <f t="shared" ca="1" si="147"/>
        <v>#REF!</v>
      </c>
      <c r="W233" s="360" t="e">
        <f t="shared" ca="1" si="127"/>
        <v>#REF!</v>
      </c>
      <c r="X233" s="81" t="e">
        <f t="shared" ca="1" si="139"/>
        <v>#REF!</v>
      </c>
      <c r="Y233" s="360" t="str">
        <f t="shared" ca="1" si="128"/>
        <v>NULL</v>
      </c>
      <c r="Z233" s="375" t="e">
        <f t="shared" ca="1" si="140"/>
        <v>#REF!</v>
      </c>
      <c r="AA233" s="360">
        <f ca="1">IFERROR(VLOOKUP(IF(V233="T1低",游戏时长规划!$C$67+Z233,Z233),INDIRECT(V233&amp;"星级"),2,TRUE),0)</f>
        <v>0</v>
      </c>
      <c r="AB233" s="375" t="e">
        <f t="shared" ca="1" si="129"/>
        <v>#REF!</v>
      </c>
      <c r="AC233" s="375">
        <f ca="1">($D$14+$D$17)*$L$4/坦克部件养成!$C$2+AC232-IFERROR(IF(RIGHT(AD232,3)*1&gt;RIGHT(VLOOKUP(AC232,INDIRECT(LEFT(AD231,2)&amp;"部件升阶"),5,TRUE),3)*1,VLOOKUP(AD231,INDIRECT(LEFT(AD231,2)&amp;"部件升阶消耗"),2,FALSE),0),0)</f>
        <v>2721.6666666666702</v>
      </c>
      <c r="AD233" s="360" t="e">
        <f t="shared" ca="1" si="130"/>
        <v>#REF!</v>
      </c>
      <c r="AE233" s="375" t="e">
        <f ca="1">$D$15*$L$4/坦克部件养成!$C$2+AE232-IF(LEFT(AD233,2)&lt;&gt;LEFT(AD232,2),VLOOKUP(AF232,INDIRECT(LEFT(AD232,2)&amp;"部件升级消耗"),5,FALSE),0)</f>
        <v>#REF!</v>
      </c>
      <c r="AF233" s="360" t="e">
        <f ca="1">MIN(VLOOKUP(AE233,INDIRECT(LEFT(AD233,2)&amp;"部件升级"),2,TRUE),VLOOKUP(LEFT(AD233,2),坦克部件养成!#REF!,6,FALSE))</f>
        <v>#REF!</v>
      </c>
      <c r="AG233" s="378" t="e">
        <f ca="1">MAX(BD$4:BD233)</f>
        <v>#REF!</v>
      </c>
      <c r="AH233" s="378" t="str">
        <f t="shared" ca="1" si="131"/>
        <v/>
      </c>
      <c r="AI233" s="378">
        <f ca="1">IF(Y233="NULL",0,MAX(BY$4:BY233))</f>
        <v>0</v>
      </c>
      <c r="AK233" s="364" t="e">
        <f t="shared" ca="1" si="132"/>
        <v>#REF!</v>
      </c>
      <c r="AL233" s="364" t="e">
        <f ca="1">VLOOKUP(AK233,坦克个性化设定!$B$18:$F$48,5,FALSE)</f>
        <v>#REF!</v>
      </c>
      <c r="AM233" s="372" t="e">
        <f t="shared" ca="1" si="133"/>
        <v>#REF!</v>
      </c>
      <c r="AN233" s="372" t="e">
        <f t="shared" ca="1" si="141"/>
        <v>#REF!</v>
      </c>
      <c r="AO233" s="364">
        <f t="shared" ca="1" si="134"/>
        <v>0</v>
      </c>
      <c r="AP233" s="372" t="e">
        <f ca="1">VLOOKUP($AK233&amp;$AO233,所有坦克升星属性,MATCH(AP$3,所有坦克升星属性标头,0),FALSE)+ROUND(AU233/VLOOKUP($AK233,坦克部件!#REF!,4,FALSE)*VLOOKUP($AK233&amp;0,所有坦克升星属性,MATCH(AP$3,所有坦克升星属性标头,0),FALSE),0)</f>
        <v>#REF!</v>
      </c>
      <c r="AQ233" s="372" t="e">
        <f ca="1">VLOOKUP($AK233&amp;$AO233,所有坦克升星属性,MATCH(AQ$3,所有坦克升星属性标头,0),FALSE)+ROUND(AV233/VLOOKUP($AK233,坦克部件!#REF!,4,FALSE)*VLOOKUP($AK233&amp;0,所有坦克升星属性,MATCH(AQ$3,所有坦克升星属性标头,0),FALSE),0)</f>
        <v>#REF!</v>
      </c>
      <c r="AR233" s="372" t="e">
        <f t="shared" ca="1" si="154"/>
        <v>#REF!</v>
      </c>
      <c r="AS233" s="372" t="e">
        <f t="shared" ca="1" si="154"/>
        <v>#REF!</v>
      </c>
      <c r="AT233" s="372" t="e">
        <f ca="1">VLOOKUP($AK233&amp;$AO233,所有坦克升星属性,MATCH(AT$3,所有坦克升星属性标头,0),FALSE)+ROUND(AW233/VLOOKUP($AK233,坦克部件!#REF!,4,FALSE)*VLOOKUP($AK233&amp;0,所有坦克升星属性,MATCH(AT$3,所有坦克升星属性标头,0),FALSE),0)</f>
        <v>#REF!</v>
      </c>
      <c r="AU233" s="372" t="e">
        <f ca="1">(VLOOKUP($AM233,坦克部件!#REF!,MATCH("标准值",坦克部件!#REF!,0),FALSE)+VLOOKUP($AN233,坦克部件!#REF!,MATCH("标准值",坦克部件!#REF!,0),FALSE))*2</f>
        <v>#REF!</v>
      </c>
      <c r="AV233" s="372" t="e">
        <f ca="1">(VLOOKUP($AM233,坦克部件!#REF!,MATCH("标准值",坦克部件!#REF!,0),FALSE)+VLOOKUP($AN233,坦克部件!#REF!,MATCH("标准值",坦克部件!#REF!,0),FALSE))*2</f>
        <v>#REF!</v>
      </c>
      <c r="AW233" s="372" t="e">
        <f ca="1">(VLOOKUP($AM233,坦克部件!#REF!,MATCH("标准值",坦克部件!#REF!,0),FALSE)+VLOOKUP($AN233,坦克部件!#REF!,MATCH("标准值",坦克部件!#REF!,0),FALSE))*2</f>
        <v>#REF!</v>
      </c>
      <c r="AX233" s="372" t="e">
        <f ca="1">VLOOKUP($AK233,坦克属性统计!$B$3:$AY$33,MATCH(AX$3,坦克属性统计!$B$3:$AY$3,0),FALSE)</f>
        <v>#REF!</v>
      </c>
      <c r="AY233" s="372" t="e">
        <f t="shared" ca="1" si="155"/>
        <v>#REF!</v>
      </c>
      <c r="AZ233" s="372" t="e">
        <f t="shared" ca="1" si="155"/>
        <v>#REF!</v>
      </c>
      <c r="BA233" s="372" t="e">
        <f t="shared" ca="1" si="155"/>
        <v>#REF!</v>
      </c>
      <c r="BB233" s="356" t="e">
        <f t="shared" ca="1" si="135"/>
        <v>#REF!</v>
      </c>
      <c r="BC233" s="356" t="e">
        <f ca="1">VLOOKUP(AK233,坦克个性化设定!$B$18:$E$48,4,FALSE)</f>
        <v>#REF!</v>
      </c>
      <c r="BD233" s="357" t="e">
        <f t="shared" ca="1" si="142"/>
        <v>#REF!</v>
      </c>
      <c r="BF233" s="357" t="str">
        <f t="shared" ca="1" si="136"/>
        <v/>
      </c>
      <c r="BG233" s="372" t="str">
        <f ca="1">IFERROR(VLOOKUP(BF233,坦克个性化设定!$B$18:$F$48,5,FALSE),"")</f>
        <v/>
      </c>
      <c r="BH233" s="372" t="e">
        <f t="shared" ca="1" si="143"/>
        <v>#REF!</v>
      </c>
      <c r="BI233" s="372" t="e">
        <f t="shared" ca="1" si="144"/>
        <v>#REF!</v>
      </c>
      <c r="BJ233" s="364" t="str">
        <f t="shared" ca="1" si="137"/>
        <v>NULL</v>
      </c>
      <c r="BK233" s="372" t="e">
        <f ca="1">VLOOKUP($BF233&amp;IF($BJ233="NULL",0,$BJ233),所有坦克升星属性,MATCH(BK$3,所有坦克升星属性标头,0),FALSE)+ROUND(BP233/VLOOKUP($BF233,坦克部件!#REF!,4,FALSE)*VLOOKUP($BF233&amp;0,所有坦克升星属性,MATCH(BK$3,所有坦克升星属性标头,0),FALSE),0)</f>
        <v>#N/A</v>
      </c>
      <c r="BL233" s="372" t="e">
        <f ca="1">VLOOKUP($BF233&amp;IF($BJ233="NULL",0,$BJ233),所有坦克升星属性,MATCH(BL$3,所有坦克升星属性标头,0),FALSE)+ROUND(BQ233/VLOOKUP($BF233,坦克部件!#REF!,4,FALSE)*VLOOKUP($BF233&amp;0,所有坦克升星属性,MATCH(BL$3,所有坦克升星属性标头,0),FALSE),0)</f>
        <v>#N/A</v>
      </c>
      <c r="BM233" s="372" t="e">
        <f t="shared" ca="1" si="156"/>
        <v>#N/A</v>
      </c>
      <c r="BN233" s="372" t="e">
        <f t="shared" ca="1" si="156"/>
        <v>#N/A</v>
      </c>
      <c r="BO233" s="372" t="e">
        <f ca="1">VLOOKUP($BF233&amp;IF($BJ233="NULL",0,$BJ233),所有坦克升星属性,MATCH(BO$3,所有坦克升星属性标头,0),FALSE)+ROUND(BR233/VLOOKUP($BF233,坦克部件!#REF!,4,FALSE)*VLOOKUP($BF233&amp;0,所有坦克升星属性,MATCH(BO$3,所有坦克升星属性标头,0),FALSE),0)</f>
        <v>#N/A</v>
      </c>
      <c r="BP233" s="372" t="e">
        <f ca="1">(VLOOKUP($BH233,坦克部件!#REF!,MATCH("标准值",坦克部件!#REF!,0),FALSE)+VLOOKUP($BI233,坦克部件!#REF!,MATCH("标准值",坦克部件!#REF!,0),FALSE))*2</f>
        <v>#REF!</v>
      </c>
      <c r="BQ233" s="372" t="e">
        <f ca="1">(VLOOKUP($BH233,坦克部件!#REF!,MATCH("标准值",坦克部件!#REF!,0),FALSE)+VLOOKUP($BI233,坦克部件!#REF!,MATCH("标准值",坦克部件!#REF!,0),FALSE))*2</f>
        <v>#REF!</v>
      </c>
      <c r="BR233" s="372" t="e">
        <f ca="1">(VLOOKUP($BH233,坦克部件!#REF!,MATCH("标准值",坦克部件!#REF!,0),FALSE)+VLOOKUP($BI233,坦克部件!#REF!,MATCH("标准值",坦克部件!#REF!,0),FALSE))*2</f>
        <v>#REF!</v>
      </c>
      <c r="BS233" s="372" t="e">
        <f ca="1">VLOOKUP($BF233,坦克属性统计!$B$3:$AY$33,MATCH(BS$3,坦克属性统计!$B$3:$AY$3,0),FALSE)</f>
        <v>#N/A</v>
      </c>
      <c r="BT233" s="372" t="e">
        <f t="shared" ca="1" si="157"/>
        <v>#N/A</v>
      </c>
      <c r="BU233" s="372" t="e">
        <f t="shared" ca="1" si="157"/>
        <v>#N/A</v>
      </c>
      <c r="BV233" s="372" t="e">
        <f t="shared" ca="1" si="157"/>
        <v>#N/A</v>
      </c>
      <c r="BW233" s="356">
        <f t="shared" ca="1" si="138"/>
        <v>0</v>
      </c>
      <c r="BX233" s="356" t="e">
        <f ca="1">VLOOKUP(BF233,坦克个性化设定!$B$18:$E$48,4,FALSE)</f>
        <v>#N/A</v>
      </c>
      <c r="BY233" s="357" t="e">
        <f t="shared" ca="1" si="145"/>
        <v>#N/A</v>
      </c>
    </row>
    <row r="234" spans="15:77" x14ac:dyDescent="0.35">
      <c r="O234" s="365">
        <v>231</v>
      </c>
      <c r="P234" s="360" t="e">
        <f t="shared" ca="1" si="152"/>
        <v>#REF!</v>
      </c>
      <c r="Q234" s="360" t="e">
        <f ca="1">ROUND(MIN((BD234-VLOOKUP(R234,$B$22:$F$46,2,FALSE))/(VLOOKUP(R234,$B$22:$F$46,3,FALSE)-VLOOKUP(R234,$B$22:$F$46,2,FALSE)),1)*((VLOOKUP(R234,$B$22:$F$46,4,FALSE)*(AG234/(AG234+VLOOKUP(P234,$D$49:$F$123,3,TRUE)))+VLOOKUP(R234,$B$22:$F$46,5,FALSE)*(1-AG234/(AG234+VLOOKUP(P234,$D$49:$F$123,3,TRUE))))/2)*游戏时长规划!$C$4,0)</f>
        <v>#REF!</v>
      </c>
      <c r="R234" s="360" t="e">
        <f t="shared" ca="1" si="125"/>
        <v>#REF!</v>
      </c>
      <c r="S234" s="360" t="e">
        <f t="shared" ca="1" si="146"/>
        <v>#REF!</v>
      </c>
      <c r="T234" s="360" t="e">
        <f t="shared" ca="1" si="153"/>
        <v>#REF!</v>
      </c>
      <c r="U234" s="370" t="e">
        <f t="shared" ca="1" si="126"/>
        <v>#REF!</v>
      </c>
      <c r="V234" s="363" t="e">
        <f t="shared" ca="1" si="147"/>
        <v>#REF!</v>
      </c>
      <c r="W234" s="360" t="e">
        <f t="shared" ca="1" si="127"/>
        <v>#REF!</v>
      </c>
      <c r="X234" s="81" t="e">
        <f t="shared" ca="1" si="139"/>
        <v>#REF!</v>
      </c>
      <c r="Y234" s="360" t="str">
        <f t="shared" ca="1" si="128"/>
        <v>NULL</v>
      </c>
      <c r="Z234" s="375" t="e">
        <f t="shared" ca="1" si="140"/>
        <v>#REF!</v>
      </c>
      <c r="AA234" s="360">
        <f ca="1">IFERROR(VLOOKUP(IF(V234="T1低",游戏时长规划!$C$67+Z234,Z234),INDIRECT(V234&amp;"星级"),2,TRUE),0)</f>
        <v>0</v>
      </c>
      <c r="AB234" s="375" t="e">
        <f t="shared" ca="1" si="129"/>
        <v>#REF!</v>
      </c>
      <c r="AC234" s="375">
        <f ca="1">($D$14+$D$17)*$L$4/坦克部件养成!$C$2+AC233-IFERROR(IF(RIGHT(AD233,3)*1&gt;RIGHT(VLOOKUP(AC233,INDIRECT(LEFT(AD232,2)&amp;"部件升阶"),5,TRUE),3)*1,VLOOKUP(AD232,INDIRECT(LEFT(AD232,2)&amp;"部件升阶消耗"),2,FALSE),0),0)</f>
        <v>2733.5000000000036</v>
      </c>
      <c r="AD234" s="360" t="e">
        <f t="shared" ca="1" si="130"/>
        <v>#REF!</v>
      </c>
      <c r="AE234" s="375" t="e">
        <f ca="1">$D$15*$L$4/坦克部件养成!$C$2+AE233-IF(LEFT(AD234,2)&lt;&gt;LEFT(AD233,2),VLOOKUP(AF233,INDIRECT(LEFT(AD233,2)&amp;"部件升级消耗"),5,FALSE),0)</f>
        <v>#REF!</v>
      </c>
      <c r="AF234" s="360" t="e">
        <f ca="1">MIN(VLOOKUP(AE234,INDIRECT(LEFT(AD234,2)&amp;"部件升级"),2,TRUE),VLOOKUP(LEFT(AD234,2),坦克部件养成!#REF!,6,FALSE))</f>
        <v>#REF!</v>
      </c>
      <c r="AG234" s="378" t="e">
        <f ca="1">MAX(BD$4:BD234)</f>
        <v>#REF!</v>
      </c>
      <c r="AH234" s="378" t="str">
        <f t="shared" ca="1" si="131"/>
        <v/>
      </c>
      <c r="AI234" s="378">
        <f ca="1">IF(Y234="NULL",0,MAX(BY$4:BY234))</f>
        <v>0</v>
      </c>
      <c r="AK234" s="364" t="e">
        <f t="shared" ca="1" si="132"/>
        <v>#REF!</v>
      </c>
      <c r="AL234" s="364" t="e">
        <f ca="1">VLOOKUP(AK234,坦克个性化设定!$B$18:$F$48,5,FALSE)</f>
        <v>#REF!</v>
      </c>
      <c r="AM234" s="372" t="e">
        <f t="shared" ca="1" si="133"/>
        <v>#REF!</v>
      </c>
      <c r="AN234" s="372" t="e">
        <f t="shared" ca="1" si="141"/>
        <v>#REF!</v>
      </c>
      <c r="AO234" s="364">
        <f t="shared" ca="1" si="134"/>
        <v>0</v>
      </c>
      <c r="AP234" s="372" t="e">
        <f ca="1">VLOOKUP($AK234&amp;$AO234,所有坦克升星属性,MATCH(AP$3,所有坦克升星属性标头,0),FALSE)+ROUND(AU234/VLOOKUP($AK234,坦克部件!#REF!,4,FALSE)*VLOOKUP($AK234&amp;0,所有坦克升星属性,MATCH(AP$3,所有坦克升星属性标头,0),FALSE),0)</f>
        <v>#REF!</v>
      </c>
      <c r="AQ234" s="372" t="e">
        <f ca="1">VLOOKUP($AK234&amp;$AO234,所有坦克升星属性,MATCH(AQ$3,所有坦克升星属性标头,0),FALSE)+ROUND(AV234/VLOOKUP($AK234,坦克部件!#REF!,4,FALSE)*VLOOKUP($AK234&amp;0,所有坦克升星属性,MATCH(AQ$3,所有坦克升星属性标头,0),FALSE),0)</f>
        <v>#REF!</v>
      </c>
      <c r="AR234" s="372" t="e">
        <f t="shared" ca="1" si="154"/>
        <v>#REF!</v>
      </c>
      <c r="AS234" s="372" t="e">
        <f t="shared" ca="1" si="154"/>
        <v>#REF!</v>
      </c>
      <c r="AT234" s="372" t="e">
        <f ca="1">VLOOKUP($AK234&amp;$AO234,所有坦克升星属性,MATCH(AT$3,所有坦克升星属性标头,0),FALSE)+ROUND(AW234/VLOOKUP($AK234,坦克部件!#REF!,4,FALSE)*VLOOKUP($AK234&amp;0,所有坦克升星属性,MATCH(AT$3,所有坦克升星属性标头,0),FALSE),0)</f>
        <v>#REF!</v>
      </c>
      <c r="AU234" s="372" t="e">
        <f ca="1">(VLOOKUP($AM234,坦克部件!#REF!,MATCH("标准值",坦克部件!#REF!,0),FALSE)+VLOOKUP($AN234,坦克部件!#REF!,MATCH("标准值",坦克部件!#REF!,0),FALSE))*2</f>
        <v>#REF!</v>
      </c>
      <c r="AV234" s="372" t="e">
        <f ca="1">(VLOOKUP($AM234,坦克部件!#REF!,MATCH("标准值",坦克部件!#REF!,0),FALSE)+VLOOKUP($AN234,坦克部件!#REF!,MATCH("标准值",坦克部件!#REF!,0),FALSE))*2</f>
        <v>#REF!</v>
      </c>
      <c r="AW234" s="372" t="e">
        <f ca="1">(VLOOKUP($AM234,坦克部件!#REF!,MATCH("标准值",坦克部件!#REF!,0),FALSE)+VLOOKUP($AN234,坦克部件!#REF!,MATCH("标准值",坦克部件!#REF!,0),FALSE))*2</f>
        <v>#REF!</v>
      </c>
      <c r="AX234" s="372" t="e">
        <f ca="1">VLOOKUP($AK234,坦克属性统计!$B$3:$AY$33,MATCH(AX$3,坦克属性统计!$B$3:$AY$3,0),FALSE)</f>
        <v>#REF!</v>
      </c>
      <c r="AY234" s="372" t="e">
        <f t="shared" ca="1" si="155"/>
        <v>#REF!</v>
      </c>
      <c r="AZ234" s="372" t="e">
        <f t="shared" ca="1" si="155"/>
        <v>#REF!</v>
      </c>
      <c r="BA234" s="372" t="e">
        <f t="shared" ca="1" si="155"/>
        <v>#REF!</v>
      </c>
      <c r="BB234" s="356" t="e">
        <f t="shared" ca="1" si="135"/>
        <v>#REF!</v>
      </c>
      <c r="BC234" s="356" t="e">
        <f ca="1">VLOOKUP(AK234,坦克个性化设定!$B$18:$E$48,4,FALSE)</f>
        <v>#REF!</v>
      </c>
      <c r="BD234" s="357" t="e">
        <f t="shared" ca="1" si="142"/>
        <v>#REF!</v>
      </c>
      <c r="BF234" s="357" t="str">
        <f t="shared" ca="1" si="136"/>
        <v/>
      </c>
      <c r="BG234" s="372" t="str">
        <f ca="1">IFERROR(VLOOKUP(BF234,坦克个性化设定!$B$18:$F$48,5,FALSE),"")</f>
        <v/>
      </c>
      <c r="BH234" s="372" t="e">
        <f t="shared" ca="1" si="143"/>
        <v>#REF!</v>
      </c>
      <c r="BI234" s="372" t="e">
        <f t="shared" ca="1" si="144"/>
        <v>#REF!</v>
      </c>
      <c r="BJ234" s="364" t="str">
        <f t="shared" ca="1" si="137"/>
        <v>NULL</v>
      </c>
      <c r="BK234" s="372" t="e">
        <f ca="1">VLOOKUP($BF234&amp;IF($BJ234="NULL",0,$BJ234),所有坦克升星属性,MATCH(BK$3,所有坦克升星属性标头,0),FALSE)+ROUND(BP234/VLOOKUP($BF234,坦克部件!#REF!,4,FALSE)*VLOOKUP($BF234&amp;0,所有坦克升星属性,MATCH(BK$3,所有坦克升星属性标头,0),FALSE),0)</f>
        <v>#N/A</v>
      </c>
      <c r="BL234" s="372" t="e">
        <f ca="1">VLOOKUP($BF234&amp;IF($BJ234="NULL",0,$BJ234),所有坦克升星属性,MATCH(BL$3,所有坦克升星属性标头,0),FALSE)+ROUND(BQ234/VLOOKUP($BF234,坦克部件!#REF!,4,FALSE)*VLOOKUP($BF234&amp;0,所有坦克升星属性,MATCH(BL$3,所有坦克升星属性标头,0),FALSE),0)</f>
        <v>#N/A</v>
      </c>
      <c r="BM234" s="372" t="e">
        <f t="shared" ca="1" si="156"/>
        <v>#N/A</v>
      </c>
      <c r="BN234" s="372" t="e">
        <f t="shared" ca="1" si="156"/>
        <v>#N/A</v>
      </c>
      <c r="BO234" s="372" t="e">
        <f ca="1">VLOOKUP($BF234&amp;IF($BJ234="NULL",0,$BJ234),所有坦克升星属性,MATCH(BO$3,所有坦克升星属性标头,0),FALSE)+ROUND(BR234/VLOOKUP($BF234,坦克部件!#REF!,4,FALSE)*VLOOKUP($BF234&amp;0,所有坦克升星属性,MATCH(BO$3,所有坦克升星属性标头,0),FALSE),0)</f>
        <v>#N/A</v>
      </c>
      <c r="BP234" s="372" t="e">
        <f ca="1">(VLOOKUP($BH234,坦克部件!#REF!,MATCH("标准值",坦克部件!#REF!,0),FALSE)+VLOOKUP($BI234,坦克部件!#REF!,MATCH("标准值",坦克部件!#REF!,0),FALSE))*2</f>
        <v>#REF!</v>
      </c>
      <c r="BQ234" s="372" t="e">
        <f ca="1">(VLOOKUP($BH234,坦克部件!#REF!,MATCH("标准值",坦克部件!#REF!,0),FALSE)+VLOOKUP($BI234,坦克部件!#REF!,MATCH("标准值",坦克部件!#REF!,0),FALSE))*2</f>
        <v>#REF!</v>
      </c>
      <c r="BR234" s="372" t="e">
        <f ca="1">(VLOOKUP($BH234,坦克部件!#REF!,MATCH("标准值",坦克部件!#REF!,0),FALSE)+VLOOKUP($BI234,坦克部件!#REF!,MATCH("标准值",坦克部件!#REF!,0),FALSE))*2</f>
        <v>#REF!</v>
      </c>
      <c r="BS234" s="372" t="e">
        <f ca="1">VLOOKUP($BF234,坦克属性统计!$B$3:$AY$33,MATCH(BS$3,坦克属性统计!$B$3:$AY$3,0),FALSE)</f>
        <v>#N/A</v>
      </c>
      <c r="BT234" s="372" t="e">
        <f t="shared" ca="1" si="157"/>
        <v>#N/A</v>
      </c>
      <c r="BU234" s="372" t="e">
        <f t="shared" ca="1" si="157"/>
        <v>#N/A</v>
      </c>
      <c r="BV234" s="372" t="e">
        <f t="shared" ca="1" si="157"/>
        <v>#N/A</v>
      </c>
      <c r="BW234" s="356">
        <f t="shared" ca="1" si="138"/>
        <v>0</v>
      </c>
      <c r="BX234" s="356" t="e">
        <f ca="1">VLOOKUP(BF234,坦克个性化设定!$B$18:$E$48,4,FALSE)</f>
        <v>#N/A</v>
      </c>
      <c r="BY234" s="357" t="e">
        <f t="shared" ca="1" si="145"/>
        <v>#N/A</v>
      </c>
    </row>
    <row r="235" spans="15:77" x14ac:dyDescent="0.35">
      <c r="O235" s="365">
        <v>232</v>
      </c>
      <c r="P235" s="360" t="e">
        <f t="shared" ca="1" si="152"/>
        <v>#REF!</v>
      </c>
      <c r="Q235" s="360" t="e">
        <f ca="1">ROUND(MIN((BD235-VLOOKUP(R235,$B$22:$F$46,2,FALSE))/(VLOOKUP(R235,$B$22:$F$46,3,FALSE)-VLOOKUP(R235,$B$22:$F$46,2,FALSE)),1)*((VLOOKUP(R235,$B$22:$F$46,4,FALSE)*(AG235/(AG235+VLOOKUP(P235,$D$49:$F$123,3,TRUE)))+VLOOKUP(R235,$B$22:$F$46,5,FALSE)*(1-AG235/(AG235+VLOOKUP(P235,$D$49:$F$123,3,TRUE))))/2)*游戏时长规划!$C$4,0)</f>
        <v>#REF!</v>
      </c>
      <c r="R235" s="360" t="e">
        <f t="shared" ca="1" si="125"/>
        <v>#REF!</v>
      </c>
      <c r="S235" s="360" t="e">
        <f t="shared" ca="1" si="146"/>
        <v>#REF!</v>
      </c>
      <c r="T235" s="360" t="e">
        <f t="shared" ca="1" si="153"/>
        <v>#REF!</v>
      </c>
      <c r="U235" s="370" t="e">
        <f t="shared" ca="1" si="126"/>
        <v>#REF!</v>
      </c>
      <c r="V235" s="363" t="e">
        <f t="shared" ca="1" si="147"/>
        <v>#REF!</v>
      </c>
      <c r="W235" s="360" t="e">
        <f t="shared" ca="1" si="127"/>
        <v>#REF!</v>
      </c>
      <c r="X235" s="81" t="e">
        <f t="shared" ca="1" si="139"/>
        <v>#REF!</v>
      </c>
      <c r="Y235" s="360" t="str">
        <f t="shared" ca="1" si="128"/>
        <v>NULL</v>
      </c>
      <c r="Z235" s="375" t="e">
        <f t="shared" ca="1" si="140"/>
        <v>#REF!</v>
      </c>
      <c r="AA235" s="360">
        <f ca="1">IFERROR(VLOOKUP(IF(V235="T1低",游戏时长规划!$C$67+Z235,Z235),INDIRECT(V235&amp;"星级"),2,TRUE),0)</f>
        <v>0</v>
      </c>
      <c r="AB235" s="375" t="e">
        <f t="shared" ca="1" si="129"/>
        <v>#REF!</v>
      </c>
      <c r="AC235" s="375">
        <f ca="1">($D$14+$D$17)*$L$4/坦克部件养成!$C$2+AC234-IFERROR(IF(RIGHT(AD234,3)*1&gt;RIGHT(VLOOKUP(AC234,INDIRECT(LEFT(AD233,2)&amp;"部件升阶"),5,TRUE),3)*1,VLOOKUP(AD233,INDIRECT(LEFT(AD233,2)&amp;"部件升阶消耗"),2,FALSE),0),0)</f>
        <v>2745.3333333333371</v>
      </c>
      <c r="AD235" s="360" t="e">
        <f t="shared" ca="1" si="130"/>
        <v>#REF!</v>
      </c>
      <c r="AE235" s="375" t="e">
        <f ca="1">$D$15*$L$4/坦克部件养成!$C$2+AE234-IF(LEFT(AD235,2)&lt;&gt;LEFT(AD234,2),VLOOKUP(AF234,INDIRECT(LEFT(AD234,2)&amp;"部件升级消耗"),5,FALSE),0)</f>
        <v>#REF!</v>
      </c>
      <c r="AF235" s="360" t="e">
        <f ca="1">MIN(VLOOKUP(AE235,INDIRECT(LEFT(AD235,2)&amp;"部件升级"),2,TRUE),VLOOKUP(LEFT(AD235,2),坦克部件养成!#REF!,6,FALSE))</f>
        <v>#REF!</v>
      </c>
      <c r="AG235" s="378" t="e">
        <f ca="1">MAX(BD$4:BD235)</f>
        <v>#REF!</v>
      </c>
      <c r="AH235" s="378" t="str">
        <f t="shared" ca="1" si="131"/>
        <v/>
      </c>
      <c r="AI235" s="378">
        <f ca="1">IF(Y235="NULL",0,MAX(BY$4:BY235))</f>
        <v>0</v>
      </c>
      <c r="AK235" s="364" t="e">
        <f t="shared" ca="1" si="132"/>
        <v>#REF!</v>
      </c>
      <c r="AL235" s="364" t="e">
        <f ca="1">VLOOKUP(AK235,坦克个性化设定!$B$18:$F$48,5,FALSE)</f>
        <v>#REF!</v>
      </c>
      <c r="AM235" s="372" t="e">
        <f t="shared" ca="1" si="133"/>
        <v>#REF!</v>
      </c>
      <c r="AN235" s="372" t="e">
        <f t="shared" ca="1" si="141"/>
        <v>#REF!</v>
      </c>
      <c r="AO235" s="364">
        <f t="shared" ca="1" si="134"/>
        <v>0</v>
      </c>
      <c r="AP235" s="372" t="e">
        <f ca="1">VLOOKUP($AK235&amp;$AO235,所有坦克升星属性,MATCH(AP$3,所有坦克升星属性标头,0),FALSE)+ROUND(AU235/VLOOKUP($AK235,坦克部件!#REF!,4,FALSE)*VLOOKUP($AK235&amp;0,所有坦克升星属性,MATCH(AP$3,所有坦克升星属性标头,0),FALSE),0)</f>
        <v>#REF!</v>
      </c>
      <c r="AQ235" s="372" t="e">
        <f ca="1">VLOOKUP($AK235&amp;$AO235,所有坦克升星属性,MATCH(AQ$3,所有坦克升星属性标头,0),FALSE)+ROUND(AV235/VLOOKUP($AK235,坦克部件!#REF!,4,FALSE)*VLOOKUP($AK235&amp;0,所有坦克升星属性,MATCH(AQ$3,所有坦克升星属性标头,0),FALSE),0)</f>
        <v>#REF!</v>
      </c>
      <c r="AR235" s="372" t="e">
        <f t="shared" ca="1" si="154"/>
        <v>#REF!</v>
      </c>
      <c r="AS235" s="372" t="e">
        <f t="shared" ca="1" si="154"/>
        <v>#REF!</v>
      </c>
      <c r="AT235" s="372" t="e">
        <f ca="1">VLOOKUP($AK235&amp;$AO235,所有坦克升星属性,MATCH(AT$3,所有坦克升星属性标头,0),FALSE)+ROUND(AW235/VLOOKUP($AK235,坦克部件!#REF!,4,FALSE)*VLOOKUP($AK235&amp;0,所有坦克升星属性,MATCH(AT$3,所有坦克升星属性标头,0),FALSE),0)</f>
        <v>#REF!</v>
      </c>
      <c r="AU235" s="372" t="e">
        <f ca="1">(VLOOKUP($AM235,坦克部件!#REF!,MATCH("标准值",坦克部件!#REF!,0),FALSE)+VLOOKUP($AN235,坦克部件!#REF!,MATCH("标准值",坦克部件!#REF!,0),FALSE))*2</f>
        <v>#REF!</v>
      </c>
      <c r="AV235" s="372" t="e">
        <f ca="1">(VLOOKUP($AM235,坦克部件!#REF!,MATCH("标准值",坦克部件!#REF!,0),FALSE)+VLOOKUP($AN235,坦克部件!#REF!,MATCH("标准值",坦克部件!#REF!,0),FALSE))*2</f>
        <v>#REF!</v>
      </c>
      <c r="AW235" s="372" t="e">
        <f ca="1">(VLOOKUP($AM235,坦克部件!#REF!,MATCH("标准值",坦克部件!#REF!,0),FALSE)+VLOOKUP($AN235,坦克部件!#REF!,MATCH("标准值",坦克部件!#REF!,0),FALSE))*2</f>
        <v>#REF!</v>
      </c>
      <c r="AX235" s="372" t="e">
        <f ca="1">VLOOKUP($AK235,坦克属性统计!$B$3:$AY$33,MATCH(AX$3,坦克属性统计!$B$3:$AY$3,0),FALSE)</f>
        <v>#REF!</v>
      </c>
      <c r="AY235" s="372" t="e">
        <f t="shared" ca="1" si="155"/>
        <v>#REF!</v>
      </c>
      <c r="AZ235" s="372" t="e">
        <f t="shared" ca="1" si="155"/>
        <v>#REF!</v>
      </c>
      <c r="BA235" s="372" t="e">
        <f t="shared" ca="1" si="155"/>
        <v>#REF!</v>
      </c>
      <c r="BB235" s="356" t="e">
        <f t="shared" ca="1" si="135"/>
        <v>#REF!</v>
      </c>
      <c r="BC235" s="356" t="e">
        <f ca="1">VLOOKUP(AK235,坦克个性化设定!$B$18:$E$48,4,FALSE)</f>
        <v>#REF!</v>
      </c>
      <c r="BD235" s="357" t="e">
        <f t="shared" ca="1" si="142"/>
        <v>#REF!</v>
      </c>
      <c r="BF235" s="357" t="str">
        <f t="shared" ca="1" si="136"/>
        <v/>
      </c>
      <c r="BG235" s="372" t="str">
        <f ca="1">IFERROR(VLOOKUP(BF235,坦克个性化设定!$B$18:$F$48,5,FALSE),"")</f>
        <v/>
      </c>
      <c r="BH235" s="372" t="e">
        <f t="shared" ca="1" si="143"/>
        <v>#REF!</v>
      </c>
      <c r="BI235" s="372" t="e">
        <f t="shared" ca="1" si="144"/>
        <v>#REF!</v>
      </c>
      <c r="BJ235" s="364" t="str">
        <f t="shared" ca="1" si="137"/>
        <v>NULL</v>
      </c>
      <c r="BK235" s="372" t="e">
        <f ca="1">VLOOKUP($BF235&amp;IF($BJ235="NULL",0,$BJ235),所有坦克升星属性,MATCH(BK$3,所有坦克升星属性标头,0),FALSE)+ROUND(BP235/VLOOKUP($BF235,坦克部件!#REF!,4,FALSE)*VLOOKUP($BF235&amp;0,所有坦克升星属性,MATCH(BK$3,所有坦克升星属性标头,0),FALSE),0)</f>
        <v>#N/A</v>
      </c>
      <c r="BL235" s="372" t="e">
        <f ca="1">VLOOKUP($BF235&amp;IF($BJ235="NULL",0,$BJ235),所有坦克升星属性,MATCH(BL$3,所有坦克升星属性标头,0),FALSE)+ROUND(BQ235/VLOOKUP($BF235,坦克部件!#REF!,4,FALSE)*VLOOKUP($BF235&amp;0,所有坦克升星属性,MATCH(BL$3,所有坦克升星属性标头,0),FALSE),0)</f>
        <v>#N/A</v>
      </c>
      <c r="BM235" s="372" t="e">
        <f t="shared" ca="1" si="156"/>
        <v>#N/A</v>
      </c>
      <c r="BN235" s="372" t="e">
        <f t="shared" ca="1" si="156"/>
        <v>#N/A</v>
      </c>
      <c r="BO235" s="372" t="e">
        <f ca="1">VLOOKUP($BF235&amp;IF($BJ235="NULL",0,$BJ235),所有坦克升星属性,MATCH(BO$3,所有坦克升星属性标头,0),FALSE)+ROUND(BR235/VLOOKUP($BF235,坦克部件!#REF!,4,FALSE)*VLOOKUP($BF235&amp;0,所有坦克升星属性,MATCH(BO$3,所有坦克升星属性标头,0),FALSE),0)</f>
        <v>#N/A</v>
      </c>
      <c r="BP235" s="372" t="e">
        <f ca="1">(VLOOKUP($BH235,坦克部件!#REF!,MATCH("标准值",坦克部件!#REF!,0),FALSE)+VLOOKUP($BI235,坦克部件!#REF!,MATCH("标准值",坦克部件!#REF!,0),FALSE))*2</f>
        <v>#REF!</v>
      </c>
      <c r="BQ235" s="372" t="e">
        <f ca="1">(VLOOKUP($BH235,坦克部件!#REF!,MATCH("标准值",坦克部件!#REF!,0),FALSE)+VLOOKUP($BI235,坦克部件!#REF!,MATCH("标准值",坦克部件!#REF!,0),FALSE))*2</f>
        <v>#REF!</v>
      </c>
      <c r="BR235" s="372" t="e">
        <f ca="1">(VLOOKUP($BH235,坦克部件!#REF!,MATCH("标准值",坦克部件!#REF!,0),FALSE)+VLOOKUP($BI235,坦克部件!#REF!,MATCH("标准值",坦克部件!#REF!,0),FALSE))*2</f>
        <v>#REF!</v>
      </c>
      <c r="BS235" s="372" t="e">
        <f ca="1">VLOOKUP($BF235,坦克属性统计!$B$3:$AY$33,MATCH(BS$3,坦克属性统计!$B$3:$AY$3,0),FALSE)</f>
        <v>#N/A</v>
      </c>
      <c r="BT235" s="372" t="e">
        <f t="shared" ca="1" si="157"/>
        <v>#N/A</v>
      </c>
      <c r="BU235" s="372" t="e">
        <f t="shared" ca="1" si="157"/>
        <v>#N/A</v>
      </c>
      <c r="BV235" s="372" t="e">
        <f t="shared" ca="1" si="157"/>
        <v>#N/A</v>
      </c>
      <c r="BW235" s="356">
        <f t="shared" ca="1" si="138"/>
        <v>0</v>
      </c>
      <c r="BX235" s="356" t="e">
        <f ca="1">VLOOKUP(BF235,坦克个性化设定!$B$18:$E$48,4,FALSE)</f>
        <v>#N/A</v>
      </c>
      <c r="BY235" s="357" t="e">
        <f t="shared" ca="1" si="145"/>
        <v>#N/A</v>
      </c>
    </row>
    <row r="236" spans="15:77" x14ac:dyDescent="0.35">
      <c r="O236" s="365">
        <v>233</v>
      </c>
      <c r="P236" s="360" t="e">
        <f t="shared" ca="1" si="152"/>
        <v>#REF!</v>
      </c>
      <c r="Q236" s="360" t="e">
        <f ca="1">ROUND(MIN((BD236-VLOOKUP(R236,$B$22:$F$46,2,FALSE))/(VLOOKUP(R236,$B$22:$F$46,3,FALSE)-VLOOKUP(R236,$B$22:$F$46,2,FALSE)),1)*((VLOOKUP(R236,$B$22:$F$46,4,FALSE)*(AG236/(AG236+VLOOKUP(P236,$D$49:$F$123,3,TRUE)))+VLOOKUP(R236,$B$22:$F$46,5,FALSE)*(1-AG236/(AG236+VLOOKUP(P236,$D$49:$F$123,3,TRUE))))/2)*游戏时长规划!$C$4,0)</f>
        <v>#REF!</v>
      </c>
      <c r="R236" s="360" t="e">
        <f t="shared" ca="1" si="125"/>
        <v>#REF!</v>
      </c>
      <c r="S236" s="360" t="e">
        <f t="shared" ca="1" si="146"/>
        <v>#REF!</v>
      </c>
      <c r="T236" s="360" t="e">
        <f t="shared" ca="1" si="153"/>
        <v>#REF!</v>
      </c>
      <c r="U236" s="370" t="e">
        <f t="shared" ca="1" si="126"/>
        <v>#REF!</v>
      </c>
      <c r="V236" s="363" t="e">
        <f t="shared" ca="1" si="147"/>
        <v>#REF!</v>
      </c>
      <c r="W236" s="360" t="e">
        <f t="shared" ca="1" si="127"/>
        <v>#REF!</v>
      </c>
      <c r="X236" s="81" t="e">
        <f t="shared" ca="1" si="139"/>
        <v>#REF!</v>
      </c>
      <c r="Y236" s="360" t="str">
        <f t="shared" ca="1" si="128"/>
        <v>NULL</v>
      </c>
      <c r="Z236" s="375" t="e">
        <f t="shared" ca="1" si="140"/>
        <v>#REF!</v>
      </c>
      <c r="AA236" s="360">
        <f ca="1">IFERROR(VLOOKUP(IF(V236="T1低",游戏时长规划!$C$67+Z236,Z236),INDIRECT(V236&amp;"星级"),2,TRUE),0)</f>
        <v>0</v>
      </c>
      <c r="AB236" s="375" t="e">
        <f t="shared" ca="1" si="129"/>
        <v>#REF!</v>
      </c>
      <c r="AC236" s="375">
        <f ca="1">($D$14+$D$17)*$L$4/坦克部件养成!$C$2+AC235-IFERROR(IF(RIGHT(AD235,3)*1&gt;RIGHT(VLOOKUP(AC235,INDIRECT(LEFT(AD234,2)&amp;"部件升阶"),5,TRUE),3)*1,VLOOKUP(AD234,INDIRECT(LEFT(AD234,2)&amp;"部件升阶消耗"),2,FALSE),0),0)</f>
        <v>2757.1666666666706</v>
      </c>
      <c r="AD236" s="360" t="e">
        <f t="shared" ca="1" si="130"/>
        <v>#REF!</v>
      </c>
      <c r="AE236" s="375" t="e">
        <f ca="1">$D$15*$L$4/坦克部件养成!$C$2+AE235-IF(LEFT(AD236,2)&lt;&gt;LEFT(AD235,2),VLOOKUP(AF235,INDIRECT(LEFT(AD235,2)&amp;"部件升级消耗"),5,FALSE),0)</f>
        <v>#REF!</v>
      </c>
      <c r="AF236" s="360" t="e">
        <f ca="1">MIN(VLOOKUP(AE236,INDIRECT(LEFT(AD236,2)&amp;"部件升级"),2,TRUE),VLOOKUP(LEFT(AD236,2),坦克部件养成!#REF!,6,FALSE))</f>
        <v>#REF!</v>
      </c>
      <c r="AG236" s="378" t="e">
        <f ca="1">MAX(BD$4:BD236)</f>
        <v>#REF!</v>
      </c>
      <c r="AH236" s="378" t="str">
        <f t="shared" ca="1" si="131"/>
        <v/>
      </c>
      <c r="AI236" s="378">
        <f ca="1">IF(Y236="NULL",0,MAX(BY$4:BY236))</f>
        <v>0</v>
      </c>
      <c r="AK236" s="364" t="e">
        <f t="shared" ca="1" si="132"/>
        <v>#REF!</v>
      </c>
      <c r="AL236" s="364" t="e">
        <f ca="1">VLOOKUP(AK236,坦克个性化设定!$B$18:$F$48,5,FALSE)</f>
        <v>#REF!</v>
      </c>
      <c r="AM236" s="372" t="e">
        <f t="shared" ca="1" si="133"/>
        <v>#REF!</v>
      </c>
      <c r="AN236" s="372" t="e">
        <f t="shared" ca="1" si="141"/>
        <v>#REF!</v>
      </c>
      <c r="AO236" s="364">
        <f t="shared" ca="1" si="134"/>
        <v>0</v>
      </c>
      <c r="AP236" s="372" t="e">
        <f ca="1">VLOOKUP($AK236&amp;$AO236,所有坦克升星属性,MATCH(AP$3,所有坦克升星属性标头,0),FALSE)+ROUND(AU236/VLOOKUP($AK236,坦克部件!#REF!,4,FALSE)*VLOOKUP($AK236&amp;0,所有坦克升星属性,MATCH(AP$3,所有坦克升星属性标头,0),FALSE),0)</f>
        <v>#REF!</v>
      </c>
      <c r="AQ236" s="372" t="e">
        <f ca="1">VLOOKUP($AK236&amp;$AO236,所有坦克升星属性,MATCH(AQ$3,所有坦克升星属性标头,0),FALSE)+ROUND(AV236/VLOOKUP($AK236,坦克部件!#REF!,4,FALSE)*VLOOKUP($AK236&amp;0,所有坦克升星属性,MATCH(AQ$3,所有坦克升星属性标头,0),FALSE),0)</f>
        <v>#REF!</v>
      </c>
      <c r="AR236" s="372" t="e">
        <f t="shared" ca="1" si="154"/>
        <v>#REF!</v>
      </c>
      <c r="AS236" s="372" t="e">
        <f t="shared" ca="1" si="154"/>
        <v>#REF!</v>
      </c>
      <c r="AT236" s="372" t="e">
        <f ca="1">VLOOKUP($AK236&amp;$AO236,所有坦克升星属性,MATCH(AT$3,所有坦克升星属性标头,0),FALSE)+ROUND(AW236/VLOOKUP($AK236,坦克部件!#REF!,4,FALSE)*VLOOKUP($AK236&amp;0,所有坦克升星属性,MATCH(AT$3,所有坦克升星属性标头,0),FALSE),0)</f>
        <v>#REF!</v>
      </c>
      <c r="AU236" s="372" t="e">
        <f ca="1">(VLOOKUP($AM236,坦克部件!#REF!,MATCH("标准值",坦克部件!#REF!,0),FALSE)+VLOOKUP($AN236,坦克部件!#REF!,MATCH("标准值",坦克部件!#REF!,0),FALSE))*2</f>
        <v>#REF!</v>
      </c>
      <c r="AV236" s="372" t="e">
        <f ca="1">(VLOOKUP($AM236,坦克部件!#REF!,MATCH("标准值",坦克部件!#REF!,0),FALSE)+VLOOKUP($AN236,坦克部件!#REF!,MATCH("标准值",坦克部件!#REF!,0),FALSE))*2</f>
        <v>#REF!</v>
      </c>
      <c r="AW236" s="372" t="e">
        <f ca="1">(VLOOKUP($AM236,坦克部件!#REF!,MATCH("标准值",坦克部件!#REF!,0),FALSE)+VLOOKUP($AN236,坦克部件!#REF!,MATCH("标准值",坦克部件!#REF!,0),FALSE))*2</f>
        <v>#REF!</v>
      </c>
      <c r="AX236" s="372" t="e">
        <f ca="1">VLOOKUP($AK236,坦克属性统计!$B$3:$AY$33,MATCH(AX$3,坦克属性统计!$B$3:$AY$3,0),FALSE)</f>
        <v>#REF!</v>
      </c>
      <c r="AY236" s="372" t="e">
        <f t="shared" ca="1" si="155"/>
        <v>#REF!</v>
      </c>
      <c r="AZ236" s="372" t="e">
        <f t="shared" ca="1" si="155"/>
        <v>#REF!</v>
      </c>
      <c r="BA236" s="372" t="e">
        <f t="shared" ca="1" si="155"/>
        <v>#REF!</v>
      </c>
      <c r="BB236" s="356" t="e">
        <f t="shared" ca="1" si="135"/>
        <v>#REF!</v>
      </c>
      <c r="BC236" s="356" t="e">
        <f ca="1">VLOOKUP(AK236,坦克个性化设定!$B$18:$E$48,4,FALSE)</f>
        <v>#REF!</v>
      </c>
      <c r="BD236" s="357" t="e">
        <f t="shared" ca="1" si="142"/>
        <v>#REF!</v>
      </c>
      <c r="BF236" s="357" t="str">
        <f t="shared" ca="1" si="136"/>
        <v/>
      </c>
      <c r="BG236" s="372" t="str">
        <f ca="1">IFERROR(VLOOKUP(BF236,坦克个性化设定!$B$18:$F$48,5,FALSE),"")</f>
        <v/>
      </c>
      <c r="BH236" s="372" t="e">
        <f t="shared" ca="1" si="143"/>
        <v>#REF!</v>
      </c>
      <c r="BI236" s="372" t="e">
        <f t="shared" ca="1" si="144"/>
        <v>#REF!</v>
      </c>
      <c r="BJ236" s="364" t="str">
        <f t="shared" ca="1" si="137"/>
        <v>NULL</v>
      </c>
      <c r="BK236" s="372" t="e">
        <f ca="1">VLOOKUP($BF236&amp;IF($BJ236="NULL",0,$BJ236),所有坦克升星属性,MATCH(BK$3,所有坦克升星属性标头,0),FALSE)+ROUND(BP236/VLOOKUP($BF236,坦克部件!#REF!,4,FALSE)*VLOOKUP($BF236&amp;0,所有坦克升星属性,MATCH(BK$3,所有坦克升星属性标头,0),FALSE),0)</f>
        <v>#N/A</v>
      </c>
      <c r="BL236" s="372" t="e">
        <f ca="1">VLOOKUP($BF236&amp;IF($BJ236="NULL",0,$BJ236),所有坦克升星属性,MATCH(BL$3,所有坦克升星属性标头,0),FALSE)+ROUND(BQ236/VLOOKUP($BF236,坦克部件!#REF!,4,FALSE)*VLOOKUP($BF236&amp;0,所有坦克升星属性,MATCH(BL$3,所有坦克升星属性标头,0),FALSE),0)</f>
        <v>#N/A</v>
      </c>
      <c r="BM236" s="372" t="e">
        <f t="shared" ca="1" si="156"/>
        <v>#N/A</v>
      </c>
      <c r="BN236" s="372" t="e">
        <f t="shared" ca="1" si="156"/>
        <v>#N/A</v>
      </c>
      <c r="BO236" s="372" t="e">
        <f ca="1">VLOOKUP($BF236&amp;IF($BJ236="NULL",0,$BJ236),所有坦克升星属性,MATCH(BO$3,所有坦克升星属性标头,0),FALSE)+ROUND(BR236/VLOOKUP($BF236,坦克部件!#REF!,4,FALSE)*VLOOKUP($BF236&amp;0,所有坦克升星属性,MATCH(BO$3,所有坦克升星属性标头,0),FALSE),0)</f>
        <v>#N/A</v>
      </c>
      <c r="BP236" s="372" t="e">
        <f ca="1">(VLOOKUP($BH236,坦克部件!#REF!,MATCH("标准值",坦克部件!#REF!,0),FALSE)+VLOOKUP($BI236,坦克部件!#REF!,MATCH("标准值",坦克部件!#REF!,0),FALSE))*2</f>
        <v>#REF!</v>
      </c>
      <c r="BQ236" s="372" t="e">
        <f ca="1">(VLOOKUP($BH236,坦克部件!#REF!,MATCH("标准值",坦克部件!#REF!,0),FALSE)+VLOOKUP($BI236,坦克部件!#REF!,MATCH("标准值",坦克部件!#REF!,0),FALSE))*2</f>
        <v>#REF!</v>
      </c>
      <c r="BR236" s="372" t="e">
        <f ca="1">(VLOOKUP($BH236,坦克部件!#REF!,MATCH("标准值",坦克部件!#REF!,0),FALSE)+VLOOKUP($BI236,坦克部件!#REF!,MATCH("标准值",坦克部件!#REF!,0),FALSE))*2</f>
        <v>#REF!</v>
      </c>
      <c r="BS236" s="372" t="e">
        <f ca="1">VLOOKUP($BF236,坦克属性统计!$B$3:$AY$33,MATCH(BS$3,坦克属性统计!$B$3:$AY$3,0),FALSE)</f>
        <v>#N/A</v>
      </c>
      <c r="BT236" s="372" t="e">
        <f t="shared" ca="1" si="157"/>
        <v>#N/A</v>
      </c>
      <c r="BU236" s="372" t="e">
        <f t="shared" ca="1" si="157"/>
        <v>#N/A</v>
      </c>
      <c r="BV236" s="372" t="e">
        <f t="shared" ca="1" si="157"/>
        <v>#N/A</v>
      </c>
      <c r="BW236" s="356">
        <f t="shared" ca="1" si="138"/>
        <v>0</v>
      </c>
      <c r="BX236" s="356" t="e">
        <f ca="1">VLOOKUP(BF236,坦克个性化设定!$B$18:$E$48,4,FALSE)</f>
        <v>#N/A</v>
      </c>
      <c r="BY236" s="357" t="e">
        <f t="shared" ca="1" si="145"/>
        <v>#N/A</v>
      </c>
    </row>
    <row r="237" spans="15:77" x14ac:dyDescent="0.35">
      <c r="O237" s="365">
        <v>234</v>
      </c>
      <c r="P237" s="360" t="e">
        <f t="shared" ca="1" si="152"/>
        <v>#REF!</v>
      </c>
      <c r="Q237" s="360" t="e">
        <f ca="1">ROUND(MIN((BD237-VLOOKUP(R237,$B$22:$F$46,2,FALSE))/(VLOOKUP(R237,$B$22:$F$46,3,FALSE)-VLOOKUP(R237,$B$22:$F$46,2,FALSE)),1)*((VLOOKUP(R237,$B$22:$F$46,4,FALSE)*(AG237/(AG237+VLOOKUP(P237,$D$49:$F$123,3,TRUE)))+VLOOKUP(R237,$B$22:$F$46,5,FALSE)*(1-AG237/(AG237+VLOOKUP(P237,$D$49:$F$123,3,TRUE))))/2)*游戏时长规划!$C$4,0)</f>
        <v>#REF!</v>
      </c>
      <c r="R237" s="360" t="e">
        <f t="shared" ca="1" si="125"/>
        <v>#REF!</v>
      </c>
      <c r="S237" s="360" t="e">
        <f t="shared" ca="1" si="146"/>
        <v>#REF!</v>
      </c>
      <c r="T237" s="360" t="e">
        <f t="shared" ca="1" si="153"/>
        <v>#REF!</v>
      </c>
      <c r="U237" s="370" t="e">
        <f t="shared" ca="1" si="126"/>
        <v>#REF!</v>
      </c>
      <c r="V237" s="363" t="e">
        <f t="shared" ca="1" si="147"/>
        <v>#REF!</v>
      </c>
      <c r="W237" s="360" t="e">
        <f t="shared" ca="1" si="127"/>
        <v>#REF!</v>
      </c>
      <c r="X237" s="81" t="e">
        <f t="shared" ca="1" si="139"/>
        <v>#REF!</v>
      </c>
      <c r="Y237" s="360" t="str">
        <f t="shared" ca="1" si="128"/>
        <v>NULL</v>
      </c>
      <c r="Z237" s="375" t="e">
        <f t="shared" ca="1" si="140"/>
        <v>#REF!</v>
      </c>
      <c r="AA237" s="360">
        <f ca="1">IFERROR(VLOOKUP(IF(V237="T1低",游戏时长规划!$C$67+Z237,Z237),INDIRECT(V237&amp;"星级"),2,TRUE),0)</f>
        <v>0</v>
      </c>
      <c r="AB237" s="375" t="e">
        <f t="shared" ca="1" si="129"/>
        <v>#REF!</v>
      </c>
      <c r="AC237" s="375">
        <f ca="1">($D$14+$D$17)*$L$4/坦克部件养成!$C$2+AC236-IFERROR(IF(RIGHT(AD236,3)*1&gt;RIGHT(VLOOKUP(AC236,INDIRECT(LEFT(AD235,2)&amp;"部件升阶"),5,TRUE),3)*1,VLOOKUP(AD235,INDIRECT(LEFT(AD235,2)&amp;"部件升阶消耗"),2,FALSE),0),0)</f>
        <v>2769.0000000000041</v>
      </c>
      <c r="AD237" s="360" t="e">
        <f t="shared" ca="1" si="130"/>
        <v>#REF!</v>
      </c>
      <c r="AE237" s="375" t="e">
        <f ca="1">$D$15*$L$4/坦克部件养成!$C$2+AE236-IF(LEFT(AD237,2)&lt;&gt;LEFT(AD236,2),VLOOKUP(AF236,INDIRECT(LEFT(AD236,2)&amp;"部件升级消耗"),5,FALSE),0)</f>
        <v>#REF!</v>
      </c>
      <c r="AF237" s="360" t="e">
        <f ca="1">MIN(VLOOKUP(AE237,INDIRECT(LEFT(AD237,2)&amp;"部件升级"),2,TRUE),VLOOKUP(LEFT(AD237,2),坦克部件养成!#REF!,6,FALSE))</f>
        <v>#REF!</v>
      </c>
      <c r="AG237" s="378" t="e">
        <f ca="1">MAX(BD$4:BD237)</f>
        <v>#REF!</v>
      </c>
      <c r="AH237" s="378" t="str">
        <f t="shared" ca="1" si="131"/>
        <v/>
      </c>
      <c r="AI237" s="378">
        <f ca="1">IF(Y237="NULL",0,MAX(BY$4:BY237))</f>
        <v>0</v>
      </c>
      <c r="AK237" s="364" t="e">
        <f t="shared" ca="1" si="132"/>
        <v>#REF!</v>
      </c>
      <c r="AL237" s="364" t="e">
        <f ca="1">VLOOKUP(AK237,坦克个性化设定!$B$18:$F$48,5,FALSE)</f>
        <v>#REF!</v>
      </c>
      <c r="AM237" s="372" t="e">
        <f t="shared" ca="1" si="133"/>
        <v>#REF!</v>
      </c>
      <c r="AN237" s="372" t="e">
        <f t="shared" ca="1" si="141"/>
        <v>#REF!</v>
      </c>
      <c r="AO237" s="364">
        <f t="shared" ca="1" si="134"/>
        <v>0</v>
      </c>
      <c r="AP237" s="372" t="e">
        <f ca="1">VLOOKUP($AK237&amp;$AO237,所有坦克升星属性,MATCH(AP$3,所有坦克升星属性标头,0),FALSE)+ROUND(AU237/VLOOKUP($AK237,坦克部件!#REF!,4,FALSE)*VLOOKUP($AK237&amp;0,所有坦克升星属性,MATCH(AP$3,所有坦克升星属性标头,0),FALSE),0)</f>
        <v>#REF!</v>
      </c>
      <c r="AQ237" s="372" t="e">
        <f ca="1">VLOOKUP($AK237&amp;$AO237,所有坦克升星属性,MATCH(AQ$3,所有坦克升星属性标头,0),FALSE)+ROUND(AV237/VLOOKUP($AK237,坦克部件!#REF!,4,FALSE)*VLOOKUP($AK237&amp;0,所有坦克升星属性,MATCH(AQ$3,所有坦克升星属性标头,0),FALSE),0)</f>
        <v>#REF!</v>
      </c>
      <c r="AR237" s="372" t="e">
        <f t="shared" ca="1" si="154"/>
        <v>#REF!</v>
      </c>
      <c r="AS237" s="372" t="e">
        <f t="shared" ca="1" si="154"/>
        <v>#REF!</v>
      </c>
      <c r="AT237" s="372" t="e">
        <f ca="1">VLOOKUP($AK237&amp;$AO237,所有坦克升星属性,MATCH(AT$3,所有坦克升星属性标头,0),FALSE)+ROUND(AW237/VLOOKUP($AK237,坦克部件!#REF!,4,FALSE)*VLOOKUP($AK237&amp;0,所有坦克升星属性,MATCH(AT$3,所有坦克升星属性标头,0),FALSE),0)</f>
        <v>#REF!</v>
      </c>
      <c r="AU237" s="372" t="e">
        <f ca="1">(VLOOKUP($AM237,坦克部件!#REF!,MATCH("标准值",坦克部件!#REF!,0),FALSE)+VLOOKUP($AN237,坦克部件!#REF!,MATCH("标准值",坦克部件!#REF!,0),FALSE))*2</f>
        <v>#REF!</v>
      </c>
      <c r="AV237" s="372" t="e">
        <f ca="1">(VLOOKUP($AM237,坦克部件!#REF!,MATCH("标准值",坦克部件!#REF!,0),FALSE)+VLOOKUP($AN237,坦克部件!#REF!,MATCH("标准值",坦克部件!#REF!,0),FALSE))*2</f>
        <v>#REF!</v>
      </c>
      <c r="AW237" s="372" t="e">
        <f ca="1">(VLOOKUP($AM237,坦克部件!#REF!,MATCH("标准值",坦克部件!#REF!,0),FALSE)+VLOOKUP($AN237,坦克部件!#REF!,MATCH("标准值",坦克部件!#REF!,0),FALSE))*2</f>
        <v>#REF!</v>
      </c>
      <c r="AX237" s="372" t="e">
        <f ca="1">VLOOKUP($AK237,坦克属性统计!$B$3:$AY$33,MATCH(AX$3,坦克属性统计!$B$3:$AY$3,0),FALSE)</f>
        <v>#REF!</v>
      </c>
      <c r="AY237" s="372" t="e">
        <f t="shared" ca="1" si="155"/>
        <v>#REF!</v>
      </c>
      <c r="AZ237" s="372" t="e">
        <f t="shared" ca="1" si="155"/>
        <v>#REF!</v>
      </c>
      <c r="BA237" s="372" t="e">
        <f t="shared" ca="1" si="155"/>
        <v>#REF!</v>
      </c>
      <c r="BB237" s="356" t="e">
        <f t="shared" ca="1" si="135"/>
        <v>#REF!</v>
      </c>
      <c r="BC237" s="356" t="e">
        <f ca="1">VLOOKUP(AK237,坦克个性化设定!$B$18:$E$48,4,FALSE)</f>
        <v>#REF!</v>
      </c>
      <c r="BD237" s="357" t="e">
        <f t="shared" ca="1" si="142"/>
        <v>#REF!</v>
      </c>
      <c r="BF237" s="357" t="str">
        <f t="shared" ca="1" si="136"/>
        <v/>
      </c>
      <c r="BG237" s="372" t="str">
        <f ca="1">IFERROR(VLOOKUP(BF237,坦克个性化设定!$B$18:$F$48,5,FALSE),"")</f>
        <v/>
      </c>
      <c r="BH237" s="372" t="e">
        <f t="shared" ca="1" si="143"/>
        <v>#REF!</v>
      </c>
      <c r="BI237" s="372" t="e">
        <f t="shared" ca="1" si="144"/>
        <v>#REF!</v>
      </c>
      <c r="BJ237" s="364" t="str">
        <f t="shared" ca="1" si="137"/>
        <v>NULL</v>
      </c>
      <c r="BK237" s="372" t="e">
        <f ca="1">VLOOKUP($BF237&amp;IF($BJ237="NULL",0,$BJ237),所有坦克升星属性,MATCH(BK$3,所有坦克升星属性标头,0),FALSE)+ROUND(BP237/VLOOKUP($BF237,坦克部件!#REF!,4,FALSE)*VLOOKUP($BF237&amp;0,所有坦克升星属性,MATCH(BK$3,所有坦克升星属性标头,0),FALSE),0)</f>
        <v>#N/A</v>
      </c>
      <c r="BL237" s="372" t="e">
        <f ca="1">VLOOKUP($BF237&amp;IF($BJ237="NULL",0,$BJ237),所有坦克升星属性,MATCH(BL$3,所有坦克升星属性标头,0),FALSE)+ROUND(BQ237/VLOOKUP($BF237,坦克部件!#REF!,4,FALSE)*VLOOKUP($BF237&amp;0,所有坦克升星属性,MATCH(BL$3,所有坦克升星属性标头,0),FALSE),0)</f>
        <v>#N/A</v>
      </c>
      <c r="BM237" s="372" t="e">
        <f t="shared" ca="1" si="156"/>
        <v>#N/A</v>
      </c>
      <c r="BN237" s="372" t="e">
        <f t="shared" ca="1" si="156"/>
        <v>#N/A</v>
      </c>
      <c r="BO237" s="372" t="e">
        <f ca="1">VLOOKUP($BF237&amp;IF($BJ237="NULL",0,$BJ237),所有坦克升星属性,MATCH(BO$3,所有坦克升星属性标头,0),FALSE)+ROUND(BR237/VLOOKUP($BF237,坦克部件!#REF!,4,FALSE)*VLOOKUP($BF237&amp;0,所有坦克升星属性,MATCH(BO$3,所有坦克升星属性标头,0),FALSE),0)</f>
        <v>#N/A</v>
      </c>
      <c r="BP237" s="372" t="e">
        <f ca="1">(VLOOKUP($BH237,坦克部件!#REF!,MATCH("标准值",坦克部件!#REF!,0),FALSE)+VLOOKUP($BI237,坦克部件!#REF!,MATCH("标准值",坦克部件!#REF!,0),FALSE))*2</f>
        <v>#REF!</v>
      </c>
      <c r="BQ237" s="372" t="e">
        <f ca="1">(VLOOKUP($BH237,坦克部件!#REF!,MATCH("标准值",坦克部件!#REF!,0),FALSE)+VLOOKUP($BI237,坦克部件!#REF!,MATCH("标准值",坦克部件!#REF!,0),FALSE))*2</f>
        <v>#REF!</v>
      </c>
      <c r="BR237" s="372" t="e">
        <f ca="1">(VLOOKUP($BH237,坦克部件!#REF!,MATCH("标准值",坦克部件!#REF!,0),FALSE)+VLOOKUP($BI237,坦克部件!#REF!,MATCH("标准值",坦克部件!#REF!,0),FALSE))*2</f>
        <v>#REF!</v>
      </c>
      <c r="BS237" s="372" t="e">
        <f ca="1">VLOOKUP($BF237,坦克属性统计!$B$3:$AY$33,MATCH(BS$3,坦克属性统计!$B$3:$AY$3,0),FALSE)</f>
        <v>#N/A</v>
      </c>
      <c r="BT237" s="372" t="e">
        <f t="shared" ca="1" si="157"/>
        <v>#N/A</v>
      </c>
      <c r="BU237" s="372" t="e">
        <f t="shared" ca="1" si="157"/>
        <v>#N/A</v>
      </c>
      <c r="BV237" s="372" t="e">
        <f t="shared" ca="1" si="157"/>
        <v>#N/A</v>
      </c>
      <c r="BW237" s="356">
        <f t="shared" ca="1" si="138"/>
        <v>0</v>
      </c>
      <c r="BX237" s="356" t="e">
        <f ca="1">VLOOKUP(BF237,坦克个性化设定!$B$18:$E$48,4,FALSE)</f>
        <v>#N/A</v>
      </c>
      <c r="BY237" s="357" t="e">
        <f t="shared" ca="1" si="145"/>
        <v>#N/A</v>
      </c>
    </row>
    <row r="238" spans="15:77" x14ac:dyDescent="0.35">
      <c r="O238" s="365">
        <v>235</v>
      </c>
      <c r="P238" s="360" t="e">
        <f t="shared" ca="1" si="152"/>
        <v>#REF!</v>
      </c>
      <c r="Q238" s="360" t="e">
        <f ca="1">ROUND(MIN((BD238-VLOOKUP(R238,$B$22:$F$46,2,FALSE))/(VLOOKUP(R238,$B$22:$F$46,3,FALSE)-VLOOKUP(R238,$B$22:$F$46,2,FALSE)),1)*((VLOOKUP(R238,$B$22:$F$46,4,FALSE)*(AG238/(AG238+VLOOKUP(P238,$D$49:$F$123,3,TRUE)))+VLOOKUP(R238,$B$22:$F$46,5,FALSE)*(1-AG238/(AG238+VLOOKUP(P238,$D$49:$F$123,3,TRUE))))/2)*游戏时长规划!$C$4,0)</f>
        <v>#REF!</v>
      </c>
      <c r="R238" s="360" t="e">
        <f t="shared" ca="1" si="125"/>
        <v>#REF!</v>
      </c>
      <c r="S238" s="360" t="e">
        <f t="shared" ca="1" si="146"/>
        <v>#REF!</v>
      </c>
      <c r="T238" s="360" t="e">
        <f t="shared" ca="1" si="153"/>
        <v>#REF!</v>
      </c>
      <c r="U238" s="370" t="e">
        <f t="shared" ca="1" si="126"/>
        <v>#REF!</v>
      </c>
      <c r="V238" s="363" t="e">
        <f t="shared" ca="1" si="147"/>
        <v>#REF!</v>
      </c>
      <c r="W238" s="360" t="e">
        <f t="shared" ca="1" si="127"/>
        <v>#REF!</v>
      </c>
      <c r="X238" s="81" t="e">
        <f t="shared" ca="1" si="139"/>
        <v>#REF!</v>
      </c>
      <c r="Y238" s="360" t="str">
        <f t="shared" ca="1" si="128"/>
        <v>NULL</v>
      </c>
      <c r="Z238" s="375" t="e">
        <f t="shared" ca="1" si="140"/>
        <v>#REF!</v>
      </c>
      <c r="AA238" s="360">
        <f ca="1">IFERROR(VLOOKUP(IF(V238="T1低",游戏时长规划!$C$67+Z238,Z238),INDIRECT(V238&amp;"星级"),2,TRUE),0)</f>
        <v>0</v>
      </c>
      <c r="AB238" s="375" t="e">
        <f t="shared" ca="1" si="129"/>
        <v>#REF!</v>
      </c>
      <c r="AC238" s="375">
        <f ca="1">($D$14+$D$17)*$L$4/坦克部件养成!$C$2+AC237-IFERROR(IF(RIGHT(AD237,3)*1&gt;RIGHT(VLOOKUP(AC237,INDIRECT(LEFT(AD236,2)&amp;"部件升阶"),5,TRUE),3)*1,VLOOKUP(AD236,INDIRECT(LEFT(AD236,2)&amp;"部件升阶消耗"),2,FALSE),0),0)</f>
        <v>2780.8333333333376</v>
      </c>
      <c r="AD238" s="360" t="e">
        <f t="shared" ca="1" si="130"/>
        <v>#REF!</v>
      </c>
      <c r="AE238" s="375" t="e">
        <f ca="1">$D$15*$L$4/坦克部件养成!$C$2+AE237-IF(LEFT(AD238,2)&lt;&gt;LEFT(AD237,2),VLOOKUP(AF237,INDIRECT(LEFT(AD237,2)&amp;"部件升级消耗"),5,FALSE),0)</f>
        <v>#REF!</v>
      </c>
      <c r="AF238" s="360" t="e">
        <f ca="1">MIN(VLOOKUP(AE238,INDIRECT(LEFT(AD238,2)&amp;"部件升级"),2,TRUE),VLOOKUP(LEFT(AD238,2),坦克部件养成!#REF!,6,FALSE))</f>
        <v>#REF!</v>
      </c>
      <c r="AG238" s="378" t="e">
        <f ca="1">MAX(BD$4:BD238)</f>
        <v>#REF!</v>
      </c>
      <c r="AH238" s="378" t="str">
        <f t="shared" ca="1" si="131"/>
        <v/>
      </c>
      <c r="AI238" s="378">
        <f ca="1">IF(Y238="NULL",0,MAX(BY$4:BY238))</f>
        <v>0</v>
      </c>
      <c r="AK238" s="364" t="e">
        <f t="shared" ca="1" si="132"/>
        <v>#REF!</v>
      </c>
      <c r="AL238" s="364" t="e">
        <f ca="1">VLOOKUP(AK238,坦克个性化设定!$B$18:$F$48,5,FALSE)</f>
        <v>#REF!</v>
      </c>
      <c r="AM238" s="372" t="e">
        <f t="shared" ca="1" si="133"/>
        <v>#REF!</v>
      </c>
      <c r="AN238" s="372" t="e">
        <f t="shared" ca="1" si="141"/>
        <v>#REF!</v>
      </c>
      <c r="AO238" s="364">
        <f t="shared" ca="1" si="134"/>
        <v>0</v>
      </c>
      <c r="AP238" s="372" t="e">
        <f ca="1">VLOOKUP($AK238&amp;$AO238,所有坦克升星属性,MATCH(AP$3,所有坦克升星属性标头,0),FALSE)+ROUND(AU238/VLOOKUP($AK238,坦克部件!#REF!,4,FALSE)*VLOOKUP($AK238&amp;0,所有坦克升星属性,MATCH(AP$3,所有坦克升星属性标头,0),FALSE),0)</f>
        <v>#REF!</v>
      </c>
      <c r="AQ238" s="372" t="e">
        <f ca="1">VLOOKUP($AK238&amp;$AO238,所有坦克升星属性,MATCH(AQ$3,所有坦克升星属性标头,0),FALSE)+ROUND(AV238/VLOOKUP($AK238,坦克部件!#REF!,4,FALSE)*VLOOKUP($AK238&amp;0,所有坦克升星属性,MATCH(AQ$3,所有坦克升星属性标头,0),FALSE),0)</f>
        <v>#REF!</v>
      </c>
      <c r="AR238" s="372" t="e">
        <f t="shared" ca="1" si="154"/>
        <v>#REF!</v>
      </c>
      <c r="AS238" s="372" t="e">
        <f t="shared" ca="1" si="154"/>
        <v>#REF!</v>
      </c>
      <c r="AT238" s="372" t="e">
        <f ca="1">VLOOKUP($AK238&amp;$AO238,所有坦克升星属性,MATCH(AT$3,所有坦克升星属性标头,0),FALSE)+ROUND(AW238/VLOOKUP($AK238,坦克部件!#REF!,4,FALSE)*VLOOKUP($AK238&amp;0,所有坦克升星属性,MATCH(AT$3,所有坦克升星属性标头,0),FALSE),0)</f>
        <v>#REF!</v>
      </c>
      <c r="AU238" s="372" t="e">
        <f ca="1">(VLOOKUP($AM238,坦克部件!#REF!,MATCH("标准值",坦克部件!#REF!,0),FALSE)+VLOOKUP($AN238,坦克部件!#REF!,MATCH("标准值",坦克部件!#REF!,0),FALSE))*2</f>
        <v>#REF!</v>
      </c>
      <c r="AV238" s="372" t="e">
        <f ca="1">(VLOOKUP($AM238,坦克部件!#REF!,MATCH("标准值",坦克部件!#REF!,0),FALSE)+VLOOKUP($AN238,坦克部件!#REF!,MATCH("标准值",坦克部件!#REF!,0),FALSE))*2</f>
        <v>#REF!</v>
      </c>
      <c r="AW238" s="372" t="e">
        <f ca="1">(VLOOKUP($AM238,坦克部件!#REF!,MATCH("标准值",坦克部件!#REF!,0),FALSE)+VLOOKUP($AN238,坦克部件!#REF!,MATCH("标准值",坦克部件!#REF!,0),FALSE))*2</f>
        <v>#REF!</v>
      </c>
      <c r="AX238" s="372" t="e">
        <f ca="1">VLOOKUP($AK238,坦克属性统计!$B$3:$AY$33,MATCH(AX$3,坦克属性统计!$B$3:$AY$3,0),FALSE)</f>
        <v>#REF!</v>
      </c>
      <c r="AY238" s="372" t="e">
        <f t="shared" ca="1" si="155"/>
        <v>#REF!</v>
      </c>
      <c r="AZ238" s="372" t="e">
        <f t="shared" ca="1" si="155"/>
        <v>#REF!</v>
      </c>
      <c r="BA238" s="372" t="e">
        <f t="shared" ca="1" si="155"/>
        <v>#REF!</v>
      </c>
      <c r="BB238" s="356" t="e">
        <f t="shared" ca="1" si="135"/>
        <v>#REF!</v>
      </c>
      <c r="BC238" s="356" t="e">
        <f ca="1">VLOOKUP(AK238,坦克个性化设定!$B$18:$E$48,4,FALSE)</f>
        <v>#REF!</v>
      </c>
      <c r="BD238" s="357" t="e">
        <f t="shared" ca="1" si="142"/>
        <v>#REF!</v>
      </c>
      <c r="BF238" s="357" t="str">
        <f t="shared" ca="1" si="136"/>
        <v/>
      </c>
      <c r="BG238" s="372" t="str">
        <f ca="1">IFERROR(VLOOKUP(BF238,坦克个性化设定!$B$18:$F$48,5,FALSE),"")</f>
        <v/>
      </c>
      <c r="BH238" s="372" t="e">
        <f t="shared" ca="1" si="143"/>
        <v>#REF!</v>
      </c>
      <c r="BI238" s="372" t="e">
        <f t="shared" ca="1" si="144"/>
        <v>#REF!</v>
      </c>
      <c r="BJ238" s="364" t="str">
        <f t="shared" ca="1" si="137"/>
        <v>NULL</v>
      </c>
      <c r="BK238" s="372" t="e">
        <f ca="1">VLOOKUP($BF238&amp;IF($BJ238="NULL",0,$BJ238),所有坦克升星属性,MATCH(BK$3,所有坦克升星属性标头,0),FALSE)+ROUND(BP238/VLOOKUP($BF238,坦克部件!#REF!,4,FALSE)*VLOOKUP($BF238&amp;0,所有坦克升星属性,MATCH(BK$3,所有坦克升星属性标头,0),FALSE),0)</f>
        <v>#N/A</v>
      </c>
      <c r="BL238" s="372" t="e">
        <f ca="1">VLOOKUP($BF238&amp;IF($BJ238="NULL",0,$BJ238),所有坦克升星属性,MATCH(BL$3,所有坦克升星属性标头,0),FALSE)+ROUND(BQ238/VLOOKUP($BF238,坦克部件!#REF!,4,FALSE)*VLOOKUP($BF238&amp;0,所有坦克升星属性,MATCH(BL$3,所有坦克升星属性标头,0),FALSE),0)</f>
        <v>#N/A</v>
      </c>
      <c r="BM238" s="372" t="e">
        <f t="shared" ca="1" si="156"/>
        <v>#N/A</v>
      </c>
      <c r="BN238" s="372" t="e">
        <f t="shared" ca="1" si="156"/>
        <v>#N/A</v>
      </c>
      <c r="BO238" s="372" t="e">
        <f ca="1">VLOOKUP($BF238&amp;IF($BJ238="NULL",0,$BJ238),所有坦克升星属性,MATCH(BO$3,所有坦克升星属性标头,0),FALSE)+ROUND(BR238/VLOOKUP($BF238,坦克部件!#REF!,4,FALSE)*VLOOKUP($BF238&amp;0,所有坦克升星属性,MATCH(BO$3,所有坦克升星属性标头,0),FALSE),0)</f>
        <v>#N/A</v>
      </c>
      <c r="BP238" s="372" t="e">
        <f ca="1">(VLOOKUP($BH238,坦克部件!#REF!,MATCH("标准值",坦克部件!#REF!,0),FALSE)+VLOOKUP($BI238,坦克部件!#REF!,MATCH("标准值",坦克部件!#REF!,0),FALSE))*2</f>
        <v>#REF!</v>
      </c>
      <c r="BQ238" s="372" t="e">
        <f ca="1">(VLOOKUP($BH238,坦克部件!#REF!,MATCH("标准值",坦克部件!#REF!,0),FALSE)+VLOOKUP($BI238,坦克部件!#REF!,MATCH("标准值",坦克部件!#REF!,0),FALSE))*2</f>
        <v>#REF!</v>
      </c>
      <c r="BR238" s="372" t="e">
        <f ca="1">(VLOOKUP($BH238,坦克部件!#REF!,MATCH("标准值",坦克部件!#REF!,0),FALSE)+VLOOKUP($BI238,坦克部件!#REF!,MATCH("标准值",坦克部件!#REF!,0),FALSE))*2</f>
        <v>#REF!</v>
      </c>
      <c r="BS238" s="372" t="e">
        <f ca="1">VLOOKUP($BF238,坦克属性统计!$B$3:$AY$33,MATCH(BS$3,坦克属性统计!$B$3:$AY$3,0),FALSE)</f>
        <v>#N/A</v>
      </c>
      <c r="BT238" s="372" t="e">
        <f t="shared" ca="1" si="157"/>
        <v>#N/A</v>
      </c>
      <c r="BU238" s="372" t="e">
        <f t="shared" ca="1" si="157"/>
        <v>#N/A</v>
      </c>
      <c r="BV238" s="372" t="e">
        <f t="shared" ca="1" si="157"/>
        <v>#N/A</v>
      </c>
      <c r="BW238" s="356">
        <f t="shared" ca="1" si="138"/>
        <v>0</v>
      </c>
      <c r="BX238" s="356" t="e">
        <f ca="1">VLOOKUP(BF238,坦克个性化设定!$B$18:$E$48,4,FALSE)</f>
        <v>#N/A</v>
      </c>
      <c r="BY238" s="357" t="e">
        <f t="shared" ca="1" si="145"/>
        <v>#N/A</v>
      </c>
    </row>
    <row r="239" spans="15:77" x14ac:dyDescent="0.35">
      <c r="O239" s="365">
        <v>236</v>
      </c>
      <c r="P239" s="360" t="e">
        <f t="shared" ca="1" si="152"/>
        <v>#REF!</v>
      </c>
      <c r="Q239" s="360" t="e">
        <f ca="1">ROUND(MIN((BD239-VLOOKUP(R239,$B$22:$F$46,2,FALSE))/(VLOOKUP(R239,$B$22:$F$46,3,FALSE)-VLOOKUP(R239,$B$22:$F$46,2,FALSE)),1)*((VLOOKUP(R239,$B$22:$F$46,4,FALSE)*(AG239/(AG239+VLOOKUP(P239,$D$49:$F$123,3,TRUE)))+VLOOKUP(R239,$B$22:$F$46,5,FALSE)*(1-AG239/(AG239+VLOOKUP(P239,$D$49:$F$123,3,TRUE))))/2)*游戏时长规划!$C$4,0)</f>
        <v>#REF!</v>
      </c>
      <c r="R239" s="360" t="e">
        <f t="shared" ca="1" si="125"/>
        <v>#REF!</v>
      </c>
      <c r="S239" s="360" t="e">
        <f t="shared" ca="1" si="146"/>
        <v>#REF!</v>
      </c>
      <c r="T239" s="360" t="e">
        <f t="shared" ca="1" si="153"/>
        <v>#REF!</v>
      </c>
      <c r="U239" s="370" t="e">
        <f t="shared" ca="1" si="126"/>
        <v>#REF!</v>
      </c>
      <c r="V239" s="363" t="e">
        <f t="shared" ca="1" si="147"/>
        <v>#REF!</v>
      </c>
      <c r="W239" s="360" t="e">
        <f t="shared" ca="1" si="127"/>
        <v>#REF!</v>
      </c>
      <c r="X239" s="81" t="e">
        <f t="shared" ca="1" si="139"/>
        <v>#REF!</v>
      </c>
      <c r="Y239" s="360" t="str">
        <f t="shared" ca="1" si="128"/>
        <v>NULL</v>
      </c>
      <c r="Z239" s="375" t="e">
        <f t="shared" ca="1" si="140"/>
        <v>#REF!</v>
      </c>
      <c r="AA239" s="360">
        <f ca="1">IFERROR(VLOOKUP(IF(V239="T1低",游戏时长规划!$C$67+Z239,Z239),INDIRECT(V239&amp;"星级"),2,TRUE),0)</f>
        <v>0</v>
      </c>
      <c r="AB239" s="375" t="e">
        <f t="shared" ca="1" si="129"/>
        <v>#REF!</v>
      </c>
      <c r="AC239" s="375">
        <f ca="1">($D$14+$D$17)*$L$4/坦克部件养成!$C$2+AC238-IFERROR(IF(RIGHT(AD238,3)*1&gt;RIGHT(VLOOKUP(AC238,INDIRECT(LEFT(AD237,2)&amp;"部件升阶"),5,TRUE),3)*1,VLOOKUP(AD237,INDIRECT(LEFT(AD237,2)&amp;"部件升阶消耗"),2,FALSE),0),0)</f>
        <v>2792.6666666666711</v>
      </c>
      <c r="AD239" s="360" t="e">
        <f t="shared" ca="1" si="130"/>
        <v>#REF!</v>
      </c>
      <c r="AE239" s="375" t="e">
        <f ca="1">$D$15*$L$4/坦克部件养成!$C$2+AE238-IF(LEFT(AD239,2)&lt;&gt;LEFT(AD238,2),VLOOKUP(AF238,INDIRECT(LEFT(AD238,2)&amp;"部件升级消耗"),5,FALSE),0)</f>
        <v>#REF!</v>
      </c>
      <c r="AF239" s="360" t="e">
        <f ca="1">MIN(VLOOKUP(AE239,INDIRECT(LEFT(AD239,2)&amp;"部件升级"),2,TRUE),VLOOKUP(LEFT(AD239,2),坦克部件养成!#REF!,6,FALSE))</f>
        <v>#REF!</v>
      </c>
      <c r="AG239" s="378" t="e">
        <f ca="1">MAX(BD$4:BD239)</f>
        <v>#REF!</v>
      </c>
      <c r="AH239" s="378" t="str">
        <f t="shared" ca="1" si="131"/>
        <v/>
      </c>
      <c r="AI239" s="378">
        <f ca="1">IF(Y239="NULL",0,MAX(BY$4:BY239))</f>
        <v>0</v>
      </c>
      <c r="AK239" s="364" t="e">
        <f t="shared" ca="1" si="132"/>
        <v>#REF!</v>
      </c>
      <c r="AL239" s="364" t="e">
        <f ca="1">VLOOKUP(AK239,坦克个性化设定!$B$18:$F$48,5,FALSE)</f>
        <v>#REF!</v>
      </c>
      <c r="AM239" s="372" t="e">
        <f t="shared" ca="1" si="133"/>
        <v>#REF!</v>
      </c>
      <c r="AN239" s="372" t="e">
        <f t="shared" ca="1" si="141"/>
        <v>#REF!</v>
      </c>
      <c r="AO239" s="364">
        <f t="shared" ca="1" si="134"/>
        <v>0</v>
      </c>
      <c r="AP239" s="372" t="e">
        <f ca="1">VLOOKUP($AK239&amp;$AO239,所有坦克升星属性,MATCH(AP$3,所有坦克升星属性标头,0),FALSE)+ROUND(AU239/VLOOKUP($AK239,坦克部件!#REF!,4,FALSE)*VLOOKUP($AK239&amp;0,所有坦克升星属性,MATCH(AP$3,所有坦克升星属性标头,0),FALSE),0)</f>
        <v>#REF!</v>
      </c>
      <c r="AQ239" s="372" t="e">
        <f ca="1">VLOOKUP($AK239&amp;$AO239,所有坦克升星属性,MATCH(AQ$3,所有坦克升星属性标头,0),FALSE)+ROUND(AV239/VLOOKUP($AK239,坦克部件!#REF!,4,FALSE)*VLOOKUP($AK239&amp;0,所有坦克升星属性,MATCH(AQ$3,所有坦克升星属性标头,0),FALSE),0)</f>
        <v>#REF!</v>
      </c>
      <c r="AR239" s="372" t="e">
        <f t="shared" ca="1" si="154"/>
        <v>#REF!</v>
      </c>
      <c r="AS239" s="372" t="e">
        <f t="shared" ca="1" si="154"/>
        <v>#REF!</v>
      </c>
      <c r="AT239" s="372" t="e">
        <f ca="1">VLOOKUP($AK239&amp;$AO239,所有坦克升星属性,MATCH(AT$3,所有坦克升星属性标头,0),FALSE)+ROUND(AW239/VLOOKUP($AK239,坦克部件!#REF!,4,FALSE)*VLOOKUP($AK239&amp;0,所有坦克升星属性,MATCH(AT$3,所有坦克升星属性标头,0),FALSE),0)</f>
        <v>#REF!</v>
      </c>
      <c r="AU239" s="372" t="e">
        <f ca="1">(VLOOKUP($AM239,坦克部件!#REF!,MATCH("标准值",坦克部件!#REF!,0),FALSE)+VLOOKUP($AN239,坦克部件!#REF!,MATCH("标准值",坦克部件!#REF!,0),FALSE))*2</f>
        <v>#REF!</v>
      </c>
      <c r="AV239" s="372" t="e">
        <f ca="1">(VLOOKUP($AM239,坦克部件!#REF!,MATCH("标准值",坦克部件!#REF!,0),FALSE)+VLOOKUP($AN239,坦克部件!#REF!,MATCH("标准值",坦克部件!#REF!,0),FALSE))*2</f>
        <v>#REF!</v>
      </c>
      <c r="AW239" s="372" t="e">
        <f ca="1">(VLOOKUP($AM239,坦克部件!#REF!,MATCH("标准值",坦克部件!#REF!,0),FALSE)+VLOOKUP($AN239,坦克部件!#REF!,MATCH("标准值",坦克部件!#REF!,0),FALSE))*2</f>
        <v>#REF!</v>
      </c>
      <c r="AX239" s="372" t="e">
        <f ca="1">VLOOKUP($AK239,坦克属性统计!$B$3:$AY$33,MATCH(AX$3,坦克属性统计!$B$3:$AY$3,0),FALSE)</f>
        <v>#REF!</v>
      </c>
      <c r="AY239" s="372" t="e">
        <f t="shared" ca="1" si="155"/>
        <v>#REF!</v>
      </c>
      <c r="AZ239" s="372" t="e">
        <f t="shared" ca="1" si="155"/>
        <v>#REF!</v>
      </c>
      <c r="BA239" s="372" t="e">
        <f t="shared" ca="1" si="155"/>
        <v>#REF!</v>
      </c>
      <c r="BB239" s="356" t="e">
        <f t="shared" ca="1" si="135"/>
        <v>#REF!</v>
      </c>
      <c r="BC239" s="356" t="e">
        <f ca="1">VLOOKUP(AK239,坦克个性化设定!$B$18:$E$48,4,FALSE)</f>
        <v>#REF!</v>
      </c>
      <c r="BD239" s="357" t="e">
        <f t="shared" ca="1" si="142"/>
        <v>#REF!</v>
      </c>
      <c r="BF239" s="357" t="str">
        <f t="shared" ca="1" si="136"/>
        <v/>
      </c>
      <c r="BG239" s="372" t="str">
        <f ca="1">IFERROR(VLOOKUP(BF239,坦克个性化设定!$B$18:$F$48,5,FALSE),"")</f>
        <v/>
      </c>
      <c r="BH239" s="372" t="e">
        <f t="shared" ca="1" si="143"/>
        <v>#REF!</v>
      </c>
      <c r="BI239" s="372" t="e">
        <f t="shared" ca="1" si="144"/>
        <v>#REF!</v>
      </c>
      <c r="BJ239" s="364" t="str">
        <f t="shared" ca="1" si="137"/>
        <v>NULL</v>
      </c>
      <c r="BK239" s="372" t="e">
        <f ca="1">VLOOKUP($BF239&amp;IF($BJ239="NULL",0,$BJ239),所有坦克升星属性,MATCH(BK$3,所有坦克升星属性标头,0),FALSE)+ROUND(BP239/VLOOKUP($BF239,坦克部件!#REF!,4,FALSE)*VLOOKUP($BF239&amp;0,所有坦克升星属性,MATCH(BK$3,所有坦克升星属性标头,0),FALSE),0)</f>
        <v>#N/A</v>
      </c>
      <c r="BL239" s="372" t="e">
        <f ca="1">VLOOKUP($BF239&amp;IF($BJ239="NULL",0,$BJ239),所有坦克升星属性,MATCH(BL$3,所有坦克升星属性标头,0),FALSE)+ROUND(BQ239/VLOOKUP($BF239,坦克部件!#REF!,4,FALSE)*VLOOKUP($BF239&amp;0,所有坦克升星属性,MATCH(BL$3,所有坦克升星属性标头,0),FALSE),0)</f>
        <v>#N/A</v>
      </c>
      <c r="BM239" s="372" t="e">
        <f t="shared" ca="1" si="156"/>
        <v>#N/A</v>
      </c>
      <c r="BN239" s="372" t="e">
        <f t="shared" ca="1" si="156"/>
        <v>#N/A</v>
      </c>
      <c r="BO239" s="372" t="e">
        <f ca="1">VLOOKUP($BF239&amp;IF($BJ239="NULL",0,$BJ239),所有坦克升星属性,MATCH(BO$3,所有坦克升星属性标头,0),FALSE)+ROUND(BR239/VLOOKUP($BF239,坦克部件!#REF!,4,FALSE)*VLOOKUP($BF239&amp;0,所有坦克升星属性,MATCH(BO$3,所有坦克升星属性标头,0),FALSE),0)</f>
        <v>#N/A</v>
      </c>
      <c r="BP239" s="372" t="e">
        <f ca="1">(VLOOKUP($BH239,坦克部件!#REF!,MATCH("标准值",坦克部件!#REF!,0),FALSE)+VLOOKUP($BI239,坦克部件!#REF!,MATCH("标准值",坦克部件!#REF!,0),FALSE))*2</f>
        <v>#REF!</v>
      </c>
      <c r="BQ239" s="372" t="e">
        <f ca="1">(VLOOKUP($BH239,坦克部件!#REF!,MATCH("标准值",坦克部件!#REF!,0),FALSE)+VLOOKUP($BI239,坦克部件!#REF!,MATCH("标准值",坦克部件!#REF!,0),FALSE))*2</f>
        <v>#REF!</v>
      </c>
      <c r="BR239" s="372" t="e">
        <f ca="1">(VLOOKUP($BH239,坦克部件!#REF!,MATCH("标准值",坦克部件!#REF!,0),FALSE)+VLOOKUP($BI239,坦克部件!#REF!,MATCH("标准值",坦克部件!#REF!,0),FALSE))*2</f>
        <v>#REF!</v>
      </c>
      <c r="BS239" s="372" t="e">
        <f ca="1">VLOOKUP($BF239,坦克属性统计!$B$3:$AY$33,MATCH(BS$3,坦克属性统计!$B$3:$AY$3,0),FALSE)</f>
        <v>#N/A</v>
      </c>
      <c r="BT239" s="372" t="e">
        <f t="shared" ca="1" si="157"/>
        <v>#N/A</v>
      </c>
      <c r="BU239" s="372" t="e">
        <f t="shared" ca="1" si="157"/>
        <v>#N/A</v>
      </c>
      <c r="BV239" s="372" t="e">
        <f t="shared" ca="1" si="157"/>
        <v>#N/A</v>
      </c>
      <c r="BW239" s="356">
        <f t="shared" ca="1" si="138"/>
        <v>0</v>
      </c>
      <c r="BX239" s="356" t="e">
        <f ca="1">VLOOKUP(BF239,坦克个性化设定!$B$18:$E$48,4,FALSE)</f>
        <v>#N/A</v>
      </c>
      <c r="BY239" s="357" t="e">
        <f t="shared" ca="1" si="145"/>
        <v>#N/A</v>
      </c>
    </row>
    <row r="240" spans="15:77" x14ac:dyDescent="0.35">
      <c r="O240" s="365">
        <v>237</v>
      </c>
      <c r="P240" s="360" t="e">
        <f t="shared" ca="1" si="152"/>
        <v>#REF!</v>
      </c>
      <c r="Q240" s="360" t="e">
        <f ca="1">ROUND(MIN((BD240-VLOOKUP(R240,$B$22:$F$46,2,FALSE))/(VLOOKUP(R240,$B$22:$F$46,3,FALSE)-VLOOKUP(R240,$B$22:$F$46,2,FALSE)),1)*((VLOOKUP(R240,$B$22:$F$46,4,FALSE)*(AG240/(AG240+VLOOKUP(P240,$D$49:$F$123,3,TRUE)))+VLOOKUP(R240,$B$22:$F$46,5,FALSE)*(1-AG240/(AG240+VLOOKUP(P240,$D$49:$F$123,3,TRUE))))/2)*游戏时长规划!$C$4,0)</f>
        <v>#REF!</v>
      </c>
      <c r="R240" s="360" t="e">
        <f t="shared" ca="1" si="125"/>
        <v>#REF!</v>
      </c>
      <c r="S240" s="360" t="e">
        <f t="shared" ca="1" si="146"/>
        <v>#REF!</v>
      </c>
      <c r="T240" s="360" t="e">
        <f t="shared" ca="1" si="153"/>
        <v>#REF!</v>
      </c>
      <c r="U240" s="370" t="e">
        <f t="shared" ca="1" si="126"/>
        <v>#REF!</v>
      </c>
      <c r="V240" s="363" t="e">
        <f t="shared" ca="1" si="147"/>
        <v>#REF!</v>
      </c>
      <c r="W240" s="360" t="e">
        <f t="shared" ca="1" si="127"/>
        <v>#REF!</v>
      </c>
      <c r="X240" s="81" t="e">
        <f t="shared" ca="1" si="139"/>
        <v>#REF!</v>
      </c>
      <c r="Y240" s="360" t="str">
        <f t="shared" ca="1" si="128"/>
        <v>NULL</v>
      </c>
      <c r="Z240" s="375" t="e">
        <f t="shared" ca="1" si="140"/>
        <v>#REF!</v>
      </c>
      <c r="AA240" s="360">
        <f ca="1">IFERROR(VLOOKUP(IF(V240="T1低",游戏时长规划!$C$67+Z240,Z240),INDIRECT(V240&amp;"星级"),2,TRUE),0)</f>
        <v>0</v>
      </c>
      <c r="AB240" s="375" t="e">
        <f t="shared" ca="1" si="129"/>
        <v>#REF!</v>
      </c>
      <c r="AC240" s="375">
        <f ca="1">($D$14+$D$17)*$L$4/坦克部件养成!$C$2+AC239-IFERROR(IF(RIGHT(AD239,3)*1&gt;RIGHT(VLOOKUP(AC239,INDIRECT(LEFT(AD238,2)&amp;"部件升阶"),5,TRUE),3)*1,VLOOKUP(AD238,INDIRECT(LEFT(AD238,2)&amp;"部件升阶消耗"),2,FALSE),0),0)</f>
        <v>2804.5000000000045</v>
      </c>
      <c r="AD240" s="360" t="e">
        <f t="shared" ca="1" si="130"/>
        <v>#REF!</v>
      </c>
      <c r="AE240" s="375" t="e">
        <f ca="1">$D$15*$L$4/坦克部件养成!$C$2+AE239-IF(LEFT(AD240,2)&lt;&gt;LEFT(AD239,2),VLOOKUP(AF239,INDIRECT(LEFT(AD239,2)&amp;"部件升级消耗"),5,FALSE),0)</f>
        <v>#REF!</v>
      </c>
      <c r="AF240" s="360" t="e">
        <f ca="1">MIN(VLOOKUP(AE240,INDIRECT(LEFT(AD240,2)&amp;"部件升级"),2,TRUE),VLOOKUP(LEFT(AD240,2),坦克部件养成!#REF!,6,FALSE))</f>
        <v>#REF!</v>
      </c>
      <c r="AG240" s="378" t="e">
        <f ca="1">MAX(BD$4:BD240)</f>
        <v>#REF!</v>
      </c>
      <c r="AH240" s="378" t="str">
        <f t="shared" ca="1" si="131"/>
        <v/>
      </c>
      <c r="AI240" s="378">
        <f ca="1">IF(Y240="NULL",0,MAX(BY$4:BY240))</f>
        <v>0</v>
      </c>
      <c r="AK240" s="364" t="e">
        <f t="shared" ca="1" si="132"/>
        <v>#REF!</v>
      </c>
      <c r="AL240" s="364" t="e">
        <f ca="1">VLOOKUP(AK240,坦克个性化设定!$B$18:$F$48,5,FALSE)</f>
        <v>#REF!</v>
      </c>
      <c r="AM240" s="372" t="e">
        <f t="shared" ca="1" si="133"/>
        <v>#REF!</v>
      </c>
      <c r="AN240" s="372" t="e">
        <f t="shared" ca="1" si="141"/>
        <v>#REF!</v>
      </c>
      <c r="AO240" s="364">
        <f t="shared" ca="1" si="134"/>
        <v>0</v>
      </c>
      <c r="AP240" s="372" t="e">
        <f ca="1">VLOOKUP($AK240&amp;$AO240,所有坦克升星属性,MATCH(AP$3,所有坦克升星属性标头,0),FALSE)+ROUND(AU240/VLOOKUP($AK240,坦克部件!#REF!,4,FALSE)*VLOOKUP($AK240&amp;0,所有坦克升星属性,MATCH(AP$3,所有坦克升星属性标头,0),FALSE),0)</f>
        <v>#REF!</v>
      </c>
      <c r="AQ240" s="372" t="e">
        <f ca="1">VLOOKUP($AK240&amp;$AO240,所有坦克升星属性,MATCH(AQ$3,所有坦克升星属性标头,0),FALSE)+ROUND(AV240/VLOOKUP($AK240,坦克部件!#REF!,4,FALSE)*VLOOKUP($AK240&amp;0,所有坦克升星属性,MATCH(AQ$3,所有坦克升星属性标头,0),FALSE),0)</f>
        <v>#REF!</v>
      </c>
      <c r="AR240" s="372" t="e">
        <f t="shared" ca="1" si="154"/>
        <v>#REF!</v>
      </c>
      <c r="AS240" s="372" t="e">
        <f t="shared" ca="1" si="154"/>
        <v>#REF!</v>
      </c>
      <c r="AT240" s="372" t="e">
        <f ca="1">VLOOKUP($AK240&amp;$AO240,所有坦克升星属性,MATCH(AT$3,所有坦克升星属性标头,0),FALSE)+ROUND(AW240/VLOOKUP($AK240,坦克部件!#REF!,4,FALSE)*VLOOKUP($AK240&amp;0,所有坦克升星属性,MATCH(AT$3,所有坦克升星属性标头,0),FALSE),0)</f>
        <v>#REF!</v>
      </c>
      <c r="AU240" s="372" t="e">
        <f ca="1">(VLOOKUP($AM240,坦克部件!#REF!,MATCH("标准值",坦克部件!#REF!,0),FALSE)+VLOOKUP($AN240,坦克部件!#REF!,MATCH("标准值",坦克部件!#REF!,0),FALSE))*2</f>
        <v>#REF!</v>
      </c>
      <c r="AV240" s="372" t="e">
        <f ca="1">(VLOOKUP($AM240,坦克部件!#REF!,MATCH("标准值",坦克部件!#REF!,0),FALSE)+VLOOKUP($AN240,坦克部件!#REF!,MATCH("标准值",坦克部件!#REF!,0),FALSE))*2</f>
        <v>#REF!</v>
      </c>
      <c r="AW240" s="372" t="e">
        <f ca="1">(VLOOKUP($AM240,坦克部件!#REF!,MATCH("标准值",坦克部件!#REF!,0),FALSE)+VLOOKUP($AN240,坦克部件!#REF!,MATCH("标准值",坦克部件!#REF!,0),FALSE))*2</f>
        <v>#REF!</v>
      </c>
      <c r="AX240" s="372" t="e">
        <f ca="1">VLOOKUP($AK240,坦克属性统计!$B$3:$AY$33,MATCH(AX$3,坦克属性统计!$B$3:$AY$3,0),FALSE)</f>
        <v>#REF!</v>
      </c>
      <c r="AY240" s="372" t="e">
        <f t="shared" ca="1" si="155"/>
        <v>#REF!</v>
      </c>
      <c r="AZ240" s="372" t="e">
        <f t="shared" ca="1" si="155"/>
        <v>#REF!</v>
      </c>
      <c r="BA240" s="372" t="e">
        <f t="shared" ca="1" si="155"/>
        <v>#REF!</v>
      </c>
      <c r="BB240" s="356" t="e">
        <f t="shared" ca="1" si="135"/>
        <v>#REF!</v>
      </c>
      <c r="BC240" s="356" t="e">
        <f ca="1">VLOOKUP(AK240,坦克个性化设定!$B$18:$E$48,4,FALSE)</f>
        <v>#REF!</v>
      </c>
      <c r="BD240" s="357" t="e">
        <f t="shared" ca="1" si="142"/>
        <v>#REF!</v>
      </c>
      <c r="BF240" s="357" t="str">
        <f t="shared" ca="1" si="136"/>
        <v/>
      </c>
      <c r="BG240" s="372" t="str">
        <f ca="1">IFERROR(VLOOKUP(BF240,坦克个性化设定!$B$18:$F$48,5,FALSE),"")</f>
        <v/>
      </c>
      <c r="BH240" s="372" t="e">
        <f t="shared" ca="1" si="143"/>
        <v>#REF!</v>
      </c>
      <c r="BI240" s="372" t="e">
        <f t="shared" ca="1" si="144"/>
        <v>#REF!</v>
      </c>
      <c r="BJ240" s="364" t="str">
        <f t="shared" ca="1" si="137"/>
        <v>NULL</v>
      </c>
      <c r="BK240" s="372" t="e">
        <f ca="1">VLOOKUP($BF240&amp;IF($BJ240="NULL",0,$BJ240),所有坦克升星属性,MATCH(BK$3,所有坦克升星属性标头,0),FALSE)+ROUND(BP240/VLOOKUP($BF240,坦克部件!#REF!,4,FALSE)*VLOOKUP($BF240&amp;0,所有坦克升星属性,MATCH(BK$3,所有坦克升星属性标头,0),FALSE),0)</f>
        <v>#N/A</v>
      </c>
      <c r="BL240" s="372" t="e">
        <f ca="1">VLOOKUP($BF240&amp;IF($BJ240="NULL",0,$BJ240),所有坦克升星属性,MATCH(BL$3,所有坦克升星属性标头,0),FALSE)+ROUND(BQ240/VLOOKUP($BF240,坦克部件!#REF!,4,FALSE)*VLOOKUP($BF240&amp;0,所有坦克升星属性,MATCH(BL$3,所有坦克升星属性标头,0),FALSE),0)</f>
        <v>#N/A</v>
      </c>
      <c r="BM240" s="372" t="e">
        <f t="shared" ca="1" si="156"/>
        <v>#N/A</v>
      </c>
      <c r="BN240" s="372" t="e">
        <f t="shared" ca="1" si="156"/>
        <v>#N/A</v>
      </c>
      <c r="BO240" s="372" t="e">
        <f ca="1">VLOOKUP($BF240&amp;IF($BJ240="NULL",0,$BJ240),所有坦克升星属性,MATCH(BO$3,所有坦克升星属性标头,0),FALSE)+ROUND(BR240/VLOOKUP($BF240,坦克部件!#REF!,4,FALSE)*VLOOKUP($BF240&amp;0,所有坦克升星属性,MATCH(BO$3,所有坦克升星属性标头,0),FALSE),0)</f>
        <v>#N/A</v>
      </c>
      <c r="BP240" s="372" t="e">
        <f ca="1">(VLOOKUP($BH240,坦克部件!#REF!,MATCH("标准值",坦克部件!#REF!,0),FALSE)+VLOOKUP($BI240,坦克部件!#REF!,MATCH("标准值",坦克部件!#REF!,0),FALSE))*2</f>
        <v>#REF!</v>
      </c>
      <c r="BQ240" s="372" t="e">
        <f ca="1">(VLOOKUP($BH240,坦克部件!#REF!,MATCH("标准值",坦克部件!#REF!,0),FALSE)+VLOOKUP($BI240,坦克部件!#REF!,MATCH("标准值",坦克部件!#REF!,0),FALSE))*2</f>
        <v>#REF!</v>
      </c>
      <c r="BR240" s="372" t="e">
        <f ca="1">(VLOOKUP($BH240,坦克部件!#REF!,MATCH("标准值",坦克部件!#REF!,0),FALSE)+VLOOKUP($BI240,坦克部件!#REF!,MATCH("标准值",坦克部件!#REF!,0),FALSE))*2</f>
        <v>#REF!</v>
      </c>
      <c r="BS240" s="372" t="e">
        <f ca="1">VLOOKUP($BF240,坦克属性统计!$B$3:$AY$33,MATCH(BS$3,坦克属性统计!$B$3:$AY$3,0),FALSE)</f>
        <v>#N/A</v>
      </c>
      <c r="BT240" s="372" t="e">
        <f t="shared" ca="1" si="157"/>
        <v>#N/A</v>
      </c>
      <c r="BU240" s="372" t="e">
        <f t="shared" ca="1" si="157"/>
        <v>#N/A</v>
      </c>
      <c r="BV240" s="372" t="e">
        <f t="shared" ca="1" si="157"/>
        <v>#N/A</v>
      </c>
      <c r="BW240" s="356">
        <f t="shared" ca="1" si="138"/>
        <v>0</v>
      </c>
      <c r="BX240" s="356" t="e">
        <f ca="1">VLOOKUP(BF240,坦克个性化设定!$B$18:$E$48,4,FALSE)</f>
        <v>#N/A</v>
      </c>
      <c r="BY240" s="357" t="e">
        <f t="shared" ca="1" si="145"/>
        <v>#N/A</v>
      </c>
    </row>
    <row r="241" spans="15:77" x14ac:dyDescent="0.35">
      <c r="O241" s="365">
        <v>238</v>
      </c>
      <c r="P241" s="360" t="e">
        <f t="shared" ca="1" si="152"/>
        <v>#REF!</v>
      </c>
      <c r="Q241" s="360" t="e">
        <f ca="1">ROUND(MIN((BD241-VLOOKUP(R241,$B$22:$F$46,2,FALSE))/(VLOOKUP(R241,$B$22:$F$46,3,FALSE)-VLOOKUP(R241,$B$22:$F$46,2,FALSE)),1)*((VLOOKUP(R241,$B$22:$F$46,4,FALSE)*(AG241/(AG241+VLOOKUP(P241,$D$49:$F$123,3,TRUE)))+VLOOKUP(R241,$B$22:$F$46,5,FALSE)*(1-AG241/(AG241+VLOOKUP(P241,$D$49:$F$123,3,TRUE))))/2)*游戏时长规划!$C$4,0)</f>
        <v>#REF!</v>
      </c>
      <c r="R241" s="360" t="e">
        <f t="shared" ca="1" si="125"/>
        <v>#REF!</v>
      </c>
      <c r="S241" s="360" t="e">
        <f t="shared" ca="1" si="146"/>
        <v>#REF!</v>
      </c>
      <c r="T241" s="360" t="e">
        <f t="shared" ca="1" si="153"/>
        <v>#REF!</v>
      </c>
      <c r="U241" s="370" t="e">
        <f t="shared" ca="1" si="126"/>
        <v>#REF!</v>
      </c>
      <c r="V241" s="363" t="e">
        <f t="shared" ca="1" si="147"/>
        <v>#REF!</v>
      </c>
      <c r="W241" s="360" t="e">
        <f t="shared" ca="1" si="127"/>
        <v>#REF!</v>
      </c>
      <c r="X241" s="81" t="e">
        <f t="shared" ca="1" si="139"/>
        <v>#REF!</v>
      </c>
      <c r="Y241" s="360" t="str">
        <f t="shared" ca="1" si="128"/>
        <v>NULL</v>
      </c>
      <c r="Z241" s="375" t="e">
        <f t="shared" ca="1" si="140"/>
        <v>#REF!</v>
      </c>
      <c r="AA241" s="360">
        <f ca="1">IFERROR(VLOOKUP(IF(V241="T1低",游戏时长规划!$C$67+Z241,Z241),INDIRECT(V241&amp;"星级"),2,TRUE),0)</f>
        <v>0</v>
      </c>
      <c r="AB241" s="375" t="e">
        <f t="shared" ca="1" si="129"/>
        <v>#REF!</v>
      </c>
      <c r="AC241" s="375">
        <f ca="1">($D$14+$D$17)*$L$4/坦克部件养成!$C$2+AC240-IFERROR(IF(RIGHT(AD240,3)*1&gt;RIGHT(VLOOKUP(AC240,INDIRECT(LEFT(AD239,2)&amp;"部件升阶"),5,TRUE),3)*1,VLOOKUP(AD239,INDIRECT(LEFT(AD239,2)&amp;"部件升阶消耗"),2,FALSE),0),0)</f>
        <v>2816.333333333338</v>
      </c>
      <c r="AD241" s="360" t="e">
        <f t="shared" ca="1" si="130"/>
        <v>#REF!</v>
      </c>
      <c r="AE241" s="375" t="e">
        <f ca="1">$D$15*$L$4/坦克部件养成!$C$2+AE240-IF(LEFT(AD241,2)&lt;&gt;LEFT(AD240,2),VLOOKUP(AF240,INDIRECT(LEFT(AD240,2)&amp;"部件升级消耗"),5,FALSE),0)</f>
        <v>#REF!</v>
      </c>
      <c r="AF241" s="360" t="e">
        <f ca="1">MIN(VLOOKUP(AE241,INDIRECT(LEFT(AD241,2)&amp;"部件升级"),2,TRUE),VLOOKUP(LEFT(AD241,2),坦克部件养成!#REF!,6,FALSE))</f>
        <v>#REF!</v>
      </c>
      <c r="AG241" s="378" t="e">
        <f ca="1">MAX(BD$4:BD241)</f>
        <v>#REF!</v>
      </c>
      <c r="AH241" s="378" t="str">
        <f t="shared" ca="1" si="131"/>
        <v/>
      </c>
      <c r="AI241" s="378">
        <f ca="1">IF(Y241="NULL",0,MAX(BY$4:BY241))</f>
        <v>0</v>
      </c>
      <c r="AK241" s="364" t="e">
        <f t="shared" ca="1" si="132"/>
        <v>#REF!</v>
      </c>
      <c r="AL241" s="364" t="e">
        <f ca="1">VLOOKUP(AK241,坦克个性化设定!$B$18:$F$48,5,FALSE)</f>
        <v>#REF!</v>
      </c>
      <c r="AM241" s="372" t="e">
        <f t="shared" ca="1" si="133"/>
        <v>#REF!</v>
      </c>
      <c r="AN241" s="372" t="e">
        <f t="shared" ca="1" si="141"/>
        <v>#REF!</v>
      </c>
      <c r="AO241" s="364">
        <f t="shared" ca="1" si="134"/>
        <v>0</v>
      </c>
      <c r="AP241" s="372" t="e">
        <f ca="1">VLOOKUP($AK241&amp;$AO241,所有坦克升星属性,MATCH(AP$3,所有坦克升星属性标头,0),FALSE)+ROUND(AU241/VLOOKUP($AK241,坦克部件!#REF!,4,FALSE)*VLOOKUP($AK241&amp;0,所有坦克升星属性,MATCH(AP$3,所有坦克升星属性标头,0),FALSE),0)</f>
        <v>#REF!</v>
      </c>
      <c r="AQ241" s="372" t="e">
        <f ca="1">VLOOKUP($AK241&amp;$AO241,所有坦克升星属性,MATCH(AQ$3,所有坦克升星属性标头,0),FALSE)+ROUND(AV241/VLOOKUP($AK241,坦克部件!#REF!,4,FALSE)*VLOOKUP($AK241&amp;0,所有坦克升星属性,MATCH(AQ$3,所有坦克升星属性标头,0),FALSE),0)</f>
        <v>#REF!</v>
      </c>
      <c r="AR241" s="372" t="e">
        <f t="shared" ca="1" si="154"/>
        <v>#REF!</v>
      </c>
      <c r="AS241" s="372" t="e">
        <f t="shared" ca="1" si="154"/>
        <v>#REF!</v>
      </c>
      <c r="AT241" s="372" t="e">
        <f ca="1">VLOOKUP($AK241&amp;$AO241,所有坦克升星属性,MATCH(AT$3,所有坦克升星属性标头,0),FALSE)+ROUND(AW241/VLOOKUP($AK241,坦克部件!#REF!,4,FALSE)*VLOOKUP($AK241&amp;0,所有坦克升星属性,MATCH(AT$3,所有坦克升星属性标头,0),FALSE),0)</f>
        <v>#REF!</v>
      </c>
      <c r="AU241" s="372" t="e">
        <f ca="1">(VLOOKUP($AM241,坦克部件!#REF!,MATCH("标准值",坦克部件!#REF!,0),FALSE)+VLOOKUP($AN241,坦克部件!#REF!,MATCH("标准值",坦克部件!#REF!,0),FALSE))*2</f>
        <v>#REF!</v>
      </c>
      <c r="AV241" s="372" t="e">
        <f ca="1">(VLOOKUP($AM241,坦克部件!#REF!,MATCH("标准值",坦克部件!#REF!,0),FALSE)+VLOOKUP($AN241,坦克部件!#REF!,MATCH("标准值",坦克部件!#REF!,0),FALSE))*2</f>
        <v>#REF!</v>
      </c>
      <c r="AW241" s="372" t="e">
        <f ca="1">(VLOOKUP($AM241,坦克部件!#REF!,MATCH("标准值",坦克部件!#REF!,0),FALSE)+VLOOKUP($AN241,坦克部件!#REF!,MATCH("标准值",坦克部件!#REF!,0),FALSE))*2</f>
        <v>#REF!</v>
      </c>
      <c r="AX241" s="372" t="e">
        <f ca="1">VLOOKUP($AK241,坦克属性统计!$B$3:$AY$33,MATCH(AX$3,坦克属性统计!$B$3:$AY$3,0),FALSE)</f>
        <v>#REF!</v>
      </c>
      <c r="AY241" s="372" t="e">
        <f t="shared" ca="1" si="155"/>
        <v>#REF!</v>
      </c>
      <c r="AZ241" s="372" t="e">
        <f t="shared" ca="1" si="155"/>
        <v>#REF!</v>
      </c>
      <c r="BA241" s="372" t="e">
        <f t="shared" ca="1" si="155"/>
        <v>#REF!</v>
      </c>
      <c r="BB241" s="356" t="e">
        <f t="shared" ca="1" si="135"/>
        <v>#REF!</v>
      </c>
      <c r="BC241" s="356" t="e">
        <f ca="1">VLOOKUP(AK241,坦克个性化设定!$B$18:$E$48,4,FALSE)</f>
        <v>#REF!</v>
      </c>
      <c r="BD241" s="357" t="e">
        <f t="shared" ca="1" si="142"/>
        <v>#REF!</v>
      </c>
      <c r="BF241" s="357" t="str">
        <f t="shared" ca="1" si="136"/>
        <v/>
      </c>
      <c r="BG241" s="372" t="str">
        <f ca="1">IFERROR(VLOOKUP(BF241,坦克个性化设定!$B$18:$F$48,5,FALSE),"")</f>
        <v/>
      </c>
      <c r="BH241" s="372" t="e">
        <f t="shared" ca="1" si="143"/>
        <v>#REF!</v>
      </c>
      <c r="BI241" s="372" t="e">
        <f t="shared" ca="1" si="144"/>
        <v>#REF!</v>
      </c>
      <c r="BJ241" s="364" t="str">
        <f t="shared" ca="1" si="137"/>
        <v>NULL</v>
      </c>
      <c r="BK241" s="372" t="e">
        <f ca="1">VLOOKUP($BF241&amp;IF($BJ241="NULL",0,$BJ241),所有坦克升星属性,MATCH(BK$3,所有坦克升星属性标头,0),FALSE)+ROUND(BP241/VLOOKUP($BF241,坦克部件!#REF!,4,FALSE)*VLOOKUP($BF241&amp;0,所有坦克升星属性,MATCH(BK$3,所有坦克升星属性标头,0),FALSE),0)</f>
        <v>#N/A</v>
      </c>
      <c r="BL241" s="372" t="e">
        <f ca="1">VLOOKUP($BF241&amp;IF($BJ241="NULL",0,$BJ241),所有坦克升星属性,MATCH(BL$3,所有坦克升星属性标头,0),FALSE)+ROUND(BQ241/VLOOKUP($BF241,坦克部件!#REF!,4,FALSE)*VLOOKUP($BF241&amp;0,所有坦克升星属性,MATCH(BL$3,所有坦克升星属性标头,0),FALSE),0)</f>
        <v>#N/A</v>
      </c>
      <c r="BM241" s="372" t="e">
        <f t="shared" ca="1" si="156"/>
        <v>#N/A</v>
      </c>
      <c r="BN241" s="372" t="e">
        <f t="shared" ca="1" si="156"/>
        <v>#N/A</v>
      </c>
      <c r="BO241" s="372" t="e">
        <f ca="1">VLOOKUP($BF241&amp;IF($BJ241="NULL",0,$BJ241),所有坦克升星属性,MATCH(BO$3,所有坦克升星属性标头,0),FALSE)+ROUND(BR241/VLOOKUP($BF241,坦克部件!#REF!,4,FALSE)*VLOOKUP($BF241&amp;0,所有坦克升星属性,MATCH(BO$3,所有坦克升星属性标头,0),FALSE),0)</f>
        <v>#N/A</v>
      </c>
      <c r="BP241" s="372" t="e">
        <f ca="1">(VLOOKUP($BH241,坦克部件!#REF!,MATCH("标准值",坦克部件!#REF!,0),FALSE)+VLOOKUP($BI241,坦克部件!#REF!,MATCH("标准值",坦克部件!#REF!,0),FALSE))*2</f>
        <v>#REF!</v>
      </c>
      <c r="BQ241" s="372" t="e">
        <f ca="1">(VLOOKUP($BH241,坦克部件!#REF!,MATCH("标准值",坦克部件!#REF!,0),FALSE)+VLOOKUP($BI241,坦克部件!#REF!,MATCH("标准值",坦克部件!#REF!,0),FALSE))*2</f>
        <v>#REF!</v>
      </c>
      <c r="BR241" s="372" t="e">
        <f ca="1">(VLOOKUP($BH241,坦克部件!#REF!,MATCH("标准值",坦克部件!#REF!,0),FALSE)+VLOOKUP($BI241,坦克部件!#REF!,MATCH("标准值",坦克部件!#REF!,0),FALSE))*2</f>
        <v>#REF!</v>
      </c>
      <c r="BS241" s="372" t="e">
        <f ca="1">VLOOKUP($BF241,坦克属性统计!$B$3:$AY$33,MATCH(BS$3,坦克属性统计!$B$3:$AY$3,0),FALSE)</f>
        <v>#N/A</v>
      </c>
      <c r="BT241" s="372" t="e">
        <f t="shared" ca="1" si="157"/>
        <v>#N/A</v>
      </c>
      <c r="BU241" s="372" t="e">
        <f t="shared" ca="1" si="157"/>
        <v>#N/A</v>
      </c>
      <c r="BV241" s="372" t="e">
        <f t="shared" ca="1" si="157"/>
        <v>#N/A</v>
      </c>
      <c r="BW241" s="356">
        <f t="shared" ca="1" si="138"/>
        <v>0</v>
      </c>
      <c r="BX241" s="356" t="e">
        <f ca="1">VLOOKUP(BF241,坦克个性化设定!$B$18:$E$48,4,FALSE)</f>
        <v>#N/A</v>
      </c>
      <c r="BY241" s="357" t="e">
        <f t="shared" ca="1" si="145"/>
        <v>#N/A</v>
      </c>
    </row>
    <row r="242" spans="15:77" x14ac:dyDescent="0.35">
      <c r="O242" s="365">
        <v>239</v>
      </c>
      <c r="P242" s="360" t="e">
        <f t="shared" ca="1" si="152"/>
        <v>#REF!</v>
      </c>
      <c r="Q242" s="360" t="e">
        <f ca="1">ROUND(MIN((BD242-VLOOKUP(R242,$B$22:$F$46,2,FALSE))/(VLOOKUP(R242,$B$22:$F$46,3,FALSE)-VLOOKUP(R242,$B$22:$F$46,2,FALSE)),1)*((VLOOKUP(R242,$B$22:$F$46,4,FALSE)*(AG242/(AG242+VLOOKUP(P242,$D$49:$F$123,3,TRUE)))+VLOOKUP(R242,$B$22:$F$46,5,FALSE)*(1-AG242/(AG242+VLOOKUP(P242,$D$49:$F$123,3,TRUE))))/2)*游戏时长规划!$C$4,0)</f>
        <v>#REF!</v>
      </c>
      <c r="R242" s="360" t="e">
        <f t="shared" ca="1" si="125"/>
        <v>#REF!</v>
      </c>
      <c r="S242" s="360" t="e">
        <f t="shared" ca="1" si="146"/>
        <v>#REF!</v>
      </c>
      <c r="T242" s="360" t="e">
        <f t="shared" ca="1" si="153"/>
        <v>#REF!</v>
      </c>
      <c r="U242" s="370" t="e">
        <f t="shared" ca="1" si="126"/>
        <v>#REF!</v>
      </c>
      <c r="V242" s="363" t="e">
        <f t="shared" ca="1" si="147"/>
        <v>#REF!</v>
      </c>
      <c r="W242" s="360" t="e">
        <f t="shared" ca="1" si="127"/>
        <v>#REF!</v>
      </c>
      <c r="X242" s="81" t="e">
        <f t="shared" ca="1" si="139"/>
        <v>#REF!</v>
      </c>
      <c r="Y242" s="360" t="str">
        <f t="shared" ca="1" si="128"/>
        <v>NULL</v>
      </c>
      <c r="Z242" s="375" t="e">
        <f t="shared" ca="1" si="140"/>
        <v>#REF!</v>
      </c>
      <c r="AA242" s="360">
        <f ca="1">IFERROR(VLOOKUP(IF(V242="T1低",游戏时长规划!$C$67+Z242,Z242),INDIRECT(V242&amp;"星级"),2,TRUE),0)</f>
        <v>0</v>
      </c>
      <c r="AB242" s="375" t="e">
        <f t="shared" ca="1" si="129"/>
        <v>#REF!</v>
      </c>
      <c r="AC242" s="375">
        <f ca="1">($D$14+$D$17)*$L$4/坦克部件养成!$C$2+AC241-IFERROR(IF(RIGHT(AD241,3)*1&gt;RIGHT(VLOOKUP(AC241,INDIRECT(LEFT(AD240,2)&amp;"部件升阶"),5,TRUE),3)*1,VLOOKUP(AD240,INDIRECT(LEFT(AD240,2)&amp;"部件升阶消耗"),2,FALSE),0),0)</f>
        <v>2828.1666666666715</v>
      </c>
      <c r="AD242" s="360" t="e">
        <f t="shared" ca="1" si="130"/>
        <v>#REF!</v>
      </c>
      <c r="AE242" s="375" t="e">
        <f ca="1">$D$15*$L$4/坦克部件养成!$C$2+AE241-IF(LEFT(AD242,2)&lt;&gt;LEFT(AD241,2),VLOOKUP(AF241,INDIRECT(LEFT(AD241,2)&amp;"部件升级消耗"),5,FALSE),0)</f>
        <v>#REF!</v>
      </c>
      <c r="AF242" s="360" t="e">
        <f ca="1">MIN(VLOOKUP(AE242,INDIRECT(LEFT(AD242,2)&amp;"部件升级"),2,TRUE),VLOOKUP(LEFT(AD242,2),坦克部件养成!#REF!,6,FALSE))</f>
        <v>#REF!</v>
      </c>
      <c r="AG242" s="378" t="e">
        <f ca="1">MAX(BD$4:BD242)</f>
        <v>#REF!</v>
      </c>
      <c r="AH242" s="378" t="str">
        <f t="shared" ca="1" si="131"/>
        <v/>
      </c>
      <c r="AI242" s="378">
        <f ca="1">IF(Y242="NULL",0,MAX(BY$4:BY242))</f>
        <v>0</v>
      </c>
      <c r="AK242" s="364" t="e">
        <f t="shared" ca="1" si="132"/>
        <v>#REF!</v>
      </c>
      <c r="AL242" s="364" t="e">
        <f ca="1">VLOOKUP(AK242,坦克个性化设定!$B$18:$F$48,5,FALSE)</f>
        <v>#REF!</v>
      </c>
      <c r="AM242" s="372" t="e">
        <f t="shared" ca="1" si="133"/>
        <v>#REF!</v>
      </c>
      <c r="AN242" s="372" t="e">
        <f t="shared" ca="1" si="141"/>
        <v>#REF!</v>
      </c>
      <c r="AO242" s="364">
        <f t="shared" ca="1" si="134"/>
        <v>0</v>
      </c>
      <c r="AP242" s="372" t="e">
        <f ca="1">VLOOKUP($AK242&amp;$AO242,所有坦克升星属性,MATCH(AP$3,所有坦克升星属性标头,0),FALSE)+ROUND(AU242/VLOOKUP($AK242,坦克部件!#REF!,4,FALSE)*VLOOKUP($AK242&amp;0,所有坦克升星属性,MATCH(AP$3,所有坦克升星属性标头,0),FALSE),0)</f>
        <v>#REF!</v>
      </c>
      <c r="AQ242" s="372" t="e">
        <f ca="1">VLOOKUP($AK242&amp;$AO242,所有坦克升星属性,MATCH(AQ$3,所有坦克升星属性标头,0),FALSE)+ROUND(AV242/VLOOKUP($AK242,坦克部件!#REF!,4,FALSE)*VLOOKUP($AK242&amp;0,所有坦克升星属性,MATCH(AQ$3,所有坦克升星属性标头,0),FALSE),0)</f>
        <v>#REF!</v>
      </c>
      <c r="AR242" s="372" t="e">
        <f t="shared" ca="1" si="154"/>
        <v>#REF!</v>
      </c>
      <c r="AS242" s="372" t="e">
        <f t="shared" ca="1" si="154"/>
        <v>#REF!</v>
      </c>
      <c r="AT242" s="372" t="e">
        <f ca="1">VLOOKUP($AK242&amp;$AO242,所有坦克升星属性,MATCH(AT$3,所有坦克升星属性标头,0),FALSE)+ROUND(AW242/VLOOKUP($AK242,坦克部件!#REF!,4,FALSE)*VLOOKUP($AK242&amp;0,所有坦克升星属性,MATCH(AT$3,所有坦克升星属性标头,0),FALSE),0)</f>
        <v>#REF!</v>
      </c>
      <c r="AU242" s="372" t="e">
        <f ca="1">(VLOOKUP($AM242,坦克部件!#REF!,MATCH("标准值",坦克部件!#REF!,0),FALSE)+VLOOKUP($AN242,坦克部件!#REF!,MATCH("标准值",坦克部件!#REF!,0),FALSE))*2</f>
        <v>#REF!</v>
      </c>
      <c r="AV242" s="372" t="e">
        <f ca="1">(VLOOKUP($AM242,坦克部件!#REF!,MATCH("标准值",坦克部件!#REF!,0),FALSE)+VLOOKUP($AN242,坦克部件!#REF!,MATCH("标准值",坦克部件!#REF!,0),FALSE))*2</f>
        <v>#REF!</v>
      </c>
      <c r="AW242" s="372" t="e">
        <f ca="1">(VLOOKUP($AM242,坦克部件!#REF!,MATCH("标准值",坦克部件!#REF!,0),FALSE)+VLOOKUP($AN242,坦克部件!#REF!,MATCH("标准值",坦克部件!#REF!,0),FALSE))*2</f>
        <v>#REF!</v>
      </c>
      <c r="AX242" s="372" t="e">
        <f ca="1">VLOOKUP($AK242,坦克属性统计!$B$3:$AY$33,MATCH(AX$3,坦克属性统计!$B$3:$AY$3,0),FALSE)</f>
        <v>#REF!</v>
      </c>
      <c r="AY242" s="372" t="e">
        <f t="shared" ca="1" si="155"/>
        <v>#REF!</v>
      </c>
      <c r="AZ242" s="372" t="e">
        <f t="shared" ca="1" si="155"/>
        <v>#REF!</v>
      </c>
      <c r="BA242" s="372" t="e">
        <f t="shared" ca="1" si="155"/>
        <v>#REF!</v>
      </c>
      <c r="BB242" s="356" t="e">
        <f t="shared" ca="1" si="135"/>
        <v>#REF!</v>
      </c>
      <c r="BC242" s="356" t="e">
        <f ca="1">VLOOKUP(AK242,坦克个性化设定!$B$18:$E$48,4,FALSE)</f>
        <v>#REF!</v>
      </c>
      <c r="BD242" s="357" t="e">
        <f t="shared" ca="1" si="142"/>
        <v>#REF!</v>
      </c>
      <c r="BF242" s="357" t="str">
        <f t="shared" ca="1" si="136"/>
        <v/>
      </c>
      <c r="BG242" s="372" t="str">
        <f ca="1">IFERROR(VLOOKUP(BF242,坦克个性化设定!$B$18:$F$48,5,FALSE),"")</f>
        <v/>
      </c>
      <c r="BH242" s="372" t="e">
        <f t="shared" ca="1" si="143"/>
        <v>#REF!</v>
      </c>
      <c r="BI242" s="372" t="e">
        <f t="shared" ca="1" si="144"/>
        <v>#REF!</v>
      </c>
      <c r="BJ242" s="364" t="str">
        <f t="shared" ca="1" si="137"/>
        <v>NULL</v>
      </c>
      <c r="BK242" s="372" t="e">
        <f ca="1">VLOOKUP($BF242&amp;IF($BJ242="NULL",0,$BJ242),所有坦克升星属性,MATCH(BK$3,所有坦克升星属性标头,0),FALSE)+ROUND(BP242/VLOOKUP($BF242,坦克部件!#REF!,4,FALSE)*VLOOKUP($BF242&amp;0,所有坦克升星属性,MATCH(BK$3,所有坦克升星属性标头,0),FALSE),0)</f>
        <v>#N/A</v>
      </c>
      <c r="BL242" s="372" t="e">
        <f ca="1">VLOOKUP($BF242&amp;IF($BJ242="NULL",0,$BJ242),所有坦克升星属性,MATCH(BL$3,所有坦克升星属性标头,0),FALSE)+ROUND(BQ242/VLOOKUP($BF242,坦克部件!#REF!,4,FALSE)*VLOOKUP($BF242&amp;0,所有坦克升星属性,MATCH(BL$3,所有坦克升星属性标头,0),FALSE),0)</f>
        <v>#N/A</v>
      </c>
      <c r="BM242" s="372" t="e">
        <f t="shared" ca="1" si="156"/>
        <v>#N/A</v>
      </c>
      <c r="BN242" s="372" t="e">
        <f t="shared" ca="1" si="156"/>
        <v>#N/A</v>
      </c>
      <c r="BO242" s="372" t="e">
        <f ca="1">VLOOKUP($BF242&amp;IF($BJ242="NULL",0,$BJ242),所有坦克升星属性,MATCH(BO$3,所有坦克升星属性标头,0),FALSE)+ROUND(BR242/VLOOKUP($BF242,坦克部件!#REF!,4,FALSE)*VLOOKUP($BF242&amp;0,所有坦克升星属性,MATCH(BO$3,所有坦克升星属性标头,0),FALSE),0)</f>
        <v>#N/A</v>
      </c>
      <c r="BP242" s="372" t="e">
        <f ca="1">(VLOOKUP($BH242,坦克部件!#REF!,MATCH("标准值",坦克部件!#REF!,0),FALSE)+VLOOKUP($BI242,坦克部件!#REF!,MATCH("标准值",坦克部件!#REF!,0),FALSE))*2</f>
        <v>#REF!</v>
      </c>
      <c r="BQ242" s="372" t="e">
        <f ca="1">(VLOOKUP($BH242,坦克部件!#REF!,MATCH("标准值",坦克部件!#REF!,0),FALSE)+VLOOKUP($BI242,坦克部件!#REF!,MATCH("标准值",坦克部件!#REF!,0),FALSE))*2</f>
        <v>#REF!</v>
      </c>
      <c r="BR242" s="372" t="e">
        <f ca="1">(VLOOKUP($BH242,坦克部件!#REF!,MATCH("标准值",坦克部件!#REF!,0),FALSE)+VLOOKUP($BI242,坦克部件!#REF!,MATCH("标准值",坦克部件!#REF!,0),FALSE))*2</f>
        <v>#REF!</v>
      </c>
      <c r="BS242" s="372" t="e">
        <f ca="1">VLOOKUP($BF242,坦克属性统计!$B$3:$AY$33,MATCH(BS$3,坦克属性统计!$B$3:$AY$3,0),FALSE)</f>
        <v>#N/A</v>
      </c>
      <c r="BT242" s="372" t="e">
        <f t="shared" ca="1" si="157"/>
        <v>#N/A</v>
      </c>
      <c r="BU242" s="372" t="e">
        <f t="shared" ca="1" si="157"/>
        <v>#N/A</v>
      </c>
      <c r="BV242" s="372" t="e">
        <f t="shared" ca="1" si="157"/>
        <v>#N/A</v>
      </c>
      <c r="BW242" s="356">
        <f t="shared" ca="1" si="138"/>
        <v>0</v>
      </c>
      <c r="BX242" s="356" t="e">
        <f ca="1">VLOOKUP(BF242,坦克个性化设定!$B$18:$E$48,4,FALSE)</f>
        <v>#N/A</v>
      </c>
      <c r="BY242" s="357" t="e">
        <f t="shared" ca="1" si="145"/>
        <v>#N/A</v>
      </c>
    </row>
    <row r="243" spans="15:77" x14ac:dyDescent="0.35">
      <c r="O243" s="365">
        <v>240</v>
      </c>
      <c r="P243" s="360" t="e">
        <f t="shared" ca="1" si="152"/>
        <v>#REF!</v>
      </c>
      <c r="Q243" s="360" t="e">
        <f ca="1">ROUND(MIN((BD243-VLOOKUP(R243,$B$22:$F$46,2,FALSE))/(VLOOKUP(R243,$B$22:$F$46,3,FALSE)-VLOOKUP(R243,$B$22:$F$46,2,FALSE)),1)*((VLOOKUP(R243,$B$22:$F$46,4,FALSE)*(AG243/(AG243+VLOOKUP(P243,$D$49:$F$123,3,TRUE)))+VLOOKUP(R243,$B$22:$F$46,5,FALSE)*(1-AG243/(AG243+VLOOKUP(P243,$D$49:$F$123,3,TRUE))))/2)*游戏时长规划!$C$4,0)</f>
        <v>#REF!</v>
      </c>
      <c r="R243" s="360" t="e">
        <f t="shared" ca="1" si="125"/>
        <v>#REF!</v>
      </c>
      <c r="S243" s="360" t="e">
        <f t="shared" ca="1" si="146"/>
        <v>#REF!</v>
      </c>
      <c r="T243" s="360" t="e">
        <f t="shared" ca="1" si="153"/>
        <v>#REF!</v>
      </c>
      <c r="U243" s="370" t="e">
        <f t="shared" ca="1" si="126"/>
        <v>#REF!</v>
      </c>
      <c r="V243" s="363" t="e">
        <f t="shared" ca="1" si="147"/>
        <v>#REF!</v>
      </c>
      <c r="W243" s="360" t="e">
        <f t="shared" ca="1" si="127"/>
        <v>#REF!</v>
      </c>
      <c r="X243" s="81" t="e">
        <f t="shared" ca="1" si="139"/>
        <v>#REF!</v>
      </c>
      <c r="Y243" s="360" t="str">
        <f t="shared" ca="1" si="128"/>
        <v>NULL</v>
      </c>
      <c r="Z243" s="375" t="e">
        <f t="shared" ca="1" si="140"/>
        <v>#REF!</v>
      </c>
      <c r="AA243" s="360">
        <f ca="1">IFERROR(VLOOKUP(IF(V243="T1低",游戏时长规划!$C$67+Z243,Z243),INDIRECT(V243&amp;"星级"),2,TRUE),0)</f>
        <v>0</v>
      </c>
      <c r="AB243" s="375" t="e">
        <f t="shared" ca="1" si="129"/>
        <v>#REF!</v>
      </c>
      <c r="AC243" s="375">
        <f ca="1">($D$14+$D$17)*$L$4/坦克部件养成!$C$2+AC242-IFERROR(IF(RIGHT(AD242,3)*1&gt;RIGHT(VLOOKUP(AC242,INDIRECT(LEFT(AD241,2)&amp;"部件升阶"),5,TRUE),3)*1,VLOOKUP(AD241,INDIRECT(LEFT(AD241,2)&amp;"部件升阶消耗"),2,FALSE),0),0)</f>
        <v>2840.000000000005</v>
      </c>
      <c r="AD243" s="360" t="e">
        <f t="shared" ca="1" si="130"/>
        <v>#REF!</v>
      </c>
      <c r="AE243" s="375" t="e">
        <f ca="1">$D$15*$L$4/坦克部件养成!$C$2+AE242-IF(LEFT(AD243,2)&lt;&gt;LEFT(AD242,2),VLOOKUP(AF242,INDIRECT(LEFT(AD242,2)&amp;"部件升级消耗"),5,FALSE),0)</f>
        <v>#REF!</v>
      </c>
      <c r="AF243" s="360" t="e">
        <f ca="1">MIN(VLOOKUP(AE243,INDIRECT(LEFT(AD243,2)&amp;"部件升级"),2,TRUE),VLOOKUP(LEFT(AD243,2),坦克部件养成!#REF!,6,FALSE))</f>
        <v>#REF!</v>
      </c>
      <c r="AG243" s="378" t="e">
        <f ca="1">MAX(BD$4:BD243)</f>
        <v>#REF!</v>
      </c>
      <c r="AH243" s="378" t="str">
        <f t="shared" ca="1" si="131"/>
        <v/>
      </c>
      <c r="AI243" s="378">
        <f ca="1">IF(Y243="NULL",0,MAX(BY$4:BY243))</f>
        <v>0</v>
      </c>
      <c r="AK243" s="364" t="e">
        <f t="shared" ca="1" si="132"/>
        <v>#REF!</v>
      </c>
      <c r="AL243" s="364" t="e">
        <f ca="1">VLOOKUP(AK243,坦克个性化设定!$B$18:$F$48,5,FALSE)</f>
        <v>#REF!</v>
      </c>
      <c r="AM243" s="372" t="e">
        <f t="shared" ca="1" si="133"/>
        <v>#REF!</v>
      </c>
      <c r="AN243" s="372" t="e">
        <f t="shared" ca="1" si="141"/>
        <v>#REF!</v>
      </c>
      <c r="AO243" s="364">
        <f t="shared" ca="1" si="134"/>
        <v>0</v>
      </c>
      <c r="AP243" s="372" t="e">
        <f ca="1">VLOOKUP($AK243&amp;$AO243,所有坦克升星属性,MATCH(AP$3,所有坦克升星属性标头,0),FALSE)+ROUND(AU243/VLOOKUP($AK243,坦克部件!#REF!,4,FALSE)*VLOOKUP($AK243&amp;0,所有坦克升星属性,MATCH(AP$3,所有坦克升星属性标头,0),FALSE),0)</f>
        <v>#REF!</v>
      </c>
      <c r="AQ243" s="372" t="e">
        <f ca="1">VLOOKUP($AK243&amp;$AO243,所有坦克升星属性,MATCH(AQ$3,所有坦克升星属性标头,0),FALSE)+ROUND(AV243/VLOOKUP($AK243,坦克部件!#REF!,4,FALSE)*VLOOKUP($AK243&amp;0,所有坦克升星属性,MATCH(AQ$3,所有坦克升星属性标头,0),FALSE),0)</f>
        <v>#REF!</v>
      </c>
      <c r="AR243" s="372" t="e">
        <f t="shared" ca="1" si="154"/>
        <v>#REF!</v>
      </c>
      <c r="AS243" s="372" t="e">
        <f t="shared" ca="1" si="154"/>
        <v>#REF!</v>
      </c>
      <c r="AT243" s="372" t="e">
        <f ca="1">VLOOKUP($AK243&amp;$AO243,所有坦克升星属性,MATCH(AT$3,所有坦克升星属性标头,0),FALSE)+ROUND(AW243/VLOOKUP($AK243,坦克部件!#REF!,4,FALSE)*VLOOKUP($AK243&amp;0,所有坦克升星属性,MATCH(AT$3,所有坦克升星属性标头,0),FALSE),0)</f>
        <v>#REF!</v>
      </c>
      <c r="AU243" s="372" t="e">
        <f ca="1">(VLOOKUP($AM243,坦克部件!#REF!,MATCH("标准值",坦克部件!#REF!,0),FALSE)+VLOOKUP($AN243,坦克部件!#REF!,MATCH("标准值",坦克部件!#REF!,0),FALSE))*2</f>
        <v>#REF!</v>
      </c>
      <c r="AV243" s="372" t="e">
        <f ca="1">(VLOOKUP($AM243,坦克部件!#REF!,MATCH("标准值",坦克部件!#REF!,0),FALSE)+VLOOKUP($AN243,坦克部件!#REF!,MATCH("标准值",坦克部件!#REF!,0),FALSE))*2</f>
        <v>#REF!</v>
      </c>
      <c r="AW243" s="372" t="e">
        <f ca="1">(VLOOKUP($AM243,坦克部件!#REF!,MATCH("标准值",坦克部件!#REF!,0),FALSE)+VLOOKUP($AN243,坦克部件!#REF!,MATCH("标准值",坦克部件!#REF!,0),FALSE))*2</f>
        <v>#REF!</v>
      </c>
      <c r="AX243" s="372" t="e">
        <f ca="1">VLOOKUP($AK243,坦克属性统计!$B$3:$AY$33,MATCH(AX$3,坦克属性统计!$B$3:$AY$3,0),FALSE)</f>
        <v>#REF!</v>
      </c>
      <c r="AY243" s="372" t="e">
        <f t="shared" ca="1" si="155"/>
        <v>#REF!</v>
      </c>
      <c r="AZ243" s="372" t="e">
        <f t="shared" ca="1" si="155"/>
        <v>#REF!</v>
      </c>
      <c r="BA243" s="372" t="e">
        <f t="shared" ca="1" si="155"/>
        <v>#REF!</v>
      </c>
      <c r="BB243" s="356" t="e">
        <f t="shared" ca="1" si="135"/>
        <v>#REF!</v>
      </c>
      <c r="BC243" s="356" t="e">
        <f ca="1">VLOOKUP(AK243,坦克个性化设定!$B$18:$E$48,4,FALSE)</f>
        <v>#REF!</v>
      </c>
      <c r="BD243" s="357" t="e">
        <f t="shared" ca="1" si="142"/>
        <v>#REF!</v>
      </c>
      <c r="BF243" s="357" t="str">
        <f t="shared" ca="1" si="136"/>
        <v/>
      </c>
      <c r="BG243" s="372" t="str">
        <f ca="1">IFERROR(VLOOKUP(BF243,坦克个性化设定!$B$18:$F$48,5,FALSE),"")</f>
        <v/>
      </c>
      <c r="BH243" s="372" t="e">
        <f t="shared" ca="1" si="143"/>
        <v>#REF!</v>
      </c>
      <c r="BI243" s="372" t="e">
        <f t="shared" ca="1" si="144"/>
        <v>#REF!</v>
      </c>
      <c r="BJ243" s="364" t="str">
        <f t="shared" ca="1" si="137"/>
        <v>NULL</v>
      </c>
      <c r="BK243" s="372" t="e">
        <f ca="1">VLOOKUP($BF243&amp;IF($BJ243="NULL",0,$BJ243),所有坦克升星属性,MATCH(BK$3,所有坦克升星属性标头,0),FALSE)+ROUND(BP243/VLOOKUP($BF243,坦克部件!#REF!,4,FALSE)*VLOOKUP($BF243&amp;0,所有坦克升星属性,MATCH(BK$3,所有坦克升星属性标头,0),FALSE),0)</f>
        <v>#N/A</v>
      </c>
      <c r="BL243" s="372" t="e">
        <f ca="1">VLOOKUP($BF243&amp;IF($BJ243="NULL",0,$BJ243),所有坦克升星属性,MATCH(BL$3,所有坦克升星属性标头,0),FALSE)+ROUND(BQ243/VLOOKUP($BF243,坦克部件!#REF!,4,FALSE)*VLOOKUP($BF243&amp;0,所有坦克升星属性,MATCH(BL$3,所有坦克升星属性标头,0),FALSE),0)</f>
        <v>#N/A</v>
      </c>
      <c r="BM243" s="372" t="e">
        <f t="shared" ca="1" si="156"/>
        <v>#N/A</v>
      </c>
      <c r="BN243" s="372" t="e">
        <f t="shared" ca="1" si="156"/>
        <v>#N/A</v>
      </c>
      <c r="BO243" s="372" t="e">
        <f ca="1">VLOOKUP($BF243&amp;IF($BJ243="NULL",0,$BJ243),所有坦克升星属性,MATCH(BO$3,所有坦克升星属性标头,0),FALSE)+ROUND(BR243/VLOOKUP($BF243,坦克部件!#REF!,4,FALSE)*VLOOKUP($BF243&amp;0,所有坦克升星属性,MATCH(BO$3,所有坦克升星属性标头,0),FALSE),0)</f>
        <v>#N/A</v>
      </c>
      <c r="BP243" s="372" t="e">
        <f ca="1">(VLOOKUP($BH243,坦克部件!#REF!,MATCH("标准值",坦克部件!#REF!,0),FALSE)+VLOOKUP($BI243,坦克部件!#REF!,MATCH("标准值",坦克部件!#REF!,0),FALSE))*2</f>
        <v>#REF!</v>
      </c>
      <c r="BQ243" s="372" t="e">
        <f ca="1">(VLOOKUP($BH243,坦克部件!#REF!,MATCH("标准值",坦克部件!#REF!,0),FALSE)+VLOOKUP($BI243,坦克部件!#REF!,MATCH("标准值",坦克部件!#REF!,0),FALSE))*2</f>
        <v>#REF!</v>
      </c>
      <c r="BR243" s="372" t="e">
        <f ca="1">(VLOOKUP($BH243,坦克部件!#REF!,MATCH("标准值",坦克部件!#REF!,0),FALSE)+VLOOKUP($BI243,坦克部件!#REF!,MATCH("标准值",坦克部件!#REF!,0),FALSE))*2</f>
        <v>#REF!</v>
      </c>
      <c r="BS243" s="372" t="e">
        <f ca="1">VLOOKUP($BF243,坦克属性统计!$B$3:$AY$33,MATCH(BS$3,坦克属性统计!$B$3:$AY$3,0),FALSE)</f>
        <v>#N/A</v>
      </c>
      <c r="BT243" s="372" t="e">
        <f t="shared" ca="1" si="157"/>
        <v>#N/A</v>
      </c>
      <c r="BU243" s="372" t="e">
        <f t="shared" ca="1" si="157"/>
        <v>#N/A</v>
      </c>
      <c r="BV243" s="372" t="e">
        <f t="shared" ca="1" si="157"/>
        <v>#N/A</v>
      </c>
      <c r="BW243" s="356">
        <f t="shared" ca="1" si="138"/>
        <v>0</v>
      </c>
      <c r="BX243" s="356" t="e">
        <f ca="1">VLOOKUP(BF243,坦克个性化设定!$B$18:$E$48,4,FALSE)</f>
        <v>#N/A</v>
      </c>
      <c r="BY243" s="357" t="e">
        <f t="shared" ca="1" si="145"/>
        <v>#N/A</v>
      </c>
    </row>
    <row r="244" spans="15:77" x14ac:dyDescent="0.35">
      <c r="O244" s="365">
        <v>241</v>
      </c>
      <c r="P244" s="360" t="e">
        <f t="shared" ca="1" si="152"/>
        <v>#REF!</v>
      </c>
      <c r="Q244" s="360" t="e">
        <f ca="1">ROUND(MIN((BD244-VLOOKUP(R244,$B$22:$F$46,2,FALSE))/(VLOOKUP(R244,$B$22:$F$46,3,FALSE)-VLOOKUP(R244,$B$22:$F$46,2,FALSE)),1)*((VLOOKUP(R244,$B$22:$F$46,4,FALSE)*(AG244/(AG244+VLOOKUP(P244,$D$49:$F$123,3,TRUE)))+VLOOKUP(R244,$B$22:$F$46,5,FALSE)*(1-AG244/(AG244+VLOOKUP(P244,$D$49:$F$123,3,TRUE))))/2)*游戏时长规划!$C$4,0)</f>
        <v>#REF!</v>
      </c>
      <c r="R244" s="360" t="e">
        <f t="shared" ca="1" si="125"/>
        <v>#REF!</v>
      </c>
      <c r="S244" s="360" t="e">
        <f t="shared" ca="1" si="146"/>
        <v>#REF!</v>
      </c>
      <c r="T244" s="360" t="e">
        <f t="shared" ca="1" si="153"/>
        <v>#REF!</v>
      </c>
      <c r="U244" s="370" t="e">
        <f t="shared" ca="1" si="126"/>
        <v>#REF!</v>
      </c>
      <c r="V244" s="363" t="e">
        <f t="shared" ca="1" si="147"/>
        <v>#REF!</v>
      </c>
      <c r="W244" s="360" t="e">
        <f t="shared" ca="1" si="127"/>
        <v>#REF!</v>
      </c>
      <c r="X244" s="81" t="e">
        <f t="shared" ca="1" si="139"/>
        <v>#REF!</v>
      </c>
      <c r="Y244" s="360" t="str">
        <f t="shared" ca="1" si="128"/>
        <v>NULL</v>
      </c>
      <c r="Z244" s="375" t="e">
        <f t="shared" ca="1" si="140"/>
        <v>#REF!</v>
      </c>
      <c r="AA244" s="360">
        <f ca="1">IFERROR(VLOOKUP(IF(V244="T1低",游戏时长规划!$C$67+Z244,Z244),INDIRECT(V244&amp;"星级"),2,TRUE),0)</f>
        <v>0</v>
      </c>
      <c r="AB244" s="375" t="e">
        <f t="shared" ca="1" si="129"/>
        <v>#REF!</v>
      </c>
      <c r="AC244" s="375">
        <f ca="1">($D$14+$D$17)*$L$4/坦克部件养成!$C$2+AC243-IFERROR(IF(RIGHT(AD243,3)*1&gt;RIGHT(VLOOKUP(AC243,INDIRECT(LEFT(AD242,2)&amp;"部件升阶"),5,TRUE),3)*1,VLOOKUP(AD242,INDIRECT(LEFT(AD242,2)&amp;"部件升阶消耗"),2,FALSE),0),0)</f>
        <v>2851.8333333333385</v>
      </c>
      <c r="AD244" s="360" t="e">
        <f t="shared" ca="1" si="130"/>
        <v>#REF!</v>
      </c>
      <c r="AE244" s="375" t="e">
        <f ca="1">$D$15*$L$4/坦克部件养成!$C$2+AE243-IF(LEFT(AD244,2)&lt;&gt;LEFT(AD243,2),VLOOKUP(AF243,INDIRECT(LEFT(AD243,2)&amp;"部件升级消耗"),5,FALSE),0)</f>
        <v>#REF!</v>
      </c>
      <c r="AF244" s="360" t="e">
        <f ca="1">MIN(VLOOKUP(AE244,INDIRECT(LEFT(AD244,2)&amp;"部件升级"),2,TRUE),VLOOKUP(LEFT(AD244,2),坦克部件养成!#REF!,6,FALSE))</f>
        <v>#REF!</v>
      </c>
      <c r="AG244" s="378" t="e">
        <f ca="1">MAX(BD$4:BD244)</f>
        <v>#REF!</v>
      </c>
      <c r="AH244" s="378" t="str">
        <f t="shared" ca="1" si="131"/>
        <v/>
      </c>
      <c r="AI244" s="378">
        <f ca="1">IF(Y244="NULL",0,MAX(BY$4:BY244))</f>
        <v>0</v>
      </c>
      <c r="AK244" s="364" t="e">
        <f t="shared" ca="1" si="132"/>
        <v>#REF!</v>
      </c>
      <c r="AL244" s="364" t="e">
        <f ca="1">VLOOKUP(AK244,坦克个性化设定!$B$18:$F$48,5,FALSE)</f>
        <v>#REF!</v>
      </c>
      <c r="AM244" s="372" t="e">
        <f t="shared" ca="1" si="133"/>
        <v>#REF!</v>
      </c>
      <c r="AN244" s="372" t="e">
        <f t="shared" ca="1" si="141"/>
        <v>#REF!</v>
      </c>
      <c r="AO244" s="364">
        <f t="shared" ca="1" si="134"/>
        <v>0</v>
      </c>
      <c r="AP244" s="372" t="e">
        <f ca="1">VLOOKUP($AK244&amp;$AO244,所有坦克升星属性,MATCH(AP$3,所有坦克升星属性标头,0),FALSE)+ROUND(AU244/VLOOKUP($AK244,坦克部件!#REF!,4,FALSE)*VLOOKUP($AK244&amp;0,所有坦克升星属性,MATCH(AP$3,所有坦克升星属性标头,0),FALSE),0)</f>
        <v>#REF!</v>
      </c>
      <c r="AQ244" s="372" t="e">
        <f ca="1">VLOOKUP($AK244&amp;$AO244,所有坦克升星属性,MATCH(AQ$3,所有坦克升星属性标头,0),FALSE)+ROUND(AV244/VLOOKUP($AK244,坦克部件!#REF!,4,FALSE)*VLOOKUP($AK244&amp;0,所有坦克升星属性,MATCH(AQ$3,所有坦克升星属性标头,0),FALSE),0)</f>
        <v>#REF!</v>
      </c>
      <c r="AR244" s="372" t="e">
        <f t="shared" ref="AR244:AS263" ca="1" si="158">VLOOKUP($AK244&amp;$AO244,所有坦克升星属性,MATCH(AR$3,所有坦克升星属性标头,0),FALSE)</f>
        <v>#REF!</v>
      </c>
      <c r="AS244" s="372" t="e">
        <f t="shared" ca="1" si="158"/>
        <v>#REF!</v>
      </c>
      <c r="AT244" s="372" t="e">
        <f ca="1">VLOOKUP($AK244&amp;$AO244,所有坦克升星属性,MATCH(AT$3,所有坦克升星属性标头,0),FALSE)+ROUND(AW244/VLOOKUP($AK244,坦克部件!#REF!,4,FALSE)*VLOOKUP($AK244&amp;0,所有坦克升星属性,MATCH(AT$3,所有坦克升星属性标头,0),FALSE),0)</f>
        <v>#REF!</v>
      </c>
      <c r="AU244" s="372" t="e">
        <f ca="1">(VLOOKUP($AM244,坦克部件!#REF!,MATCH("标准值",坦克部件!#REF!,0),FALSE)+VLOOKUP($AN244,坦克部件!#REF!,MATCH("标准值",坦克部件!#REF!,0),FALSE))*2</f>
        <v>#REF!</v>
      </c>
      <c r="AV244" s="372" t="e">
        <f ca="1">(VLOOKUP($AM244,坦克部件!#REF!,MATCH("标准值",坦克部件!#REF!,0),FALSE)+VLOOKUP($AN244,坦克部件!#REF!,MATCH("标准值",坦克部件!#REF!,0),FALSE))*2</f>
        <v>#REF!</v>
      </c>
      <c r="AW244" s="372" t="e">
        <f ca="1">(VLOOKUP($AM244,坦克部件!#REF!,MATCH("标准值",坦克部件!#REF!,0),FALSE)+VLOOKUP($AN244,坦克部件!#REF!,MATCH("标准值",坦克部件!#REF!,0),FALSE))*2</f>
        <v>#REF!</v>
      </c>
      <c r="AX244" s="372" t="e">
        <f ca="1">VLOOKUP($AK244,坦克属性统计!$B$3:$AY$33,MATCH(AX$3,坦克属性统计!$B$3:$AY$3,0),FALSE)</f>
        <v>#REF!</v>
      </c>
      <c r="AY244" s="372" t="e">
        <f t="shared" ref="AY244:BA263" ca="1" si="159">VLOOKUP($AK244&amp;$AO244,所有坦克升星属性,MATCH(AY$3,所有坦克升星属性标头,0),FALSE)</f>
        <v>#REF!</v>
      </c>
      <c r="AZ244" s="372" t="e">
        <f t="shared" ca="1" si="159"/>
        <v>#REF!</v>
      </c>
      <c r="BA244" s="372" t="e">
        <f t="shared" ca="1" si="159"/>
        <v>#REF!</v>
      </c>
      <c r="BB244" s="356" t="e">
        <f t="shared" ca="1" si="135"/>
        <v>#REF!</v>
      </c>
      <c r="BC244" s="356" t="e">
        <f ca="1">VLOOKUP(AK244,坦克个性化设定!$B$18:$E$48,4,FALSE)</f>
        <v>#REF!</v>
      </c>
      <c r="BD244" s="357" t="e">
        <f t="shared" ca="1" si="142"/>
        <v>#REF!</v>
      </c>
      <c r="BF244" s="357" t="str">
        <f t="shared" ca="1" si="136"/>
        <v/>
      </c>
      <c r="BG244" s="372" t="str">
        <f ca="1">IFERROR(VLOOKUP(BF244,坦克个性化设定!$B$18:$F$48,5,FALSE),"")</f>
        <v/>
      </c>
      <c r="BH244" s="372" t="e">
        <f t="shared" ca="1" si="143"/>
        <v>#REF!</v>
      </c>
      <c r="BI244" s="372" t="e">
        <f t="shared" ca="1" si="144"/>
        <v>#REF!</v>
      </c>
      <c r="BJ244" s="364" t="str">
        <f t="shared" ca="1" si="137"/>
        <v>NULL</v>
      </c>
      <c r="BK244" s="372" t="e">
        <f ca="1">VLOOKUP($BF244&amp;IF($BJ244="NULL",0,$BJ244),所有坦克升星属性,MATCH(BK$3,所有坦克升星属性标头,0),FALSE)+ROUND(BP244/VLOOKUP($BF244,坦克部件!#REF!,4,FALSE)*VLOOKUP($BF244&amp;0,所有坦克升星属性,MATCH(BK$3,所有坦克升星属性标头,0),FALSE),0)</f>
        <v>#N/A</v>
      </c>
      <c r="BL244" s="372" t="e">
        <f ca="1">VLOOKUP($BF244&amp;IF($BJ244="NULL",0,$BJ244),所有坦克升星属性,MATCH(BL$3,所有坦克升星属性标头,0),FALSE)+ROUND(BQ244/VLOOKUP($BF244,坦克部件!#REF!,4,FALSE)*VLOOKUP($BF244&amp;0,所有坦克升星属性,MATCH(BL$3,所有坦克升星属性标头,0),FALSE),0)</f>
        <v>#N/A</v>
      </c>
      <c r="BM244" s="372" t="e">
        <f t="shared" ref="BM244:BN263" ca="1" si="160">VLOOKUP($BF244&amp;IF($BJ244="NULL",0,$BJ244),所有坦克升星属性,MATCH(BM$3,所有坦克升星属性标头,0),FALSE)</f>
        <v>#N/A</v>
      </c>
      <c r="BN244" s="372" t="e">
        <f t="shared" ca="1" si="160"/>
        <v>#N/A</v>
      </c>
      <c r="BO244" s="372" t="e">
        <f ca="1">VLOOKUP($BF244&amp;IF($BJ244="NULL",0,$BJ244),所有坦克升星属性,MATCH(BO$3,所有坦克升星属性标头,0),FALSE)+ROUND(BR244/VLOOKUP($BF244,坦克部件!#REF!,4,FALSE)*VLOOKUP($BF244&amp;0,所有坦克升星属性,MATCH(BO$3,所有坦克升星属性标头,0),FALSE),0)</f>
        <v>#N/A</v>
      </c>
      <c r="BP244" s="372" t="e">
        <f ca="1">(VLOOKUP($BH244,坦克部件!#REF!,MATCH("标准值",坦克部件!#REF!,0),FALSE)+VLOOKUP($BI244,坦克部件!#REF!,MATCH("标准值",坦克部件!#REF!,0),FALSE))*2</f>
        <v>#REF!</v>
      </c>
      <c r="BQ244" s="372" t="e">
        <f ca="1">(VLOOKUP($BH244,坦克部件!#REF!,MATCH("标准值",坦克部件!#REF!,0),FALSE)+VLOOKUP($BI244,坦克部件!#REF!,MATCH("标准值",坦克部件!#REF!,0),FALSE))*2</f>
        <v>#REF!</v>
      </c>
      <c r="BR244" s="372" t="e">
        <f ca="1">(VLOOKUP($BH244,坦克部件!#REF!,MATCH("标准值",坦克部件!#REF!,0),FALSE)+VLOOKUP($BI244,坦克部件!#REF!,MATCH("标准值",坦克部件!#REF!,0),FALSE))*2</f>
        <v>#REF!</v>
      </c>
      <c r="BS244" s="372" t="e">
        <f ca="1">VLOOKUP($BF244,坦克属性统计!$B$3:$AY$33,MATCH(BS$3,坦克属性统计!$B$3:$AY$3,0),FALSE)</f>
        <v>#N/A</v>
      </c>
      <c r="BT244" s="372" t="e">
        <f t="shared" ref="BT244:BV263" ca="1" si="161">VLOOKUP($BF244&amp;IF($BJ244="NULL",0,$BJ244),所有坦克升星属性,MATCH(BT$3,所有坦克升星属性标头,0),FALSE)</f>
        <v>#N/A</v>
      </c>
      <c r="BU244" s="372" t="e">
        <f t="shared" ca="1" si="161"/>
        <v>#N/A</v>
      </c>
      <c r="BV244" s="372" t="e">
        <f t="shared" ca="1" si="161"/>
        <v>#N/A</v>
      </c>
      <c r="BW244" s="356">
        <f t="shared" ca="1" si="138"/>
        <v>0</v>
      </c>
      <c r="BX244" s="356" t="e">
        <f ca="1">VLOOKUP(BF244,坦克个性化设定!$B$18:$E$48,4,FALSE)</f>
        <v>#N/A</v>
      </c>
      <c r="BY244" s="357" t="e">
        <f t="shared" ca="1" si="145"/>
        <v>#N/A</v>
      </c>
    </row>
    <row r="245" spans="15:77" x14ac:dyDescent="0.35">
      <c r="O245" s="365">
        <v>242</v>
      </c>
      <c r="P245" s="360" t="e">
        <f t="shared" ca="1" si="152"/>
        <v>#REF!</v>
      </c>
      <c r="Q245" s="360" t="e">
        <f ca="1">ROUND(MIN((BD245-VLOOKUP(R245,$B$22:$F$46,2,FALSE))/(VLOOKUP(R245,$B$22:$F$46,3,FALSE)-VLOOKUP(R245,$B$22:$F$46,2,FALSE)),1)*((VLOOKUP(R245,$B$22:$F$46,4,FALSE)*(AG245/(AG245+VLOOKUP(P245,$D$49:$F$123,3,TRUE)))+VLOOKUP(R245,$B$22:$F$46,5,FALSE)*(1-AG245/(AG245+VLOOKUP(P245,$D$49:$F$123,3,TRUE))))/2)*游戏时长规划!$C$4,0)</f>
        <v>#REF!</v>
      </c>
      <c r="R245" s="360" t="e">
        <f t="shared" ca="1" si="125"/>
        <v>#REF!</v>
      </c>
      <c r="S245" s="360" t="e">
        <f t="shared" ca="1" si="146"/>
        <v>#REF!</v>
      </c>
      <c r="T245" s="360" t="e">
        <f t="shared" ca="1" si="153"/>
        <v>#REF!</v>
      </c>
      <c r="U245" s="370" t="e">
        <f t="shared" ca="1" si="126"/>
        <v>#REF!</v>
      </c>
      <c r="V245" s="363" t="e">
        <f t="shared" ca="1" si="147"/>
        <v>#REF!</v>
      </c>
      <c r="W245" s="360" t="e">
        <f t="shared" ca="1" si="127"/>
        <v>#REF!</v>
      </c>
      <c r="X245" s="81" t="e">
        <f t="shared" ca="1" si="139"/>
        <v>#REF!</v>
      </c>
      <c r="Y245" s="360" t="str">
        <f t="shared" ca="1" si="128"/>
        <v>NULL</v>
      </c>
      <c r="Z245" s="375" t="e">
        <f t="shared" ca="1" si="140"/>
        <v>#REF!</v>
      </c>
      <c r="AA245" s="360">
        <f ca="1">IFERROR(VLOOKUP(IF(V245="T1低",游戏时长规划!$C$67+Z245,Z245),INDIRECT(V245&amp;"星级"),2,TRUE),0)</f>
        <v>0</v>
      </c>
      <c r="AB245" s="375" t="e">
        <f t="shared" ca="1" si="129"/>
        <v>#REF!</v>
      </c>
      <c r="AC245" s="375">
        <f ca="1">($D$14+$D$17)*$L$4/坦克部件养成!$C$2+AC244-IFERROR(IF(RIGHT(AD244,3)*1&gt;RIGHT(VLOOKUP(AC244,INDIRECT(LEFT(AD243,2)&amp;"部件升阶"),5,TRUE),3)*1,VLOOKUP(AD243,INDIRECT(LEFT(AD243,2)&amp;"部件升阶消耗"),2,FALSE),0),0)</f>
        <v>2863.666666666672</v>
      </c>
      <c r="AD245" s="360" t="e">
        <f t="shared" ca="1" si="130"/>
        <v>#REF!</v>
      </c>
      <c r="AE245" s="375" t="e">
        <f ca="1">$D$15*$L$4/坦克部件养成!$C$2+AE244-IF(LEFT(AD245,2)&lt;&gt;LEFT(AD244,2),VLOOKUP(AF244,INDIRECT(LEFT(AD244,2)&amp;"部件升级消耗"),5,FALSE),0)</f>
        <v>#REF!</v>
      </c>
      <c r="AF245" s="360" t="e">
        <f ca="1">MIN(VLOOKUP(AE245,INDIRECT(LEFT(AD245,2)&amp;"部件升级"),2,TRUE),VLOOKUP(LEFT(AD245,2),坦克部件养成!#REF!,6,FALSE))</f>
        <v>#REF!</v>
      </c>
      <c r="AG245" s="378" t="e">
        <f ca="1">MAX(BD$4:BD245)</f>
        <v>#REF!</v>
      </c>
      <c r="AH245" s="378" t="str">
        <f t="shared" ca="1" si="131"/>
        <v/>
      </c>
      <c r="AI245" s="378">
        <f ca="1">IF(Y245="NULL",0,MAX(BY$4:BY245))</f>
        <v>0</v>
      </c>
      <c r="AK245" s="364" t="e">
        <f t="shared" ca="1" si="132"/>
        <v>#REF!</v>
      </c>
      <c r="AL245" s="364" t="e">
        <f ca="1">VLOOKUP(AK245,坦克个性化设定!$B$18:$F$48,5,FALSE)</f>
        <v>#REF!</v>
      </c>
      <c r="AM245" s="372" t="e">
        <f t="shared" ca="1" si="133"/>
        <v>#REF!</v>
      </c>
      <c r="AN245" s="372" t="e">
        <f t="shared" ca="1" si="141"/>
        <v>#REF!</v>
      </c>
      <c r="AO245" s="364">
        <f t="shared" ca="1" si="134"/>
        <v>0</v>
      </c>
      <c r="AP245" s="372" t="e">
        <f ca="1">VLOOKUP($AK245&amp;$AO245,所有坦克升星属性,MATCH(AP$3,所有坦克升星属性标头,0),FALSE)+ROUND(AU245/VLOOKUP($AK245,坦克部件!#REF!,4,FALSE)*VLOOKUP($AK245&amp;0,所有坦克升星属性,MATCH(AP$3,所有坦克升星属性标头,0),FALSE),0)</f>
        <v>#REF!</v>
      </c>
      <c r="AQ245" s="372" t="e">
        <f ca="1">VLOOKUP($AK245&amp;$AO245,所有坦克升星属性,MATCH(AQ$3,所有坦克升星属性标头,0),FALSE)+ROUND(AV245/VLOOKUP($AK245,坦克部件!#REF!,4,FALSE)*VLOOKUP($AK245&amp;0,所有坦克升星属性,MATCH(AQ$3,所有坦克升星属性标头,0),FALSE),0)</f>
        <v>#REF!</v>
      </c>
      <c r="AR245" s="372" t="e">
        <f t="shared" ca="1" si="158"/>
        <v>#REF!</v>
      </c>
      <c r="AS245" s="372" t="e">
        <f t="shared" ca="1" si="158"/>
        <v>#REF!</v>
      </c>
      <c r="AT245" s="372" t="e">
        <f ca="1">VLOOKUP($AK245&amp;$AO245,所有坦克升星属性,MATCH(AT$3,所有坦克升星属性标头,0),FALSE)+ROUND(AW245/VLOOKUP($AK245,坦克部件!#REF!,4,FALSE)*VLOOKUP($AK245&amp;0,所有坦克升星属性,MATCH(AT$3,所有坦克升星属性标头,0),FALSE),0)</f>
        <v>#REF!</v>
      </c>
      <c r="AU245" s="372" t="e">
        <f ca="1">(VLOOKUP($AM245,坦克部件!#REF!,MATCH("标准值",坦克部件!#REF!,0),FALSE)+VLOOKUP($AN245,坦克部件!#REF!,MATCH("标准值",坦克部件!#REF!,0),FALSE))*2</f>
        <v>#REF!</v>
      </c>
      <c r="AV245" s="372" t="e">
        <f ca="1">(VLOOKUP($AM245,坦克部件!#REF!,MATCH("标准值",坦克部件!#REF!,0),FALSE)+VLOOKUP($AN245,坦克部件!#REF!,MATCH("标准值",坦克部件!#REF!,0),FALSE))*2</f>
        <v>#REF!</v>
      </c>
      <c r="AW245" s="372" t="e">
        <f ca="1">(VLOOKUP($AM245,坦克部件!#REF!,MATCH("标准值",坦克部件!#REF!,0),FALSE)+VLOOKUP($AN245,坦克部件!#REF!,MATCH("标准值",坦克部件!#REF!,0),FALSE))*2</f>
        <v>#REF!</v>
      </c>
      <c r="AX245" s="372" t="e">
        <f ca="1">VLOOKUP($AK245,坦克属性统计!$B$3:$AY$33,MATCH(AX$3,坦克属性统计!$B$3:$AY$3,0),FALSE)</f>
        <v>#REF!</v>
      </c>
      <c r="AY245" s="372" t="e">
        <f t="shared" ca="1" si="159"/>
        <v>#REF!</v>
      </c>
      <c r="AZ245" s="372" t="e">
        <f t="shared" ca="1" si="159"/>
        <v>#REF!</v>
      </c>
      <c r="BA245" s="372" t="e">
        <f t="shared" ca="1" si="159"/>
        <v>#REF!</v>
      </c>
      <c r="BB245" s="356" t="e">
        <f t="shared" ca="1" si="135"/>
        <v>#REF!</v>
      </c>
      <c r="BC245" s="356" t="e">
        <f ca="1">VLOOKUP(AK245,坦克个性化设定!$B$18:$E$48,4,FALSE)</f>
        <v>#REF!</v>
      </c>
      <c r="BD245" s="357" t="e">
        <f t="shared" ca="1" si="142"/>
        <v>#REF!</v>
      </c>
      <c r="BF245" s="357" t="str">
        <f t="shared" ca="1" si="136"/>
        <v/>
      </c>
      <c r="BG245" s="372" t="str">
        <f ca="1">IFERROR(VLOOKUP(BF245,坦克个性化设定!$B$18:$F$48,5,FALSE),"")</f>
        <v/>
      </c>
      <c r="BH245" s="372" t="e">
        <f t="shared" ca="1" si="143"/>
        <v>#REF!</v>
      </c>
      <c r="BI245" s="372" t="e">
        <f t="shared" ca="1" si="144"/>
        <v>#REF!</v>
      </c>
      <c r="BJ245" s="364" t="str">
        <f t="shared" ca="1" si="137"/>
        <v>NULL</v>
      </c>
      <c r="BK245" s="372" t="e">
        <f ca="1">VLOOKUP($BF245&amp;IF($BJ245="NULL",0,$BJ245),所有坦克升星属性,MATCH(BK$3,所有坦克升星属性标头,0),FALSE)+ROUND(BP245/VLOOKUP($BF245,坦克部件!#REF!,4,FALSE)*VLOOKUP($BF245&amp;0,所有坦克升星属性,MATCH(BK$3,所有坦克升星属性标头,0),FALSE),0)</f>
        <v>#N/A</v>
      </c>
      <c r="BL245" s="372" t="e">
        <f ca="1">VLOOKUP($BF245&amp;IF($BJ245="NULL",0,$BJ245),所有坦克升星属性,MATCH(BL$3,所有坦克升星属性标头,0),FALSE)+ROUND(BQ245/VLOOKUP($BF245,坦克部件!#REF!,4,FALSE)*VLOOKUP($BF245&amp;0,所有坦克升星属性,MATCH(BL$3,所有坦克升星属性标头,0),FALSE),0)</f>
        <v>#N/A</v>
      </c>
      <c r="BM245" s="372" t="e">
        <f t="shared" ca="1" si="160"/>
        <v>#N/A</v>
      </c>
      <c r="BN245" s="372" t="e">
        <f t="shared" ca="1" si="160"/>
        <v>#N/A</v>
      </c>
      <c r="BO245" s="372" t="e">
        <f ca="1">VLOOKUP($BF245&amp;IF($BJ245="NULL",0,$BJ245),所有坦克升星属性,MATCH(BO$3,所有坦克升星属性标头,0),FALSE)+ROUND(BR245/VLOOKUP($BF245,坦克部件!#REF!,4,FALSE)*VLOOKUP($BF245&amp;0,所有坦克升星属性,MATCH(BO$3,所有坦克升星属性标头,0),FALSE),0)</f>
        <v>#N/A</v>
      </c>
      <c r="BP245" s="372" t="e">
        <f ca="1">(VLOOKUP($BH245,坦克部件!#REF!,MATCH("标准值",坦克部件!#REF!,0),FALSE)+VLOOKUP($BI245,坦克部件!#REF!,MATCH("标准值",坦克部件!#REF!,0),FALSE))*2</f>
        <v>#REF!</v>
      </c>
      <c r="BQ245" s="372" t="e">
        <f ca="1">(VLOOKUP($BH245,坦克部件!#REF!,MATCH("标准值",坦克部件!#REF!,0),FALSE)+VLOOKUP($BI245,坦克部件!#REF!,MATCH("标准值",坦克部件!#REF!,0),FALSE))*2</f>
        <v>#REF!</v>
      </c>
      <c r="BR245" s="372" t="e">
        <f ca="1">(VLOOKUP($BH245,坦克部件!#REF!,MATCH("标准值",坦克部件!#REF!,0),FALSE)+VLOOKUP($BI245,坦克部件!#REF!,MATCH("标准值",坦克部件!#REF!,0),FALSE))*2</f>
        <v>#REF!</v>
      </c>
      <c r="BS245" s="372" t="e">
        <f ca="1">VLOOKUP($BF245,坦克属性统计!$B$3:$AY$33,MATCH(BS$3,坦克属性统计!$B$3:$AY$3,0),FALSE)</f>
        <v>#N/A</v>
      </c>
      <c r="BT245" s="372" t="e">
        <f t="shared" ca="1" si="161"/>
        <v>#N/A</v>
      </c>
      <c r="BU245" s="372" t="e">
        <f t="shared" ca="1" si="161"/>
        <v>#N/A</v>
      </c>
      <c r="BV245" s="372" t="e">
        <f t="shared" ca="1" si="161"/>
        <v>#N/A</v>
      </c>
      <c r="BW245" s="356">
        <f t="shared" ca="1" si="138"/>
        <v>0</v>
      </c>
      <c r="BX245" s="356" t="e">
        <f ca="1">VLOOKUP(BF245,坦克个性化设定!$B$18:$E$48,4,FALSE)</f>
        <v>#N/A</v>
      </c>
      <c r="BY245" s="357" t="e">
        <f t="shared" ca="1" si="145"/>
        <v>#N/A</v>
      </c>
    </row>
    <row r="246" spans="15:77" x14ac:dyDescent="0.35">
      <c r="O246" s="365">
        <v>243</v>
      </c>
      <c r="P246" s="360" t="e">
        <f t="shared" ca="1" si="152"/>
        <v>#REF!</v>
      </c>
      <c r="Q246" s="360" t="e">
        <f ca="1">ROUND(MIN((BD246-VLOOKUP(R246,$B$22:$F$46,2,FALSE))/(VLOOKUP(R246,$B$22:$F$46,3,FALSE)-VLOOKUP(R246,$B$22:$F$46,2,FALSE)),1)*((VLOOKUP(R246,$B$22:$F$46,4,FALSE)*(AG246/(AG246+VLOOKUP(P246,$D$49:$F$123,3,TRUE)))+VLOOKUP(R246,$B$22:$F$46,5,FALSE)*(1-AG246/(AG246+VLOOKUP(P246,$D$49:$F$123,3,TRUE))))/2)*游戏时长规划!$C$4,0)</f>
        <v>#REF!</v>
      </c>
      <c r="R246" s="360" t="e">
        <f t="shared" ca="1" si="125"/>
        <v>#REF!</v>
      </c>
      <c r="S246" s="360" t="e">
        <f t="shared" ca="1" si="146"/>
        <v>#REF!</v>
      </c>
      <c r="T246" s="360" t="e">
        <f t="shared" ca="1" si="153"/>
        <v>#REF!</v>
      </c>
      <c r="U246" s="370" t="e">
        <f t="shared" ca="1" si="126"/>
        <v>#REF!</v>
      </c>
      <c r="V246" s="363" t="e">
        <f t="shared" ca="1" si="147"/>
        <v>#REF!</v>
      </c>
      <c r="W246" s="360" t="e">
        <f t="shared" ca="1" si="127"/>
        <v>#REF!</v>
      </c>
      <c r="X246" s="81" t="e">
        <f t="shared" ca="1" si="139"/>
        <v>#REF!</v>
      </c>
      <c r="Y246" s="360" t="str">
        <f t="shared" ca="1" si="128"/>
        <v>NULL</v>
      </c>
      <c r="Z246" s="375" t="e">
        <f t="shared" ca="1" si="140"/>
        <v>#REF!</v>
      </c>
      <c r="AA246" s="360">
        <f ca="1">IFERROR(VLOOKUP(IF(V246="T1低",游戏时长规划!$C$67+Z246,Z246),INDIRECT(V246&amp;"星级"),2,TRUE),0)</f>
        <v>0</v>
      </c>
      <c r="AB246" s="375" t="e">
        <f t="shared" ca="1" si="129"/>
        <v>#REF!</v>
      </c>
      <c r="AC246" s="375">
        <f ca="1">($D$14+$D$17)*$L$4/坦克部件养成!$C$2+AC245-IFERROR(IF(RIGHT(AD245,3)*1&gt;RIGHT(VLOOKUP(AC245,INDIRECT(LEFT(AD244,2)&amp;"部件升阶"),5,TRUE),3)*1,VLOOKUP(AD244,INDIRECT(LEFT(AD244,2)&amp;"部件升阶消耗"),2,FALSE),0),0)</f>
        <v>2875.5000000000055</v>
      </c>
      <c r="AD246" s="360" t="e">
        <f t="shared" ca="1" si="130"/>
        <v>#REF!</v>
      </c>
      <c r="AE246" s="375" t="e">
        <f ca="1">$D$15*$L$4/坦克部件养成!$C$2+AE245-IF(LEFT(AD246,2)&lt;&gt;LEFT(AD245,2),VLOOKUP(AF245,INDIRECT(LEFT(AD245,2)&amp;"部件升级消耗"),5,FALSE),0)</f>
        <v>#REF!</v>
      </c>
      <c r="AF246" s="360" t="e">
        <f ca="1">MIN(VLOOKUP(AE246,INDIRECT(LEFT(AD246,2)&amp;"部件升级"),2,TRUE),VLOOKUP(LEFT(AD246,2),坦克部件养成!#REF!,6,FALSE))</f>
        <v>#REF!</v>
      </c>
      <c r="AG246" s="378" t="e">
        <f ca="1">MAX(BD$4:BD246)</f>
        <v>#REF!</v>
      </c>
      <c r="AH246" s="378" t="str">
        <f t="shared" ca="1" si="131"/>
        <v/>
      </c>
      <c r="AI246" s="378">
        <f ca="1">IF(Y246="NULL",0,MAX(BY$4:BY246))</f>
        <v>0</v>
      </c>
      <c r="AK246" s="364" t="e">
        <f t="shared" ca="1" si="132"/>
        <v>#REF!</v>
      </c>
      <c r="AL246" s="364" t="e">
        <f ca="1">VLOOKUP(AK246,坦克个性化设定!$B$18:$F$48,5,FALSE)</f>
        <v>#REF!</v>
      </c>
      <c r="AM246" s="372" t="e">
        <f t="shared" ca="1" si="133"/>
        <v>#REF!</v>
      </c>
      <c r="AN246" s="372" t="e">
        <f t="shared" ca="1" si="141"/>
        <v>#REF!</v>
      </c>
      <c r="AO246" s="364">
        <f t="shared" ca="1" si="134"/>
        <v>0</v>
      </c>
      <c r="AP246" s="372" t="e">
        <f ca="1">VLOOKUP($AK246&amp;$AO246,所有坦克升星属性,MATCH(AP$3,所有坦克升星属性标头,0),FALSE)+ROUND(AU246/VLOOKUP($AK246,坦克部件!#REF!,4,FALSE)*VLOOKUP($AK246&amp;0,所有坦克升星属性,MATCH(AP$3,所有坦克升星属性标头,0),FALSE),0)</f>
        <v>#REF!</v>
      </c>
      <c r="AQ246" s="372" t="e">
        <f ca="1">VLOOKUP($AK246&amp;$AO246,所有坦克升星属性,MATCH(AQ$3,所有坦克升星属性标头,0),FALSE)+ROUND(AV246/VLOOKUP($AK246,坦克部件!#REF!,4,FALSE)*VLOOKUP($AK246&amp;0,所有坦克升星属性,MATCH(AQ$3,所有坦克升星属性标头,0),FALSE),0)</f>
        <v>#REF!</v>
      </c>
      <c r="AR246" s="372" t="e">
        <f t="shared" ca="1" si="158"/>
        <v>#REF!</v>
      </c>
      <c r="AS246" s="372" t="e">
        <f t="shared" ca="1" si="158"/>
        <v>#REF!</v>
      </c>
      <c r="AT246" s="372" t="e">
        <f ca="1">VLOOKUP($AK246&amp;$AO246,所有坦克升星属性,MATCH(AT$3,所有坦克升星属性标头,0),FALSE)+ROUND(AW246/VLOOKUP($AK246,坦克部件!#REF!,4,FALSE)*VLOOKUP($AK246&amp;0,所有坦克升星属性,MATCH(AT$3,所有坦克升星属性标头,0),FALSE),0)</f>
        <v>#REF!</v>
      </c>
      <c r="AU246" s="372" t="e">
        <f ca="1">(VLOOKUP($AM246,坦克部件!#REF!,MATCH("标准值",坦克部件!#REF!,0),FALSE)+VLOOKUP($AN246,坦克部件!#REF!,MATCH("标准值",坦克部件!#REF!,0),FALSE))*2</f>
        <v>#REF!</v>
      </c>
      <c r="AV246" s="372" t="e">
        <f ca="1">(VLOOKUP($AM246,坦克部件!#REF!,MATCH("标准值",坦克部件!#REF!,0),FALSE)+VLOOKUP($AN246,坦克部件!#REF!,MATCH("标准值",坦克部件!#REF!,0),FALSE))*2</f>
        <v>#REF!</v>
      </c>
      <c r="AW246" s="372" t="e">
        <f ca="1">(VLOOKUP($AM246,坦克部件!#REF!,MATCH("标准值",坦克部件!#REF!,0),FALSE)+VLOOKUP($AN246,坦克部件!#REF!,MATCH("标准值",坦克部件!#REF!,0),FALSE))*2</f>
        <v>#REF!</v>
      </c>
      <c r="AX246" s="372" t="e">
        <f ca="1">VLOOKUP($AK246,坦克属性统计!$B$3:$AY$33,MATCH(AX$3,坦克属性统计!$B$3:$AY$3,0),FALSE)</f>
        <v>#REF!</v>
      </c>
      <c r="AY246" s="372" t="e">
        <f t="shared" ca="1" si="159"/>
        <v>#REF!</v>
      </c>
      <c r="AZ246" s="372" t="e">
        <f t="shared" ca="1" si="159"/>
        <v>#REF!</v>
      </c>
      <c r="BA246" s="372" t="e">
        <f t="shared" ca="1" si="159"/>
        <v>#REF!</v>
      </c>
      <c r="BB246" s="356" t="e">
        <f t="shared" ca="1" si="135"/>
        <v>#REF!</v>
      </c>
      <c r="BC246" s="356" t="e">
        <f ca="1">VLOOKUP(AK246,坦克个性化设定!$B$18:$E$48,4,FALSE)</f>
        <v>#REF!</v>
      </c>
      <c r="BD246" s="357" t="e">
        <f t="shared" ca="1" si="142"/>
        <v>#REF!</v>
      </c>
      <c r="BF246" s="357" t="str">
        <f t="shared" ca="1" si="136"/>
        <v/>
      </c>
      <c r="BG246" s="372" t="str">
        <f ca="1">IFERROR(VLOOKUP(BF246,坦克个性化设定!$B$18:$F$48,5,FALSE),"")</f>
        <v/>
      </c>
      <c r="BH246" s="372" t="e">
        <f t="shared" ca="1" si="143"/>
        <v>#REF!</v>
      </c>
      <c r="BI246" s="372" t="e">
        <f t="shared" ca="1" si="144"/>
        <v>#REF!</v>
      </c>
      <c r="BJ246" s="364" t="str">
        <f t="shared" ca="1" si="137"/>
        <v>NULL</v>
      </c>
      <c r="BK246" s="372" t="e">
        <f ca="1">VLOOKUP($BF246&amp;IF($BJ246="NULL",0,$BJ246),所有坦克升星属性,MATCH(BK$3,所有坦克升星属性标头,0),FALSE)+ROUND(BP246/VLOOKUP($BF246,坦克部件!#REF!,4,FALSE)*VLOOKUP($BF246&amp;0,所有坦克升星属性,MATCH(BK$3,所有坦克升星属性标头,0),FALSE),0)</f>
        <v>#N/A</v>
      </c>
      <c r="BL246" s="372" t="e">
        <f ca="1">VLOOKUP($BF246&amp;IF($BJ246="NULL",0,$BJ246),所有坦克升星属性,MATCH(BL$3,所有坦克升星属性标头,0),FALSE)+ROUND(BQ246/VLOOKUP($BF246,坦克部件!#REF!,4,FALSE)*VLOOKUP($BF246&amp;0,所有坦克升星属性,MATCH(BL$3,所有坦克升星属性标头,0),FALSE),0)</f>
        <v>#N/A</v>
      </c>
      <c r="BM246" s="372" t="e">
        <f t="shared" ca="1" si="160"/>
        <v>#N/A</v>
      </c>
      <c r="BN246" s="372" t="e">
        <f t="shared" ca="1" si="160"/>
        <v>#N/A</v>
      </c>
      <c r="BO246" s="372" t="e">
        <f ca="1">VLOOKUP($BF246&amp;IF($BJ246="NULL",0,$BJ246),所有坦克升星属性,MATCH(BO$3,所有坦克升星属性标头,0),FALSE)+ROUND(BR246/VLOOKUP($BF246,坦克部件!#REF!,4,FALSE)*VLOOKUP($BF246&amp;0,所有坦克升星属性,MATCH(BO$3,所有坦克升星属性标头,0),FALSE),0)</f>
        <v>#N/A</v>
      </c>
      <c r="BP246" s="372" t="e">
        <f ca="1">(VLOOKUP($BH246,坦克部件!#REF!,MATCH("标准值",坦克部件!#REF!,0),FALSE)+VLOOKUP($BI246,坦克部件!#REF!,MATCH("标准值",坦克部件!#REF!,0),FALSE))*2</f>
        <v>#REF!</v>
      </c>
      <c r="BQ246" s="372" t="e">
        <f ca="1">(VLOOKUP($BH246,坦克部件!#REF!,MATCH("标准值",坦克部件!#REF!,0),FALSE)+VLOOKUP($BI246,坦克部件!#REF!,MATCH("标准值",坦克部件!#REF!,0),FALSE))*2</f>
        <v>#REF!</v>
      </c>
      <c r="BR246" s="372" t="e">
        <f ca="1">(VLOOKUP($BH246,坦克部件!#REF!,MATCH("标准值",坦克部件!#REF!,0),FALSE)+VLOOKUP($BI246,坦克部件!#REF!,MATCH("标准值",坦克部件!#REF!,0),FALSE))*2</f>
        <v>#REF!</v>
      </c>
      <c r="BS246" s="372" t="e">
        <f ca="1">VLOOKUP($BF246,坦克属性统计!$B$3:$AY$33,MATCH(BS$3,坦克属性统计!$B$3:$AY$3,0),FALSE)</f>
        <v>#N/A</v>
      </c>
      <c r="BT246" s="372" t="e">
        <f t="shared" ca="1" si="161"/>
        <v>#N/A</v>
      </c>
      <c r="BU246" s="372" t="e">
        <f t="shared" ca="1" si="161"/>
        <v>#N/A</v>
      </c>
      <c r="BV246" s="372" t="e">
        <f t="shared" ca="1" si="161"/>
        <v>#N/A</v>
      </c>
      <c r="BW246" s="356">
        <f t="shared" ca="1" si="138"/>
        <v>0</v>
      </c>
      <c r="BX246" s="356" t="e">
        <f ca="1">VLOOKUP(BF246,坦克个性化设定!$B$18:$E$48,4,FALSE)</f>
        <v>#N/A</v>
      </c>
      <c r="BY246" s="357" t="e">
        <f t="shared" ca="1" si="145"/>
        <v>#N/A</v>
      </c>
    </row>
    <row r="247" spans="15:77" x14ac:dyDescent="0.35">
      <c r="O247" s="365">
        <v>244</v>
      </c>
      <c r="P247" s="360" t="e">
        <f t="shared" ca="1" si="152"/>
        <v>#REF!</v>
      </c>
      <c r="Q247" s="360" t="e">
        <f ca="1">ROUND(MIN((BD247-VLOOKUP(R247,$B$22:$F$46,2,FALSE))/(VLOOKUP(R247,$B$22:$F$46,3,FALSE)-VLOOKUP(R247,$B$22:$F$46,2,FALSE)),1)*((VLOOKUP(R247,$B$22:$F$46,4,FALSE)*(AG247/(AG247+VLOOKUP(P247,$D$49:$F$123,3,TRUE)))+VLOOKUP(R247,$B$22:$F$46,5,FALSE)*(1-AG247/(AG247+VLOOKUP(P247,$D$49:$F$123,3,TRUE))))/2)*游戏时长规划!$C$4,0)</f>
        <v>#REF!</v>
      </c>
      <c r="R247" s="360" t="e">
        <f t="shared" ca="1" si="125"/>
        <v>#REF!</v>
      </c>
      <c r="S247" s="360" t="e">
        <f t="shared" ca="1" si="146"/>
        <v>#REF!</v>
      </c>
      <c r="T247" s="360" t="e">
        <f t="shared" ca="1" si="153"/>
        <v>#REF!</v>
      </c>
      <c r="U247" s="370" t="e">
        <f t="shared" ca="1" si="126"/>
        <v>#REF!</v>
      </c>
      <c r="V247" s="363" t="e">
        <f t="shared" ca="1" si="147"/>
        <v>#REF!</v>
      </c>
      <c r="W247" s="360" t="e">
        <f t="shared" ca="1" si="127"/>
        <v>#REF!</v>
      </c>
      <c r="X247" s="81" t="e">
        <f t="shared" ca="1" si="139"/>
        <v>#REF!</v>
      </c>
      <c r="Y247" s="360" t="str">
        <f t="shared" ca="1" si="128"/>
        <v>NULL</v>
      </c>
      <c r="Z247" s="375" t="e">
        <f t="shared" ca="1" si="140"/>
        <v>#REF!</v>
      </c>
      <c r="AA247" s="360">
        <f ca="1">IFERROR(VLOOKUP(IF(V247="T1低",游戏时长规划!$C$67+Z247,Z247),INDIRECT(V247&amp;"星级"),2,TRUE),0)</f>
        <v>0</v>
      </c>
      <c r="AB247" s="375" t="e">
        <f t="shared" ca="1" si="129"/>
        <v>#REF!</v>
      </c>
      <c r="AC247" s="375">
        <f ca="1">($D$14+$D$17)*$L$4/坦克部件养成!$C$2+AC246-IFERROR(IF(RIGHT(AD246,3)*1&gt;RIGHT(VLOOKUP(AC246,INDIRECT(LEFT(AD245,2)&amp;"部件升阶"),5,TRUE),3)*1,VLOOKUP(AD245,INDIRECT(LEFT(AD245,2)&amp;"部件升阶消耗"),2,FALSE),0),0)</f>
        <v>2887.3333333333389</v>
      </c>
      <c r="AD247" s="360" t="e">
        <f t="shared" ca="1" si="130"/>
        <v>#REF!</v>
      </c>
      <c r="AE247" s="375" t="e">
        <f ca="1">$D$15*$L$4/坦克部件养成!$C$2+AE246-IF(LEFT(AD247,2)&lt;&gt;LEFT(AD246,2),VLOOKUP(AF246,INDIRECT(LEFT(AD246,2)&amp;"部件升级消耗"),5,FALSE),0)</f>
        <v>#REF!</v>
      </c>
      <c r="AF247" s="360" t="e">
        <f ca="1">MIN(VLOOKUP(AE247,INDIRECT(LEFT(AD247,2)&amp;"部件升级"),2,TRUE),VLOOKUP(LEFT(AD247,2),坦克部件养成!#REF!,6,FALSE))</f>
        <v>#REF!</v>
      </c>
      <c r="AG247" s="378" t="e">
        <f ca="1">MAX(BD$4:BD247)</f>
        <v>#REF!</v>
      </c>
      <c r="AH247" s="378" t="str">
        <f t="shared" ca="1" si="131"/>
        <v/>
      </c>
      <c r="AI247" s="378">
        <f ca="1">IF(Y247="NULL",0,MAX(BY$4:BY247))</f>
        <v>0</v>
      </c>
      <c r="AK247" s="364" t="e">
        <f t="shared" ca="1" si="132"/>
        <v>#REF!</v>
      </c>
      <c r="AL247" s="364" t="e">
        <f ca="1">VLOOKUP(AK247,坦克个性化设定!$B$18:$F$48,5,FALSE)</f>
        <v>#REF!</v>
      </c>
      <c r="AM247" s="372" t="e">
        <f t="shared" ca="1" si="133"/>
        <v>#REF!</v>
      </c>
      <c r="AN247" s="372" t="e">
        <f t="shared" ca="1" si="141"/>
        <v>#REF!</v>
      </c>
      <c r="AO247" s="364">
        <f t="shared" ca="1" si="134"/>
        <v>0</v>
      </c>
      <c r="AP247" s="372" t="e">
        <f ca="1">VLOOKUP($AK247&amp;$AO247,所有坦克升星属性,MATCH(AP$3,所有坦克升星属性标头,0),FALSE)+ROUND(AU247/VLOOKUP($AK247,坦克部件!#REF!,4,FALSE)*VLOOKUP($AK247&amp;0,所有坦克升星属性,MATCH(AP$3,所有坦克升星属性标头,0),FALSE),0)</f>
        <v>#REF!</v>
      </c>
      <c r="AQ247" s="372" t="e">
        <f ca="1">VLOOKUP($AK247&amp;$AO247,所有坦克升星属性,MATCH(AQ$3,所有坦克升星属性标头,0),FALSE)+ROUND(AV247/VLOOKUP($AK247,坦克部件!#REF!,4,FALSE)*VLOOKUP($AK247&amp;0,所有坦克升星属性,MATCH(AQ$3,所有坦克升星属性标头,0),FALSE),0)</f>
        <v>#REF!</v>
      </c>
      <c r="AR247" s="372" t="e">
        <f t="shared" ca="1" si="158"/>
        <v>#REF!</v>
      </c>
      <c r="AS247" s="372" t="e">
        <f t="shared" ca="1" si="158"/>
        <v>#REF!</v>
      </c>
      <c r="AT247" s="372" t="e">
        <f ca="1">VLOOKUP($AK247&amp;$AO247,所有坦克升星属性,MATCH(AT$3,所有坦克升星属性标头,0),FALSE)+ROUND(AW247/VLOOKUP($AK247,坦克部件!#REF!,4,FALSE)*VLOOKUP($AK247&amp;0,所有坦克升星属性,MATCH(AT$3,所有坦克升星属性标头,0),FALSE),0)</f>
        <v>#REF!</v>
      </c>
      <c r="AU247" s="372" t="e">
        <f ca="1">(VLOOKUP($AM247,坦克部件!#REF!,MATCH("标准值",坦克部件!#REF!,0),FALSE)+VLOOKUP($AN247,坦克部件!#REF!,MATCH("标准值",坦克部件!#REF!,0),FALSE))*2</f>
        <v>#REF!</v>
      </c>
      <c r="AV247" s="372" t="e">
        <f ca="1">(VLOOKUP($AM247,坦克部件!#REF!,MATCH("标准值",坦克部件!#REF!,0),FALSE)+VLOOKUP($AN247,坦克部件!#REF!,MATCH("标准值",坦克部件!#REF!,0),FALSE))*2</f>
        <v>#REF!</v>
      </c>
      <c r="AW247" s="372" t="e">
        <f ca="1">(VLOOKUP($AM247,坦克部件!#REF!,MATCH("标准值",坦克部件!#REF!,0),FALSE)+VLOOKUP($AN247,坦克部件!#REF!,MATCH("标准值",坦克部件!#REF!,0),FALSE))*2</f>
        <v>#REF!</v>
      </c>
      <c r="AX247" s="372" t="e">
        <f ca="1">VLOOKUP($AK247,坦克属性统计!$B$3:$AY$33,MATCH(AX$3,坦克属性统计!$B$3:$AY$3,0),FALSE)</f>
        <v>#REF!</v>
      </c>
      <c r="AY247" s="372" t="e">
        <f t="shared" ca="1" si="159"/>
        <v>#REF!</v>
      </c>
      <c r="AZ247" s="372" t="e">
        <f t="shared" ca="1" si="159"/>
        <v>#REF!</v>
      </c>
      <c r="BA247" s="372" t="e">
        <f t="shared" ca="1" si="159"/>
        <v>#REF!</v>
      </c>
      <c r="BB247" s="356" t="e">
        <f t="shared" ca="1" si="135"/>
        <v>#REF!</v>
      </c>
      <c r="BC247" s="356" t="e">
        <f ca="1">VLOOKUP(AK247,坦克个性化设定!$B$18:$E$48,4,FALSE)</f>
        <v>#REF!</v>
      </c>
      <c r="BD247" s="357" t="e">
        <f t="shared" ca="1" si="142"/>
        <v>#REF!</v>
      </c>
      <c r="BF247" s="357" t="str">
        <f t="shared" ca="1" si="136"/>
        <v/>
      </c>
      <c r="BG247" s="372" t="str">
        <f ca="1">IFERROR(VLOOKUP(BF247,坦克个性化设定!$B$18:$F$48,5,FALSE),"")</f>
        <v/>
      </c>
      <c r="BH247" s="372" t="e">
        <f t="shared" ca="1" si="143"/>
        <v>#REF!</v>
      </c>
      <c r="BI247" s="372" t="e">
        <f t="shared" ca="1" si="144"/>
        <v>#REF!</v>
      </c>
      <c r="BJ247" s="364" t="str">
        <f t="shared" ca="1" si="137"/>
        <v>NULL</v>
      </c>
      <c r="BK247" s="372" t="e">
        <f ca="1">VLOOKUP($BF247&amp;IF($BJ247="NULL",0,$BJ247),所有坦克升星属性,MATCH(BK$3,所有坦克升星属性标头,0),FALSE)+ROUND(BP247/VLOOKUP($BF247,坦克部件!#REF!,4,FALSE)*VLOOKUP($BF247&amp;0,所有坦克升星属性,MATCH(BK$3,所有坦克升星属性标头,0),FALSE),0)</f>
        <v>#N/A</v>
      </c>
      <c r="BL247" s="372" t="e">
        <f ca="1">VLOOKUP($BF247&amp;IF($BJ247="NULL",0,$BJ247),所有坦克升星属性,MATCH(BL$3,所有坦克升星属性标头,0),FALSE)+ROUND(BQ247/VLOOKUP($BF247,坦克部件!#REF!,4,FALSE)*VLOOKUP($BF247&amp;0,所有坦克升星属性,MATCH(BL$3,所有坦克升星属性标头,0),FALSE),0)</f>
        <v>#N/A</v>
      </c>
      <c r="BM247" s="372" t="e">
        <f t="shared" ca="1" si="160"/>
        <v>#N/A</v>
      </c>
      <c r="BN247" s="372" t="e">
        <f t="shared" ca="1" si="160"/>
        <v>#N/A</v>
      </c>
      <c r="BO247" s="372" t="e">
        <f ca="1">VLOOKUP($BF247&amp;IF($BJ247="NULL",0,$BJ247),所有坦克升星属性,MATCH(BO$3,所有坦克升星属性标头,0),FALSE)+ROUND(BR247/VLOOKUP($BF247,坦克部件!#REF!,4,FALSE)*VLOOKUP($BF247&amp;0,所有坦克升星属性,MATCH(BO$3,所有坦克升星属性标头,0),FALSE),0)</f>
        <v>#N/A</v>
      </c>
      <c r="BP247" s="372" t="e">
        <f ca="1">(VLOOKUP($BH247,坦克部件!#REF!,MATCH("标准值",坦克部件!#REF!,0),FALSE)+VLOOKUP($BI247,坦克部件!#REF!,MATCH("标准值",坦克部件!#REF!,0),FALSE))*2</f>
        <v>#REF!</v>
      </c>
      <c r="BQ247" s="372" t="e">
        <f ca="1">(VLOOKUP($BH247,坦克部件!#REF!,MATCH("标准值",坦克部件!#REF!,0),FALSE)+VLOOKUP($BI247,坦克部件!#REF!,MATCH("标准值",坦克部件!#REF!,0),FALSE))*2</f>
        <v>#REF!</v>
      </c>
      <c r="BR247" s="372" t="e">
        <f ca="1">(VLOOKUP($BH247,坦克部件!#REF!,MATCH("标准值",坦克部件!#REF!,0),FALSE)+VLOOKUP($BI247,坦克部件!#REF!,MATCH("标准值",坦克部件!#REF!,0),FALSE))*2</f>
        <v>#REF!</v>
      </c>
      <c r="BS247" s="372" t="e">
        <f ca="1">VLOOKUP($BF247,坦克属性统计!$B$3:$AY$33,MATCH(BS$3,坦克属性统计!$B$3:$AY$3,0),FALSE)</f>
        <v>#N/A</v>
      </c>
      <c r="BT247" s="372" t="e">
        <f t="shared" ca="1" si="161"/>
        <v>#N/A</v>
      </c>
      <c r="BU247" s="372" t="e">
        <f t="shared" ca="1" si="161"/>
        <v>#N/A</v>
      </c>
      <c r="BV247" s="372" t="e">
        <f t="shared" ca="1" si="161"/>
        <v>#N/A</v>
      </c>
      <c r="BW247" s="356">
        <f t="shared" ca="1" si="138"/>
        <v>0</v>
      </c>
      <c r="BX247" s="356" t="e">
        <f ca="1">VLOOKUP(BF247,坦克个性化设定!$B$18:$E$48,4,FALSE)</f>
        <v>#N/A</v>
      </c>
      <c r="BY247" s="357" t="e">
        <f t="shared" ca="1" si="145"/>
        <v>#N/A</v>
      </c>
    </row>
    <row r="248" spans="15:77" x14ac:dyDescent="0.35">
      <c r="O248" s="365">
        <v>245</v>
      </c>
      <c r="P248" s="360" t="e">
        <f t="shared" ca="1" si="152"/>
        <v>#REF!</v>
      </c>
      <c r="Q248" s="360" t="e">
        <f ca="1">ROUND(MIN((BD248-VLOOKUP(R248,$B$22:$F$46,2,FALSE))/(VLOOKUP(R248,$B$22:$F$46,3,FALSE)-VLOOKUP(R248,$B$22:$F$46,2,FALSE)),1)*((VLOOKUP(R248,$B$22:$F$46,4,FALSE)*(AG248/(AG248+VLOOKUP(P248,$D$49:$F$123,3,TRUE)))+VLOOKUP(R248,$B$22:$F$46,5,FALSE)*(1-AG248/(AG248+VLOOKUP(P248,$D$49:$F$123,3,TRUE))))/2)*游戏时长规划!$C$4,0)</f>
        <v>#REF!</v>
      </c>
      <c r="R248" s="360" t="e">
        <f t="shared" ca="1" si="125"/>
        <v>#REF!</v>
      </c>
      <c r="S248" s="360" t="e">
        <f t="shared" ca="1" si="146"/>
        <v>#REF!</v>
      </c>
      <c r="T248" s="360" t="e">
        <f t="shared" ca="1" si="153"/>
        <v>#REF!</v>
      </c>
      <c r="U248" s="370" t="e">
        <f t="shared" ca="1" si="126"/>
        <v>#REF!</v>
      </c>
      <c r="V248" s="363" t="e">
        <f t="shared" ca="1" si="147"/>
        <v>#REF!</v>
      </c>
      <c r="W248" s="360" t="e">
        <f t="shared" ca="1" si="127"/>
        <v>#REF!</v>
      </c>
      <c r="X248" s="81" t="e">
        <f t="shared" ca="1" si="139"/>
        <v>#REF!</v>
      </c>
      <c r="Y248" s="360" t="str">
        <f t="shared" ca="1" si="128"/>
        <v>NULL</v>
      </c>
      <c r="Z248" s="375" t="e">
        <f t="shared" ca="1" si="140"/>
        <v>#REF!</v>
      </c>
      <c r="AA248" s="360">
        <f ca="1">IFERROR(VLOOKUP(IF(V248="T1低",游戏时长规划!$C$67+Z248,Z248),INDIRECT(V248&amp;"星级"),2,TRUE),0)</f>
        <v>0</v>
      </c>
      <c r="AB248" s="375" t="e">
        <f t="shared" ca="1" si="129"/>
        <v>#REF!</v>
      </c>
      <c r="AC248" s="375">
        <f ca="1">($D$14+$D$17)*$L$4/坦克部件养成!$C$2+AC247-IFERROR(IF(RIGHT(AD247,3)*1&gt;RIGHT(VLOOKUP(AC247,INDIRECT(LEFT(AD246,2)&amp;"部件升阶"),5,TRUE),3)*1,VLOOKUP(AD246,INDIRECT(LEFT(AD246,2)&amp;"部件升阶消耗"),2,FALSE),0),0)</f>
        <v>2899.1666666666724</v>
      </c>
      <c r="AD248" s="360" t="e">
        <f t="shared" ca="1" si="130"/>
        <v>#REF!</v>
      </c>
      <c r="AE248" s="375" t="e">
        <f ca="1">$D$15*$L$4/坦克部件养成!$C$2+AE247-IF(LEFT(AD248,2)&lt;&gt;LEFT(AD247,2),VLOOKUP(AF247,INDIRECT(LEFT(AD247,2)&amp;"部件升级消耗"),5,FALSE),0)</f>
        <v>#REF!</v>
      </c>
      <c r="AF248" s="360" t="e">
        <f ca="1">MIN(VLOOKUP(AE248,INDIRECT(LEFT(AD248,2)&amp;"部件升级"),2,TRUE),VLOOKUP(LEFT(AD248,2),坦克部件养成!#REF!,6,FALSE))</f>
        <v>#REF!</v>
      </c>
      <c r="AG248" s="378" t="e">
        <f ca="1">MAX(BD$4:BD248)</f>
        <v>#REF!</v>
      </c>
      <c r="AH248" s="378" t="str">
        <f t="shared" ca="1" si="131"/>
        <v/>
      </c>
      <c r="AI248" s="378">
        <f ca="1">IF(Y248="NULL",0,MAX(BY$4:BY248))</f>
        <v>0</v>
      </c>
      <c r="AK248" s="364" t="e">
        <f t="shared" ca="1" si="132"/>
        <v>#REF!</v>
      </c>
      <c r="AL248" s="364" t="e">
        <f ca="1">VLOOKUP(AK248,坦克个性化设定!$B$18:$F$48,5,FALSE)</f>
        <v>#REF!</v>
      </c>
      <c r="AM248" s="372" t="e">
        <f t="shared" ca="1" si="133"/>
        <v>#REF!</v>
      </c>
      <c r="AN248" s="372" t="e">
        <f t="shared" ca="1" si="141"/>
        <v>#REF!</v>
      </c>
      <c r="AO248" s="364">
        <f t="shared" ca="1" si="134"/>
        <v>0</v>
      </c>
      <c r="AP248" s="372" t="e">
        <f ca="1">VLOOKUP($AK248&amp;$AO248,所有坦克升星属性,MATCH(AP$3,所有坦克升星属性标头,0),FALSE)+ROUND(AU248/VLOOKUP($AK248,坦克部件!#REF!,4,FALSE)*VLOOKUP($AK248&amp;0,所有坦克升星属性,MATCH(AP$3,所有坦克升星属性标头,0),FALSE),0)</f>
        <v>#REF!</v>
      </c>
      <c r="AQ248" s="372" t="e">
        <f ca="1">VLOOKUP($AK248&amp;$AO248,所有坦克升星属性,MATCH(AQ$3,所有坦克升星属性标头,0),FALSE)+ROUND(AV248/VLOOKUP($AK248,坦克部件!#REF!,4,FALSE)*VLOOKUP($AK248&amp;0,所有坦克升星属性,MATCH(AQ$3,所有坦克升星属性标头,0),FALSE),0)</f>
        <v>#REF!</v>
      </c>
      <c r="AR248" s="372" t="e">
        <f t="shared" ca="1" si="158"/>
        <v>#REF!</v>
      </c>
      <c r="AS248" s="372" t="e">
        <f t="shared" ca="1" si="158"/>
        <v>#REF!</v>
      </c>
      <c r="AT248" s="372" t="e">
        <f ca="1">VLOOKUP($AK248&amp;$AO248,所有坦克升星属性,MATCH(AT$3,所有坦克升星属性标头,0),FALSE)+ROUND(AW248/VLOOKUP($AK248,坦克部件!#REF!,4,FALSE)*VLOOKUP($AK248&amp;0,所有坦克升星属性,MATCH(AT$3,所有坦克升星属性标头,0),FALSE),0)</f>
        <v>#REF!</v>
      </c>
      <c r="AU248" s="372" t="e">
        <f ca="1">(VLOOKUP($AM248,坦克部件!#REF!,MATCH("标准值",坦克部件!#REF!,0),FALSE)+VLOOKUP($AN248,坦克部件!#REF!,MATCH("标准值",坦克部件!#REF!,0),FALSE))*2</f>
        <v>#REF!</v>
      </c>
      <c r="AV248" s="372" t="e">
        <f ca="1">(VLOOKUP($AM248,坦克部件!#REF!,MATCH("标准值",坦克部件!#REF!,0),FALSE)+VLOOKUP($AN248,坦克部件!#REF!,MATCH("标准值",坦克部件!#REF!,0),FALSE))*2</f>
        <v>#REF!</v>
      </c>
      <c r="AW248" s="372" t="e">
        <f ca="1">(VLOOKUP($AM248,坦克部件!#REF!,MATCH("标准值",坦克部件!#REF!,0),FALSE)+VLOOKUP($AN248,坦克部件!#REF!,MATCH("标准值",坦克部件!#REF!,0),FALSE))*2</f>
        <v>#REF!</v>
      </c>
      <c r="AX248" s="372" t="e">
        <f ca="1">VLOOKUP($AK248,坦克属性统计!$B$3:$AY$33,MATCH(AX$3,坦克属性统计!$B$3:$AY$3,0),FALSE)</f>
        <v>#REF!</v>
      </c>
      <c r="AY248" s="372" t="e">
        <f t="shared" ca="1" si="159"/>
        <v>#REF!</v>
      </c>
      <c r="AZ248" s="372" t="e">
        <f t="shared" ca="1" si="159"/>
        <v>#REF!</v>
      </c>
      <c r="BA248" s="372" t="e">
        <f t="shared" ca="1" si="159"/>
        <v>#REF!</v>
      </c>
      <c r="BB248" s="356" t="e">
        <f t="shared" ca="1" si="135"/>
        <v>#REF!</v>
      </c>
      <c r="BC248" s="356" t="e">
        <f ca="1">VLOOKUP(AK248,坦克个性化设定!$B$18:$E$48,4,FALSE)</f>
        <v>#REF!</v>
      </c>
      <c r="BD248" s="357" t="e">
        <f t="shared" ca="1" si="142"/>
        <v>#REF!</v>
      </c>
      <c r="BF248" s="357" t="str">
        <f t="shared" ca="1" si="136"/>
        <v/>
      </c>
      <c r="BG248" s="372" t="str">
        <f ca="1">IFERROR(VLOOKUP(BF248,坦克个性化设定!$B$18:$F$48,5,FALSE),"")</f>
        <v/>
      </c>
      <c r="BH248" s="372" t="e">
        <f t="shared" ca="1" si="143"/>
        <v>#REF!</v>
      </c>
      <c r="BI248" s="372" t="e">
        <f t="shared" ca="1" si="144"/>
        <v>#REF!</v>
      </c>
      <c r="BJ248" s="364" t="str">
        <f t="shared" ca="1" si="137"/>
        <v>NULL</v>
      </c>
      <c r="BK248" s="372" t="e">
        <f ca="1">VLOOKUP($BF248&amp;IF($BJ248="NULL",0,$BJ248),所有坦克升星属性,MATCH(BK$3,所有坦克升星属性标头,0),FALSE)+ROUND(BP248/VLOOKUP($BF248,坦克部件!#REF!,4,FALSE)*VLOOKUP($BF248&amp;0,所有坦克升星属性,MATCH(BK$3,所有坦克升星属性标头,0),FALSE),0)</f>
        <v>#N/A</v>
      </c>
      <c r="BL248" s="372" t="e">
        <f ca="1">VLOOKUP($BF248&amp;IF($BJ248="NULL",0,$BJ248),所有坦克升星属性,MATCH(BL$3,所有坦克升星属性标头,0),FALSE)+ROUND(BQ248/VLOOKUP($BF248,坦克部件!#REF!,4,FALSE)*VLOOKUP($BF248&amp;0,所有坦克升星属性,MATCH(BL$3,所有坦克升星属性标头,0),FALSE),0)</f>
        <v>#N/A</v>
      </c>
      <c r="BM248" s="372" t="e">
        <f t="shared" ca="1" si="160"/>
        <v>#N/A</v>
      </c>
      <c r="BN248" s="372" t="e">
        <f t="shared" ca="1" si="160"/>
        <v>#N/A</v>
      </c>
      <c r="BO248" s="372" t="e">
        <f ca="1">VLOOKUP($BF248&amp;IF($BJ248="NULL",0,$BJ248),所有坦克升星属性,MATCH(BO$3,所有坦克升星属性标头,0),FALSE)+ROUND(BR248/VLOOKUP($BF248,坦克部件!#REF!,4,FALSE)*VLOOKUP($BF248&amp;0,所有坦克升星属性,MATCH(BO$3,所有坦克升星属性标头,0),FALSE),0)</f>
        <v>#N/A</v>
      </c>
      <c r="BP248" s="372" t="e">
        <f ca="1">(VLOOKUP($BH248,坦克部件!#REF!,MATCH("标准值",坦克部件!#REF!,0),FALSE)+VLOOKUP($BI248,坦克部件!#REF!,MATCH("标准值",坦克部件!#REF!,0),FALSE))*2</f>
        <v>#REF!</v>
      </c>
      <c r="BQ248" s="372" t="e">
        <f ca="1">(VLOOKUP($BH248,坦克部件!#REF!,MATCH("标准值",坦克部件!#REF!,0),FALSE)+VLOOKUP($BI248,坦克部件!#REF!,MATCH("标准值",坦克部件!#REF!,0),FALSE))*2</f>
        <v>#REF!</v>
      </c>
      <c r="BR248" s="372" t="e">
        <f ca="1">(VLOOKUP($BH248,坦克部件!#REF!,MATCH("标准值",坦克部件!#REF!,0),FALSE)+VLOOKUP($BI248,坦克部件!#REF!,MATCH("标准值",坦克部件!#REF!,0),FALSE))*2</f>
        <v>#REF!</v>
      </c>
      <c r="BS248" s="372" t="e">
        <f ca="1">VLOOKUP($BF248,坦克属性统计!$B$3:$AY$33,MATCH(BS$3,坦克属性统计!$B$3:$AY$3,0),FALSE)</f>
        <v>#N/A</v>
      </c>
      <c r="BT248" s="372" t="e">
        <f t="shared" ca="1" si="161"/>
        <v>#N/A</v>
      </c>
      <c r="BU248" s="372" t="e">
        <f t="shared" ca="1" si="161"/>
        <v>#N/A</v>
      </c>
      <c r="BV248" s="372" t="e">
        <f t="shared" ca="1" si="161"/>
        <v>#N/A</v>
      </c>
      <c r="BW248" s="356">
        <f t="shared" ca="1" si="138"/>
        <v>0</v>
      </c>
      <c r="BX248" s="356" t="e">
        <f ca="1">VLOOKUP(BF248,坦克个性化设定!$B$18:$E$48,4,FALSE)</f>
        <v>#N/A</v>
      </c>
      <c r="BY248" s="357" t="e">
        <f t="shared" ca="1" si="145"/>
        <v>#N/A</v>
      </c>
    </row>
    <row r="249" spans="15:77" x14ac:dyDescent="0.35">
      <c r="O249" s="365">
        <v>246</v>
      </c>
      <c r="P249" s="360" t="e">
        <f t="shared" ca="1" si="152"/>
        <v>#REF!</v>
      </c>
      <c r="Q249" s="360" t="e">
        <f ca="1">ROUND(MIN((BD249-VLOOKUP(R249,$B$22:$F$46,2,FALSE))/(VLOOKUP(R249,$B$22:$F$46,3,FALSE)-VLOOKUP(R249,$B$22:$F$46,2,FALSE)),1)*((VLOOKUP(R249,$B$22:$F$46,4,FALSE)*(AG249/(AG249+VLOOKUP(P249,$D$49:$F$123,3,TRUE)))+VLOOKUP(R249,$B$22:$F$46,5,FALSE)*(1-AG249/(AG249+VLOOKUP(P249,$D$49:$F$123,3,TRUE))))/2)*游戏时长规划!$C$4,0)</f>
        <v>#REF!</v>
      </c>
      <c r="R249" s="360" t="e">
        <f t="shared" ca="1" si="125"/>
        <v>#REF!</v>
      </c>
      <c r="S249" s="360" t="e">
        <f t="shared" ca="1" si="146"/>
        <v>#REF!</v>
      </c>
      <c r="T249" s="360" t="e">
        <f t="shared" ca="1" si="153"/>
        <v>#REF!</v>
      </c>
      <c r="U249" s="370" t="e">
        <f t="shared" ca="1" si="126"/>
        <v>#REF!</v>
      </c>
      <c r="V249" s="363" t="e">
        <f t="shared" ca="1" si="147"/>
        <v>#REF!</v>
      </c>
      <c r="W249" s="360" t="e">
        <f t="shared" ca="1" si="127"/>
        <v>#REF!</v>
      </c>
      <c r="X249" s="81" t="e">
        <f t="shared" ca="1" si="139"/>
        <v>#REF!</v>
      </c>
      <c r="Y249" s="360" t="str">
        <f t="shared" ca="1" si="128"/>
        <v>NULL</v>
      </c>
      <c r="Z249" s="375" t="e">
        <f t="shared" ca="1" si="140"/>
        <v>#REF!</v>
      </c>
      <c r="AA249" s="360">
        <f ca="1">IFERROR(VLOOKUP(IF(V249="T1低",游戏时长规划!$C$67+Z249,Z249),INDIRECT(V249&amp;"星级"),2,TRUE),0)</f>
        <v>0</v>
      </c>
      <c r="AB249" s="375" t="e">
        <f t="shared" ca="1" si="129"/>
        <v>#REF!</v>
      </c>
      <c r="AC249" s="375">
        <f ca="1">($D$14+$D$17)*$L$4/坦克部件养成!$C$2+AC248-IFERROR(IF(RIGHT(AD248,3)*1&gt;RIGHT(VLOOKUP(AC248,INDIRECT(LEFT(AD247,2)&amp;"部件升阶"),5,TRUE),3)*1,VLOOKUP(AD247,INDIRECT(LEFT(AD247,2)&amp;"部件升阶消耗"),2,FALSE),0),0)</f>
        <v>2911.0000000000059</v>
      </c>
      <c r="AD249" s="360" t="e">
        <f t="shared" ca="1" si="130"/>
        <v>#REF!</v>
      </c>
      <c r="AE249" s="375" t="e">
        <f ca="1">$D$15*$L$4/坦克部件养成!$C$2+AE248-IF(LEFT(AD249,2)&lt;&gt;LEFT(AD248,2),VLOOKUP(AF248,INDIRECT(LEFT(AD248,2)&amp;"部件升级消耗"),5,FALSE),0)</f>
        <v>#REF!</v>
      </c>
      <c r="AF249" s="360" t="e">
        <f ca="1">MIN(VLOOKUP(AE249,INDIRECT(LEFT(AD249,2)&amp;"部件升级"),2,TRUE),VLOOKUP(LEFT(AD249,2),坦克部件养成!#REF!,6,FALSE))</f>
        <v>#REF!</v>
      </c>
      <c r="AG249" s="378" t="e">
        <f ca="1">MAX(BD$4:BD249)</f>
        <v>#REF!</v>
      </c>
      <c r="AH249" s="378" t="str">
        <f t="shared" ca="1" si="131"/>
        <v/>
      </c>
      <c r="AI249" s="378">
        <f ca="1">IF(Y249="NULL",0,MAX(BY$4:BY249))</f>
        <v>0</v>
      </c>
      <c r="AK249" s="364" t="e">
        <f t="shared" ca="1" si="132"/>
        <v>#REF!</v>
      </c>
      <c r="AL249" s="364" t="e">
        <f ca="1">VLOOKUP(AK249,坦克个性化设定!$B$18:$F$48,5,FALSE)</f>
        <v>#REF!</v>
      </c>
      <c r="AM249" s="372" t="e">
        <f t="shared" ca="1" si="133"/>
        <v>#REF!</v>
      </c>
      <c r="AN249" s="372" t="e">
        <f t="shared" ca="1" si="141"/>
        <v>#REF!</v>
      </c>
      <c r="AO249" s="364">
        <f t="shared" ca="1" si="134"/>
        <v>0</v>
      </c>
      <c r="AP249" s="372" t="e">
        <f ca="1">VLOOKUP($AK249&amp;$AO249,所有坦克升星属性,MATCH(AP$3,所有坦克升星属性标头,0),FALSE)+ROUND(AU249/VLOOKUP($AK249,坦克部件!#REF!,4,FALSE)*VLOOKUP($AK249&amp;0,所有坦克升星属性,MATCH(AP$3,所有坦克升星属性标头,0),FALSE),0)</f>
        <v>#REF!</v>
      </c>
      <c r="AQ249" s="372" t="e">
        <f ca="1">VLOOKUP($AK249&amp;$AO249,所有坦克升星属性,MATCH(AQ$3,所有坦克升星属性标头,0),FALSE)+ROUND(AV249/VLOOKUP($AK249,坦克部件!#REF!,4,FALSE)*VLOOKUP($AK249&amp;0,所有坦克升星属性,MATCH(AQ$3,所有坦克升星属性标头,0),FALSE),0)</f>
        <v>#REF!</v>
      </c>
      <c r="AR249" s="372" t="e">
        <f t="shared" ca="1" si="158"/>
        <v>#REF!</v>
      </c>
      <c r="AS249" s="372" t="e">
        <f t="shared" ca="1" si="158"/>
        <v>#REF!</v>
      </c>
      <c r="AT249" s="372" t="e">
        <f ca="1">VLOOKUP($AK249&amp;$AO249,所有坦克升星属性,MATCH(AT$3,所有坦克升星属性标头,0),FALSE)+ROUND(AW249/VLOOKUP($AK249,坦克部件!#REF!,4,FALSE)*VLOOKUP($AK249&amp;0,所有坦克升星属性,MATCH(AT$3,所有坦克升星属性标头,0),FALSE),0)</f>
        <v>#REF!</v>
      </c>
      <c r="AU249" s="372" t="e">
        <f ca="1">(VLOOKUP($AM249,坦克部件!#REF!,MATCH("标准值",坦克部件!#REF!,0),FALSE)+VLOOKUP($AN249,坦克部件!#REF!,MATCH("标准值",坦克部件!#REF!,0),FALSE))*2</f>
        <v>#REF!</v>
      </c>
      <c r="AV249" s="372" t="e">
        <f ca="1">(VLOOKUP($AM249,坦克部件!#REF!,MATCH("标准值",坦克部件!#REF!,0),FALSE)+VLOOKUP($AN249,坦克部件!#REF!,MATCH("标准值",坦克部件!#REF!,0),FALSE))*2</f>
        <v>#REF!</v>
      </c>
      <c r="AW249" s="372" t="e">
        <f ca="1">(VLOOKUP($AM249,坦克部件!#REF!,MATCH("标准值",坦克部件!#REF!,0),FALSE)+VLOOKUP($AN249,坦克部件!#REF!,MATCH("标准值",坦克部件!#REF!,0),FALSE))*2</f>
        <v>#REF!</v>
      </c>
      <c r="AX249" s="372" t="e">
        <f ca="1">VLOOKUP($AK249,坦克属性统计!$B$3:$AY$33,MATCH(AX$3,坦克属性统计!$B$3:$AY$3,0),FALSE)</f>
        <v>#REF!</v>
      </c>
      <c r="AY249" s="372" t="e">
        <f t="shared" ca="1" si="159"/>
        <v>#REF!</v>
      </c>
      <c r="AZ249" s="372" t="e">
        <f t="shared" ca="1" si="159"/>
        <v>#REF!</v>
      </c>
      <c r="BA249" s="372" t="e">
        <f t="shared" ca="1" si="159"/>
        <v>#REF!</v>
      </c>
      <c r="BB249" s="356" t="e">
        <f t="shared" ca="1" si="135"/>
        <v>#REF!</v>
      </c>
      <c r="BC249" s="356" t="e">
        <f ca="1">VLOOKUP(AK249,坦克个性化设定!$B$18:$E$48,4,FALSE)</f>
        <v>#REF!</v>
      </c>
      <c r="BD249" s="357" t="e">
        <f t="shared" ca="1" si="142"/>
        <v>#REF!</v>
      </c>
      <c r="BF249" s="357" t="str">
        <f t="shared" ca="1" si="136"/>
        <v/>
      </c>
      <c r="BG249" s="372" t="str">
        <f ca="1">IFERROR(VLOOKUP(BF249,坦克个性化设定!$B$18:$F$48,5,FALSE),"")</f>
        <v/>
      </c>
      <c r="BH249" s="372" t="e">
        <f t="shared" ca="1" si="143"/>
        <v>#REF!</v>
      </c>
      <c r="BI249" s="372" t="e">
        <f t="shared" ca="1" si="144"/>
        <v>#REF!</v>
      </c>
      <c r="BJ249" s="364" t="str">
        <f t="shared" ca="1" si="137"/>
        <v>NULL</v>
      </c>
      <c r="BK249" s="372" t="e">
        <f ca="1">VLOOKUP($BF249&amp;IF($BJ249="NULL",0,$BJ249),所有坦克升星属性,MATCH(BK$3,所有坦克升星属性标头,0),FALSE)+ROUND(BP249/VLOOKUP($BF249,坦克部件!#REF!,4,FALSE)*VLOOKUP($BF249&amp;0,所有坦克升星属性,MATCH(BK$3,所有坦克升星属性标头,0),FALSE),0)</f>
        <v>#N/A</v>
      </c>
      <c r="BL249" s="372" t="e">
        <f ca="1">VLOOKUP($BF249&amp;IF($BJ249="NULL",0,$BJ249),所有坦克升星属性,MATCH(BL$3,所有坦克升星属性标头,0),FALSE)+ROUND(BQ249/VLOOKUP($BF249,坦克部件!#REF!,4,FALSE)*VLOOKUP($BF249&amp;0,所有坦克升星属性,MATCH(BL$3,所有坦克升星属性标头,0),FALSE),0)</f>
        <v>#N/A</v>
      </c>
      <c r="BM249" s="372" t="e">
        <f t="shared" ca="1" si="160"/>
        <v>#N/A</v>
      </c>
      <c r="BN249" s="372" t="e">
        <f t="shared" ca="1" si="160"/>
        <v>#N/A</v>
      </c>
      <c r="BO249" s="372" t="e">
        <f ca="1">VLOOKUP($BF249&amp;IF($BJ249="NULL",0,$BJ249),所有坦克升星属性,MATCH(BO$3,所有坦克升星属性标头,0),FALSE)+ROUND(BR249/VLOOKUP($BF249,坦克部件!#REF!,4,FALSE)*VLOOKUP($BF249&amp;0,所有坦克升星属性,MATCH(BO$3,所有坦克升星属性标头,0),FALSE),0)</f>
        <v>#N/A</v>
      </c>
      <c r="BP249" s="372" t="e">
        <f ca="1">(VLOOKUP($BH249,坦克部件!#REF!,MATCH("标准值",坦克部件!#REF!,0),FALSE)+VLOOKUP($BI249,坦克部件!#REF!,MATCH("标准值",坦克部件!#REF!,0),FALSE))*2</f>
        <v>#REF!</v>
      </c>
      <c r="BQ249" s="372" t="e">
        <f ca="1">(VLOOKUP($BH249,坦克部件!#REF!,MATCH("标准值",坦克部件!#REF!,0),FALSE)+VLOOKUP($BI249,坦克部件!#REF!,MATCH("标准值",坦克部件!#REF!,0),FALSE))*2</f>
        <v>#REF!</v>
      </c>
      <c r="BR249" s="372" t="e">
        <f ca="1">(VLOOKUP($BH249,坦克部件!#REF!,MATCH("标准值",坦克部件!#REF!,0),FALSE)+VLOOKUP($BI249,坦克部件!#REF!,MATCH("标准值",坦克部件!#REF!,0),FALSE))*2</f>
        <v>#REF!</v>
      </c>
      <c r="BS249" s="372" t="e">
        <f ca="1">VLOOKUP($BF249,坦克属性统计!$B$3:$AY$33,MATCH(BS$3,坦克属性统计!$B$3:$AY$3,0),FALSE)</f>
        <v>#N/A</v>
      </c>
      <c r="BT249" s="372" t="e">
        <f t="shared" ca="1" si="161"/>
        <v>#N/A</v>
      </c>
      <c r="BU249" s="372" t="e">
        <f t="shared" ca="1" si="161"/>
        <v>#N/A</v>
      </c>
      <c r="BV249" s="372" t="e">
        <f t="shared" ca="1" si="161"/>
        <v>#N/A</v>
      </c>
      <c r="BW249" s="356">
        <f t="shared" ca="1" si="138"/>
        <v>0</v>
      </c>
      <c r="BX249" s="356" t="e">
        <f ca="1">VLOOKUP(BF249,坦克个性化设定!$B$18:$E$48,4,FALSE)</f>
        <v>#N/A</v>
      </c>
      <c r="BY249" s="357" t="e">
        <f t="shared" ca="1" si="145"/>
        <v>#N/A</v>
      </c>
    </row>
    <row r="250" spans="15:77" x14ac:dyDescent="0.35">
      <c r="O250" s="365">
        <v>247</v>
      </c>
      <c r="P250" s="360" t="e">
        <f t="shared" ca="1" si="152"/>
        <v>#REF!</v>
      </c>
      <c r="Q250" s="360" t="e">
        <f ca="1">ROUND(MIN((BD250-VLOOKUP(R250,$B$22:$F$46,2,FALSE))/(VLOOKUP(R250,$B$22:$F$46,3,FALSE)-VLOOKUP(R250,$B$22:$F$46,2,FALSE)),1)*((VLOOKUP(R250,$B$22:$F$46,4,FALSE)*(AG250/(AG250+VLOOKUP(P250,$D$49:$F$123,3,TRUE)))+VLOOKUP(R250,$B$22:$F$46,5,FALSE)*(1-AG250/(AG250+VLOOKUP(P250,$D$49:$F$123,3,TRUE))))/2)*游戏时长规划!$C$4,0)</f>
        <v>#REF!</v>
      </c>
      <c r="R250" s="360" t="e">
        <f t="shared" ca="1" si="125"/>
        <v>#REF!</v>
      </c>
      <c r="S250" s="360" t="e">
        <f t="shared" ca="1" si="146"/>
        <v>#REF!</v>
      </c>
      <c r="T250" s="360" t="e">
        <f t="shared" ca="1" si="153"/>
        <v>#REF!</v>
      </c>
      <c r="U250" s="370" t="e">
        <f t="shared" ca="1" si="126"/>
        <v>#REF!</v>
      </c>
      <c r="V250" s="363" t="e">
        <f t="shared" ca="1" si="147"/>
        <v>#REF!</v>
      </c>
      <c r="W250" s="360" t="e">
        <f t="shared" ca="1" si="127"/>
        <v>#REF!</v>
      </c>
      <c r="X250" s="81" t="e">
        <f t="shared" ca="1" si="139"/>
        <v>#REF!</v>
      </c>
      <c r="Y250" s="360" t="str">
        <f t="shared" ca="1" si="128"/>
        <v>NULL</v>
      </c>
      <c r="Z250" s="375" t="e">
        <f t="shared" ca="1" si="140"/>
        <v>#REF!</v>
      </c>
      <c r="AA250" s="360">
        <f ca="1">IFERROR(VLOOKUP(IF(V250="T1低",游戏时长规划!$C$67+Z250,Z250),INDIRECT(V250&amp;"星级"),2,TRUE),0)</f>
        <v>0</v>
      </c>
      <c r="AB250" s="375" t="e">
        <f t="shared" ca="1" si="129"/>
        <v>#REF!</v>
      </c>
      <c r="AC250" s="375">
        <f ca="1">($D$14+$D$17)*$L$4/坦克部件养成!$C$2+AC249-IFERROR(IF(RIGHT(AD249,3)*1&gt;RIGHT(VLOOKUP(AC249,INDIRECT(LEFT(AD248,2)&amp;"部件升阶"),5,TRUE),3)*1,VLOOKUP(AD248,INDIRECT(LEFT(AD248,2)&amp;"部件升阶消耗"),2,FALSE),0),0)</f>
        <v>2922.8333333333394</v>
      </c>
      <c r="AD250" s="360" t="e">
        <f t="shared" ca="1" si="130"/>
        <v>#REF!</v>
      </c>
      <c r="AE250" s="375" t="e">
        <f ca="1">$D$15*$L$4/坦克部件养成!$C$2+AE249-IF(LEFT(AD250,2)&lt;&gt;LEFT(AD249,2),VLOOKUP(AF249,INDIRECT(LEFT(AD249,2)&amp;"部件升级消耗"),5,FALSE),0)</f>
        <v>#REF!</v>
      </c>
      <c r="AF250" s="360" t="e">
        <f ca="1">MIN(VLOOKUP(AE250,INDIRECT(LEFT(AD250,2)&amp;"部件升级"),2,TRUE),VLOOKUP(LEFT(AD250,2),坦克部件养成!#REF!,6,FALSE))</f>
        <v>#REF!</v>
      </c>
      <c r="AG250" s="378" t="e">
        <f ca="1">MAX(BD$4:BD250)</f>
        <v>#REF!</v>
      </c>
      <c r="AH250" s="378" t="str">
        <f t="shared" ca="1" si="131"/>
        <v/>
      </c>
      <c r="AI250" s="378">
        <f ca="1">IF(Y250="NULL",0,MAX(BY$4:BY250))</f>
        <v>0</v>
      </c>
      <c r="AK250" s="364" t="e">
        <f t="shared" ca="1" si="132"/>
        <v>#REF!</v>
      </c>
      <c r="AL250" s="364" t="e">
        <f ca="1">VLOOKUP(AK250,坦克个性化设定!$B$18:$F$48,5,FALSE)</f>
        <v>#REF!</v>
      </c>
      <c r="AM250" s="372" t="e">
        <f t="shared" ca="1" si="133"/>
        <v>#REF!</v>
      </c>
      <c r="AN250" s="372" t="e">
        <f t="shared" ca="1" si="141"/>
        <v>#REF!</v>
      </c>
      <c r="AO250" s="364">
        <f t="shared" ca="1" si="134"/>
        <v>0</v>
      </c>
      <c r="AP250" s="372" t="e">
        <f ca="1">VLOOKUP($AK250&amp;$AO250,所有坦克升星属性,MATCH(AP$3,所有坦克升星属性标头,0),FALSE)+ROUND(AU250/VLOOKUP($AK250,坦克部件!#REF!,4,FALSE)*VLOOKUP($AK250&amp;0,所有坦克升星属性,MATCH(AP$3,所有坦克升星属性标头,0),FALSE),0)</f>
        <v>#REF!</v>
      </c>
      <c r="AQ250" s="372" t="e">
        <f ca="1">VLOOKUP($AK250&amp;$AO250,所有坦克升星属性,MATCH(AQ$3,所有坦克升星属性标头,0),FALSE)+ROUND(AV250/VLOOKUP($AK250,坦克部件!#REF!,4,FALSE)*VLOOKUP($AK250&amp;0,所有坦克升星属性,MATCH(AQ$3,所有坦克升星属性标头,0),FALSE),0)</f>
        <v>#REF!</v>
      </c>
      <c r="AR250" s="372" t="e">
        <f t="shared" ca="1" si="158"/>
        <v>#REF!</v>
      </c>
      <c r="AS250" s="372" t="e">
        <f t="shared" ca="1" si="158"/>
        <v>#REF!</v>
      </c>
      <c r="AT250" s="372" t="e">
        <f ca="1">VLOOKUP($AK250&amp;$AO250,所有坦克升星属性,MATCH(AT$3,所有坦克升星属性标头,0),FALSE)+ROUND(AW250/VLOOKUP($AK250,坦克部件!#REF!,4,FALSE)*VLOOKUP($AK250&amp;0,所有坦克升星属性,MATCH(AT$3,所有坦克升星属性标头,0),FALSE),0)</f>
        <v>#REF!</v>
      </c>
      <c r="AU250" s="372" t="e">
        <f ca="1">(VLOOKUP($AM250,坦克部件!#REF!,MATCH("标准值",坦克部件!#REF!,0),FALSE)+VLOOKUP($AN250,坦克部件!#REF!,MATCH("标准值",坦克部件!#REF!,0),FALSE))*2</f>
        <v>#REF!</v>
      </c>
      <c r="AV250" s="372" t="e">
        <f ca="1">(VLOOKUP($AM250,坦克部件!#REF!,MATCH("标准值",坦克部件!#REF!,0),FALSE)+VLOOKUP($AN250,坦克部件!#REF!,MATCH("标准值",坦克部件!#REF!,0),FALSE))*2</f>
        <v>#REF!</v>
      </c>
      <c r="AW250" s="372" t="e">
        <f ca="1">(VLOOKUP($AM250,坦克部件!#REF!,MATCH("标准值",坦克部件!#REF!,0),FALSE)+VLOOKUP($AN250,坦克部件!#REF!,MATCH("标准值",坦克部件!#REF!,0),FALSE))*2</f>
        <v>#REF!</v>
      </c>
      <c r="AX250" s="372" t="e">
        <f ca="1">VLOOKUP($AK250,坦克属性统计!$B$3:$AY$33,MATCH(AX$3,坦克属性统计!$B$3:$AY$3,0),FALSE)</f>
        <v>#REF!</v>
      </c>
      <c r="AY250" s="372" t="e">
        <f t="shared" ca="1" si="159"/>
        <v>#REF!</v>
      </c>
      <c r="AZ250" s="372" t="e">
        <f t="shared" ca="1" si="159"/>
        <v>#REF!</v>
      </c>
      <c r="BA250" s="372" t="e">
        <f t="shared" ca="1" si="159"/>
        <v>#REF!</v>
      </c>
      <c r="BB250" s="356" t="e">
        <f t="shared" ca="1" si="135"/>
        <v>#REF!</v>
      </c>
      <c r="BC250" s="356" t="e">
        <f ca="1">VLOOKUP(AK250,坦克个性化设定!$B$18:$E$48,4,FALSE)</f>
        <v>#REF!</v>
      </c>
      <c r="BD250" s="357" t="e">
        <f t="shared" ca="1" si="142"/>
        <v>#REF!</v>
      </c>
      <c r="BF250" s="357" t="str">
        <f t="shared" ca="1" si="136"/>
        <v/>
      </c>
      <c r="BG250" s="372" t="str">
        <f ca="1">IFERROR(VLOOKUP(BF250,坦克个性化设定!$B$18:$F$48,5,FALSE),"")</f>
        <v/>
      </c>
      <c r="BH250" s="372" t="e">
        <f t="shared" ca="1" si="143"/>
        <v>#REF!</v>
      </c>
      <c r="BI250" s="372" t="e">
        <f t="shared" ca="1" si="144"/>
        <v>#REF!</v>
      </c>
      <c r="BJ250" s="364" t="str">
        <f t="shared" ca="1" si="137"/>
        <v>NULL</v>
      </c>
      <c r="BK250" s="372" t="e">
        <f ca="1">VLOOKUP($BF250&amp;IF($BJ250="NULL",0,$BJ250),所有坦克升星属性,MATCH(BK$3,所有坦克升星属性标头,0),FALSE)+ROUND(BP250/VLOOKUP($BF250,坦克部件!#REF!,4,FALSE)*VLOOKUP($BF250&amp;0,所有坦克升星属性,MATCH(BK$3,所有坦克升星属性标头,0),FALSE),0)</f>
        <v>#N/A</v>
      </c>
      <c r="BL250" s="372" t="e">
        <f ca="1">VLOOKUP($BF250&amp;IF($BJ250="NULL",0,$BJ250),所有坦克升星属性,MATCH(BL$3,所有坦克升星属性标头,0),FALSE)+ROUND(BQ250/VLOOKUP($BF250,坦克部件!#REF!,4,FALSE)*VLOOKUP($BF250&amp;0,所有坦克升星属性,MATCH(BL$3,所有坦克升星属性标头,0),FALSE),0)</f>
        <v>#N/A</v>
      </c>
      <c r="BM250" s="372" t="e">
        <f t="shared" ca="1" si="160"/>
        <v>#N/A</v>
      </c>
      <c r="BN250" s="372" t="e">
        <f t="shared" ca="1" si="160"/>
        <v>#N/A</v>
      </c>
      <c r="BO250" s="372" t="e">
        <f ca="1">VLOOKUP($BF250&amp;IF($BJ250="NULL",0,$BJ250),所有坦克升星属性,MATCH(BO$3,所有坦克升星属性标头,0),FALSE)+ROUND(BR250/VLOOKUP($BF250,坦克部件!#REF!,4,FALSE)*VLOOKUP($BF250&amp;0,所有坦克升星属性,MATCH(BO$3,所有坦克升星属性标头,0),FALSE),0)</f>
        <v>#N/A</v>
      </c>
      <c r="BP250" s="372" t="e">
        <f ca="1">(VLOOKUP($BH250,坦克部件!#REF!,MATCH("标准值",坦克部件!#REF!,0),FALSE)+VLOOKUP($BI250,坦克部件!#REF!,MATCH("标准值",坦克部件!#REF!,0),FALSE))*2</f>
        <v>#REF!</v>
      </c>
      <c r="BQ250" s="372" t="e">
        <f ca="1">(VLOOKUP($BH250,坦克部件!#REF!,MATCH("标准值",坦克部件!#REF!,0),FALSE)+VLOOKUP($BI250,坦克部件!#REF!,MATCH("标准值",坦克部件!#REF!,0),FALSE))*2</f>
        <v>#REF!</v>
      </c>
      <c r="BR250" s="372" t="e">
        <f ca="1">(VLOOKUP($BH250,坦克部件!#REF!,MATCH("标准值",坦克部件!#REF!,0),FALSE)+VLOOKUP($BI250,坦克部件!#REF!,MATCH("标准值",坦克部件!#REF!,0),FALSE))*2</f>
        <v>#REF!</v>
      </c>
      <c r="BS250" s="372" t="e">
        <f ca="1">VLOOKUP($BF250,坦克属性统计!$B$3:$AY$33,MATCH(BS$3,坦克属性统计!$B$3:$AY$3,0),FALSE)</f>
        <v>#N/A</v>
      </c>
      <c r="BT250" s="372" t="e">
        <f t="shared" ca="1" si="161"/>
        <v>#N/A</v>
      </c>
      <c r="BU250" s="372" t="e">
        <f t="shared" ca="1" si="161"/>
        <v>#N/A</v>
      </c>
      <c r="BV250" s="372" t="e">
        <f t="shared" ca="1" si="161"/>
        <v>#N/A</v>
      </c>
      <c r="BW250" s="356">
        <f t="shared" ca="1" si="138"/>
        <v>0</v>
      </c>
      <c r="BX250" s="356" t="e">
        <f ca="1">VLOOKUP(BF250,坦克个性化设定!$B$18:$E$48,4,FALSE)</f>
        <v>#N/A</v>
      </c>
      <c r="BY250" s="357" t="e">
        <f t="shared" ca="1" si="145"/>
        <v>#N/A</v>
      </c>
    </row>
    <row r="251" spans="15:77" x14ac:dyDescent="0.35">
      <c r="O251" s="365">
        <v>248</v>
      </c>
      <c r="P251" s="360" t="e">
        <f t="shared" ca="1" si="152"/>
        <v>#REF!</v>
      </c>
      <c r="Q251" s="360" t="e">
        <f ca="1">ROUND(MIN((BD251-VLOOKUP(R251,$B$22:$F$46,2,FALSE))/(VLOOKUP(R251,$B$22:$F$46,3,FALSE)-VLOOKUP(R251,$B$22:$F$46,2,FALSE)),1)*((VLOOKUP(R251,$B$22:$F$46,4,FALSE)*(AG251/(AG251+VLOOKUP(P251,$D$49:$F$123,3,TRUE)))+VLOOKUP(R251,$B$22:$F$46,5,FALSE)*(1-AG251/(AG251+VLOOKUP(P251,$D$49:$F$123,3,TRUE))))/2)*游戏时长规划!$C$4,0)</f>
        <v>#REF!</v>
      </c>
      <c r="R251" s="360" t="e">
        <f t="shared" ca="1" si="125"/>
        <v>#REF!</v>
      </c>
      <c r="S251" s="360" t="e">
        <f t="shared" ca="1" si="146"/>
        <v>#REF!</v>
      </c>
      <c r="T251" s="360" t="e">
        <f t="shared" ca="1" si="153"/>
        <v>#REF!</v>
      </c>
      <c r="U251" s="370" t="e">
        <f t="shared" ca="1" si="126"/>
        <v>#REF!</v>
      </c>
      <c r="V251" s="363" t="e">
        <f t="shared" ca="1" si="147"/>
        <v>#REF!</v>
      </c>
      <c r="W251" s="360" t="e">
        <f t="shared" ca="1" si="127"/>
        <v>#REF!</v>
      </c>
      <c r="X251" s="81" t="e">
        <f t="shared" ca="1" si="139"/>
        <v>#REF!</v>
      </c>
      <c r="Y251" s="360" t="str">
        <f t="shared" ca="1" si="128"/>
        <v>NULL</v>
      </c>
      <c r="Z251" s="375" t="e">
        <f t="shared" ca="1" si="140"/>
        <v>#REF!</v>
      </c>
      <c r="AA251" s="360">
        <f ca="1">IFERROR(VLOOKUP(IF(V251="T1低",游戏时长规划!$C$67+Z251,Z251),INDIRECT(V251&amp;"星级"),2,TRUE),0)</f>
        <v>0</v>
      </c>
      <c r="AB251" s="375" t="e">
        <f t="shared" ca="1" si="129"/>
        <v>#REF!</v>
      </c>
      <c r="AC251" s="375">
        <f ca="1">($D$14+$D$17)*$L$4/坦克部件养成!$C$2+AC250-IFERROR(IF(RIGHT(AD250,3)*1&gt;RIGHT(VLOOKUP(AC250,INDIRECT(LEFT(AD249,2)&amp;"部件升阶"),5,TRUE),3)*1,VLOOKUP(AD249,INDIRECT(LEFT(AD249,2)&amp;"部件升阶消耗"),2,FALSE),0),0)</f>
        <v>2934.6666666666729</v>
      </c>
      <c r="AD251" s="360" t="e">
        <f t="shared" ca="1" si="130"/>
        <v>#REF!</v>
      </c>
      <c r="AE251" s="375" t="e">
        <f ca="1">$D$15*$L$4/坦克部件养成!$C$2+AE250-IF(LEFT(AD251,2)&lt;&gt;LEFT(AD250,2),VLOOKUP(AF250,INDIRECT(LEFT(AD250,2)&amp;"部件升级消耗"),5,FALSE),0)</f>
        <v>#REF!</v>
      </c>
      <c r="AF251" s="360" t="e">
        <f ca="1">MIN(VLOOKUP(AE251,INDIRECT(LEFT(AD251,2)&amp;"部件升级"),2,TRUE),VLOOKUP(LEFT(AD251,2),坦克部件养成!#REF!,6,FALSE))</f>
        <v>#REF!</v>
      </c>
      <c r="AG251" s="378" t="e">
        <f ca="1">MAX(BD$4:BD251)</f>
        <v>#REF!</v>
      </c>
      <c r="AH251" s="378" t="str">
        <f t="shared" ca="1" si="131"/>
        <v/>
      </c>
      <c r="AI251" s="378">
        <f ca="1">IF(Y251="NULL",0,MAX(BY$4:BY251))</f>
        <v>0</v>
      </c>
      <c r="AK251" s="364" t="e">
        <f t="shared" ca="1" si="132"/>
        <v>#REF!</v>
      </c>
      <c r="AL251" s="364" t="e">
        <f ca="1">VLOOKUP(AK251,坦克个性化设定!$B$18:$F$48,5,FALSE)</f>
        <v>#REF!</v>
      </c>
      <c r="AM251" s="372" t="e">
        <f t="shared" ca="1" si="133"/>
        <v>#REF!</v>
      </c>
      <c r="AN251" s="372" t="e">
        <f t="shared" ca="1" si="141"/>
        <v>#REF!</v>
      </c>
      <c r="AO251" s="364">
        <f t="shared" ca="1" si="134"/>
        <v>0</v>
      </c>
      <c r="AP251" s="372" t="e">
        <f ca="1">VLOOKUP($AK251&amp;$AO251,所有坦克升星属性,MATCH(AP$3,所有坦克升星属性标头,0),FALSE)+ROUND(AU251/VLOOKUP($AK251,坦克部件!#REF!,4,FALSE)*VLOOKUP($AK251&amp;0,所有坦克升星属性,MATCH(AP$3,所有坦克升星属性标头,0),FALSE),0)</f>
        <v>#REF!</v>
      </c>
      <c r="AQ251" s="372" t="e">
        <f ca="1">VLOOKUP($AK251&amp;$AO251,所有坦克升星属性,MATCH(AQ$3,所有坦克升星属性标头,0),FALSE)+ROUND(AV251/VLOOKUP($AK251,坦克部件!#REF!,4,FALSE)*VLOOKUP($AK251&amp;0,所有坦克升星属性,MATCH(AQ$3,所有坦克升星属性标头,0),FALSE),0)</f>
        <v>#REF!</v>
      </c>
      <c r="AR251" s="372" t="e">
        <f t="shared" ca="1" si="158"/>
        <v>#REF!</v>
      </c>
      <c r="AS251" s="372" t="e">
        <f t="shared" ca="1" si="158"/>
        <v>#REF!</v>
      </c>
      <c r="AT251" s="372" t="e">
        <f ca="1">VLOOKUP($AK251&amp;$AO251,所有坦克升星属性,MATCH(AT$3,所有坦克升星属性标头,0),FALSE)+ROUND(AW251/VLOOKUP($AK251,坦克部件!#REF!,4,FALSE)*VLOOKUP($AK251&amp;0,所有坦克升星属性,MATCH(AT$3,所有坦克升星属性标头,0),FALSE),0)</f>
        <v>#REF!</v>
      </c>
      <c r="AU251" s="372" t="e">
        <f ca="1">(VLOOKUP($AM251,坦克部件!#REF!,MATCH("标准值",坦克部件!#REF!,0),FALSE)+VLOOKUP($AN251,坦克部件!#REF!,MATCH("标准值",坦克部件!#REF!,0),FALSE))*2</f>
        <v>#REF!</v>
      </c>
      <c r="AV251" s="372" t="e">
        <f ca="1">(VLOOKUP($AM251,坦克部件!#REF!,MATCH("标准值",坦克部件!#REF!,0),FALSE)+VLOOKUP($AN251,坦克部件!#REF!,MATCH("标准值",坦克部件!#REF!,0),FALSE))*2</f>
        <v>#REF!</v>
      </c>
      <c r="AW251" s="372" t="e">
        <f ca="1">(VLOOKUP($AM251,坦克部件!#REF!,MATCH("标准值",坦克部件!#REF!,0),FALSE)+VLOOKUP($AN251,坦克部件!#REF!,MATCH("标准值",坦克部件!#REF!,0),FALSE))*2</f>
        <v>#REF!</v>
      </c>
      <c r="AX251" s="372" t="e">
        <f ca="1">VLOOKUP($AK251,坦克属性统计!$B$3:$AY$33,MATCH(AX$3,坦克属性统计!$B$3:$AY$3,0),FALSE)</f>
        <v>#REF!</v>
      </c>
      <c r="AY251" s="372" t="e">
        <f t="shared" ca="1" si="159"/>
        <v>#REF!</v>
      </c>
      <c r="AZ251" s="372" t="e">
        <f t="shared" ca="1" si="159"/>
        <v>#REF!</v>
      </c>
      <c r="BA251" s="372" t="e">
        <f t="shared" ca="1" si="159"/>
        <v>#REF!</v>
      </c>
      <c r="BB251" s="356" t="e">
        <f t="shared" ca="1" si="135"/>
        <v>#REF!</v>
      </c>
      <c r="BC251" s="356" t="e">
        <f ca="1">VLOOKUP(AK251,坦克个性化设定!$B$18:$E$48,4,FALSE)</f>
        <v>#REF!</v>
      </c>
      <c r="BD251" s="357" t="e">
        <f t="shared" ca="1" si="142"/>
        <v>#REF!</v>
      </c>
      <c r="BF251" s="357" t="str">
        <f t="shared" ca="1" si="136"/>
        <v/>
      </c>
      <c r="BG251" s="372" t="str">
        <f ca="1">IFERROR(VLOOKUP(BF251,坦克个性化设定!$B$18:$F$48,5,FALSE),"")</f>
        <v/>
      </c>
      <c r="BH251" s="372" t="e">
        <f t="shared" ca="1" si="143"/>
        <v>#REF!</v>
      </c>
      <c r="BI251" s="372" t="e">
        <f t="shared" ca="1" si="144"/>
        <v>#REF!</v>
      </c>
      <c r="BJ251" s="364" t="str">
        <f t="shared" ca="1" si="137"/>
        <v>NULL</v>
      </c>
      <c r="BK251" s="372" t="e">
        <f ca="1">VLOOKUP($BF251&amp;IF($BJ251="NULL",0,$BJ251),所有坦克升星属性,MATCH(BK$3,所有坦克升星属性标头,0),FALSE)+ROUND(BP251/VLOOKUP($BF251,坦克部件!#REF!,4,FALSE)*VLOOKUP($BF251&amp;0,所有坦克升星属性,MATCH(BK$3,所有坦克升星属性标头,0),FALSE),0)</f>
        <v>#N/A</v>
      </c>
      <c r="BL251" s="372" t="e">
        <f ca="1">VLOOKUP($BF251&amp;IF($BJ251="NULL",0,$BJ251),所有坦克升星属性,MATCH(BL$3,所有坦克升星属性标头,0),FALSE)+ROUND(BQ251/VLOOKUP($BF251,坦克部件!#REF!,4,FALSE)*VLOOKUP($BF251&amp;0,所有坦克升星属性,MATCH(BL$3,所有坦克升星属性标头,0),FALSE),0)</f>
        <v>#N/A</v>
      </c>
      <c r="BM251" s="372" t="e">
        <f t="shared" ca="1" si="160"/>
        <v>#N/A</v>
      </c>
      <c r="BN251" s="372" t="e">
        <f t="shared" ca="1" si="160"/>
        <v>#N/A</v>
      </c>
      <c r="BO251" s="372" t="e">
        <f ca="1">VLOOKUP($BF251&amp;IF($BJ251="NULL",0,$BJ251),所有坦克升星属性,MATCH(BO$3,所有坦克升星属性标头,0),FALSE)+ROUND(BR251/VLOOKUP($BF251,坦克部件!#REF!,4,FALSE)*VLOOKUP($BF251&amp;0,所有坦克升星属性,MATCH(BO$3,所有坦克升星属性标头,0),FALSE),0)</f>
        <v>#N/A</v>
      </c>
      <c r="BP251" s="372" t="e">
        <f ca="1">(VLOOKUP($BH251,坦克部件!#REF!,MATCH("标准值",坦克部件!#REF!,0),FALSE)+VLOOKUP($BI251,坦克部件!#REF!,MATCH("标准值",坦克部件!#REF!,0),FALSE))*2</f>
        <v>#REF!</v>
      </c>
      <c r="BQ251" s="372" t="e">
        <f ca="1">(VLOOKUP($BH251,坦克部件!#REF!,MATCH("标准值",坦克部件!#REF!,0),FALSE)+VLOOKUP($BI251,坦克部件!#REF!,MATCH("标准值",坦克部件!#REF!,0),FALSE))*2</f>
        <v>#REF!</v>
      </c>
      <c r="BR251" s="372" t="e">
        <f ca="1">(VLOOKUP($BH251,坦克部件!#REF!,MATCH("标准值",坦克部件!#REF!,0),FALSE)+VLOOKUP($BI251,坦克部件!#REF!,MATCH("标准值",坦克部件!#REF!,0),FALSE))*2</f>
        <v>#REF!</v>
      </c>
      <c r="BS251" s="372" t="e">
        <f ca="1">VLOOKUP($BF251,坦克属性统计!$B$3:$AY$33,MATCH(BS$3,坦克属性统计!$B$3:$AY$3,0),FALSE)</f>
        <v>#N/A</v>
      </c>
      <c r="BT251" s="372" t="e">
        <f t="shared" ca="1" si="161"/>
        <v>#N/A</v>
      </c>
      <c r="BU251" s="372" t="e">
        <f t="shared" ca="1" si="161"/>
        <v>#N/A</v>
      </c>
      <c r="BV251" s="372" t="e">
        <f t="shared" ca="1" si="161"/>
        <v>#N/A</v>
      </c>
      <c r="BW251" s="356">
        <f t="shared" ca="1" si="138"/>
        <v>0</v>
      </c>
      <c r="BX251" s="356" t="e">
        <f ca="1">VLOOKUP(BF251,坦克个性化设定!$B$18:$E$48,4,FALSE)</f>
        <v>#N/A</v>
      </c>
      <c r="BY251" s="357" t="e">
        <f t="shared" ca="1" si="145"/>
        <v>#N/A</v>
      </c>
    </row>
    <row r="252" spans="15:77" x14ac:dyDescent="0.35">
      <c r="O252" s="365">
        <v>249</v>
      </c>
      <c r="P252" s="360" t="e">
        <f t="shared" ca="1" si="152"/>
        <v>#REF!</v>
      </c>
      <c r="Q252" s="360" t="e">
        <f ca="1">ROUND(MIN((BD252-VLOOKUP(R252,$B$22:$F$46,2,FALSE))/(VLOOKUP(R252,$B$22:$F$46,3,FALSE)-VLOOKUP(R252,$B$22:$F$46,2,FALSE)),1)*((VLOOKUP(R252,$B$22:$F$46,4,FALSE)*(AG252/(AG252+VLOOKUP(P252,$D$49:$F$123,3,TRUE)))+VLOOKUP(R252,$B$22:$F$46,5,FALSE)*(1-AG252/(AG252+VLOOKUP(P252,$D$49:$F$123,3,TRUE))))/2)*游戏时长规划!$C$4,0)</f>
        <v>#REF!</v>
      </c>
      <c r="R252" s="360" t="e">
        <f t="shared" ca="1" si="125"/>
        <v>#REF!</v>
      </c>
      <c r="S252" s="360" t="e">
        <f t="shared" ca="1" si="146"/>
        <v>#REF!</v>
      </c>
      <c r="T252" s="360" t="e">
        <f t="shared" ca="1" si="153"/>
        <v>#REF!</v>
      </c>
      <c r="U252" s="370" t="e">
        <f t="shared" ca="1" si="126"/>
        <v>#REF!</v>
      </c>
      <c r="V252" s="363" t="e">
        <f t="shared" ca="1" si="147"/>
        <v>#REF!</v>
      </c>
      <c r="W252" s="360" t="e">
        <f t="shared" ca="1" si="127"/>
        <v>#REF!</v>
      </c>
      <c r="X252" s="81" t="e">
        <f t="shared" ca="1" si="139"/>
        <v>#REF!</v>
      </c>
      <c r="Y252" s="360" t="str">
        <f t="shared" ca="1" si="128"/>
        <v>NULL</v>
      </c>
      <c r="Z252" s="375" t="e">
        <f t="shared" ca="1" si="140"/>
        <v>#REF!</v>
      </c>
      <c r="AA252" s="360">
        <f ca="1">IFERROR(VLOOKUP(IF(V252="T1低",游戏时长规划!$C$67+Z252,Z252),INDIRECT(V252&amp;"星级"),2,TRUE),0)</f>
        <v>0</v>
      </c>
      <c r="AB252" s="375" t="e">
        <f t="shared" ca="1" si="129"/>
        <v>#REF!</v>
      </c>
      <c r="AC252" s="375">
        <f ca="1">($D$14+$D$17)*$L$4/坦克部件养成!$C$2+AC251-IFERROR(IF(RIGHT(AD251,3)*1&gt;RIGHT(VLOOKUP(AC251,INDIRECT(LEFT(AD250,2)&amp;"部件升阶"),5,TRUE),3)*1,VLOOKUP(AD250,INDIRECT(LEFT(AD250,2)&amp;"部件升阶消耗"),2,FALSE),0),0)</f>
        <v>2946.5000000000064</v>
      </c>
      <c r="AD252" s="360" t="e">
        <f t="shared" ca="1" si="130"/>
        <v>#REF!</v>
      </c>
      <c r="AE252" s="375" t="e">
        <f ca="1">$D$15*$L$4/坦克部件养成!$C$2+AE251-IF(LEFT(AD252,2)&lt;&gt;LEFT(AD251,2),VLOOKUP(AF251,INDIRECT(LEFT(AD251,2)&amp;"部件升级消耗"),5,FALSE),0)</f>
        <v>#REF!</v>
      </c>
      <c r="AF252" s="360" t="e">
        <f ca="1">MIN(VLOOKUP(AE252,INDIRECT(LEFT(AD252,2)&amp;"部件升级"),2,TRUE),VLOOKUP(LEFT(AD252,2),坦克部件养成!#REF!,6,FALSE))</f>
        <v>#REF!</v>
      </c>
      <c r="AG252" s="378" t="e">
        <f ca="1">MAX(BD$4:BD252)</f>
        <v>#REF!</v>
      </c>
      <c r="AH252" s="378" t="str">
        <f t="shared" ca="1" si="131"/>
        <v/>
      </c>
      <c r="AI252" s="378">
        <f ca="1">IF(Y252="NULL",0,MAX(BY$4:BY252))</f>
        <v>0</v>
      </c>
      <c r="AK252" s="364" t="e">
        <f t="shared" ca="1" si="132"/>
        <v>#REF!</v>
      </c>
      <c r="AL252" s="364" t="e">
        <f ca="1">VLOOKUP(AK252,坦克个性化设定!$B$18:$F$48,5,FALSE)</f>
        <v>#REF!</v>
      </c>
      <c r="AM252" s="372" t="e">
        <f t="shared" ca="1" si="133"/>
        <v>#REF!</v>
      </c>
      <c r="AN252" s="372" t="e">
        <f t="shared" ca="1" si="141"/>
        <v>#REF!</v>
      </c>
      <c r="AO252" s="364">
        <f t="shared" ca="1" si="134"/>
        <v>0</v>
      </c>
      <c r="AP252" s="372" t="e">
        <f ca="1">VLOOKUP($AK252&amp;$AO252,所有坦克升星属性,MATCH(AP$3,所有坦克升星属性标头,0),FALSE)+ROUND(AU252/VLOOKUP($AK252,坦克部件!#REF!,4,FALSE)*VLOOKUP($AK252&amp;0,所有坦克升星属性,MATCH(AP$3,所有坦克升星属性标头,0),FALSE),0)</f>
        <v>#REF!</v>
      </c>
      <c r="AQ252" s="372" t="e">
        <f ca="1">VLOOKUP($AK252&amp;$AO252,所有坦克升星属性,MATCH(AQ$3,所有坦克升星属性标头,0),FALSE)+ROUND(AV252/VLOOKUP($AK252,坦克部件!#REF!,4,FALSE)*VLOOKUP($AK252&amp;0,所有坦克升星属性,MATCH(AQ$3,所有坦克升星属性标头,0),FALSE),0)</f>
        <v>#REF!</v>
      </c>
      <c r="AR252" s="372" t="e">
        <f t="shared" ca="1" si="158"/>
        <v>#REF!</v>
      </c>
      <c r="AS252" s="372" t="e">
        <f t="shared" ca="1" si="158"/>
        <v>#REF!</v>
      </c>
      <c r="AT252" s="372" t="e">
        <f ca="1">VLOOKUP($AK252&amp;$AO252,所有坦克升星属性,MATCH(AT$3,所有坦克升星属性标头,0),FALSE)+ROUND(AW252/VLOOKUP($AK252,坦克部件!#REF!,4,FALSE)*VLOOKUP($AK252&amp;0,所有坦克升星属性,MATCH(AT$3,所有坦克升星属性标头,0),FALSE),0)</f>
        <v>#REF!</v>
      </c>
      <c r="AU252" s="372" t="e">
        <f ca="1">(VLOOKUP($AM252,坦克部件!#REF!,MATCH("标准值",坦克部件!#REF!,0),FALSE)+VLOOKUP($AN252,坦克部件!#REF!,MATCH("标准值",坦克部件!#REF!,0),FALSE))*2</f>
        <v>#REF!</v>
      </c>
      <c r="AV252" s="372" t="e">
        <f ca="1">(VLOOKUP($AM252,坦克部件!#REF!,MATCH("标准值",坦克部件!#REF!,0),FALSE)+VLOOKUP($AN252,坦克部件!#REF!,MATCH("标准值",坦克部件!#REF!,0),FALSE))*2</f>
        <v>#REF!</v>
      </c>
      <c r="AW252" s="372" t="e">
        <f ca="1">(VLOOKUP($AM252,坦克部件!#REF!,MATCH("标准值",坦克部件!#REF!,0),FALSE)+VLOOKUP($AN252,坦克部件!#REF!,MATCH("标准值",坦克部件!#REF!,0),FALSE))*2</f>
        <v>#REF!</v>
      </c>
      <c r="AX252" s="372" t="e">
        <f ca="1">VLOOKUP($AK252,坦克属性统计!$B$3:$AY$33,MATCH(AX$3,坦克属性统计!$B$3:$AY$3,0),FALSE)</f>
        <v>#REF!</v>
      </c>
      <c r="AY252" s="372" t="e">
        <f t="shared" ca="1" si="159"/>
        <v>#REF!</v>
      </c>
      <c r="AZ252" s="372" t="e">
        <f t="shared" ca="1" si="159"/>
        <v>#REF!</v>
      </c>
      <c r="BA252" s="372" t="e">
        <f t="shared" ca="1" si="159"/>
        <v>#REF!</v>
      </c>
      <c r="BB252" s="356" t="e">
        <f t="shared" ca="1" si="135"/>
        <v>#REF!</v>
      </c>
      <c r="BC252" s="356" t="e">
        <f ca="1">VLOOKUP(AK252,坦克个性化设定!$B$18:$E$48,4,FALSE)</f>
        <v>#REF!</v>
      </c>
      <c r="BD252" s="357" t="e">
        <f t="shared" ca="1" si="142"/>
        <v>#REF!</v>
      </c>
      <c r="BF252" s="357" t="str">
        <f t="shared" ca="1" si="136"/>
        <v/>
      </c>
      <c r="BG252" s="372" t="str">
        <f ca="1">IFERROR(VLOOKUP(BF252,坦克个性化设定!$B$18:$F$48,5,FALSE),"")</f>
        <v/>
      </c>
      <c r="BH252" s="372" t="e">
        <f t="shared" ca="1" si="143"/>
        <v>#REF!</v>
      </c>
      <c r="BI252" s="372" t="e">
        <f t="shared" ca="1" si="144"/>
        <v>#REF!</v>
      </c>
      <c r="BJ252" s="364" t="str">
        <f t="shared" ca="1" si="137"/>
        <v>NULL</v>
      </c>
      <c r="BK252" s="372" t="e">
        <f ca="1">VLOOKUP($BF252&amp;IF($BJ252="NULL",0,$BJ252),所有坦克升星属性,MATCH(BK$3,所有坦克升星属性标头,0),FALSE)+ROUND(BP252/VLOOKUP($BF252,坦克部件!#REF!,4,FALSE)*VLOOKUP($BF252&amp;0,所有坦克升星属性,MATCH(BK$3,所有坦克升星属性标头,0),FALSE),0)</f>
        <v>#N/A</v>
      </c>
      <c r="BL252" s="372" t="e">
        <f ca="1">VLOOKUP($BF252&amp;IF($BJ252="NULL",0,$BJ252),所有坦克升星属性,MATCH(BL$3,所有坦克升星属性标头,0),FALSE)+ROUND(BQ252/VLOOKUP($BF252,坦克部件!#REF!,4,FALSE)*VLOOKUP($BF252&amp;0,所有坦克升星属性,MATCH(BL$3,所有坦克升星属性标头,0),FALSE),0)</f>
        <v>#N/A</v>
      </c>
      <c r="BM252" s="372" t="e">
        <f t="shared" ca="1" si="160"/>
        <v>#N/A</v>
      </c>
      <c r="BN252" s="372" t="e">
        <f t="shared" ca="1" si="160"/>
        <v>#N/A</v>
      </c>
      <c r="BO252" s="372" t="e">
        <f ca="1">VLOOKUP($BF252&amp;IF($BJ252="NULL",0,$BJ252),所有坦克升星属性,MATCH(BO$3,所有坦克升星属性标头,0),FALSE)+ROUND(BR252/VLOOKUP($BF252,坦克部件!#REF!,4,FALSE)*VLOOKUP($BF252&amp;0,所有坦克升星属性,MATCH(BO$3,所有坦克升星属性标头,0),FALSE),0)</f>
        <v>#N/A</v>
      </c>
      <c r="BP252" s="372" t="e">
        <f ca="1">(VLOOKUP($BH252,坦克部件!#REF!,MATCH("标准值",坦克部件!#REF!,0),FALSE)+VLOOKUP($BI252,坦克部件!#REF!,MATCH("标准值",坦克部件!#REF!,0),FALSE))*2</f>
        <v>#REF!</v>
      </c>
      <c r="BQ252" s="372" t="e">
        <f ca="1">(VLOOKUP($BH252,坦克部件!#REF!,MATCH("标准值",坦克部件!#REF!,0),FALSE)+VLOOKUP($BI252,坦克部件!#REF!,MATCH("标准值",坦克部件!#REF!,0),FALSE))*2</f>
        <v>#REF!</v>
      </c>
      <c r="BR252" s="372" t="e">
        <f ca="1">(VLOOKUP($BH252,坦克部件!#REF!,MATCH("标准值",坦克部件!#REF!,0),FALSE)+VLOOKUP($BI252,坦克部件!#REF!,MATCH("标准值",坦克部件!#REF!,0),FALSE))*2</f>
        <v>#REF!</v>
      </c>
      <c r="BS252" s="372" t="e">
        <f ca="1">VLOOKUP($BF252,坦克属性统计!$B$3:$AY$33,MATCH(BS$3,坦克属性统计!$B$3:$AY$3,0),FALSE)</f>
        <v>#N/A</v>
      </c>
      <c r="BT252" s="372" t="e">
        <f t="shared" ca="1" si="161"/>
        <v>#N/A</v>
      </c>
      <c r="BU252" s="372" t="e">
        <f t="shared" ca="1" si="161"/>
        <v>#N/A</v>
      </c>
      <c r="BV252" s="372" t="e">
        <f t="shared" ca="1" si="161"/>
        <v>#N/A</v>
      </c>
      <c r="BW252" s="356">
        <f t="shared" ca="1" si="138"/>
        <v>0</v>
      </c>
      <c r="BX252" s="356" t="e">
        <f ca="1">VLOOKUP(BF252,坦克个性化设定!$B$18:$E$48,4,FALSE)</f>
        <v>#N/A</v>
      </c>
      <c r="BY252" s="357" t="e">
        <f t="shared" ca="1" si="145"/>
        <v>#N/A</v>
      </c>
    </row>
    <row r="253" spans="15:77" x14ac:dyDescent="0.35">
      <c r="O253" s="365">
        <v>250</v>
      </c>
      <c r="P253" s="360" t="e">
        <f t="shared" ca="1" si="152"/>
        <v>#REF!</v>
      </c>
      <c r="Q253" s="360" t="e">
        <f ca="1">ROUND(MIN((BD253-VLOOKUP(R253,$B$22:$F$46,2,FALSE))/(VLOOKUP(R253,$B$22:$F$46,3,FALSE)-VLOOKUP(R253,$B$22:$F$46,2,FALSE)),1)*((VLOOKUP(R253,$B$22:$F$46,4,FALSE)*(AG253/(AG253+VLOOKUP(P253,$D$49:$F$123,3,TRUE)))+VLOOKUP(R253,$B$22:$F$46,5,FALSE)*(1-AG253/(AG253+VLOOKUP(P253,$D$49:$F$123,3,TRUE))))/2)*游戏时长规划!$C$4,0)</f>
        <v>#REF!</v>
      </c>
      <c r="R253" s="360" t="e">
        <f t="shared" ca="1" si="125"/>
        <v>#REF!</v>
      </c>
      <c r="S253" s="360" t="e">
        <f t="shared" ca="1" si="146"/>
        <v>#REF!</v>
      </c>
      <c r="T253" s="360" t="e">
        <f t="shared" ca="1" si="153"/>
        <v>#REF!</v>
      </c>
      <c r="U253" s="370" t="e">
        <f t="shared" ca="1" si="126"/>
        <v>#REF!</v>
      </c>
      <c r="V253" s="363" t="e">
        <f t="shared" ca="1" si="147"/>
        <v>#REF!</v>
      </c>
      <c r="W253" s="360" t="e">
        <f t="shared" ca="1" si="127"/>
        <v>#REF!</v>
      </c>
      <c r="X253" s="81" t="e">
        <f t="shared" ca="1" si="139"/>
        <v>#REF!</v>
      </c>
      <c r="Y253" s="360" t="str">
        <f t="shared" ca="1" si="128"/>
        <v>NULL</v>
      </c>
      <c r="Z253" s="375" t="e">
        <f t="shared" ca="1" si="140"/>
        <v>#REF!</v>
      </c>
      <c r="AA253" s="360">
        <f ca="1">IFERROR(VLOOKUP(IF(V253="T1低",游戏时长规划!$C$67+Z253,Z253),INDIRECT(V253&amp;"星级"),2,TRUE),0)</f>
        <v>0</v>
      </c>
      <c r="AB253" s="375" t="e">
        <f t="shared" ca="1" si="129"/>
        <v>#REF!</v>
      </c>
      <c r="AC253" s="375">
        <f ca="1">($D$14+$D$17)*$L$4/坦克部件养成!$C$2+AC252-IFERROR(IF(RIGHT(AD252,3)*1&gt;RIGHT(VLOOKUP(AC252,INDIRECT(LEFT(AD251,2)&amp;"部件升阶"),5,TRUE),3)*1,VLOOKUP(AD251,INDIRECT(LEFT(AD251,2)&amp;"部件升阶消耗"),2,FALSE),0),0)</f>
        <v>2958.3333333333399</v>
      </c>
      <c r="AD253" s="360" t="e">
        <f t="shared" ca="1" si="130"/>
        <v>#REF!</v>
      </c>
      <c r="AE253" s="375" t="e">
        <f ca="1">$D$15*$L$4/坦克部件养成!$C$2+AE252-IF(LEFT(AD253,2)&lt;&gt;LEFT(AD252,2),VLOOKUP(AF252,INDIRECT(LEFT(AD252,2)&amp;"部件升级消耗"),5,FALSE),0)</f>
        <v>#REF!</v>
      </c>
      <c r="AF253" s="360" t="e">
        <f ca="1">MIN(VLOOKUP(AE253,INDIRECT(LEFT(AD253,2)&amp;"部件升级"),2,TRUE),VLOOKUP(LEFT(AD253,2),坦克部件养成!#REF!,6,FALSE))</f>
        <v>#REF!</v>
      </c>
      <c r="AG253" s="378" t="e">
        <f ca="1">MAX(BD$4:BD253)</f>
        <v>#REF!</v>
      </c>
      <c r="AH253" s="378" t="str">
        <f t="shared" ca="1" si="131"/>
        <v/>
      </c>
      <c r="AI253" s="378">
        <f ca="1">IF(Y253="NULL",0,MAX(BY$4:BY253))</f>
        <v>0</v>
      </c>
      <c r="AK253" s="364" t="e">
        <f t="shared" ca="1" si="132"/>
        <v>#REF!</v>
      </c>
      <c r="AL253" s="364" t="e">
        <f ca="1">VLOOKUP(AK253,坦克个性化设定!$B$18:$F$48,5,FALSE)</f>
        <v>#REF!</v>
      </c>
      <c r="AM253" s="372" t="e">
        <f t="shared" ca="1" si="133"/>
        <v>#REF!</v>
      </c>
      <c r="AN253" s="372" t="e">
        <f t="shared" ca="1" si="141"/>
        <v>#REF!</v>
      </c>
      <c r="AO253" s="364">
        <f t="shared" ca="1" si="134"/>
        <v>0</v>
      </c>
      <c r="AP253" s="372" t="e">
        <f ca="1">VLOOKUP($AK253&amp;$AO253,所有坦克升星属性,MATCH(AP$3,所有坦克升星属性标头,0),FALSE)+ROUND(AU253/VLOOKUP($AK253,坦克部件!#REF!,4,FALSE)*VLOOKUP($AK253&amp;0,所有坦克升星属性,MATCH(AP$3,所有坦克升星属性标头,0),FALSE),0)</f>
        <v>#REF!</v>
      </c>
      <c r="AQ253" s="372" t="e">
        <f ca="1">VLOOKUP($AK253&amp;$AO253,所有坦克升星属性,MATCH(AQ$3,所有坦克升星属性标头,0),FALSE)+ROUND(AV253/VLOOKUP($AK253,坦克部件!#REF!,4,FALSE)*VLOOKUP($AK253&amp;0,所有坦克升星属性,MATCH(AQ$3,所有坦克升星属性标头,0),FALSE),0)</f>
        <v>#REF!</v>
      </c>
      <c r="AR253" s="372" t="e">
        <f t="shared" ca="1" si="158"/>
        <v>#REF!</v>
      </c>
      <c r="AS253" s="372" t="e">
        <f t="shared" ca="1" si="158"/>
        <v>#REF!</v>
      </c>
      <c r="AT253" s="372" t="e">
        <f ca="1">VLOOKUP($AK253&amp;$AO253,所有坦克升星属性,MATCH(AT$3,所有坦克升星属性标头,0),FALSE)+ROUND(AW253/VLOOKUP($AK253,坦克部件!#REF!,4,FALSE)*VLOOKUP($AK253&amp;0,所有坦克升星属性,MATCH(AT$3,所有坦克升星属性标头,0),FALSE),0)</f>
        <v>#REF!</v>
      </c>
      <c r="AU253" s="372" t="e">
        <f ca="1">(VLOOKUP($AM253,坦克部件!#REF!,MATCH("标准值",坦克部件!#REF!,0),FALSE)+VLOOKUP($AN253,坦克部件!#REF!,MATCH("标准值",坦克部件!#REF!,0),FALSE))*2</f>
        <v>#REF!</v>
      </c>
      <c r="AV253" s="372" t="e">
        <f ca="1">(VLOOKUP($AM253,坦克部件!#REF!,MATCH("标准值",坦克部件!#REF!,0),FALSE)+VLOOKUP($AN253,坦克部件!#REF!,MATCH("标准值",坦克部件!#REF!,0),FALSE))*2</f>
        <v>#REF!</v>
      </c>
      <c r="AW253" s="372" t="e">
        <f ca="1">(VLOOKUP($AM253,坦克部件!#REF!,MATCH("标准值",坦克部件!#REF!,0),FALSE)+VLOOKUP($AN253,坦克部件!#REF!,MATCH("标准值",坦克部件!#REF!,0),FALSE))*2</f>
        <v>#REF!</v>
      </c>
      <c r="AX253" s="372" t="e">
        <f ca="1">VLOOKUP($AK253,坦克属性统计!$B$3:$AY$33,MATCH(AX$3,坦克属性统计!$B$3:$AY$3,0),FALSE)</f>
        <v>#REF!</v>
      </c>
      <c r="AY253" s="372" t="e">
        <f t="shared" ca="1" si="159"/>
        <v>#REF!</v>
      </c>
      <c r="AZ253" s="372" t="e">
        <f t="shared" ca="1" si="159"/>
        <v>#REF!</v>
      </c>
      <c r="BA253" s="372" t="e">
        <f t="shared" ca="1" si="159"/>
        <v>#REF!</v>
      </c>
      <c r="BB253" s="356" t="e">
        <f t="shared" ca="1" si="135"/>
        <v>#REF!</v>
      </c>
      <c r="BC253" s="356" t="e">
        <f ca="1">VLOOKUP(AK253,坦克个性化设定!$B$18:$E$48,4,FALSE)</f>
        <v>#REF!</v>
      </c>
      <c r="BD253" s="357" t="e">
        <f t="shared" ca="1" si="142"/>
        <v>#REF!</v>
      </c>
      <c r="BF253" s="357" t="str">
        <f t="shared" ca="1" si="136"/>
        <v/>
      </c>
      <c r="BG253" s="372" t="str">
        <f ca="1">IFERROR(VLOOKUP(BF253,坦克个性化设定!$B$18:$F$48,5,FALSE),"")</f>
        <v/>
      </c>
      <c r="BH253" s="372" t="e">
        <f t="shared" ca="1" si="143"/>
        <v>#REF!</v>
      </c>
      <c r="BI253" s="372" t="e">
        <f t="shared" ca="1" si="144"/>
        <v>#REF!</v>
      </c>
      <c r="BJ253" s="364" t="str">
        <f t="shared" ca="1" si="137"/>
        <v>NULL</v>
      </c>
      <c r="BK253" s="372" t="e">
        <f ca="1">VLOOKUP($BF253&amp;IF($BJ253="NULL",0,$BJ253),所有坦克升星属性,MATCH(BK$3,所有坦克升星属性标头,0),FALSE)+ROUND(BP253/VLOOKUP($BF253,坦克部件!#REF!,4,FALSE)*VLOOKUP($BF253&amp;0,所有坦克升星属性,MATCH(BK$3,所有坦克升星属性标头,0),FALSE),0)</f>
        <v>#N/A</v>
      </c>
      <c r="BL253" s="372" t="e">
        <f ca="1">VLOOKUP($BF253&amp;IF($BJ253="NULL",0,$BJ253),所有坦克升星属性,MATCH(BL$3,所有坦克升星属性标头,0),FALSE)+ROUND(BQ253/VLOOKUP($BF253,坦克部件!#REF!,4,FALSE)*VLOOKUP($BF253&amp;0,所有坦克升星属性,MATCH(BL$3,所有坦克升星属性标头,0),FALSE),0)</f>
        <v>#N/A</v>
      </c>
      <c r="BM253" s="372" t="e">
        <f t="shared" ca="1" si="160"/>
        <v>#N/A</v>
      </c>
      <c r="BN253" s="372" t="e">
        <f t="shared" ca="1" si="160"/>
        <v>#N/A</v>
      </c>
      <c r="BO253" s="372" t="e">
        <f ca="1">VLOOKUP($BF253&amp;IF($BJ253="NULL",0,$BJ253),所有坦克升星属性,MATCH(BO$3,所有坦克升星属性标头,0),FALSE)+ROUND(BR253/VLOOKUP($BF253,坦克部件!#REF!,4,FALSE)*VLOOKUP($BF253&amp;0,所有坦克升星属性,MATCH(BO$3,所有坦克升星属性标头,0),FALSE),0)</f>
        <v>#N/A</v>
      </c>
      <c r="BP253" s="372" t="e">
        <f ca="1">(VLOOKUP($BH253,坦克部件!#REF!,MATCH("标准值",坦克部件!#REF!,0),FALSE)+VLOOKUP($BI253,坦克部件!#REF!,MATCH("标准值",坦克部件!#REF!,0),FALSE))*2</f>
        <v>#REF!</v>
      </c>
      <c r="BQ253" s="372" t="e">
        <f ca="1">(VLOOKUP($BH253,坦克部件!#REF!,MATCH("标准值",坦克部件!#REF!,0),FALSE)+VLOOKUP($BI253,坦克部件!#REF!,MATCH("标准值",坦克部件!#REF!,0),FALSE))*2</f>
        <v>#REF!</v>
      </c>
      <c r="BR253" s="372" t="e">
        <f ca="1">(VLOOKUP($BH253,坦克部件!#REF!,MATCH("标准值",坦克部件!#REF!,0),FALSE)+VLOOKUP($BI253,坦克部件!#REF!,MATCH("标准值",坦克部件!#REF!,0),FALSE))*2</f>
        <v>#REF!</v>
      </c>
      <c r="BS253" s="372" t="e">
        <f ca="1">VLOOKUP($BF253,坦克属性统计!$B$3:$AY$33,MATCH(BS$3,坦克属性统计!$B$3:$AY$3,0),FALSE)</f>
        <v>#N/A</v>
      </c>
      <c r="BT253" s="372" t="e">
        <f t="shared" ca="1" si="161"/>
        <v>#N/A</v>
      </c>
      <c r="BU253" s="372" t="e">
        <f t="shared" ca="1" si="161"/>
        <v>#N/A</v>
      </c>
      <c r="BV253" s="372" t="e">
        <f t="shared" ca="1" si="161"/>
        <v>#N/A</v>
      </c>
      <c r="BW253" s="356">
        <f t="shared" ca="1" si="138"/>
        <v>0</v>
      </c>
      <c r="BX253" s="356" t="e">
        <f ca="1">VLOOKUP(BF253,坦克个性化设定!$B$18:$E$48,4,FALSE)</f>
        <v>#N/A</v>
      </c>
      <c r="BY253" s="357" t="e">
        <f t="shared" ca="1" si="145"/>
        <v>#N/A</v>
      </c>
    </row>
    <row r="254" spans="15:77" x14ac:dyDescent="0.35">
      <c r="O254" s="365">
        <v>251</v>
      </c>
      <c r="P254" s="360" t="e">
        <f t="shared" ca="1" si="152"/>
        <v>#REF!</v>
      </c>
      <c r="Q254" s="360" t="e">
        <f ca="1">ROUND(MIN((BD254-VLOOKUP(R254,$B$22:$F$46,2,FALSE))/(VLOOKUP(R254,$B$22:$F$46,3,FALSE)-VLOOKUP(R254,$B$22:$F$46,2,FALSE)),1)*((VLOOKUP(R254,$B$22:$F$46,4,FALSE)*(AG254/(AG254+VLOOKUP(P254,$D$49:$F$123,3,TRUE)))+VLOOKUP(R254,$B$22:$F$46,5,FALSE)*(1-AG254/(AG254+VLOOKUP(P254,$D$49:$F$123,3,TRUE))))/2)*游戏时长规划!$C$4,0)</f>
        <v>#REF!</v>
      </c>
      <c r="R254" s="360" t="e">
        <f t="shared" ca="1" si="125"/>
        <v>#REF!</v>
      </c>
      <c r="S254" s="360" t="e">
        <f t="shared" ca="1" si="146"/>
        <v>#REF!</v>
      </c>
      <c r="T254" s="360" t="e">
        <f t="shared" ca="1" si="153"/>
        <v>#REF!</v>
      </c>
      <c r="U254" s="370" t="e">
        <f t="shared" ca="1" si="126"/>
        <v>#REF!</v>
      </c>
      <c r="V254" s="363" t="e">
        <f t="shared" ca="1" si="147"/>
        <v>#REF!</v>
      </c>
      <c r="W254" s="360" t="e">
        <f t="shared" ca="1" si="127"/>
        <v>#REF!</v>
      </c>
      <c r="X254" s="81" t="e">
        <f t="shared" ca="1" si="139"/>
        <v>#REF!</v>
      </c>
      <c r="Y254" s="360" t="str">
        <f t="shared" ca="1" si="128"/>
        <v>NULL</v>
      </c>
      <c r="Z254" s="375" t="e">
        <f t="shared" ca="1" si="140"/>
        <v>#REF!</v>
      </c>
      <c r="AA254" s="360">
        <f ca="1">IFERROR(VLOOKUP(IF(V254="T1低",游戏时长规划!$C$67+Z254,Z254),INDIRECT(V254&amp;"星级"),2,TRUE),0)</f>
        <v>0</v>
      </c>
      <c r="AB254" s="375" t="e">
        <f t="shared" ca="1" si="129"/>
        <v>#REF!</v>
      </c>
      <c r="AC254" s="375">
        <f ca="1">($D$14+$D$17)*$L$4/坦克部件养成!$C$2+AC253-IFERROR(IF(RIGHT(AD253,3)*1&gt;RIGHT(VLOOKUP(AC253,INDIRECT(LEFT(AD252,2)&amp;"部件升阶"),5,TRUE),3)*1,VLOOKUP(AD252,INDIRECT(LEFT(AD252,2)&amp;"部件升阶消耗"),2,FALSE),0),0)</f>
        <v>2970.1666666666733</v>
      </c>
      <c r="AD254" s="360" t="e">
        <f t="shared" ca="1" si="130"/>
        <v>#REF!</v>
      </c>
      <c r="AE254" s="375" t="e">
        <f ca="1">$D$15*$L$4/坦克部件养成!$C$2+AE253-IF(LEFT(AD254,2)&lt;&gt;LEFT(AD253,2),VLOOKUP(AF253,INDIRECT(LEFT(AD253,2)&amp;"部件升级消耗"),5,FALSE),0)</f>
        <v>#REF!</v>
      </c>
      <c r="AF254" s="360" t="e">
        <f ca="1">MIN(VLOOKUP(AE254,INDIRECT(LEFT(AD254,2)&amp;"部件升级"),2,TRUE),VLOOKUP(LEFT(AD254,2),坦克部件养成!#REF!,6,FALSE))</f>
        <v>#REF!</v>
      </c>
      <c r="AG254" s="378" t="e">
        <f ca="1">MAX(BD$4:BD254)</f>
        <v>#REF!</v>
      </c>
      <c r="AH254" s="378" t="str">
        <f t="shared" ca="1" si="131"/>
        <v/>
      </c>
      <c r="AI254" s="378">
        <f ca="1">IF(Y254="NULL",0,MAX(BY$4:BY254))</f>
        <v>0</v>
      </c>
      <c r="AK254" s="364" t="e">
        <f t="shared" ca="1" si="132"/>
        <v>#REF!</v>
      </c>
      <c r="AL254" s="364" t="e">
        <f ca="1">VLOOKUP(AK254,坦克个性化设定!$B$18:$F$48,5,FALSE)</f>
        <v>#REF!</v>
      </c>
      <c r="AM254" s="372" t="e">
        <f t="shared" ca="1" si="133"/>
        <v>#REF!</v>
      </c>
      <c r="AN254" s="372" t="e">
        <f t="shared" ca="1" si="141"/>
        <v>#REF!</v>
      </c>
      <c r="AO254" s="364">
        <f t="shared" ca="1" si="134"/>
        <v>0</v>
      </c>
      <c r="AP254" s="372" t="e">
        <f ca="1">VLOOKUP($AK254&amp;$AO254,所有坦克升星属性,MATCH(AP$3,所有坦克升星属性标头,0),FALSE)+ROUND(AU254/VLOOKUP($AK254,坦克部件!#REF!,4,FALSE)*VLOOKUP($AK254&amp;0,所有坦克升星属性,MATCH(AP$3,所有坦克升星属性标头,0),FALSE),0)</f>
        <v>#REF!</v>
      </c>
      <c r="AQ254" s="372" t="e">
        <f ca="1">VLOOKUP($AK254&amp;$AO254,所有坦克升星属性,MATCH(AQ$3,所有坦克升星属性标头,0),FALSE)+ROUND(AV254/VLOOKUP($AK254,坦克部件!#REF!,4,FALSE)*VLOOKUP($AK254&amp;0,所有坦克升星属性,MATCH(AQ$3,所有坦克升星属性标头,0),FALSE),0)</f>
        <v>#REF!</v>
      </c>
      <c r="AR254" s="372" t="e">
        <f t="shared" ca="1" si="158"/>
        <v>#REF!</v>
      </c>
      <c r="AS254" s="372" t="e">
        <f t="shared" ca="1" si="158"/>
        <v>#REF!</v>
      </c>
      <c r="AT254" s="372" t="e">
        <f ca="1">VLOOKUP($AK254&amp;$AO254,所有坦克升星属性,MATCH(AT$3,所有坦克升星属性标头,0),FALSE)+ROUND(AW254/VLOOKUP($AK254,坦克部件!#REF!,4,FALSE)*VLOOKUP($AK254&amp;0,所有坦克升星属性,MATCH(AT$3,所有坦克升星属性标头,0),FALSE),0)</f>
        <v>#REF!</v>
      </c>
      <c r="AU254" s="372" t="e">
        <f ca="1">(VLOOKUP($AM254,坦克部件!#REF!,MATCH("标准值",坦克部件!#REF!,0),FALSE)+VLOOKUP($AN254,坦克部件!#REF!,MATCH("标准值",坦克部件!#REF!,0),FALSE))*2</f>
        <v>#REF!</v>
      </c>
      <c r="AV254" s="372" t="e">
        <f ca="1">(VLOOKUP($AM254,坦克部件!#REF!,MATCH("标准值",坦克部件!#REF!,0),FALSE)+VLOOKUP($AN254,坦克部件!#REF!,MATCH("标准值",坦克部件!#REF!,0),FALSE))*2</f>
        <v>#REF!</v>
      </c>
      <c r="AW254" s="372" t="e">
        <f ca="1">(VLOOKUP($AM254,坦克部件!#REF!,MATCH("标准值",坦克部件!#REF!,0),FALSE)+VLOOKUP($AN254,坦克部件!#REF!,MATCH("标准值",坦克部件!#REF!,0),FALSE))*2</f>
        <v>#REF!</v>
      </c>
      <c r="AX254" s="372" t="e">
        <f ca="1">VLOOKUP($AK254,坦克属性统计!$B$3:$AY$33,MATCH(AX$3,坦克属性统计!$B$3:$AY$3,0),FALSE)</f>
        <v>#REF!</v>
      </c>
      <c r="AY254" s="372" t="e">
        <f t="shared" ca="1" si="159"/>
        <v>#REF!</v>
      </c>
      <c r="AZ254" s="372" t="e">
        <f t="shared" ca="1" si="159"/>
        <v>#REF!</v>
      </c>
      <c r="BA254" s="372" t="e">
        <f t="shared" ca="1" si="159"/>
        <v>#REF!</v>
      </c>
      <c r="BB254" s="356" t="e">
        <f t="shared" ca="1" si="135"/>
        <v>#REF!</v>
      </c>
      <c r="BC254" s="356" t="e">
        <f ca="1">VLOOKUP(AK254,坦克个性化设定!$B$18:$E$48,4,FALSE)</f>
        <v>#REF!</v>
      </c>
      <c r="BD254" s="357" t="e">
        <f t="shared" ca="1" si="142"/>
        <v>#REF!</v>
      </c>
      <c r="BF254" s="357" t="str">
        <f t="shared" ca="1" si="136"/>
        <v/>
      </c>
      <c r="BG254" s="372" t="str">
        <f ca="1">IFERROR(VLOOKUP(BF254,坦克个性化设定!$B$18:$F$48,5,FALSE),"")</f>
        <v/>
      </c>
      <c r="BH254" s="372" t="e">
        <f t="shared" ca="1" si="143"/>
        <v>#REF!</v>
      </c>
      <c r="BI254" s="372" t="e">
        <f t="shared" ca="1" si="144"/>
        <v>#REF!</v>
      </c>
      <c r="BJ254" s="364" t="str">
        <f t="shared" ca="1" si="137"/>
        <v>NULL</v>
      </c>
      <c r="BK254" s="372" t="e">
        <f ca="1">VLOOKUP($BF254&amp;IF($BJ254="NULL",0,$BJ254),所有坦克升星属性,MATCH(BK$3,所有坦克升星属性标头,0),FALSE)+ROUND(BP254/VLOOKUP($BF254,坦克部件!#REF!,4,FALSE)*VLOOKUP($BF254&amp;0,所有坦克升星属性,MATCH(BK$3,所有坦克升星属性标头,0),FALSE),0)</f>
        <v>#N/A</v>
      </c>
      <c r="BL254" s="372" t="e">
        <f ca="1">VLOOKUP($BF254&amp;IF($BJ254="NULL",0,$BJ254),所有坦克升星属性,MATCH(BL$3,所有坦克升星属性标头,0),FALSE)+ROUND(BQ254/VLOOKUP($BF254,坦克部件!#REF!,4,FALSE)*VLOOKUP($BF254&amp;0,所有坦克升星属性,MATCH(BL$3,所有坦克升星属性标头,0),FALSE),0)</f>
        <v>#N/A</v>
      </c>
      <c r="BM254" s="372" t="e">
        <f t="shared" ca="1" si="160"/>
        <v>#N/A</v>
      </c>
      <c r="BN254" s="372" t="e">
        <f t="shared" ca="1" si="160"/>
        <v>#N/A</v>
      </c>
      <c r="BO254" s="372" t="e">
        <f ca="1">VLOOKUP($BF254&amp;IF($BJ254="NULL",0,$BJ254),所有坦克升星属性,MATCH(BO$3,所有坦克升星属性标头,0),FALSE)+ROUND(BR254/VLOOKUP($BF254,坦克部件!#REF!,4,FALSE)*VLOOKUP($BF254&amp;0,所有坦克升星属性,MATCH(BO$3,所有坦克升星属性标头,0),FALSE),0)</f>
        <v>#N/A</v>
      </c>
      <c r="BP254" s="372" t="e">
        <f ca="1">(VLOOKUP($BH254,坦克部件!#REF!,MATCH("标准值",坦克部件!#REF!,0),FALSE)+VLOOKUP($BI254,坦克部件!#REF!,MATCH("标准值",坦克部件!#REF!,0),FALSE))*2</f>
        <v>#REF!</v>
      </c>
      <c r="BQ254" s="372" t="e">
        <f ca="1">(VLOOKUP($BH254,坦克部件!#REF!,MATCH("标准值",坦克部件!#REF!,0),FALSE)+VLOOKUP($BI254,坦克部件!#REF!,MATCH("标准值",坦克部件!#REF!,0),FALSE))*2</f>
        <v>#REF!</v>
      </c>
      <c r="BR254" s="372" t="e">
        <f ca="1">(VLOOKUP($BH254,坦克部件!#REF!,MATCH("标准值",坦克部件!#REF!,0),FALSE)+VLOOKUP($BI254,坦克部件!#REF!,MATCH("标准值",坦克部件!#REF!,0),FALSE))*2</f>
        <v>#REF!</v>
      </c>
      <c r="BS254" s="372" t="e">
        <f ca="1">VLOOKUP($BF254,坦克属性统计!$B$3:$AY$33,MATCH(BS$3,坦克属性统计!$B$3:$AY$3,0),FALSE)</f>
        <v>#N/A</v>
      </c>
      <c r="BT254" s="372" t="e">
        <f t="shared" ca="1" si="161"/>
        <v>#N/A</v>
      </c>
      <c r="BU254" s="372" t="e">
        <f t="shared" ca="1" si="161"/>
        <v>#N/A</v>
      </c>
      <c r="BV254" s="372" t="e">
        <f t="shared" ca="1" si="161"/>
        <v>#N/A</v>
      </c>
      <c r="BW254" s="356">
        <f t="shared" ca="1" si="138"/>
        <v>0</v>
      </c>
      <c r="BX254" s="356" t="e">
        <f ca="1">VLOOKUP(BF254,坦克个性化设定!$B$18:$E$48,4,FALSE)</f>
        <v>#N/A</v>
      </c>
      <c r="BY254" s="357" t="e">
        <f t="shared" ca="1" si="145"/>
        <v>#N/A</v>
      </c>
    </row>
    <row r="255" spans="15:77" x14ac:dyDescent="0.35">
      <c r="O255" s="365">
        <v>252</v>
      </c>
      <c r="P255" s="360" t="e">
        <f t="shared" ca="1" si="152"/>
        <v>#REF!</v>
      </c>
      <c r="Q255" s="360" t="e">
        <f ca="1">ROUND(MIN((BD255-VLOOKUP(R255,$B$22:$F$46,2,FALSE))/(VLOOKUP(R255,$B$22:$F$46,3,FALSE)-VLOOKUP(R255,$B$22:$F$46,2,FALSE)),1)*((VLOOKUP(R255,$B$22:$F$46,4,FALSE)*(AG255/(AG255+VLOOKUP(P255,$D$49:$F$123,3,TRUE)))+VLOOKUP(R255,$B$22:$F$46,5,FALSE)*(1-AG255/(AG255+VLOOKUP(P255,$D$49:$F$123,3,TRUE))))/2)*游戏时长规划!$C$4,0)</f>
        <v>#REF!</v>
      </c>
      <c r="R255" s="360" t="e">
        <f t="shared" ca="1" si="125"/>
        <v>#REF!</v>
      </c>
      <c r="S255" s="360" t="e">
        <f t="shared" ca="1" si="146"/>
        <v>#REF!</v>
      </c>
      <c r="T255" s="360" t="e">
        <f t="shared" ca="1" si="153"/>
        <v>#REF!</v>
      </c>
      <c r="U255" s="370" t="e">
        <f t="shared" ca="1" si="126"/>
        <v>#REF!</v>
      </c>
      <c r="V255" s="363" t="e">
        <f t="shared" ca="1" si="147"/>
        <v>#REF!</v>
      </c>
      <c r="W255" s="360" t="e">
        <f t="shared" ca="1" si="127"/>
        <v>#REF!</v>
      </c>
      <c r="X255" s="81" t="e">
        <f t="shared" ca="1" si="139"/>
        <v>#REF!</v>
      </c>
      <c r="Y255" s="360" t="str">
        <f t="shared" ca="1" si="128"/>
        <v>NULL</v>
      </c>
      <c r="Z255" s="375" t="e">
        <f t="shared" ca="1" si="140"/>
        <v>#REF!</v>
      </c>
      <c r="AA255" s="360">
        <f ca="1">IFERROR(VLOOKUP(IF(V255="T1低",游戏时长规划!$C$67+Z255,Z255),INDIRECT(V255&amp;"星级"),2,TRUE),0)</f>
        <v>0</v>
      </c>
      <c r="AB255" s="375" t="e">
        <f t="shared" ca="1" si="129"/>
        <v>#REF!</v>
      </c>
      <c r="AC255" s="375">
        <f ca="1">($D$14+$D$17)*$L$4/坦克部件养成!$C$2+AC254-IFERROR(IF(RIGHT(AD254,3)*1&gt;RIGHT(VLOOKUP(AC254,INDIRECT(LEFT(AD253,2)&amp;"部件升阶"),5,TRUE),3)*1,VLOOKUP(AD253,INDIRECT(LEFT(AD253,2)&amp;"部件升阶消耗"),2,FALSE),0),0)</f>
        <v>2982.0000000000068</v>
      </c>
      <c r="AD255" s="360" t="e">
        <f t="shared" ca="1" si="130"/>
        <v>#REF!</v>
      </c>
      <c r="AE255" s="375" t="e">
        <f ca="1">$D$15*$L$4/坦克部件养成!$C$2+AE254-IF(LEFT(AD255,2)&lt;&gt;LEFT(AD254,2),VLOOKUP(AF254,INDIRECT(LEFT(AD254,2)&amp;"部件升级消耗"),5,FALSE),0)</f>
        <v>#REF!</v>
      </c>
      <c r="AF255" s="360" t="e">
        <f ca="1">MIN(VLOOKUP(AE255,INDIRECT(LEFT(AD255,2)&amp;"部件升级"),2,TRUE),VLOOKUP(LEFT(AD255,2),坦克部件养成!#REF!,6,FALSE))</f>
        <v>#REF!</v>
      </c>
      <c r="AG255" s="378" t="e">
        <f ca="1">MAX(BD$4:BD255)</f>
        <v>#REF!</v>
      </c>
      <c r="AH255" s="378" t="str">
        <f t="shared" ca="1" si="131"/>
        <v/>
      </c>
      <c r="AI255" s="378">
        <f ca="1">IF(Y255="NULL",0,MAX(BY$4:BY255))</f>
        <v>0</v>
      </c>
      <c r="AK255" s="364" t="e">
        <f t="shared" ca="1" si="132"/>
        <v>#REF!</v>
      </c>
      <c r="AL255" s="364" t="e">
        <f ca="1">VLOOKUP(AK255,坦克个性化设定!$B$18:$F$48,5,FALSE)</f>
        <v>#REF!</v>
      </c>
      <c r="AM255" s="372" t="e">
        <f t="shared" ca="1" si="133"/>
        <v>#REF!</v>
      </c>
      <c r="AN255" s="372" t="e">
        <f t="shared" ca="1" si="141"/>
        <v>#REF!</v>
      </c>
      <c r="AO255" s="364">
        <f t="shared" ca="1" si="134"/>
        <v>0</v>
      </c>
      <c r="AP255" s="372" t="e">
        <f ca="1">VLOOKUP($AK255&amp;$AO255,所有坦克升星属性,MATCH(AP$3,所有坦克升星属性标头,0),FALSE)+ROUND(AU255/VLOOKUP($AK255,坦克部件!#REF!,4,FALSE)*VLOOKUP($AK255&amp;0,所有坦克升星属性,MATCH(AP$3,所有坦克升星属性标头,0),FALSE),0)</f>
        <v>#REF!</v>
      </c>
      <c r="AQ255" s="372" t="e">
        <f ca="1">VLOOKUP($AK255&amp;$AO255,所有坦克升星属性,MATCH(AQ$3,所有坦克升星属性标头,0),FALSE)+ROUND(AV255/VLOOKUP($AK255,坦克部件!#REF!,4,FALSE)*VLOOKUP($AK255&amp;0,所有坦克升星属性,MATCH(AQ$3,所有坦克升星属性标头,0),FALSE),0)</f>
        <v>#REF!</v>
      </c>
      <c r="AR255" s="372" t="e">
        <f t="shared" ca="1" si="158"/>
        <v>#REF!</v>
      </c>
      <c r="AS255" s="372" t="e">
        <f t="shared" ca="1" si="158"/>
        <v>#REF!</v>
      </c>
      <c r="AT255" s="372" t="e">
        <f ca="1">VLOOKUP($AK255&amp;$AO255,所有坦克升星属性,MATCH(AT$3,所有坦克升星属性标头,0),FALSE)+ROUND(AW255/VLOOKUP($AK255,坦克部件!#REF!,4,FALSE)*VLOOKUP($AK255&amp;0,所有坦克升星属性,MATCH(AT$3,所有坦克升星属性标头,0),FALSE),0)</f>
        <v>#REF!</v>
      </c>
      <c r="AU255" s="372" t="e">
        <f ca="1">(VLOOKUP($AM255,坦克部件!#REF!,MATCH("标准值",坦克部件!#REF!,0),FALSE)+VLOOKUP($AN255,坦克部件!#REF!,MATCH("标准值",坦克部件!#REF!,0),FALSE))*2</f>
        <v>#REF!</v>
      </c>
      <c r="AV255" s="372" t="e">
        <f ca="1">(VLOOKUP($AM255,坦克部件!#REF!,MATCH("标准值",坦克部件!#REF!,0),FALSE)+VLOOKUP($AN255,坦克部件!#REF!,MATCH("标准值",坦克部件!#REF!,0),FALSE))*2</f>
        <v>#REF!</v>
      </c>
      <c r="AW255" s="372" t="e">
        <f ca="1">(VLOOKUP($AM255,坦克部件!#REF!,MATCH("标准值",坦克部件!#REF!,0),FALSE)+VLOOKUP($AN255,坦克部件!#REF!,MATCH("标准值",坦克部件!#REF!,0),FALSE))*2</f>
        <v>#REF!</v>
      </c>
      <c r="AX255" s="372" t="e">
        <f ca="1">VLOOKUP($AK255,坦克属性统计!$B$3:$AY$33,MATCH(AX$3,坦克属性统计!$B$3:$AY$3,0),FALSE)</f>
        <v>#REF!</v>
      </c>
      <c r="AY255" s="372" t="e">
        <f t="shared" ca="1" si="159"/>
        <v>#REF!</v>
      </c>
      <c r="AZ255" s="372" t="e">
        <f t="shared" ca="1" si="159"/>
        <v>#REF!</v>
      </c>
      <c r="BA255" s="372" t="e">
        <f t="shared" ca="1" si="159"/>
        <v>#REF!</v>
      </c>
      <c r="BB255" s="356" t="e">
        <f t="shared" ca="1" si="135"/>
        <v>#REF!</v>
      </c>
      <c r="BC255" s="356" t="e">
        <f ca="1">VLOOKUP(AK255,坦克个性化设定!$B$18:$E$48,4,FALSE)</f>
        <v>#REF!</v>
      </c>
      <c r="BD255" s="357" t="e">
        <f t="shared" ca="1" si="142"/>
        <v>#REF!</v>
      </c>
      <c r="BF255" s="357" t="str">
        <f t="shared" ca="1" si="136"/>
        <v/>
      </c>
      <c r="BG255" s="372" t="str">
        <f ca="1">IFERROR(VLOOKUP(BF255,坦克个性化设定!$B$18:$F$48,5,FALSE),"")</f>
        <v/>
      </c>
      <c r="BH255" s="372" t="e">
        <f t="shared" ca="1" si="143"/>
        <v>#REF!</v>
      </c>
      <c r="BI255" s="372" t="e">
        <f t="shared" ca="1" si="144"/>
        <v>#REF!</v>
      </c>
      <c r="BJ255" s="364" t="str">
        <f t="shared" ca="1" si="137"/>
        <v>NULL</v>
      </c>
      <c r="BK255" s="372" t="e">
        <f ca="1">VLOOKUP($BF255&amp;IF($BJ255="NULL",0,$BJ255),所有坦克升星属性,MATCH(BK$3,所有坦克升星属性标头,0),FALSE)+ROUND(BP255/VLOOKUP($BF255,坦克部件!#REF!,4,FALSE)*VLOOKUP($BF255&amp;0,所有坦克升星属性,MATCH(BK$3,所有坦克升星属性标头,0),FALSE),0)</f>
        <v>#N/A</v>
      </c>
      <c r="BL255" s="372" t="e">
        <f ca="1">VLOOKUP($BF255&amp;IF($BJ255="NULL",0,$BJ255),所有坦克升星属性,MATCH(BL$3,所有坦克升星属性标头,0),FALSE)+ROUND(BQ255/VLOOKUP($BF255,坦克部件!#REF!,4,FALSE)*VLOOKUP($BF255&amp;0,所有坦克升星属性,MATCH(BL$3,所有坦克升星属性标头,0),FALSE),0)</f>
        <v>#N/A</v>
      </c>
      <c r="BM255" s="372" t="e">
        <f t="shared" ca="1" si="160"/>
        <v>#N/A</v>
      </c>
      <c r="BN255" s="372" t="e">
        <f t="shared" ca="1" si="160"/>
        <v>#N/A</v>
      </c>
      <c r="BO255" s="372" t="e">
        <f ca="1">VLOOKUP($BF255&amp;IF($BJ255="NULL",0,$BJ255),所有坦克升星属性,MATCH(BO$3,所有坦克升星属性标头,0),FALSE)+ROUND(BR255/VLOOKUP($BF255,坦克部件!#REF!,4,FALSE)*VLOOKUP($BF255&amp;0,所有坦克升星属性,MATCH(BO$3,所有坦克升星属性标头,0),FALSE),0)</f>
        <v>#N/A</v>
      </c>
      <c r="BP255" s="372" t="e">
        <f ca="1">(VLOOKUP($BH255,坦克部件!#REF!,MATCH("标准值",坦克部件!#REF!,0),FALSE)+VLOOKUP($BI255,坦克部件!#REF!,MATCH("标准值",坦克部件!#REF!,0),FALSE))*2</f>
        <v>#REF!</v>
      </c>
      <c r="BQ255" s="372" t="e">
        <f ca="1">(VLOOKUP($BH255,坦克部件!#REF!,MATCH("标准值",坦克部件!#REF!,0),FALSE)+VLOOKUP($BI255,坦克部件!#REF!,MATCH("标准值",坦克部件!#REF!,0),FALSE))*2</f>
        <v>#REF!</v>
      </c>
      <c r="BR255" s="372" t="e">
        <f ca="1">(VLOOKUP($BH255,坦克部件!#REF!,MATCH("标准值",坦克部件!#REF!,0),FALSE)+VLOOKUP($BI255,坦克部件!#REF!,MATCH("标准值",坦克部件!#REF!,0),FALSE))*2</f>
        <v>#REF!</v>
      </c>
      <c r="BS255" s="372" t="e">
        <f ca="1">VLOOKUP($BF255,坦克属性统计!$B$3:$AY$33,MATCH(BS$3,坦克属性统计!$B$3:$AY$3,0),FALSE)</f>
        <v>#N/A</v>
      </c>
      <c r="BT255" s="372" t="e">
        <f t="shared" ca="1" si="161"/>
        <v>#N/A</v>
      </c>
      <c r="BU255" s="372" t="e">
        <f t="shared" ca="1" si="161"/>
        <v>#N/A</v>
      </c>
      <c r="BV255" s="372" t="e">
        <f t="shared" ca="1" si="161"/>
        <v>#N/A</v>
      </c>
      <c r="BW255" s="356">
        <f t="shared" ca="1" si="138"/>
        <v>0</v>
      </c>
      <c r="BX255" s="356" t="e">
        <f ca="1">VLOOKUP(BF255,坦克个性化设定!$B$18:$E$48,4,FALSE)</f>
        <v>#N/A</v>
      </c>
      <c r="BY255" s="357" t="e">
        <f t="shared" ca="1" si="145"/>
        <v>#N/A</v>
      </c>
    </row>
    <row r="256" spans="15:77" x14ac:dyDescent="0.35">
      <c r="O256" s="365">
        <v>253</v>
      </c>
      <c r="P256" s="360" t="e">
        <f t="shared" ca="1" si="152"/>
        <v>#REF!</v>
      </c>
      <c r="Q256" s="360" t="e">
        <f ca="1">ROUND(MIN((BD256-VLOOKUP(R256,$B$22:$F$46,2,FALSE))/(VLOOKUP(R256,$B$22:$F$46,3,FALSE)-VLOOKUP(R256,$B$22:$F$46,2,FALSE)),1)*((VLOOKUP(R256,$B$22:$F$46,4,FALSE)*(AG256/(AG256+VLOOKUP(P256,$D$49:$F$123,3,TRUE)))+VLOOKUP(R256,$B$22:$F$46,5,FALSE)*(1-AG256/(AG256+VLOOKUP(P256,$D$49:$F$123,3,TRUE))))/2)*游戏时长规划!$C$4,0)</f>
        <v>#REF!</v>
      </c>
      <c r="R256" s="360" t="e">
        <f t="shared" ca="1" si="125"/>
        <v>#REF!</v>
      </c>
      <c r="S256" s="360" t="e">
        <f t="shared" ca="1" si="146"/>
        <v>#REF!</v>
      </c>
      <c r="T256" s="360" t="e">
        <f t="shared" ca="1" si="153"/>
        <v>#REF!</v>
      </c>
      <c r="U256" s="370" t="e">
        <f t="shared" ca="1" si="126"/>
        <v>#REF!</v>
      </c>
      <c r="V256" s="363" t="e">
        <f t="shared" ca="1" si="147"/>
        <v>#REF!</v>
      </c>
      <c r="W256" s="360" t="e">
        <f t="shared" ca="1" si="127"/>
        <v>#REF!</v>
      </c>
      <c r="X256" s="81" t="e">
        <f t="shared" ca="1" si="139"/>
        <v>#REF!</v>
      </c>
      <c r="Y256" s="360" t="str">
        <f t="shared" ca="1" si="128"/>
        <v>NULL</v>
      </c>
      <c r="Z256" s="375" t="e">
        <f t="shared" ca="1" si="140"/>
        <v>#REF!</v>
      </c>
      <c r="AA256" s="360">
        <f ca="1">IFERROR(VLOOKUP(IF(V256="T1低",游戏时长规划!$C$67+Z256,Z256),INDIRECT(V256&amp;"星级"),2,TRUE),0)</f>
        <v>0</v>
      </c>
      <c r="AB256" s="375" t="e">
        <f t="shared" ca="1" si="129"/>
        <v>#REF!</v>
      </c>
      <c r="AC256" s="375">
        <f ca="1">($D$14+$D$17)*$L$4/坦克部件养成!$C$2+AC255-IFERROR(IF(RIGHT(AD255,3)*1&gt;RIGHT(VLOOKUP(AC255,INDIRECT(LEFT(AD254,2)&amp;"部件升阶"),5,TRUE),3)*1,VLOOKUP(AD254,INDIRECT(LEFT(AD254,2)&amp;"部件升阶消耗"),2,FALSE),0),0)</f>
        <v>2993.8333333333403</v>
      </c>
      <c r="AD256" s="360" t="e">
        <f t="shared" ca="1" si="130"/>
        <v>#REF!</v>
      </c>
      <c r="AE256" s="375" t="e">
        <f ca="1">$D$15*$L$4/坦克部件养成!$C$2+AE255-IF(LEFT(AD256,2)&lt;&gt;LEFT(AD255,2),VLOOKUP(AF255,INDIRECT(LEFT(AD255,2)&amp;"部件升级消耗"),5,FALSE),0)</f>
        <v>#REF!</v>
      </c>
      <c r="AF256" s="360" t="e">
        <f ca="1">MIN(VLOOKUP(AE256,INDIRECT(LEFT(AD256,2)&amp;"部件升级"),2,TRUE),VLOOKUP(LEFT(AD256,2),坦克部件养成!#REF!,6,FALSE))</f>
        <v>#REF!</v>
      </c>
      <c r="AG256" s="378" t="e">
        <f ca="1">MAX(BD$4:BD256)</f>
        <v>#REF!</v>
      </c>
      <c r="AH256" s="378" t="str">
        <f t="shared" ca="1" si="131"/>
        <v/>
      </c>
      <c r="AI256" s="378">
        <f ca="1">IF(Y256="NULL",0,MAX(BY$4:BY256))</f>
        <v>0</v>
      </c>
      <c r="AK256" s="364" t="e">
        <f t="shared" ca="1" si="132"/>
        <v>#REF!</v>
      </c>
      <c r="AL256" s="364" t="e">
        <f ca="1">VLOOKUP(AK256,坦克个性化设定!$B$18:$F$48,5,FALSE)</f>
        <v>#REF!</v>
      </c>
      <c r="AM256" s="372" t="e">
        <f t="shared" ca="1" si="133"/>
        <v>#REF!</v>
      </c>
      <c r="AN256" s="372" t="e">
        <f t="shared" ca="1" si="141"/>
        <v>#REF!</v>
      </c>
      <c r="AO256" s="364">
        <f t="shared" ca="1" si="134"/>
        <v>0</v>
      </c>
      <c r="AP256" s="372" t="e">
        <f ca="1">VLOOKUP($AK256&amp;$AO256,所有坦克升星属性,MATCH(AP$3,所有坦克升星属性标头,0),FALSE)+ROUND(AU256/VLOOKUP($AK256,坦克部件!#REF!,4,FALSE)*VLOOKUP($AK256&amp;0,所有坦克升星属性,MATCH(AP$3,所有坦克升星属性标头,0),FALSE),0)</f>
        <v>#REF!</v>
      </c>
      <c r="AQ256" s="372" t="e">
        <f ca="1">VLOOKUP($AK256&amp;$AO256,所有坦克升星属性,MATCH(AQ$3,所有坦克升星属性标头,0),FALSE)+ROUND(AV256/VLOOKUP($AK256,坦克部件!#REF!,4,FALSE)*VLOOKUP($AK256&amp;0,所有坦克升星属性,MATCH(AQ$3,所有坦克升星属性标头,0),FALSE),0)</f>
        <v>#REF!</v>
      </c>
      <c r="AR256" s="372" t="e">
        <f t="shared" ca="1" si="158"/>
        <v>#REF!</v>
      </c>
      <c r="AS256" s="372" t="e">
        <f t="shared" ca="1" si="158"/>
        <v>#REF!</v>
      </c>
      <c r="AT256" s="372" t="e">
        <f ca="1">VLOOKUP($AK256&amp;$AO256,所有坦克升星属性,MATCH(AT$3,所有坦克升星属性标头,0),FALSE)+ROUND(AW256/VLOOKUP($AK256,坦克部件!#REF!,4,FALSE)*VLOOKUP($AK256&amp;0,所有坦克升星属性,MATCH(AT$3,所有坦克升星属性标头,0),FALSE),0)</f>
        <v>#REF!</v>
      </c>
      <c r="AU256" s="372" t="e">
        <f ca="1">(VLOOKUP($AM256,坦克部件!#REF!,MATCH("标准值",坦克部件!#REF!,0),FALSE)+VLOOKUP($AN256,坦克部件!#REF!,MATCH("标准值",坦克部件!#REF!,0),FALSE))*2</f>
        <v>#REF!</v>
      </c>
      <c r="AV256" s="372" t="e">
        <f ca="1">(VLOOKUP($AM256,坦克部件!#REF!,MATCH("标准值",坦克部件!#REF!,0),FALSE)+VLOOKUP($AN256,坦克部件!#REF!,MATCH("标准值",坦克部件!#REF!,0),FALSE))*2</f>
        <v>#REF!</v>
      </c>
      <c r="AW256" s="372" t="e">
        <f ca="1">(VLOOKUP($AM256,坦克部件!#REF!,MATCH("标准值",坦克部件!#REF!,0),FALSE)+VLOOKUP($AN256,坦克部件!#REF!,MATCH("标准值",坦克部件!#REF!,0),FALSE))*2</f>
        <v>#REF!</v>
      </c>
      <c r="AX256" s="372" t="e">
        <f ca="1">VLOOKUP($AK256,坦克属性统计!$B$3:$AY$33,MATCH(AX$3,坦克属性统计!$B$3:$AY$3,0),FALSE)</f>
        <v>#REF!</v>
      </c>
      <c r="AY256" s="372" t="e">
        <f t="shared" ca="1" si="159"/>
        <v>#REF!</v>
      </c>
      <c r="AZ256" s="372" t="e">
        <f t="shared" ca="1" si="159"/>
        <v>#REF!</v>
      </c>
      <c r="BA256" s="372" t="e">
        <f t="shared" ca="1" si="159"/>
        <v>#REF!</v>
      </c>
      <c r="BB256" s="356" t="e">
        <f t="shared" ca="1" si="135"/>
        <v>#REF!</v>
      </c>
      <c r="BC256" s="356" t="e">
        <f ca="1">VLOOKUP(AK256,坦克个性化设定!$B$18:$E$48,4,FALSE)</f>
        <v>#REF!</v>
      </c>
      <c r="BD256" s="357" t="e">
        <f t="shared" ca="1" si="142"/>
        <v>#REF!</v>
      </c>
      <c r="BF256" s="357" t="str">
        <f t="shared" ca="1" si="136"/>
        <v/>
      </c>
      <c r="BG256" s="372" t="str">
        <f ca="1">IFERROR(VLOOKUP(BF256,坦克个性化设定!$B$18:$F$48,5,FALSE),"")</f>
        <v/>
      </c>
      <c r="BH256" s="372" t="e">
        <f t="shared" ca="1" si="143"/>
        <v>#REF!</v>
      </c>
      <c r="BI256" s="372" t="e">
        <f t="shared" ca="1" si="144"/>
        <v>#REF!</v>
      </c>
      <c r="BJ256" s="364" t="str">
        <f t="shared" ca="1" si="137"/>
        <v>NULL</v>
      </c>
      <c r="BK256" s="372" t="e">
        <f ca="1">VLOOKUP($BF256&amp;IF($BJ256="NULL",0,$BJ256),所有坦克升星属性,MATCH(BK$3,所有坦克升星属性标头,0),FALSE)+ROUND(BP256/VLOOKUP($BF256,坦克部件!#REF!,4,FALSE)*VLOOKUP($BF256&amp;0,所有坦克升星属性,MATCH(BK$3,所有坦克升星属性标头,0),FALSE),0)</f>
        <v>#N/A</v>
      </c>
      <c r="BL256" s="372" t="e">
        <f ca="1">VLOOKUP($BF256&amp;IF($BJ256="NULL",0,$BJ256),所有坦克升星属性,MATCH(BL$3,所有坦克升星属性标头,0),FALSE)+ROUND(BQ256/VLOOKUP($BF256,坦克部件!#REF!,4,FALSE)*VLOOKUP($BF256&amp;0,所有坦克升星属性,MATCH(BL$3,所有坦克升星属性标头,0),FALSE),0)</f>
        <v>#N/A</v>
      </c>
      <c r="BM256" s="372" t="e">
        <f t="shared" ca="1" si="160"/>
        <v>#N/A</v>
      </c>
      <c r="BN256" s="372" t="e">
        <f t="shared" ca="1" si="160"/>
        <v>#N/A</v>
      </c>
      <c r="BO256" s="372" t="e">
        <f ca="1">VLOOKUP($BF256&amp;IF($BJ256="NULL",0,$BJ256),所有坦克升星属性,MATCH(BO$3,所有坦克升星属性标头,0),FALSE)+ROUND(BR256/VLOOKUP($BF256,坦克部件!#REF!,4,FALSE)*VLOOKUP($BF256&amp;0,所有坦克升星属性,MATCH(BO$3,所有坦克升星属性标头,0),FALSE),0)</f>
        <v>#N/A</v>
      </c>
      <c r="BP256" s="372" t="e">
        <f ca="1">(VLOOKUP($BH256,坦克部件!#REF!,MATCH("标准值",坦克部件!#REF!,0),FALSE)+VLOOKUP($BI256,坦克部件!#REF!,MATCH("标准值",坦克部件!#REF!,0),FALSE))*2</f>
        <v>#REF!</v>
      </c>
      <c r="BQ256" s="372" t="e">
        <f ca="1">(VLOOKUP($BH256,坦克部件!#REF!,MATCH("标准值",坦克部件!#REF!,0),FALSE)+VLOOKUP($BI256,坦克部件!#REF!,MATCH("标准值",坦克部件!#REF!,0),FALSE))*2</f>
        <v>#REF!</v>
      </c>
      <c r="BR256" s="372" t="e">
        <f ca="1">(VLOOKUP($BH256,坦克部件!#REF!,MATCH("标准值",坦克部件!#REF!,0),FALSE)+VLOOKUP($BI256,坦克部件!#REF!,MATCH("标准值",坦克部件!#REF!,0),FALSE))*2</f>
        <v>#REF!</v>
      </c>
      <c r="BS256" s="372" t="e">
        <f ca="1">VLOOKUP($BF256,坦克属性统计!$B$3:$AY$33,MATCH(BS$3,坦克属性统计!$B$3:$AY$3,0),FALSE)</f>
        <v>#N/A</v>
      </c>
      <c r="BT256" s="372" t="e">
        <f t="shared" ca="1" si="161"/>
        <v>#N/A</v>
      </c>
      <c r="BU256" s="372" t="e">
        <f t="shared" ca="1" si="161"/>
        <v>#N/A</v>
      </c>
      <c r="BV256" s="372" t="e">
        <f t="shared" ca="1" si="161"/>
        <v>#N/A</v>
      </c>
      <c r="BW256" s="356">
        <f t="shared" ca="1" si="138"/>
        <v>0</v>
      </c>
      <c r="BX256" s="356" t="e">
        <f ca="1">VLOOKUP(BF256,坦克个性化设定!$B$18:$E$48,4,FALSE)</f>
        <v>#N/A</v>
      </c>
      <c r="BY256" s="357" t="e">
        <f t="shared" ca="1" si="145"/>
        <v>#N/A</v>
      </c>
    </row>
    <row r="257" spans="15:77" x14ac:dyDescent="0.35">
      <c r="O257" s="365">
        <v>254</v>
      </c>
      <c r="P257" s="360" t="e">
        <f t="shared" ca="1" si="152"/>
        <v>#REF!</v>
      </c>
      <c r="Q257" s="360" t="e">
        <f ca="1">ROUND(MIN((BD257-VLOOKUP(R257,$B$22:$F$46,2,FALSE))/(VLOOKUP(R257,$B$22:$F$46,3,FALSE)-VLOOKUP(R257,$B$22:$F$46,2,FALSE)),1)*((VLOOKUP(R257,$B$22:$F$46,4,FALSE)*(AG257/(AG257+VLOOKUP(P257,$D$49:$F$123,3,TRUE)))+VLOOKUP(R257,$B$22:$F$46,5,FALSE)*(1-AG257/(AG257+VLOOKUP(P257,$D$49:$F$123,3,TRUE))))/2)*游戏时长规划!$C$4,0)</f>
        <v>#REF!</v>
      </c>
      <c r="R257" s="360" t="e">
        <f t="shared" ca="1" si="125"/>
        <v>#REF!</v>
      </c>
      <c r="S257" s="360" t="e">
        <f t="shared" ca="1" si="146"/>
        <v>#REF!</v>
      </c>
      <c r="T257" s="360" t="e">
        <f t="shared" ca="1" si="153"/>
        <v>#REF!</v>
      </c>
      <c r="U257" s="370" t="e">
        <f t="shared" ca="1" si="126"/>
        <v>#REF!</v>
      </c>
      <c r="V257" s="363" t="e">
        <f t="shared" ca="1" si="147"/>
        <v>#REF!</v>
      </c>
      <c r="W257" s="360" t="e">
        <f t="shared" ca="1" si="127"/>
        <v>#REF!</v>
      </c>
      <c r="X257" s="81" t="e">
        <f t="shared" ca="1" si="139"/>
        <v>#REF!</v>
      </c>
      <c r="Y257" s="360" t="str">
        <f t="shared" ca="1" si="128"/>
        <v>NULL</v>
      </c>
      <c r="Z257" s="375" t="e">
        <f t="shared" ca="1" si="140"/>
        <v>#REF!</v>
      </c>
      <c r="AA257" s="360">
        <f ca="1">IFERROR(VLOOKUP(IF(V257="T1低",游戏时长规划!$C$67+Z257,Z257),INDIRECT(V257&amp;"星级"),2,TRUE),0)</f>
        <v>0</v>
      </c>
      <c r="AB257" s="375" t="e">
        <f t="shared" ca="1" si="129"/>
        <v>#REF!</v>
      </c>
      <c r="AC257" s="375">
        <f ca="1">($D$14+$D$17)*$L$4/坦克部件养成!$C$2+AC256-IFERROR(IF(RIGHT(AD256,3)*1&gt;RIGHT(VLOOKUP(AC256,INDIRECT(LEFT(AD255,2)&amp;"部件升阶"),5,TRUE),3)*1,VLOOKUP(AD255,INDIRECT(LEFT(AD255,2)&amp;"部件升阶消耗"),2,FALSE),0),0)</f>
        <v>3005.6666666666738</v>
      </c>
      <c r="AD257" s="360" t="e">
        <f t="shared" ca="1" si="130"/>
        <v>#REF!</v>
      </c>
      <c r="AE257" s="375" t="e">
        <f ca="1">$D$15*$L$4/坦克部件养成!$C$2+AE256-IF(LEFT(AD257,2)&lt;&gt;LEFT(AD256,2),VLOOKUP(AF256,INDIRECT(LEFT(AD256,2)&amp;"部件升级消耗"),5,FALSE),0)</f>
        <v>#REF!</v>
      </c>
      <c r="AF257" s="360" t="e">
        <f ca="1">MIN(VLOOKUP(AE257,INDIRECT(LEFT(AD257,2)&amp;"部件升级"),2,TRUE),VLOOKUP(LEFT(AD257,2),坦克部件养成!#REF!,6,FALSE))</f>
        <v>#REF!</v>
      </c>
      <c r="AG257" s="378" t="e">
        <f ca="1">MAX(BD$4:BD257)</f>
        <v>#REF!</v>
      </c>
      <c r="AH257" s="378" t="str">
        <f t="shared" ca="1" si="131"/>
        <v/>
      </c>
      <c r="AI257" s="378">
        <f ca="1">IF(Y257="NULL",0,MAX(BY$4:BY257))</f>
        <v>0</v>
      </c>
      <c r="AK257" s="364" t="e">
        <f t="shared" ca="1" si="132"/>
        <v>#REF!</v>
      </c>
      <c r="AL257" s="364" t="e">
        <f ca="1">VLOOKUP(AK257,坦克个性化设定!$B$18:$F$48,5,FALSE)</f>
        <v>#REF!</v>
      </c>
      <c r="AM257" s="372" t="e">
        <f t="shared" ca="1" si="133"/>
        <v>#REF!</v>
      </c>
      <c r="AN257" s="372" t="e">
        <f t="shared" ca="1" si="141"/>
        <v>#REF!</v>
      </c>
      <c r="AO257" s="364">
        <f t="shared" ca="1" si="134"/>
        <v>0</v>
      </c>
      <c r="AP257" s="372" t="e">
        <f ca="1">VLOOKUP($AK257&amp;$AO257,所有坦克升星属性,MATCH(AP$3,所有坦克升星属性标头,0),FALSE)+ROUND(AU257/VLOOKUP($AK257,坦克部件!#REF!,4,FALSE)*VLOOKUP($AK257&amp;0,所有坦克升星属性,MATCH(AP$3,所有坦克升星属性标头,0),FALSE),0)</f>
        <v>#REF!</v>
      </c>
      <c r="AQ257" s="372" t="e">
        <f ca="1">VLOOKUP($AK257&amp;$AO257,所有坦克升星属性,MATCH(AQ$3,所有坦克升星属性标头,0),FALSE)+ROUND(AV257/VLOOKUP($AK257,坦克部件!#REF!,4,FALSE)*VLOOKUP($AK257&amp;0,所有坦克升星属性,MATCH(AQ$3,所有坦克升星属性标头,0),FALSE),0)</f>
        <v>#REF!</v>
      </c>
      <c r="AR257" s="372" t="e">
        <f t="shared" ca="1" si="158"/>
        <v>#REF!</v>
      </c>
      <c r="AS257" s="372" t="e">
        <f t="shared" ca="1" si="158"/>
        <v>#REF!</v>
      </c>
      <c r="AT257" s="372" t="e">
        <f ca="1">VLOOKUP($AK257&amp;$AO257,所有坦克升星属性,MATCH(AT$3,所有坦克升星属性标头,0),FALSE)+ROUND(AW257/VLOOKUP($AK257,坦克部件!#REF!,4,FALSE)*VLOOKUP($AK257&amp;0,所有坦克升星属性,MATCH(AT$3,所有坦克升星属性标头,0),FALSE),0)</f>
        <v>#REF!</v>
      </c>
      <c r="AU257" s="372" t="e">
        <f ca="1">(VLOOKUP($AM257,坦克部件!#REF!,MATCH("标准值",坦克部件!#REF!,0),FALSE)+VLOOKUP($AN257,坦克部件!#REF!,MATCH("标准值",坦克部件!#REF!,0),FALSE))*2</f>
        <v>#REF!</v>
      </c>
      <c r="AV257" s="372" t="e">
        <f ca="1">(VLOOKUP($AM257,坦克部件!#REF!,MATCH("标准值",坦克部件!#REF!,0),FALSE)+VLOOKUP($AN257,坦克部件!#REF!,MATCH("标准值",坦克部件!#REF!,0),FALSE))*2</f>
        <v>#REF!</v>
      </c>
      <c r="AW257" s="372" t="e">
        <f ca="1">(VLOOKUP($AM257,坦克部件!#REF!,MATCH("标准值",坦克部件!#REF!,0),FALSE)+VLOOKUP($AN257,坦克部件!#REF!,MATCH("标准值",坦克部件!#REF!,0),FALSE))*2</f>
        <v>#REF!</v>
      </c>
      <c r="AX257" s="372" t="e">
        <f ca="1">VLOOKUP($AK257,坦克属性统计!$B$3:$AY$33,MATCH(AX$3,坦克属性统计!$B$3:$AY$3,0),FALSE)</f>
        <v>#REF!</v>
      </c>
      <c r="AY257" s="372" t="e">
        <f t="shared" ca="1" si="159"/>
        <v>#REF!</v>
      </c>
      <c r="AZ257" s="372" t="e">
        <f t="shared" ca="1" si="159"/>
        <v>#REF!</v>
      </c>
      <c r="BA257" s="372" t="e">
        <f t="shared" ca="1" si="159"/>
        <v>#REF!</v>
      </c>
      <c r="BB257" s="356" t="e">
        <f t="shared" ca="1" si="135"/>
        <v>#REF!</v>
      </c>
      <c r="BC257" s="356" t="e">
        <f ca="1">VLOOKUP(AK257,坦克个性化设定!$B$18:$E$48,4,FALSE)</f>
        <v>#REF!</v>
      </c>
      <c r="BD257" s="357" t="e">
        <f t="shared" ca="1" si="142"/>
        <v>#REF!</v>
      </c>
      <c r="BF257" s="357" t="str">
        <f t="shared" ca="1" si="136"/>
        <v/>
      </c>
      <c r="BG257" s="372" t="str">
        <f ca="1">IFERROR(VLOOKUP(BF257,坦克个性化设定!$B$18:$F$48,5,FALSE),"")</f>
        <v/>
      </c>
      <c r="BH257" s="372" t="e">
        <f t="shared" ca="1" si="143"/>
        <v>#REF!</v>
      </c>
      <c r="BI257" s="372" t="e">
        <f t="shared" ca="1" si="144"/>
        <v>#REF!</v>
      </c>
      <c r="BJ257" s="364" t="str">
        <f t="shared" ca="1" si="137"/>
        <v>NULL</v>
      </c>
      <c r="BK257" s="372" t="e">
        <f ca="1">VLOOKUP($BF257&amp;IF($BJ257="NULL",0,$BJ257),所有坦克升星属性,MATCH(BK$3,所有坦克升星属性标头,0),FALSE)+ROUND(BP257/VLOOKUP($BF257,坦克部件!#REF!,4,FALSE)*VLOOKUP($BF257&amp;0,所有坦克升星属性,MATCH(BK$3,所有坦克升星属性标头,0),FALSE),0)</f>
        <v>#N/A</v>
      </c>
      <c r="BL257" s="372" t="e">
        <f ca="1">VLOOKUP($BF257&amp;IF($BJ257="NULL",0,$BJ257),所有坦克升星属性,MATCH(BL$3,所有坦克升星属性标头,0),FALSE)+ROUND(BQ257/VLOOKUP($BF257,坦克部件!#REF!,4,FALSE)*VLOOKUP($BF257&amp;0,所有坦克升星属性,MATCH(BL$3,所有坦克升星属性标头,0),FALSE),0)</f>
        <v>#N/A</v>
      </c>
      <c r="BM257" s="372" t="e">
        <f t="shared" ca="1" si="160"/>
        <v>#N/A</v>
      </c>
      <c r="BN257" s="372" t="e">
        <f t="shared" ca="1" si="160"/>
        <v>#N/A</v>
      </c>
      <c r="BO257" s="372" t="e">
        <f ca="1">VLOOKUP($BF257&amp;IF($BJ257="NULL",0,$BJ257),所有坦克升星属性,MATCH(BO$3,所有坦克升星属性标头,0),FALSE)+ROUND(BR257/VLOOKUP($BF257,坦克部件!#REF!,4,FALSE)*VLOOKUP($BF257&amp;0,所有坦克升星属性,MATCH(BO$3,所有坦克升星属性标头,0),FALSE),0)</f>
        <v>#N/A</v>
      </c>
      <c r="BP257" s="372" t="e">
        <f ca="1">(VLOOKUP($BH257,坦克部件!#REF!,MATCH("标准值",坦克部件!#REF!,0),FALSE)+VLOOKUP($BI257,坦克部件!#REF!,MATCH("标准值",坦克部件!#REF!,0),FALSE))*2</f>
        <v>#REF!</v>
      </c>
      <c r="BQ257" s="372" t="e">
        <f ca="1">(VLOOKUP($BH257,坦克部件!#REF!,MATCH("标准值",坦克部件!#REF!,0),FALSE)+VLOOKUP($BI257,坦克部件!#REF!,MATCH("标准值",坦克部件!#REF!,0),FALSE))*2</f>
        <v>#REF!</v>
      </c>
      <c r="BR257" s="372" t="e">
        <f ca="1">(VLOOKUP($BH257,坦克部件!#REF!,MATCH("标准值",坦克部件!#REF!,0),FALSE)+VLOOKUP($BI257,坦克部件!#REF!,MATCH("标准值",坦克部件!#REF!,0),FALSE))*2</f>
        <v>#REF!</v>
      </c>
      <c r="BS257" s="372" t="e">
        <f ca="1">VLOOKUP($BF257,坦克属性统计!$B$3:$AY$33,MATCH(BS$3,坦克属性统计!$B$3:$AY$3,0),FALSE)</f>
        <v>#N/A</v>
      </c>
      <c r="BT257" s="372" t="e">
        <f t="shared" ca="1" si="161"/>
        <v>#N/A</v>
      </c>
      <c r="BU257" s="372" t="e">
        <f t="shared" ca="1" si="161"/>
        <v>#N/A</v>
      </c>
      <c r="BV257" s="372" t="e">
        <f t="shared" ca="1" si="161"/>
        <v>#N/A</v>
      </c>
      <c r="BW257" s="356">
        <f t="shared" ca="1" si="138"/>
        <v>0</v>
      </c>
      <c r="BX257" s="356" t="e">
        <f ca="1">VLOOKUP(BF257,坦克个性化设定!$B$18:$E$48,4,FALSE)</f>
        <v>#N/A</v>
      </c>
      <c r="BY257" s="357" t="e">
        <f t="shared" ca="1" si="145"/>
        <v>#N/A</v>
      </c>
    </row>
    <row r="258" spans="15:77" x14ac:dyDescent="0.35">
      <c r="O258" s="365">
        <v>255</v>
      </c>
      <c r="P258" s="360" t="e">
        <f t="shared" ca="1" si="152"/>
        <v>#REF!</v>
      </c>
      <c r="Q258" s="360" t="e">
        <f ca="1">ROUND(MIN((BD258-VLOOKUP(R258,$B$22:$F$46,2,FALSE))/(VLOOKUP(R258,$B$22:$F$46,3,FALSE)-VLOOKUP(R258,$B$22:$F$46,2,FALSE)),1)*((VLOOKUP(R258,$B$22:$F$46,4,FALSE)*(AG258/(AG258+VLOOKUP(P258,$D$49:$F$123,3,TRUE)))+VLOOKUP(R258,$B$22:$F$46,5,FALSE)*(1-AG258/(AG258+VLOOKUP(P258,$D$49:$F$123,3,TRUE))))/2)*游戏时长规划!$C$4,0)</f>
        <v>#REF!</v>
      </c>
      <c r="R258" s="360" t="e">
        <f t="shared" ca="1" si="125"/>
        <v>#REF!</v>
      </c>
      <c r="S258" s="360" t="e">
        <f t="shared" ca="1" si="146"/>
        <v>#REF!</v>
      </c>
      <c r="T258" s="360" t="e">
        <f t="shared" ca="1" si="153"/>
        <v>#REF!</v>
      </c>
      <c r="U258" s="370" t="e">
        <f t="shared" ca="1" si="126"/>
        <v>#REF!</v>
      </c>
      <c r="V258" s="363" t="e">
        <f t="shared" ca="1" si="147"/>
        <v>#REF!</v>
      </c>
      <c r="W258" s="360" t="e">
        <f t="shared" ca="1" si="127"/>
        <v>#REF!</v>
      </c>
      <c r="X258" s="81" t="e">
        <f t="shared" ca="1" si="139"/>
        <v>#REF!</v>
      </c>
      <c r="Y258" s="360" t="str">
        <f t="shared" ca="1" si="128"/>
        <v>NULL</v>
      </c>
      <c r="Z258" s="375" t="e">
        <f t="shared" ca="1" si="140"/>
        <v>#REF!</v>
      </c>
      <c r="AA258" s="360">
        <f ca="1">IFERROR(VLOOKUP(IF(V258="T1低",游戏时长规划!$C$67+Z258,Z258),INDIRECT(V258&amp;"星级"),2,TRUE),0)</f>
        <v>0</v>
      </c>
      <c r="AB258" s="375" t="e">
        <f t="shared" ca="1" si="129"/>
        <v>#REF!</v>
      </c>
      <c r="AC258" s="375">
        <f ca="1">($D$14+$D$17)*$L$4/坦克部件养成!$C$2+AC257-IFERROR(IF(RIGHT(AD257,3)*1&gt;RIGHT(VLOOKUP(AC257,INDIRECT(LEFT(AD256,2)&amp;"部件升阶"),5,TRUE),3)*1,VLOOKUP(AD256,INDIRECT(LEFT(AD256,2)&amp;"部件升阶消耗"),2,FALSE),0),0)</f>
        <v>3017.5000000000073</v>
      </c>
      <c r="AD258" s="360" t="e">
        <f t="shared" ca="1" si="130"/>
        <v>#REF!</v>
      </c>
      <c r="AE258" s="375" t="e">
        <f ca="1">$D$15*$L$4/坦克部件养成!$C$2+AE257-IF(LEFT(AD258,2)&lt;&gt;LEFT(AD257,2),VLOOKUP(AF257,INDIRECT(LEFT(AD257,2)&amp;"部件升级消耗"),5,FALSE),0)</f>
        <v>#REF!</v>
      </c>
      <c r="AF258" s="360" t="e">
        <f ca="1">MIN(VLOOKUP(AE258,INDIRECT(LEFT(AD258,2)&amp;"部件升级"),2,TRUE),VLOOKUP(LEFT(AD258,2),坦克部件养成!#REF!,6,FALSE))</f>
        <v>#REF!</v>
      </c>
      <c r="AG258" s="378" t="e">
        <f ca="1">MAX(BD$4:BD258)</f>
        <v>#REF!</v>
      </c>
      <c r="AH258" s="378" t="str">
        <f t="shared" ca="1" si="131"/>
        <v/>
      </c>
      <c r="AI258" s="378">
        <f ca="1">IF(Y258="NULL",0,MAX(BY$4:BY258))</f>
        <v>0</v>
      </c>
      <c r="AK258" s="364" t="e">
        <f t="shared" ca="1" si="132"/>
        <v>#REF!</v>
      </c>
      <c r="AL258" s="364" t="e">
        <f ca="1">VLOOKUP(AK258,坦克个性化设定!$B$18:$F$48,5,FALSE)</f>
        <v>#REF!</v>
      </c>
      <c r="AM258" s="372" t="e">
        <f t="shared" ca="1" si="133"/>
        <v>#REF!</v>
      </c>
      <c r="AN258" s="372" t="e">
        <f t="shared" ca="1" si="141"/>
        <v>#REF!</v>
      </c>
      <c r="AO258" s="364">
        <f t="shared" ca="1" si="134"/>
        <v>0</v>
      </c>
      <c r="AP258" s="372" t="e">
        <f ca="1">VLOOKUP($AK258&amp;$AO258,所有坦克升星属性,MATCH(AP$3,所有坦克升星属性标头,0),FALSE)+ROUND(AU258/VLOOKUP($AK258,坦克部件!#REF!,4,FALSE)*VLOOKUP($AK258&amp;0,所有坦克升星属性,MATCH(AP$3,所有坦克升星属性标头,0),FALSE),0)</f>
        <v>#REF!</v>
      </c>
      <c r="AQ258" s="372" t="e">
        <f ca="1">VLOOKUP($AK258&amp;$AO258,所有坦克升星属性,MATCH(AQ$3,所有坦克升星属性标头,0),FALSE)+ROUND(AV258/VLOOKUP($AK258,坦克部件!#REF!,4,FALSE)*VLOOKUP($AK258&amp;0,所有坦克升星属性,MATCH(AQ$3,所有坦克升星属性标头,0),FALSE),0)</f>
        <v>#REF!</v>
      </c>
      <c r="AR258" s="372" t="e">
        <f t="shared" ca="1" si="158"/>
        <v>#REF!</v>
      </c>
      <c r="AS258" s="372" t="e">
        <f t="shared" ca="1" si="158"/>
        <v>#REF!</v>
      </c>
      <c r="AT258" s="372" t="e">
        <f ca="1">VLOOKUP($AK258&amp;$AO258,所有坦克升星属性,MATCH(AT$3,所有坦克升星属性标头,0),FALSE)+ROUND(AW258/VLOOKUP($AK258,坦克部件!#REF!,4,FALSE)*VLOOKUP($AK258&amp;0,所有坦克升星属性,MATCH(AT$3,所有坦克升星属性标头,0),FALSE),0)</f>
        <v>#REF!</v>
      </c>
      <c r="AU258" s="372" t="e">
        <f ca="1">(VLOOKUP($AM258,坦克部件!#REF!,MATCH("标准值",坦克部件!#REF!,0),FALSE)+VLOOKUP($AN258,坦克部件!#REF!,MATCH("标准值",坦克部件!#REF!,0),FALSE))*2</f>
        <v>#REF!</v>
      </c>
      <c r="AV258" s="372" t="e">
        <f ca="1">(VLOOKUP($AM258,坦克部件!#REF!,MATCH("标准值",坦克部件!#REF!,0),FALSE)+VLOOKUP($AN258,坦克部件!#REF!,MATCH("标准值",坦克部件!#REF!,0),FALSE))*2</f>
        <v>#REF!</v>
      </c>
      <c r="AW258" s="372" t="e">
        <f ca="1">(VLOOKUP($AM258,坦克部件!#REF!,MATCH("标准值",坦克部件!#REF!,0),FALSE)+VLOOKUP($AN258,坦克部件!#REF!,MATCH("标准值",坦克部件!#REF!,0),FALSE))*2</f>
        <v>#REF!</v>
      </c>
      <c r="AX258" s="372" t="e">
        <f ca="1">VLOOKUP($AK258,坦克属性统计!$B$3:$AY$33,MATCH(AX$3,坦克属性统计!$B$3:$AY$3,0),FALSE)</f>
        <v>#REF!</v>
      </c>
      <c r="AY258" s="372" t="e">
        <f t="shared" ca="1" si="159"/>
        <v>#REF!</v>
      </c>
      <c r="AZ258" s="372" t="e">
        <f t="shared" ca="1" si="159"/>
        <v>#REF!</v>
      </c>
      <c r="BA258" s="372" t="e">
        <f t="shared" ca="1" si="159"/>
        <v>#REF!</v>
      </c>
      <c r="BB258" s="356" t="e">
        <f t="shared" ca="1" si="135"/>
        <v>#REF!</v>
      </c>
      <c r="BC258" s="356" t="e">
        <f ca="1">VLOOKUP(AK258,坦克个性化设定!$B$18:$E$48,4,FALSE)</f>
        <v>#REF!</v>
      </c>
      <c r="BD258" s="357" t="e">
        <f t="shared" ca="1" si="142"/>
        <v>#REF!</v>
      </c>
      <c r="BF258" s="357" t="str">
        <f t="shared" ca="1" si="136"/>
        <v/>
      </c>
      <c r="BG258" s="372" t="str">
        <f ca="1">IFERROR(VLOOKUP(BF258,坦克个性化设定!$B$18:$F$48,5,FALSE),"")</f>
        <v/>
      </c>
      <c r="BH258" s="372" t="e">
        <f t="shared" ca="1" si="143"/>
        <v>#REF!</v>
      </c>
      <c r="BI258" s="372" t="e">
        <f t="shared" ca="1" si="144"/>
        <v>#REF!</v>
      </c>
      <c r="BJ258" s="364" t="str">
        <f t="shared" ca="1" si="137"/>
        <v>NULL</v>
      </c>
      <c r="BK258" s="372" t="e">
        <f ca="1">VLOOKUP($BF258&amp;IF($BJ258="NULL",0,$BJ258),所有坦克升星属性,MATCH(BK$3,所有坦克升星属性标头,0),FALSE)+ROUND(BP258/VLOOKUP($BF258,坦克部件!#REF!,4,FALSE)*VLOOKUP($BF258&amp;0,所有坦克升星属性,MATCH(BK$3,所有坦克升星属性标头,0),FALSE),0)</f>
        <v>#N/A</v>
      </c>
      <c r="BL258" s="372" t="e">
        <f ca="1">VLOOKUP($BF258&amp;IF($BJ258="NULL",0,$BJ258),所有坦克升星属性,MATCH(BL$3,所有坦克升星属性标头,0),FALSE)+ROUND(BQ258/VLOOKUP($BF258,坦克部件!#REF!,4,FALSE)*VLOOKUP($BF258&amp;0,所有坦克升星属性,MATCH(BL$3,所有坦克升星属性标头,0),FALSE),0)</f>
        <v>#N/A</v>
      </c>
      <c r="BM258" s="372" t="e">
        <f t="shared" ca="1" si="160"/>
        <v>#N/A</v>
      </c>
      <c r="BN258" s="372" t="e">
        <f t="shared" ca="1" si="160"/>
        <v>#N/A</v>
      </c>
      <c r="BO258" s="372" t="e">
        <f ca="1">VLOOKUP($BF258&amp;IF($BJ258="NULL",0,$BJ258),所有坦克升星属性,MATCH(BO$3,所有坦克升星属性标头,0),FALSE)+ROUND(BR258/VLOOKUP($BF258,坦克部件!#REF!,4,FALSE)*VLOOKUP($BF258&amp;0,所有坦克升星属性,MATCH(BO$3,所有坦克升星属性标头,0),FALSE),0)</f>
        <v>#N/A</v>
      </c>
      <c r="BP258" s="372" t="e">
        <f ca="1">(VLOOKUP($BH258,坦克部件!#REF!,MATCH("标准值",坦克部件!#REF!,0),FALSE)+VLOOKUP($BI258,坦克部件!#REF!,MATCH("标准值",坦克部件!#REF!,0),FALSE))*2</f>
        <v>#REF!</v>
      </c>
      <c r="BQ258" s="372" t="e">
        <f ca="1">(VLOOKUP($BH258,坦克部件!#REF!,MATCH("标准值",坦克部件!#REF!,0),FALSE)+VLOOKUP($BI258,坦克部件!#REF!,MATCH("标准值",坦克部件!#REF!,0),FALSE))*2</f>
        <v>#REF!</v>
      </c>
      <c r="BR258" s="372" t="e">
        <f ca="1">(VLOOKUP($BH258,坦克部件!#REF!,MATCH("标准值",坦克部件!#REF!,0),FALSE)+VLOOKUP($BI258,坦克部件!#REF!,MATCH("标准值",坦克部件!#REF!,0),FALSE))*2</f>
        <v>#REF!</v>
      </c>
      <c r="BS258" s="372" t="e">
        <f ca="1">VLOOKUP($BF258,坦克属性统计!$B$3:$AY$33,MATCH(BS$3,坦克属性统计!$B$3:$AY$3,0),FALSE)</f>
        <v>#N/A</v>
      </c>
      <c r="BT258" s="372" t="e">
        <f t="shared" ca="1" si="161"/>
        <v>#N/A</v>
      </c>
      <c r="BU258" s="372" t="e">
        <f t="shared" ca="1" si="161"/>
        <v>#N/A</v>
      </c>
      <c r="BV258" s="372" t="e">
        <f t="shared" ca="1" si="161"/>
        <v>#N/A</v>
      </c>
      <c r="BW258" s="356">
        <f t="shared" ca="1" si="138"/>
        <v>0</v>
      </c>
      <c r="BX258" s="356" t="e">
        <f ca="1">VLOOKUP(BF258,坦克个性化设定!$B$18:$E$48,4,FALSE)</f>
        <v>#N/A</v>
      </c>
      <c r="BY258" s="357" t="e">
        <f t="shared" ca="1" si="145"/>
        <v>#N/A</v>
      </c>
    </row>
    <row r="259" spans="15:77" x14ac:dyDescent="0.35">
      <c r="O259" s="365">
        <v>256</v>
      </c>
      <c r="P259" s="360" t="e">
        <f t="shared" ca="1" si="152"/>
        <v>#REF!</v>
      </c>
      <c r="Q259" s="360" t="e">
        <f ca="1">ROUND(MIN((BD259-VLOOKUP(R259,$B$22:$F$46,2,FALSE))/(VLOOKUP(R259,$B$22:$F$46,3,FALSE)-VLOOKUP(R259,$B$22:$F$46,2,FALSE)),1)*((VLOOKUP(R259,$B$22:$F$46,4,FALSE)*(AG259/(AG259+VLOOKUP(P259,$D$49:$F$123,3,TRUE)))+VLOOKUP(R259,$B$22:$F$46,5,FALSE)*(1-AG259/(AG259+VLOOKUP(P259,$D$49:$F$123,3,TRUE))))/2)*游戏时长规划!$C$4,0)</f>
        <v>#REF!</v>
      </c>
      <c r="R259" s="360" t="e">
        <f t="shared" ca="1" si="125"/>
        <v>#REF!</v>
      </c>
      <c r="S259" s="360" t="e">
        <f t="shared" ca="1" si="146"/>
        <v>#REF!</v>
      </c>
      <c r="T259" s="360" t="e">
        <f t="shared" ca="1" si="153"/>
        <v>#REF!</v>
      </c>
      <c r="U259" s="370" t="e">
        <f t="shared" ca="1" si="126"/>
        <v>#REF!</v>
      </c>
      <c r="V259" s="363" t="e">
        <f t="shared" ca="1" si="147"/>
        <v>#REF!</v>
      </c>
      <c r="W259" s="360" t="e">
        <f t="shared" ca="1" si="127"/>
        <v>#REF!</v>
      </c>
      <c r="X259" s="81" t="e">
        <f t="shared" ca="1" si="139"/>
        <v>#REF!</v>
      </c>
      <c r="Y259" s="360" t="str">
        <f t="shared" ca="1" si="128"/>
        <v>NULL</v>
      </c>
      <c r="Z259" s="375" t="e">
        <f t="shared" ca="1" si="140"/>
        <v>#REF!</v>
      </c>
      <c r="AA259" s="360">
        <f ca="1">IFERROR(VLOOKUP(IF(V259="T1低",游戏时长规划!$C$67+Z259,Z259),INDIRECT(V259&amp;"星级"),2,TRUE),0)</f>
        <v>0</v>
      </c>
      <c r="AB259" s="375" t="e">
        <f t="shared" ca="1" si="129"/>
        <v>#REF!</v>
      </c>
      <c r="AC259" s="375">
        <f ca="1">($D$14+$D$17)*$L$4/坦克部件养成!$C$2+AC258-IFERROR(IF(RIGHT(AD258,3)*1&gt;RIGHT(VLOOKUP(AC258,INDIRECT(LEFT(AD257,2)&amp;"部件升阶"),5,TRUE),3)*1,VLOOKUP(AD257,INDIRECT(LEFT(AD257,2)&amp;"部件升阶消耗"),2,FALSE),0),0)</f>
        <v>3029.3333333333408</v>
      </c>
      <c r="AD259" s="360" t="e">
        <f t="shared" ca="1" si="130"/>
        <v>#REF!</v>
      </c>
      <c r="AE259" s="375" t="e">
        <f ca="1">$D$15*$L$4/坦克部件养成!$C$2+AE258-IF(LEFT(AD259,2)&lt;&gt;LEFT(AD258,2),VLOOKUP(AF258,INDIRECT(LEFT(AD258,2)&amp;"部件升级消耗"),5,FALSE),0)</f>
        <v>#REF!</v>
      </c>
      <c r="AF259" s="360" t="e">
        <f ca="1">MIN(VLOOKUP(AE259,INDIRECT(LEFT(AD259,2)&amp;"部件升级"),2,TRUE),VLOOKUP(LEFT(AD259,2),坦克部件养成!#REF!,6,FALSE))</f>
        <v>#REF!</v>
      </c>
      <c r="AG259" s="378" t="e">
        <f ca="1">MAX(BD$4:BD259)</f>
        <v>#REF!</v>
      </c>
      <c r="AH259" s="378" t="str">
        <f t="shared" ca="1" si="131"/>
        <v/>
      </c>
      <c r="AI259" s="378">
        <f ca="1">IF(Y259="NULL",0,MAX(BY$4:BY259))</f>
        <v>0</v>
      </c>
      <c r="AK259" s="364" t="e">
        <f t="shared" ca="1" si="132"/>
        <v>#REF!</v>
      </c>
      <c r="AL259" s="364" t="e">
        <f ca="1">VLOOKUP(AK259,坦克个性化设定!$B$18:$F$48,5,FALSE)</f>
        <v>#REF!</v>
      </c>
      <c r="AM259" s="372" t="e">
        <f t="shared" ca="1" si="133"/>
        <v>#REF!</v>
      </c>
      <c r="AN259" s="372" t="e">
        <f t="shared" ca="1" si="141"/>
        <v>#REF!</v>
      </c>
      <c r="AO259" s="364">
        <f t="shared" ca="1" si="134"/>
        <v>0</v>
      </c>
      <c r="AP259" s="372" t="e">
        <f ca="1">VLOOKUP($AK259&amp;$AO259,所有坦克升星属性,MATCH(AP$3,所有坦克升星属性标头,0),FALSE)+ROUND(AU259/VLOOKUP($AK259,坦克部件!#REF!,4,FALSE)*VLOOKUP($AK259&amp;0,所有坦克升星属性,MATCH(AP$3,所有坦克升星属性标头,0),FALSE),0)</f>
        <v>#REF!</v>
      </c>
      <c r="AQ259" s="372" t="e">
        <f ca="1">VLOOKUP($AK259&amp;$AO259,所有坦克升星属性,MATCH(AQ$3,所有坦克升星属性标头,0),FALSE)+ROUND(AV259/VLOOKUP($AK259,坦克部件!#REF!,4,FALSE)*VLOOKUP($AK259&amp;0,所有坦克升星属性,MATCH(AQ$3,所有坦克升星属性标头,0),FALSE),0)</f>
        <v>#REF!</v>
      </c>
      <c r="AR259" s="372" t="e">
        <f t="shared" ca="1" si="158"/>
        <v>#REF!</v>
      </c>
      <c r="AS259" s="372" t="e">
        <f t="shared" ca="1" si="158"/>
        <v>#REF!</v>
      </c>
      <c r="AT259" s="372" t="e">
        <f ca="1">VLOOKUP($AK259&amp;$AO259,所有坦克升星属性,MATCH(AT$3,所有坦克升星属性标头,0),FALSE)+ROUND(AW259/VLOOKUP($AK259,坦克部件!#REF!,4,FALSE)*VLOOKUP($AK259&amp;0,所有坦克升星属性,MATCH(AT$3,所有坦克升星属性标头,0),FALSE),0)</f>
        <v>#REF!</v>
      </c>
      <c r="AU259" s="372" t="e">
        <f ca="1">(VLOOKUP($AM259,坦克部件!#REF!,MATCH("标准值",坦克部件!#REF!,0),FALSE)+VLOOKUP($AN259,坦克部件!#REF!,MATCH("标准值",坦克部件!#REF!,0),FALSE))*2</f>
        <v>#REF!</v>
      </c>
      <c r="AV259" s="372" t="e">
        <f ca="1">(VLOOKUP($AM259,坦克部件!#REF!,MATCH("标准值",坦克部件!#REF!,0),FALSE)+VLOOKUP($AN259,坦克部件!#REF!,MATCH("标准值",坦克部件!#REF!,0),FALSE))*2</f>
        <v>#REF!</v>
      </c>
      <c r="AW259" s="372" t="e">
        <f ca="1">(VLOOKUP($AM259,坦克部件!#REF!,MATCH("标准值",坦克部件!#REF!,0),FALSE)+VLOOKUP($AN259,坦克部件!#REF!,MATCH("标准值",坦克部件!#REF!,0),FALSE))*2</f>
        <v>#REF!</v>
      </c>
      <c r="AX259" s="372" t="e">
        <f ca="1">VLOOKUP($AK259,坦克属性统计!$B$3:$AY$33,MATCH(AX$3,坦克属性统计!$B$3:$AY$3,0),FALSE)</f>
        <v>#REF!</v>
      </c>
      <c r="AY259" s="372" t="e">
        <f t="shared" ca="1" si="159"/>
        <v>#REF!</v>
      </c>
      <c r="AZ259" s="372" t="e">
        <f t="shared" ca="1" si="159"/>
        <v>#REF!</v>
      </c>
      <c r="BA259" s="372" t="e">
        <f t="shared" ca="1" si="159"/>
        <v>#REF!</v>
      </c>
      <c r="BB259" s="356" t="e">
        <f t="shared" ca="1" si="135"/>
        <v>#REF!</v>
      </c>
      <c r="BC259" s="356" t="e">
        <f ca="1">VLOOKUP(AK259,坦克个性化设定!$B$18:$E$48,4,FALSE)</f>
        <v>#REF!</v>
      </c>
      <c r="BD259" s="357" t="e">
        <f t="shared" ca="1" si="142"/>
        <v>#REF!</v>
      </c>
      <c r="BF259" s="357" t="str">
        <f t="shared" ca="1" si="136"/>
        <v/>
      </c>
      <c r="BG259" s="372" t="str">
        <f ca="1">IFERROR(VLOOKUP(BF259,坦克个性化设定!$B$18:$F$48,5,FALSE),"")</f>
        <v/>
      </c>
      <c r="BH259" s="372" t="e">
        <f t="shared" ca="1" si="143"/>
        <v>#REF!</v>
      </c>
      <c r="BI259" s="372" t="e">
        <f t="shared" ca="1" si="144"/>
        <v>#REF!</v>
      </c>
      <c r="BJ259" s="364" t="str">
        <f t="shared" ca="1" si="137"/>
        <v>NULL</v>
      </c>
      <c r="BK259" s="372" t="e">
        <f ca="1">VLOOKUP($BF259&amp;IF($BJ259="NULL",0,$BJ259),所有坦克升星属性,MATCH(BK$3,所有坦克升星属性标头,0),FALSE)+ROUND(BP259/VLOOKUP($BF259,坦克部件!#REF!,4,FALSE)*VLOOKUP($BF259&amp;0,所有坦克升星属性,MATCH(BK$3,所有坦克升星属性标头,0),FALSE),0)</f>
        <v>#N/A</v>
      </c>
      <c r="BL259" s="372" t="e">
        <f ca="1">VLOOKUP($BF259&amp;IF($BJ259="NULL",0,$BJ259),所有坦克升星属性,MATCH(BL$3,所有坦克升星属性标头,0),FALSE)+ROUND(BQ259/VLOOKUP($BF259,坦克部件!#REF!,4,FALSE)*VLOOKUP($BF259&amp;0,所有坦克升星属性,MATCH(BL$3,所有坦克升星属性标头,0),FALSE),0)</f>
        <v>#N/A</v>
      </c>
      <c r="BM259" s="372" t="e">
        <f t="shared" ca="1" si="160"/>
        <v>#N/A</v>
      </c>
      <c r="BN259" s="372" t="e">
        <f t="shared" ca="1" si="160"/>
        <v>#N/A</v>
      </c>
      <c r="BO259" s="372" t="e">
        <f ca="1">VLOOKUP($BF259&amp;IF($BJ259="NULL",0,$BJ259),所有坦克升星属性,MATCH(BO$3,所有坦克升星属性标头,0),FALSE)+ROUND(BR259/VLOOKUP($BF259,坦克部件!#REF!,4,FALSE)*VLOOKUP($BF259&amp;0,所有坦克升星属性,MATCH(BO$3,所有坦克升星属性标头,0),FALSE),0)</f>
        <v>#N/A</v>
      </c>
      <c r="BP259" s="372" t="e">
        <f ca="1">(VLOOKUP($BH259,坦克部件!#REF!,MATCH("标准值",坦克部件!#REF!,0),FALSE)+VLOOKUP($BI259,坦克部件!#REF!,MATCH("标准值",坦克部件!#REF!,0),FALSE))*2</f>
        <v>#REF!</v>
      </c>
      <c r="BQ259" s="372" t="e">
        <f ca="1">(VLOOKUP($BH259,坦克部件!#REF!,MATCH("标准值",坦克部件!#REF!,0),FALSE)+VLOOKUP($BI259,坦克部件!#REF!,MATCH("标准值",坦克部件!#REF!,0),FALSE))*2</f>
        <v>#REF!</v>
      </c>
      <c r="BR259" s="372" t="e">
        <f ca="1">(VLOOKUP($BH259,坦克部件!#REF!,MATCH("标准值",坦克部件!#REF!,0),FALSE)+VLOOKUP($BI259,坦克部件!#REF!,MATCH("标准值",坦克部件!#REF!,0),FALSE))*2</f>
        <v>#REF!</v>
      </c>
      <c r="BS259" s="372" t="e">
        <f ca="1">VLOOKUP($BF259,坦克属性统计!$B$3:$AY$33,MATCH(BS$3,坦克属性统计!$B$3:$AY$3,0),FALSE)</f>
        <v>#N/A</v>
      </c>
      <c r="BT259" s="372" t="e">
        <f t="shared" ca="1" si="161"/>
        <v>#N/A</v>
      </c>
      <c r="BU259" s="372" t="e">
        <f t="shared" ca="1" si="161"/>
        <v>#N/A</v>
      </c>
      <c r="BV259" s="372" t="e">
        <f t="shared" ca="1" si="161"/>
        <v>#N/A</v>
      </c>
      <c r="BW259" s="356">
        <f t="shared" ca="1" si="138"/>
        <v>0</v>
      </c>
      <c r="BX259" s="356" t="e">
        <f ca="1">VLOOKUP(BF259,坦克个性化设定!$B$18:$E$48,4,FALSE)</f>
        <v>#N/A</v>
      </c>
      <c r="BY259" s="357" t="e">
        <f t="shared" ca="1" si="145"/>
        <v>#N/A</v>
      </c>
    </row>
    <row r="260" spans="15:77" x14ac:dyDescent="0.35">
      <c r="O260" s="365">
        <v>257</v>
      </c>
      <c r="P260" s="360" t="e">
        <f t="shared" ca="1" si="152"/>
        <v>#REF!</v>
      </c>
      <c r="Q260" s="360" t="e">
        <f ca="1">ROUND(MIN((BD260-VLOOKUP(R260,$B$22:$F$46,2,FALSE))/(VLOOKUP(R260,$B$22:$F$46,3,FALSE)-VLOOKUP(R260,$B$22:$F$46,2,FALSE)),1)*((VLOOKUP(R260,$B$22:$F$46,4,FALSE)*(AG260/(AG260+VLOOKUP(P260,$D$49:$F$123,3,TRUE)))+VLOOKUP(R260,$B$22:$F$46,5,FALSE)*(1-AG260/(AG260+VLOOKUP(P260,$D$49:$F$123,3,TRUE))))/2)*游戏时长规划!$C$4,0)</f>
        <v>#REF!</v>
      </c>
      <c r="R260" s="360" t="e">
        <f t="shared" ref="R260:R277" ca="1" si="162">VLOOKUP(P260,$D$49:$E$112,2,TRUE)</f>
        <v>#REF!</v>
      </c>
      <c r="S260" s="360" t="e">
        <f t="shared" ca="1" si="146"/>
        <v>#REF!</v>
      </c>
      <c r="T260" s="360" t="e">
        <f t="shared" ca="1" si="153"/>
        <v>#REF!</v>
      </c>
      <c r="U260" s="370" t="e">
        <f t="shared" ref="U260:U277" ca="1" si="163">IF(AI259&gt;=AG259,IFERROR(VLOOKUP(W259,$H$79:$K$89,2,FALSE),"雷诺FT"),IF(O260=1,"雷诺FT",U259))</f>
        <v>#REF!</v>
      </c>
      <c r="V260" s="363" t="e">
        <f t="shared" ca="1" si="147"/>
        <v>#REF!</v>
      </c>
      <c r="W260" s="360" t="e">
        <f t="shared" ref="W260:W277" ca="1" si="164">VLOOKUP(V260,$H$31:$J$43,3,FALSE)</f>
        <v>#REF!</v>
      </c>
      <c r="X260" s="81" t="e">
        <f t="shared" ca="1" si="139"/>
        <v>#REF!</v>
      </c>
      <c r="Y260" s="360" t="str">
        <f t="shared" ref="Y260:Y277" ca="1" si="165">IFERROR(VLOOKUP(X260,INDIRECT(W260&amp;"星级"),2,TRUE),"NULL")</f>
        <v>NULL</v>
      </c>
      <c r="Z260" s="375" t="e">
        <f t="shared" ca="1" si="140"/>
        <v>#REF!</v>
      </c>
      <c r="AA260" s="360">
        <f ca="1">IFERROR(VLOOKUP(IF(V260="T1低",游戏时长规划!$C$67+Z260,Z260),INDIRECT(V260&amp;"星级"),2,TRUE),0)</f>
        <v>0</v>
      </c>
      <c r="AB260" s="375" t="e">
        <f t="shared" ref="AB260:AB277" ca="1" si="166">VLOOKUP(R260,$H$16:$K$28,4,FALSE)</f>
        <v>#REF!</v>
      </c>
      <c r="AC260" s="375">
        <f ca="1">($D$14+$D$17)*$L$4/坦克部件养成!$C$2+AC259-IFERROR(IF(RIGHT(AD259,3)*1&gt;RIGHT(VLOOKUP(AC259,INDIRECT(LEFT(AD258,2)&amp;"部件升阶"),5,TRUE),3)*1,VLOOKUP(AD258,INDIRECT(LEFT(AD258,2)&amp;"部件升阶消耗"),2,FALSE),0),0)</f>
        <v>3041.1666666666742</v>
      </c>
      <c r="AD260" s="360" t="e">
        <f t="shared" ref="AD260:AD277" ca="1" si="167">IF(AB260="T1",IFERROR(VLOOKUP(AC260,T1部件升阶,5,TRUE),"T111"),"T"&amp;MAX(RIGHT(IFERROR(VLOOKUP(AC260-VLOOKUP(AD259,INDIRECT(LEFT(AD259,2)&amp;"部件升阶消耗"),2,FALSE),INDIRECT(AB260&amp;"部件升阶"),5,TRUE),"T000"),3)*1,RIGHT(VLOOKUP(AC260,INDIRECT(LEFT(AD259,2)&amp;"部件升阶"),5,TRUE),3)*1))</f>
        <v>#REF!</v>
      </c>
      <c r="AE260" s="375" t="e">
        <f ca="1">$D$15*$L$4/坦克部件养成!$C$2+AE259-IF(LEFT(AD260,2)&lt;&gt;LEFT(AD259,2),VLOOKUP(AF259,INDIRECT(LEFT(AD259,2)&amp;"部件升级消耗"),5,FALSE),0)</f>
        <v>#REF!</v>
      </c>
      <c r="AF260" s="360" t="e">
        <f ca="1">MIN(VLOOKUP(AE260,INDIRECT(LEFT(AD260,2)&amp;"部件升级"),2,TRUE),VLOOKUP(LEFT(AD260,2),坦克部件养成!#REF!,6,FALSE))</f>
        <v>#REF!</v>
      </c>
      <c r="AG260" s="378" t="e">
        <f ca="1">MAX(BD$4:BD260)</f>
        <v>#REF!</v>
      </c>
      <c r="AH260" s="378" t="str">
        <f t="shared" ref="AH260:AH277" ca="1" si="168">IFERROR(VLOOKUP(W260,$H$79:$K$89,MATCH(VLOOKUP(U260,$H$46:$M$76,2,FALSE),$H$79:$K$79,0),FALSE),"")</f>
        <v/>
      </c>
      <c r="AI260" s="378">
        <f ca="1">IF(Y260="NULL",0,MAX(BY$4:BY260))</f>
        <v>0</v>
      </c>
      <c r="AK260" s="364" t="e">
        <f t="shared" ref="AK260:AK277" ca="1" si="169">U260</f>
        <v>#REF!</v>
      </c>
      <c r="AL260" s="364" t="e">
        <f ca="1">VLOOKUP(AK260,坦克个性化设定!$B$18:$F$48,5,FALSE)</f>
        <v>#REF!</v>
      </c>
      <c r="AM260" s="372" t="e">
        <f t="shared" ref="AM260:AM277" ca="1" si="170">AF260</f>
        <v>#REF!</v>
      </c>
      <c r="AN260" s="372" t="e">
        <f t="shared" ca="1" si="141"/>
        <v>#REF!</v>
      </c>
      <c r="AO260" s="364">
        <f t="shared" ref="AO260:AO277" ca="1" si="171">AA260</f>
        <v>0</v>
      </c>
      <c r="AP260" s="372" t="e">
        <f ca="1">VLOOKUP($AK260&amp;$AO260,所有坦克升星属性,MATCH(AP$3,所有坦克升星属性标头,0),FALSE)+ROUND(AU260/VLOOKUP($AK260,坦克部件!#REF!,4,FALSE)*VLOOKUP($AK260&amp;0,所有坦克升星属性,MATCH(AP$3,所有坦克升星属性标头,0),FALSE),0)</f>
        <v>#REF!</v>
      </c>
      <c r="AQ260" s="372" t="e">
        <f ca="1">VLOOKUP($AK260&amp;$AO260,所有坦克升星属性,MATCH(AQ$3,所有坦克升星属性标头,0),FALSE)+ROUND(AV260/VLOOKUP($AK260,坦克部件!#REF!,4,FALSE)*VLOOKUP($AK260&amp;0,所有坦克升星属性,MATCH(AQ$3,所有坦克升星属性标头,0),FALSE),0)</f>
        <v>#REF!</v>
      </c>
      <c r="AR260" s="372" t="e">
        <f t="shared" ca="1" si="158"/>
        <v>#REF!</v>
      </c>
      <c r="AS260" s="372" t="e">
        <f t="shared" ca="1" si="158"/>
        <v>#REF!</v>
      </c>
      <c r="AT260" s="372" t="e">
        <f ca="1">VLOOKUP($AK260&amp;$AO260,所有坦克升星属性,MATCH(AT$3,所有坦克升星属性标头,0),FALSE)+ROUND(AW260/VLOOKUP($AK260,坦克部件!#REF!,4,FALSE)*VLOOKUP($AK260&amp;0,所有坦克升星属性,MATCH(AT$3,所有坦克升星属性标头,0),FALSE),0)</f>
        <v>#REF!</v>
      </c>
      <c r="AU260" s="372" t="e">
        <f ca="1">(VLOOKUP($AM260,坦克部件!#REF!,MATCH("标准值",坦克部件!#REF!,0),FALSE)+VLOOKUP($AN260,坦克部件!#REF!,MATCH("标准值",坦克部件!#REF!,0),FALSE))*2</f>
        <v>#REF!</v>
      </c>
      <c r="AV260" s="372" t="e">
        <f ca="1">(VLOOKUP($AM260,坦克部件!#REF!,MATCH("标准值",坦克部件!#REF!,0),FALSE)+VLOOKUP($AN260,坦克部件!#REF!,MATCH("标准值",坦克部件!#REF!,0),FALSE))*2</f>
        <v>#REF!</v>
      </c>
      <c r="AW260" s="372" t="e">
        <f ca="1">(VLOOKUP($AM260,坦克部件!#REF!,MATCH("标准值",坦克部件!#REF!,0),FALSE)+VLOOKUP($AN260,坦克部件!#REF!,MATCH("标准值",坦克部件!#REF!,0),FALSE))*2</f>
        <v>#REF!</v>
      </c>
      <c r="AX260" s="372" t="e">
        <f ca="1">VLOOKUP($AK260,坦克属性统计!$B$3:$AY$33,MATCH(AX$3,坦克属性统计!$B$3:$AY$3,0),FALSE)</f>
        <v>#REF!</v>
      </c>
      <c r="AY260" s="372" t="e">
        <f t="shared" ca="1" si="159"/>
        <v>#REF!</v>
      </c>
      <c r="AZ260" s="372" t="e">
        <f t="shared" ca="1" si="159"/>
        <v>#REF!</v>
      </c>
      <c r="BA260" s="372" t="e">
        <f t="shared" ca="1" si="159"/>
        <v>#REF!</v>
      </c>
      <c r="BB260" s="356" t="e">
        <f t="shared" ref="BB260:BB277" ca="1" si="172">IF(LEN(AL260)=5,(60-(AX260-1)*AY260)/AZ260+AX260,IF(RIGHT(AL260,2)="弹夹",((60-(AX260-1)*AY260)/(BA260+(AX260-1)*AY260)+1)*AX260,60/AZ260+AX260))</f>
        <v>#REF!</v>
      </c>
      <c r="BC260" s="356" t="e">
        <f ca="1">VLOOKUP(AK260,坦克个性化设定!$B$18:$E$48,4,FALSE)</f>
        <v>#REF!</v>
      </c>
      <c r="BD260" s="357" t="e">
        <f t="shared" ca="1" si="142"/>
        <v>#REF!</v>
      </c>
      <c r="BF260" s="357" t="str">
        <f t="shared" ref="BF260:BF277" ca="1" si="173">AH260</f>
        <v/>
      </c>
      <c r="BG260" s="372" t="str">
        <f ca="1">IFERROR(VLOOKUP(BF260,坦克个性化设定!$B$18:$F$48,5,FALSE),"")</f>
        <v/>
      </c>
      <c r="BH260" s="372" t="e">
        <f t="shared" ca="1" si="143"/>
        <v>#REF!</v>
      </c>
      <c r="BI260" s="372" t="e">
        <f t="shared" ca="1" si="144"/>
        <v>#REF!</v>
      </c>
      <c r="BJ260" s="364" t="str">
        <f t="shared" ref="BJ260:BJ277" ca="1" si="174">Y260</f>
        <v>NULL</v>
      </c>
      <c r="BK260" s="372" t="e">
        <f ca="1">VLOOKUP($BF260&amp;IF($BJ260="NULL",0,$BJ260),所有坦克升星属性,MATCH(BK$3,所有坦克升星属性标头,0),FALSE)+ROUND(BP260/VLOOKUP($BF260,坦克部件!#REF!,4,FALSE)*VLOOKUP($BF260&amp;0,所有坦克升星属性,MATCH(BK$3,所有坦克升星属性标头,0),FALSE),0)</f>
        <v>#N/A</v>
      </c>
      <c r="BL260" s="372" t="e">
        <f ca="1">VLOOKUP($BF260&amp;IF($BJ260="NULL",0,$BJ260),所有坦克升星属性,MATCH(BL$3,所有坦克升星属性标头,0),FALSE)+ROUND(BQ260/VLOOKUP($BF260,坦克部件!#REF!,4,FALSE)*VLOOKUP($BF260&amp;0,所有坦克升星属性,MATCH(BL$3,所有坦克升星属性标头,0),FALSE),0)</f>
        <v>#N/A</v>
      </c>
      <c r="BM260" s="372" t="e">
        <f t="shared" ca="1" si="160"/>
        <v>#N/A</v>
      </c>
      <c r="BN260" s="372" t="e">
        <f t="shared" ca="1" si="160"/>
        <v>#N/A</v>
      </c>
      <c r="BO260" s="372" t="e">
        <f ca="1">VLOOKUP($BF260&amp;IF($BJ260="NULL",0,$BJ260),所有坦克升星属性,MATCH(BO$3,所有坦克升星属性标头,0),FALSE)+ROUND(BR260/VLOOKUP($BF260,坦克部件!#REF!,4,FALSE)*VLOOKUP($BF260&amp;0,所有坦克升星属性,MATCH(BO$3,所有坦克升星属性标头,0),FALSE),0)</f>
        <v>#N/A</v>
      </c>
      <c r="BP260" s="372" t="e">
        <f ca="1">(VLOOKUP($BH260,坦克部件!#REF!,MATCH("标准值",坦克部件!#REF!,0),FALSE)+VLOOKUP($BI260,坦克部件!#REF!,MATCH("标准值",坦克部件!#REF!,0),FALSE))*2</f>
        <v>#REF!</v>
      </c>
      <c r="BQ260" s="372" t="e">
        <f ca="1">(VLOOKUP($BH260,坦克部件!#REF!,MATCH("标准值",坦克部件!#REF!,0),FALSE)+VLOOKUP($BI260,坦克部件!#REF!,MATCH("标准值",坦克部件!#REF!,0),FALSE))*2</f>
        <v>#REF!</v>
      </c>
      <c r="BR260" s="372" t="e">
        <f ca="1">(VLOOKUP($BH260,坦克部件!#REF!,MATCH("标准值",坦克部件!#REF!,0),FALSE)+VLOOKUP($BI260,坦克部件!#REF!,MATCH("标准值",坦克部件!#REF!,0),FALSE))*2</f>
        <v>#REF!</v>
      </c>
      <c r="BS260" s="372" t="e">
        <f ca="1">VLOOKUP($BF260,坦克属性统计!$B$3:$AY$33,MATCH(BS$3,坦克属性统计!$B$3:$AY$3,0),FALSE)</f>
        <v>#N/A</v>
      </c>
      <c r="BT260" s="372" t="e">
        <f t="shared" ca="1" si="161"/>
        <v>#N/A</v>
      </c>
      <c r="BU260" s="372" t="e">
        <f t="shared" ca="1" si="161"/>
        <v>#N/A</v>
      </c>
      <c r="BV260" s="372" t="e">
        <f t="shared" ca="1" si="161"/>
        <v>#N/A</v>
      </c>
      <c r="BW260" s="356">
        <f t="shared" ref="BW260:BW277" ca="1" si="175">IFERROR(IF(LEN(BG260)=5,(60-(BS260-1)*BT260)/BU260+BS260,IF(RIGHT(BG260,2)="弹夹",((60-(BS260-1)*BT260)/(BV260+(BS260-1)*BT260)+1)*BS260,60/BU260+BS260)),0)</f>
        <v>0</v>
      </c>
      <c r="BX260" s="356" t="e">
        <f ca="1">VLOOKUP(BF260,坦克个性化设定!$B$18:$E$48,4,FALSE)</f>
        <v>#N/A</v>
      </c>
      <c r="BY260" s="357" t="e">
        <f t="shared" ca="1" si="145"/>
        <v>#N/A</v>
      </c>
    </row>
    <row r="261" spans="15:77" x14ac:dyDescent="0.35">
      <c r="O261" s="365">
        <v>258</v>
      </c>
      <c r="P261" s="360" t="e">
        <f t="shared" ca="1" si="152"/>
        <v>#REF!</v>
      </c>
      <c r="Q261" s="360" t="e">
        <f ca="1">ROUND(MIN((BD261-VLOOKUP(R261,$B$22:$F$46,2,FALSE))/(VLOOKUP(R261,$B$22:$F$46,3,FALSE)-VLOOKUP(R261,$B$22:$F$46,2,FALSE)),1)*((VLOOKUP(R261,$B$22:$F$46,4,FALSE)*(AG261/(AG261+VLOOKUP(P261,$D$49:$F$123,3,TRUE)))+VLOOKUP(R261,$B$22:$F$46,5,FALSE)*(1-AG261/(AG261+VLOOKUP(P261,$D$49:$F$123,3,TRUE))))/2)*游戏时长规划!$C$4,0)</f>
        <v>#REF!</v>
      </c>
      <c r="R261" s="360" t="e">
        <f t="shared" ca="1" si="162"/>
        <v>#REF!</v>
      </c>
      <c r="S261" s="360" t="e">
        <f t="shared" ca="1" si="146"/>
        <v>#REF!</v>
      </c>
      <c r="T261" s="360" t="e">
        <f t="shared" ca="1" si="153"/>
        <v>#REF!</v>
      </c>
      <c r="U261" s="370" t="e">
        <f t="shared" ca="1" si="163"/>
        <v>#REF!</v>
      </c>
      <c r="V261" s="363" t="e">
        <f t="shared" ca="1" si="147"/>
        <v>#REF!</v>
      </c>
      <c r="W261" s="360" t="e">
        <f t="shared" ca="1" si="164"/>
        <v>#REF!</v>
      </c>
      <c r="X261" s="81" t="e">
        <f t="shared" ref="X261:X277" ca="1" si="176">IF(U261&lt;&gt;U260,IF(Y260&lt;&gt;"NULL",(IF(VLOOKUP(T261,$H$31:$I$43,2,FALSE)&lt;VLOOKUP(W261,$H$31:$I$43,2,FALSE),0,$E$12))+(IF(VLOOKUP(S261,$H$31:$I$43,2,FALSE)&lt;VLOOKUP(W261,$H$31:$I$43,2,FALSE),0,1))*$E$13*$L$4,(IF(VLOOKUP(T261,$H$31:$I$43,2,FALSE)&lt;VLOOKUP(W261,$H$31:$I$43,2,FALSE),0,$E$12))+(IF(VLOOKUP(S261,$H$31:$I$43,2,FALSE)&lt;VLOOKUP(W261,$H$31:$I$43,2,FALSE),0,1))*$E$13*$L$4),(IF(VLOOKUP(T261,$H$31:$I$43,2,FALSE)&lt;VLOOKUP(W261,$H$31:$I$43,2,FALSE),0,$E$12))+(IF(VLOOKUP(S261,$H$31:$I$43,2,FALSE)&lt;VLOOKUP(W261,$H$31:$I$43,2,FALSE),0,1))*$E$13*$L$4+X260)</f>
        <v>#REF!</v>
      </c>
      <c r="Y261" s="360" t="str">
        <f t="shared" ca="1" si="165"/>
        <v>NULL</v>
      </c>
      <c r="Z261" s="375" t="e">
        <f t="shared" ref="Z261:Z277" ca="1" si="177">IF(O261=1,($E$13+$E$12)*$L$4,IF(V261=V260,IF(Y261="NULL",($E$13+$E$12)*$L$4+Z260,$E$13*$L$4+Z260),($E$13+$E$12)*$L$4+IF(ISNUMBER(X260),X260,0)))</f>
        <v>#REF!</v>
      </c>
      <c r="AA261" s="360">
        <f ca="1">IFERROR(VLOOKUP(IF(V261="T1低",游戏时长规划!$C$67+Z261,Z261),INDIRECT(V261&amp;"星级"),2,TRUE),0)</f>
        <v>0</v>
      </c>
      <c r="AB261" s="375" t="e">
        <f t="shared" ca="1" si="166"/>
        <v>#REF!</v>
      </c>
      <c r="AC261" s="375">
        <f ca="1">($D$14+$D$17)*$L$4/坦克部件养成!$C$2+AC260-IFERROR(IF(RIGHT(AD260,3)*1&gt;RIGHT(VLOOKUP(AC260,INDIRECT(LEFT(AD259,2)&amp;"部件升阶"),5,TRUE),3)*1,VLOOKUP(AD259,INDIRECT(LEFT(AD259,2)&amp;"部件升阶消耗"),2,FALSE),0),0)</f>
        <v>3053.0000000000077</v>
      </c>
      <c r="AD261" s="360" t="e">
        <f t="shared" ca="1" si="167"/>
        <v>#REF!</v>
      </c>
      <c r="AE261" s="375" t="e">
        <f ca="1">$D$15*$L$4/坦克部件养成!$C$2+AE260-IF(LEFT(AD261,2)&lt;&gt;LEFT(AD260,2),VLOOKUP(AF260,INDIRECT(LEFT(AD260,2)&amp;"部件升级消耗"),5,FALSE),0)</f>
        <v>#REF!</v>
      </c>
      <c r="AF261" s="360" t="e">
        <f ca="1">MIN(VLOOKUP(AE261,INDIRECT(LEFT(AD261,2)&amp;"部件升级"),2,TRUE),VLOOKUP(LEFT(AD261,2),坦克部件养成!#REF!,6,FALSE))</f>
        <v>#REF!</v>
      </c>
      <c r="AG261" s="378" t="e">
        <f ca="1">MAX(BD$4:BD261)</f>
        <v>#REF!</v>
      </c>
      <c r="AH261" s="378" t="str">
        <f t="shared" ca="1" si="168"/>
        <v/>
      </c>
      <c r="AI261" s="378">
        <f ca="1">IF(Y261="NULL",0,MAX(BY$4:BY261))</f>
        <v>0</v>
      </c>
      <c r="AK261" s="364" t="e">
        <f t="shared" ca="1" si="169"/>
        <v>#REF!</v>
      </c>
      <c r="AL261" s="364" t="e">
        <f ca="1">VLOOKUP(AK261,坦克个性化设定!$B$18:$F$48,5,FALSE)</f>
        <v>#REF!</v>
      </c>
      <c r="AM261" s="372" t="e">
        <f t="shared" ca="1" si="170"/>
        <v>#REF!</v>
      </c>
      <c r="AN261" s="372" t="e">
        <f t="shared" ref="AN261:AN277" ca="1" si="178">AD261</f>
        <v>#REF!</v>
      </c>
      <c r="AO261" s="364">
        <f t="shared" ca="1" si="171"/>
        <v>0</v>
      </c>
      <c r="AP261" s="372" t="e">
        <f ca="1">VLOOKUP($AK261&amp;$AO261,所有坦克升星属性,MATCH(AP$3,所有坦克升星属性标头,0),FALSE)+ROUND(AU261/VLOOKUP($AK261,坦克部件!#REF!,4,FALSE)*VLOOKUP($AK261&amp;0,所有坦克升星属性,MATCH(AP$3,所有坦克升星属性标头,0),FALSE),0)</f>
        <v>#REF!</v>
      </c>
      <c r="AQ261" s="372" t="e">
        <f ca="1">VLOOKUP($AK261&amp;$AO261,所有坦克升星属性,MATCH(AQ$3,所有坦克升星属性标头,0),FALSE)+ROUND(AV261/VLOOKUP($AK261,坦克部件!#REF!,4,FALSE)*VLOOKUP($AK261&amp;0,所有坦克升星属性,MATCH(AQ$3,所有坦克升星属性标头,0),FALSE),0)</f>
        <v>#REF!</v>
      </c>
      <c r="AR261" s="372" t="e">
        <f t="shared" ca="1" si="158"/>
        <v>#REF!</v>
      </c>
      <c r="AS261" s="372" t="e">
        <f t="shared" ca="1" si="158"/>
        <v>#REF!</v>
      </c>
      <c r="AT261" s="372" t="e">
        <f ca="1">VLOOKUP($AK261&amp;$AO261,所有坦克升星属性,MATCH(AT$3,所有坦克升星属性标头,0),FALSE)+ROUND(AW261/VLOOKUP($AK261,坦克部件!#REF!,4,FALSE)*VLOOKUP($AK261&amp;0,所有坦克升星属性,MATCH(AT$3,所有坦克升星属性标头,0),FALSE),0)</f>
        <v>#REF!</v>
      </c>
      <c r="AU261" s="372" t="e">
        <f ca="1">(VLOOKUP($AM261,坦克部件!#REF!,MATCH("标准值",坦克部件!#REF!,0),FALSE)+VLOOKUP($AN261,坦克部件!#REF!,MATCH("标准值",坦克部件!#REF!,0),FALSE))*2</f>
        <v>#REF!</v>
      </c>
      <c r="AV261" s="372" t="e">
        <f ca="1">(VLOOKUP($AM261,坦克部件!#REF!,MATCH("标准值",坦克部件!#REF!,0),FALSE)+VLOOKUP($AN261,坦克部件!#REF!,MATCH("标准值",坦克部件!#REF!,0),FALSE))*2</f>
        <v>#REF!</v>
      </c>
      <c r="AW261" s="372" t="e">
        <f ca="1">(VLOOKUP($AM261,坦克部件!#REF!,MATCH("标准值",坦克部件!#REF!,0),FALSE)+VLOOKUP($AN261,坦克部件!#REF!,MATCH("标准值",坦克部件!#REF!,0),FALSE))*2</f>
        <v>#REF!</v>
      </c>
      <c r="AX261" s="372" t="e">
        <f ca="1">VLOOKUP($AK261,坦克属性统计!$B$3:$AY$33,MATCH(AX$3,坦克属性统计!$B$3:$AY$3,0),FALSE)</f>
        <v>#REF!</v>
      </c>
      <c r="AY261" s="372" t="e">
        <f t="shared" ca="1" si="159"/>
        <v>#REF!</v>
      </c>
      <c r="AZ261" s="372" t="e">
        <f t="shared" ca="1" si="159"/>
        <v>#REF!</v>
      </c>
      <c r="BA261" s="372" t="e">
        <f t="shared" ca="1" si="159"/>
        <v>#REF!</v>
      </c>
      <c r="BB261" s="356" t="e">
        <f t="shared" ca="1" si="172"/>
        <v>#REF!</v>
      </c>
      <c r="BC261" s="356" t="e">
        <f ca="1">VLOOKUP(AK261,坦克个性化设定!$B$18:$E$48,4,FALSE)</f>
        <v>#REF!</v>
      </c>
      <c r="BD261" s="357" t="e">
        <f t="shared" ref="BD261:BD277" ca="1" si="179">ROUND(SQRT(AP261*AQ261*BB261/2+AVERAGE(AR261,AS261)*AT261*100),0)</f>
        <v>#REF!</v>
      </c>
      <c r="BF261" s="357" t="str">
        <f t="shared" ca="1" si="173"/>
        <v/>
      </c>
      <c r="BG261" s="372" t="str">
        <f ca="1">IFERROR(VLOOKUP(BF261,坦克个性化设定!$B$18:$F$48,5,FALSE),"")</f>
        <v/>
      </c>
      <c r="BH261" s="372" t="e">
        <f t="shared" ref="BH261:BH277" ca="1" si="180">AM261</f>
        <v>#REF!</v>
      </c>
      <c r="BI261" s="372" t="e">
        <f t="shared" ref="BI261:BI277" ca="1" si="181">AN261</f>
        <v>#REF!</v>
      </c>
      <c r="BJ261" s="364" t="str">
        <f t="shared" ca="1" si="174"/>
        <v>NULL</v>
      </c>
      <c r="BK261" s="372" t="e">
        <f ca="1">VLOOKUP($BF261&amp;IF($BJ261="NULL",0,$BJ261),所有坦克升星属性,MATCH(BK$3,所有坦克升星属性标头,0),FALSE)+ROUND(BP261/VLOOKUP($BF261,坦克部件!#REF!,4,FALSE)*VLOOKUP($BF261&amp;0,所有坦克升星属性,MATCH(BK$3,所有坦克升星属性标头,0),FALSE),0)</f>
        <v>#N/A</v>
      </c>
      <c r="BL261" s="372" t="e">
        <f ca="1">VLOOKUP($BF261&amp;IF($BJ261="NULL",0,$BJ261),所有坦克升星属性,MATCH(BL$3,所有坦克升星属性标头,0),FALSE)+ROUND(BQ261/VLOOKUP($BF261,坦克部件!#REF!,4,FALSE)*VLOOKUP($BF261&amp;0,所有坦克升星属性,MATCH(BL$3,所有坦克升星属性标头,0),FALSE),0)</f>
        <v>#N/A</v>
      </c>
      <c r="BM261" s="372" t="e">
        <f t="shared" ca="1" si="160"/>
        <v>#N/A</v>
      </c>
      <c r="BN261" s="372" t="e">
        <f t="shared" ca="1" si="160"/>
        <v>#N/A</v>
      </c>
      <c r="BO261" s="372" t="e">
        <f ca="1">VLOOKUP($BF261&amp;IF($BJ261="NULL",0,$BJ261),所有坦克升星属性,MATCH(BO$3,所有坦克升星属性标头,0),FALSE)+ROUND(BR261/VLOOKUP($BF261,坦克部件!#REF!,4,FALSE)*VLOOKUP($BF261&amp;0,所有坦克升星属性,MATCH(BO$3,所有坦克升星属性标头,0),FALSE),0)</f>
        <v>#N/A</v>
      </c>
      <c r="BP261" s="372" t="e">
        <f ca="1">(VLOOKUP($BH261,坦克部件!#REF!,MATCH("标准值",坦克部件!#REF!,0),FALSE)+VLOOKUP($BI261,坦克部件!#REF!,MATCH("标准值",坦克部件!#REF!,0),FALSE))*2</f>
        <v>#REF!</v>
      </c>
      <c r="BQ261" s="372" t="e">
        <f ca="1">(VLOOKUP($BH261,坦克部件!#REF!,MATCH("标准值",坦克部件!#REF!,0),FALSE)+VLOOKUP($BI261,坦克部件!#REF!,MATCH("标准值",坦克部件!#REF!,0),FALSE))*2</f>
        <v>#REF!</v>
      </c>
      <c r="BR261" s="372" t="e">
        <f ca="1">(VLOOKUP($BH261,坦克部件!#REF!,MATCH("标准值",坦克部件!#REF!,0),FALSE)+VLOOKUP($BI261,坦克部件!#REF!,MATCH("标准值",坦克部件!#REF!,0),FALSE))*2</f>
        <v>#REF!</v>
      </c>
      <c r="BS261" s="372" t="e">
        <f ca="1">VLOOKUP($BF261,坦克属性统计!$B$3:$AY$33,MATCH(BS$3,坦克属性统计!$B$3:$AY$3,0),FALSE)</f>
        <v>#N/A</v>
      </c>
      <c r="BT261" s="372" t="e">
        <f t="shared" ca="1" si="161"/>
        <v>#N/A</v>
      </c>
      <c r="BU261" s="372" t="e">
        <f t="shared" ca="1" si="161"/>
        <v>#N/A</v>
      </c>
      <c r="BV261" s="372" t="e">
        <f t="shared" ca="1" si="161"/>
        <v>#N/A</v>
      </c>
      <c r="BW261" s="356">
        <f t="shared" ca="1" si="175"/>
        <v>0</v>
      </c>
      <c r="BX261" s="356" t="e">
        <f ca="1">VLOOKUP(BF261,坦克个性化设定!$B$18:$E$48,4,FALSE)</f>
        <v>#N/A</v>
      </c>
      <c r="BY261" s="357" t="e">
        <f t="shared" ref="BY261:BY277" ca="1" si="182">ROUND(SQRT(BK261*BL261*BW261/2+AVERAGE(BM261,BN261)*BO261*100),0)</f>
        <v>#N/A</v>
      </c>
    </row>
    <row r="262" spans="15:77" x14ac:dyDescent="0.35">
      <c r="O262" s="365">
        <v>259</v>
      </c>
      <c r="P262" s="360" t="e">
        <f t="shared" ca="1" si="152"/>
        <v>#REF!</v>
      </c>
      <c r="Q262" s="360" t="e">
        <f ca="1">ROUND(MIN((BD262-VLOOKUP(R262,$B$22:$F$46,2,FALSE))/(VLOOKUP(R262,$B$22:$F$46,3,FALSE)-VLOOKUP(R262,$B$22:$F$46,2,FALSE)),1)*((VLOOKUP(R262,$B$22:$F$46,4,FALSE)*(AG262/(AG262+VLOOKUP(P262,$D$49:$F$123,3,TRUE)))+VLOOKUP(R262,$B$22:$F$46,5,FALSE)*(1-AG262/(AG262+VLOOKUP(P262,$D$49:$F$123,3,TRUE))))/2)*游戏时长规划!$C$4,0)</f>
        <v>#REF!</v>
      </c>
      <c r="R262" s="360" t="e">
        <f t="shared" ca="1" si="162"/>
        <v>#REF!</v>
      </c>
      <c r="S262" s="360" t="e">
        <f t="shared" ca="1" si="146"/>
        <v>#REF!</v>
      </c>
      <c r="T262" s="360" t="e">
        <f t="shared" ca="1" si="153"/>
        <v>#REF!</v>
      </c>
      <c r="U262" s="370" t="e">
        <f t="shared" ca="1" si="163"/>
        <v>#REF!</v>
      </c>
      <c r="V262" s="363" t="e">
        <f t="shared" ca="1" si="147"/>
        <v>#REF!</v>
      </c>
      <c r="W262" s="360" t="e">
        <f t="shared" ca="1" si="164"/>
        <v>#REF!</v>
      </c>
      <c r="X262" s="81" t="e">
        <f t="shared" ca="1" si="176"/>
        <v>#REF!</v>
      </c>
      <c r="Y262" s="360" t="str">
        <f t="shared" ca="1" si="165"/>
        <v>NULL</v>
      </c>
      <c r="Z262" s="375" t="e">
        <f t="shared" ca="1" si="177"/>
        <v>#REF!</v>
      </c>
      <c r="AA262" s="360">
        <f ca="1">IFERROR(VLOOKUP(IF(V262="T1低",游戏时长规划!$C$67+Z262,Z262),INDIRECT(V262&amp;"星级"),2,TRUE),0)</f>
        <v>0</v>
      </c>
      <c r="AB262" s="375" t="e">
        <f t="shared" ca="1" si="166"/>
        <v>#REF!</v>
      </c>
      <c r="AC262" s="375">
        <f ca="1">($D$14+$D$17)*$L$4/坦克部件养成!$C$2+AC261-IFERROR(IF(RIGHT(AD261,3)*1&gt;RIGHT(VLOOKUP(AC261,INDIRECT(LEFT(AD260,2)&amp;"部件升阶"),5,TRUE),3)*1,VLOOKUP(AD260,INDIRECT(LEFT(AD260,2)&amp;"部件升阶消耗"),2,FALSE),0),0)</f>
        <v>3064.8333333333412</v>
      </c>
      <c r="AD262" s="360" t="e">
        <f t="shared" ca="1" si="167"/>
        <v>#REF!</v>
      </c>
      <c r="AE262" s="375" t="e">
        <f ca="1">$D$15*$L$4/坦克部件养成!$C$2+AE261-IF(LEFT(AD262,2)&lt;&gt;LEFT(AD261,2),VLOOKUP(AF261,INDIRECT(LEFT(AD261,2)&amp;"部件升级消耗"),5,FALSE),0)</f>
        <v>#REF!</v>
      </c>
      <c r="AF262" s="360" t="e">
        <f ca="1">MIN(VLOOKUP(AE262,INDIRECT(LEFT(AD262,2)&amp;"部件升级"),2,TRUE),VLOOKUP(LEFT(AD262,2),坦克部件养成!#REF!,6,FALSE))</f>
        <v>#REF!</v>
      </c>
      <c r="AG262" s="378" t="e">
        <f ca="1">MAX(BD$4:BD262)</f>
        <v>#REF!</v>
      </c>
      <c r="AH262" s="378" t="str">
        <f t="shared" ca="1" si="168"/>
        <v/>
      </c>
      <c r="AI262" s="378">
        <f ca="1">IF(Y262="NULL",0,MAX(BY$4:BY262))</f>
        <v>0</v>
      </c>
      <c r="AK262" s="364" t="e">
        <f t="shared" ca="1" si="169"/>
        <v>#REF!</v>
      </c>
      <c r="AL262" s="364" t="e">
        <f ca="1">VLOOKUP(AK262,坦克个性化设定!$B$18:$F$48,5,FALSE)</f>
        <v>#REF!</v>
      </c>
      <c r="AM262" s="372" t="e">
        <f t="shared" ca="1" si="170"/>
        <v>#REF!</v>
      </c>
      <c r="AN262" s="372" t="e">
        <f t="shared" ca="1" si="178"/>
        <v>#REF!</v>
      </c>
      <c r="AO262" s="364">
        <f t="shared" ca="1" si="171"/>
        <v>0</v>
      </c>
      <c r="AP262" s="372" t="e">
        <f ca="1">VLOOKUP($AK262&amp;$AO262,所有坦克升星属性,MATCH(AP$3,所有坦克升星属性标头,0),FALSE)+ROUND(AU262/VLOOKUP($AK262,坦克部件!#REF!,4,FALSE)*VLOOKUP($AK262&amp;0,所有坦克升星属性,MATCH(AP$3,所有坦克升星属性标头,0),FALSE),0)</f>
        <v>#REF!</v>
      </c>
      <c r="AQ262" s="372" t="e">
        <f ca="1">VLOOKUP($AK262&amp;$AO262,所有坦克升星属性,MATCH(AQ$3,所有坦克升星属性标头,0),FALSE)+ROUND(AV262/VLOOKUP($AK262,坦克部件!#REF!,4,FALSE)*VLOOKUP($AK262&amp;0,所有坦克升星属性,MATCH(AQ$3,所有坦克升星属性标头,0),FALSE),0)</f>
        <v>#REF!</v>
      </c>
      <c r="AR262" s="372" t="e">
        <f t="shared" ca="1" si="158"/>
        <v>#REF!</v>
      </c>
      <c r="AS262" s="372" t="e">
        <f t="shared" ca="1" si="158"/>
        <v>#REF!</v>
      </c>
      <c r="AT262" s="372" t="e">
        <f ca="1">VLOOKUP($AK262&amp;$AO262,所有坦克升星属性,MATCH(AT$3,所有坦克升星属性标头,0),FALSE)+ROUND(AW262/VLOOKUP($AK262,坦克部件!#REF!,4,FALSE)*VLOOKUP($AK262&amp;0,所有坦克升星属性,MATCH(AT$3,所有坦克升星属性标头,0),FALSE),0)</f>
        <v>#REF!</v>
      </c>
      <c r="AU262" s="372" t="e">
        <f ca="1">(VLOOKUP($AM262,坦克部件!#REF!,MATCH("标准值",坦克部件!#REF!,0),FALSE)+VLOOKUP($AN262,坦克部件!#REF!,MATCH("标准值",坦克部件!#REF!,0),FALSE))*2</f>
        <v>#REF!</v>
      </c>
      <c r="AV262" s="372" t="e">
        <f ca="1">(VLOOKUP($AM262,坦克部件!#REF!,MATCH("标准值",坦克部件!#REF!,0),FALSE)+VLOOKUP($AN262,坦克部件!#REF!,MATCH("标准值",坦克部件!#REF!,0),FALSE))*2</f>
        <v>#REF!</v>
      </c>
      <c r="AW262" s="372" t="e">
        <f ca="1">(VLOOKUP($AM262,坦克部件!#REF!,MATCH("标准值",坦克部件!#REF!,0),FALSE)+VLOOKUP($AN262,坦克部件!#REF!,MATCH("标准值",坦克部件!#REF!,0),FALSE))*2</f>
        <v>#REF!</v>
      </c>
      <c r="AX262" s="372" t="e">
        <f ca="1">VLOOKUP($AK262,坦克属性统计!$B$3:$AY$33,MATCH(AX$3,坦克属性统计!$B$3:$AY$3,0),FALSE)</f>
        <v>#REF!</v>
      </c>
      <c r="AY262" s="372" t="e">
        <f t="shared" ca="1" si="159"/>
        <v>#REF!</v>
      </c>
      <c r="AZ262" s="372" t="e">
        <f t="shared" ca="1" si="159"/>
        <v>#REF!</v>
      </c>
      <c r="BA262" s="372" t="e">
        <f t="shared" ca="1" si="159"/>
        <v>#REF!</v>
      </c>
      <c r="BB262" s="356" t="e">
        <f t="shared" ca="1" si="172"/>
        <v>#REF!</v>
      </c>
      <c r="BC262" s="356" t="e">
        <f ca="1">VLOOKUP(AK262,坦克个性化设定!$B$18:$E$48,4,FALSE)</f>
        <v>#REF!</v>
      </c>
      <c r="BD262" s="357" t="e">
        <f t="shared" ca="1" si="179"/>
        <v>#REF!</v>
      </c>
      <c r="BF262" s="357" t="str">
        <f t="shared" ca="1" si="173"/>
        <v/>
      </c>
      <c r="BG262" s="372" t="str">
        <f ca="1">IFERROR(VLOOKUP(BF262,坦克个性化设定!$B$18:$F$48,5,FALSE),"")</f>
        <v/>
      </c>
      <c r="BH262" s="372" t="e">
        <f t="shared" ca="1" si="180"/>
        <v>#REF!</v>
      </c>
      <c r="BI262" s="372" t="e">
        <f t="shared" ca="1" si="181"/>
        <v>#REF!</v>
      </c>
      <c r="BJ262" s="364" t="str">
        <f t="shared" ca="1" si="174"/>
        <v>NULL</v>
      </c>
      <c r="BK262" s="372" t="e">
        <f ca="1">VLOOKUP($BF262&amp;IF($BJ262="NULL",0,$BJ262),所有坦克升星属性,MATCH(BK$3,所有坦克升星属性标头,0),FALSE)+ROUND(BP262/VLOOKUP($BF262,坦克部件!#REF!,4,FALSE)*VLOOKUP($BF262&amp;0,所有坦克升星属性,MATCH(BK$3,所有坦克升星属性标头,0),FALSE),0)</f>
        <v>#N/A</v>
      </c>
      <c r="BL262" s="372" t="e">
        <f ca="1">VLOOKUP($BF262&amp;IF($BJ262="NULL",0,$BJ262),所有坦克升星属性,MATCH(BL$3,所有坦克升星属性标头,0),FALSE)+ROUND(BQ262/VLOOKUP($BF262,坦克部件!#REF!,4,FALSE)*VLOOKUP($BF262&amp;0,所有坦克升星属性,MATCH(BL$3,所有坦克升星属性标头,0),FALSE),0)</f>
        <v>#N/A</v>
      </c>
      <c r="BM262" s="372" t="e">
        <f t="shared" ca="1" si="160"/>
        <v>#N/A</v>
      </c>
      <c r="BN262" s="372" t="e">
        <f t="shared" ca="1" si="160"/>
        <v>#N/A</v>
      </c>
      <c r="BO262" s="372" t="e">
        <f ca="1">VLOOKUP($BF262&amp;IF($BJ262="NULL",0,$BJ262),所有坦克升星属性,MATCH(BO$3,所有坦克升星属性标头,0),FALSE)+ROUND(BR262/VLOOKUP($BF262,坦克部件!#REF!,4,FALSE)*VLOOKUP($BF262&amp;0,所有坦克升星属性,MATCH(BO$3,所有坦克升星属性标头,0),FALSE),0)</f>
        <v>#N/A</v>
      </c>
      <c r="BP262" s="372" t="e">
        <f ca="1">(VLOOKUP($BH262,坦克部件!#REF!,MATCH("标准值",坦克部件!#REF!,0),FALSE)+VLOOKUP($BI262,坦克部件!#REF!,MATCH("标准值",坦克部件!#REF!,0),FALSE))*2</f>
        <v>#REF!</v>
      </c>
      <c r="BQ262" s="372" t="e">
        <f ca="1">(VLOOKUP($BH262,坦克部件!#REF!,MATCH("标准值",坦克部件!#REF!,0),FALSE)+VLOOKUP($BI262,坦克部件!#REF!,MATCH("标准值",坦克部件!#REF!,0),FALSE))*2</f>
        <v>#REF!</v>
      </c>
      <c r="BR262" s="372" t="e">
        <f ca="1">(VLOOKUP($BH262,坦克部件!#REF!,MATCH("标准值",坦克部件!#REF!,0),FALSE)+VLOOKUP($BI262,坦克部件!#REF!,MATCH("标准值",坦克部件!#REF!,0),FALSE))*2</f>
        <v>#REF!</v>
      </c>
      <c r="BS262" s="372" t="e">
        <f ca="1">VLOOKUP($BF262,坦克属性统计!$B$3:$AY$33,MATCH(BS$3,坦克属性统计!$B$3:$AY$3,0),FALSE)</f>
        <v>#N/A</v>
      </c>
      <c r="BT262" s="372" t="e">
        <f t="shared" ca="1" si="161"/>
        <v>#N/A</v>
      </c>
      <c r="BU262" s="372" t="e">
        <f t="shared" ca="1" si="161"/>
        <v>#N/A</v>
      </c>
      <c r="BV262" s="372" t="e">
        <f t="shared" ca="1" si="161"/>
        <v>#N/A</v>
      </c>
      <c r="BW262" s="356">
        <f t="shared" ca="1" si="175"/>
        <v>0</v>
      </c>
      <c r="BX262" s="356" t="e">
        <f ca="1">VLOOKUP(BF262,坦克个性化设定!$B$18:$E$48,4,FALSE)</f>
        <v>#N/A</v>
      </c>
      <c r="BY262" s="357" t="e">
        <f t="shared" ca="1" si="182"/>
        <v>#N/A</v>
      </c>
    </row>
    <row r="263" spans="15:77" x14ac:dyDescent="0.35">
      <c r="O263" s="365">
        <v>260</v>
      </c>
      <c r="P263" s="360" t="e">
        <f t="shared" ca="1" si="152"/>
        <v>#REF!</v>
      </c>
      <c r="Q263" s="360" t="e">
        <f ca="1">ROUND(MIN((BD263-VLOOKUP(R263,$B$22:$F$46,2,FALSE))/(VLOOKUP(R263,$B$22:$F$46,3,FALSE)-VLOOKUP(R263,$B$22:$F$46,2,FALSE)),1)*((VLOOKUP(R263,$B$22:$F$46,4,FALSE)*(AG263/(AG263+VLOOKUP(P263,$D$49:$F$123,3,TRUE)))+VLOOKUP(R263,$B$22:$F$46,5,FALSE)*(1-AG263/(AG263+VLOOKUP(P263,$D$49:$F$123,3,TRUE))))/2)*游戏时长规划!$C$4,0)</f>
        <v>#REF!</v>
      </c>
      <c r="R263" s="360" t="e">
        <f t="shared" ca="1" si="162"/>
        <v>#REF!</v>
      </c>
      <c r="S263" s="360" t="e">
        <f t="shared" ref="S263:S277" ca="1" si="183">VLOOKUP(R263,$H$16:$I$28,2,FALSE)</f>
        <v>#REF!</v>
      </c>
      <c r="T263" s="360" t="e">
        <f t="shared" ca="1" si="153"/>
        <v>#REF!</v>
      </c>
      <c r="U263" s="370" t="e">
        <f t="shared" ca="1" si="163"/>
        <v>#REF!</v>
      </c>
      <c r="V263" s="363" t="e">
        <f t="shared" ref="V263:V277" ca="1" si="184">VLOOKUP(U263,$H$46:$L$76,5,FALSE)</f>
        <v>#REF!</v>
      </c>
      <c r="W263" s="360" t="e">
        <f t="shared" ca="1" si="164"/>
        <v>#REF!</v>
      </c>
      <c r="X263" s="81" t="e">
        <f t="shared" ca="1" si="176"/>
        <v>#REF!</v>
      </c>
      <c r="Y263" s="360" t="str">
        <f t="shared" ca="1" si="165"/>
        <v>NULL</v>
      </c>
      <c r="Z263" s="375" t="e">
        <f t="shared" ca="1" si="177"/>
        <v>#REF!</v>
      </c>
      <c r="AA263" s="360">
        <f ca="1">IFERROR(VLOOKUP(IF(V263="T1低",游戏时长规划!$C$67+Z263,Z263),INDIRECT(V263&amp;"星级"),2,TRUE),0)</f>
        <v>0</v>
      </c>
      <c r="AB263" s="375" t="e">
        <f t="shared" ca="1" si="166"/>
        <v>#REF!</v>
      </c>
      <c r="AC263" s="375">
        <f ca="1">($D$14+$D$17)*$L$4/坦克部件养成!$C$2+AC262-IFERROR(IF(RIGHT(AD262,3)*1&gt;RIGHT(VLOOKUP(AC262,INDIRECT(LEFT(AD261,2)&amp;"部件升阶"),5,TRUE),3)*1,VLOOKUP(AD261,INDIRECT(LEFT(AD261,2)&amp;"部件升阶消耗"),2,FALSE),0),0)</f>
        <v>3076.6666666666747</v>
      </c>
      <c r="AD263" s="360" t="e">
        <f t="shared" ca="1" si="167"/>
        <v>#REF!</v>
      </c>
      <c r="AE263" s="375" t="e">
        <f ca="1">$D$15*$L$4/坦克部件养成!$C$2+AE262-IF(LEFT(AD263,2)&lt;&gt;LEFT(AD262,2),VLOOKUP(AF262,INDIRECT(LEFT(AD262,2)&amp;"部件升级消耗"),5,FALSE),0)</f>
        <v>#REF!</v>
      </c>
      <c r="AF263" s="360" t="e">
        <f ca="1">MIN(VLOOKUP(AE263,INDIRECT(LEFT(AD263,2)&amp;"部件升级"),2,TRUE),VLOOKUP(LEFT(AD263,2),坦克部件养成!#REF!,6,FALSE))</f>
        <v>#REF!</v>
      </c>
      <c r="AG263" s="378" t="e">
        <f ca="1">MAX(BD$4:BD263)</f>
        <v>#REF!</v>
      </c>
      <c r="AH263" s="378" t="str">
        <f t="shared" ca="1" si="168"/>
        <v/>
      </c>
      <c r="AI263" s="378">
        <f ca="1">IF(Y263="NULL",0,MAX(BY$4:BY263))</f>
        <v>0</v>
      </c>
      <c r="AK263" s="364" t="e">
        <f t="shared" ca="1" si="169"/>
        <v>#REF!</v>
      </c>
      <c r="AL263" s="364" t="e">
        <f ca="1">VLOOKUP(AK263,坦克个性化设定!$B$18:$F$48,5,FALSE)</f>
        <v>#REF!</v>
      </c>
      <c r="AM263" s="372" t="e">
        <f t="shared" ca="1" si="170"/>
        <v>#REF!</v>
      </c>
      <c r="AN263" s="372" t="e">
        <f t="shared" ca="1" si="178"/>
        <v>#REF!</v>
      </c>
      <c r="AO263" s="364">
        <f t="shared" ca="1" si="171"/>
        <v>0</v>
      </c>
      <c r="AP263" s="372" t="e">
        <f ca="1">VLOOKUP($AK263&amp;$AO263,所有坦克升星属性,MATCH(AP$3,所有坦克升星属性标头,0),FALSE)+ROUND(AU263/VLOOKUP($AK263,坦克部件!#REF!,4,FALSE)*VLOOKUP($AK263&amp;0,所有坦克升星属性,MATCH(AP$3,所有坦克升星属性标头,0),FALSE),0)</f>
        <v>#REF!</v>
      </c>
      <c r="AQ263" s="372" t="e">
        <f ca="1">VLOOKUP($AK263&amp;$AO263,所有坦克升星属性,MATCH(AQ$3,所有坦克升星属性标头,0),FALSE)+ROUND(AV263/VLOOKUP($AK263,坦克部件!#REF!,4,FALSE)*VLOOKUP($AK263&amp;0,所有坦克升星属性,MATCH(AQ$3,所有坦克升星属性标头,0),FALSE),0)</f>
        <v>#REF!</v>
      </c>
      <c r="AR263" s="372" t="e">
        <f t="shared" ca="1" si="158"/>
        <v>#REF!</v>
      </c>
      <c r="AS263" s="372" t="e">
        <f t="shared" ca="1" si="158"/>
        <v>#REF!</v>
      </c>
      <c r="AT263" s="372" t="e">
        <f ca="1">VLOOKUP($AK263&amp;$AO263,所有坦克升星属性,MATCH(AT$3,所有坦克升星属性标头,0),FALSE)+ROUND(AW263/VLOOKUP($AK263,坦克部件!#REF!,4,FALSE)*VLOOKUP($AK263&amp;0,所有坦克升星属性,MATCH(AT$3,所有坦克升星属性标头,0),FALSE),0)</f>
        <v>#REF!</v>
      </c>
      <c r="AU263" s="372" t="e">
        <f ca="1">(VLOOKUP($AM263,坦克部件!#REF!,MATCH("标准值",坦克部件!#REF!,0),FALSE)+VLOOKUP($AN263,坦克部件!#REF!,MATCH("标准值",坦克部件!#REF!,0),FALSE))*2</f>
        <v>#REF!</v>
      </c>
      <c r="AV263" s="372" t="e">
        <f ca="1">(VLOOKUP($AM263,坦克部件!#REF!,MATCH("标准值",坦克部件!#REF!,0),FALSE)+VLOOKUP($AN263,坦克部件!#REF!,MATCH("标准值",坦克部件!#REF!,0),FALSE))*2</f>
        <v>#REF!</v>
      </c>
      <c r="AW263" s="372" t="e">
        <f ca="1">(VLOOKUP($AM263,坦克部件!#REF!,MATCH("标准值",坦克部件!#REF!,0),FALSE)+VLOOKUP($AN263,坦克部件!#REF!,MATCH("标准值",坦克部件!#REF!,0),FALSE))*2</f>
        <v>#REF!</v>
      </c>
      <c r="AX263" s="372" t="e">
        <f ca="1">VLOOKUP($AK263,坦克属性统计!$B$3:$AY$33,MATCH(AX$3,坦克属性统计!$B$3:$AY$3,0),FALSE)</f>
        <v>#REF!</v>
      </c>
      <c r="AY263" s="372" t="e">
        <f t="shared" ca="1" si="159"/>
        <v>#REF!</v>
      </c>
      <c r="AZ263" s="372" t="e">
        <f t="shared" ca="1" si="159"/>
        <v>#REF!</v>
      </c>
      <c r="BA263" s="372" t="e">
        <f t="shared" ca="1" si="159"/>
        <v>#REF!</v>
      </c>
      <c r="BB263" s="356" t="e">
        <f t="shared" ca="1" si="172"/>
        <v>#REF!</v>
      </c>
      <c r="BC263" s="356" t="e">
        <f ca="1">VLOOKUP(AK263,坦克个性化设定!$B$18:$E$48,4,FALSE)</f>
        <v>#REF!</v>
      </c>
      <c r="BD263" s="357" t="e">
        <f t="shared" ca="1" si="179"/>
        <v>#REF!</v>
      </c>
      <c r="BF263" s="357" t="str">
        <f t="shared" ca="1" si="173"/>
        <v/>
      </c>
      <c r="BG263" s="372" t="str">
        <f ca="1">IFERROR(VLOOKUP(BF263,坦克个性化设定!$B$18:$F$48,5,FALSE),"")</f>
        <v/>
      </c>
      <c r="BH263" s="372" t="e">
        <f t="shared" ca="1" si="180"/>
        <v>#REF!</v>
      </c>
      <c r="BI263" s="372" t="e">
        <f t="shared" ca="1" si="181"/>
        <v>#REF!</v>
      </c>
      <c r="BJ263" s="364" t="str">
        <f t="shared" ca="1" si="174"/>
        <v>NULL</v>
      </c>
      <c r="BK263" s="372" t="e">
        <f ca="1">VLOOKUP($BF263&amp;IF($BJ263="NULL",0,$BJ263),所有坦克升星属性,MATCH(BK$3,所有坦克升星属性标头,0),FALSE)+ROUND(BP263/VLOOKUP($BF263,坦克部件!#REF!,4,FALSE)*VLOOKUP($BF263&amp;0,所有坦克升星属性,MATCH(BK$3,所有坦克升星属性标头,0),FALSE),0)</f>
        <v>#N/A</v>
      </c>
      <c r="BL263" s="372" t="e">
        <f ca="1">VLOOKUP($BF263&amp;IF($BJ263="NULL",0,$BJ263),所有坦克升星属性,MATCH(BL$3,所有坦克升星属性标头,0),FALSE)+ROUND(BQ263/VLOOKUP($BF263,坦克部件!#REF!,4,FALSE)*VLOOKUP($BF263&amp;0,所有坦克升星属性,MATCH(BL$3,所有坦克升星属性标头,0),FALSE),0)</f>
        <v>#N/A</v>
      </c>
      <c r="BM263" s="372" t="e">
        <f t="shared" ca="1" si="160"/>
        <v>#N/A</v>
      </c>
      <c r="BN263" s="372" t="e">
        <f t="shared" ca="1" si="160"/>
        <v>#N/A</v>
      </c>
      <c r="BO263" s="372" t="e">
        <f ca="1">VLOOKUP($BF263&amp;IF($BJ263="NULL",0,$BJ263),所有坦克升星属性,MATCH(BO$3,所有坦克升星属性标头,0),FALSE)+ROUND(BR263/VLOOKUP($BF263,坦克部件!#REF!,4,FALSE)*VLOOKUP($BF263&amp;0,所有坦克升星属性,MATCH(BO$3,所有坦克升星属性标头,0),FALSE),0)</f>
        <v>#N/A</v>
      </c>
      <c r="BP263" s="372" t="e">
        <f ca="1">(VLOOKUP($BH263,坦克部件!#REF!,MATCH("标准值",坦克部件!#REF!,0),FALSE)+VLOOKUP($BI263,坦克部件!#REF!,MATCH("标准值",坦克部件!#REF!,0),FALSE))*2</f>
        <v>#REF!</v>
      </c>
      <c r="BQ263" s="372" t="e">
        <f ca="1">(VLOOKUP($BH263,坦克部件!#REF!,MATCH("标准值",坦克部件!#REF!,0),FALSE)+VLOOKUP($BI263,坦克部件!#REF!,MATCH("标准值",坦克部件!#REF!,0),FALSE))*2</f>
        <v>#REF!</v>
      </c>
      <c r="BR263" s="372" t="e">
        <f ca="1">(VLOOKUP($BH263,坦克部件!#REF!,MATCH("标准值",坦克部件!#REF!,0),FALSE)+VLOOKUP($BI263,坦克部件!#REF!,MATCH("标准值",坦克部件!#REF!,0),FALSE))*2</f>
        <v>#REF!</v>
      </c>
      <c r="BS263" s="372" t="e">
        <f ca="1">VLOOKUP($BF263,坦克属性统计!$B$3:$AY$33,MATCH(BS$3,坦克属性统计!$B$3:$AY$3,0),FALSE)</f>
        <v>#N/A</v>
      </c>
      <c r="BT263" s="372" t="e">
        <f t="shared" ca="1" si="161"/>
        <v>#N/A</v>
      </c>
      <c r="BU263" s="372" t="e">
        <f t="shared" ca="1" si="161"/>
        <v>#N/A</v>
      </c>
      <c r="BV263" s="372" t="e">
        <f t="shared" ca="1" si="161"/>
        <v>#N/A</v>
      </c>
      <c r="BW263" s="356">
        <f t="shared" ca="1" si="175"/>
        <v>0</v>
      </c>
      <c r="BX263" s="356" t="e">
        <f ca="1">VLOOKUP(BF263,坦克个性化设定!$B$18:$E$48,4,FALSE)</f>
        <v>#N/A</v>
      </c>
      <c r="BY263" s="357" t="e">
        <f t="shared" ca="1" si="182"/>
        <v>#N/A</v>
      </c>
    </row>
    <row r="264" spans="15:77" x14ac:dyDescent="0.35">
      <c r="O264" s="365">
        <v>261</v>
      </c>
      <c r="P264" s="360" t="e">
        <f t="shared" ca="1" si="152"/>
        <v>#REF!</v>
      </c>
      <c r="Q264" s="360" t="e">
        <f ca="1">ROUND(MIN((BD264-VLOOKUP(R264,$B$22:$F$46,2,FALSE))/(VLOOKUP(R264,$B$22:$F$46,3,FALSE)-VLOOKUP(R264,$B$22:$F$46,2,FALSE)),1)*((VLOOKUP(R264,$B$22:$F$46,4,FALSE)*(AG264/(AG264+VLOOKUP(P264,$D$49:$F$123,3,TRUE)))+VLOOKUP(R264,$B$22:$F$46,5,FALSE)*(1-AG264/(AG264+VLOOKUP(P264,$D$49:$F$123,3,TRUE))))/2)*游戏时长规划!$C$4,0)</f>
        <v>#REF!</v>
      </c>
      <c r="R264" s="360" t="e">
        <f t="shared" ca="1" si="162"/>
        <v>#REF!</v>
      </c>
      <c r="S264" s="360" t="e">
        <f t="shared" ca="1" si="183"/>
        <v>#REF!</v>
      </c>
      <c r="T264" s="360" t="e">
        <f t="shared" ca="1" si="153"/>
        <v>#REF!</v>
      </c>
      <c r="U264" s="370" t="e">
        <f t="shared" ca="1" si="163"/>
        <v>#REF!</v>
      </c>
      <c r="V264" s="363" t="e">
        <f t="shared" ca="1" si="184"/>
        <v>#REF!</v>
      </c>
      <c r="W264" s="360" t="e">
        <f t="shared" ca="1" si="164"/>
        <v>#REF!</v>
      </c>
      <c r="X264" s="81" t="e">
        <f t="shared" ca="1" si="176"/>
        <v>#REF!</v>
      </c>
      <c r="Y264" s="360" t="str">
        <f t="shared" ca="1" si="165"/>
        <v>NULL</v>
      </c>
      <c r="Z264" s="375" t="e">
        <f t="shared" ca="1" si="177"/>
        <v>#REF!</v>
      </c>
      <c r="AA264" s="360">
        <f ca="1">IFERROR(VLOOKUP(IF(V264="T1低",游戏时长规划!$C$67+Z264,Z264),INDIRECT(V264&amp;"星级"),2,TRUE),0)</f>
        <v>0</v>
      </c>
      <c r="AB264" s="375" t="e">
        <f t="shared" ca="1" si="166"/>
        <v>#REF!</v>
      </c>
      <c r="AC264" s="375">
        <f ca="1">($D$14+$D$17)*$L$4/坦克部件养成!$C$2+AC263-IFERROR(IF(RIGHT(AD263,3)*1&gt;RIGHT(VLOOKUP(AC263,INDIRECT(LEFT(AD262,2)&amp;"部件升阶"),5,TRUE),3)*1,VLOOKUP(AD262,INDIRECT(LEFT(AD262,2)&amp;"部件升阶消耗"),2,FALSE),0),0)</f>
        <v>3088.5000000000082</v>
      </c>
      <c r="AD264" s="360" t="e">
        <f t="shared" ca="1" si="167"/>
        <v>#REF!</v>
      </c>
      <c r="AE264" s="375" t="e">
        <f ca="1">$D$15*$L$4/坦克部件养成!$C$2+AE263-IF(LEFT(AD264,2)&lt;&gt;LEFT(AD263,2),VLOOKUP(AF263,INDIRECT(LEFT(AD263,2)&amp;"部件升级消耗"),5,FALSE),0)</f>
        <v>#REF!</v>
      </c>
      <c r="AF264" s="360" t="e">
        <f ca="1">MIN(VLOOKUP(AE264,INDIRECT(LEFT(AD264,2)&amp;"部件升级"),2,TRUE),VLOOKUP(LEFT(AD264,2),坦克部件养成!#REF!,6,FALSE))</f>
        <v>#REF!</v>
      </c>
      <c r="AG264" s="378" t="e">
        <f ca="1">MAX(BD$4:BD264)</f>
        <v>#REF!</v>
      </c>
      <c r="AH264" s="378" t="str">
        <f t="shared" ca="1" si="168"/>
        <v/>
      </c>
      <c r="AI264" s="378">
        <f ca="1">IF(Y264="NULL",0,MAX(BY$4:BY264))</f>
        <v>0</v>
      </c>
      <c r="AK264" s="364" t="e">
        <f t="shared" ca="1" si="169"/>
        <v>#REF!</v>
      </c>
      <c r="AL264" s="364" t="e">
        <f ca="1">VLOOKUP(AK264,坦克个性化设定!$B$18:$F$48,5,FALSE)</f>
        <v>#REF!</v>
      </c>
      <c r="AM264" s="372" t="e">
        <f t="shared" ca="1" si="170"/>
        <v>#REF!</v>
      </c>
      <c r="AN264" s="372" t="e">
        <f t="shared" ca="1" si="178"/>
        <v>#REF!</v>
      </c>
      <c r="AO264" s="364">
        <f t="shared" ca="1" si="171"/>
        <v>0</v>
      </c>
      <c r="AP264" s="372" t="e">
        <f ca="1">VLOOKUP($AK264&amp;$AO264,所有坦克升星属性,MATCH(AP$3,所有坦克升星属性标头,0),FALSE)+ROUND(AU264/VLOOKUP($AK264,坦克部件!#REF!,4,FALSE)*VLOOKUP($AK264&amp;0,所有坦克升星属性,MATCH(AP$3,所有坦克升星属性标头,0),FALSE),0)</f>
        <v>#REF!</v>
      </c>
      <c r="AQ264" s="372" t="e">
        <f ca="1">VLOOKUP($AK264&amp;$AO264,所有坦克升星属性,MATCH(AQ$3,所有坦克升星属性标头,0),FALSE)+ROUND(AV264/VLOOKUP($AK264,坦克部件!#REF!,4,FALSE)*VLOOKUP($AK264&amp;0,所有坦克升星属性,MATCH(AQ$3,所有坦克升星属性标头,0),FALSE),0)</f>
        <v>#REF!</v>
      </c>
      <c r="AR264" s="372" t="e">
        <f t="shared" ref="AR264:AS277" ca="1" si="185">VLOOKUP($AK264&amp;$AO264,所有坦克升星属性,MATCH(AR$3,所有坦克升星属性标头,0),FALSE)</f>
        <v>#REF!</v>
      </c>
      <c r="AS264" s="372" t="e">
        <f t="shared" ca="1" si="185"/>
        <v>#REF!</v>
      </c>
      <c r="AT264" s="372" t="e">
        <f ca="1">VLOOKUP($AK264&amp;$AO264,所有坦克升星属性,MATCH(AT$3,所有坦克升星属性标头,0),FALSE)+ROUND(AW264/VLOOKUP($AK264,坦克部件!#REF!,4,FALSE)*VLOOKUP($AK264&amp;0,所有坦克升星属性,MATCH(AT$3,所有坦克升星属性标头,0),FALSE),0)</f>
        <v>#REF!</v>
      </c>
      <c r="AU264" s="372" t="e">
        <f ca="1">(VLOOKUP($AM264,坦克部件!#REF!,MATCH("标准值",坦克部件!#REF!,0),FALSE)+VLOOKUP($AN264,坦克部件!#REF!,MATCH("标准值",坦克部件!#REF!,0),FALSE))*2</f>
        <v>#REF!</v>
      </c>
      <c r="AV264" s="372" t="e">
        <f ca="1">(VLOOKUP($AM264,坦克部件!#REF!,MATCH("标准值",坦克部件!#REF!,0),FALSE)+VLOOKUP($AN264,坦克部件!#REF!,MATCH("标准值",坦克部件!#REF!,0),FALSE))*2</f>
        <v>#REF!</v>
      </c>
      <c r="AW264" s="372" t="e">
        <f ca="1">(VLOOKUP($AM264,坦克部件!#REF!,MATCH("标准值",坦克部件!#REF!,0),FALSE)+VLOOKUP($AN264,坦克部件!#REF!,MATCH("标准值",坦克部件!#REF!,0),FALSE))*2</f>
        <v>#REF!</v>
      </c>
      <c r="AX264" s="372" t="e">
        <f ca="1">VLOOKUP($AK264,坦克属性统计!$B$3:$AY$33,MATCH(AX$3,坦克属性统计!$B$3:$AY$3,0),FALSE)</f>
        <v>#REF!</v>
      </c>
      <c r="AY264" s="372" t="e">
        <f t="shared" ref="AY264:BA277" ca="1" si="186">VLOOKUP($AK264&amp;$AO264,所有坦克升星属性,MATCH(AY$3,所有坦克升星属性标头,0),FALSE)</f>
        <v>#REF!</v>
      </c>
      <c r="AZ264" s="372" t="e">
        <f t="shared" ca="1" si="186"/>
        <v>#REF!</v>
      </c>
      <c r="BA264" s="372" t="e">
        <f t="shared" ca="1" si="186"/>
        <v>#REF!</v>
      </c>
      <c r="BB264" s="356" t="e">
        <f t="shared" ca="1" si="172"/>
        <v>#REF!</v>
      </c>
      <c r="BC264" s="356" t="e">
        <f ca="1">VLOOKUP(AK264,坦克个性化设定!$B$18:$E$48,4,FALSE)</f>
        <v>#REF!</v>
      </c>
      <c r="BD264" s="357" t="e">
        <f t="shared" ca="1" si="179"/>
        <v>#REF!</v>
      </c>
      <c r="BF264" s="357" t="str">
        <f t="shared" ca="1" si="173"/>
        <v/>
      </c>
      <c r="BG264" s="372" t="str">
        <f ca="1">IFERROR(VLOOKUP(BF264,坦克个性化设定!$B$18:$F$48,5,FALSE),"")</f>
        <v/>
      </c>
      <c r="BH264" s="372" t="e">
        <f t="shared" ca="1" si="180"/>
        <v>#REF!</v>
      </c>
      <c r="BI264" s="372" t="e">
        <f t="shared" ca="1" si="181"/>
        <v>#REF!</v>
      </c>
      <c r="BJ264" s="364" t="str">
        <f t="shared" ca="1" si="174"/>
        <v>NULL</v>
      </c>
      <c r="BK264" s="372" t="e">
        <f ca="1">VLOOKUP($BF264&amp;IF($BJ264="NULL",0,$BJ264),所有坦克升星属性,MATCH(BK$3,所有坦克升星属性标头,0),FALSE)+ROUND(BP264/VLOOKUP($BF264,坦克部件!#REF!,4,FALSE)*VLOOKUP($BF264&amp;0,所有坦克升星属性,MATCH(BK$3,所有坦克升星属性标头,0),FALSE),0)</f>
        <v>#N/A</v>
      </c>
      <c r="BL264" s="372" t="e">
        <f ca="1">VLOOKUP($BF264&amp;IF($BJ264="NULL",0,$BJ264),所有坦克升星属性,MATCH(BL$3,所有坦克升星属性标头,0),FALSE)+ROUND(BQ264/VLOOKUP($BF264,坦克部件!#REF!,4,FALSE)*VLOOKUP($BF264&amp;0,所有坦克升星属性,MATCH(BL$3,所有坦克升星属性标头,0),FALSE),0)</f>
        <v>#N/A</v>
      </c>
      <c r="BM264" s="372" t="e">
        <f t="shared" ref="BM264:BN277" ca="1" si="187">VLOOKUP($BF264&amp;IF($BJ264="NULL",0,$BJ264),所有坦克升星属性,MATCH(BM$3,所有坦克升星属性标头,0),FALSE)</f>
        <v>#N/A</v>
      </c>
      <c r="BN264" s="372" t="e">
        <f t="shared" ca="1" si="187"/>
        <v>#N/A</v>
      </c>
      <c r="BO264" s="372" t="e">
        <f ca="1">VLOOKUP($BF264&amp;IF($BJ264="NULL",0,$BJ264),所有坦克升星属性,MATCH(BO$3,所有坦克升星属性标头,0),FALSE)+ROUND(BR264/VLOOKUP($BF264,坦克部件!#REF!,4,FALSE)*VLOOKUP($BF264&amp;0,所有坦克升星属性,MATCH(BO$3,所有坦克升星属性标头,0),FALSE),0)</f>
        <v>#N/A</v>
      </c>
      <c r="BP264" s="372" t="e">
        <f ca="1">(VLOOKUP($BH264,坦克部件!#REF!,MATCH("标准值",坦克部件!#REF!,0),FALSE)+VLOOKUP($BI264,坦克部件!#REF!,MATCH("标准值",坦克部件!#REF!,0),FALSE))*2</f>
        <v>#REF!</v>
      </c>
      <c r="BQ264" s="372" t="e">
        <f ca="1">(VLOOKUP($BH264,坦克部件!#REF!,MATCH("标准值",坦克部件!#REF!,0),FALSE)+VLOOKUP($BI264,坦克部件!#REF!,MATCH("标准值",坦克部件!#REF!,0),FALSE))*2</f>
        <v>#REF!</v>
      </c>
      <c r="BR264" s="372" t="e">
        <f ca="1">(VLOOKUP($BH264,坦克部件!#REF!,MATCH("标准值",坦克部件!#REF!,0),FALSE)+VLOOKUP($BI264,坦克部件!#REF!,MATCH("标准值",坦克部件!#REF!,0),FALSE))*2</f>
        <v>#REF!</v>
      </c>
      <c r="BS264" s="372" t="e">
        <f ca="1">VLOOKUP($BF264,坦克属性统计!$B$3:$AY$33,MATCH(BS$3,坦克属性统计!$B$3:$AY$3,0),FALSE)</f>
        <v>#N/A</v>
      </c>
      <c r="BT264" s="372" t="e">
        <f t="shared" ref="BT264:BV277" ca="1" si="188">VLOOKUP($BF264&amp;IF($BJ264="NULL",0,$BJ264),所有坦克升星属性,MATCH(BT$3,所有坦克升星属性标头,0),FALSE)</f>
        <v>#N/A</v>
      </c>
      <c r="BU264" s="372" t="e">
        <f t="shared" ca="1" si="188"/>
        <v>#N/A</v>
      </c>
      <c r="BV264" s="372" t="e">
        <f t="shared" ca="1" si="188"/>
        <v>#N/A</v>
      </c>
      <c r="BW264" s="356">
        <f t="shared" ca="1" si="175"/>
        <v>0</v>
      </c>
      <c r="BX264" s="356" t="e">
        <f ca="1">VLOOKUP(BF264,坦克个性化设定!$B$18:$E$48,4,FALSE)</f>
        <v>#N/A</v>
      </c>
      <c r="BY264" s="357" t="e">
        <f t="shared" ca="1" si="182"/>
        <v>#N/A</v>
      </c>
    </row>
    <row r="265" spans="15:77" x14ac:dyDescent="0.35">
      <c r="O265" s="365">
        <v>262</v>
      </c>
      <c r="P265" s="360" t="e">
        <f t="shared" ca="1" si="152"/>
        <v>#REF!</v>
      </c>
      <c r="Q265" s="360" t="e">
        <f ca="1">ROUND(MIN((BD265-VLOOKUP(R265,$B$22:$F$46,2,FALSE))/(VLOOKUP(R265,$B$22:$F$46,3,FALSE)-VLOOKUP(R265,$B$22:$F$46,2,FALSE)),1)*((VLOOKUP(R265,$B$22:$F$46,4,FALSE)*(AG265/(AG265+VLOOKUP(P265,$D$49:$F$123,3,TRUE)))+VLOOKUP(R265,$B$22:$F$46,5,FALSE)*(1-AG265/(AG265+VLOOKUP(P265,$D$49:$F$123,3,TRUE))))/2)*游戏时长规划!$C$4,0)</f>
        <v>#REF!</v>
      </c>
      <c r="R265" s="360" t="e">
        <f t="shared" ca="1" si="162"/>
        <v>#REF!</v>
      </c>
      <c r="S265" s="360" t="e">
        <f t="shared" ca="1" si="183"/>
        <v>#REF!</v>
      </c>
      <c r="T265" s="360" t="e">
        <f t="shared" ca="1" si="153"/>
        <v>#REF!</v>
      </c>
      <c r="U265" s="370" t="e">
        <f t="shared" ca="1" si="163"/>
        <v>#REF!</v>
      </c>
      <c r="V265" s="363" t="e">
        <f t="shared" ca="1" si="184"/>
        <v>#REF!</v>
      </c>
      <c r="W265" s="360" t="e">
        <f t="shared" ca="1" si="164"/>
        <v>#REF!</v>
      </c>
      <c r="X265" s="81" t="e">
        <f t="shared" ca="1" si="176"/>
        <v>#REF!</v>
      </c>
      <c r="Y265" s="360" t="str">
        <f t="shared" ca="1" si="165"/>
        <v>NULL</v>
      </c>
      <c r="Z265" s="375" t="e">
        <f t="shared" ca="1" si="177"/>
        <v>#REF!</v>
      </c>
      <c r="AA265" s="360">
        <f ca="1">IFERROR(VLOOKUP(IF(V265="T1低",游戏时长规划!$C$67+Z265,Z265),INDIRECT(V265&amp;"星级"),2,TRUE),0)</f>
        <v>0</v>
      </c>
      <c r="AB265" s="375" t="e">
        <f t="shared" ca="1" si="166"/>
        <v>#REF!</v>
      </c>
      <c r="AC265" s="375">
        <f ca="1">($D$14+$D$17)*$L$4/坦克部件养成!$C$2+AC264-IFERROR(IF(RIGHT(AD264,3)*1&gt;RIGHT(VLOOKUP(AC264,INDIRECT(LEFT(AD263,2)&amp;"部件升阶"),5,TRUE),3)*1,VLOOKUP(AD263,INDIRECT(LEFT(AD263,2)&amp;"部件升阶消耗"),2,FALSE),0),0)</f>
        <v>3100.3333333333417</v>
      </c>
      <c r="AD265" s="360" t="e">
        <f t="shared" ca="1" si="167"/>
        <v>#REF!</v>
      </c>
      <c r="AE265" s="375" t="e">
        <f ca="1">$D$15*$L$4/坦克部件养成!$C$2+AE264-IF(LEFT(AD265,2)&lt;&gt;LEFT(AD264,2),VLOOKUP(AF264,INDIRECT(LEFT(AD264,2)&amp;"部件升级消耗"),5,FALSE),0)</f>
        <v>#REF!</v>
      </c>
      <c r="AF265" s="360" t="e">
        <f ca="1">MIN(VLOOKUP(AE265,INDIRECT(LEFT(AD265,2)&amp;"部件升级"),2,TRUE),VLOOKUP(LEFT(AD265,2),坦克部件养成!#REF!,6,FALSE))</f>
        <v>#REF!</v>
      </c>
      <c r="AG265" s="378" t="e">
        <f ca="1">MAX(BD$4:BD265)</f>
        <v>#REF!</v>
      </c>
      <c r="AH265" s="378" t="str">
        <f t="shared" ca="1" si="168"/>
        <v/>
      </c>
      <c r="AI265" s="378">
        <f ca="1">IF(Y265="NULL",0,MAX(BY$4:BY265))</f>
        <v>0</v>
      </c>
      <c r="AK265" s="364" t="e">
        <f t="shared" ca="1" si="169"/>
        <v>#REF!</v>
      </c>
      <c r="AL265" s="364" t="e">
        <f ca="1">VLOOKUP(AK265,坦克个性化设定!$B$18:$F$48,5,FALSE)</f>
        <v>#REF!</v>
      </c>
      <c r="AM265" s="372" t="e">
        <f t="shared" ca="1" si="170"/>
        <v>#REF!</v>
      </c>
      <c r="AN265" s="372" t="e">
        <f t="shared" ca="1" si="178"/>
        <v>#REF!</v>
      </c>
      <c r="AO265" s="364">
        <f t="shared" ca="1" si="171"/>
        <v>0</v>
      </c>
      <c r="AP265" s="372" t="e">
        <f ca="1">VLOOKUP($AK265&amp;$AO265,所有坦克升星属性,MATCH(AP$3,所有坦克升星属性标头,0),FALSE)+ROUND(AU265/VLOOKUP($AK265,坦克部件!#REF!,4,FALSE)*VLOOKUP($AK265&amp;0,所有坦克升星属性,MATCH(AP$3,所有坦克升星属性标头,0),FALSE),0)</f>
        <v>#REF!</v>
      </c>
      <c r="AQ265" s="372" t="e">
        <f ca="1">VLOOKUP($AK265&amp;$AO265,所有坦克升星属性,MATCH(AQ$3,所有坦克升星属性标头,0),FALSE)+ROUND(AV265/VLOOKUP($AK265,坦克部件!#REF!,4,FALSE)*VLOOKUP($AK265&amp;0,所有坦克升星属性,MATCH(AQ$3,所有坦克升星属性标头,0),FALSE),0)</f>
        <v>#REF!</v>
      </c>
      <c r="AR265" s="372" t="e">
        <f t="shared" ca="1" si="185"/>
        <v>#REF!</v>
      </c>
      <c r="AS265" s="372" t="e">
        <f t="shared" ca="1" si="185"/>
        <v>#REF!</v>
      </c>
      <c r="AT265" s="372" t="e">
        <f ca="1">VLOOKUP($AK265&amp;$AO265,所有坦克升星属性,MATCH(AT$3,所有坦克升星属性标头,0),FALSE)+ROUND(AW265/VLOOKUP($AK265,坦克部件!#REF!,4,FALSE)*VLOOKUP($AK265&amp;0,所有坦克升星属性,MATCH(AT$3,所有坦克升星属性标头,0),FALSE),0)</f>
        <v>#REF!</v>
      </c>
      <c r="AU265" s="372" t="e">
        <f ca="1">(VLOOKUP($AM265,坦克部件!#REF!,MATCH("标准值",坦克部件!#REF!,0),FALSE)+VLOOKUP($AN265,坦克部件!#REF!,MATCH("标准值",坦克部件!#REF!,0),FALSE))*2</f>
        <v>#REF!</v>
      </c>
      <c r="AV265" s="372" t="e">
        <f ca="1">(VLOOKUP($AM265,坦克部件!#REF!,MATCH("标准值",坦克部件!#REF!,0),FALSE)+VLOOKUP($AN265,坦克部件!#REF!,MATCH("标准值",坦克部件!#REF!,0),FALSE))*2</f>
        <v>#REF!</v>
      </c>
      <c r="AW265" s="372" t="e">
        <f ca="1">(VLOOKUP($AM265,坦克部件!#REF!,MATCH("标准值",坦克部件!#REF!,0),FALSE)+VLOOKUP($AN265,坦克部件!#REF!,MATCH("标准值",坦克部件!#REF!,0),FALSE))*2</f>
        <v>#REF!</v>
      </c>
      <c r="AX265" s="372" t="e">
        <f ca="1">VLOOKUP($AK265,坦克属性统计!$B$3:$AY$33,MATCH(AX$3,坦克属性统计!$B$3:$AY$3,0),FALSE)</f>
        <v>#REF!</v>
      </c>
      <c r="AY265" s="372" t="e">
        <f t="shared" ca="1" si="186"/>
        <v>#REF!</v>
      </c>
      <c r="AZ265" s="372" t="e">
        <f t="shared" ca="1" si="186"/>
        <v>#REF!</v>
      </c>
      <c r="BA265" s="372" t="e">
        <f t="shared" ca="1" si="186"/>
        <v>#REF!</v>
      </c>
      <c r="BB265" s="356" t="e">
        <f t="shared" ca="1" si="172"/>
        <v>#REF!</v>
      </c>
      <c r="BC265" s="356" t="e">
        <f ca="1">VLOOKUP(AK265,坦克个性化设定!$B$18:$E$48,4,FALSE)</f>
        <v>#REF!</v>
      </c>
      <c r="BD265" s="357" t="e">
        <f t="shared" ca="1" si="179"/>
        <v>#REF!</v>
      </c>
      <c r="BF265" s="357" t="str">
        <f t="shared" ca="1" si="173"/>
        <v/>
      </c>
      <c r="BG265" s="372" t="str">
        <f ca="1">IFERROR(VLOOKUP(BF265,坦克个性化设定!$B$18:$F$48,5,FALSE),"")</f>
        <v/>
      </c>
      <c r="BH265" s="372" t="e">
        <f t="shared" ca="1" si="180"/>
        <v>#REF!</v>
      </c>
      <c r="BI265" s="372" t="e">
        <f t="shared" ca="1" si="181"/>
        <v>#REF!</v>
      </c>
      <c r="BJ265" s="364" t="str">
        <f t="shared" ca="1" si="174"/>
        <v>NULL</v>
      </c>
      <c r="BK265" s="372" t="e">
        <f ca="1">VLOOKUP($BF265&amp;IF($BJ265="NULL",0,$BJ265),所有坦克升星属性,MATCH(BK$3,所有坦克升星属性标头,0),FALSE)+ROUND(BP265/VLOOKUP($BF265,坦克部件!#REF!,4,FALSE)*VLOOKUP($BF265&amp;0,所有坦克升星属性,MATCH(BK$3,所有坦克升星属性标头,0),FALSE),0)</f>
        <v>#N/A</v>
      </c>
      <c r="BL265" s="372" t="e">
        <f ca="1">VLOOKUP($BF265&amp;IF($BJ265="NULL",0,$BJ265),所有坦克升星属性,MATCH(BL$3,所有坦克升星属性标头,0),FALSE)+ROUND(BQ265/VLOOKUP($BF265,坦克部件!#REF!,4,FALSE)*VLOOKUP($BF265&amp;0,所有坦克升星属性,MATCH(BL$3,所有坦克升星属性标头,0),FALSE),0)</f>
        <v>#N/A</v>
      </c>
      <c r="BM265" s="372" t="e">
        <f t="shared" ca="1" si="187"/>
        <v>#N/A</v>
      </c>
      <c r="BN265" s="372" t="e">
        <f t="shared" ca="1" si="187"/>
        <v>#N/A</v>
      </c>
      <c r="BO265" s="372" t="e">
        <f ca="1">VLOOKUP($BF265&amp;IF($BJ265="NULL",0,$BJ265),所有坦克升星属性,MATCH(BO$3,所有坦克升星属性标头,0),FALSE)+ROUND(BR265/VLOOKUP($BF265,坦克部件!#REF!,4,FALSE)*VLOOKUP($BF265&amp;0,所有坦克升星属性,MATCH(BO$3,所有坦克升星属性标头,0),FALSE),0)</f>
        <v>#N/A</v>
      </c>
      <c r="BP265" s="372" t="e">
        <f ca="1">(VLOOKUP($BH265,坦克部件!#REF!,MATCH("标准值",坦克部件!#REF!,0),FALSE)+VLOOKUP($BI265,坦克部件!#REF!,MATCH("标准值",坦克部件!#REF!,0),FALSE))*2</f>
        <v>#REF!</v>
      </c>
      <c r="BQ265" s="372" t="e">
        <f ca="1">(VLOOKUP($BH265,坦克部件!#REF!,MATCH("标准值",坦克部件!#REF!,0),FALSE)+VLOOKUP($BI265,坦克部件!#REF!,MATCH("标准值",坦克部件!#REF!,0),FALSE))*2</f>
        <v>#REF!</v>
      </c>
      <c r="BR265" s="372" t="e">
        <f ca="1">(VLOOKUP($BH265,坦克部件!#REF!,MATCH("标准值",坦克部件!#REF!,0),FALSE)+VLOOKUP($BI265,坦克部件!#REF!,MATCH("标准值",坦克部件!#REF!,0),FALSE))*2</f>
        <v>#REF!</v>
      </c>
      <c r="BS265" s="372" t="e">
        <f ca="1">VLOOKUP($BF265,坦克属性统计!$B$3:$AY$33,MATCH(BS$3,坦克属性统计!$B$3:$AY$3,0),FALSE)</f>
        <v>#N/A</v>
      </c>
      <c r="BT265" s="372" t="e">
        <f t="shared" ca="1" si="188"/>
        <v>#N/A</v>
      </c>
      <c r="BU265" s="372" t="e">
        <f t="shared" ca="1" si="188"/>
        <v>#N/A</v>
      </c>
      <c r="BV265" s="372" t="e">
        <f t="shared" ca="1" si="188"/>
        <v>#N/A</v>
      </c>
      <c r="BW265" s="356">
        <f t="shared" ca="1" si="175"/>
        <v>0</v>
      </c>
      <c r="BX265" s="356" t="e">
        <f ca="1">VLOOKUP(BF265,坦克个性化设定!$B$18:$E$48,4,FALSE)</f>
        <v>#N/A</v>
      </c>
      <c r="BY265" s="357" t="e">
        <f t="shared" ca="1" si="182"/>
        <v>#N/A</v>
      </c>
    </row>
    <row r="266" spans="15:77" x14ac:dyDescent="0.35">
      <c r="O266" s="365">
        <v>263</v>
      </c>
      <c r="P266" s="360" t="e">
        <f t="shared" ca="1" si="152"/>
        <v>#REF!</v>
      </c>
      <c r="Q266" s="360" t="e">
        <f ca="1">ROUND(MIN((BD266-VLOOKUP(R266,$B$22:$F$46,2,FALSE))/(VLOOKUP(R266,$B$22:$F$46,3,FALSE)-VLOOKUP(R266,$B$22:$F$46,2,FALSE)),1)*((VLOOKUP(R266,$B$22:$F$46,4,FALSE)*(AG266/(AG266+VLOOKUP(P266,$D$49:$F$123,3,TRUE)))+VLOOKUP(R266,$B$22:$F$46,5,FALSE)*(1-AG266/(AG266+VLOOKUP(P266,$D$49:$F$123,3,TRUE))))/2)*游戏时长规划!$C$4,0)</f>
        <v>#REF!</v>
      </c>
      <c r="R266" s="360" t="e">
        <f t="shared" ca="1" si="162"/>
        <v>#REF!</v>
      </c>
      <c r="S266" s="360" t="e">
        <f t="shared" ca="1" si="183"/>
        <v>#REF!</v>
      </c>
      <c r="T266" s="360" t="e">
        <f t="shared" ca="1" si="153"/>
        <v>#REF!</v>
      </c>
      <c r="U266" s="370" t="e">
        <f t="shared" ca="1" si="163"/>
        <v>#REF!</v>
      </c>
      <c r="V266" s="363" t="e">
        <f t="shared" ca="1" si="184"/>
        <v>#REF!</v>
      </c>
      <c r="W266" s="360" t="e">
        <f t="shared" ca="1" si="164"/>
        <v>#REF!</v>
      </c>
      <c r="X266" s="81" t="e">
        <f t="shared" ca="1" si="176"/>
        <v>#REF!</v>
      </c>
      <c r="Y266" s="360" t="str">
        <f t="shared" ca="1" si="165"/>
        <v>NULL</v>
      </c>
      <c r="Z266" s="375" t="e">
        <f t="shared" ca="1" si="177"/>
        <v>#REF!</v>
      </c>
      <c r="AA266" s="360">
        <f ca="1">IFERROR(VLOOKUP(IF(V266="T1低",游戏时长规划!$C$67+Z266,Z266),INDIRECT(V266&amp;"星级"),2,TRUE),0)</f>
        <v>0</v>
      </c>
      <c r="AB266" s="375" t="e">
        <f t="shared" ca="1" si="166"/>
        <v>#REF!</v>
      </c>
      <c r="AC266" s="375">
        <f ca="1">($D$14+$D$17)*$L$4/坦克部件养成!$C$2+AC265-IFERROR(IF(RIGHT(AD265,3)*1&gt;RIGHT(VLOOKUP(AC265,INDIRECT(LEFT(AD264,2)&amp;"部件升阶"),5,TRUE),3)*1,VLOOKUP(AD264,INDIRECT(LEFT(AD264,2)&amp;"部件升阶消耗"),2,FALSE),0),0)</f>
        <v>3112.1666666666752</v>
      </c>
      <c r="AD266" s="360" t="e">
        <f t="shared" ca="1" si="167"/>
        <v>#REF!</v>
      </c>
      <c r="AE266" s="375" t="e">
        <f ca="1">$D$15*$L$4/坦克部件养成!$C$2+AE265-IF(LEFT(AD266,2)&lt;&gt;LEFT(AD265,2),VLOOKUP(AF265,INDIRECT(LEFT(AD265,2)&amp;"部件升级消耗"),5,FALSE),0)</f>
        <v>#REF!</v>
      </c>
      <c r="AF266" s="360" t="e">
        <f ca="1">MIN(VLOOKUP(AE266,INDIRECT(LEFT(AD266,2)&amp;"部件升级"),2,TRUE),VLOOKUP(LEFT(AD266,2),坦克部件养成!#REF!,6,FALSE))</f>
        <v>#REF!</v>
      </c>
      <c r="AG266" s="378" t="e">
        <f ca="1">MAX(BD$4:BD266)</f>
        <v>#REF!</v>
      </c>
      <c r="AH266" s="378" t="str">
        <f t="shared" ca="1" si="168"/>
        <v/>
      </c>
      <c r="AI266" s="378">
        <f ca="1">IF(Y266="NULL",0,MAX(BY$4:BY266))</f>
        <v>0</v>
      </c>
      <c r="AK266" s="364" t="e">
        <f t="shared" ca="1" si="169"/>
        <v>#REF!</v>
      </c>
      <c r="AL266" s="364" t="e">
        <f ca="1">VLOOKUP(AK266,坦克个性化设定!$B$18:$F$48,5,FALSE)</f>
        <v>#REF!</v>
      </c>
      <c r="AM266" s="372" t="e">
        <f t="shared" ca="1" si="170"/>
        <v>#REF!</v>
      </c>
      <c r="AN266" s="372" t="e">
        <f t="shared" ca="1" si="178"/>
        <v>#REF!</v>
      </c>
      <c r="AO266" s="364">
        <f t="shared" ca="1" si="171"/>
        <v>0</v>
      </c>
      <c r="AP266" s="372" t="e">
        <f ca="1">VLOOKUP($AK266&amp;$AO266,所有坦克升星属性,MATCH(AP$3,所有坦克升星属性标头,0),FALSE)+ROUND(AU266/VLOOKUP($AK266,坦克部件!#REF!,4,FALSE)*VLOOKUP($AK266&amp;0,所有坦克升星属性,MATCH(AP$3,所有坦克升星属性标头,0),FALSE),0)</f>
        <v>#REF!</v>
      </c>
      <c r="AQ266" s="372" t="e">
        <f ca="1">VLOOKUP($AK266&amp;$AO266,所有坦克升星属性,MATCH(AQ$3,所有坦克升星属性标头,0),FALSE)+ROUND(AV266/VLOOKUP($AK266,坦克部件!#REF!,4,FALSE)*VLOOKUP($AK266&amp;0,所有坦克升星属性,MATCH(AQ$3,所有坦克升星属性标头,0),FALSE),0)</f>
        <v>#REF!</v>
      </c>
      <c r="AR266" s="372" t="e">
        <f t="shared" ca="1" si="185"/>
        <v>#REF!</v>
      </c>
      <c r="AS266" s="372" t="e">
        <f t="shared" ca="1" si="185"/>
        <v>#REF!</v>
      </c>
      <c r="AT266" s="372" t="e">
        <f ca="1">VLOOKUP($AK266&amp;$AO266,所有坦克升星属性,MATCH(AT$3,所有坦克升星属性标头,0),FALSE)+ROUND(AW266/VLOOKUP($AK266,坦克部件!#REF!,4,FALSE)*VLOOKUP($AK266&amp;0,所有坦克升星属性,MATCH(AT$3,所有坦克升星属性标头,0),FALSE),0)</f>
        <v>#REF!</v>
      </c>
      <c r="AU266" s="372" t="e">
        <f ca="1">(VLOOKUP($AM266,坦克部件!#REF!,MATCH("标准值",坦克部件!#REF!,0),FALSE)+VLOOKUP($AN266,坦克部件!#REF!,MATCH("标准值",坦克部件!#REF!,0),FALSE))*2</f>
        <v>#REF!</v>
      </c>
      <c r="AV266" s="372" t="e">
        <f ca="1">(VLOOKUP($AM266,坦克部件!#REF!,MATCH("标准值",坦克部件!#REF!,0),FALSE)+VLOOKUP($AN266,坦克部件!#REF!,MATCH("标准值",坦克部件!#REF!,0),FALSE))*2</f>
        <v>#REF!</v>
      </c>
      <c r="AW266" s="372" t="e">
        <f ca="1">(VLOOKUP($AM266,坦克部件!#REF!,MATCH("标准值",坦克部件!#REF!,0),FALSE)+VLOOKUP($AN266,坦克部件!#REF!,MATCH("标准值",坦克部件!#REF!,0),FALSE))*2</f>
        <v>#REF!</v>
      </c>
      <c r="AX266" s="372" t="e">
        <f ca="1">VLOOKUP($AK266,坦克属性统计!$B$3:$AY$33,MATCH(AX$3,坦克属性统计!$B$3:$AY$3,0),FALSE)</f>
        <v>#REF!</v>
      </c>
      <c r="AY266" s="372" t="e">
        <f t="shared" ca="1" si="186"/>
        <v>#REF!</v>
      </c>
      <c r="AZ266" s="372" t="e">
        <f t="shared" ca="1" si="186"/>
        <v>#REF!</v>
      </c>
      <c r="BA266" s="372" t="e">
        <f t="shared" ca="1" si="186"/>
        <v>#REF!</v>
      </c>
      <c r="BB266" s="356" t="e">
        <f t="shared" ca="1" si="172"/>
        <v>#REF!</v>
      </c>
      <c r="BC266" s="356" t="e">
        <f ca="1">VLOOKUP(AK266,坦克个性化设定!$B$18:$E$48,4,FALSE)</f>
        <v>#REF!</v>
      </c>
      <c r="BD266" s="357" t="e">
        <f t="shared" ca="1" si="179"/>
        <v>#REF!</v>
      </c>
      <c r="BF266" s="357" t="str">
        <f t="shared" ca="1" si="173"/>
        <v/>
      </c>
      <c r="BG266" s="372" t="str">
        <f ca="1">IFERROR(VLOOKUP(BF266,坦克个性化设定!$B$18:$F$48,5,FALSE),"")</f>
        <v/>
      </c>
      <c r="BH266" s="372" t="e">
        <f t="shared" ca="1" si="180"/>
        <v>#REF!</v>
      </c>
      <c r="BI266" s="372" t="e">
        <f t="shared" ca="1" si="181"/>
        <v>#REF!</v>
      </c>
      <c r="BJ266" s="364" t="str">
        <f t="shared" ca="1" si="174"/>
        <v>NULL</v>
      </c>
      <c r="BK266" s="372" t="e">
        <f ca="1">VLOOKUP($BF266&amp;IF($BJ266="NULL",0,$BJ266),所有坦克升星属性,MATCH(BK$3,所有坦克升星属性标头,0),FALSE)+ROUND(BP266/VLOOKUP($BF266,坦克部件!#REF!,4,FALSE)*VLOOKUP($BF266&amp;0,所有坦克升星属性,MATCH(BK$3,所有坦克升星属性标头,0),FALSE),0)</f>
        <v>#N/A</v>
      </c>
      <c r="BL266" s="372" t="e">
        <f ca="1">VLOOKUP($BF266&amp;IF($BJ266="NULL",0,$BJ266),所有坦克升星属性,MATCH(BL$3,所有坦克升星属性标头,0),FALSE)+ROUND(BQ266/VLOOKUP($BF266,坦克部件!#REF!,4,FALSE)*VLOOKUP($BF266&amp;0,所有坦克升星属性,MATCH(BL$3,所有坦克升星属性标头,0),FALSE),0)</f>
        <v>#N/A</v>
      </c>
      <c r="BM266" s="372" t="e">
        <f t="shared" ca="1" si="187"/>
        <v>#N/A</v>
      </c>
      <c r="BN266" s="372" t="e">
        <f t="shared" ca="1" si="187"/>
        <v>#N/A</v>
      </c>
      <c r="BO266" s="372" t="e">
        <f ca="1">VLOOKUP($BF266&amp;IF($BJ266="NULL",0,$BJ266),所有坦克升星属性,MATCH(BO$3,所有坦克升星属性标头,0),FALSE)+ROUND(BR266/VLOOKUP($BF266,坦克部件!#REF!,4,FALSE)*VLOOKUP($BF266&amp;0,所有坦克升星属性,MATCH(BO$3,所有坦克升星属性标头,0),FALSE),0)</f>
        <v>#N/A</v>
      </c>
      <c r="BP266" s="372" t="e">
        <f ca="1">(VLOOKUP($BH266,坦克部件!#REF!,MATCH("标准值",坦克部件!#REF!,0),FALSE)+VLOOKUP($BI266,坦克部件!#REF!,MATCH("标准值",坦克部件!#REF!,0),FALSE))*2</f>
        <v>#REF!</v>
      </c>
      <c r="BQ266" s="372" t="e">
        <f ca="1">(VLOOKUP($BH266,坦克部件!#REF!,MATCH("标准值",坦克部件!#REF!,0),FALSE)+VLOOKUP($BI266,坦克部件!#REF!,MATCH("标准值",坦克部件!#REF!,0),FALSE))*2</f>
        <v>#REF!</v>
      </c>
      <c r="BR266" s="372" t="e">
        <f ca="1">(VLOOKUP($BH266,坦克部件!#REF!,MATCH("标准值",坦克部件!#REF!,0),FALSE)+VLOOKUP($BI266,坦克部件!#REF!,MATCH("标准值",坦克部件!#REF!,0),FALSE))*2</f>
        <v>#REF!</v>
      </c>
      <c r="BS266" s="372" t="e">
        <f ca="1">VLOOKUP($BF266,坦克属性统计!$B$3:$AY$33,MATCH(BS$3,坦克属性统计!$B$3:$AY$3,0),FALSE)</f>
        <v>#N/A</v>
      </c>
      <c r="BT266" s="372" t="e">
        <f t="shared" ca="1" si="188"/>
        <v>#N/A</v>
      </c>
      <c r="BU266" s="372" t="e">
        <f t="shared" ca="1" si="188"/>
        <v>#N/A</v>
      </c>
      <c r="BV266" s="372" t="e">
        <f t="shared" ca="1" si="188"/>
        <v>#N/A</v>
      </c>
      <c r="BW266" s="356">
        <f t="shared" ca="1" si="175"/>
        <v>0</v>
      </c>
      <c r="BX266" s="356" t="e">
        <f ca="1">VLOOKUP(BF266,坦克个性化设定!$B$18:$E$48,4,FALSE)</f>
        <v>#N/A</v>
      </c>
      <c r="BY266" s="357" t="e">
        <f t="shared" ca="1" si="182"/>
        <v>#N/A</v>
      </c>
    </row>
    <row r="267" spans="15:77" x14ac:dyDescent="0.35">
      <c r="O267" s="365">
        <v>264</v>
      </c>
      <c r="P267" s="360" t="e">
        <f t="shared" ca="1" si="152"/>
        <v>#REF!</v>
      </c>
      <c r="Q267" s="360" t="e">
        <f ca="1">ROUND(MIN((BD267-VLOOKUP(R267,$B$22:$F$46,2,FALSE))/(VLOOKUP(R267,$B$22:$F$46,3,FALSE)-VLOOKUP(R267,$B$22:$F$46,2,FALSE)),1)*((VLOOKUP(R267,$B$22:$F$46,4,FALSE)*(AG267/(AG267+VLOOKUP(P267,$D$49:$F$123,3,TRUE)))+VLOOKUP(R267,$B$22:$F$46,5,FALSE)*(1-AG267/(AG267+VLOOKUP(P267,$D$49:$F$123,3,TRUE))))/2)*游戏时长规划!$C$4,0)</f>
        <v>#REF!</v>
      </c>
      <c r="R267" s="360" t="e">
        <f t="shared" ca="1" si="162"/>
        <v>#REF!</v>
      </c>
      <c r="S267" s="360" t="e">
        <f t="shared" ca="1" si="183"/>
        <v>#REF!</v>
      </c>
      <c r="T267" s="360" t="e">
        <f t="shared" ca="1" si="153"/>
        <v>#REF!</v>
      </c>
      <c r="U267" s="370" t="e">
        <f t="shared" ca="1" si="163"/>
        <v>#REF!</v>
      </c>
      <c r="V267" s="363" t="e">
        <f t="shared" ca="1" si="184"/>
        <v>#REF!</v>
      </c>
      <c r="W267" s="360" t="e">
        <f t="shared" ca="1" si="164"/>
        <v>#REF!</v>
      </c>
      <c r="X267" s="81" t="e">
        <f t="shared" ca="1" si="176"/>
        <v>#REF!</v>
      </c>
      <c r="Y267" s="360" t="str">
        <f t="shared" ca="1" si="165"/>
        <v>NULL</v>
      </c>
      <c r="Z267" s="375" t="e">
        <f t="shared" ca="1" si="177"/>
        <v>#REF!</v>
      </c>
      <c r="AA267" s="360">
        <f ca="1">IFERROR(VLOOKUP(IF(V267="T1低",游戏时长规划!$C$67+Z267,Z267),INDIRECT(V267&amp;"星级"),2,TRUE),0)</f>
        <v>0</v>
      </c>
      <c r="AB267" s="375" t="e">
        <f t="shared" ca="1" si="166"/>
        <v>#REF!</v>
      </c>
      <c r="AC267" s="375">
        <f ca="1">($D$14+$D$17)*$L$4/坦克部件养成!$C$2+AC266-IFERROR(IF(RIGHT(AD266,3)*1&gt;RIGHT(VLOOKUP(AC266,INDIRECT(LEFT(AD265,2)&amp;"部件升阶"),5,TRUE),3)*1,VLOOKUP(AD265,INDIRECT(LEFT(AD265,2)&amp;"部件升阶消耗"),2,FALSE),0),0)</f>
        <v>3124.0000000000086</v>
      </c>
      <c r="AD267" s="360" t="e">
        <f t="shared" ca="1" si="167"/>
        <v>#REF!</v>
      </c>
      <c r="AE267" s="375" t="e">
        <f ca="1">$D$15*$L$4/坦克部件养成!$C$2+AE266-IF(LEFT(AD267,2)&lt;&gt;LEFT(AD266,2),VLOOKUP(AF266,INDIRECT(LEFT(AD266,2)&amp;"部件升级消耗"),5,FALSE),0)</f>
        <v>#REF!</v>
      </c>
      <c r="AF267" s="360" t="e">
        <f ca="1">MIN(VLOOKUP(AE267,INDIRECT(LEFT(AD267,2)&amp;"部件升级"),2,TRUE),VLOOKUP(LEFT(AD267,2),坦克部件养成!#REF!,6,FALSE))</f>
        <v>#REF!</v>
      </c>
      <c r="AG267" s="378" t="e">
        <f ca="1">MAX(BD$4:BD267)</f>
        <v>#REF!</v>
      </c>
      <c r="AH267" s="378" t="str">
        <f t="shared" ca="1" si="168"/>
        <v/>
      </c>
      <c r="AI267" s="378">
        <f ca="1">IF(Y267="NULL",0,MAX(BY$4:BY267))</f>
        <v>0</v>
      </c>
      <c r="AK267" s="364" t="e">
        <f t="shared" ca="1" si="169"/>
        <v>#REF!</v>
      </c>
      <c r="AL267" s="364" t="e">
        <f ca="1">VLOOKUP(AK267,坦克个性化设定!$B$18:$F$48,5,FALSE)</f>
        <v>#REF!</v>
      </c>
      <c r="AM267" s="372" t="e">
        <f t="shared" ca="1" si="170"/>
        <v>#REF!</v>
      </c>
      <c r="AN267" s="372" t="e">
        <f t="shared" ca="1" si="178"/>
        <v>#REF!</v>
      </c>
      <c r="AO267" s="364">
        <f t="shared" ca="1" si="171"/>
        <v>0</v>
      </c>
      <c r="AP267" s="372" t="e">
        <f ca="1">VLOOKUP($AK267&amp;$AO267,所有坦克升星属性,MATCH(AP$3,所有坦克升星属性标头,0),FALSE)+ROUND(AU267/VLOOKUP($AK267,坦克部件!#REF!,4,FALSE)*VLOOKUP($AK267&amp;0,所有坦克升星属性,MATCH(AP$3,所有坦克升星属性标头,0),FALSE),0)</f>
        <v>#REF!</v>
      </c>
      <c r="AQ267" s="372" t="e">
        <f ca="1">VLOOKUP($AK267&amp;$AO267,所有坦克升星属性,MATCH(AQ$3,所有坦克升星属性标头,0),FALSE)+ROUND(AV267/VLOOKUP($AK267,坦克部件!#REF!,4,FALSE)*VLOOKUP($AK267&amp;0,所有坦克升星属性,MATCH(AQ$3,所有坦克升星属性标头,0),FALSE),0)</f>
        <v>#REF!</v>
      </c>
      <c r="AR267" s="372" t="e">
        <f t="shared" ca="1" si="185"/>
        <v>#REF!</v>
      </c>
      <c r="AS267" s="372" t="e">
        <f t="shared" ca="1" si="185"/>
        <v>#REF!</v>
      </c>
      <c r="AT267" s="372" t="e">
        <f ca="1">VLOOKUP($AK267&amp;$AO267,所有坦克升星属性,MATCH(AT$3,所有坦克升星属性标头,0),FALSE)+ROUND(AW267/VLOOKUP($AK267,坦克部件!#REF!,4,FALSE)*VLOOKUP($AK267&amp;0,所有坦克升星属性,MATCH(AT$3,所有坦克升星属性标头,0),FALSE),0)</f>
        <v>#REF!</v>
      </c>
      <c r="AU267" s="372" t="e">
        <f ca="1">(VLOOKUP($AM267,坦克部件!#REF!,MATCH("标准值",坦克部件!#REF!,0),FALSE)+VLOOKUP($AN267,坦克部件!#REF!,MATCH("标准值",坦克部件!#REF!,0),FALSE))*2</f>
        <v>#REF!</v>
      </c>
      <c r="AV267" s="372" t="e">
        <f ca="1">(VLOOKUP($AM267,坦克部件!#REF!,MATCH("标准值",坦克部件!#REF!,0),FALSE)+VLOOKUP($AN267,坦克部件!#REF!,MATCH("标准值",坦克部件!#REF!,0),FALSE))*2</f>
        <v>#REF!</v>
      </c>
      <c r="AW267" s="372" t="e">
        <f ca="1">(VLOOKUP($AM267,坦克部件!#REF!,MATCH("标准值",坦克部件!#REF!,0),FALSE)+VLOOKUP($AN267,坦克部件!#REF!,MATCH("标准值",坦克部件!#REF!,0),FALSE))*2</f>
        <v>#REF!</v>
      </c>
      <c r="AX267" s="372" t="e">
        <f ca="1">VLOOKUP($AK267,坦克属性统计!$B$3:$AY$33,MATCH(AX$3,坦克属性统计!$B$3:$AY$3,0),FALSE)</f>
        <v>#REF!</v>
      </c>
      <c r="AY267" s="372" t="e">
        <f t="shared" ca="1" si="186"/>
        <v>#REF!</v>
      </c>
      <c r="AZ267" s="372" t="e">
        <f t="shared" ca="1" si="186"/>
        <v>#REF!</v>
      </c>
      <c r="BA267" s="372" t="e">
        <f t="shared" ca="1" si="186"/>
        <v>#REF!</v>
      </c>
      <c r="BB267" s="356" t="e">
        <f t="shared" ca="1" si="172"/>
        <v>#REF!</v>
      </c>
      <c r="BC267" s="356" t="e">
        <f ca="1">VLOOKUP(AK267,坦克个性化设定!$B$18:$E$48,4,FALSE)</f>
        <v>#REF!</v>
      </c>
      <c r="BD267" s="357" t="e">
        <f t="shared" ca="1" si="179"/>
        <v>#REF!</v>
      </c>
      <c r="BF267" s="357" t="str">
        <f t="shared" ca="1" si="173"/>
        <v/>
      </c>
      <c r="BG267" s="372" t="str">
        <f ca="1">IFERROR(VLOOKUP(BF267,坦克个性化设定!$B$18:$F$48,5,FALSE),"")</f>
        <v/>
      </c>
      <c r="BH267" s="372" t="e">
        <f t="shared" ca="1" si="180"/>
        <v>#REF!</v>
      </c>
      <c r="BI267" s="372" t="e">
        <f t="shared" ca="1" si="181"/>
        <v>#REF!</v>
      </c>
      <c r="BJ267" s="364" t="str">
        <f t="shared" ca="1" si="174"/>
        <v>NULL</v>
      </c>
      <c r="BK267" s="372" t="e">
        <f ca="1">VLOOKUP($BF267&amp;IF($BJ267="NULL",0,$BJ267),所有坦克升星属性,MATCH(BK$3,所有坦克升星属性标头,0),FALSE)+ROUND(BP267/VLOOKUP($BF267,坦克部件!#REF!,4,FALSE)*VLOOKUP($BF267&amp;0,所有坦克升星属性,MATCH(BK$3,所有坦克升星属性标头,0),FALSE),0)</f>
        <v>#N/A</v>
      </c>
      <c r="BL267" s="372" t="e">
        <f ca="1">VLOOKUP($BF267&amp;IF($BJ267="NULL",0,$BJ267),所有坦克升星属性,MATCH(BL$3,所有坦克升星属性标头,0),FALSE)+ROUND(BQ267/VLOOKUP($BF267,坦克部件!#REF!,4,FALSE)*VLOOKUP($BF267&amp;0,所有坦克升星属性,MATCH(BL$3,所有坦克升星属性标头,0),FALSE),0)</f>
        <v>#N/A</v>
      </c>
      <c r="BM267" s="372" t="e">
        <f t="shared" ca="1" si="187"/>
        <v>#N/A</v>
      </c>
      <c r="BN267" s="372" t="e">
        <f t="shared" ca="1" si="187"/>
        <v>#N/A</v>
      </c>
      <c r="BO267" s="372" t="e">
        <f ca="1">VLOOKUP($BF267&amp;IF($BJ267="NULL",0,$BJ267),所有坦克升星属性,MATCH(BO$3,所有坦克升星属性标头,0),FALSE)+ROUND(BR267/VLOOKUP($BF267,坦克部件!#REF!,4,FALSE)*VLOOKUP($BF267&amp;0,所有坦克升星属性,MATCH(BO$3,所有坦克升星属性标头,0),FALSE),0)</f>
        <v>#N/A</v>
      </c>
      <c r="BP267" s="372" t="e">
        <f ca="1">(VLOOKUP($BH267,坦克部件!#REF!,MATCH("标准值",坦克部件!#REF!,0),FALSE)+VLOOKUP($BI267,坦克部件!#REF!,MATCH("标准值",坦克部件!#REF!,0),FALSE))*2</f>
        <v>#REF!</v>
      </c>
      <c r="BQ267" s="372" t="e">
        <f ca="1">(VLOOKUP($BH267,坦克部件!#REF!,MATCH("标准值",坦克部件!#REF!,0),FALSE)+VLOOKUP($BI267,坦克部件!#REF!,MATCH("标准值",坦克部件!#REF!,0),FALSE))*2</f>
        <v>#REF!</v>
      </c>
      <c r="BR267" s="372" t="e">
        <f ca="1">(VLOOKUP($BH267,坦克部件!#REF!,MATCH("标准值",坦克部件!#REF!,0),FALSE)+VLOOKUP($BI267,坦克部件!#REF!,MATCH("标准值",坦克部件!#REF!,0),FALSE))*2</f>
        <v>#REF!</v>
      </c>
      <c r="BS267" s="372" t="e">
        <f ca="1">VLOOKUP($BF267,坦克属性统计!$B$3:$AY$33,MATCH(BS$3,坦克属性统计!$B$3:$AY$3,0),FALSE)</f>
        <v>#N/A</v>
      </c>
      <c r="BT267" s="372" t="e">
        <f t="shared" ca="1" si="188"/>
        <v>#N/A</v>
      </c>
      <c r="BU267" s="372" t="e">
        <f t="shared" ca="1" si="188"/>
        <v>#N/A</v>
      </c>
      <c r="BV267" s="372" t="e">
        <f t="shared" ca="1" si="188"/>
        <v>#N/A</v>
      </c>
      <c r="BW267" s="356">
        <f t="shared" ca="1" si="175"/>
        <v>0</v>
      </c>
      <c r="BX267" s="356" t="e">
        <f ca="1">VLOOKUP(BF267,坦克个性化设定!$B$18:$E$48,4,FALSE)</f>
        <v>#N/A</v>
      </c>
      <c r="BY267" s="357" t="e">
        <f t="shared" ca="1" si="182"/>
        <v>#N/A</v>
      </c>
    </row>
    <row r="268" spans="15:77" x14ac:dyDescent="0.35">
      <c r="O268" s="365">
        <v>265</v>
      </c>
      <c r="P268" s="360" t="e">
        <f t="shared" ca="1" si="152"/>
        <v>#REF!</v>
      </c>
      <c r="Q268" s="360" t="e">
        <f ca="1">ROUND(MIN((BD268-VLOOKUP(R268,$B$22:$F$46,2,FALSE))/(VLOOKUP(R268,$B$22:$F$46,3,FALSE)-VLOOKUP(R268,$B$22:$F$46,2,FALSE)),1)*((VLOOKUP(R268,$B$22:$F$46,4,FALSE)*(AG268/(AG268+VLOOKUP(P268,$D$49:$F$123,3,TRUE)))+VLOOKUP(R268,$B$22:$F$46,5,FALSE)*(1-AG268/(AG268+VLOOKUP(P268,$D$49:$F$123,3,TRUE))))/2)*游戏时长规划!$C$4,0)</f>
        <v>#REF!</v>
      </c>
      <c r="R268" s="360" t="e">
        <f t="shared" ca="1" si="162"/>
        <v>#REF!</v>
      </c>
      <c r="S268" s="360" t="e">
        <f t="shared" ca="1" si="183"/>
        <v>#REF!</v>
      </c>
      <c r="T268" s="360" t="e">
        <f t="shared" ca="1" si="153"/>
        <v>#REF!</v>
      </c>
      <c r="U268" s="370" t="e">
        <f t="shared" ca="1" si="163"/>
        <v>#REF!</v>
      </c>
      <c r="V268" s="363" t="e">
        <f t="shared" ca="1" si="184"/>
        <v>#REF!</v>
      </c>
      <c r="W268" s="360" t="e">
        <f t="shared" ca="1" si="164"/>
        <v>#REF!</v>
      </c>
      <c r="X268" s="81" t="e">
        <f t="shared" ca="1" si="176"/>
        <v>#REF!</v>
      </c>
      <c r="Y268" s="360" t="str">
        <f t="shared" ca="1" si="165"/>
        <v>NULL</v>
      </c>
      <c r="Z268" s="375" t="e">
        <f t="shared" ca="1" si="177"/>
        <v>#REF!</v>
      </c>
      <c r="AA268" s="360">
        <f ca="1">IFERROR(VLOOKUP(IF(V268="T1低",游戏时长规划!$C$67+Z268,Z268),INDIRECT(V268&amp;"星级"),2,TRUE),0)</f>
        <v>0</v>
      </c>
      <c r="AB268" s="375" t="e">
        <f t="shared" ca="1" si="166"/>
        <v>#REF!</v>
      </c>
      <c r="AC268" s="375">
        <f ca="1">($D$14+$D$17)*$L$4/坦克部件养成!$C$2+AC267-IFERROR(IF(RIGHT(AD267,3)*1&gt;RIGHT(VLOOKUP(AC267,INDIRECT(LEFT(AD266,2)&amp;"部件升阶"),5,TRUE),3)*1,VLOOKUP(AD266,INDIRECT(LEFT(AD266,2)&amp;"部件升阶消耗"),2,FALSE),0),0)</f>
        <v>3135.8333333333421</v>
      </c>
      <c r="AD268" s="360" t="e">
        <f t="shared" ca="1" si="167"/>
        <v>#REF!</v>
      </c>
      <c r="AE268" s="375" t="e">
        <f ca="1">$D$15*$L$4/坦克部件养成!$C$2+AE267-IF(LEFT(AD268,2)&lt;&gt;LEFT(AD267,2),VLOOKUP(AF267,INDIRECT(LEFT(AD267,2)&amp;"部件升级消耗"),5,FALSE),0)</f>
        <v>#REF!</v>
      </c>
      <c r="AF268" s="360" t="e">
        <f ca="1">MIN(VLOOKUP(AE268,INDIRECT(LEFT(AD268,2)&amp;"部件升级"),2,TRUE),VLOOKUP(LEFT(AD268,2),坦克部件养成!#REF!,6,FALSE))</f>
        <v>#REF!</v>
      </c>
      <c r="AG268" s="378" t="e">
        <f ca="1">MAX(BD$4:BD268)</f>
        <v>#REF!</v>
      </c>
      <c r="AH268" s="378" t="str">
        <f t="shared" ca="1" si="168"/>
        <v/>
      </c>
      <c r="AI268" s="378">
        <f ca="1">IF(Y268="NULL",0,MAX(BY$4:BY268))</f>
        <v>0</v>
      </c>
      <c r="AK268" s="364" t="e">
        <f t="shared" ca="1" si="169"/>
        <v>#REF!</v>
      </c>
      <c r="AL268" s="364" t="e">
        <f ca="1">VLOOKUP(AK268,坦克个性化设定!$B$18:$F$48,5,FALSE)</f>
        <v>#REF!</v>
      </c>
      <c r="AM268" s="372" t="e">
        <f t="shared" ca="1" si="170"/>
        <v>#REF!</v>
      </c>
      <c r="AN268" s="372" t="e">
        <f t="shared" ca="1" si="178"/>
        <v>#REF!</v>
      </c>
      <c r="AO268" s="364">
        <f t="shared" ca="1" si="171"/>
        <v>0</v>
      </c>
      <c r="AP268" s="372" t="e">
        <f ca="1">VLOOKUP($AK268&amp;$AO268,所有坦克升星属性,MATCH(AP$3,所有坦克升星属性标头,0),FALSE)+ROUND(AU268/VLOOKUP($AK268,坦克部件!#REF!,4,FALSE)*VLOOKUP($AK268&amp;0,所有坦克升星属性,MATCH(AP$3,所有坦克升星属性标头,0),FALSE),0)</f>
        <v>#REF!</v>
      </c>
      <c r="AQ268" s="372" t="e">
        <f ca="1">VLOOKUP($AK268&amp;$AO268,所有坦克升星属性,MATCH(AQ$3,所有坦克升星属性标头,0),FALSE)+ROUND(AV268/VLOOKUP($AK268,坦克部件!#REF!,4,FALSE)*VLOOKUP($AK268&amp;0,所有坦克升星属性,MATCH(AQ$3,所有坦克升星属性标头,0),FALSE),0)</f>
        <v>#REF!</v>
      </c>
      <c r="AR268" s="372" t="e">
        <f t="shared" ca="1" si="185"/>
        <v>#REF!</v>
      </c>
      <c r="AS268" s="372" t="e">
        <f t="shared" ca="1" si="185"/>
        <v>#REF!</v>
      </c>
      <c r="AT268" s="372" t="e">
        <f ca="1">VLOOKUP($AK268&amp;$AO268,所有坦克升星属性,MATCH(AT$3,所有坦克升星属性标头,0),FALSE)+ROUND(AW268/VLOOKUP($AK268,坦克部件!#REF!,4,FALSE)*VLOOKUP($AK268&amp;0,所有坦克升星属性,MATCH(AT$3,所有坦克升星属性标头,0),FALSE),0)</f>
        <v>#REF!</v>
      </c>
      <c r="AU268" s="372" t="e">
        <f ca="1">(VLOOKUP($AM268,坦克部件!#REF!,MATCH("标准值",坦克部件!#REF!,0),FALSE)+VLOOKUP($AN268,坦克部件!#REF!,MATCH("标准值",坦克部件!#REF!,0),FALSE))*2</f>
        <v>#REF!</v>
      </c>
      <c r="AV268" s="372" t="e">
        <f ca="1">(VLOOKUP($AM268,坦克部件!#REF!,MATCH("标准值",坦克部件!#REF!,0),FALSE)+VLOOKUP($AN268,坦克部件!#REF!,MATCH("标准值",坦克部件!#REF!,0),FALSE))*2</f>
        <v>#REF!</v>
      </c>
      <c r="AW268" s="372" t="e">
        <f ca="1">(VLOOKUP($AM268,坦克部件!#REF!,MATCH("标准值",坦克部件!#REF!,0),FALSE)+VLOOKUP($AN268,坦克部件!#REF!,MATCH("标准值",坦克部件!#REF!,0),FALSE))*2</f>
        <v>#REF!</v>
      </c>
      <c r="AX268" s="372" t="e">
        <f ca="1">VLOOKUP($AK268,坦克属性统计!$B$3:$AY$33,MATCH(AX$3,坦克属性统计!$B$3:$AY$3,0),FALSE)</f>
        <v>#REF!</v>
      </c>
      <c r="AY268" s="372" t="e">
        <f t="shared" ca="1" si="186"/>
        <v>#REF!</v>
      </c>
      <c r="AZ268" s="372" t="e">
        <f t="shared" ca="1" si="186"/>
        <v>#REF!</v>
      </c>
      <c r="BA268" s="372" t="e">
        <f t="shared" ca="1" si="186"/>
        <v>#REF!</v>
      </c>
      <c r="BB268" s="356" t="e">
        <f t="shared" ca="1" si="172"/>
        <v>#REF!</v>
      </c>
      <c r="BC268" s="356" t="e">
        <f ca="1">VLOOKUP(AK268,坦克个性化设定!$B$18:$E$48,4,FALSE)</f>
        <v>#REF!</v>
      </c>
      <c r="BD268" s="357" t="e">
        <f t="shared" ca="1" si="179"/>
        <v>#REF!</v>
      </c>
      <c r="BF268" s="357" t="str">
        <f t="shared" ca="1" si="173"/>
        <v/>
      </c>
      <c r="BG268" s="372" t="str">
        <f ca="1">IFERROR(VLOOKUP(BF268,坦克个性化设定!$B$18:$F$48,5,FALSE),"")</f>
        <v/>
      </c>
      <c r="BH268" s="372" t="e">
        <f t="shared" ca="1" si="180"/>
        <v>#REF!</v>
      </c>
      <c r="BI268" s="372" t="e">
        <f t="shared" ca="1" si="181"/>
        <v>#REF!</v>
      </c>
      <c r="BJ268" s="364" t="str">
        <f t="shared" ca="1" si="174"/>
        <v>NULL</v>
      </c>
      <c r="BK268" s="372" t="e">
        <f ca="1">VLOOKUP($BF268&amp;IF($BJ268="NULL",0,$BJ268),所有坦克升星属性,MATCH(BK$3,所有坦克升星属性标头,0),FALSE)+ROUND(BP268/VLOOKUP($BF268,坦克部件!#REF!,4,FALSE)*VLOOKUP($BF268&amp;0,所有坦克升星属性,MATCH(BK$3,所有坦克升星属性标头,0),FALSE),0)</f>
        <v>#N/A</v>
      </c>
      <c r="BL268" s="372" t="e">
        <f ca="1">VLOOKUP($BF268&amp;IF($BJ268="NULL",0,$BJ268),所有坦克升星属性,MATCH(BL$3,所有坦克升星属性标头,0),FALSE)+ROUND(BQ268/VLOOKUP($BF268,坦克部件!#REF!,4,FALSE)*VLOOKUP($BF268&amp;0,所有坦克升星属性,MATCH(BL$3,所有坦克升星属性标头,0),FALSE),0)</f>
        <v>#N/A</v>
      </c>
      <c r="BM268" s="372" t="e">
        <f t="shared" ca="1" si="187"/>
        <v>#N/A</v>
      </c>
      <c r="BN268" s="372" t="e">
        <f t="shared" ca="1" si="187"/>
        <v>#N/A</v>
      </c>
      <c r="BO268" s="372" t="e">
        <f ca="1">VLOOKUP($BF268&amp;IF($BJ268="NULL",0,$BJ268),所有坦克升星属性,MATCH(BO$3,所有坦克升星属性标头,0),FALSE)+ROUND(BR268/VLOOKUP($BF268,坦克部件!#REF!,4,FALSE)*VLOOKUP($BF268&amp;0,所有坦克升星属性,MATCH(BO$3,所有坦克升星属性标头,0),FALSE),0)</f>
        <v>#N/A</v>
      </c>
      <c r="BP268" s="372" t="e">
        <f ca="1">(VLOOKUP($BH268,坦克部件!#REF!,MATCH("标准值",坦克部件!#REF!,0),FALSE)+VLOOKUP($BI268,坦克部件!#REF!,MATCH("标准值",坦克部件!#REF!,0),FALSE))*2</f>
        <v>#REF!</v>
      </c>
      <c r="BQ268" s="372" t="e">
        <f ca="1">(VLOOKUP($BH268,坦克部件!#REF!,MATCH("标准值",坦克部件!#REF!,0),FALSE)+VLOOKUP($BI268,坦克部件!#REF!,MATCH("标准值",坦克部件!#REF!,0),FALSE))*2</f>
        <v>#REF!</v>
      </c>
      <c r="BR268" s="372" t="e">
        <f ca="1">(VLOOKUP($BH268,坦克部件!#REF!,MATCH("标准值",坦克部件!#REF!,0),FALSE)+VLOOKUP($BI268,坦克部件!#REF!,MATCH("标准值",坦克部件!#REF!,0),FALSE))*2</f>
        <v>#REF!</v>
      </c>
      <c r="BS268" s="372" t="e">
        <f ca="1">VLOOKUP($BF268,坦克属性统计!$B$3:$AY$33,MATCH(BS$3,坦克属性统计!$B$3:$AY$3,0),FALSE)</f>
        <v>#N/A</v>
      </c>
      <c r="BT268" s="372" t="e">
        <f t="shared" ca="1" si="188"/>
        <v>#N/A</v>
      </c>
      <c r="BU268" s="372" t="e">
        <f t="shared" ca="1" si="188"/>
        <v>#N/A</v>
      </c>
      <c r="BV268" s="372" t="e">
        <f t="shared" ca="1" si="188"/>
        <v>#N/A</v>
      </c>
      <c r="BW268" s="356">
        <f t="shared" ca="1" si="175"/>
        <v>0</v>
      </c>
      <c r="BX268" s="356" t="e">
        <f ca="1">VLOOKUP(BF268,坦克个性化设定!$B$18:$E$48,4,FALSE)</f>
        <v>#N/A</v>
      </c>
      <c r="BY268" s="357" t="e">
        <f t="shared" ca="1" si="182"/>
        <v>#N/A</v>
      </c>
    </row>
    <row r="269" spans="15:77" x14ac:dyDescent="0.35">
      <c r="O269" s="365">
        <v>266</v>
      </c>
      <c r="P269" s="360" t="e">
        <f t="shared" ca="1" si="152"/>
        <v>#REF!</v>
      </c>
      <c r="Q269" s="360" t="e">
        <f ca="1">ROUND(MIN((BD269-VLOOKUP(R269,$B$22:$F$46,2,FALSE))/(VLOOKUP(R269,$B$22:$F$46,3,FALSE)-VLOOKUP(R269,$B$22:$F$46,2,FALSE)),1)*((VLOOKUP(R269,$B$22:$F$46,4,FALSE)*(AG269/(AG269+VLOOKUP(P269,$D$49:$F$123,3,TRUE)))+VLOOKUP(R269,$B$22:$F$46,5,FALSE)*(1-AG269/(AG269+VLOOKUP(P269,$D$49:$F$123,3,TRUE))))/2)*游戏时长规划!$C$4,0)</f>
        <v>#REF!</v>
      </c>
      <c r="R269" s="360" t="e">
        <f t="shared" ca="1" si="162"/>
        <v>#REF!</v>
      </c>
      <c r="S269" s="360" t="e">
        <f t="shared" ca="1" si="183"/>
        <v>#REF!</v>
      </c>
      <c r="T269" s="360" t="e">
        <f t="shared" ca="1" si="153"/>
        <v>#REF!</v>
      </c>
      <c r="U269" s="370" t="e">
        <f t="shared" ca="1" si="163"/>
        <v>#REF!</v>
      </c>
      <c r="V269" s="363" t="e">
        <f t="shared" ca="1" si="184"/>
        <v>#REF!</v>
      </c>
      <c r="W269" s="360" t="e">
        <f t="shared" ca="1" si="164"/>
        <v>#REF!</v>
      </c>
      <c r="X269" s="81" t="e">
        <f t="shared" ca="1" si="176"/>
        <v>#REF!</v>
      </c>
      <c r="Y269" s="360" t="str">
        <f t="shared" ca="1" si="165"/>
        <v>NULL</v>
      </c>
      <c r="Z269" s="375" t="e">
        <f t="shared" ca="1" si="177"/>
        <v>#REF!</v>
      </c>
      <c r="AA269" s="360">
        <f ca="1">IFERROR(VLOOKUP(IF(V269="T1低",游戏时长规划!$C$67+Z269,Z269),INDIRECT(V269&amp;"星级"),2,TRUE),0)</f>
        <v>0</v>
      </c>
      <c r="AB269" s="375" t="e">
        <f t="shared" ca="1" si="166"/>
        <v>#REF!</v>
      </c>
      <c r="AC269" s="375">
        <f ca="1">($D$14+$D$17)*$L$4/坦克部件养成!$C$2+AC268-IFERROR(IF(RIGHT(AD268,3)*1&gt;RIGHT(VLOOKUP(AC268,INDIRECT(LEFT(AD267,2)&amp;"部件升阶"),5,TRUE),3)*1,VLOOKUP(AD267,INDIRECT(LEFT(AD267,2)&amp;"部件升阶消耗"),2,FALSE),0),0)</f>
        <v>3147.6666666666756</v>
      </c>
      <c r="AD269" s="360" t="e">
        <f t="shared" ca="1" si="167"/>
        <v>#REF!</v>
      </c>
      <c r="AE269" s="375" t="e">
        <f ca="1">$D$15*$L$4/坦克部件养成!$C$2+AE268-IF(LEFT(AD269,2)&lt;&gt;LEFT(AD268,2),VLOOKUP(AF268,INDIRECT(LEFT(AD268,2)&amp;"部件升级消耗"),5,FALSE),0)</f>
        <v>#REF!</v>
      </c>
      <c r="AF269" s="360" t="e">
        <f ca="1">MIN(VLOOKUP(AE269,INDIRECT(LEFT(AD269,2)&amp;"部件升级"),2,TRUE),VLOOKUP(LEFT(AD269,2),坦克部件养成!#REF!,6,FALSE))</f>
        <v>#REF!</v>
      </c>
      <c r="AG269" s="378" t="e">
        <f ca="1">MAX(BD$4:BD269)</f>
        <v>#REF!</v>
      </c>
      <c r="AH269" s="378" t="str">
        <f t="shared" ca="1" si="168"/>
        <v/>
      </c>
      <c r="AI269" s="378">
        <f ca="1">IF(Y269="NULL",0,MAX(BY$4:BY269))</f>
        <v>0</v>
      </c>
      <c r="AK269" s="364" t="e">
        <f t="shared" ca="1" si="169"/>
        <v>#REF!</v>
      </c>
      <c r="AL269" s="364" t="e">
        <f ca="1">VLOOKUP(AK269,坦克个性化设定!$B$18:$F$48,5,FALSE)</f>
        <v>#REF!</v>
      </c>
      <c r="AM269" s="372" t="e">
        <f t="shared" ca="1" si="170"/>
        <v>#REF!</v>
      </c>
      <c r="AN269" s="372" t="e">
        <f t="shared" ca="1" si="178"/>
        <v>#REF!</v>
      </c>
      <c r="AO269" s="364">
        <f t="shared" ca="1" si="171"/>
        <v>0</v>
      </c>
      <c r="AP269" s="372" t="e">
        <f ca="1">VLOOKUP($AK269&amp;$AO269,所有坦克升星属性,MATCH(AP$3,所有坦克升星属性标头,0),FALSE)+ROUND(AU269/VLOOKUP($AK269,坦克部件!#REF!,4,FALSE)*VLOOKUP($AK269&amp;0,所有坦克升星属性,MATCH(AP$3,所有坦克升星属性标头,0),FALSE),0)</f>
        <v>#REF!</v>
      </c>
      <c r="AQ269" s="372" t="e">
        <f ca="1">VLOOKUP($AK269&amp;$AO269,所有坦克升星属性,MATCH(AQ$3,所有坦克升星属性标头,0),FALSE)+ROUND(AV269/VLOOKUP($AK269,坦克部件!#REF!,4,FALSE)*VLOOKUP($AK269&amp;0,所有坦克升星属性,MATCH(AQ$3,所有坦克升星属性标头,0),FALSE),0)</f>
        <v>#REF!</v>
      </c>
      <c r="AR269" s="372" t="e">
        <f t="shared" ca="1" si="185"/>
        <v>#REF!</v>
      </c>
      <c r="AS269" s="372" t="e">
        <f t="shared" ca="1" si="185"/>
        <v>#REF!</v>
      </c>
      <c r="AT269" s="372" t="e">
        <f ca="1">VLOOKUP($AK269&amp;$AO269,所有坦克升星属性,MATCH(AT$3,所有坦克升星属性标头,0),FALSE)+ROUND(AW269/VLOOKUP($AK269,坦克部件!#REF!,4,FALSE)*VLOOKUP($AK269&amp;0,所有坦克升星属性,MATCH(AT$3,所有坦克升星属性标头,0),FALSE),0)</f>
        <v>#REF!</v>
      </c>
      <c r="AU269" s="372" t="e">
        <f ca="1">(VLOOKUP($AM269,坦克部件!#REF!,MATCH("标准值",坦克部件!#REF!,0),FALSE)+VLOOKUP($AN269,坦克部件!#REF!,MATCH("标准值",坦克部件!#REF!,0),FALSE))*2</f>
        <v>#REF!</v>
      </c>
      <c r="AV269" s="372" t="e">
        <f ca="1">(VLOOKUP($AM269,坦克部件!#REF!,MATCH("标准值",坦克部件!#REF!,0),FALSE)+VLOOKUP($AN269,坦克部件!#REF!,MATCH("标准值",坦克部件!#REF!,0),FALSE))*2</f>
        <v>#REF!</v>
      </c>
      <c r="AW269" s="372" t="e">
        <f ca="1">(VLOOKUP($AM269,坦克部件!#REF!,MATCH("标准值",坦克部件!#REF!,0),FALSE)+VLOOKUP($AN269,坦克部件!#REF!,MATCH("标准值",坦克部件!#REF!,0),FALSE))*2</f>
        <v>#REF!</v>
      </c>
      <c r="AX269" s="372" t="e">
        <f ca="1">VLOOKUP($AK269,坦克属性统计!$B$3:$AY$33,MATCH(AX$3,坦克属性统计!$B$3:$AY$3,0),FALSE)</f>
        <v>#REF!</v>
      </c>
      <c r="AY269" s="372" t="e">
        <f t="shared" ca="1" si="186"/>
        <v>#REF!</v>
      </c>
      <c r="AZ269" s="372" t="e">
        <f t="shared" ca="1" si="186"/>
        <v>#REF!</v>
      </c>
      <c r="BA269" s="372" t="e">
        <f t="shared" ca="1" si="186"/>
        <v>#REF!</v>
      </c>
      <c r="BB269" s="356" t="e">
        <f t="shared" ca="1" si="172"/>
        <v>#REF!</v>
      </c>
      <c r="BC269" s="356" t="e">
        <f ca="1">VLOOKUP(AK269,坦克个性化设定!$B$18:$E$48,4,FALSE)</f>
        <v>#REF!</v>
      </c>
      <c r="BD269" s="357" t="e">
        <f t="shared" ca="1" si="179"/>
        <v>#REF!</v>
      </c>
      <c r="BF269" s="357" t="str">
        <f t="shared" ca="1" si="173"/>
        <v/>
      </c>
      <c r="BG269" s="372" t="str">
        <f ca="1">IFERROR(VLOOKUP(BF269,坦克个性化设定!$B$18:$F$48,5,FALSE),"")</f>
        <v/>
      </c>
      <c r="BH269" s="372" t="e">
        <f t="shared" ca="1" si="180"/>
        <v>#REF!</v>
      </c>
      <c r="BI269" s="372" t="e">
        <f t="shared" ca="1" si="181"/>
        <v>#REF!</v>
      </c>
      <c r="BJ269" s="364" t="str">
        <f t="shared" ca="1" si="174"/>
        <v>NULL</v>
      </c>
      <c r="BK269" s="372" t="e">
        <f ca="1">VLOOKUP($BF269&amp;IF($BJ269="NULL",0,$BJ269),所有坦克升星属性,MATCH(BK$3,所有坦克升星属性标头,0),FALSE)+ROUND(BP269/VLOOKUP($BF269,坦克部件!#REF!,4,FALSE)*VLOOKUP($BF269&amp;0,所有坦克升星属性,MATCH(BK$3,所有坦克升星属性标头,0),FALSE),0)</f>
        <v>#N/A</v>
      </c>
      <c r="BL269" s="372" t="e">
        <f ca="1">VLOOKUP($BF269&amp;IF($BJ269="NULL",0,$BJ269),所有坦克升星属性,MATCH(BL$3,所有坦克升星属性标头,0),FALSE)+ROUND(BQ269/VLOOKUP($BF269,坦克部件!#REF!,4,FALSE)*VLOOKUP($BF269&amp;0,所有坦克升星属性,MATCH(BL$3,所有坦克升星属性标头,0),FALSE),0)</f>
        <v>#N/A</v>
      </c>
      <c r="BM269" s="372" t="e">
        <f t="shared" ca="1" si="187"/>
        <v>#N/A</v>
      </c>
      <c r="BN269" s="372" t="e">
        <f t="shared" ca="1" si="187"/>
        <v>#N/A</v>
      </c>
      <c r="BO269" s="372" t="e">
        <f ca="1">VLOOKUP($BF269&amp;IF($BJ269="NULL",0,$BJ269),所有坦克升星属性,MATCH(BO$3,所有坦克升星属性标头,0),FALSE)+ROUND(BR269/VLOOKUP($BF269,坦克部件!#REF!,4,FALSE)*VLOOKUP($BF269&amp;0,所有坦克升星属性,MATCH(BO$3,所有坦克升星属性标头,0),FALSE),0)</f>
        <v>#N/A</v>
      </c>
      <c r="BP269" s="372" t="e">
        <f ca="1">(VLOOKUP($BH269,坦克部件!#REF!,MATCH("标准值",坦克部件!#REF!,0),FALSE)+VLOOKUP($BI269,坦克部件!#REF!,MATCH("标准值",坦克部件!#REF!,0),FALSE))*2</f>
        <v>#REF!</v>
      </c>
      <c r="BQ269" s="372" t="e">
        <f ca="1">(VLOOKUP($BH269,坦克部件!#REF!,MATCH("标准值",坦克部件!#REF!,0),FALSE)+VLOOKUP($BI269,坦克部件!#REF!,MATCH("标准值",坦克部件!#REF!,0),FALSE))*2</f>
        <v>#REF!</v>
      </c>
      <c r="BR269" s="372" t="e">
        <f ca="1">(VLOOKUP($BH269,坦克部件!#REF!,MATCH("标准值",坦克部件!#REF!,0),FALSE)+VLOOKUP($BI269,坦克部件!#REF!,MATCH("标准值",坦克部件!#REF!,0),FALSE))*2</f>
        <v>#REF!</v>
      </c>
      <c r="BS269" s="372" t="e">
        <f ca="1">VLOOKUP($BF269,坦克属性统计!$B$3:$AY$33,MATCH(BS$3,坦克属性统计!$B$3:$AY$3,0),FALSE)</f>
        <v>#N/A</v>
      </c>
      <c r="BT269" s="372" t="e">
        <f t="shared" ca="1" si="188"/>
        <v>#N/A</v>
      </c>
      <c r="BU269" s="372" t="e">
        <f t="shared" ca="1" si="188"/>
        <v>#N/A</v>
      </c>
      <c r="BV269" s="372" t="e">
        <f t="shared" ca="1" si="188"/>
        <v>#N/A</v>
      </c>
      <c r="BW269" s="356">
        <f t="shared" ca="1" si="175"/>
        <v>0</v>
      </c>
      <c r="BX269" s="356" t="e">
        <f ca="1">VLOOKUP(BF269,坦克个性化设定!$B$18:$E$48,4,FALSE)</f>
        <v>#N/A</v>
      </c>
      <c r="BY269" s="357" t="e">
        <f t="shared" ca="1" si="182"/>
        <v>#N/A</v>
      </c>
    </row>
    <row r="270" spans="15:77" x14ac:dyDescent="0.35">
      <c r="O270" s="365">
        <v>267</v>
      </c>
      <c r="P270" s="360" t="e">
        <f t="shared" ca="1" si="152"/>
        <v>#REF!</v>
      </c>
      <c r="Q270" s="360" t="e">
        <f ca="1">ROUND(MIN((BD270-VLOOKUP(R270,$B$22:$F$46,2,FALSE))/(VLOOKUP(R270,$B$22:$F$46,3,FALSE)-VLOOKUP(R270,$B$22:$F$46,2,FALSE)),1)*((VLOOKUP(R270,$B$22:$F$46,4,FALSE)*(AG270/(AG270+VLOOKUP(P270,$D$49:$F$123,3,TRUE)))+VLOOKUP(R270,$B$22:$F$46,5,FALSE)*(1-AG270/(AG270+VLOOKUP(P270,$D$49:$F$123,3,TRUE))))/2)*游戏时长规划!$C$4,0)</f>
        <v>#REF!</v>
      </c>
      <c r="R270" s="360" t="e">
        <f t="shared" ca="1" si="162"/>
        <v>#REF!</v>
      </c>
      <c r="S270" s="360" t="e">
        <f t="shared" ca="1" si="183"/>
        <v>#REF!</v>
      </c>
      <c r="T270" s="360" t="e">
        <f t="shared" ca="1" si="153"/>
        <v>#REF!</v>
      </c>
      <c r="U270" s="370" t="e">
        <f t="shared" ca="1" si="163"/>
        <v>#REF!</v>
      </c>
      <c r="V270" s="363" t="e">
        <f t="shared" ca="1" si="184"/>
        <v>#REF!</v>
      </c>
      <c r="W270" s="360" t="e">
        <f t="shared" ca="1" si="164"/>
        <v>#REF!</v>
      </c>
      <c r="X270" s="81" t="e">
        <f t="shared" ca="1" si="176"/>
        <v>#REF!</v>
      </c>
      <c r="Y270" s="360" t="str">
        <f t="shared" ca="1" si="165"/>
        <v>NULL</v>
      </c>
      <c r="Z270" s="375" t="e">
        <f t="shared" ca="1" si="177"/>
        <v>#REF!</v>
      </c>
      <c r="AA270" s="360">
        <f ca="1">IFERROR(VLOOKUP(IF(V270="T1低",游戏时长规划!$C$67+Z270,Z270),INDIRECT(V270&amp;"星级"),2,TRUE),0)</f>
        <v>0</v>
      </c>
      <c r="AB270" s="375" t="e">
        <f t="shared" ca="1" si="166"/>
        <v>#REF!</v>
      </c>
      <c r="AC270" s="375">
        <f ca="1">($D$14+$D$17)*$L$4/坦克部件养成!$C$2+AC269-IFERROR(IF(RIGHT(AD269,3)*1&gt;RIGHT(VLOOKUP(AC269,INDIRECT(LEFT(AD268,2)&amp;"部件升阶"),5,TRUE),3)*1,VLOOKUP(AD268,INDIRECT(LEFT(AD268,2)&amp;"部件升阶消耗"),2,FALSE),0),0)</f>
        <v>3159.5000000000091</v>
      </c>
      <c r="AD270" s="360" t="e">
        <f t="shared" ca="1" si="167"/>
        <v>#REF!</v>
      </c>
      <c r="AE270" s="375" t="e">
        <f ca="1">$D$15*$L$4/坦克部件养成!$C$2+AE269-IF(LEFT(AD270,2)&lt;&gt;LEFT(AD269,2),VLOOKUP(AF269,INDIRECT(LEFT(AD269,2)&amp;"部件升级消耗"),5,FALSE),0)</f>
        <v>#REF!</v>
      </c>
      <c r="AF270" s="360" t="e">
        <f ca="1">MIN(VLOOKUP(AE270,INDIRECT(LEFT(AD270,2)&amp;"部件升级"),2,TRUE),VLOOKUP(LEFT(AD270,2),坦克部件养成!#REF!,6,FALSE))</f>
        <v>#REF!</v>
      </c>
      <c r="AG270" s="378" t="e">
        <f ca="1">MAX(BD$4:BD270)</f>
        <v>#REF!</v>
      </c>
      <c r="AH270" s="378" t="str">
        <f t="shared" ca="1" si="168"/>
        <v/>
      </c>
      <c r="AI270" s="378">
        <f ca="1">IF(Y270="NULL",0,MAX(BY$4:BY270))</f>
        <v>0</v>
      </c>
      <c r="AK270" s="364" t="e">
        <f t="shared" ca="1" si="169"/>
        <v>#REF!</v>
      </c>
      <c r="AL270" s="364" t="e">
        <f ca="1">VLOOKUP(AK270,坦克个性化设定!$B$18:$F$48,5,FALSE)</f>
        <v>#REF!</v>
      </c>
      <c r="AM270" s="372" t="e">
        <f t="shared" ca="1" si="170"/>
        <v>#REF!</v>
      </c>
      <c r="AN270" s="372" t="e">
        <f t="shared" ca="1" si="178"/>
        <v>#REF!</v>
      </c>
      <c r="AO270" s="364">
        <f t="shared" ca="1" si="171"/>
        <v>0</v>
      </c>
      <c r="AP270" s="372" t="e">
        <f ca="1">VLOOKUP($AK270&amp;$AO270,所有坦克升星属性,MATCH(AP$3,所有坦克升星属性标头,0),FALSE)+ROUND(AU270/VLOOKUP($AK270,坦克部件!#REF!,4,FALSE)*VLOOKUP($AK270&amp;0,所有坦克升星属性,MATCH(AP$3,所有坦克升星属性标头,0),FALSE),0)</f>
        <v>#REF!</v>
      </c>
      <c r="AQ270" s="372" t="e">
        <f ca="1">VLOOKUP($AK270&amp;$AO270,所有坦克升星属性,MATCH(AQ$3,所有坦克升星属性标头,0),FALSE)+ROUND(AV270/VLOOKUP($AK270,坦克部件!#REF!,4,FALSE)*VLOOKUP($AK270&amp;0,所有坦克升星属性,MATCH(AQ$3,所有坦克升星属性标头,0),FALSE),0)</f>
        <v>#REF!</v>
      </c>
      <c r="AR270" s="372" t="e">
        <f t="shared" ca="1" si="185"/>
        <v>#REF!</v>
      </c>
      <c r="AS270" s="372" t="e">
        <f t="shared" ca="1" si="185"/>
        <v>#REF!</v>
      </c>
      <c r="AT270" s="372" t="e">
        <f ca="1">VLOOKUP($AK270&amp;$AO270,所有坦克升星属性,MATCH(AT$3,所有坦克升星属性标头,0),FALSE)+ROUND(AW270/VLOOKUP($AK270,坦克部件!#REF!,4,FALSE)*VLOOKUP($AK270&amp;0,所有坦克升星属性,MATCH(AT$3,所有坦克升星属性标头,0),FALSE),0)</f>
        <v>#REF!</v>
      </c>
      <c r="AU270" s="372" t="e">
        <f ca="1">(VLOOKUP($AM270,坦克部件!#REF!,MATCH("标准值",坦克部件!#REF!,0),FALSE)+VLOOKUP($AN270,坦克部件!#REF!,MATCH("标准值",坦克部件!#REF!,0),FALSE))*2</f>
        <v>#REF!</v>
      </c>
      <c r="AV270" s="372" t="e">
        <f ca="1">(VLOOKUP($AM270,坦克部件!#REF!,MATCH("标准值",坦克部件!#REF!,0),FALSE)+VLOOKUP($AN270,坦克部件!#REF!,MATCH("标准值",坦克部件!#REF!,0),FALSE))*2</f>
        <v>#REF!</v>
      </c>
      <c r="AW270" s="372" t="e">
        <f ca="1">(VLOOKUP($AM270,坦克部件!#REF!,MATCH("标准值",坦克部件!#REF!,0),FALSE)+VLOOKUP($AN270,坦克部件!#REF!,MATCH("标准值",坦克部件!#REF!,0),FALSE))*2</f>
        <v>#REF!</v>
      </c>
      <c r="AX270" s="372" t="e">
        <f ca="1">VLOOKUP($AK270,坦克属性统计!$B$3:$AY$33,MATCH(AX$3,坦克属性统计!$B$3:$AY$3,0),FALSE)</f>
        <v>#REF!</v>
      </c>
      <c r="AY270" s="372" t="e">
        <f t="shared" ca="1" si="186"/>
        <v>#REF!</v>
      </c>
      <c r="AZ270" s="372" t="e">
        <f t="shared" ca="1" si="186"/>
        <v>#REF!</v>
      </c>
      <c r="BA270" s="372" t="e">
        <f t="shared" ca="1" si="186"/>
        <v>#REF!</v>
      </c>
      <c r="BB270" s="356" t="e">
        <f t="shared" ca="1" si="172"/>
        <v>#REF!</v>
      </c>
      <c r="BC270" s="356" t="e">
        <f ca="1">VLOOKUP(AK270,坦克个性化设定!$B$18:$E$48,4,FALSE)</f>
        <v>#REF!</v>
      </c>
      <c r="BD270" s="357" t="e">
        <f t="shared" ca="1" si="179"/>
        <v>#REF!</v>
      </c>
      <c r="BF270" s="357" t="str">
        <f t="shared" ca="1" si="173"/>
        <v/>
      </c>
      <c r="BG270" s="372" t="str">
        <f ca="1">IFERROR(VLOOKUP(BF270,坦克个性化设定!$B$18:$F$48,5,FALSE),"")</f>
        <v/>
      </c>
      <c r="BH270" s="372" t="e">
        <f t="shared" ca="1" si="180"/>
        <v>#REF!</v>
      </c>
      <c r="BI270" s="372" t="e">
        <f t="shared" ca="1" si="181"/>
        <v>#REF!</v>
      </c>
      <c r="BJ270" s="364" t="str">
        <f t="shared" ca="1" si="174"/>
        <v>NULL</v>
      </c>
      <c r="BK270" s="372" t="e">
        <f ca="1">VLOOKUP($BF270&amp;IF($BJ270="NULL",0,$BJ270),所有坦克升星属性,MATCH(BK$3,所有坦克升星属性标头,0),FALSE)+ROUND(BP270/VLOOKUP($BF270,坦克部件!#REF!,4,FALSE)*VLOOKUP($BF270&amp;0,所有坦克升星属性,MATCH(BK$3,所有坦克升星属性标头,0),FALSE),0)</f>
        <v>#N/A</v>
      </c>
      <c r="BL270" s="372" t="e">
        <f ca="1">VLOOKUP($BF270&amp;IF($BJ270="NULL",0,$BJ270),所有坦克升星属性,MATCH(BL$3,所有坦克升星属性标头,0),FALSE)+ROUND(BQ270/VLOOKUP($BF270,坦克部件!#REF!,4,FALSE)*VLOOKUP($BF270&amp;0,所有坦克升星属性,MATCH(BL$3,所有坦克升星属性标头,0),FALSE),0)</f>
        <v>#N/A</v>
      </c>
      <c r="BM270" s="372" t="e">
        <f t="shared" ca="1" si="187"/>
        <v>#N/A</v>
      </c>
      <c r="BN270" s="372" t="e">
        <f t="shared" ca="1" si="187"/>
        <v>#N/A</v>
      </c>
      <c r="BO270" s="372" t="e">
        <f ca="1">VLOOKUP($BF270&amp;IF($BJ270="NULL",0,$BJ270),所有坦克升星属性,MATCH(BO$3,所有坦克升星属性标头,0),FALSE)+ROUND(BR270/VLOOKUP($BF270,坦克部件!#REF!,4,FALSE)*VLOOKUP($BF270&amp;0,所有坦克升星属性,MATCH(BO$3,所有坦克升星属性标头,0),FALSE),0)</f>
        <v>#N/A</v>
      </c>
      <c r="BP270" s="372" t="e">
        <f ca="1">(VLOOKUP($BH270,坦克部件!#REF!,MATCH("标准值",坦克部件!#REF!,0),FALSE)+VLOOKUP($BI270,坦克部件!#REF!,MATCH("标准值",坦克部件!#REF!,0),FALSE))*2</f>
        <v>#REF!</v>
      </c>
      <c r="BQ270" s="372" t="e">
        <f ca="1">(VLOOKUP($BH270,坦克部件!#REF!,MATCH("标准值",坦克部件!#REF!,0),FALSE)+VLOOKUP($BI270,坦克部件!#REF!,MATCH("标准值",坦克部件!#REF!,0),FALSE))*2</f>
        <v>#REF!</v>
      </c>
      <c r="BR270" s="372" t="e">
        <f ca="1">(VLOOKUP($BH270,坦克部件!#REF!,MATCH("标准值",坦克部件!#REF!,0),FALSE)+VLOOKUP($BI270,坦克部件!#REF!,MATCH("标准值",坦克部件!#REF!,0),FALSE))*2</f>
        <v>#REF!</v>
      </c>
      <c r="BS270" s="372" t="e">
        <f ca="1">VLOOKUP($BF270,坦克属性统计!$B$3:$AY$33,MATCH(BS$3,坦克属性统计!$B$3:$AY$3,0),FALSE)</f>
        <v>#N/A</v>
      </c>
      <c r="BT270" s="372" t="e">
        <f t="shared" ca="1" si="188"/>
        <v>#N/A</v>
      </c>
      <c r="BU270" s="372" t="e">
        <f t="shared" ca="1" si="188"/>
        <v>#N/A</v>
      </c>
      <c r="BV270" s="372" t="e">
        <f t="shared" ca="1" si="188"/>
        <v>#N/A</v>
      </c>
      <c r="BW270" s="356">
        <f t="shared" ca="1" si="175"/>
        <v>0</v>
      </c>
      <c r="BX270" s="356" t="e">
        <f ca="1">VLOOKUP(BF270,坦克个性化设定!$B$18:$E$48,4,FALSE)</f>
        <v>#N/A</v>
      </c>
      <c r="BY270" s="357" t="e">
        <f t="shared" ca="1" si="182"/>
        <v>#N/A</v>
      </c>
    </row>
    <row r="271" spans="15:77" x14ac:dyDescent="0.35">
      <c r="O271" s="365">
        <v>268</v>
      </c>
      <c r="P271" s="360" t="e">
        <f t="shared" ca="1" si="152"/>
        <v>#REF!</v>
      </c>
      <c r="Q271" s="360" t="e">
        <f ca="1">ROUND(MIN((BD271-VLOOKUP(R271,$B$22:$F$46,2,FALSE))/(VLOOKUP(R271,$B$22:$F$46,3,FALSE)-VLOOKUP(R271,$B$22:$F$46,2,FALSE)),1)*((VLOOKUP(R271,$B$22:$F$46,4,FALSE)*(AG271/(AG271+VLOOKUP(P271,$D$49:$F$123,3,TRUE)))+VLOOKUP(R271,$B$22:$F$46,5,FALSE)*(1-AG271/(AG271+VLOOKUP(P271,$D$49:$F$123,3,TRUE))))/2)*游戏时长规划!$C$4,0)</f>
        <v>#REF!</v>
      </c>
      <c r="R271" s="360" t="e">
        <f t="shared" ca="1" si="162"/>
        <v>#REF!</v>
      </c>
      <c r="S271" s="360" t="e">
        <f t="shared" ca="1" si="183"/>
        <v>#REF!</v>
      </c>
      <c r="T271" s="360" t="e">
        <f t="shared" ca="1" si="153"/>
        <v>#REF!</v>
      </c>
      <c r="U271" s="370" t="e">
        <f t="shared" ca="1" si="163"/>
        <v>#REF!</v>
      </c>
      <c r="V271" s="363" t="e">
        <f t="shared" ca="1" si="184"/>
        <v>#REF!</v>
      </c>
      <c r="W271" s="360" t="e">
        <f t="shared" ca="1" si="164"/>
        <v>#REF!</v>
      </c>
      <c r="X271" s="81" t="e">
        <f t="shared" ca="1" si="176"/>
        <v>#REF!</v>
      </c>
      <c r="Y271" s="360" t="str">
        <f t="shared" ca="1" si="165"/>
        <v>NULL</v>
      </c>
      <c r="Z271" s="375" t="e">
        <f t="shared" ca="1" si="177"/>
        <v>#REF!</v>
      </c>
      <c r="AA271" s="360">
        <f ca="1">IFERROR(VLOOKUP(IF(V271="T1低",游戏时长规划!$C$67+Z271,Z271),INDIRECT(V271&amp;"星级"),2,TRUE),0)</f>
        <v>0</v>
      </c>
      <c r="AB271" s="375" t="e">
        <f t="shared" ca="1" si="166"/>
        <v>#REF!</v>
      </c>
      <c r="AC271" s="375">
        <f ca="1">($D$14+$D$17)*$L$4/坦克部件养成!$C$2+AC270-IFERROR(IF(RIGHT(AD270,3)*1&gt;RIGHT(VLOOKUP(AC270,INDIRECT(LEFT(AD269,2)&amp;"部件升阶"),5,TRUE),3)*1,VLOOKUP(AD269,INDIRECT(LEFT(AD269,2)&amp;"部件升阶消耗"),2,FALSE),0),0)</f>
        <v>3171.3333333333426</v>
      </c>
      <c r="AD271" s="360" t="e">
        <f t="shared" ca="1" si="167"/>
        <v>#REF!</v>
      </c>
      <c r="AE271" s="375" t="e">
        <f ca="1">$D$15*$L$4/坦克部件养成!$C$2+AE270-IF(LEFT(AD271,2)&lt;&gt;LEFT(AD270,2),VLOOKUP(AF270,INDIRECT(LEFT(AD270,2)&amp;"部件升级消耗"),5,FALSE),0)</f>
        <v>#REF!</v>
      </c>
      <c r="AF271" s="360" t="e">
        <f ca="1">MIN(VLOOKUP(AE271,INDIRECT(LEFT(AD271,2)&amp;"部件升级"),2,TRUE),VLOOKUP(LEFT(AD271,2),坦克部件养成!#REF!,6,FALSE))</f>
        <v>#REF!</v>
      </c>
      <c r="AG271" s="378" t="e">
        <f ca="1">MAX(BD$4:BD271)</f>
        <v>#REF!</v>
      </c>
      <c r="AH271" s="378" t="str">
        <f t="shared" ca="1" si="168"/>
        <v/>
      </c>
      <c r="AI271" s="378">
        <f ca="1">IF(Y271="NULL",0,MAX(BY$4:BY271))</f>
        <v>0</v>
      </c>
      <c r="AK271" s="364" t="e">
        <f t="shared" ca="1" si="169"/>
        <v>#REF!</v>
      </c>
      <c r="AL271" s="364" t="e">
        <f ca="1">VLOOKUP(AK271,坦克个性化设定!$B$18:$F$48,5,FALSE)</f>
        <v>#REF!</v>
      </c>
      <c r="AM271" s="372" t="e">
        <f t="shared" ca="1" si="170"/>
        <v>#REF!</v>
      </c>
      <c r="AN271" s="372" t="e">
        <f t="shared" ca="1" si="178"/>
        <v>#REF!</v>
      </c>
      <c r="AO271" s="364">
        <f t="shared" ca="1" si="171"/>
        <v>0</v>
      </c>
      <c r="AP271" s="372" t="e">
        <f ca="1">VLOOKUP($AK271&amp;$AO271,所有坦克升星属性,MATCH(AP$3,所有坦克升星属性标头,0),FALSE)+ROUND(AU271/VLOOKUP($AK271,坦克部件!#REF!,4,FALSE)*VLOOKUP($AK271&amp;0,所有坦克升星属性,MATCH(AP$3,所有坦克升星属性标头,0),FALSE),0)</f>
        <v>#REF!</v>
      </c>
      <c r="AQ271" s="372" t="e">
        <f ca="1">VLOOKUP($AK271&amp;$AO271,所有坦克升星属性,MATCH(AQ$3,所有坦克升星属性标头,0),FALSE)+ROUND(AV271/VLOOKUP($AK271,坦克部件!#REF!,4,FALSE)*VLOOKUP($AK271&amp;0,所有坦克升星属性,MATCH(AQ$3,所有坦克升星属性标头,0),FALSE),0)</f>
        <v>#REF!</v>
      </c>
      <c r="AR271" s="372" t="e">
        <f t="shared" ca="1" si="185"/>
        <v>#REF!</v>
      </c>
      <c r="AS271" s="372" t="e">
        <f t="shared" ca="1" si="185"/>
        <v>#REF!</v>
      </c>
      <c r="AT271" s="372" t="e">
        <f ca="1">VLOOKUP($AK271&amp;$AO271,所有坦克升星属性,MATCH(AT$3,所有坦克升星属性标头,0),FALSE)+ROUND(AW271/VLOOKUP($AK271,坦克部件!#REF!,4,FALSE)*VLOOKUP($AK271&amp;0,所有坦克升星属性,MATCH(AT$3,所有坦克升星属性标头,0),FALSE),0)</f>
        <v>#REF!</v>
      </c>
      <c r="AU271" s="372" t="e">
        <f ca="1">(VLOOKUP($AM271,坦克部件!#REF!,MATCH("标准值",坦克部件!#REF!,0),FALSE)+VLOOKUP($AN271,坦克部件!#REF!,MATCH("标准值",坦克部件!#REF!,0),FALSE))*2</f>
        <v>#REF!</v>
      </c>
      <c r="AV271" s="372" t="e">
        <f ca="1">(VLOOKUP($AM271,坦克部件!#REF!,MATCH("标准值",坦克部件!#REF!,0),FALSE)+VLOOKUP($AN271,坦克部件!#REF!,MATCH("标准值",坦克部件!#REF!,0),FALSE))*2</f>
        <v>#REF!</v>
      </c>
      <c r="AW271" s="372" t="e">
        <f ca="1">(VLOOKUP($AM271,坦克部件!#REF!,MATCH("标准值",坦克部件!#REF!,0),FALSE)+VLOOKUP($AN271,坦克部件!#REF!,MATCH("标准值",坦克部件!#REF!,0),FALSE))*2</f>
        <v>#REF!</v>
      </c>
      <c r="AX271" s="372" t="e">
        <f ca="1">VLOOKUP($AK271,坦克属性统计!$B$3:$AY$33,MATCH(AX$3,坦克属性统计!$B$3:$AY$3,0),FALSE)</f>
        <v>#REF!</v>
      </c>
      <c r="AY271" s="372" t="e">
        <f t="shared" ca="1" si="186"/>
        <v>#REF!</v>
      </c>
      <c r="AZ271" s="372" t="e">
        <f t="shared" ca="1" si="186"/>
        <v>#REF!</v>
      </c>
      <c r="BA271" s="372" t="e">
        <f t="shared" ca="1" si="186"/>
        <v>#REF!</v>
      </c>
      <c r="BB271" s="356" t="e">
        <f t="shared" ca="1" si="172"/>
        <v>#REF!</v>
      </c>
      <c r="BC271" s="356" t="e">
        <f ca="1">VLOOKUP(AK271,坦克个性化设定!$B$18:$E$48,4,FALSE)</f>
        <v>#REF!</v>
      </c>
      <c r="BD271" s="357" t="e">
        <f t="shared" ca="1" si="179"/>
        <v>#REF!</v>
      </c>
      <c r="BF271" s="357" t="str">
        <f t="shared" ca="1" si="173"/>
        <v/>
      </c>
      <c r="BG271" s="372" t="str">
        <f ca="1">IFERROR(VLOOKUP(BF271,坦克个性化设定!$B$18:$F$48,5,FALSE),"")</f>
        <v/>
      </c>
      <c r="BH271" s="372" t="e">
        <f t="shared" ca="1" si="180"/>
        <v>#REF!</v>
      </c>
      <c r="BI271" s="372" t="e">
        <f t="shared" ca="1" si="181"/>
        <v>#REF!</v>
      </c>
      <c r="BJ271" s="364" t="str">
        <f t="shared" ca="1" si="174"/>
        <v>NULL</v>
      </c>
      <c r="BK271" s="372" t="e">
        <f ca="1">VLOOKUP($BF271&amp;IF($BJ271="NULL",0,$BJ271),所有坦克升星属性,MATCH(BK$3,所有坦克升星属性标头,0),FALSE)+ROUND(BP271/VLOOKUP($BF271,坦克部件!#REF!,4,FALSE)*VLOOKUP($BF271&amp;0,所有坦克升星属性,MATCH(BK$3,所有坦克升星属性标头,0),FALSE),0)</f>
        <v>#N/A</v>
      </c>
      <c r="BL271" s="372" t="e">
        <f ca="1">VLOOKUP($BF271&amp;IF($BJ271="NULL",0,$BJ271),所有坦克升星属性,MATCH(BL$3,所有坦克升星属性标头,0),FALSE)+ROUND(BQ271/VLOOKUP($BF271,坦克部件!#REF!,4,FALSE)*VLOOKUP($BF271&amp;0,所有坦克升星属性,MATCH(BL$3,所有坦克升星属性标头,0),FALSE),0)</f>
        <v>#N/A</v>
      </c>
      <c r="BM271" s="372" t="e">
        <f t="shared" ca="1" si="187"/>
        <v>#N/A</v>
      </c>
      <c r="BN271" s="372" t="e">
        <f t="shared" ca="1" si="187"/>
        <v>#N/A</v>
      </c>
      <c r="BO271" s="372" t="e">
        <f ca="1">VLOOKUP($BF271&amp;IF($BJ271="NULL",0,$BJ271),所有坦克升星属性,MATCH(BO$3,所有坦克升星属性标头,0),FALSE)+ROUND(BR271/VLOOKUP($BF271,坦克部件!#REF!,4,FALSE)*VLOOKUP($BF271&amp;0,所有坦克升星属性,MATCH(BO$3,所有坦克升星属性标头,0),FALSE),0)</f>
        <v>#N/A</v>
      </c>
      <c r="BP271" s="372" t="e">
        <f ca="1">(VLOOKUP($BH271,坦克部件!#REF!,MATCH("标准值",坦克部件!#REF!,0),FALSE)+VLOOKUP($BI271,坦克部件!#REF!,MATCH("标准值",坦克部件!#REF!,0),FALSE))*2</f>
        <v>#REF!</v>
      </c>
      <c r="BQ271" s="372" t="e">
        <f ca="1">(VLOOKUP($BH271,坦克部件!#REF!,MATCH("标准值",坦克部件!#REF!,0),FALSE)+VLOOKUP($BI271,坦克部件!#REF!,MATCH("标准值",坦克部件!#REF!,0),FALSE))*2</f>
        <v>#REF!</v>
      </c>
      <c r="BR271" s="372" t="e">
        <f ca="1">(VLOOKUP($BH271,坦克部件!#REF!,MATCH("标准值",坦克部件!#REF!,0),FALSE)+VLOOKUP($BI271,坦克部件!#REF!,MATCH("标准值",坦克部件!#REF!,0),FALSE))*2</f>
        <v>#REF!</v>
      </c>
      <c r="BS271" s="372" t="e">
        <f ca="1">VLOOKUP($BF271,坦克属性统计!$B$3:$AY$33,MATCH(BS$3,坦克属性统计!$B$3:$AY$3,0),FALSE)</f>
        <v>#N/A</v>
      </c>
      <c r="BT271" s="372" t="e">
        <f t="shared" ca="1" si="188"/>
        <v>#N/A</v>
      </c>
      <c r="BU271" s="372" t="e">
        <f t="shared" ca="1" si="188"/>
        <v>#N/A</v>
      </c>
      <c r="BV271" s="372" t="e">
        <f t="shared" ca="1" si="188"/>
        <v>#N/A</v>
      </c>
      <c r="BW271" s="356">
        <f t="shared" ca="1" si="175"/>
        <v>0</v>
      </c>
      <c r="BX271" s="356" t="e">
        <f ca="1">VLOOKUP(BF271,坦克个性化设定!$B$18:$E$48,4,FALSE)</f>
        <v>#N/A</v>
      </c>
      <c r="BY271" s="357" t="e">
        <f t="shared" ca="1" si="182"/>
        <v>#N/A</v>
      </c>
    </row>
    <row r="272" spans="15:77" x14ac:dyDescent="0.35">
      <c r="O272" s="365">
        <v>269</v>
      </c>
      <c r="P272" s="360" t="e">
        <f t="shared" ca="1" si="152"/>
        <v>#REF!</v>
      </c>
      <c r="Q272" s="360" t="e">
        <f ca="1">ROUND(MIN((BD272-VLOOKUP(R272,$B$22:$F$46,2,FALSE))/(VLOOKUP(R272,$B$22:$F$46,3,FALSE)-VLOOKUP(R272,$B$22:$F$46,2,FALSE)),1)*((VLOOKUP(R272,$B$22:$F$46,4,FALSE)*(AG272/(AG272+VLOOKUP(P272,$D$49:$F$123,3,TRUE)))+VLOOKUP(R272,$B$22:$F$46,5,FALSE)*(1-AG272/(AG272+VLOOKUP(P272,$D$49:$F$123,3,TRUE))))/2)*游戏时长规划!$C$4,0)</f>
        <v>#REF!</v>
      </c>
      <c r="R272" s="360" t="e">
        <f t="shared" ca="1" si="162"/>
        <v>#REF!</v>
      </c>
      <c r="S272" s="360" t="e">
        <f t="shared" ca="1" si="183"/>
        <v>#REF!</v>
      </c>
      <c r="T272" s="360" t="e">
        <f t="shared" ca="1" si="153"/>
        <v>#REF!</v>
      </c>
      <c r="U272" s="370" t="e">
        <f t="shared" ca="1" si="163"/>
        <v>#REF!</v>
      </c>
      <c r="V272" s="363" t="e">
        <f t="shared" ca="1" si="184"/>
        <v>#REF!</v>
      </c>
      <c r="W272" s="360" t="e">
        <f t="shared" ca="1" si="164"/>
        <v>#REF!</v>
      </c>
      <c r="X272" s="81" t="e">
        <f t="shared" ca="1" si="176"/>
        <v>#REF!</v>
      </c>
      <c r="Y272" s="360" t="str">
        <f t="shared" ca="1" si="165"/>
        <v>NULL</v>
      </c>
      <c r="Z272" s="375" t="e">
        <f t="shared" ca="1" si="177"/>
        <v>#REF!</v>
      </c>
      <c r="AA272" s="360">
        <f ca="1">IFERROR(VLOOKUP(IF(V272="T1低",游戏时长规划!$C$67+Z272,Z272),INDIRECT(V272&amp;"星级"),2,TRUE),0)</f>
        <v>0</v>
      </c>
      <c r="AB272" s="375" t="e">
        <f t="shared" ca="1" si="166"/>
        <v>#REF!</v>
      </c>
      <c r="AC272" s="375">
        <f ca="1">($D$14+$D$17)*$L$4/坦克部件养成!$C$2+AC271-IFERROR(IF(RIGHT(AD271,3)*1&gt;RIGHT(VLOOKUP(AC271,INDIRECT(LEFT(AD270,2)&amp;"部件升阶"),5,TRUE),3)*1,VLOOKUP(AD270,INDIRECT(LEFT(AD270,2)&amp;"部件升阶消耗"),2,FALSE),0),0)</f>
        <v>3183.1666666666761</v>
      </c>
      <c r="AD272" s="360" t="e">
        <f t="shared" ca="1" si="167"/>
        <v>#REF!</v>
      </c>
      <c r="AE272" s="375" t="e">
        <f ca="1">$D$15*$L$4/坦克部件养成!$C$2+AE271-IF(LEFT(AD272,2)&lt;&gt;LEFT(AD271,2),VLOOKUP(AF271,INDIRECT(LEFT(AD271,2)&amp;"部件升级消耗"),5,FALSE),0)</f>
        <v>#REF!</v>
      </c>
      <c r="AF272" s="360" t="e">
        <f ca="1">MIN(VLOOKUP(AE272,INDIRECT(LEFT(AD272,2)&amp;"部件升级"),2,TRUE),VLOOKUP(LEFT(AD272,2),坦克部件养成!#REF!,6,FALSE))</f>
        <v>#REF!</v>
      </c>
      <c r="AG272" s="378" t="e">
        <f ca="1">MAX(BD$4:BD272)</f>
        <v>#REF!</v>
      </c>
      <c r="AH272" s="378" t="str">
        <f t="shared" ca="1" si="168"/>
        <v/>
      </c>
      <c r="AI272" s="378">
        <f ca="1">IF(Y272="NULL",0,MAX(BY$4:BY272))</f>
        <v>0</v>
      </c>
      <c r="AK272" s="364" t="e">
        <f t="shared" ca="1" si="169"/>
        <v>#REF!</v>
      </c>
      <c r="AL272" s="364" t="e">
        <f ca="1">VLOOKUP(AK272,坦克个性化设定!$B$18:$F$48,5,FALSE)</f>
        <v>#REF!</v>
      </c>
      <c r="AM272" s="372" t="e">
        <f t="shared" ca="1" si="170"/>
        <v>#REF!</v>
      </c>
      <c r="AN272" s="372" t="e">
        <f t="shared" ca="1" si="178"/>
        <v>#REF!</v>
      </c>
      <c r="AO272" s="364">
        <f t="shared" ca="1" si="171"/>
        <v>0</v>
      </c>
      <c r="AP272" s="372" t="e">
        <f ca="1">VLOOKUP($AK272&amp;$AO272,所有坦克升星属性,MATCH(AP$3,所有坦克升星属性标头,0),FALSE)+ROUND(AU272/VLOOKUP($AK272,坦克部件!#REF!,4,FALSE)*VLOOKUP($AK272&amp;0,所有坦克升星属性,MATCH(AP$3,所有坦克升星属性标头,0),FALSE),0)</f>
        <v>#REF!</v>
      </c>
      <c r="AQ272" s="372" t="e">
        <f ca="1">VLOOKUP($AK272&amp;$AO272,所有坦克升星属性,MATCH(AQ$3,所有坦克升星属性标头,0),FALSE)+ROUND(AV272/VLOOKUP($AK272,坦克部件!#REF!,4,FALSE)*VLOOKUP($AK272&amp;0,所有坦克升星属性,MATCH(AQ$3,所有坦克升星属性标头,0),FALSE),0)</f>
        <v>#REF!</v>
      </c>
      <c r="AR272" s="372" t="e">
        <f t="shared" ca="1" si="185"/>
        <v>#REF!</v>
      </c>
      <c r="AS272" s="372" t="e">
        <f t="shared" ca="1" si="185"/>
        <v>#REF!</v>
      </c>
      <c r="AT272" s="372" t="e">
        <f ca="1">VLOOKUP($AK272&amp;$AO272,所有坦克升星属性,MATCH(AT$3,所有坦克升星属性标头,0),FALSE)+ROUND(AW272/VLOOKUP($AK272,坦克部件!#REF!,4,FALSE)*VLOOKUP($AK272&amp;0,所有坦克升星属性,MATCH(AT$3,所有坦克升星属性标头,0),FALSE),0)</f>
        <v>#REF!</v>
      </c>
      <c r="AU272" s="372" t="e">
        <f ca="1">(VLOOKUP($AM272,坦克部件!#REF!,MATCH("标准值",坦克部件!#REF!,0),FALSE)+VLOOKUP($AN272,坦克部件!#REF!,MATCH("标准值",坦克部件!#REF!,0),FALSE))*2</f>
        <v>#REF!</v>
      </c>
      <c r="AV272" s="372" t="e">
        <f ca="1">(VLOOKUP($AM272,坦克部件!#REF!,MATCH("标准值",坦克部件!#REF!,0),FALSE)+VLOOKUP($AN272,坦克部件!#REF!,MATCH("标准值",坦克部件!#REF!,0),FALSE))*2</f>
        <v>#REF!</v>
      </c>
      <c r="AW272" s="372" t="e">
        <f ca="1">(VLOOKUP($AM272,坦克部件!#REF!,MATCH("标准值",坦克部件!#REF!,0),FALSE)+VLOOKUP($AN272,坦克部件!#REF!,MATCH("标准值",坦克部件!#REF!,0),FALSE))*2</f>
        <v>#REF!</v>
      </c>
      <c r="AX272" s="372" t="e">
        <f ca="1">VLOOKUP($AK272,坦克属性统计!$B$3:$AY$33,MATCH(AX$3,坦克属性统计!$B$3:$AY$3,0),FALSE)</f>
        <v>#REF!</v>
      </c>
      <c r="AY272" s="372" t="e">
        <f t="shared" ca="1" si="186"/>
        <v>#REF!</v>
      </c>
      <c r="AZ272" s="372" t="e">
        <f t="shared" ca="1" si="186"/>
        <v>#REF!</v>
      </c>
      <c r="BA272" s="372" t="e">
        <f t="shared" ca="1" si="186"/>
        <v>#REF!</v>
      </c>
      <c r="BB272" s="356" t="e">
        <f t="shared" ca="1" si="172"/>
        <v>#REF!</v>
      </c>
      <c r="BC272" s="356" t="e">
        <f ca="1">VLOOKUP(AK272,坦克个性化设定!$B$18:$E$48,4,FALSE)</f>
        <v>#REF!</v>
      </c>
      <c r="BD272" s="357" t="e">
        <f t="shared" ca="1" si="179"/>
        <v>#REF!</v>
      </c>
      <c r="BF272" s="357" t="str">
        <f t="shared" ca="1" si="173"/>
        <v/>
      </c>
      <c r="BG272" s="372" t="str">
        <f ca="1">IFERROR(VLOOKUP(BF272,坦克个性化设定!$B$18:$F$48,5,FALSE),"")</f>
        <v/>
      </c>
      <c r="BH272" s="372" t="e">
        <f t="shared" ca="1" si="180"/>
        <v>#REF!</v>
      </c>
      <c r="BI272" s="372" t="e">
        <f t="shared" ca="1" si="181"/>
        <v>#REF!</v>
      </c>
      <c r="BJ272" s="364" t="str">
        <f t="shared" ca="1" si="174"/>
        <v>NULL</v>
      </c>
      <c r="BK272" s="372" t="e">
        <f ca="1">VLOOKUP($BF272&amp;IF($BJ272="NULL",0,$BJ272),所有坦克升星属性,MATCH(BK$3,所有坦克升星属性标头,0),FALSE)+ROUND(BP272/VLOOKUP($BF272,坦克部件!#REF!,4,FALSE)*VLOOKUP($BF272&amp;0,所有坦克升星属性,MATCH(BK$3,所有坦克升星属性标头,0),FALSE),0)</f>
        <v>#N/A</v>
      </c>
      <c r="BL272" s="372" t="e">
        <f ca="1">VLOOKUP($BF272&amp;IF($BJ272="NULL",0,$BJ272),所有坦克升星属性,MATCH(BL$3,所有坦克升星属性标头,0),FALSE)+ROUND(BQ272/VLOOKUP($BF272,坦克部件!#REF!,4,FALSE)*VLOOKUP($BF272&amp;0,所有坦克升星属性,MATCH(BL$3,所有坦克升星属性标头,0),FALSE),0)</f>
        <v>#N/A</v>
      </c>
      <c r="BM272" s="372" t="e">
        <f t="shared" ca="1" si="187"/>
        <v>#N/A</v>
      </c>
      <c r="BN272" s="372" t="e">
        <f t="shared" ca="1" si="187"/>
        <v>#N/A</v>
      </c>
      <c r="BO272" s="372" t="e">
        <f ca="1">VLOOKUP($BF272&amp;IF($BJ272="NULL",0,$BJ272),所有坦克升星属性,MATCH(BO$3,所有坦克升星属性标头,0),FALSE)+ROUND(BR272/VLOOKUP($BF272,坦克部件!#REF!,4,FALSE)*VLOOKUP($BF272&amp;0,所有坦克升星属性,MATCH(BO$3,所有坦克升星属性标头,0),FALSE),0)</f>
        <v>#N/A</v>
      </c>
      <c r="BP272" s="372" t="e">
        <f ca="1">(VLOOKUP($BH272,坦克部件!#REF!,MATCH("标准值",坦克部件!#REF!,0),FALSE)+VLOOKUP($BI272,坦克部件!#REF!,MATCH("标准值",坦克部件!#REF!,0),FALSE))*2</f>
        <v>#REF!</v>
      </c>
      <c r="BQ272" s="372" t="e">
        <f ca="1">(VLOOKUP($BH272,坦克部件!#REF!,MATCH("标准值",坦克部件!#REF!,0),FALSE)+VLOOKUP($BI272,坦克部件!#REF!,MATCH("标准值",坦克部件!#REF!,0),FALSE))*2</f>
        <v>#REF!</v>
      </c>
      <c r="BR272" s="372" t="e">
        <f ca="1">(VLOOKUP($BH272,坦克部件!#REF!,MATCH("标准值",坦克部件!#REF!,0),FALSE)+VLOOKUP($BI272,坦克部件!#REF!,MATCH("标准值",坦克部件!#REF!,0),FALSE))*2</f>
        <v>#REF!</v>
      </c>
      <c r="BS272" s="372" t="e">
        <f ca="1">VLOOKUP($BF272,坦克属性统计!$B$3:$AY$33,MATCH(BS$3,坦克属性统计!$B$3:$AY$3,0),FALSE)</f>
        <v>#N/A</v>
      </c>
      <c r="BT272" s="372" t="e">
        <f t="shared" ca="1" si="188"/>
        <v>#N/A</v>
      </c>
      <c r="BU272" s="372" t="e">
        <f t="shared" ca="1" si="188"/>
        <v>#N/A</v>
      </c>
      <c r="BV272" s="372" t="e">
        <f t="shared" ca="1" si="188"/>
        <v>#N/A</v>
      </c>
      <c r="BW272" s="356">
        <f t="shared" ca="1" si="175"/>
        <v>0</v>
      </c>
      <c r="BX272" s="356" t="e">
        <f ca="1">VLOOKUP(BF272,坦克个性化设定!$B$18:$E$48,4,FALSE)</f>
        <v>#N/A</v>
      </c>
      <c r="BY272" s="357" t="e">
        <f t="shared" ca="1" si="182"/>
        <v>#N/A</v>
      </c>
    </row>
    <row r="273" spans="15:77" x14ac:dyDescent="0.35">
      <c r="O273" s="365">
        <v>270</v>
      </c>
      <c r="P273" s="360" t="e">
        <f t="shared" ca="1" si="152"/>
        <v>#REF!</v>
      </c>
      <c r="Q273" s="360" t="e">
        <f ca="1">ROUND(MIN((BD273-VLOOKUP(R273,$B$22:$F$46,2,FALSE))/(VLOOKUP(R273,$B$22:$F$46,3,FALSE)-VLOOKUP(R273,$B$22:$F$46,2,FALSE)),1)*((VLOOKUP(R273,$B$22:$F$46,4,FALSE)*(AG273/(AG273+VLOOKUP(P273,$D$49:$F$123,3,TRUE)))+VLOOKUP(R273,$B$22:$F$46,5,FALSE)*(1-AG273/(AG273+VLOOKUP(P273,$D$49:$F$123,3,TRUE))))/2)*游戏时长规划!$C$4,0)</f>
        <v>#REF!</v>
      </c>
      <c r="R273" s="360" t="e">
        <f t="shared" ca="1" si="162"/>
        <v>#REF!</v>
      </c>
      <c r="S273" s="360" t="e">
        <f t="shared" ca="1" si="183"/>
        <v>#REF!</v>
      </c>
      <c r="T273" s="360" t="e">
        <f t="shared" ca="1" si="153"/>
        <v>#REF!</v>
      </c>
      <c r="U273" s="370" t="e">
        <f t="shared" ca="1" si="163"/>
        <v>#REF!</v>
      </c>
      <c r="V273" s="363" t="e">
        <f t="shared" ca="1" si="184"/>
        <v>#REF!</v>
      </c>
      <c r="W273" s="360" t="e">
        <f t="shared" ca="1" si="164"/>
        <v>#REF!</v>
      </c>
      <c r="X273" s="81" t="e">
        <f t="shared" ca="1" si="176"/>
        <v>#REF!</v>
      </c>
      <c r="Y273" s="360" t="str">
        <f t="shared" ca="1" si="165"/>
        <v>NULL</v>
      </c>
      <c r="Z273" s="375" t="e">
        <f t="shared" ca="1" si="177"/>
        <v>#REF!</v>
      </c>
      <c r="AA273" s="360">
        <f ca="1">IFERROR(VLOOKUP(IF(V273="T1低",游戏时长规划!$C$67+Z273,Z273),INDIRECT(V273&amp;"星级"),2,TRUE),0)</f>
        <v>0</v>
      </c>
      <c r="AB273" s="375" t="e">
        <f t="shared" ca="1" si="166"/>
        <v>#REF!</v>
      </c>
      <c r="AC273" s="375">
        <f ca="1">($D$14+$D$17)*$L$4/坦克部件养成!$C$2+AC272-IFERROR(IF(RIGHT(AD272,3)*1&gt;RIGHT(VLOOKUP(AC272,INDIRECT(LEFT(AD271,2)&amp;"部件升阶"),5,TRUE),3)*1,VLOOKUP(AD271,INDIRECT(LEFT(AD271,2)&amp;"部件升阶消耗"),2,FALSE),0),0)</f>
        <v>3195.0000000000095</v>
      </c>
      <c r="AD273" s="360" t="e">
        <f t="shared" ca="1" si="167"/>
        <v>#REF!</v>
      </c>
      <c r="AE273" s="375" t="e">
        <f ca="1">$D$15*$L$4/坦克部件养成!$C$2+AE272-IF(LEFT(AD273,2)&lt;&gt;LEFT(AD272,2),VLOOKUP(AF272,INDIRECT(LEFT(AD272,2)&amp;"部件升级消耗"),5,FALSE),0)</f>
        <v>#REF!</v>
      </c>
      <c r="AF273" s="360" t="e">
        <f ca="1">MIN(VLOOKUP(AE273,INDIRECT(LEFT(AD273,2)&amp;"部件升级"),2,TRUE),VLOOKUP(LEFT(AD273,2),坦克部件养成!#REF!,6,FALSE))</f>
        <v>#REF!</v>
      </c>
      <c r="AG273" s="378" t="e">
        <f ca="1">MAX(BD$4:BD273)</f>
        <v>#REF!</v>
      </c>
      <c r="AH273" s="378" t="str">
        <f t="shared" ca="1" si="168"/>
        <v/>
      </c>
      <c r="AI273" s="378">
        <f ca="1">IF(Y273="NULL",0,MAX(BY$4:BY273))</f>
        <v>0</v>
      </c>
      <c r="AK273" s="364" t="e">
        <f t="shared" ca="1" si="169"/>
        <v>#REF!</v>
      </c>
      <c r="AL273" s="364" t="e">
        <f ca="1">VLOOKUP(AK273,坦克个性化设定!$B$18:$F$48,5,FALSE)</f>
        <v>#REF!</v>
      </c>
      <c r="AM273" s="372" t="e">
        <f t="shared" ca="1" si="170"/>
        <v>#REF!</v>
      </c>
      <c r="AN273" s="372" t="e">
        <f t="shared" ca="1" si="178"/>
        <v>#REF!</v>
      </c>
      <c r="AO273" s="364">
        <f t="shared" ca="1" si="171"/>
        <v>0</v>
      </c>
      <c r="AP273" s="372" t="e">
        <f ca="1">VLOOKUP($AK273&amp;$AO273,所有坦克升星属性,MATCH(AP$3,所有坦克升星属性标头,0),FALSE)+ROUND(AU273/VLOOKUP($AK273,坦克部件!#REF!,4,FALSE)*VLOOKUP($AK273&amp;0,所有坦克升星属性,MATCH(AP$3,所有坦克升星属性标头,0),FALSE),0)</f>
        <v>#REF!</v>
      </c>
      <c r="AQ273" s="372" t="e">
        <f ca="1">VLOOKUP($AK273&amp;$AO273,所有坦克升星属性,MATCH(AQ$3,所有坦克升星属性标头,0),FALSE)+ROUND(AV273/VLOOKUP($AK273,坦克部件!#REF!,4,FALSE)*VLOOKUP($AK273&amp;0,所有坦克升星属性,MATCH(AQ$3,所有坦克升星属性标头,0),FALSE),0)</f>
        <v>#REF!</v>
      </c>
      <c r="AR273" s="372" t="e">
        <f t="shared" ca="1" si="185"/>
        <v>#REF!</v>
      </c>
      <c r="AS273" s="372" t="e">
        <f t="shared" ca="1" si="185"/>
        <v>#REF!</v>
      </c>
      <c r="AT273" s="372" t="e">
        <f ca="1">VLOOKUP($AK273&amp;$AO273,所有坦克升星属性,MATCH(AT$3,所有坦克升星属性标头,0),FALSE)+ROUND(AW273/VLOOKUP($AK273,坦克部件!#REF!,4,FALSE)*VLOOKUP($AK273&amp;0,所有坦克升星属性,MATCH(AT$3,所有坦克升星属性标头,0),FALSE),0)</f>
        <v>#REF!</v>
      </c>
      <c r="AU273" s="372" t="e">
        <f ca="1">(VLOOKUP($AM273,坦克部件!#REF!,MATCH("标准值",坦克部件!#REF!,0),FALSE)+VLOOKUP($AN273,坦克部件!#REF!,MATCH("标准值",坦克部件!#REF!,0),FALSE))*2</f>
        <v>#REF!</v>
      </c>
      <c r="AV273" s="372" t="e">
        <f ca="1">(VLOOKUP($AM273,坦克部件!#REF!,MATCH("标准值",坦克部件!#REF!,0),FALSE)+VLOOKUP($AN273,坦克部件!#REF!,MATCH("标准值",坦克部件!#REF!,0),FALSE))*2</f>
        <v>#REF!</v>
      </c>
      <c r="AW273" s="372" t="e">
        <f ca="1">(VLOOKUP($AM273,坦克部件!#REF!,MATCH("标准值",坦克部件!#REF!,0),FALSE)+VLOOKUP($AN273,坦克部件!#REF!,MATCH("标准值",坦克部件!#REF!,0),FALSE))*2</f>
        <v>#REF!</v>
      </c>
      <c r="AX273" s="372" t="e">
        <f ca="1">VLOOKUP($AK273,坦克属性统计!$B$3:$AY$33,MATCH(AX$3,坦克属性统计!$B$3:$AY$3,0),FALSE)</f>
        <v>#REF!</v>
      </c>
      <c r="AY273" s="372" t="e">
        <f t="shared" ca="1" si="186"/>
        <v>#REF!</v>
      </c>
      <c r="AZ273" s="372" t="e">
        <f t="shared" ca="1" si="186"/>
        <v>#REF!</v>
      </c>
      <c r="BA273" s="372" t="e">
        <f t="shared" ca="1" si="186"/>
        <v>#REF!</v>
      </c>
      <c r="BB273" s="356" t="e">
        <f t="shared" ca="1" si="172"/>
        <v>#REF!</v>
      </c>
      <c r="BC273" s="356" t="e">
        <f ca="1">VLOOKUP(AK273,坦克个性化设定!$B$18:$E$48,4,FALSE)</f>
        <v>#REF!</v>
      </c>
      <c r="BD273" s="357" t="e">
        <f t="shared" ca="1" si="179"/>
        <v>#REF!</v>
      </c>
      <c r="BF273" s="357" t="str">
        <f t="shared" ca="1" si="173"/>
        <v/>
      </c>
      <c r="BG273" s="372" t="str">
        <f ca="1">IFERROR(VLOOKUP(BF273,坦克个性化设定!$B$18:$F$48,5,FALSE),"")</f>
        <v/>
      </c>
      <c r="BH273" s="372" t="e">
        <f t="shared" ca="1" si="180"/>
        <v>#REF!</v>
      </c>
      <c r="BI273" s="372" t="e">
        <f t="shared" ca="1" si="181"/>
        <v>#REF!</v>
      </c>
      <c r="BJ273" s="364" t="str">
        <f t="shared" ca="1" si="174"/>
        <v>NULL</v>
      </c>
      <c r="BK273" s="372" t="e">
        <f ca="1">VLOOKUP($BF273&amp;IF($BJ273="NULL",0,$BJ273),所有坦克升星属性,MATCH(BK$3,所有坦克升星属性标头,0),FALSE)+ROUND(BP273/VLOOKUP($BF273,坦克部件!#REF!,4,FALSE)*VLOOKUP($BF273&amp;0,所有坦克升星属性,MATCH(BK$3,所有坦克升星属性标头,0),FALSE),0)</f>
        <v>#N/A</v>
      </c>
      <c r="BL273" s="372" t="e">
        <f ca="1">VLOOKUP($BF273&amp;IF($BJ273="NULL",0,$BJ273),所有坦克升星属性,MATCH(BL$3,所有坦克升星属性标头,0),FALSE)+ROUND(BQ273/VLOOKUP($BF273,坦克部件!#REF!,4,FALSE)*VLOOKUP($BF273&amp;0,所有坦克升星属性,MATCH(BL$3,所有坦克升星属性标头,0),FALSE),0)</f>
        <v>#N/A</v>
      </c>
      <c r="BM273" s="372" t="e">
        <f t="shared" ca="1" si="187"/>
        <v>#N/A</v>
      </c>
      <c r="BN273" s="372" t="e">
        <f t="shared" ca="1" si="187"/>
        <v>#N/A</v>
      </c>
      <c r="BO273" s="372" t="e">
        <f ca="1">VLOOKUP($BF273&amp;IF($BJ273="NULL",0,$BJ273),所有坦克升星属性,MATCH(BO$3,所有坦克升星属性标头,0),FALSE)+ROUND(BR273/VLOOKUP($BF273,坦克部件!#REF!,4,FALSE)*VLOOKUP($BF273&amp;0,所有坦克升星属性,MATCH(BO$3,所有坦克升星属性标头,0),FALSE),0)</f>
        <v>#N/A</v>
      </c>
      <c r="BP273" s="372" t="e">
        <f ca="1">(VLOOKUP($BH273,坦克部件!#REF!,MATCH("标准值",坦克部件!#REF!,0),FALSE)+VLOOKUP($BI273,坦克部件!#REF!,MATCH("标准值",坦克部件!#REF!,0),FALSE))*2</f>
        <v>#REF!</v>
      </c>
      <c r="BQ273" s="372" t="e">
        <f ca="1">(VLOOKUP($BH273,坦克部件!#REF!,MATCH("标准值",坦克部件!#REF!,0),FALSE)+VLOOKUP($BI273,坦克部件!#REF!,MATCH("标准值",坦克部件!#REF!,0),FALSE))*2</f>
        <v>#REF!</v>
      </c>
      <c r="BR273" s="372" t="e">
        <f ca="1">(VLOOKUP($BH273,坦克部件!#REF!,MATCH("标准值",坦克部件!#REF!,0),FALSE)+VLOOKUP($BI273,坦克部件!#REF!,MATCH("标准值",坦克部件!#REF!,0),FALSE))*2</f>
        <v>#REF!</v>
      </c>
      <c r="BS273" s="372" t="e">
        <f ca="1">VLOOKUP($BF273,坦克属性统计!$B$3:$AY$33,MATCH(BS$3,坦克属性统计!$B$3:$AY$3,0),FALSE)</f>
        <v>#N/A</v>
      </c>
      <c r="BT273" s="372" t="e">
        <f t="shared" ca="1" si="188"/>
        <v>#N/A</v>
      </c>
      <c r="BU273" s="372" t="e">
        <f t="shared" ca="1" si="188"/>
        <v>#N/A</v>
      </c>
      <c r="BV273" s="372" t="e">
        <f t="shared" ca="1" si="188"/>
        <v>#N/A</v>
      </c>
      <c r="BW273" s="356">
        <f t="shared" ca="1" si="175"/>
        <v>0</v>
      </c>
      <c r="BX273" s="356" t="e">
        <f ca="1">VLOOKUP(BF273,坦克个性化设定!$B$18:$E$48,4,FALSE)</f>
        <v>#N/A</v>
      </c>
      <c r="BY273" s="357" t="e">
        <f t="shared" ca="1" si="182"/>
        <v>#N/A</v>
      </c>
    </row>
    <row r="274" spans="15:77" x14ac:dyDescent="0.35">
      <c r="O274" s="365">
        <v>271</v>
      </c>
      <c r="P274" s="360" t="e">
        <f t="shared" ca="1" si="152"/>
        <v>#REF!</v>
      </c>
      <c r="Q274" s="360" t="e">
        <f ca="1">ROUND(MIN((BD274-VLOOKUP(R274,$B$22:$F$46,2,FALSE))/(VLOOKUP(R274,$B$22:$F$46,3,FALSE)-VLOOKUP(R274,$B$22:$F$46,2,FALSE)),1)*((VLOOKUP(R274,$B$22:$F$46,4,FALSE)*(AG274/(AG274+VLOOKUP(P274,$D$49:$F$123,3,TRUE)))+VLOOKUP(R274,$B$22:$F$46,5,FALSE)*(1-AG274/(AG274+VLOOKUP(P274,$D$49:$F$123,3,TRUE))))/2)*游戏时长规划!$C$4,0)</f>
        <v>#REF!</v>
      </c>
      <c r="R274" s="360" t="e">
        <f t="shared" ca="1" si="162"/>
        <v>#REF!</v>
      </c>
      <c r="S274" s="360" t="e">
        <f t="shared" ca="1" si="183"/>
        <v>#REF!</v>
      </c>
      <c r="T274" s="360" t="e">
        <f t="shared" ca="1" si="153"/>
        <v>#REF!</v>
      </c>
      <c r="U274" s="370" t="e">
        <f t="shared" ca="1" si="163"/>
        <v>#REF!</v>
      </c>
      <c r="V274" s="363" t="e">
        <f t="shared" ca="1" si="184"/>
        <v>#REF!</v>
      </c>
      <c r="W274" s="360" t="e">
        <f t="shared" ca="1" si="164"/>
        <v>#REF!</v>
      </c>
      <c r="X274" s="81" t="e">
        <f t="shared" ca="1" si="176"/>
        <v>#REF!</v>
      </c>
      <c r="Y274" s="360" t="str">
        <f t="shared" ca="1" si="165"/>
        <v>NULL</v>
      </c>
      <c r="Z274" s="375" t="e">
        <f t="shared" ca="1" si="177"/>
        <v>#REF!</v>
      </c>
      <c r="AA274" s="360">
        <f ca="1">IFERROR(VLOOKUP(IF(V274="T1低",游戏时长规划!$C$67+Z274,Z274),INDIRECT(V274&amp;"星级"),2,TRUE),0)</f>
        <v>0</v>
      </c>
      <c r="AB274" s="375" t="e">
        <f t="shared" ca="1" si="166"/>
        <v>#REF!</v>
      </c>
      <c r="AC274" s="375">
        <f ca="1">($D$14+$D$17)*$L$4/坦克部件养成!$C$2+AC273-IFERROR(IF(RIGHT(AD273,3)*1&gt;RIGHT(VLOOKUP(AC273,INDIRECT(LEFT(AD272,2)&amp;"部件升阶"),5,TRUE),3)*1,VLOOKUP(AD272,INDIRECT(LEFT(AD272,2)&amp;"部件升阶消耗"),2,FALSE),0),0)</f>
        <v>3206.833333333343</v>
      </c>
      <c r="AD274" s="360" t="e">
        <f t="shared" ca="1" si="167"/>
        <v>#REF!</v>
      </c>
      <c r="AE274" s="375" t="e">
        <f ca="1">$D$15*$L$4/坦克部件养成!$C$2+AE273-IF(LEFT(AD274,2)&lt;&gt;LEFT(AD273,2),VLOOKUP(AF273,INDIRECT(LEFT(AD273,2)&amp;"部件升级消耗"),5,FALSE),0)</f>
        <v>#REF!</v>
      </c>
      <c r="AF274" s="360" t="e">
        <f ca="1">MIN(VLOOKUP(AE274,INDIRECT(LEFT(AD274,2)&amp;"部件升级"),2,TRUE),VLOOKUP(LEFT(AD274,2),坦克部件养成!#REF!,6,FALSE))</f>
        <v>#REF!</v>
      </c>
      <c r="AG274" s="378" t="e">
        <f ca="1">MAX(BD$4:BD274)</f>
        <v>#REF!</v>
      </c>
      <c r="AH274" s="378" t="str">
        <f t="shared" ca="1" si="168"/>
        <v/>
      </c>
      <c r="AI274" s="378">
        <f ca="1">IF(Y274="NULL",0,MAX(BY$4:BY274))</f>
        <v>0</v>
      </c>
      <c r="AK274" s="364" t="e">
        <f t="shared" ca="1" si="169"/>
        <v>#REF!</v>
      </c>
      <c r="AL274" s="364" t="e">
        <f ca="1">VLOOKUP(AK274,坦克个性化设定!$B$18:$F$48,5,FALSE)</f>
        <v>#REF!</v>
      </c>
      <c r="AM274" s="372" t="e">
        <f t="shared" ca="1" si="170"/>
        <v>#REF!</v>
      </c>
      <c r="AN274" s="372" t="e">
        <f t="shared" ca="1" si="178"/>
        <v>#REF!</v>
      </c>
      <c r="AO274" s="364">
        <f t="shared" ca="1" si="171"/>
        <v>0</v>
      </c>
      <c r="AP274" s="372" t="e">
        <f ca="1">VLOOKUP($AK274&amp;$AO274,所有坦克升星属性,MATCH(AP$3,所有坦克升星属性标头,0),FALSE)+ROUND(AU274/VLOOKUP($AK274,坦克部件!#REF!,4,FALSE)*VLOOKUP($AK274&amp;0,所有坦克升星属性,MATCH(AP$3,所有坦克升星属性标头,0),FALSE),0)</f>
        <v>#REF!</v>
      </c>
      <c r="AQ274" s="372" t="e">
        <f ca="1">VLOOKUP($AK274&amp;$AO274,所有坦克升星属性,MATCH(AQ$3,所有坦克升星属性标头,0),FALSE)+ROUND(AV274/VLOOKUP($AK274,坦克部件!#REF!,4,FALSE)*VLOOKUP($AK274&amp;0,所有坦克升星属性,MATCH(AQ$3,所有坦克升星属性标头,0),FALSE),0)</f>
        <v>#REF!</v>
      </c>
      <c r="AR274" s="372" t="e">
        <f t="shared" ca="1" si="185"/>
        <v>#REF!</v>
      </c>
      <c r="AS274" s="372" t="e">
        <f t="shared" ca="1" si="185"/>
        <v>#REF!</v>
      </c>
      <c r="AT274" s="372" t="e">
        <f ca="1">VLOOKUP($AK274&amp;$AO274,所有坦克升星属性,MATCH(AT$3,所有坦克升星属性标头,0),FALSE)+ROUND(AW274/VLOOKUP($AK274,坦克部件!#REF!,4,FALSE)*VLOOKUP($AK274&amp;0,所有坦克升星属性,MATCH(AT$3,所有坦克升星属性标头,0),FALSE),0)</f>
        <v>#REF!</v>
      </c>
      <c r="AU274" s="372" t="e">
        <f ca="1">(VLOOKUP($AM274,坦克部件!#REF!,MATCH("标准值",坦克部件!#REF!,0),FALSE)+VLOOKUP($AN274,坦克部件!#REF!,MATCH("标准值",坦克部件!#REF!,0),FALSE))*2</f>
        <v>#REF!</v>
      </c>
      <c r="AV274" s="372" t="e">
        <f ca="1">(VLOOKUP($AM274,坦克部件!#REF!,MATCH("标准值",坦克部件!#REF!,0),FALSE)+VLOOKUP($AN274,坦克部件!#REF!,MATCH("标准值",坦克部件!#REF!,0),FALSE))*2</f>
        <v>#REF!</v>
      </c>
      <c r="AW274" s="372" t="e">
        <f ca="1">(VLOOKUP($AM274,坦克部件!#REF!,MATCH("标准值",坦克部件!#REF!,0),FALSE)+VLOOKUP($AN274,坦克部件!#REF!,MATCH("标准值",坦克部件!#REF!,0),FALSE))*2</f>
        <v>#REF!</v>
      </c>
      <c r="AX274" s="372" t="e">
        <f ca="1">VLOOKUP($AK274,坦克属性统计!$B$3:$AY$33,MATCH(AX$3,坦克属性统计!$B$3:$AY$3,0),FALSE)</f>
        <v>#REF!</v>
      </c>
      <c r="AY274" s="372" t="e">
        <f t="shared" ca="1" si="186"/>
        <v>#REF!</v>
      </c>
      <c r="AZ274" s="372" t="e">
        <f t="shared" ca="1" si="186"/>
        <v>#REF!</v>
      </c>
      <c r="BA274" s="372" t="e">
        <f t="shared" ca="1" si="186"/>
        <v>#REF!</v>
      </c>
      <c r="BB274" s="356" t="e">
        <f t="shared" ca="1" si="172"/>
        <v>#REF!</v>
      </c>
      <c r="BC274" s="356" t="e">
        <f ca="1">VLOOKUP(AK274,坦克个性化设定!$B$18:$E$48,4,FALSE)</f>
        <v>#REF!</v>
      </c>
      <c r="BD274" s="357" t="e">
        <f t="shared" ca="1" si="179"/>
        <v>#REF!</v>
      </c>
      <c r="BF274" s="357" t="str">
        <f t="shared" ca="1" si="173"/>
        <v/>
      </c>
      <c r="BG274" s="372" t="str">
        <f ca="1">IFERROR(VLOOKUP(BF274,坦克个性化设定!$B$18:$F$48,5,FALSE),"")</f>
        <v/>
      </c>
      <c r="BH274" s="372" t="e">
        <f t="shared" ca="1" si="180"/>
        <v>#REF!</v>
      </c>
      <c r="BI274" s="372" t="e">
        <f t="shared" ca="1" si="181"/>
        <v>#REF!</v>
      </c>
      <c r="BJ274" s="364" t="str">
        <f t="shared" ca="1" si="174"/>
        <v>NULL</v>
      </c>
      <c r="BK274" s="372" t="e">
        <f ca="1">VLOOKUP($BF274&amp;IF($BJ274="NULL",0,$BJ274),所有坦克升星属性,MATCH(BK$3,所有坦克升星属性标头,0),FALSE)+ROUND(BP274/VLOOKUP($BF274,坦克部件!#REF!,4,FALSE)*VLOOKUP($BF274&amp;0,所有坦克升星属性,MATCH(BK$3,所有坦克升星属性标头,0),FALSE),0)</f>
        <v>#N/A</v>
      </c>
      <c r="BL274" s="372" t="e">
        <f ca="1">VLOOKUP($BF274&amp;IF($BJ274="NULL",0,$BJ274),所有坦克升星属性,MATCH(BL$3,所有坦克升星属性标头,0),FALSE)+ROUND(BQ274/VLOOKUP($BF274,坦克部件!#REF!,4,FALSE)*VLOOKUP($BF274&amp;0,所有坦克升星属性,MATCH(BL$3,所有坦克升星属性标头,0),FALSE),0)</f>
        <v>#N/A</v>
      </c>
      <c r="BM274" s="372" t="e">
        <f t="shared" ca="1" si="187"/>
        <v>#N/A</v>
      </c>
      <c r="BN274" s="372" t="e">
        <f t="shared" ca="1" si="187"/>
        <v>#N/A</v>
      </c>
      <c r="BO274" s="372" t="e">
        <f ca="1">VLOOKUP($BF274&amp;IF($BJ274="NULL",0,$BJ274),所有坦克升星属性,MATCH(BO$3,所有坦克升星属性标头,0),FALSE)+ROUND(BR274/VLOOKUP($BF274,坦克部件!#REF!,4,FALSE)*VLOOKUP($BF274&amp;0,所有坦克升星属性,MATCH(BO$3,所有坦克升星属性标头,0),FALSE),0)</f>
        <v>#N/A</v>
      </c>
      <c r="BP274" s="372" t="e">
        <f ca="1">(VLOOKUP($BH274,坦克部件!#REF!,MATCH("标准值",坦克部件!#REF!,0),FALSE)+VLOOKUP($BI274,坦克部件!#REF!,MATCH("标准值",坦克部件!#REF!,0),FALSE))*2</f>
        <v>#REF!</v>
      </c>
      <c r="BQ274" s="372" t="e">
        <f ca="1">(VLOOKUP($BH274,坦克部件!#REF!,MATCH("标准值",坦克部件!#REF!,0),FALSE)+VLOOKUP($BI274,坦克部件!#REF!,MATCH("标准值",坦克部件!#REF!,0),FALSE))*2</f>
        <v>#REF!</v>
      </c>
      <c r="BR274" s="372" t="e">
        <f ca="1">(VLOOKUP($BH274,坦克部件!#REF!,MATCH("标准值",坦克部件!#REF!,0),FALSE)+VLOOKUP($BI274,坦克部件!#REF!,MATCH("标准值",坦克部件!#REF!,0),FALSE))*2</f>
        <v>#REF!</v>
      </c>
      <c r="BS274" s="372" t="e">
        <f ca="1">VLOOKUP($BF274,坦克属性统计!$B$3:$AY$33,MATCH(BS$3,坦克属性统计!$B$3:$AY$3,0),FALSE)</f>
        <v>#N/A</v>
      </c>
      <c r="BT274" s="372" t="e">
        <f t="shared" ca="1" si="188"/>
        <v>#N/A</v>
      </c>
      <c r="BU274" s="372" t="e">
        <f t="shared" ca="1" si="188"/>
        <v>#N/A</v>
      </c>
      <c r="BV274" s="372" t="e">
        <f t="shared" ca="1" si="188"/>
        <v>#N/A</v>
      </c>
      <c r="BW274" s="356">
        <f t="shared" ca="1" si="175"/>
        <v>0</v>
      </c>
      <c r="BX274" s="356" t="e">
        <f ca="1">VLOOKUP(BF274,坦克个性化设定!$B$18:$E$48,4,FALSE)</f>
        <v>#N/A</v>
      </c>
      <c r="BY274" s="357" t="e">
        <f t="shared" ca="1" si="182"/>
        <v>#N/A</v>
      </c>
    </row>
    <row r="275" spans="15:77" x14ac:dyDescent="0.35">
      <c r="O275" s="365">
        <v>272</v>
      </c>
      <c r="P275" s="360" t="e">
        <f t="shared" ca="1" si="152"/>
        <v>#REF!</v>
      </c>
      <c r="Q275" s="360" t="e">
        <f ca="1">ROUND(MIN((BD275-VLOOKUP(R275,$B$22:$F$46,2,FALSE))/(VLOOKUP(R275,$B$22:$F$46,3,FALSE)-VLOOKUP(R275,$B$22:$F$46,2,FALSE)),1)*((VLOOKUP(R275,$B$22:$F$46,4,FALSE)*(AG275/(AG275+VLOOKUP(P275,$D$49:$F$123,3,TRUE)))+VLOOKUP(R275,$B$22:$F$46,5,FALSE)*(1-AG275/(AG275+VLOOKUP(P275,$D$49:$F$123,3,TRUE))))/2)*游戏时长规划!$C$4,0)</f>
        <v>#REF!</v>
      </c>
      <c r="R275" s="360" t="e">
        <f t="shared" ca="1" si="162"/>
        <v>#REF!</v>
      </c>
      <c r="S275" s="360" t="e">
        <f t="shared" ca="1" si="183"/>
        <v>#REF!</v>
      </c>
      <c r="T275" s="360" t="e">
        <f t="shared" ca="1" si="153"/>
        <v>#REF!</v>
      </c>
      <c r="U275" s="370" t="e">
        <f t="shared" ca="1" si="163"/>
        <v>#REF!</v>
      </c>
      <c r="V275" s="363" t="e">
        <f t="shared" ca="1" si="184"/>
        <v>#REF!</v>
      </c>
      <c r="W275" s="360" t="e">
        <f t="shared" ca="1" si="164"/>
        <v>#REF!</v>
      </c>
      <c r="X275" s="81" t="e">
        <f t="shared" ca="1" si="176"/>
        <v>#REF!</v>
      </c>
      <c r="Y275" s="360" t="str">
        <f t="shared" ca="1" si="165"/>
        <v>NULL</v>
      </c>
      <c r="Z275" s="375" t="e">
        <f t="shared" ca="1" si="177"/>
        <v>#REF!</v>
      </c>
      <c r="AA275" s="360">
        <f ca="1">IFERROR(VLOOKUP(IF(V275="T1低",游戏时长规划!$C$67+Z275,Z275),INDIRECT(V275&amp;"星级"),2,TRUE),0)</f>
        <v>0</v>
      </c>
      <c r="AB275" s="375" t="e">
        <f t="shared" ca="1" si="166"/>
        <v>#REF!</v>
      </c>
      <c r="AC275" s="375">
        <f ca="1">($D$14+$D$17)*$L$4/坦克部件养成!$C$2+AC274-IFERROR(IF(RIGHT(AD274,3)*1&gt;RIGHT(VLOOKUP(AC274,INDIRECT(LEFT(AD273,2)&amp;"部件升阶"),5,TRUE),3)*1,VLOOKUP(AD273,INDIRECT(LEFT(AD273,2)&amp;"部件升阶消耗"),2,FALSE),0),0)</f>
        <v>3218.6666666666765</v>
      </c>
      <c r="AD275" s="360" t="e">
        <f t="shared" ca="1" si="167"/>
        <v>#REF!</v>
      </c>
      <c r="AE275" s="375" t="e">
        <f ca="1">$D$15*$L$4/坦克部件养成!$C$2+AE274-IF(LEFT(AD275,2)&lt;&gt;LEFT(AD274,2),VLOOKUP(AF274,INDIRECT(LEFT(AD274,2)&amp;"部件升级消耗"),5,FALSE),0)</f>
        <v>#REF!</v>
      </c>
      <c r="AF275" s="360" t="e">
        <f ca="1">MIN(VLOOKUP(AE275,INDIRECT(LEFT(AD275,2)&amp;"部件升级"),2,TRUE),VLOOKUP(LEFT(AD275,2),坦克部件养成!#REF!,6,FALSE))</f>
        <v>#REF!</v>
      </c>
      <c r="AG275" s="378" t="e">
        <f ca="1">MAX(BD$4:BD275)</f>
        <v>#REF!</v>
      </c>
      <c r="AH275" s="378" t="str">
        <f t="shared" ca="1" si="168"/>
        <v/>
      </c>
      <c r="AI275" s="378">
        <f ca="1">IF(Y275="NULL",0,MAX(BY$4:BY275))</f>
        <v>0</v>
      </c>
      <c r="AK275" s="364" t="e">
        <f t="shared" ca="1" si="169"/>
        <v>#REF!</v>
      </c>
      <c r="AL275" s="364" t="e">
        <f ca="1">VLOOKUP(AK275,坦克个性化设定!$B$18:$F$48,5,FALSE)</f>
        <v>#REF!</v>
      </c>
      <c r="AM275" s="372" t="e">
        <f t="shared" ca="1" si="170"/>
        <v>#REF!</v>
      </c>
      <c r="AN275" s="372" t="e">
        <f t="shared" ca="1" si="178"/>
        <v>#REF!</v>
      </c>
      <c r="AO275" s="364">
        <f t="shared" ca="1" si="171"/>
        <v>0</v>
      </c>
      <c r="AP275" s="372" t="e">
        <f ca="1">VLOOKUP($AK275&amp;$AO275,所有坦克升星属性,MATCH(AP$3,所有坦克升星属性标头,0),FALSE)+ROUND(AU275/VLOOKUP($AK275,坦克部件!#REF!,4,FALSE)*VLOOKUP($AK275&amp;0,所有坦克升星属性,MATCH(AP$3,所有坦克升星属性标头,0),FALSE),0)</f>
        <v>#REF!</v>
      </c>
      <c r="AQ275" s="372" t="e">
        <f ca="1">VLOOKUP($AK275&amp;$AO275,所有坦克升星属性,MATCH(AQ$3,所有坦克升星属性标头,0),FALSE)+ROUND(AV275/VLOOKUP($AK275,坦克部件!#REF!,4,FALSE)*VLOOKUP($AK275&amp;0,所有坦克升星属性,MATCH(AQ$3,所有坦克升星属性标头,0),FALSE),0)</f>
        <v>#REF!</v>
      </c>
      <c r="AR275" s="372" t="e">
        <f t="shared" ca="1" si="185"/>
        <v>#REF!</v>
      </c>
      <c r="AS275" s="372" t="e">
        <f t="shared" ca="1" si="185"/>
        <v>#REF!</v>
      </c>
      <c r="AT275" s="372" t="e">
        <f ca="1">VLOOKUP($AK275&amp;$AO275,所有坦克升星属性,MATCH(AT$3,所有坦克升星属性标头,0),FALSE)+ROUND(AW275/VLOOKUP($AK275,坦克部件!#REF!,4,FALSE)*VLOOKUP($AK275&amp;0,所有坦克升星属性,MATCH(AT$3,所有坦克升星属性标头,0),FALSE),0)</f>
        <v>#REF!</v>
      </c>
      <c r="AU275" s="372" t="e">
        <f ca="1">(VLOOKUP($AM275,坦克部件!#REF!,MATCH("标准值",坦克部件!#REF!,0),FALSE)+VLOOKUP($AN275,坦克部件!#REF!,MATCH("标准值",坦克部件!#REF!,0),FALSE))*2</f>
        <v>#REF!</v>
      </c>
      <c r="AV275" s="372" t="e">
        <f ca="1">(VLOOKUP($AM275,坦克部件!#REF!,MATCH("标准值",坦克部件!#REF!,0),FALSE)+VLOOKUP($AN275,坦克部件!#REF!,MATCH("标准值",坦克部件!#REF!,0),FALSE))*2</f>
        <v>#REF!</v>
      </c>
      <c r="AW275" s="372" t="e">
        <f ca="1">(VLOOKUP($AM275,坦克部件!#REF!,MATCH("标准值",坦克部件!#REF!,0),FALSE)+VLOOKUP($AN275,坦克部件!#REF!,MATCH("标准值",坦克部件!#REF!,0),FALSE))*2</f>
        <v>#REF!</v>
      </c>
      <c r="AX275" s="372" t="e">
        <f ca="1">VLOOKUP($AK275,坦克属性统计!$B$3:$AY$33,MATCH(AX$3,坦克属性统计!$B$3:$AY$3,0),FALSE)</f>
        <v>#REF!</v>
      </c>
      <c r="AY275" s="372" t="e">
        <f t="shared" ca="1" si="186"/>
        <v>#REF!</v>
      </c>
      <c r="AZ275" s="372" t="e">
        <f t="shared" ca="1" si="186"/>
        <v>#REF!</v>
      </c>
      <c r="BA275" s="372" t="e">
        <f t="shared" ca="1" si="186"/>
        <v>#REF!</v>
      </c>
      <c r="BB275" s="356" t="e">
        <f t="shared" ca="1" si="172"/>
        <v>#REF!</v>
      </c>
      <c r="BC275" s="356" t="e">
        <f ca="1">VLOOKUP(AK275,坦克个性化设定!$B$18:$E$48,4,FALSE)</f>
        <v>#REF!</v>
      </c>
      <c r="BD275" s="357" t="e">
        <f t="shared" ca="1" si="179"/>
        <v>#REF!</v>
      </c>
      <c r="BF275" s="357" t="str">
        <f t="shared" ca="1" si="173"/>
        <v/>
      </c>
      <c r="BG275" s="372" t="str">
        <f ca="1">IFERROR(VLOOKUP(BF275,坦克个性化设定!$B$18:$F$48,5,FALSE),"")</f>
        <v/>
      </c>
      <c r="BH275" s="372" t="e">
        <f t="shared" ca="1" si="180"/>
        <v>#REF!</v>
      </c>
      <c r="BI275" s="372" t="e">
        <f t="shared" ca="1" si="181"/>
        <v>#REF!</v>
      </c>
      <c r="BJ275" s="364" t="str">
        <f t="shared" ca="1" si="174"/>
        <v>NULL</v>
      </c>
      <c r="BK275" s="372" t="e">
        <f ca="1">VLOOKUP($BF275&amp;IF($BJ275="NULL",0,$BJ275),所有坦克升星属性,MATCH(BK$3,所有坦克升星属性标头,0),FALSE)+ROUND(BP275/VLOOKUP($BF275,坦克部件!#REF!,4,FALSE)*VLOOKUP($BF275&amp;0,所有坦克升星属性,MATCH(BK$3,所有坦克升星属性标头,0),FALSE),0)</f>
        <v>#N/A</v>
      </c>
      <c r="BL275" s="372" t="e">
        <f ca="1">VLOOKUP($BF275&amp;IF($BJ275="NULL",0,$BJ275),所有坦克升星属性,MATCH(BL$3,所有坦克升星属性标头,0),FALSE)+ROUND(BQ275/VLOOKUP($BF275,坦克部件!#REF!,4,FALSE)*VLOOKUP($BF275&amp;0,所有坦克升星属性,MATCH(BL$3,所有坦克升星属性标头,0),FALSE),0)</f>
        <v>#N/A</v>
      </c>
      <c r="BM275" s="372" t="e">
        <f t="shared" ca="1" si="187"/>
        <v>#N/A</v>
      </c>
      <c r="BN275" s="372" t="e">
        <f t="shared" ca="1" si="187"/>
        <v>#N/A</v>
      </c>
      <c r="BO275" s="372" t="e">
        <f ca="1">VLOOKUP($BF275&amp;IF($BJ275="NULL",0,$BJ275),所有坦克升星属性,MATCH(BO$3,所有坦克升星属性标头,0),FALSE)+ROUND(BR275/VLOOKUP($BF275,坦克部件!#REF!,4,FALSE)*VLOOKUP($BF275&amp;0,所有坦克升星属性,MATCH(BO$3,所有坦克升星属性标头,0),FALSE),0)</f>
        <v>#N/A</v>
      </c>
      <c r="BP275" s="372" t="e">
        <f ca="1">(VLOOKUP($BH275,坦克部件!#REF!,MATCH("标准值",坦克部件!#REF!,0),FALSE)+VLOOKUP($BI275,坦克部件!#REF!,MATCH("标准值",坦克部件!#REF!,0),FALSE))*2</f>
        <v>#REF!</v>
      </c>
      <c r="BQ275" s="372" t="e">
        <f ca="1">(VLOOKUP($BH275,坦克部件!#REF!,MATCH("标准值",坦克部件!#REF!,0),FALSE)+VLOOKUP($BI275,坦克部件!#REF!,MATCH("标准值",坦克部件!#REF!,0),FALSE))*2</f>
        <v>#REF!</v>
      </c>
      <c r="BR275" s="372" t="e">
        <f ca="1">(VLOOKUP($BH275,坦克部件!#REF!,MATCH("标准值",坦克部件!#REF!,0),FALSE)+VLOOKUP($BI275,坦克部件!#REF!,MATCH("标准值",坦克部件!#REF!,0),FALSE))*2</f>
        <v>#REF!</v>
      </c>
      <c r="BS275" s="372" t="e">
        <f ca="1">VLOOKUP($BF275,坦克属性统计!$B$3:$AY$33,MATCH(BS$3,坦克属性统计!$B$3:$AY$3,0),FALSE)</f>
        <v>#N/A</v>
      </c>
      <c r="BT275" s="372" t="e">
        <f t="shared" ca="1" si="188"/>
        <v>#N/A</v>
      </c>
      <c r="BU275" s="372" t="e">
        <f t="shared" ca="1" si="188"/>
        <v>#N/A</v>
      </c>
      <c r="BV275" s="372" t="e">
        <f t="shared" ca="1" si="188"/>
        <v>#N/A</v>
      </c>
      <c r="BW275" s="356">
        <f t="shared" ca="1" si="175"/>
        <v>0</v>
      </c>
      <c r="BX275" s="356" t="e">
        <f ca="1">VLOOKUP(BF275,坦克个性化设定!$B$18:$E$48,4,FALSE)</f>
        <v>#N/A</v>
      </c>
      <c r="BY275" s="357" t="e">
        <f t="shared" ca="1" si="182"/>
        <v>#N/A</v>
      </c>
    </row>
    <row r="276" spans="15:77" x14ac:dyDescent="0.35">
      <c r="O276" s="365">
        <v>273</v>
      </c>
      <c r="P276" s="360" t="e">
        <f t="shared" ca="1" si="152"/>
        <v>#REF!</v>
      </c>
      <c r="Q276" s="360" t="e">
        <f ca="1">ROUND(MIN((BD276-VLOOKUP(R276,$B$22:$F$46,2,FALSE))/(VLOOKUP(R276,$B$22:$F$46,3,FALSE)-VLOOKUP(R276,$B$22:$F$46,2,FALSE)),1)*((VLOOKUP(R276,$B$22:$F$46,4,FALSE)*(AG276/(AG276+VLOOKUP(P276,$D$49:$F$123,3,TRUE)))+VLOOKUP(R276,$B$22:$F$46,5,FALSE)*(1-AG276/(AG276+VLOOKUP(P276,$D$49:$F$123,3,TRUE))))/2)*游戏时长规划!$C$4,0)</f>
        <v>#REF!</v>
      </c>
      <c r="R276" s="360" t="e">
        <f t="shared" ca="1" si="162"/>
        <v>#REF!</v>
      </c>
      <c r="S276" s="360" t="e">
        <f t="shared" ca="1" si="183"/>
        <v>#REF!</v>
      </c>
      <c r="T276" s="360" t="e">
        <f t="shared" ca="1" si="153"/>
        <v>#REF!</v>
      </c>
      <c r="U276" s="370" t="e">
        <f t="shared" ca="1" si="163"/>
        <v>#REF!</v>
      </c>
      <c r="V276" s="363" t="e">
        <f t="shared" ca="1" si="184"/>
        <v>#REF!</v>
      </c>
      <c r="W276" s="360" t="e">
        <f t="shared" ca="1" si="164"/>
        <v>#REF!</v>
      </c>
      <c r="X276" s="81" t="e">
        <f t="shared" ca="1" si="176"/>
        <v>#REF!</v>
      </c>
      <c r="Y276" s="360" t="str">
        <f t="shared" ca="1" si="165"/>
        <v>NULL</v>
      </c>
      <c r="Z276" s="375" t="e">
        <f t="shared" ca="1" si="177"/>
        <v>#REF!</v>
      </c>
      <c r="AA276" s="360">
        <f ca="1">IFERROR(VLOOKUP(IF(V276="T1低",游戏时长规划!$C$67+Z276,Z276),INDIRECT(V276&amp;"星级"),2,TRUE),0)</f>
        <v>0</v>
      </c>
      <c r="AB276" s="375" t="e">
        <f t="shared" ca="1" si="166"/>
        <v>#REF!</v>
      </c>
      <c r="AC276" s="375">
        <f ca="1">($D$14+$D$17)*$L$4/坦克部件养成!$C$2+AC275-IFERROR(IF(RIGHT(AD275,3)*1&gt;RIGHT(VLOOKUP(AC275,INDIRECT(LEFT(AD274,2)&amp;"部件升阶"),5,TRUE),3)*1,VLOOKUP(AD274,INDIRECT(LEFT(AD274,2)&amp;"部件升阶消耗"),2,FALSE),0),0)</f>
        <v>3230.50000000001</v>
      </c>
      <c r="AD276" s="360" t="e">
        <f t="shared" ca="1" si="167"/>
        <v>#REF!</v>
      </c>
      <c r="AE276" s="375" t="e">
        <f ca="1">$D$15*$L$4/坦克部件养成!$C$2+AE275-IF(LEFT(AD276,2)&lt;&gt;LEFT(AD275,2),VLOOKUP(AF275,INDIRECT(LEFT(AD275,2)&amp;"部件升级消耗"),5,FALSE),0)</f>
        <v>#REF!</v>
      </c>
      <c r="AF276" s="360" t="e">
        <f ca="1">MIN(VLOOKUP(AE276,INDIRECT(LEFT(AD276,2)&amp;"部件升级"),2,TRUE),VLOOKUP(LEFT(AD276,2),坦克部件养成!#REF!,6,FALSE))</f>
        <v>#REF!</v>
      </c>
      <c r="AG276" s="378" t="e">
        <f ca="1">MAX(BD$4:BD276)</f>
        <v>#REF!</v>
      </c>
      <c r="AH276" s="378" t="str">
        <f t="shared" ca="1" si="168"/>
        <v/>
      </c>
      <c r="AI276" s="378">
        <f ca="1">IF(Y276="NULL",0,MAX(BY$4:BY276))</f>
        <v>0</v>
      </c>
      <c r="AK276" s="364" t="e">
        <f t="shared" ca="1" si="169"/>
        <v>#REF!</v>
      </c>
      <c r="AL276" s="364" t="e">
        <f ca="1">VLOOKUP(AK276,坦克个性化设定!$B$18:$F$48,5,FALSE)</f>
        <v>#REF!</v>
      </c>
      <c r="AM276" s="372" t="e">
        <f t="shared" ca="1" si="170"/>
        <v>#REF!</v>
      </c>
      <c r="AN276" s="372" t="e">
        <f t="shared" ca="1" si="178"/>
        <v>#REF!</v>
      </c>
      <c r="AO276" s="364">
        <f t="shared" ca="1" si="171"/>
        <v>0</v>
      </c>
      <c r="AP276" s="372" t="e">
        <f ca="1">VLOOKUP($AK276&amp;$AO276,所有坦克升星属性,MATCH(AP$3,所有坦克升星属性标头,0),FALSE)+ROUND(AU276/VLOOKUP($AK276,坦克部件!#REF!,4,FALSE)*VLOOKUP($AK276&amp;0,所有坦克升星属性,MATCH(AP$3,所有坦克升星属性标头,0),FALSE),0)</f>
        <v>#REF!</v>
      </c>
      <c r="AQ276" s="372" t="e">
        <f ca="1">VLOOKUP($AK276&amp;$AO276,所有坦克升星属性,MATCH(AQ$3,所有坦克升星属性标头,0),FALSE)+ROUND(AV276/VLOOKUP($AK276,坦克部件!#REF!,4,FALSE)*VLOOKUP($AK276&amp;0,所有坦克升星属性,MATCH(AQ$3,所有坦克升星属性标头,0),FALSE),0)</f>
        <v>#REF!</v>
      </c>
      <c r="AR276" s="372" t="e">
        <f t="shared" ca="1" si="185"/>
        <v>#REF!</v>
      </c>
      <c r="AS276" s="372" t="e">
        <f t="shared" ca="1" si="185"/>
        <v>#REF!</v>
      </c>
      <c r="AT276" s="372" t="e">
        <f ca="1">VLOOKUP($AK276&amp;$AO276,所有坦克升星属性,MATCH(AT$3,所有坦克升星属性标头,0),FALSE)+ROUND(AW276/VLOOKUP($AK276,坦克部件!#REF!,4,FALSE)*VLOOKUP($AK276&amp;0,所有坦克升星属性,MATCH(AT$3,所有坦克升星属性标头,0),FALSE),0)</f>
        <v>#REF!</v>
      </c>
      <c r="AU276" s="372" t="e">
        <f ca="1">(VLOOKUP($AM276,坦克部件!#REF!,MATCH("标准值",坦克部件!#REF!,0),FALSE)+VLOOKUP($AN276,坦克部件!#REF!,MATCH("标准值",坦克部件!#REF!,0),FALSE))*2</f>
        <v>#REF!</v>
      </c>
      <c r="AV276" s="372" t="e">
        <f ca="1">(VLOOKUP($AM276,坦克部件!#REF!,MATCH("标准值",坦克部件!#REF!,0),FALSE)+VLOOKUP($AN276,坦克部件!#REF!,MATCH("标准值",坦克部件!#REF!,0),FALSE))*2</f>
        <v>#REF!</v>
      </c>
      <c r="AW276" s="372" t="e">
        <f ca="1">(VLOOKUP($AM276,坦克部件!#REF!,MATCH("标准值",坦克部件!#REF!,0),FALSE)+VLOOKUP($AN276,坦克部件!#REF!,MATCH("标准值",坦克部件!#REF!,0),FALSE))*2</f>
        <v>#REF!</v>
      </c>
      <c r="AX276" s="372" t="e">
        <f ca="1">VLOOKUP($AK276,坦克属性统计!$B$3:$AY$33,MATCH(AX$3,坦克属性统计!$B$3:$AY$3,0),FALSE)</f>
        <v>#REF!</v>
      </c>
      <c r="AY276" s="372" t="e">
        <f t="shared" ca="1" si="186"/>
        <v>#REF!</v>
      </c>
      <c r="AZ276" s="372" t="e">
        <f t="shared" ca="1" si="186"/>
        <v>#REF!</v>
      </c>
      <c r="BA276" s="372" t="e">
        <f t="shared" ca="1" si="186"/>
        <v>#REF!</v>
      </c>
      <c r="BB276" s="356" t="e">
        <f t="shared" ca="1" si="172"/>
        <v>#REF!</v>
      </c>
      <c r="BC276" s="356" t="e">
        <f ca="1">VLOOKUP(AK276,坦克个性化设定!$B$18:$E$48,4,FALSE)</f>
        <v>#REF!</v>
      </c>
      <c r="BD276" s="357" t="e">
        <f t="shared" ca="1" si="179"/>
        <v>#REF!</v>
      </c>
      <c r="BF276" s="357" t="str">
        <f t="shared" ca="1" si="173"/>
        <v/>
      </c>
      <c r="BG276" s="372" t="str">
        <f ca="1">IFERROR(VLOOKUP(BF276,坦克个性化设定!$B$18:$F$48,5,FALSE),"")</f>
        <v/>
      </c>
      <c r="BH276" s="372" t="e">
        <f t="shared" ca="1" si="180"/>
        <v>#REF!</v>
      </c>
      <c r="BI276" s="372" t="e">
        <f t="shared" ca="1" si="181"/>
        <v>#REF!</v>
      </c>
      <c r="BJ276" s="364" t="str">
        <f t="shared" ca="1" si="174"/>
        <v>NULL</v>
      </c>
      <c r="BK276" s="372" t="e">
        <f ca="1">VLOOKUP($BF276&amp;IF($BJ276="NULL",0,$BJ276),所有坦克升星属性,MATCH(BK$3,所有坦克升星属性标头,0),FALSE)+ROUND(BP276/VLOOKUP($BF276,坦克部件!#REF!,4,FALSE)*VLOOKUP($BF276&amp;0,所有坦克升星属性,MATCH(BK$3,所有坦克升星属性标头,0),FALSE),0)</f>
        <v>#N/A</v>
      </c>
      <c r="BL276" s="372" t="e">
        <f ca="1">VLOOKUP($BF276&amp;IF($BJ276="NULL",0,$BJ276),所有坦克升星属性,MATCH(BL$3,所有坦克升星属性标头,0),FALSE)+ROUND(BQ276/VLOOKUP($BF276,坦克部件!#REF!,4,FALSE)*VLOOKUP($BF276&amp;0,所有坦克升星属性,MATCH(BL$3,所有坦克升星属性标头,0),FALSE),0)</f>
        <v>#N/A</v>
      </c>
      <c r="BM276" s="372" t="e">
        <f t="shared" ca="1" si="187"/>
        <v>#N/A</v>
      </c>
      <c r="BN276" s="372" t="e">
        <f t="shared" ca="1" si="187"/>
        <v>#N/A</v>
      </c>
      <c r="BO276" s="372" t="e">
        <f ca="1">VLOOKUP($BF276&amp;IF($BJ276="NULL",0,$BJ276),所有坦克升星属性,MATCH(BO$3,所有坦克升星属性标头,0),FALSE)+ROUND(BR276/VLOOKUP($BF276,坦克部件!#REF!,4,FALSE)*VLOOKUP($BF276&amp;0,所有坦克升星属性,MATCH(BO$3,所有坦克升星属性标头,0),FALSE),0)</f>
        <v>#N/A</v>
      </c>
      <c r="BP276" s="372" t="e">
        <f ca="1">(VLOOKUP($BH276,坦克部件!#REF!,MATCH("标准值",坦克部件!#REF!,0),FALSE)+VLOOKUP($BI276,坦克部件!#REF!,MATCH("标准值",坦克部件!#REF!,0),FALSE))*2</f>
        <v>#REF!</v>
      </c>
      <c r="BQ276" s="372" t="e">
        <f ca="1">(VLOOKUP($BH276,坦克部件!#REF!,MATCH("标准值",坦克部件!#REF!,0),FALSE)+VLOOKUP($BI276,坦克部件!#REF!,MATCH("标准值",坦克部件!#REF!,0),FALSE))*2</f>
        <v>#REF!</v>
      </c>
      <c r="BR276" s="372" t="e">
        <f ca="1">(VLOOKUP($BH276,坦克部件!#REF!,MATCH("标准值",坦克部件!#REF!,0),FALSE)+VLOOKUP($BI276,坦克部件!#REF!,MATCH("标准值",坦克部件!#REF!,0),FALSE))*2</f>
        <v>#REF!</v>
      </c>
      <c r="BS276" s="372" t="e">
        <f ca="1">VLOOKUP($BF276,坦克属性统计!$B$3:$AY$33,MATCH(BS$3,坦克属性统计!$B$3:$AY$3,0),FALSE)</f>
        <v>#N/A</v>
      </c>
      <c r="BT276" s="372" t="e">
        <f t="shared" ca="1" si="188"/>
        <v>#N/A</v>
      </c>
      <c r="BU276" s="372" t="e">
        <f t="shared" ca="1" si="188"/>
        <v>#N/A</v>
      </c>
      <c r="BV276" s="372" t="e">
        <f t="shared" ca="1" si="188"/>
        <v>#N/A</v>
      </c>
      <c r="BW276" s="356">
        <f t="shared" ca="1" si="175"/>
        <v>0</v>
      </c>
      <c r="BX276" s="356" t="e">
        <f ca="1">VLOOKUP(BF276,坦克个性化设定!$B$18:$E$48,4,FALSE)</f>
        <v>#N/A</v>
      </c>
      <c r="BY276" s="357" t="e">
        <f t="shared" ca="1" si="182"/>
        <v>#N/A</v>
      </c>
    </row>
    <row r="277" spans="15:77" x14ac:dyDescent="0.35">
      <c r="O277" s="365">
        <v>274</v>
      </c>
      <c r="P277" s="360" t="e">
        <f t="shared" ca="1" si="152"/>
        <v>#REF!</v>
      </c>
      <c r="Q277" s="360" t="e">
        <f ca="1">ROUND(MIN((BD277-VLOOKUP(R277,$B$22:$F$46,2,FALSE))/(VLOOKUP(R277,$B$22:$F$46,3,FALSE)-VLOOKUP(R277,$B$22:$F$46,2,FALSE)),1)*((VLOOKUP(R277,$B$22:$F$46,4,FALSE)*(AG277/(AG277+VLOOKUP(P277,$D$49:$F$123,3,TRUE)))+VLOOKUP(R277,$B$22:$F$46,5,FALSE)*(1-AG277/(AG277+VLOOKUP(P277,$D$49:$F$123,3,TRUE))))/2)*游戏时长规划!$C$4,0)</f>
        <v>#REF!</v>
      </c>
      <c r="R277" s="360" t="e">
        <f t="shared" ca="1" si="162"/>
        <v>#REF!</v>
      </c>
      <c r="S277" s="360" t="e">
        <f t="shared" ca="1" si="183"/>
        <v>#REF!</v>
      </c>
      <c r="T277" s="360" t="e">
        <f t="shared" ca="1" si="153"/>
        <v>#REF!</v>
      </c>
      <c r="U277" s="370" t="e">
        <f t="shared" ca="1" si="163"/>
        <v>#REF!</v>
      </c>
      <c r="V277" s="363" t="e">
        <f t="shared" ca="1" si="184"/>
        <v>#REF!</v>
      </c>
      <c r="W277" s="360" t="e">
        <f t="shared" ca="1" si="164"/>
        <v>#REF!</v>
      </c>
      <c r="X277" s="81" t="e">
        <f t="shared" ca="1" si="176"/>
        <v>#REF!</v>
      </c>
      <c r="Y277" s="360" t="str">
        <f t="shared" ca="1" si="165"/>
        <v>NULL</v>
      </c>
      <c r="Z277" s="375" t="e">
        <f t="shared" ca="1" si="177"/>
        <v>#REF!</v>
      </c>
      <c r="AA277" s="360">
        <f ca="1">IFERROR(VLOOKUP(IF(V277="T1低",游戏时长规划!$C$67+Z277,Z277),INDIRECT(V277&amp;"星级"),2,TRUE),0)</f>
        <v>0</v>
      </c>
      <c r="AB277" s="375" t="e">
        <f t="shared" ca="1" si="166"/>
        <v>#REF!</v>
      </c>
      <c r="AC277" s="375">
        <f ca="1">($D$14+$D$17)*$L$4/坦克部件养成!$C$2+AC276-IFERROR(IF(RIGHT(AD276,3)*1&gt;RIGHT(VLOOKUP(AC276,INDIRECT(LEFT(AD275,2)&amp;"部件升阶"),5,TRUE),3)*1,VLOOKUP(AD275,INDIRECT(LEFT(AD275,2)&amp;"部件升阶消耗"),2,FALSE),0),0)</f>
        <v>3242.3333333333435</v>
      </c>
      <c r="AD277" s="360" t="e">
        <f t="shared" ca="1" si="167"/>
        <v>#REF!</v>
      </c>
      <c r="AE277" s="375" t="e">
        <f ca="1">$D$15*$L$4/坦克部件养成!$C$2+AE276-IF(LEFT(AD277,2)&lt;&gt;LEFT(AD276,2),VLOOKUP(AF276,INDIRECT(LEFT(AD276,2)&amp;"部件升级消耗"),5,FALSE),0)</f>
        <v>#REF!</v>
      </c>
      <c r="AF277" s="360" t="e">
        <f ca="1">MIN(VLOOKUP(AE277,INDIRECT(LEFT(AD277,2)&amp;"部件升级"),2,TRUE),VLOOKUP(LEFT(AD277,2),坦克部件养成!#REF!,6,FALSE))</f>
        <v>#REF!</v>
      </c>
      <c r="AG277" s="378" t="e">
        <f ca="1">MAX(BD$4:BD277)</f>
        <v>#REF!</v>
      </c>
      <c r="AH277" s="378" t="str">
        <f t="shared" ca="1" si="168"/>
        <v/>
      </c>
      <c r="AI277" s="378">
        <f ca="1">IF(Y277="NULL",0,MAX(BY$4:BY277))</f>
        <v>0</v>
      </c>
      <c r="AK277" s="364" t="e">
        <f t="shared" ca="1" si="169"/>
        <v>#REF!</v>
      </c>
      <c r="AL277" s="364" t="e">
        <f ca="1">VLOOKUP(AK277,坦克个性化设定!$B$18:$F$48,5,FALSE)</f>
        <v>#REF!</v>
      </c>
      <c r="AM277" s="372" t="e">
        <f t="shared" ca="1" si="170"/>
        <v>#REF!</v>
      </c>
      <c r="AN277" s="372" t="e">
        <f t="shared" ca="1" si="178"/>
        <v>#REF!</v>
      </c>
      <c r="AO277" s="364">
        <f t="shared" ca="1" si="171"/>
        <v>0</v>
      </c>
      <c r="AP277" s="372" t="e">
        <f ca="1">VLOOKUP($AK277&amp;$AO277,所有坦克升星属性,MATCH(AP$3,所有坦克升星属性标头,0),FALSE)+ROUND(AU277/VLOOKUP($AK277,坦克部件!#REF!,4,FALSE)*VLOOKUP($AK277&amp;0,所有坦克升星属性,MATCH(AP$3,所有坦克升星属性标头,0),FALSE),0)</f>
        <v>#REF!</v>
      </c>
      <c r="AQ277" s="372" t="e">
        <f ca="1">VLOOKUP($AK277&amp;$AO277,所有坦克升星属性,MATCH(AQ$3,所有坦克升星属性标头,0),FALSE)+ROUND(AV277/VLOOKUP($AK277,坦克部件!#REF!,4,FALSE)*VLOOKUP($AK277&amp;0,所有坦克升星属性,MATCH(AQ$3,所有坦克升星属性标头,0),FALSE),0)</f>
        <v>#REF!</v>
      </c>
      <c r="AR277" s="372" t="e">
        <f t="shared" ca="1" si="185"/>
        <v>#REF!</v>
      </c>
      <c r="AS277" s="372" t="e">
        <f t="shared" ca="1" si="185"/>
        <v>#REF!</v>
      </c>
      <c r="AT277" s="372" t="e">
        <f ca="1">VLOOKUP($AK277&amp;$AO277,所有坦克升星属性,MATCH(AT$3,所有坦克升星属性标头,0),FALSE)+ROUND(AW277/VLOOKUP($AK277,坦克部件!#REF!,4,FALSE)*VLOOKUP($AK277&amp;0,所有坦克升星属性,MATCH(AT$3,所有坦克升星属性标头,0),FALSE),0)</f>
        <v>#REF!</v>
      </c>
      <c r="AU277" s="372" t="e">
        <f ca="1">(VLOOKUP($AM277,坦克部件!#REF!,MATCH("标准值",坦克部件!#REF!,0),FALSE)+VLOOKUP($AN277,坦克部件!#REF!,MATCH("标准值",坦克部件!#REF!,0),FALSE))*2</f>
        <v>#REF!</v>
      </c>
      <c r="AV277" s="372" t="e">
        <f ca="1">(VLOOKUP($AM277,坦克部件!#REF!,MATCH("标准值",坦克部件!#REF!,0),FALSE)+VLOOKUP($AN277,坦克部件!#REF!,MATCH("标准值",坦克部件!#REF!,0),FALSE))*2</f>
        <v>#REF!</v>
      </c>
      <c r="AW277" s="372" t="e">
        <f ca="1">(VLOOKUP($AM277,坦克部件!#REF!,MATCH("标准值",坦克部件!#REF!,0),FALSE)+VLOOKUP($AN277,坦克部件!#REF!,MATCH("标准值",坦克部件!#REF!,0),FALSE))*2</f>
        <v>#REF!</v>
      </c>
      <c r="AX277" s="372" t="e">
        <f ca="1">VLOOKUP($AK277,坦克属性统计!$B$3:$AY$33,MATCH(AX$3,坦克属性统计!$B$3:$AY$3,0),FALSE)</f>
        <v>#REF!</v>
      </c>
      <c r="AY277" s="372" t="e">
        <f t="shared" ca="1" si="186"/>
        <v>#REF!</v>
      </c>
      <c r="AZ277" s="372" t="e">
        <f t="shared" ca="1" si="186"/>
        <v>#REF!</v>
      </c>
      <c r="BA277" s="372" t="e">
        <f t="shared" ca="1" si="186"/>
        <v>#REF!</v>
      </c>
      <c r="BB277" s="356" t="e">
        <f t="shared" ca="1" si="172"/>
        <v>#REF!</v>
      </c>
      <c r="BC277" s="356" t="e">
        <f ca="1">VLOOKUP(AK277,坦克个性化设定!$B$18:$E$48,4,FALSE)</f>
        <v>#REF!</v>
      </c>
      <c r="BD277" s="357" t="e">
        <f t="shared" ca="1" si="179"/>
        <v>#REF!</v>
      </c>
      <c r="BF277" s="357" t="str">
        <f t="shared" ca="1" si="173"/>
        <v/>
      </c>
      <c r="BG277" s="372" t="str">
        <f ca="1">IFERROR(VLOOKUP(BF277,坦克个性化设定!$B$18:$F$48,5,FALSE),"")</f>
        <v/>
      </c>
      <c r="BH277" s="372" t="e">
        <f t="shared" ca="1" si="180"/>
        <v>#REF!</v>
      </c>
      <c r="BI277" s="372" t="e">
        <f t="shared" ca="1" si="181"/>
        <v>#REF!</v>
      </c>
      <c r="BJ277" s="364" t="str">
        <f t="shared" ca="1" si="174"/>
        <v>NULL</v>
      </c>
      <c r="BK277" s="372" t="e">
        <f ca="1">VLOOKUP($BF277&amp;IF($BJ277="NULL",0,$BJ277),所有坦克升星属性,MATCH(BK$3,所有坦克升星属性标头,0),FALSE)+ROUND(BP277/VLOOKUP($BF277,坦克部件!#REF!,4,FALSE)*VLOOKUP($BF277&amp;0,所有坦克升星属性,MATCH(BK$3,所有坦克升星属性标头,0),FALSE),0)</f>
        <v>#N/A</v>
      </c>
      <c r="BL277" s="372" t="e">
        <f ca="1">VLOOKUP($BF277&amp;IF($BJ277="NULL",0,$BJ277),所有坦克升星属性,MATCH(BL$3,所有坦克升星属性标头,0),FALSE)+ROUND(BQ277/VLOOKUP($BF277,坦克部件!#REF!,4,FALSE)*VLOOKUP($BF277&amp;0,所有坦克升星属性,MATCH(BL$3,所有坦克升星属性标头,0),FALSE),0)</f>
        <v>#N/A</v>
      </c>
      <c r="BM277" s="372" t="e">
        <f t="shared" ca="1" si="187"/>
        <v>#N/A</v>
      </c>
      <c r="BN277" s="372" t="e">
        <f t="shared" ca="1" si="187"/>
        <v>#N/A</v>
      </c>
      <c r="BO277" s="372" t="e">
        <f ca="1">VLOOKUP($BF277&amp;IF($BJ277="NULL",0,$BJ277),所有坦克升星属性,MATCH(BO$3,所有坦克升星属性标头,0),FALSE)+ROUND(BR277/VLOOKUP($BF277,坦克部件!#REF!,4,FALSE)*VLOOKUP($BF277&amp;0,所有坦克升星属性,MATCH(BO$3,所有坦克升星属性标头,0),FALSE),0)</f>
        <v>#N/A</v>
      </c>
      <c r="BP277" s="372" t="e">
        <f ca="1">(VLOOKUP($BH277,坦克部件!#REF!,MATCH("标准值",坦克部件!#REF!,0),FALSE)+VLOOKUP($BI277,坦克部件!#REF!,MATCH("标准值",坦克部件!#REF!,0),FALSE))*2</f>
        <v>#REF!</v>
      </c>
      <c r="BQ277" s="372" t="e">
        <f ca="1">(VLOOKUP($BH277,坦克部件!#REF!,MATCH("标准值",坦克部件!#REF!,0),FALSE)+VLOOKUP($BI277,坦克部件!#REF!,MATCH("标准值",坦克部件!#REF!,0),FALSE))*2</f>
        <v>#REF!</v>
      </c>
      <c r="BR277" s="372" t="e">
        <f ca="1">(VLOOKUP($BH277,坦克部件!#REF!,MATCH("标准值",坦克部件!#REF!,0),FALSE)+VLOOKUP($BI277,坦克部件!#REF!,MATCH("标准值",坦克部件!#REF!,0),FALSE))*2</f>
        <v>#REF!</v>
      </c>
      <c r="BS277" s="372" t="e">
        <f ca="1">VLOOKUP($BF277,坦克属性统计!$B$3:$AY$33,MATCH(BS$3,坦克属性统计!$B$3:$AY$3,0),FALSE)</f>
        <v>#N/A</v>
      </c>
      <c r="BT277" s="372" t="e">
        <f t="shared" ca="1" si="188"/>
        <v>#N/A</v>
      </c>
      <c r="BU277" s="372" t="e">
        <f t="shared" ca="1" si="188"/>
        <v>#N/A</v>
      </c>
      <c r="BV277" s="372" t="e">
        <f t="shared" ca="1" si="188"/>
        <v>#N/A</v>
      </c>
      <c r="BW277" s="356">
        <f t="shared" ca="1" si="175"/>
        <v>0</v>
      </c>
      <c r="BX277" s="356" t="e">
        <f ca="1">VLOOKUP(BF277,坦克个性化设定!$B$18:$E$48,4,FALSE)</f>
        <v>#N/A</v>
      </c>
      <c r="BY277" s="357" t="e">
        <f t="shared" ca="1" si="182"/>
        <v>#N/A</v>
      </c>
    </row>
  </sheetData>
  <phoneticPr fontId="10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1"/>
  <dimension ref="B3:BM48"/>
  <sheetViews>
    <sheetView workbookViewId="0">
      <selection activeCell="Y4" sqref="Y4"/>
    </sheetView>
  </sheetViews>
  <sheetFormatPr defaultColWidth="9" defaultRowHeight="13" x14ac:dyDescent="0.35"/>
  <cols>
    <col min="1" max="16384" width="9" style="271"/>
  </cols>
  <sheetData>
    <row r="3" spans="2:65" x14ac:dyDescent="0.35">
      <c r="B3" s="578" t="s">
        <v>2608</v>
      </c>
      <c r="C3" s="578" t="s">
        <v>2609</v>
      </c>
      <c r="D3" s="578" t="s">
        <v>2596</v>
      </c>
      <c r="E3" s="578" t="s">
        <v>2597</v>
      </c>
      <c r="F3" s="578" t="s">
        <v>2598</v>
      </c>
      <c r="G3" s="578" t="s">
        <v>2610</v>
      </c>
      <c r="H3" s="578" t="s">
        <v>2611</v>
      </c>
      <c r="I3" s="578" t="s">
        <v>2612</v>
      </c>
      <c r="J3" s="578" t="s">
        <v>2599</v>
      </c>
      <c r="K3" s="578" t="s">
        <v>2600</v>
      </c>
      <c r="L3" s="578" t="s">
        <v>2601</v>
      </c>
      <c r="M3" s="578" t="s">
        <v>2602</v>
      </c>
      <c r="N3" s="578" t="s">
        <v>2603</v>
      </c>
      <c r="O3" s="578" t="s">
        <v>2604</v>
      </c>
      <c r="P3" s="578" t="s">
        <v>2613</v>
      </c>
      <c r="Q3" s="578" t="s">
        <v>2614</v>
      </c>
      <c r="R3" s="578" t="s">
        <v>2615</v>
      </c>
      <c r="S3" s="578" t="s">
        <v>2605</v>
      </c>
      <c r="T3" s="578" t="s">
        <v>2606</v>
      </c>
      <c r="U3" s="578" t="s">
        <v>2607</v>
      </c>
      <c r="V3" s="578" t="s">
        <v>2616</v>
      </c>
      <c r="W3" s="578" t="s">
        <v>2617</v>
      </c>
      <c r="X3" s="578" t="s">
        <v>2618</v>
      </c>
      <c r="Y3" s="372" t="s">
        <v>438</v>
      </c>
      <c r="Z3" s="574" t="s">
        <v>2113</v>
      </c>
      <c r="AA3" s="372" t="s">
        <v>435</v>
      </c>
      <c r="AB3" s="372" t="s">
        <v>436</v>
      </c>
      <c r="AC3" s="574" t="s">
        <v>2110</v>
      </c>
      <c r="AD3" s="574" t="s">
        <v>2541</v>
      </c>
      <c r="AE3" s="574" t="s">
        <v>2539</v>
      </c>
      <c r="AF3" s="574" t="s">
        <v>2540</v>
      </c>
      <c r="AG3" s="372" t="s">
        <v>46</v>
      </c>
      <c r="AH3" s="372" t="s">
        <v>704</v>
      </c>
      <c r="AI3" s="372" t="s">
        <v>33</v>
      </c>
      <c r="AJ3" s="372" t="s">
        <v>49</v>
      </c>
      <c r="AK3" s="372" t="s">
        <v>771</v>
      </c>
      <c r="AL3" s="372" t="s">
        <v>438</v>
      </c>
      <c r="AM3" s="574" t="s">
        <v>2113</v>
      </c>
      <c r="AN3" s="372" t="s">
        <v>435</v>
      </c>
      <c r="AO3" s="372" t="s">
        <v>436</v>
      </c>
      <c r="AP3" s="574" t="s">
        <v>2110</v>
      </c>
      <c r="AQ3" s="574" t="s">
        <v>2541</v>
      </c>
      <c r="AR3" s="574" t="s">
        <v>2539</v>
      </c>
      <c r="AS3" s="574" t="s">
        <v>2540</v>
      </c>
      <c r="AT3" s="372" t="s">
        <v>46</v>
      </c>
      <c r="AU3" s="372" t="s">
        <v>704</v>
      </c>
      <c r="AV3" s="372" t="s">
        <v>33</v>
      </c>
      <c r="AW3" s="372" t="s">
        <v>49</v>
      </c>
      <c r="AX3" s="372" t="s">
        <v>771</v>
      </c>
      <c r="AY3" s="372" t="s">
        <v>438</v>
      </c>
      <c r="AZ3" s="574" t="s">
        <v>2113</v>
      </c>
      <c r="BA3" s="372" t="s">
        <v>435</v>
      </c>
      <c r="BB3" s="372" t="s">
        <v>436</v>
      </c>
      <c r="BC3" s="574" t="s">
        <v>2110</v>
      </c>
      <c r="BD3" s="574" t="s">
        <v>2541</v>
      </c>
      <c r="BE3" s="574" t="s">
        <v>2539</v>
      </c>
      <c r="BF3" s="574" t="s">
        <v>2540</v>
      </c>
      <c r="BG3" s="372" t="s">
        <v>46</v>
      </c>
      <c r="BH3" s="372" t="s">
        <v>704</v>
      </c>
      <c r="BI3" s="372" t="s">
        <v>33</v>
      </c>
      <c r="BJ3" s="372" t="s">
        <v>49</v>
      </c>
      <c r="BK3" s="372" t="s">
        <v>771</v>
      </c>
    </row>
    <row r="4" spans="2:65" x14ac:dyDescent="0.35">
      <c r="B4" s="577">
        <v>1</v>
      </c>
      <c r="C4" s="577" t="e">
        <f ca="1">MAX(V4:X4)*0.65+MIN(V4:X4)*0.1225+(SUM(V4:X4)-MAX(V4:X4)-MIN(V4:X4))*0.2275</f>
        <v>#REF!</v>
      </c>
      <c r="D4" s="577" t="s">
        <v>615</v>
      </c>
      <c r="E4" s="577" t="s">
        <v>623</v>
      </c>
      <c r="F4" s="577" t="s">
        <v>721</v>
      </c>
      <c r="G4" s="577" t="str">
        <f>VLOOKUP(D4,坦克个性化设定!$B$18:$F$48,5,FALSE)</f>
        <v>轻坦弹夹</v>
      </c>
      <c r="H4" s="577" t="str">
        <f>VLOOKUP(E4,坦克个性化设定!$B$18:$F$48,5,FALSE)</f>
        <v>中坦弹夹</v>
      </c>
      <c r="I4" s="577" t="str">
        <f>VLOOKUP(F4,坦克个性化设定!$B$18:$F$48,5,FALSE)</f>
        <v>重坦自动</v>
      </c>
      <c r="J4" s="577">
        <v>0</v>
      </c>
      <c r="K4" s="577">
        <v>0</v>
      </c>
      <c r="L4" s="577">
        <v>0</v>
      </c>
      <c r="M4" s="578" t="s">
        <v>2619</v>
      </c>
      <c r="N4" s="578" t="s">
        <v>2619</v>
      </c>
      <c r="O4" s="578" t="s">
        <v>2619</v>
      </c>
      <c r="P4" s="577">
        <v>0</v>
      </c>
      <c r="Q4" s="577">
        <v>0</v>
      </c>
      <c r="R4" s="577">
        <v>0</v>
      </c>
      <c r="S4" s="577">
        <v>1</v>
      </c>
      <c r="T4" s="577">
        <v>1</v>
      </c>
      <c r="U4" s="577">
        <v>1</v>
      </c>
      <c r="V4" s="357" t="e">
        <f ca="1">ROUND(SQRT(Y4*Z4*AK4/2+AVERAGE(AA4,AB4)*AC4*100),0)</f>
        <v>#REF!</v>
      </c>
      <c r="W4" s="357" t="e">
        <f ca="1">ROUND(SQRT(AL4*AM4*AX4/2+AVERAGE(AN4,AO4)*AP4*100),0)</f>
        <v>#REF!</v>
      </c>
      <c r="X4" s="357" t="e">
        <f ca="1">ROUND(SQRT(AY4*AZ4*BK4/2+AVERAGE(BA4,BB4)*BC4*100),0)</f>
        <v>#REF!</v>
      </c>
      <c r="Y4" s="577" t="e">
        <f ca="1">VLOOKUP($D4&amp;$J4,所有坦克升星属性,MATCH(Y$3,所有坦克升星属性标头,0),FALSE)+ROUND(AD4/VLOOKUP($D4,坦克部件!#REF!,4,FALSE)*VLOOKUP($D4&amp;0,所有坦克升星属性,MATCH(Y$3,所有坦克升星属性标头,0),FALSE),0)</f>
        <v>#REF!</v>
      </c>
      <c r="Z4" s="577" t="e">
        <f ca="1">VLOOKUP($D4&amp;$J4,所有坦克升星属性,MATCH(Z$3,所有坦克升星属性标头,0),FALSE)+ROUND(AE4/VLOOKUP($D4,坦克部件!#REF!,4,FALSE)*VLOOKUP($D4&amp;0,所有坦克升星属性,MATCH(Z$3,所有坦克升星属性标头,0),FALSE),0)</f>
        <v>#REF!</v>
      </c>
      <c r="AA4" s="577">
        <f t="shared" ref="AA4:AB23" ca="1" si="0">VLOOKUP($D4&amp;$J4,所有坦克升星属性,MATCH(AA$3,所有坦克升星属性标头,0),FALSE)</f>
        <v>329</v>
      </c>
      <c r="AB4" s="577">
        <f t="shared" ca="1" si="0"/>
        <v>230</v>
      </c>
      <c r="AC4" s="577" t="e">
        <f ca="1">VLOOKUP($D4&amp;$J4,所有坦克升星属性,MATCH(AC$3,所有坦克升星属性标头,0),FALSE)+ROUND(AF4/VLOOKUP($D4,坦克部件!#REF!,4,FALSE)*VLOOKUP($D4&amp;0,所有坦克升星属性,MATCH(AC$3,所有坦克升星属性标头,0),FALSE),0)</f>
        <v>#REF!</v>
      </c>
      <c r="AD4" s="577" t="e">
        <f>(VLOOKUP($S4,坦克部件!#REF!,MATCH("标准值",坦克部件!#REF!,0),FALSE)+VLOOKUP($M4,坦克部件!#REF!,MATCH("标准值",坦克部件!#REF!,0),FALSE))*$P4</f>
        <v>#REF!</v>
      </c>
      <c r="AE4" s="577" t="e">
        <f>(VLOOKUP($S4,坦克部件!#REF!,MATCH("标准值",坦克部件!#REF!,0),FALSE)+VLOOKUP($M4,坦克部件!#REF!,MATCH("标准值",坦克部件!#REF!,0),FALSE))*$P4</f>
        <v>#REF!</v>
      </c>
      <c r="AF4" s="577" t="e">
        <f>(VLOOKUP($S4,坦克部件!#REF!,MATCH("标准值",坦克部件!#REF!,0),FALSE)+VLOOKUP($M4,坦克部件!#REF!,MATCH("标准值",坦克部件!#REF!,0),FALSE))*$P4</f>
        <v>#REF!</v>
      </c>
      <c r="AG4" s="577">
        <f>VLOOKUP($D4,坦克属性统计!$B$3:$AY$33,MATCH(AG$3,坦克属性统计!$B$3:$AY$3,0),FALSE)</f>
        <v>18</v>
      </c>
      <c r="AH4" s="577">
        <f t="shared" ref="AH4:AJ23" si="1">VLOOKUP($D4&amp;$J4,所有坦克升星属性,MATCH(AH$3,所有坦克升星属性标头,0),FALSE)</f>
        <v>0.3</v>
      </c>
      <c r="AI4" s="577">
        <f t="shared" si="1"/>
        <v>0</v>
      </c>
      <c r="AJ4" s="577">
        <f t="shared" si="1"/>
        <v>7.6</v>
      </c>
      <c r="AK4" s="356">
        <f>IF(LEN(G4)=5,(60-(AG4-1)*AH4)/AI4+AG4,IF(RIGHT(G4,2)="弹夹",((60-(AG4-1)*AH4)/(AJ4+(AG4-1)*AH4)+1)*AG4,60/AI4+AG4))</f>
        <v>95.811023622047244</v>
      </c>
      <c r="AL4" s="577" t="e">
        <f ca="1">VLOOKUP($E4&amp;$K4,所有坦克升星属性,MATCH(AL$3,所有坦克升星属性标头,0),FALSE)+ROUND(AQ4/VLOOKUP($E4,坦克部件!#REF!,4,FALSE)*VLOOKUP($E4&amp;0,所有坦克升星属性,MATCH(AL$3,所有坦克升星属性标头,0),FALSE),0)</f>
        <v>#REF!</v>
      </c>
      <c r="AM4" s="577" t="e">
        <f ca="1">VLOOKUP($E4&amp;$K4,所有坦克升星属性,MATCH(AM$3,所有坦克升星属性标头,0),FALSE)+ROUND(AR4/VLOOKUP($E4,坦克部件!#REF!,4,FALSE)*VLOOKUP($E4&amp;0,所有坦克升星属性,MATCH(AM$3,所有坦克升星属性标头,0),FALSE),0)</f>
        <v>#REF!</v>
      </c>
      <c r="AN4" s="577">
        <f t="shared" ref="AN4:AO23" ca="1" si="2">VLOOKUP($E4&amp;$K4,所有坦克升星属性,MATCH(AN$3,所有坦克升星属性标头,0),FALSE)</f>
        <v>286</v>
      </c>
      <c r="AO4" s="577">
        <f t="shared" ca="1" si="2"/>
        <v>214</v>
      </c>
      <c r="AP4" s="577" t="e">
        <f ca="1">VLOOKUP($E4&amp;$K4,所有坦克升星属性,MATCH(AP$3,所有坦克升星属性标头,0),FALSE)+ROUND(AS4/VLOOKUP($E4,坦克部件!#REF!,4,FALSE)*VLOOKUP($E4&amp;0,所有坦克升星属性,MATCH(AP$3,所有坦克升星属性标头,0),FALSE),0)</f>
        <v>#REF!</v>
      </c>
      <c r="AQ4" s="577" t="e">
        <f>(VLOOKUP($T4,坦克部件!#REF!,MATCH("标准值",坦克部件!#REF!,0),FALSE)+VLOOKUP($N4,坦克部件!#REF!,MATCH("标准值",坦克部件!#REF!,0),FALSE))*$Q4</f>
        <v>#REF!</v>
      </c>
      <c r="AR4" s="577" t="e">
        <f>(VLOOKUP($T4,坦克部件!#REF!,MATCH("标准值",坦克部件!#REF!,0),FALSE)+VLOOKUP($N4,坦克部件!#REF!,MATCH("标准值",坦克部件!#REF!,0),FALSE))*$Q4</f>
        <v>#REF!</v>
      </c>
      <c r="AS4" s="577" t="e">
        <f>(VLOOKUP($T4,坦克部件!#REF!,MATCH("标准值",坦克部件!#REF!,0),FALSE)+VLOOKUP($N4,坦克部件!#REF!,MATCH("标准值",坦克部件!#REF!,0),FALSE))*$Q4</f>
        <v>#REF!</v>
      </c>
      <c r="AT4" s="577">
        <f>VLOOKUP($E4,坦克属性统计!$B$3:$AY$33,MATCH(AT$3,坦克属性统计!$B$3:$AY$3,0),FALSE)</f>
        <v>6</v>
      </c>
      <c r="AU4" s="577">
        <f t="shared" ref="AU4:AW23" si="3">VLOOKUP($E4&amp;$K4,所有坦克升星属性,MATCH(AU$3,所有坦克升星属性标头,0),FALSE)</f>
        <v>0.4</v>
      </c>
      <c r="AV4" s="577">
        <f t="shared" si="3"/>
        <v>0</v>
      </c>
      <c r="AW4" s="577">
        <f t="shared" si="3"/>
        <v>4.8</v>
      </c>
      <c r="AX4" s="356">
        <f>IF(LEN(H4)=5,(60-(AT4-1)*AU4)/AV4+AT4,IF(RIGHT(H4,2)="弹夹",((60-(AT4-1)*AU4)/(AW4+(AT4-1)*AU4)+1)*AT4,60/AV4+AT4))</f>
        <v>57.17647058823529</v>
      </c>
      <c r="AY4" s="577" t="e">
        <f ca="1">VLOOKUP($F4&amp;$L4,所有坦克升星属性,MATCH(AY$3,所有坦克升星属性标头,0),FALSE)+ROUND(BD4/VLOOKUP($F4,坦克部件!#REF!,4,FALSE)*VLOOKUP($F4&amp;0,所有坦克升星属性,MATCH(AY$3,所有坦克升星属性标头,0),FALSE),0)</f>
        <v>#REF!</v>
      </c>
      <c r="AZ4" s="577" t="e">
        <f ca="1">VLOOKUP($F4&amp;$L4,所有坦克升星属性,MATCH(AZ$3,所有坦克升星属性标头,0),FALSE)+ROUND(BE4/VLOOKUP($F4,坦克部件!#REF!,4,FALSE)*VLOOKUP($F4&amp;0,所有坦克升星属性,MATCH(AZ$3,所有坦克升星属性标头,0),FALSE),0)</f>
        <v>#REF!</v>
      </c>
      <c r="BA4" s="577">
        <f t="shared" ref="BA4:BB23" ca="1" si="4">VLOOKUP($F4&amp;$L4,所有坦克升星属性,MATCH(BA$3,所有坦克升星属性标头,0),FALSE)</f>
        <v>286</v>
      </c>
      <c r="BB4" s="577">
        <f t="shared" ca="1" si="4"/>
        <v>229</v>
      </c>
      <c r="BC4" s="577" t="e">
        <f ca="1">VLOOKUP($F4&amp;$L4,所有坦克升星属性,MATCH(BC$3,所有坦克升星属性标头,0),FALSE)+ROUND(BF4/VLOOKUP($F4,坦克部件!#REF!,4,FALSE)*VLOOKUP($F4&amp;0,所有坦克升星属性,MATCH(BC$3,所有坦克升星属性标头,0),FALSE),0)</f>
        <v>#REF!</v>
      </c>
      <c r="BD4" s="577" t="e">
        <f>(VLOOKUP($U4,坦克部件!#REF!,MATCH("标准值",坦克部件!#REF!,0),FALSE)+VLOOKUP($O4,坦克部件!#REF!,MATCH("标准值",坦克部件!#REF!,0),FALSE))*$R4</f>
        <v>#REF!</v>
      </c>
      <c r="BE4" s="577" t="e">
        <f>(VLOOKUP($U4,坦克部件!#REF!,MATCH("标准值",坦克部件!#REF!,0),FALSE)+VLOOKUP($O4,坦克部件!#REF!,MATCH("标准值",坦克部件!#REF!,0),FALSE))*$R4</f>
        <v>#REF!</v>
      </c>
      <c r="BF4" s="577" t="e">
        <f>(VLOOKUP($U4,坦克部件!#REF!,MATCH("标准值",坦克部件!#REF!,0),FALSE)+VLOOKUP($O4,坦克部件!#REF!,MATCH("标准值",坦克部件!#REF!,0),FALSE))*$R4</f>
        <v>#REF!</v>
      </c>
      <c r="BG4" s="577">
        <f>VLOOKUP($F4,坦克属性统计!$B$3:$AY$33,MATCH(BG$3,坦克属性统计!$B$3:$AY$3,0),FALSE)</f>
        <v>2</v>
      </c>
      <c r="BH4" s="577">
        <f t="shared" ref="BH4:BJ23" si="5">VLOOKUP($F4&amp;$L4,所有坦克升星属性,MATCH(BH$3,所有坦克升星属性标头,0),FALSE)</f>
        <v>2.8</v>
      </c>
      <c r="BI4" s="577">
        <f t="shared" si="5"/>
        <v>5.4</v>
      </c>
      <c r="BJ4" s="577">
        <f t="shared" si="5"/>
        <v>0</v>
      </c>
      <c r="BK4" s="356">
        <f>IF(LEN(I4)=5,(60-(BG4-1)*BH4)/BI4+BG4,IF(RIGHT(I4,2)="弹夹",((60-(BG4-1)*BH4)/(BJ4+(BG4-1)*BH4)+1)*BG4,60/BI4+BG4))</f>
        <v>13.111111111111111</v>
      </c>
      <c r="BM4" s="271" t="e">
        <f ca="1">ROUND((BK4*AZ4+AX4*AM4+AK4*Z4)/60/3*2*2.5/20,0)*20</f>
        <v>#REF!</v>
      </c>
    </row>
    <row r="5" spans="2:65" x14ac:dyDescent="0.35">
      <c r="B5" s="577">
        <v>2</v>
      </c>
      <c r="C5" s="577" t="e">
        <f ca="1">MAX(V5:X5)*0.65+MIN(V5:X5)*0.1225+(SUM(V5:X5)-MAX(V5:X5)-MIN(V5:X5))*0.2275</f>
        <v>#REF!</v>
      </c>
      <c r="D5" s="577" t="s">
        <v>615</v>
      </c>
      <c r="E5" s="577" t="s">
        <v>623</v>
      </c>
      <c r="F5" s="577" t="s">
        <v>721</v>
      </c>
      <c r="G5" s="577" t="str">
        <f>VLOOKUP(D5,坦克个性化设定!$B$18:$F$48,5,FALSE)</f>
        <v>轻坦弹夹</v>
      </c>
      <c r="H5" s="577" t="str">
        <f>VLOOKUP(E5,坦克个性化设定!$B$18:$F$48,5,FALSE)</f>
        <v>中坦弹夹</v>
      </c>
      <c r="I5" s="577" t="str">
        <f>VLOOKUP(F5,坦克个性化设定!$B$18:$F$48,5,FALSE)</f>
        <v>重坦自动</v>
      </c>
      <c r="J5" s="577">
        <v>0</v>
      </c>
      <c r="K5" s="577">
        <v>0</v>
      </c>
      <c r="L5" s="577">
        <v>0</v>
      </c>
      <c r="M5" s="578" t="s">
        <v>2619</v>
      </c>
      <c r="N5" s="578" t="s">
        <v>2619</v>
      </c>
      <c r="O5" s="578" t="s">
        <v>2619</v>
      </c>
      <c r="P5" s="577">
        <v>3</v>
      </c>
      <c r="Q5" s="577">
        <v>3</v>
      </c>
      <c r="R5" s="577">
        <v>3</v>
      </c>
      <c r="S5" s="577">
        <v>2</v>
      </c>
      <c r="T5" s="577">
        <v>1</v>
      </c>
      <c r="U5" s="577">
        <v>1</v>
      </c>
      <c r="V5" s="357" t="e">
        <f ca="1">ROUND(SQRT(Y5*Z5*AK5/2+AVERAGE(AA5,AB5)*AC5*100),0)</f>
        <v>#REF!</v>
      </c>
      <c r="W5" s="357" t="e">
        <f ca="1">ROUND(SQRT(AL5*AM5*AX5/2+AVERAGE(AN5,AO5)*AP5*100),0)</f>
        <v>#REF!</v>
      </c>
      <c r="X5" s="357" t="e">
        <f ca="1">ROUND(SQRT(AY5*AZ5*BK5/2+AVERAGE(BA5,BB5)*BC5*100),0)</f>
        <v>#REF!</v>
      </c>
      <c r="Y5" s="577" t="e">
        <f ca="1">VLOOKUP($D5&amp;$J5,所有坦克升星属性,MATCH(Y$3,所有坦克升星属性标头,0),FALSE)+ROUND(AD5/VLOOKUP($D5,坦克部件!#REF!,4,FALSE)*VLOOKUP($D5&amp;0,所有坦克升星属性,MATCH(Y$3,所有坦克升星属性标头,0),FALSE),0)</f>
        <v>#REF!</v>
      </c>
      <c r="Z5" s="577" t="e">
        <f ca="1">VLOOKUP($D5&amp;$J5,所有坦克升星属性,MATCH(Z$3,所有坦克升星属性标头,0),FALSE)+ROUND(AE5/VLOOKUP($D5,坦克部件!#REF!,4,FALSE)*VLOOKUP($D5&amp;0,所有坦克升星属性,MATCH(Z$3,所有坦克升星属性标头,0),FALSE),0)</f>
        <v>#REF!</v>
      </c>
      <c r="AA5" s="577">
        <f t="shared" ca="1" si="0"/>
        <v>329</v>
      </c>
      <c r="AB5" s="577">
        <f t="shared" ca="1" si="0"/>
        <v>230</v>
      </c>
      <c r="AC5" s="577" t="e">
        <f ca="1">VLOOKUP($D5&amp;$J5,所有坦克升星属性,MATCH(AC$3,所有坦克升星属性标头,0),FALSE)+ROUND(AF5/VLOOKUP($D5,坦克部件!#REF!,4,FALSE)*VLOOKUP($D5&amp;0,所有坦克升星属性,MATCH(AC$3,所有坦克升星属性标头,0),FALSE),0)</f>
        <v>#REF!</v>
      </c>
      <c r="AD5" s="577" t="e">
        <f>(VLOOKUP($S5,坦克部件!#REF!,MATCH("标准值",坦克部件!#REF!,0),FALSE)+VLOOKUP($M5,坦克部件!#REF!,MATCH("标准值",坦克部件!#REF!,0),FALSE))*$P5</f>
        <v>#REF!</v>
      </c>
      <c r="AE5" s="577" t="e">
        <f>(VLOOKUP($S5,坦克部件!#REF!,MATCH("标准值",坦克部件!#REF!,0),FALSE)+VLOOKUP($M5,坦克部件!#REF!,MATCH("标准值",坦克部件!#REF!,0),FALSE))*$P5</f>
        <v>#REF!</v>
      </c>
      <c r="AF5" s="577" t="e">
        <f>(VLOOKUP($S5,坦克部件!#REF!,MATCH("标准值",坦克部件!#REF!,0),FALSE)+VLOOKUP($M5,坦克部件!#REF!,MATCH("标准值",坦克部件!#REF!,0),FALSE))*$P5</f>
        <v>#REF!</v>
      </c>
      <c r="AG5" s="577">
        <f>VLOOKUP($D5,坦克属性统计!$B$3:$AY$33,MATCH(AG$3,坦克属性统计!$B$3:$AY$3,0),FALSE)</f>
        <v>18</v>
      </c>
      <c r="AH5" s="577">
        <f t="shared" si="1"/>
        <v>0.3</v>
      </c>
      <c r="AI5" s="577">
        <f t="shared" si="1"/>
        <v>0</v>
      </c>
      <c r="AJ5" s="577">
        <f t="shared" si="1"/>
        <v>7.6</v>
      </c>
      <c r="AK5" s="356">
        <f>IF(LEN(G5)=5,(60-(AG5-1)*AH5)/AI5+AG5,IF(RIGHT(G5,2)="弹夹",((60-(AG5-1)*AH5)/(AJ5+(AG5-1)*AH5)+1)*AG5,60/AI5+AG5))</f>
        <v>95.811023622047244</v>
      </c>
      <c r="AL5" s="577" t="e">
        <f ca="1">VLOOKUP($E5&amp;$K5,所有坦克升星属性,MATCH(AL$3,所有坦克升星属性标头,0),FALSE)+ROUND(AQ5/VLOOKUP($E5,坦克部件!#REF!,4,FALSE)*VLOOKUP($E5&amp;0,所有坦克升星属性,MATCH(AL$3,所有坦克升星属性标头,0),FALSE),0)</f>
        <v>#REF!</v>
      </c>
      <c r="AM5" s="577" t="e">
        <f ca="1">VLOOKUP($E5&amp;$K5,所有坦克升星属性,MATCH(AM$3,所有坦克升星属性标头,0),FALSE)+ROUND(AR5/VLOOKUP($E5,坦克部件!#REF!,4,FALSE)*VLOOKUP($E5&amp;0,所有坦克升星属性,MATCH(AM$3,所有坦克升星属性标头,0),FALSE),0)</f>
        <v>#REF!</v>
      </c>
      <c r="AN5" s="577">
        <f t="shared" ca="1" si="2"/>
        <v>286</v>
      </c>
      <c r="AO5" s="577">
        <f t="shared" ca="1" si="2"/>
        <v>214</v>
      </c>
      <c r="AP5" s="577" t="e">
        <f ca="1">VLOOKUP($E5&amp;$K5,所有坦克升星属性,MATCH(AP$3,所有坦克升星属性标头,0),FALSE)+ROUND(AS5/VLOOKUP($E5,坦克部件!#REF!,4,FALSE)*VLOOKUP($E5&amp;0,所有坦克升星属性,MATCH(AP$3,所有坦克升星属性标头,0),FALSE),0)</f>
        <v>#REF!</v>
      </c>
      <c r="AQ5" s="577" t="e">
        <f>(VLOOKUP($T5,坦克部件!#REF!,MATCH("标准值",坦克部件!#REF!,0),FALSE)+VLOOKUP($N5,坦克部件!#REF!,MATCH("标准值",坦克部件!#REF!,0),FALSE))*$Q5</f>
        <v>#REF!</v>
      </c>
      <c r="AR5" s="577" t="e">
        <f>(VLOOKUP($T5,坦克部件!#REF!,MATCH("标准值",坦克部件!#REF!,0),FALSE)+VLOOKUP($N5,坦克部件!#REF!,MATCH("标准值",坦克部件!#REF!,0),FALSE))*$Q5</f>
        <v>#REF!</v>
      </c>
      <c r="AS5" s="577" t="e">
        <f>(VLOOKUP($T5,坦克部件!#REF!,MATCH("标准值",坦克部件!#REF!,0),FALSE)+VLOOKUP($N5,坦克部件!#REF!,MATCH("标准值",坦克部件!#REF!,0),FALSE))*$Q5</f>
        <v>#REF!</v>
      </c>
      <c r="AT5" s="577">
        <f>VLOOKUP($E5,坦克属性统计!$B$3:$AY$33,MATCH(AT$3,坦克属性统计!$B$3:$AY$3,0),FALSE)</f>
        <v>6</v>
      </c>
      <c r="AU5" s="577">
        <f t="shared" si="3"/>
        <v>0.4</v>
      </c>
      <c r="AV5" s="577">
        <f t="shared" si="3"/>
        <v>0</v>
      </c>
      <c r="AW5" s="577">
        <f t="shared" si="3"/>
        <v>4.8</v>
      </c>
      <c r="AX5" s="356">
        <f>IF(LEN(H5)=5,(60-(AT5-1)*AU5)/AV5+AT5,IF(RIGHT(H5,2)="弹夹",((60-(AT5-1)*AU5)/(AW5+(AT5-1)*AU5)+1)*AT5,60/AV5+AT5))</f>
        <v>57.17647058823529</v>
      </c>
      <c r="AY5" s="577" t="e">
        <f ca="1">VLOOKUP($F5&amp;$L5,所有坦克升星属性,MATCH(AY$3,所有坦克升星属性标头,0),FALSE)+ROUND(BD5/VLOOKUP($F5,坦克部件!#REF!,4,FALSE)*VLOOKUP($F5&amp;0,所有坦克升星属性,MATCH(AY$3,所有坦克升星属性标头,0),FALSE),0)</f>
        <v>#REF!</v>
      </c>
      <c r="AZ5" s="577" t="e">
        <f ca="1">VLOOKUP($F5&amp;$L5,所有坦克升星属性,MATCH(AZ$3,所有坦克升星属性标头,0),FALSE)+ROUND(BE5/VLOOKUP($F5,坦克部件!#REF!,4,FALSE)*VLOOKUP($F5&amp;0,所有坦克升星属性,MATCH(AZ$3,所有坦克升星属性标头,0),FALSE),0)</f>
        <v>#REF!</v>
      </c>
      <c r="BA5" s="577">
        <f t="shared" ca="1" si="4"/>
        <v>286</v>
      </c>
      <c r="BB5" s="577">
        <f t="shared" ca="1" si="4"/>
        <v>229</v>
      </c>
      <c r="BC5" s="577" t="e">
        <f ca="1">VLOOKUP($F5&amp;$L5,所有坦克升星属性,MATCH(BC$3,所有坦克升星属性标头,0),FALSE)+ROUND(BF5/VLOOKUP($F5,坦克部件!#REF!,4,FALSE)*VLOOKUP($F5&amp;0,所有坦克升星属性,MATCH(BC$3,所有坦克升星属性标头,0),FALSE),0)</f>
        <v>#REF!</v>
      </c>
      <c r="BD5" s="577" t="e">
        <f>(VLOOKUP($U5,坦克部件!#REF!,MATCH("标准值",坦克部件!#REF!,0),FALSE)+VLOOKUP($O5,坦克部件!#REF!,MATCH("标准值",坦克部件!#REF!,0),FALSE))*$R5</f>
        <v>#REF!</v>
      </c>
      <c r="BE5" s="577" t="e">
        <f>(VLOOKUP($U5,坦克部件!#REF!,MATCH("标准值",坦克部件!#REF!,0),FALSE)+VLOOKUP($O5,坦克部件!#REF!,MATCH("标准值",坦克部件!#REF!,0),FALSE))*$R5</f>
        <v>#REF!</v>
      </c>
      <c r="BF5" s="577" t="e">
        <f>(VLOOKUP($U5,坦克部件!#REF!,MATCH("标准值",坦克部件!#REF!,0),FALSE)+VLOOKUP($O5,坦克部件!#REF!,MATCH("标准值",坦克部件!#REF!,0),FALSE))*$R5</f>
        <v>#REF!</v>
      </c>
      <c r="BG5" s="577">
        <f>VLOOKUP($F5,坦克属性统计!$B$3:$AY$33,MATCH(BG$3,坦克属性统计!$B$3:$AY$3,0),FALSE)</f>
        <v>2</v>
      </c>
      <c r="BH5" s="577">
        <f t="shared" si="5"/>
        <v>2.8</v>
      </c>
      <c r="BI5" s="577">
        <f t="shared" si="5"/>
        <v>5.4</v>
      </c>
      <c r="BJ5" s="577">
        <f t="shared" si="5"/>
        <v>0</v>
      </c>
      <c r="BK5" s="356">
        <f>IF(LEN(I5)=5,(60-(BG5-1)*BH5)/BI5+BG5,IF(RIGHT(I5,2)="弹夹",((60-(BG5-1)*BH5)/(BJ5+(BG5-1)*BH5)+1)*BG5,60/BI5+BG5))</f>
        <v>13.111111111111111</v>
      </c>
      <c r="BM5" s="271" t="e">
        <f t="shared" ref="BM5:BM37" ca="1" si="6">ROUND((BK5*AZ5+AX5*AM5+AK5*Z5)/60/3*2*2.5/20,0)*20</f>
        <v>#REF!</v>
      </c>
    </row>
    <row r="6" spans="2:65" x14ac:dyDescent="0.35">
      <c r="B6" s="577">
        <v>3</v>
      </c>
      <c r="C6" s="577" t="e">
        <f t="shared" ref="C6:C25" ca="1" si="7">MAX(V6:X6)*0.65+MIN(V6:X6)*0.1225+(SUM(V6:X6)-MAX(V6:X6)-MIN(V6:X6))*0.2275</f>
        <v>#REF!</v>
      </c>
      <c r="D6" s="577" t="s">
        <v>615</v>
      </c>
      <c r="E6" s="577" t="s">
        <v>623</v>
      </c>
      <c r="F6" s="577" t="s">
        <v>721</v>
      </c>
      <c r="G6" s="577" t="str">
        <f>VLOOKUP(D6,坦克个性化设定!$B$18:$F$48,5,FALSE)</f>
        <v>轻坦弹夹</v>
      </c>
      <c r="H6" s="577" t="str">
        <f>VLOOKUP(E6,坦克个性化设定!$B$18:$F$48,5,FALSE)</f>
        <v>中坦弹夹</v>
      </c>
      <c r="I6" s="577" t="str">
        <f>VLOOKUP(F6,坦克个性化设定!$B$18:$F$48,5,FALSE)</f>
        <v>重坦自动</v>
      </c>
      <c r="J6" s="577">
        <v>1</v>
      </c>
      <c r="K6" s="577">
        <v>0</v>
      </c>
      <c r="L6" s="577">
        <v>0</v>
      </c>
      <c r="M6" s="578" t="s">
        <v>2619</v>
      </c>
      <c r="N6" s="578" t="s">
        <v>2619</v>
      </c>
      <c r="O6" s="578" t="s">
        <v>2619</v>
      </c>
      <c r="P6" s="577">
        <v>3</v>
      </c>
      <c r="Q6" s="577">
        <v>3</v>
      </c>
      <c r="R6" s="577">
        <v>3</v>
      </c>
      <c r="S6" s="577">
        <v>3</v>
      </c>
      <c r="T6" s="577">
        <v>3</v>
      </c>
      <c r="U6" s="577">
        <v>3</v>
      </c>
      <c r="V6" s="357" t="e">
        <f t="shared" ref="V6:V25" ca="1" si="8">ROUND(SQRT(Y6*Z6*AK6/2+AVERAGE(AA6,AB6)*AC6*100),0)</f>
        <v>#REF!</v>
      </c>
      <c r="W6" s="357" t="e">
        <f t="shared" ref="W6:W25" ca="1" si="9">ROUND(SQRT(AL6*AM6*AX6/2+AVERAGE(AN6,AO6)*AP6*100),0)</f>
        <v>#REF!</v>
      </c>
      <c r="X6" s="357" t="e">
        <f t="shared" ref="X6:X25" ca="1" si="10">ROUND(SQRT(AY6*AZ6*BK6/2+AVERAGE(BA6,BB6)*BC6*100),0)</f>
        <v>#REF!</v>
      </c>
      <c r="Y6" s="577" t="e">
        <f ca="1">VLOOKUP($D6&amp;$J6,所有坦克升星属性,MATCH(Y$3,所有坦克升星属性标头,0),FALSE)+ROUND(AD6/VLOOKUP($D6,坦克部件!#REF!,4,FALSE)*VLOOKUP($D6&amp;0,所有坦克升星属性,MATCH(Y$3,所有坦克升星属性标头,0),FALSE),0)</f>
        <v>#REF!</v>
      </c>
      <c r="Z6" s="577" t="e">
        <f ca="1">VLOOKUP($D6&amp;$J6,所有坦克升星属性,MATCH(Z$3,所有坦克升星属性标头,0),FALSE)+ROUND(AE6/VLOOKUP($D6,坦克部件!#REF!,4,FALSE)*VLOOKUP($D6&amp;0,所有坦克升星属性,MATCH(Z$3,所有坦克升星属性标头,0),FALSE),0)</f>
        <v>#REF!</v>
      </c>
      <c r="AA6" s="577">
        <f t="shared" ca="1" si="0"/>
        <v>357</v>
      </c>
      <c r="AB6" s="577">
        <f t="shared" ca="1" si="0"/>
        <v>250</v>
      </c>
      <c r="AC6" s="577" t="e">
        <f ca="1">VLOOKUP($D6&amp;$J6,所有坦克升星属性,MATCH(AC$3,所有坦克升星属性标头,0),FALSE)+ROUND(AF6/VLOOKUP($D6,坦克部件!#REF!,4,FALSE)*VLOOKUP($D6&amp;0,所有坦克升星属性,MATCH(AC$3,所有坦克升星属性标头,0),FALSE),0)</f>
        <v>#REF!</v>
      </c>
      <c r="AD6" s="577" t="e">
        <f>(VLOOKUP($S6,坦克部件!#REF!,MATCH("标准值",坦克部件!#REF!,0),FALSE)+VLOOKUP($M6,坦克部件!#REF!,MATCH("标准值",坦克部件!#REF!,0),FALSE))*$P6</f>
        <v>#REF!</v>
      </c>
      <c r="AE6" s="577" t="e">
        <f>(VLOOKUP($S6,坦克部件!#REF!,MATCH("标准值",坦克部件!#REF!,0),FALSE)+VLOOKUP($M6,坦克部件!#REF!,MATCH("标准值",坦克部件!#REF!,0),FALSE))*$P6</f>
        <v>#REF!</v>
      </c>
      <c r="AF6" s="577" t="e">
        <f>(VLOOKUP($S6,坦克部件!#REF!,MATCH("标准值",坦克部件!#REF!,0),FALSE)+VLOOKUP($M6,坦克部件!#REF!,MATCH("标准值",坦克部件!#REF!,0),FALSE))*$P6</f>
        <v>#REF!</v>
      </c>
      <c r="AG6" s="577">
        <f>VLOOKUP($D6,坦克属性统计!$B$3:$AY$33,MATCH(AG$3,坦克属性统计!$B$3:$AY$3,0),FALSE)</f>
        <v>18</v>
      </c>
      <c r="AH6" s="577">
        <f t="shared" si="1"/>
        <v>0.28999999999999998</v>
      </c>
      <c r="AI6" s="577">
        <f t="shared" si="1"/>
        <v>0</v>
      </c>
      <c r="AJ6" s="577">
        <f t="shared" si="1"/>
        <v>7</v>
      </c>
      <c r="AK6" s="356">
        <f t="shared" ref="AK6:AK25" si="11">IF(LEN(G6)=5,(60-(AG6-1)*AH6)/AI6+AG6,IF(RIGHT(G6,2)="弹夹",((60-(AG6-1)*AH6)/(AJ6+(AG6-1)*AH6)+1)*AG6,60/AI6+AG6))</f>
        <v>101.08968985750209</v>
      </c>
      <c r="AL6" s="577" t="e">
        <f ca="1">VLOOKUP($E6&amp;$K6,所有坦克升星属性,MATCH(AL$3,所有坦克升星属性标头,0),FALSE)+ROUND(AQ6/VLOOKUP($E6,坦克部件!#REF!,4,FALSE)*VLOOKUP($E6&amp;0,所有坦克升星属性,MATCH(AL$3,所有坦克升星属性标头,0),FALSE),0)</f>
        <v>#REF!</v>
      </c>
      <c r="AM6" s="577" t="e">
        <f ca="1">VLOOKUP($E6&amp;$K6,所有坦克升星属性,MATCH(AM$3,所有坦克升星属性标头,0),FALSE)+ROUND(AR6/VLOOKUP($E6,坦克部件!#REF!,4,FALSE)*VLOOKUP($E6&amp;0,所有坦克升星属性,MATCH(AM$3,所有坦克升星属性标头,0),FALSE),0)</f>
        <v>#REF!</v>
      </c>
      <c r="AN6" s="577">
        <f t="shared" ca="1" si="2"/>
        <v>286</v>
      </c>
      <c r="AO6" s="577">
        <f t="shared" ca="1" si="2"/>
        <v>214</v>
      </c>
      <c r="AP6" s="577" t="e">
        <f ca="1">VLOOKUP($E6&amp;$K6,所有坦克升星属性,MATCH(AP$3,所有坦克升星属性标头,0),FALSE)+ROUND(AS6/VLOOKUP($E6,坦克部件!#REF!,4,FALSE)*VLOOKUP($E6&amp;0,所有坦克升星属性,MATCH(AP$3,所有坦克升星属性标头,0),FALSE),0)</f>
        <v>#REF!</v>
      </c>
      <c r="AQ6" s="577" t="e">
        <f>(VLOOKUP($T6,坦克部件!#REF!,MATCH("标准值",坦克部件!#REF!,0),FALSE)+VLOOKUP($N6,坦克部件!#REF!,MATCH("标准值",坦克部件!#REF!,0),FALSE))*$Q6</f>
        <v>#REF!</v>
      </c>
      <c r="AR6" s="577" t="e">
        <f>(VLOOKUP($T6,坦克部件!#REF!,MATCH("标准值",坦克部件!#REF!,0),FALSE)+VLOOKUP($N6,坦克部件!#REF!,MATCH("标准值",坦克部件!#REF!,0),FALSE))*$Q6</f>
        <v>#REF!</v>
      </c>
      <c r="AS6" s="577" t="e">
        <f>(VLOOKUP($T6,坦克部件!#REF!,MATCH("标准值",坦克部件!#REF!,0),FALSE)+VLOOKUP($N6,坦克部件!#REF!,MATCH("标准值",坦克部件!#REF!,0),FALSE))*$Q6</f>
        <v>#REF!</v>
      </c>
      <c r="AT6" s="577">
        <f>VLOOKUP($E6,坦克属性统计!$B$3:$AY$33,MATCH(AT$3,坦克属性统计!$B$3:$AY$3,0),FALSE)</f>
        <v>6</v>
      </c>
      <c r="AU6" s="577">
        <f t="shared" si="3"/>
        <v>0.4</v>
      </c>
      <c r="AV6" s="577">
        <f t="shared" si="3"/>
        <v>0</v>
      </c>
      <c r="AW6" s="577">
        <f t="shared" si="3"/>
        <v>4.8</v>
      </c>
      <c r="AX6" s="356">
        <f t="shared" ref="AX6:AX25" si="12">IF(LEN(H6)=5,(60-(AT6-1)*AU6)/AV6+AT6,IF(RIGHT(H6,2)="弹夹",((60-(AT6-1)*AU6)/(AW6+(AT6-1)*AU6)+1)*AT6,60/AV6+AT6))</f>
        <v>57.17647058823529</v>
      </c>
      <c r="AY6" s="577" t="e">
        <f ca="1">VLOOKUP($F6&amp;$L6,所有坦克升星属性,MATCH(AY$3,所有坦克升星属性标头,0),FALSE)+ROUND(BD6/VLOOKUP($F6,坦克部件!#REF!,4,FALSE)*VLOOKUP($F6&amp;0,所有坦克升星属性,MATCH(AY$3,所有坦克升星属性标头,0),FALSE),0)</f>
        <v>#REF!</v>
      </c>
      <c r="AZ6" s="577" t="e">
        <f ca="1">VLOOKUP($F6&amp;$L6,所有坦克升星属性,MATCH(AZ$3,所有坦克升星属性标头,0),FALSE)+ROUND(BE6/VLOOKUP($F6,坦克部件!#REF!,4,FALSE)*VLOOKUP($F6&amp;0,所有坦克升星属性,MATCH(AZ$3,所有坦克升星属性标头,0),FALSE),0)</f>
        <v>#REF!</v>
      </c>
      <c r="BA6" s="577">
        <f t="shared" ca="1" si="4"/>
        <v>286</v>
      </c>
      <c r="BB6" s="577">
        <f t="shared" ca="1" si="4"/>
        <v>229</v>
      </c>
      <c r="BC6" s="577" t="e">
        <f ca="1">VLOOKUP($F6&amp;$L6,所有坦克升星属性,MATCH(BC$3,所有坦克升星属性标头,0),FALSE)+ROUND(BF6/VLOOKUP($F6,坦克部件!#REF!,4,FALSE)*VLOOKUP($F6&amp;0,所有坦克升星属性,MATCH(BC$3,所有坦克升星属性标头,0),FALSE),0)</f>
        <v>#REF!</v>
      </c>
      <c r="BD6" s="577" t="e">
        <f>(VLOOKUP($U6,坦克部件!#REF!,MATCH("标准值",坦克部件!#REF!,0),FALSE)+VLOOKUP($O6,坦克部件!#REF!,MATCH("标准值",坦克部件!#REF!,0),FALSE))*$R6</f>
        <v>#REF!</v>
      </c>
      <c r="BE6" s="577" t="e">
        <f>(VLOOKUP($U6,坦克部件!#REF!,MATCH("标准值",坦克部件!#REF!,0),FALSE)+VLOOKUP($O6,坦克部件!#REF!,MATCH("标准值",坦克部件!#REF!,0),FALSE))*$R6</f>
        <v>#REF!</v>
      </c>
      <c r="BF6" s="577" t="e">
        <f>(VLOOKUP($U6,坦克部件!#REF!,MATCH("标准值",坦克部件!#REF!,0),FALSE)+VLOOKUP($O6,坦克部件!#REF!,MATCH("标准值",坦克部件!#REF!,0),FALSE))*$R6</f>
        <v>#REF!</v>
      </c>
      <c r="BG6" s="577">
        <f>VLOOKUP($F6,坦克属性统计!$B$3:$AY$33,MATCH(BG$3,坦克属性统计!$B$3:$AY$3,0),FALSE)</f>
        <v>2</v>
      </c>
      <c r="BH6" s="577">
        <f t="shared" si="5"/>
        <v>2.8</v>
      </c>
      <c r="BI6" s="577">
        <f t="shared" si="5"/>
        <v>5.4</v>
      </c>
      <c r="BJ6" s="577">
        <f t="shared" si="5"/>
        <v>0</v>
      </c>
      <c r="BK6" s="356">
        <f t="shared" ref="BK6:BK25" si="13">IF(LEN(I6)=5,(60-(BG6-1)*BH6)/BI6+BG6,IF(RIGHT(I6,2)="弹夹",((60-(BG6-1)*BH6)/(BJ6+(BG6-1)*BH6)+1)*BG6,60/BI6+BG6))</f>
        <v>13.111111111111111</v>
      </c>
      <c r="BM6" s="271" t="e">
        <f t="shared" ca="1" si="6"/>
        <v>#REF!</v>
      </c>
    </row>
    <row r="7" spans="2:65" x14ac:dyDescent="0.35">
      <c r="B7" s="577">
        <v>4</v>
      </c>
      <c r="C7" s="577" t="e">
        <f t="shared" ca="1" si="7"/>
        <v>#REF!</v>
      </c>
      <c r="D7" s="577" t="s">
        <v>615</v>
      </c>
      <c r="E7" s="577" t="s">
        <v>623</v>
      </c>
      <c r="F7" s="577" t="s">
        <v>721</v>
      </c>
      <c r="G7" s="577" t="str">
        <f>VLOOKUP(D7,坦克个性化设定!$B$18:$F$48,5,FALSE)</f>
        <v>轻坦弹夹</v>
      </c>
      <c r="H7" s="577" t="str">
        <f>VLOOKUP(E7,坦克个性化设定!$B$18:$F$48,5,FALSE)</f>
        <v>中坦弹夹</v>
      </c>
      <c r="I7" s="577" t="str">
        <f>VLOOKUP(F7,坦克个性化设定!$B$18:$F$48,5,FALSE)</f>
        <v>重坦自动</v>
      </c>
      <c r="J7" s="577">
        <v>1</v>
      </c>
      <c r="K7" s="577">
        <v>1</v>
      </c>
      <c r="L7" s="577">
        <v>0</v>
      </c>
      <c r="M7" s="578" t="s">
        <v>2619</v>
      </c>
      <c r="N7" s="578" t="s">
        <v>2619</v>
      </c>
      <c r="O7" s="578" t="s">
        <v>2619</v>
      </c>
      <c r="P7" s="577">
        <v>3</v>
      </c>
      <c r="Q7" s="577">
        <v>3</v>
      </c>
      <c r="R7" s="577">
        <v>3</v>
      </c>
      <c r="S7" s="577">
        <v>6</v>
      </c>
      <c r="T7" s="577">
        <v>5</v>
      </c>
      <c r="U7" s="577">
        <v>4</v>
      </c>
      <c r="V7" s="357" t="e">
        <f t="shared" ca="1" si="8"/>
        <v>#REF!</v>
      </c>
      <c r="W7" s="357" t="e">
        <f t="shared" ca="1" si="9"/>
        <v>#REF!</v>
      </c>
      <c r="X7" s="357" t="e">
        <f t="shared" ca="1" si="10"/>
        <v>#REF!</v>
      </c>
      <c r="Y7" s="577" t="e">
        <f ca="1">VLOOKUP($D7&amp;$J7,所有坦克升星属性,MATCH(Y$3,所有坦克升星属性标头,0),FALSE)+ROUND(AD7/VLOOKUP($D7,坦克部件!#REF!,4,FALSE)*VLOOKUP($D7&amp;0,所有坦克升星属性,MATCH(Y$3,所有坦克升星属性标头,0),FALSE),0)</f>
        <v>#REF!</v>
      </c>
      <c r="Z7" s="577" t="e">
        <f ca="1">VLOOKUP($D7&amp;$J7,所有坦克升星属性,MATCH(Z$3,所有坦克升星属性标头,0),FALSE)+ROUND(AE7/VLOOKUP($D7,坦克部件!#REF!,4,FALSE)*VLOOKUP($D7&amp;0,所有坦克升星属性,MATCH(Z$3,所有坦克升星属性标头,0),FALSE),0)</f>
        <v>#REF!</v>
      </c>
      <c r="AA7" s="577">
        <f t="shared" ca="1" si="0"/>
        <v>357</v>
      </c>
      <c r="AB7" s="577">
        <f t="shared" ca="1" si="0"/>
        <v>250</v>
      </c>
      <c r="AC7" s="577" t="e">
        <f ca="1">VLOOKUP($D7&amp;$J7,所有坦克升星属性,MATCH(AC$3,所有坦克升星属性标头,0),FALSE)+ROUND(AF7/VLOOKUP($D7,坦克部件!#REF!,4,FALSE)*VLOOKUP($D7&amp;0,所有坦克升星属性,MATCH(AC$3,所有坦克升星属性标头,0),FALSE),0)</f>
        <v>#REF!</v>
      </c>
      <c r="AD7" s="577" t="e">
        <f>(VLOOKUP($S7,坦克部件!#REF!,MATCH("标准值",坦克部件!#REF!,0),FALSE)+VLOOKUP($M7,坦克部件!#REF!,MATCH("标准值",坦克部件!#REF!,0),FALSE))*$P7</f>
        <v>#REF!</v>
      </c>
      <c r="AE7" s="577" t="e">
        <f>(VLOOKUP($S7,坦克部件!#REF!,MATCH("标准值",坦克部件!#REF!,0),FALSE)+VLOOKUP($M7,坦克部件!#REF!,MATCH("标准值",坦克部件!#REF!,0),FALSE))*$P7</f>
        <v>#REF!</v>
      </c>
      <c r="AF7" s="577" t="e">
        <f>(VLOOKUP($S7,坦克部件!#REF!,MATCH("标准值",坦克部件!#REF!,0),FALSE)+VLOOKUP($M7,坦克部件!#REF!,MATCH("标准值",坦克部件!#REF!,0),FALSE))*$P7</f>
        <v>#REF!</v>
      </c>
      <c r="AG7" s="577">
        <f>VLOOKUP($D7,坦克属性统计!$B$3:$AY$33,MATCH(AG$3,坦克属性统计!$B$3:$AY$3,0),FALSE)</f>
        <v>18</v>
      </c>
      <c r="AH7" s="577">
        <f t="shared" si="1"/>
        <v>0.28999999999999998</v>
      </c>
      <c r="AI7" s="577">
        <f t="shared" si="1"/>
        <v>0</v>
      </c>
      <c r="AJ7" s="577">
        <f t="shared" si="1"/>
        <v>7</v>
      </c>
      <c r="AK7" s="356">
        <f t="shared" si="11"/>
        <v>101.08968985750209</v>
      </c>
      <c r="AL7" s="577" t="e">
        <f ca="1">VLOOKUP($E7&amp;$K7,所有坦克升星属性,MATCH(AL$3,所有坦克升星属性标头,0),FALSE)+ROUND(AQ7/VLOOKUP($E7,坦克部件!#REF!,4,FALSE)*VLOOKUP($E7&amp;0,所有坦克升星属性,MATCH(AL$3,所有坦克升星属性标头,0),FALSE),0)</f>
        <v>#REF!</v>
      </c>
      <c r="AM7" s="577" t="e">
        <f ca="1">VLOOKUP($E7&amp;$K7,所有坦克升星属性,MATCH(AM$3,所有坦克升星属性标头,0),FALSE)+ROUND(AR7/VLOOKUP($E7,坦克部件!#REF!,4,FALSE)*VLOOKUP($E7&amp;0,所有坦克升星属性,MATCH(AM$3,所有坦克升星属性标头,0),FALSE),0)</f>
        <v>#REF!</v>
      </c>
      <c r="AN7" s="577">
        <f t="shared" ca="1" si="2"/>
        <v>311</v>
      </c>
      <c r="AO7" s="577">
        <f t="shared" ca="1" si="2"/>
        <v>233</v>
      </c>
      <c r="AP7" s="577" t="e">
        <f ca="1">VLOOKUP($E7&amp;$K7,所有坦克升星属性,MATCH(AP$3,所有坦克升星属性标头,0),FALSE)+ROUND(AS7/VLOOKUP($E7,坦克部件!#REF!,4,FALSE)*VLOOKUP($E7&amp;0,所有坦克升星属性,MATCH(AP$3,所有坦克升星属性标头,0),FALSE),0)</f>
        <v>#REF!</v>
      </c>
      <c r="AQ7" s="577" t="e">
        <f>(VLOOKUP($T7,坦克部件!#REF!,MATCH("标准值",坦克部件!#REF!,0),FALSE)+VLOOKUP($N7,坦克部件!#REF!,MATCH("标准值",坦克部件!#REF!,0),FALSE))*$Q7</f>
        <v>#REF!</v>
      </c>
      <c r="AR7" s="577" t="e">
        <f>(VLOOKUP($T7,坦克部件!#REF!,MATCH("标准值",坦克部件!#REF!,0),FALSE)+VLOOKUP($N7,坦克部件!#REF!,MATCH("标准值",坦克部件!#REF!,0),FALSE))*$Q7</f>
        <v>#REF!</v>
      </c>
      <c r="AS7" s="577" t="e">
        <f>(VLOOKUP($T7,坦克部件!#REF!,MATCH("标准值",坦克部件!#REF!,0),FALSE)+VLOOKUP($N7,坦克部件!#REF!,MATCH("标准值",坦克部件!#REF!,0),FALSE))*$Q7</f>
        <v>#REF!</v>
      </c>
      <c r="AT7" s="577">
        <f>VLOOKUP($E7,坦克属性统计!$B$3:$AY$33,MATCH(AT$3,坦克属性统计!$B$3:$AY$3,0),FALSE)</f>
        <v>6</v>
      </c>
      <c r="AU7" s="577">
        <f t="shared" si="3"/>
        <v>0.4</v>
      </c>
      <c r="AV7" s="577">
        <f t="shared" si="3"/>
        <v>0</v>
      </c>
      <c r="AW7" s="577">
        <f t="shared" si="3"/>
        <v>4.4000000000000004</v>
      </c>
      <c r="AX7" s="356">
        <f t="shared" si="12"/>
        <v>60.375</v>
      </c>
      <c r="AY7" s="577" t="e">
        <f ca="1">VLOOKUP($F7&amp;$L7,所有坦克升星属性,MATCH(AY$3,所有坦克升星属性标头,0),FALSE)+ROUND(BD7/VLOOKUP($F7,坦克部件!#REF!,4,FALSE)*VLOOKUP($F7&amp;0,所有坦克升星属性,MATCH(AY$3,所有坦克升星属性标头,0),FALSE),0)</f>
        <v>#REF!</v>
      </c>
      <c r="AZ7" s="577" t="e">
        <f ca="1">VLOOKUP($F7&amp;$L7,所有坦克升星属性,MATCH(AZ$3,所有坦克升星属性标头,0),FALSE)+ROUND(BE7/VLOOKUP($F7,坦克部件!#REF!,4,FALSE)*VLOOKUP($F7&amp;0,所有坦克升星属性,MATCH(AZ$3,所有坦克升星属性标头,0),FALSE),0)</f>
        <v>#REF!</v>
      </c>
      <c r="BA7" s="577">
        <f t="shared" ca="1" si="4"/>
        <v>286</v>
      </c>
      <c r="BB7" s="577">
        <f t="shared" ca="1" si="4"/>
        <v>229</v>
      </c>
      <c r="BC7" s="577" t="e">
        <f ca="1">VLOOKUP($F7&amp;$L7,所有坦克升星属性,MATCH(BC$3,所有坦克升星属性标头,0),FALSE)+ROUND(BF7/VLOOKUP($F7,坦克部件!#REF!,4,FALSE)*VLOOKUP($F7&amp;0,所有坦克升星属性,MATCH(BC$3,所有坦克升星属性标头,0),FALSE),0)</f>
        <v>#REF!</v>
      </c>
      <c r="BD7" s="577" t="e">
        <f>(VLOOKUP($U7,坦克部件!#REF!,MATCH("标准值",坦克部件!#REF!,0),FALSE)+VLOOKUP($O7,坦克部件!#REF!,MATCH("标准值",坦克部件!#REF!,0),FALSE))*$R7</f>
        <v>#REF!</v>
      </c>
      <c r="BE7" s="577" t="e">
        <f>(VLOOKUP($U7,坦克部件!#REF!,MATCH("标准值",坦克部件!#REF!,0),FALSE)+VLOOKUP($O7,坦克部件!#REF!,MATCH("标准值",坦克部件!#REF!,0),FALSE))*$R7</f>
        <v>#REF!</v>
      </c>
      <c r="BF7" s="577" t="e">
        <f>(VLOOKUP($U7,坦克部件!#REF!,MATCH("标准值",坦克部件!#REF!,0),FALSE)+VLOOKUP($O7,坦克部件!#REF!,MATCH("标准值",坦克部件!#REF!,0),FALSE))*$R7</f>
        <v>#REF!</v>
      </c>
      <c r="BG7" s="577">
        <f>VLOOKUP($F7,坦克属性统计!$B$3:$AY$33,MATCH(BG$3,坦克属性统计!$B$3:$AY$3,0),FALSE)</f>
        <v>2</v>
      </c>
      <c r="BH7" s="577">
        <f t="shared" si="5"/>
        <v>2.8</v>
      </c>
      <c r="BI7" s="577">
        <f t="shared" si="5"/>
        <v>5.4</v>
      </c>
      <c r="BJ7" s="577">
        <f t="shared" si="5"/>
        <v>0</v>
      </c>
      <c r="BK7" s="356">
        <f t="shared" si="13"/>
        <v>13.111111111111111</v>
      </c>
      <c r="BM7" s="271" t="e">
        <f t="shared" ca="1" si="6"/>
        <v>#REF!</v>
      </c>
    </row>
    <row r="8" spans="2:65" x14ac:dyDescent="0.35">
      <c r="B8" s="577">
        <v>5</v>
      </c>
      <c r="C8" s="577" t="e">
        <f t="shared" ca="1" si="7"/>
        <v>#REF!</v>
      </c>
      <c r="D8" s="578" t="s">
        <v>2620</v>
      </c>
      <c r="E8" s="577" t="s">
        <v>623</v>
      </c>
      <c r="F8" s="577" t="s">
        <v>721</v>
      </c>
      <c r="G8" s="577" t="str">
        <f>VLOOKUP(D8,坦克个性化设定!$B$18:$F$48,5,FALSE)</f>
        <v>轻坦弹夹</v>
      </c>
      <c r="H8" s="577" t="str">
        <f>VLOOKUP(E8,坦克个性化设定!$B$18:$F$48,5,FALSE)</f>
        <v>中坦弹夹</v>
      </c>
      <c r="I8" s="577" t="str">
        <f>VLOOKUP(F8,坦克个性化设定!$B$18:$F$48,5,FALSE)</f>
        <v>重坦自动</v>
      </c>
      <c r="J8" s="577">
        <v>0</v>
      </c>
      <c r="K8" s="577">
        <v>1</v>
      </c>
      <c r="L8" s="577">
        <v>1</v>
      </c>
      <c r="M8" s="578" t="s">
        <v>2619</v>
      </c>
      <c r="N8" s="578" t="s">
        <v>2619</v>
      </c>
      <c r="O8" s="578" t="s">
        <v>2619</v>
      </c>
      <c r="P8" s="577">
        <v>6</v>
      </c>
      <c r="Q8" s="577">
        <v>3</v>
      </c>
      <c r="R8" s="577">
        <v>3</v>
      </c>
      <c r="S8" s="577">
        <v>8</v>
      </c>
      <c r="T8" s="577">
        <v>7</v>
      </c>
      <c r="U8" s="577">
        <v>6</v>
      </c>
      <c r="V8" s="357" t="e">
        <f t="shared" ca="1" si="8"/>
        <v>#REF!</v>
      </c>
      <c r="W8" s="357" t="e">
        <f t="shared" ca="1" si="9"/>
        <v>#REF!</v>
      </c>
      <c r="X8" s="357" t="e">
        <f t="shared" ca="1" si="10"/>
        <v>#REF!</v>
      </c>
      <c r="Y8" s="577" t="e">
        <f ca="1">VLOOKUP($D8&amp;$J8,所有坦克升星属性,MATCH(Y$3,所有坦克升星属性标头,0),FALSE)+ROUND(AD8/VLOOKUP($D8,坦克部件!#REF!,4,FALSE)*VLOOKUP($D8&amp;0,所有坦克升星属性,MATCH(Y$3,所有坦克升星属性标头,0),FALSE),0)</f>
        <v>#REF!</v>
      </c>
      <c r="Z8" s="577" t="e">
        <f ca="1">VLOOKUP($D8&amp;$J8,所有坦克升星属性,MATCH(Z$3,所有坦克升星属性标头,0),FALSE)+ROUND(AE8/VLOOKUP($D8,坦克部件!#REF!,4,FALSE)*VLOOKUP($D8&amp;0,所有坦克升星属性,MATCH(Z$3,所有坦克升星属性标头,0),FALSE),0)</f>
        <v>#REF!</v>
      </c>
      <c r="AA8" s="577">
        <f t="shared" ca="1" si="0"/>
        <v>394</v>
      </c>
      <c r="AB8" s="577">
        <f t="shared" ca="1" si="0"/>
        <v>276</v>
      </c>
      <c r="AC8" s="577" t="e">
        <f ca="1">VLOOKUP($D8&amp;$J8,所有坦克升星属性,MATCH(AC$3,所有坦克升星属性标头,0),FALSE)+ROUND(AF8/VLOOKUP($D8,坦克部件!#REF!,4,FALSE)*VLOOKUP($D8&amp;0,所有坦克升星属性,MATCH(AC$3,所有坦克升星属性标头,0),FALSE),0)</f>
        <v>#REF!</v>
      </c>
      <c r="AD8" s="577" t="e">
        <f>(VLOOKUP($S8,坦克部件!#REF!,MATCH("标准值",坦克部件!#REF!,0),FALSE)+VLOOKUP($M8,坦克部件!#REF!,MATCH("标准值",坦克部件!#REF!,0),FALSE))*$P8</f>
        <v>#REF!</v>
      </c>
      <c r="AE8" s="577" t="e">
        <f>(VLOOKUP($S8,坦克部件!#REF!,MATCH("标准值",坦克部件!#REF!,0),FALSE)+VLOOKUP($M8,坦克部件!#REF!,MATCH("标准值",坦克部件!#REF!,0),FALSE))*$P8</f>
        <v>#REF!</v>
      </c>
      <c r="AF8" s="577" t="e">
        <f>(VLOOKUP($S8,坦克部件!#REF!,MATCH("标准值",坦克部件!#REF!,0),FALSE)+VLOOKUP($M8,坦克部件!#REF!,MATCH("标准值",坦克部件!#REF!,0),FALSE))*$P8</f>
        <v>#REF!</v>
      </c>
      <c r="AG8" s="577">
        <f>VLOOKUP($D8,坦克属性统计!$B$3:$AY$33,MATCH(AG$3,坦克属性统计!$B$3:$AY$3,0),FALSE)</f>
        <v>14.999999999999998</v>
      </c>
      <c r="AH8" s="577">
        <f t="shared" si="1"/>
        <v>0.2</v>
      </c>
      <c r="AI8" s="577">
        <f t="shared" si="1"/>
        <v>0</v>
      </c>
      <c r="AJ8" s="577">
        <f t="shared" si="1"/>
        <v>8.4</v>
      </c>
      <c r="AK8" s="356">
        <f t="shared" si="11"/>
        <v>91.607142857142847</v>
      </c>
      <c r="AL8" s="577" t="e">
        <f ca="1">VLOOKUP($E8&amp;$K8,所有坦克升星属性,MATCH(AL$3,所有坦克升星属性标头,0),FALSE)+ROUND(AQ8/VLOOKUP($E8,坦克部件!#REF!,4,FALSE)*VLOOKUP($E8&amp;0,所有坦克升星属性,MATCH(AL$3,所有坦克升星属性标头,0),FALSE),0)</f>
        <v>#REF!</v>
      </c>
      <c r="AM8" s="577" t="e">
        <f ca="1">VLOOKUP($E8&amp;$K8,所有坦克升星属性,MATCH(AM$3,所有坦克升星属性标头,0),FALSE)+ROUND(AR8/VLOOKUP($E8,坦克部件!#REF!,4,FALSE)*VLOOKUP($E8&amp;0,所有坦克升星属性,MATCH(AM$3,所有坦克升星属性标头,0),FALSE),0)</f>
        <v>#REF!</v>
      </c>
      <c r="AN8" s="577">
        <f t="shared" ca="1" si="2"/>
        <v>311</v>
      </c>
      <c r="AO8" s="577">
        <f t="shared" ca="1" si="2"/>
        <v>233</v>
      </c>
      <c r="AP8" s="577" t="e">
        <f ca="1">VLOOKUP($E8&amp;$K8,所有坦克升星属性,MATCH(AP$3,所有坦克升星属性标头,0),FALSE)+ROUND(AS8/VLOOKUP($E8,坦克部件!#REF!,4,FALSE)*VLOOKUP($E8&amp;0,所有坦克升星属性,MATCH(AP$3,所有坦克升星属性标头,0),FALSE),0)</f>
        <v>#REF!</v>
      </c>
      <c r="AQ8" s="577" t="e">
        <f>(VLOOKUP($T8,坦克部件!#REF!,MATCH("标准值",坦克部件!#REF!,0),FALSE)+VLOOKUP($N8,坦克部件!#REF!,MATCH("标准值",坦克部件!#REF!,0),FALSE))*$Q8</f>
        <v>#REF!</v>
      </c>
      <c r="AR8" s="577" t="e">
        <f>(VLOOKUP($T8,坦克部件!#REF!,MATCH("标准值",坦克部件!#REF!,0),FALSE)+VLOOKUP($N8,坦克部件!#REF!,MATCH("标准值",坦克部件!#REF!,0),FALSE))*$Q8</f>
        <v>#REF!</v>
      </c>
      <c r="AS8" s="577" t="e">
        <f>(VLOOKUP($T8,坦克部件!#REF!,MATCH("标准值",坦克部件!#REF!,0),FALSE)+VLOOKUP($N8,坦克部件!#REF!,MATCH("标准值",坦克部件!#REF!,0),FALSE))*$Q8</f>
        <v>#REF!</v>
      </c>
      <c r="AT8" s="577">
        <f>VLOOKUP($E8,坦克属性统计!$B$3:$AY$33,MATCH(AT$3,坦克属性统计!$B$3:$AY$3,0),FALSE)</f>
        <v>6</v>
      </c>
      <c r="AU8" s="577">
        <f t="shared" si="3"/>
        <v>0.4</v>
      </c>
      <c r="AV8" s="577">
        <f t="shared" si="3"/>
        <v>0</v>
      </c>
      <c r="AW8" s="577">
        <f t="shared" si="3"/>
        <v>4.4000000000000004</v>
      </c>
      <c r="AX8" s="356">
        <f t="shared" si="12"/>
        <v>60.375</v>
      </c>
      <c r="AY8" s="577" t="e">
        <f ca="1">VLOOKUP($F8&amp;$L8,所有坦克升星属性,MATCH(AY$3,所有坦克升星属性标头,0),FALSE)+ROUND(BD8/VLOOKUP($F8,坦克部件!#REF!,4,FALSE)*VLOOKUP($F8&amp;0,所有坦克升星属性,MATCH(AY$3,所有坦克升星属性标头,0),FALSE),0)</f>
        <v>#REF!</v>
      </c>
      <c r="AZ8" s="577" t="e">
        <f ca="1">VLOOKUP($F8&amp;$L8,所有坦克升星属性,MATCH(AZ$3,所有坦克升星属性标头,0),FALSE)+ROUND(BE8/VLOOKUP($F8,坦克部件!#REF!,4,FALSE)*VLOOKUP($F8&amp;0,所有坦克升星属性,MATCH(AZ$3,所有坦克升星属性标头,0),FALSE),0)</f>
        <v>#REF!</v>
      </c>
      <c r="BA8" s="577">
        <f t="shared" ca="1" si="4"/>
        <v>311</v>
      </c>
      <c r="BB8" s="577">
        <f t="shared" ca="1" si="4"/>
        <v>249</v>
      </c>
      <c r="BC8" s="577" t="e">
        <f ca="1">VLOOKUP($F8&amp;$L8,所有坦克升星属性,MATCH(BC$3,所有坦克升星属性标头,0),FALSE)+ROUND(BF8/VLOOKUP($F8,坦克部件!#REF!,4,FALSE)*VLOOKUP($F8&amp;0,所有坦克升星属性,MATCH(BC$3,所有坦克升星属性标头,0),FALSE),0)</f>
        <v>#REF!</v>
      </c>
      <c r="BD8" s="577" t="e">
        <f>(VLOOKUP($U8,坦克部件!#REF!,MATCH("标准值",坦克部件!#REF!,0),FALSE)+VLOOKUP($O8,坦克部件!#REF!,MATCH("标准值",坦克部件!#REF!,0),FALSE))*$R8</f>
        <v>#REF!</v>
      </c>
      <c r="BE8" s="577" t="e">
        <f>(VLOOKUP($U8,坦克部件!#REF!,MATCH("标准值",坦克部件!#REF!,0),FALSE)+VLOOKUP($O8,坦克部件!#REF!,MATCH("标准值",坦克部件!#REF!,0),FALSE))*$R8</f>
        <v>#REF!</v>
      </c>
      <c r="BF8" s="577" t="e">
        <f>(VLOOKUP($U8,坦克部件!#REF!,MATCH("标准值",坦克部件!#REF!,0),FALSE)+VLOOKUP($O8,坦克部件!#REF!,MATCH("标准值",坦克部件!#REF!,0),FALSE))*$R8</f>
        <v>#REF!</v>
      </c>
      <c r="BG8" s="577">
        <f>VLOOKUP($F8,坦克属性统计!$B$3:$AY$33,MATCH(BG$3,坦克属性统计!$B$3:$AY$3,0),FALSE)</f>
        <v>2</v>
      </c>
      <c r="BH8" s="577">
        <f t="shared" si="5"/>
        <v>2.8</v>
      </c>
      <c r="BI8" s="577">
        <f t="shared" si="5"/>
        <v>5.05</v>
      </c>
      <c r="BJ8" s="577">
        <f t="shared" si="5"/>
        <v>0</v>
      </c>
      <c r="BK8" s="356">
        <f t="shared" si="13"/>
        <v>13.881188118811881</v>
      </c>
      <c r="BM8" s="271" t="e">
        <f t="shared" ca="1" si="6"/>
        <v>#REF!</v>
      </c>
    </row>
    <row r="9" spans="2:65" x14ac:dyDescent="0.35">
      <c r="B9" s="577">
        <v>6</v>
      </c>
      <c r="C9" s="577" t="e">
        <f t="shared" ca="1" si="7"/>
        <v>#REF!</v>
      </c>
      <c r="D9" s="578" t="s">
        <v>2620</v>
      </c>
      <c r="E9" s="577" t="s">
        <v>623</v>
      </c>
      <c r="F9" s="577" t="s">
        <v>721</v>
      </c>
      <c r="G9" s="577" t="str">
        <f>VLOOKUP(D9,坦克个性化设定!$B$18:$F$48,5,FALSE)</f>
        <v>轻坦弹夹</v>
      </c>
      <c r="H9" s="577" t="str">
        <f>VLOOKUP(E9,坦克个性化设定!$B$18:$F$48,5,FALSE)</f>
        <v>中坦弹夹</v>
      </c>
      <c r="I9" s="577" t="str">
        <f>VLOOKUP(F9,坦克个性化设定!$B$18:$F$48,5,FALSE)</f>
        <v>重坦自动</v>
      </c>
      <c r="J9" s="577">
        <v>0</v>
      </c>
      <c r="K9" s="577">
        <v>1</v>
      </c>
      <c r="L9" s="577">
        <v>1</v>
      </c>
      <c r="M9" s="578" t="s">
        <v>2619</v>
      </c>
      <c r="N9" s="578" t="s">
        <v>2619</v>
      </c>
      <c r="O9" s="578" t="s">
        <v>2619</v>
      </c>
      <c r="P9" s="577">
        <v>6</v>
      </c>
      <c r="Q9" s="577">
        <v>6</v>
      </c>
      <c r="R9" s="577">
        <v>3</v>
      </c>
      <c r="S9" s="577">
        <v>8</v>
      </c>
      <c r="T9" s="577">
        <v>7</v>
      </c>
      <c r="U9" s="577">
        <v>6</v>
      </c>
      <c r="V9" s="357" t="e">
        <f t="shared" ca="1" si="8"/>
        <v>#REF!</v>
      </c>
      <c r="W9" s="357" t="e">
        <f t="shared" ca="1" si="9"/>
        <v>#REF!</v>
      </c>
      <c r="X9" s="357" t="e">
        <f t="shared" ca="1" si="10"/>
        <v>#REF!</v>
      </c>
      <c r="Y9" s="577" t="e">
        <f ca="1">VLOOKUP($D9&amp;$J9,所有坦克升星属性,MATCH(Y$3,所有坦克升星属性标头,0),FALSE)+ROUND(AD9/VLOOKUP($D9,坦克部件!#REF!,4,FALSE)*VLOOKUP($D9&amp;0,所有坦克升星属性,MATCH(Y$3,所有坦克升星属性标头,0),FALSE),0)</f>
        <v>#REF!</v>
      </c>
      <c r="Z9" s="577" t="e">
        <f ca="1">VLOOKUP($D9&amp;$J9,所有坦克升星属性,MATCH(Z$3,所有坦克升星属性标头,0),FALSE)+ROUND(AE9/VLOOKUP($D9,坦克部件!#REF!,4,FALSE)*VLOOKUP($D9&amp;0,所有坦克升星属性,MATCH(Z$3,所有坦克升星属性标头,0),FALSE),0)</f>
        <v>#REF!</v>
      </c>
      <c r="AA9" s="577">
        <f t="shared" ca="1" si="0"/>
        <v>394</v>
      </c>
      <c r="AB9" s="577">
        <f t="shared" ca="1" si="0"/>
        <v>276</v>
      </c>
      <c r="AC9" s="577" t="e">
        <f ca="1">VLOOKUP($D9&amp;$J9,所有坦克升星属性,MATCH(AC$3,所有坦克升星属性标头,0),FALSE)+ROUND(AF9/VLOOKUP($D9,坦克部件!#REF!,4,FALSE)*VLOOKUP($D9&amp;0,所有坦克升星属性,MATCH(AC$3,所有坦克升星属性标头,0),FALSE),0)</f>
        <v>#REF!</v>
      </c>
      <c r="AD9" s="577" t="e">
        <f>(VLOOKUP($S9,坦克部件!#REF!,MATCH("标准值",坦克部件!#REF!,0),FALSE)+VLOOKUP($M9,坦克部件!#REF!,MATCH("标准值",坦克部件!#REF!,0),FALSE))*$P9</f>
        <v>#REF!</v>
      </c>
      <c r="AE9" s="577" t="e">
        <f>(VLOOKUP($S9,坦克部件!#REF!,MATCH("标准值",坦克部件!#REF!,0),FALSE)+VLOOKUP($M9,坦克部件!#REF!,MATCH("标准值",坦克部件!#REF!,0),FALSE))*$P9</f>
        <v>#REF!</v>
      </c>
      <c r="AF9" s="577" t="e">
        <f>(VLOOKUP($S9,坦克部件!#REF!,MATCH("标准值",坦克部件!#REF!,0),FALSE)+VLOOKUP($M9,坦克部件!#REF!,MATCH("标准值",坦克部件!#REF!,0),FALSE))*$P9</f>
        <v>#REF!</v>
      </c>
      <c r="AG9" s="577">
        <f>VLOOKUP($D9,坦克属性统计!$B$3:$AY$33,MATCH(AG$3,坦克属性统计!$B$3:$AY$3,0),FALSE)</f>
        <v>14.999999999999998</v>
      </c>
      <c r="AH9" s="577">
        <f t="shared" si="1"/>
        <v>0.2</v>
      </c>
      <c r="AI9" s="577">
        <f t="shared" si="1"/>
        <v>0</v>
      </c>
      <c r="AJ9" s="577">
        <f t="shared" si="1"/>
        <v>8.4</v>
      </c>
      <c r="AK9" s="356">
        <f t="shared" si="11"/>
        <v>91.607142857142847</v>
      </c>
      <c r="AL9" s="577" t="e">
        <f ca="1">VLOOKUP($E9&amp;$K9,所有坦克升星属性,MATCH(AL$3,所有坦克升星属性标头,0),FALSE)+ROUND(AQ9/VLOOKUP($E9,坦克部件!#REF!,4,FALSE)*VLOOKUP($E9&amp;0,所有坦克升星属性,MATCH(AL$3,所有坦克升星属性标头,0),FALSE),0)</f>
        <v>#REF!</v>
      </c>
      <c r="AM9" s="577" t="e">
        <f ca="1">VLOOKUP($E9&amp;$K9,所有坦克升星属性,MATCH(AM$3,所有坦克升星属性标头,0),FALSE)+ROUND(AR9/VLOOKUP($E9,坦克部件!#REF!,4,FALSE)*VLOOKUP($E9&amp;0,所有坦克升星属性,MATCH(AM$3,所有坦克升星属性标头,0),FALSE),0)</f>
        <v>#REF!</v>
      </c>
      <c r="AN9" s="577">
        <f t="shared" ca="1" si="2"/>
        <v>311</v>
      </c>
      <c r="AO9" s="577">
        <f t="shared" ca="1" si="2"/>
        <v>233</v>
      </c>
      <c r="AP9" s="577" t="e">
        <f ca="1">VLOOKUP($E9&amp;$K9,所有坦克升星属性,MATCH(AP$3,所有坦克升星属性标头,0),FALSE)+ROUND(AS9/VLOOKUP($E9,坦克部件!#REF!,4,FALSE)*VLOOKUP($E9&amp;0,所有坦克升星属性,MATCH(AP$3,所有坦克升星属性标头,0),FALSE),0)</f>
        <v>#REF!</v>
      </c>
      <c r="AQ9" s="577" t="e">
        <f>(VLOOKUP($T9,坦克部件!#REF!,MATCH("标准值",坦克部件!#REF!,0),FALSE)+VLOOKUP($N9,坦克部件!#REF!,MATCH("标准值",坦克部件!#REF!,0),FALSE))*$Q9</f>
        <v>#REF!</v>
      </c>
      <c r="AR9" s="577" t="e">
        <f>(VLOOKUP($T9,坦克部件!#REF!,MATCH("标准值",坦克部件!#REF!,0),FALSE)+VLOOKUP($N9,坦克部件!#REF!,MATCH("标准值",坦克部件!#REF!,0),FALSE))*$Q9</f>
        <v>#REF!</v>
      </c>
      <c r="AS9" s="577" t="e">
        <f>(VLOOKUP($T9,坦克部件!#REF!,MATCH("标准值",坦克部件!#REF!,0),FALSE)+VLOOKUP($N9,坦克部件!#REF!,MATCH("标准值",坦克部件!#REF!,0),FALSE))*$Q9</f>
        <v>#REF!</v>
      </c>
      <c r="AT9" s="577">
        <f>VLOOKUP($E9,坦克属性统计!$B$3:$AY$33,MATCH(AT$3,坦克属性统计!$B$3:$AY$3,0),FALSE)</f>
        <v>6</v>
      </c>
      <c r="AU9" s="577">
        <f t="shared" si="3"/>
        <v>0.4</v>
      </c>
      <c r="AV9" s="577">
        <f t="shared" si="3"/>
        <v>0</v>
      </c>
      <c r="AW9" s="577">
        <f t="shared" si="3"/>
        <v>4.4000000000000004</v>
      </c>
      <c r="AX9" s="356">
        <f t="shared" si="12"/>
        <v>60.375</v>
      </c>
      <c r="AY9" s="577" t="e">
        <f ca="1">VLOOKUP($F9&amp;$L9,所有坦克升星属性,MATCH(AY$3,所有坦克升星属性标头,0),FALSE)+ROUND(BD9/VLOOKUP($F9,坦克部件!#REF!,4,FALSE)*VLOOKUP($F9&amp;0,所有坦克升星属性,MATCH(AY$3,所有坦克升星属性标头,0),FALSE),0)</f>
        <v>#REF!</v>
      </c>
      <c r="AZ9" s="577" t="e">
        <f ca="1">VLOOKUP($F9&amp;$L9,所有坦克升星属性,MATCH(AZ$3,所有坦克升星属性标头,0),FALSE)+ROUND(BE9/VLOOKUP($F9,坦克部件!#REF!,4,FALSE)*VLOOKUP($F9&amp;0,所有坦克升星属性,MATCH(AZ$3,所有坦克升星属性标头,0),FALSE),0)</f>
        <v>#REF!</v>
      </c>
      <c r="BA9" s="577">
        <f t="shared" ca="1" si="4"/>
        <v>311</v>
      </c>
      <c r="BB9" s="577">
        <f t="shared" ca="1" si="4"/>
        <v>249</v>
      </c>
      <c r="BC9" s="577" t="e">
        <f ca="1">VLOOKUP($F9&amp;$L9,所有坦克升星属性,MATCH(BC$3,所有坦克升星属性标头,0),FALSE)+ROUND(BF9/VLOOKUP($F9,坦克部件!#REF!,4,FALSE)*VLOOKUP($F9&amp;0,所有坦克升星属性,MATCH(BC$3,所有坦克升星属性标头,0),FALSE),0)</f>
        <v>#REF!</v>
      </c>
      <c r="BD9" s="577" t="e">
        <f>(VLOOKUP($U9,坦克部件!#REF!,MATCH("标准值",坦克部件!#REF!,0),FALSE)+VLOOKUP($O9,坦克部件!#REF!,MATCH("标准值",坦克部件!#REF!,0),FALSE))*$R9</f>
        <v>#REF!</v>
      </c>
      <c r="BE9" s="577" t="e">
        <f>(VLOOKUP($U9,坦克部件!#REF!,MATCH("标准值",坦克部件!#REF!,0),FALSE)+VLOOKUP($O9,坦克部件!#REF!,MATCH("标准值",坦克部件!#REF!,0),FALSE))*$R9</f>
        <v>#REF!</v>
      </c>
      <c r="BF9" s="577" t="e">
        <f>(VLOOKUP($U9,坦克部件!#REF!,MATCH("标准值",坦克部件!#REF!,0),FALSE)+VLOOKUP($O9,坦克部件!#REF!,MATCH("标准值",坦克部件!#REF!,0),FALSE))*$R9</f>
        <v>#REF!</v>
      </c>
      <c r="BG9" s="577">
        <f>VLOOKUP($F9,坦克属性统计!$B$3:$AY$33,MATCH(BG$3,坦克属性统计!$B$3:$AY$3,0),FALSE)</f>
        <v>2</v>
      </c>
      <c r="BH9" s="577">
        <f t="shared" si="5"/>
        <v>2.8</v>
      </c>
      <c r="BI9" s="577">
        <f t="shared" si="5"/>
        <v>5.05</v>
      </c>
      <c r="BJ9" s="577">
        <f t="shared" si="5"/>
        <v>0</v>
      </c>
      <c r="BK9" s="356">
        <f t="shared" si="13"/>
        <v>13.881188118811881</v>
      </c>
      <c r="BM9" s="271" t="e">
        <f t="shared" ca="1" si="6"/>
        <v>#REF!</v>
      </c>
    </row>
    <row r="10" spans="2:65" x14ac:dyDescent="0.35">
      <c r="B10" s="577">
        <v>7</v>
      </c>
      <c r="C10" s="577" t="e">
        <f t="shared" ca="1" si="7"/>
        <v>#REF!</v>
      </c>
      <c r="D10" s="578" t="s">
        <v>2620</v>
      </c>
      <c r="E10" s="577" t="s">
        <v>623</v>
      </c>
      <c r="F10" s="577" t="s">
        <v>721</v>
      </c>
      <c r="G10" s="577" t="str">
        <f>VLOOKUP(D10,坦克个性化设定!$B$18:$F$48,5,FALSE)</f>
        <v>轻坦弹夹</v>
      </c>
      <c r="H10" s="577" t="str">
        <f>VLOOKUP(E10,坦克个性化设定!$B$18:$F$48,5,FALSE)</f>
        <v>中坦弹夹</v>
      </c>
      <c r="I10" s="577" t="str">
        <f>VLOOKUP(F10,坦克个性化设定!$B$18:$F$48,5,FALSE)</f>
        <v>重坦自动</v>
      </c>
      <c r="J10" s="577">
        <v>0</v>
      </c>
      <c r="K10" s="577">
        <v>1</v>
      </c>
      <c r="L10" s="577">
        <v>1</v>
      </c>
      <c r="M10" s="578" t="s">
        <v>2619</v>
      </c>
      <c r="N10" s="578" t="s">
        <v>2619</v>
      </c>
      <c r="O10" s="578" t="s">
        <v>2619</v>
      </c>
      <c r="P10" s="577">
        <v>6</v>
      </c>
      <c r="Q10" s="577">
        <v>6</v>
      </c>
      <c r="R10" s="577">
        <v>6</v>
      </c>
      <c r="S10" s="577">
        <v>9</v>
      </c>
      <c r="T10" s="577">
        <v>8</v>
      </c>
      <c r="U10" s="577">
        <v>7</v>
      </c>
      <c r="V10" s="357" t="e">
        <f t="shared" ca="1" si="8"/>
        <v>#REF!</v>
      </c>
      <c r="W10" s="357" t="e">
        <f t="shared" ca="1" si="9"/>
        <v>#REF!</v>
      </c>
      <c r="X10" s="357" t="e">
        <f t="shared" ca="1" si="10"/>
        <v>#REF!</v>
      </c>
      <c r="Y10" s="577" t="e">
        <f ca="1">VLOOKUP($D10&amp;$J10,所有坦克升星属性,MATCH(Y$3,所有坦克升星属性标头,0),FALSE)+ROUND(AD10/VLOOKUP($D10,坦克部件!#REF!,4,FALSE)*VLOOKUP($D10&amp;0,所有坦克升星属性,MATCH(Y$3,所有坦克升星属性标头,0),FALSE),0)</f>
        <v>#REF!</v>
      </c>
      <c r="Z10" s="577" t="e">
        <f ca="1">VLOOKUP($D10&amp;$J10,所有坦克升星属性,MATCH(Z$3,所有坦克升星属性标头,0),FALSE)+ROUND(AE10/VLOOKUP($D10,坦克部件!#REF!,4,FALSE)*VLOOKUP($D10&amp;0,所有坦克升星属性,MATCH(Z$3,所有坦克升星属性标头,0),FALSE),0)</f>
        <v>#REF!</v>
      </c>
      <c r="AA10" s="577">
        <f t="shared" ca="1" si="0"/>
        <v>394</v>
      </c>
      <c r="AB10" s="577">
        <f t="shared" ca="1" si="0"/>
        <v>276</v>
      </c>
      <c r="AC10" s="577" t="e">
        <f ca="1">VLOOKUP($D10&amp;$J10,所有坦克升星属性,MATCH(AC$3,所有坦克升星属性标头,0),FALSE)+ROUND(AF10/VLOOKUP($D10,坦克部件!#REF!,4,FALSE)*VLOOKUP($D10&amp;0,所有坦克升星属性,MATCH(AC$3,所有坦克升星属性标头,0),FALSE),0)</f>
        <v>#REF!</v>
      </c>
      <c r="AD10" s="577" t="e">
        <f>(VLOOKUP($S10,坦克部件!#REF!,MATCH("标准值",坦克部件!#REF!,0),FALSE)+VLOOKUP($M10,坦克部件!#REF!,MATCH("标准值",坦克部件!#REF!,0),FALSE))*$P10</f>
        <v>#REF!</v>
      </c>
      <c r="AE10" s="577" t="e">
        <f>(VLOOKUP($S10,坦克部件!#REF!,MATCH("标准值",坦克部件!#REF!,0),FALSE)+VLOOKUP($M10,坦克部件!#REF!,MATCH("标准值",坦克部件!#REF!,0),FALSE))*$P10</f>
        <v>#REF!</v>
      </c>
      <c r="AF10" s="577" t="e">
        <f>(VLOOKUP($S10,坦克部件!#REF!,MATCH("标准值",坦克部件!#REF!,0),FALSE)+VLOOKUP($M10,坦克部件!#REF!,MATCH("标准值",坦克部件!#REF!,0),FALSE))*$P10</f>
        <v>#REF!</v>
      </c>
      <c r="AG10" s="577">
        <f>VLOOKUP($D10,坦克属性统计!$B$3:$AY$33,MATCH(AG$3,坦克属性统计!$B$3:$AY$3,0),FALSE)</f>
        <v>14.999999999999998</v>
      </c>
      <c r="AH10" s="577">
        <f t="shared" si="1"/>
        <v>0.2</v>
      </c>
      <c r="AI10" s="577">
        <f t="shared" si="1"/>
        <v>0</v>
      </c>
      <c r="AJ10" s="577">
        <f t="shared" si="1"/>
        <v>8.4</v>
      </c>
      <c r="AK10" s="356">
        <f t="shared" si="11"/>
        <v>91.607142857142847</v>
      </c>
      <c r="AL10" s="577" t="e">
        <f ca="1">VLOOKUP($E10&amp;$K10,所有坦克升星属性,MATCH(AL$3,所有坦克升星属性标头,0),FALSE)+ROUND(AQ10/VLOOKUP($E10,坦克部件!#REF!,4,FALSE)*VLOOKUP($E10&amp;0,所有坦克升星属性,MATCH(AL$3,所有坦克升星属性标头,0),FALSE),0)</f>
        <v>#REF!</v>
      </c>
      <c r="AM10" s="577" t="e">
        <f ca="1">VLOOKUP($E10&amp;$K10,所有坦克升星属性,MATCH(AM$3,所有坦克升星属性标头,0),FALSE)+ROUND(AR10/VLOOKUP($E10,坦克部件!#REF!,4,FALSE)*VLOOKUP($E10&amp;0,所有坦克升星属性,MATCH(AM$3,所有坦克升星属性标头,0),FALSE),0)</f>
        <v>#REF!</v>
      </c>
      <c r="AN10" s="577">
        <f t="shared" ca="1" si="2"/>
        <v>311</v>
      </c>
      <c r="AO10" s="577">
        <f t="shared" ca="1" si="2"/>
        <v>233</v>
      </c>
      <c r="AP10" s="577" t="e">
        <f ca="1">VLOOKUP($E10&amp;$K10,所有坦克升星属性,MATCH(AP$3,所有坦克升星属性标头,0),FALSE)+ROUND(AS10/VLOOKUP($E10,坦克部件!#REF!,4,FALSE)*VLOOKUP($E10&amp;0,所有坦克升星属性,MATCH(AP$3,所有坦克升星属性标头,0),FALSE),0)</f>
        <v>#REF!</v>
      </c>
      <c r="AQ10" s="577" t="e">
        <f>(VLOOKUP($T10,坦克部件!#REF!,MATCH("标准值",坦克部件!#REF!,0),FALSE)+VLOOKUP($N10,坦克部件!#REF!,MATCH("标准值",坦克部件!#REF!,0),FALSE))*$Q10</f>
        <v>#REF!</v>
      </c>
      <c r="AR10" s="577" t="e">
        <f>(VLOOKUP($T10,坦克部件!#REF!,MATCH("标准值",坦克部件!#REF!,0),FALSE)+VLOOKUP($N10,坦克部件!#REF!,MATCH("标准值",坦克部件!#REF!,0),FALSE))*$Q10</f>
        <v>#REF!</v>
      </c>
      <c r="AS10" s="577" t="e">
        <f>(VLOOKUP($T10,坦克部件!#REF!,MATCH("标准值",坦克部件!#REF!,0),FALSE)+VLOOKUP($N10,坦克部件!#REF!,MATCH("标准值",坦克部件!#REF!,0),FALSE))*$Q10</f>
        <v>#REF!</v>
      </c>
      <c r="AT10" s="577">
        <f>VLOOKUP($E10,坦克属性统计!$B$3:$AY$33,MATCH(AT$3,坦克属性统计!$B$3:$AY$3,0),FALSE)</f>
        <v>6</v>
      </c>
      <c r="AU10" s="577">
        <f t="shared" si="3"/>
        <v>0.4</v>
      </c>
      <c r="AV10" s="577">
        <f t="shared" si="3"/>
        <v>0</v>
      </c>
      <c r="AW10" s="577">
        <f t="shared" si="3"/>
        <v>4.4000000000000004</v>
      </c>
      <c r="AX10" s="356">
        <f t="shared" si="12"/>
        <v>60.375</v>
      </c>
      <c r="AY10" s="577" t="e">
        <f ca="1">VLOOKUP($F10&amp;$L10,所有坦克升星属性,MATCH(AY$3,所有坦克升星属性标头,0),FALSE)+ROUND(BD10/VLOOKUP($F10,坦克部件!#REF!,4,FALSE)*VLOOKUP($F10&amp;0,所有坦克升星属性,MATCH(AY$3,所有坦克升星属性标头,0),FALSE),0)</f>
        <v>#REF!</v>
      </c>
      <c r="AZ10" s="577" t="e">
        <f ca="1">VLOOKUP($F10&amp;$L10,所有坦克升星属性,MATCH(AZ$3,所有坦克升星属性标头,0),FALSE)+ROUND(BE10/VLOOKUP($F10,坦克部件!#REF!,4,FALSE)*VLOOKUP($F10&amp;0,所有坦克升星属性,MATCH(AZ$3,所有坦克升星属性标头,0),FALSE),0)</f>
        <v>#REF!</v>
      </c>
      <c r="BA10" s="577">
        <f t="shared" ca="1" si="4"/>
        <v>311</v>
      </c>
      <c r="BB10" s="577">
        <f t="shared" ca="1" si="4"/>
        <v>249</v>
      </c>
      <c r="BC10" s="577" t="e">
        <f ca="1">VLOOKUP($F10&amp;$L10,所有坦克升星属性,MATCH(BC$3,所有坦克升星属性标头,0),FALSE)+ROUND(BF10/VLOOKUP($F10,坦克部件!#REF!,4,FALSE)*VLOOKUP($F10&amp;0,所有坦克升星属性,MATCH(BC$3,所有坦克升星属性标头,0),FALSE),0)</f>
        <v>#REF!</v>
      </c>
      <c r="BD10" s="577" t="e">
        <f>(VLOOKUP($U10,坦克部件!#REF!,MATCH("标准值",坦克部件!#REF!,0),FALSE)+VLOOKUP($O10,坦克部件!#REF!,MATCH("标准值",坦克部件!#REF!,0),FALSE))*$R10</f>
        <v>#REF!</v>
      </c>
      <c r="BE10" s="577" t="e">
        <f>(VLOOKUP($U10,坦克部件!#REF!,MATCH("标准值",坦克部件!#REF!,0),FALSE)+VLOOKUP($O10,坦克部件!#REF!,MATCH("标准值",坦克部件!#REF!,0),FALSE))*$R10</f>
        <v>#REF!</v>
      </c>
      <c r="BF10" s="577" t="e">
        <f>(VLOOKUP($U10,坦克部件!#REF!,MATCH("标准值",坦克部件!#REF!,0),FALSE)+VLOOKUP($O10,坦克部件!#REF!,MATCH("标准值",坦克部件!#REF!,0),FALSE))*$R10</f>
        <v>#REF!</v>
      </c>
      <c r="BG10" s="577">
        <f>VLOOKUP($F10,坦克属性统计!$B$3:$AY$33,MATCH(BG$3,坦克属性统计!$B$3:$AY$3,0),FALSE)</f>
        <v>2</v>
      </c>
      <c r="BH10" s="577">
        <f t="shared" si="5"/>
        <v>2.8</v>
      </c>
      <c r="BI10" s="577">
        <f t="shared" si="5"/>
        <v>5.05</v>
      </c>
      <c r="BJ10" s="577">
        <f t="shared" si="5"/>
        <v>0</v>
      </c>
      <c r="BK10" s="356">
        <f t="shared" si="13"/>
        <v>13.881188118811881</v>
      </c>
      <c r="BM10" s="271" t="e">
        <f t="shared" ca="1" si="6"/>
        <v>#REF!</v>
      </c>
    </row>
    <row r="11" spans="2:65" x14ac:dyDescent="0.35">
      <c r="B11" s="577">
        <v>8</v>
      </c>
      <c r="C11" s="577" t="e">
        <f t="shared" ca="1" si="7"/>
        <v>#REF!</v>
      </c>
      <c r="D11" s="577" t="s">
        <v>616</v>
      </c>
      <c r="E11" s="577" t="s">
        <v>624</v>
      </c>
      <c r="F11" s="577" t="s">
        <v>721</v>
      </c>
      <c r="G11" s="577" t="str">
        <f>VLOOKUP(D11,坦克个性化设定!$B$18:$F$48,5,FALSE)</f>
        <v>轻坦弹夹</v>
      </c>
      <c r="H11" s="577" t="str">
        <f>VLOOKUP(E11,坦克个性化设定!$B$18:$F$48,5,FALSE)</f>
        <v>中坦弹夹</v>
      </c>
      <c r="I11" s="577" t="str">
        <f>VLOOKUP(F11,坦克个性化设定!$B$18:$F$48,5,FALSE)</f>
        <v>重坦自动</v>
      </c>
      <c r="J11" s="577">
        <v>2</v>
      </c>
      <c r="K11" s="577">
        <v>1</v>
      </c>
      <c r="L11" s="577">
        <v>1</v>
      </c>
      <c r="M11" s="578" t="s">
        <v>2641</v>
      </c>
      <c r="N11" s="578" t="s">
        <v>2642</v>
      </c>
      <c r="O11" s="578" t="s">
        <v>2643</v>
      </c>
      <c r="P11" s="577">
        <v>6</v>
      </c>
      <c r="Q11" s="577">
        <v>6</v>
      </c>
      <c r="R11" s="577">
        <v>6</v>
      </c>
      <c r="S11" s="577">
        <v>10</v>
      </c>
      <c r="T11" s="577">
        <v>10</v>
      </c>
      <c r="U11" s="577">
        <v>10</v>
      </c>
      <c r="V11" s="357" t="e">
        <f t="shared" ca="1" si="8"/>
        <v>#REF!</v>
      </c>
      <c r="W11" s="357" t="e">
        <f t="shared" ca="1" si="9"/>
        <v>#REF!</v>
      </c>
      <c r="X11" s="357" t="e">
        <f t="shared" ca="1" si="10"/>
        <v>#REF!</v>
      </c>
      <c r="Y11" s="577" t="e">
        <f ca="1">VLOOKUP($D11&amp;$J11,所有坦克升星属性,MATCH(Y$3,所有坦克升星属性标头,0),FALSE)+ROUND(AD11/VLOOKUP($D11,坦克部件!#REF!,4,FALSE)*VLOOKUP($D11&amp;0,所有坦克升星属性,MATCH(Y$3,所有坦克升星属性标头,0),FALSE),0)</f>
        <v>#REF!</v>
      </c>
      <c r="Z11" s="577" t="e">
        <f ca="1">VLOOKUP($D11&amp;$J11,所有坦克升星属性,MATCH(Z$3,所有坦克升星属性标头,0),FALSE)+ROUND(AE11/VLOOKUP($D11,坦克部件!#REF!,4,FALSE)*VLOOKUP($D11&amp;0,所有坦克升星属性,MATCH(Z$3,所有坦克升星属性标头,0),FALSE),0)</f>
        <v>#REF!</v>
      </c>
      <c r="AA11" s="577">
        <f t="shared" ca="1" si="0"/>
        <v>448</v>
      </c>
      <c r="AB11" s="577">
        <f t="shared" ca="1" si="0"/>
        <v>314</v>
      </c>
      <c r="AC11" s="577" t="e">
        <f ca="1">VLOOKUP($D11&amp;$J11,所有坦克升星属性,MATCH(AC$3,所有坦克升星属性标头,0),FALSE)+ROUND(AF11/VLOOKUP($D11,坦克部件!#REF!,4,FALSE)*VLOOKUP($D11&amp;0,所有坦克升星属性,MATCH(AC$3,所有坦克升星属性标头,0),FALSE),0)</f>
        <v>#REF!</v>
      </c>
      <c r="AD11" s="577" t="e">
        <f>(VLOOKUP($S11,坦克部件!#REF!,MATCH("标准值",坦克部件!#REF!,0),FALSE)+VLOOKUP($M11,坦克部件!#REF!,MATCH("标准值",坦克部件!#REF!,0),FALSE))*$P11</f>
        <v>#REF!</v>
      </c>
      <c r="AE11" s="577" t="e">
        <f>(VLOOKUP($S11,坦克部件!#REF!,MATCH("标准值",坦克部件!#REF!,0),FALSE)+VLOOKUP($M11,坦克部件!#REF!,MATCH("标准值",坦克部件!#REF!,0),FALSE))*$P11</f>
        <v>#REF!</v>
      </c>
      <c r="AF11" s="577" t="e">
        <f>(VLOOKUP($S11,坦克部件!#REF!,MATCH("标准值",坦克部件!#REF!,0),FALSE)+VLOOKUP($M11,坦克部件!#REF!,MATCH("标准值",坦克部件!#REF!,0),FALSE))*$P11</f>
        <v>#REF!</v>
      </c>
      <c r="AG11" s="577">
        <f>VLOOKUP($D11,坦克属性统计!$B$3:$AY$33,MATCH(AG$3,坦克属性统计!$B$3:$AY$3,0),FALSE)</f>
        <v>14.999999999999998</v>
      </c>
      <c r="AH11" s="577">
        <f t="shared" si="1"/>
        <v>0.2</v>
      </c>
      <c r="AI11" s="577">
        <f t="shared" si="1"/>
        <v>0</v>
      </c>
      <c r="AJ11" s="577">
        <f t="shared" si="1"/>
        <v>7.4</v>
      </c>
      <c r="AK11" s="356">
        <f t="shared" si="11"/>
        <v>99.117647058823522</v>
      </c>
      <c r="AL11" s="577" t="e">
        <f ca="1">VLOOKUP($E11&amp;$K11,所有坦克升星属性,MATCH(AL$3,所有坦克升星属性标头,0),FALSE)+ROUND(AQ11/VLOOKUP($E11,坦克部件!#REF!,4,FALSE)*VLOOKUP($E11&amp;0,所有坦克升星属性,MATCH(AL$3,所有坦克升星属性标头,0),FALSE),0)</f>
        <v>#REF!</v>
      </c>
      <c r="AM11" s="577" t="e">
        <f ca="1">VLOOKUP($E11&amp;$K11,所有坦克升星属性,MATCH(AM$3,所有坦克升星属性标头,0),FALSE)+ROUND(AR11/VLOOKUP($E11,坦克部件!#REF!,4,FALSE)*VLOOKUP($E11&amp;0,所有坦克升星属性,MATCH(AM$3,所有坦克升星属性标头,0),FALSE),0)</f>
        <v>#REF!</v>
      </c>
      <c r="AN11" s="577">
        <f t="shared" ca="1" si="2"/>
        <v>366</v>
      </c>
      <c r="AO11" s="577">
        <f t="shared" ca="1" si="2"/>
        <v>275</v>
      </c>
      <c r="AP11" s="577" t="e">
        <f ca="1">VLOOKUP($E11&amp;$K11,所有坦克升星属性,MATCH(AP$3,所有坦克升星属性标头,0),FALSE)+ROUND(AS11/VLOOKUP($E11,坦克部件!#REF!,4,FALSE)*VLOOKUP($E11&amp;0,所有坦克升星属性,MATCH(AP$3,所有坦克升星属性标头,0),FALSE),0)</f>
        <v>#REF!</v>
      </c>
      <c r="AQ11" s="577" t="e">
        <f>(VLOOKUP($T11,坦克部件!#REF!,MATCH("标准值",坦克部件!#REF!,0),FALSE)+VLOOKUP($N11,坦克部件!#REF!,MATCH("标准值",坦克部件!#REF!,0),FALSE))*$Q11</f>
        <v>#REF!</v>
      </c>
      <c r="AR11" s="577" t="e">
        <f>(VLOOKUP($T11,坦克部件!#REF!,MATCH("标准值",坦克部件!#REF!,0),FALSE)+VLOOKUP($N11,坦克部件!#REF!,MATCH("标准值",坦克部件!#REF!,0),FALSE))*$Q11</f>
        <v>#REF!</v>
      </c>
      <c r="AS11" s="577" t="e">
        <f>(VLOOKUP($T11,坦克部件!#REF!,MATCH("标准值",坦克部件!#REF!,0),FALSE)+VLOOKUP($N11,坦克部件!#REF!,MATCH("标准值",坦克部件!#REF!,0),FALSE))*$Q11</f>
        <v>#REF!</v>
      </c>
      <c r="AT11" s="577">
        <f>VLOOKUP($E11,坦克属性统计!$B$3:$AY$33,MATCH(AT$3,坦克属性统计!$B$3:$AY$3,0),FALSE)</f>
        <v>6</v>
      </c>
      <c r="AU11" s="577">
        <f t="shared" si="3"/>
        <v>1.17</v>
      </c>
      <c r="AV11" s="577">
        <f t="shared" si="3"/>
        <v>0</v>
      </c>
      <c r="AW11" s="577">
        <f t="shared" si="3"/>
        <v>2.8</v>
      </c>
      <c r="AX11" s="356">
        <f t="shared" si="12"/>
        <v>43.560693641618506</v>
      </c>
      <c r="AY11" s="577" t="e">
        <f ca="1">VLOOKUP($F11&amp;$L11,所有坦克升星属性,MATCH(AY$3,所有坦克升星属性标头,0),FALSE)+ROUND(BD11/VLOOKUP($F11,坦克部件!#REF!,4,FALSE)*VLOOKUP($F11&amp;0,所有坦克升星属性,MATCH(AY$3,所有坦克升星属性标头,0),FALSE),0)</f>
        <v>#REF!</v>
      </c>
      <c r="AZ11" s="577" t="e">
        <f ca="1">VLOOKUP($F11&amp;$L11,所有坦克升星属性,MATCH(AZ$3,所有坦克升星属性标头,0),FALSE)+ROUND(BE11/VLOOKUP($F11,坦克部件!#REF!,4,FALSE)*VLOOKUP($F11&amp;0,所有坦克升星属性,MATCH(AZ$3,所有坦克升星属性标头,0),FALSE),0)</f>
        <v>#REF!</v>
      </c>
      <c r="BA11" s="577">
        <f t="shared" ca="1" si="4"/>
        <v>311</v>
      </c>
      <c r="BB11" s="577">
        <f t="shared" ca="1" si="4"/>
        <v>249</v>
      </c>
      <c r="BC11" s="577" t="e">
        <f ca="1">VLOOKUP($F11&amp;$L11,所有坦克升星属性,MATCH(BC$3,所有坦克升星属性标头,0),FALSE)+ROUND(BF11/VLOOKUP($F11,坦克部件!#REF!,4,FALSE)*VLOOKUP($F11&amp;0,所有坦克升星属性,MATCH(BC$3,所有坦克升星属性标头,0),FALSE),0)</f>
        <v>#REF!</v>
      </c>
      <c r="BD11" s="577" t="e">
        <f>(VLOOKUP($U11,坦克部件!#REF!,MATCH("标准值",坦克部件!#REF!,0),FALSE)+VLOOKUP($O11,坦克部件!#REF!,MATCH("标准值",坦克部件!#REF!,0),FALSE))*$R11</f>
        <v>#REF!</v>
      </c>
      <c r="BE11" s="577" t="e">
        <f>(VLOOKUP($U11,坦克部件!#REF!,MATCH("标准值",坦克部件!#REF!,0),FALSE)+VLOOKUP($O11,坦克部件!#REF!,MATCH("标准值",坦克部件!#REF!,0),FALSE))*$R11</f>
        <v>#REF!</v>
      </c>
      <c r="BF11" s="577" t="e">
        <f>(VLOOKUP($U11,坦克部件!#REF!,MATCH("标准值",坦克部件!#REF!,0),FALSE)+VLOOKUP($O11,坦克部件!#REF!,MATCH("标准值",坦克部件!#REF!,0),FALSE))*$R11</f>
        <v>#REF!</v>
      </c>
      <c r="BG11" s="577">
        <f>VLOOKUP($F11,坦克属性统计!$B$3:$AY$33,MATCH(BG$3,坦克属性统计!$B$3:$AY$3,0),FALSE)</f>
        <v>2</v>
      </c>
      <c r="BH11" s="577">
        <f t="shared" si="5"/>
        <v>2.8</v>
      </c>
      <c r="BI11" s="577">
        <f t="shared" si="5"/>
        <v>5.05</v>
      </c>
      <c r="BJ11" s="577">
        <f t="shared" si="5"/>
        <v>0</v>
      </c>
      <c r="BK11" s="356">
        <f t="shared" si="13"/>
        <v>13.881188118811881</v>
      </c>
      <c r="BM11" s="271" t="e">
        <f t="shared" ca="1" si="6"/>
        <v>#REF!</v>
      </c>
    </row>
    <row r="12" spans="2:65" x14ac:dyDescent="0.35">
      <c r="B12" s="577">
        <v>9</v>
      </c>
      <c r="C12" s="577" t="e">
        <f t="shared" ref="C12:C13" ca="1" si="14">MAX(V12:X12)*0.65+MIN(V12:X12)*0.1225+(SUM(V12:X12)-MAX(V12:X12)-MIN(V12:X12))*0.2275</f>
        <v>#REF!</v>
      </c>
      <c r="D12" s="577" t="s">
        <v>616</v>
      </c>
      <c r="E12" s="577" t="s">
        <v>624</v>
      </c>
      <c r="F12" s="577" t="s">
        <v>721</v>
      </c>
      <c r="G12" s="577" t="str">
        <f>VLOOKUP(D12,坦克个性化设定!$B$18:$F$48,5,FALSE)</f>
        <v>轻坦弹夹</v>
      </c>
      <c r="H12" s="577" t="str">
        <f>VLOOKUP(E12,坦克个性化设定!$B$18:$F$48,5,FALSE)</f>
        <v>中坦弹夹</v>
      </c>
      <c r="I12" s="577" t="str">
        <f>VLOOKUP(F12,坦克个性化设定!$B$18:$F$48,5,FALSE)</f>
        <v>重坦自动</v>
      </c>
      <c r="J12" s="577">
        <v>2</v>
      </c>
      <c r="K12" s="577">
        <v>1</v>
      </c>
      <c r="L12" s="577">
        <v>1</v>
      </c>
      <c r="M12" s="578" t="s">
        <v>2634</v>
      </c>
      <c r="N12" s="578" t="s">
        <v>2621</v>
      </c>
      <c r="O12" s="578" t="s">
        <v>2644</v>
      </c>
      <c r="P12" s="577">
        <v>6</v>
      </c>
      <c r="Q12" s="577">
        <v>6</v>
      </c>
      <c r="R12" s="577">
        <v>6</v>
      </c>
      <c r="S12" s="577">
        <v>10</v>
      </c>
      <c r="T12" s="577">
        <v>10</v>
      </c>
      <c r="U12" s="577">
        <v>10</v>
      </c>
      <c r="V12" s="357" t="e">
        <f t="shared" ref="V12:V13" ca="1" si="15">ROUND(SQRT(Y12*Z12*AK12/2+AVERAGE(AA12,AB12)*AC12*100),0)</f>
        <v>#REF!</v>
      </c>
      <c r="W12" s="357" t="e">
        <f t="shared" ref="W12:W13" ca="1" si="16">ROUND(SQRT(AL12*AM12*AX12/2+AVERAGE(AN12,AO12)*AP12*100),0)</f>
        <v>#REF!</v>
      </c>
      <c r="X12" s="357" t="e">
        <f t="shared" ref="X12:X13" ca="1" si="17">ROUND(SQRT(AY12*AZ12*BK12/2+AVERAGE(BA12,BB12)*BC12*100),0)</f>
        <v>#REF!</v>
      </c>
      <c r="Y12" s="577" t="e">
        <f ca="1">VLOOKUP($D12&amp;$J12,所有坦克升星属性,MATCH(Y$3,所有坦克升星属性标头,0),FALSE)+ROUND(AD12/VLOOKUP($D12,坦克部件!#REF!,4,FALSE)*VLOOKUP($D12&amp;0,所有坦克升星属性,MATCH(Y$3,所有坦克升星属性标头,0),FALSE),0)</f>
        <v>#REF!</v>
      </c>
      <c r="Z12" s="577" t="e">
        <f ca="1">VLOOKUP($D12&amp;$J12,所有坦克升星属性,MATCH(Z$3,所有坦克升星属性标头,0),FALSE)+ROUND(AE12/VLOOKUP($D12,坦克部件!#REF!,4,FALSE)*VLOOKUP($D12&amp;0,所有坦克升星属性,MATCH(Z$3,所有坦克升星属性标头,0),FALSE),0)</f>
        <v>#REF!</v>
      </c>
      <c r="AA12" s="577">
        <f t="shared" ca="1" si="0"/>
        <v>448</v>
      </c>
      <c r="AB12" s="577">
        <f t="shared" ca="1" si="0"/>
        <v>314</v>
      </c>
      <c r="AC12" s="577" t="e">
        <f ca="1">VLOOKUP($D12&amp;$J12,所有坦克升星属性,MATCH(AC$3,所有坦克升星属性标头,0),FALSE)+ROUND(AF12/VLOOKUP($D12,坦克部件!#REF!,4,FALSE)*VLOOKUP($D12&amp;0,所有坦克升星属性,MATCH(AC$3,所有坦克升星属性标头,0),FALSE),0)</f>
        <v>#REF!</v>
      </c>
      <c r="AD12" s="577" t="e">
        <f>(VLOOKUP($S12,坦克部件!#REF!,MATCH("标准值",坦克部件!#REF!,0),FALSE)+VLOOKUP($M12,坦克部件!#REF!,MATCH("标准值",坦克部件!#REF!,0),FALSE))*$P12</f>
        <v>#REF!</v>
      </c>
      <c r="AE12" s="577" t="e">
        <f>(VLOOKUP($S12,坦克部件!#REF!,MATCH("标准值",坦克部件!#REF!,0),FALSE)+VLOOKUP($M12,坦克部件!#REF!,MATCH("标准值",坦克部件!#REF!,0),FALSE))*$P12</f>
        <v>#REF!</v>
      </c>
      <c r="AF12" s="577" t="e">
        <f>(VLOOKUP($S12,坦克部件!#REF!,MATCH("标准值",坦克部件!#REF!,0),FALSE)+VLOOKUP($M12,坦克部件!#REF!,MATCH("标准值",坦克部件!#REF!,0),FALSE))*$P12</f>
        <v>#REF!</v>
      </c>
      <c r="AG12" s="577">
        <f>VLOOKUP($D12,坦克属性统计!$B$3:$AY$33,MATCH(AG$3,坦克属性统计!$B$3:$AY$3,0),FALSE)</f>
        <v>14.999999999999998</v>
      </c>
      <c r="AH12" s="577">
        <f t="shared" si="1"/>
        <v>0.2</v>
      </c>
      <c r="AI12" s="577">
        <f t="shared" si="1"/>
        <v>0</v>
      </c>
      <c r="AJ12" s="577">
        <f t="shared" si="1"/>
        <v>7.4</v>
      </c>
      <c r="AK12" s="356">
        <f t="shared" ref="AK12:AK13" si="18">IF(LEN(G12)=5,(60-(AG12-1)*AH12)/AI12+AG12,IF(RIGHT(G12,2)="弹夹",((60-(AG12-1)*AH12)/(AJ12+(AG12-1)*AH12)+1)*AG12,60/AI12+AG12))</f>
        <v>99.117647058823522</v>
      </c>
      <c r="AL12" s="577" t="e">
        <f ca="1">VLOOKUP($E12&amp;$K12,所有坦克升星属性,MATCH(AL$3,所有坦克升星属性标头,0),FALSE)+ROUND(AQ12/VLOOKUP($E12,坦克部件!#REF!,4,FALSE)*VLOOKUP($E12&amp;0,所有坦克升星属性,MATCH(AL$3,所有坦克升星属性标头,0),FALSE),0)</f>
        <v>#REF!</v>
      </c>
      <c r="AM12" s="577" t="e">
        <f ca="1">VLOOKUP($E12&amp;$K12,所有坦克升星属性,MATCH(AM$3,所有坦克升星属性标头,0),FALSE)+ROUND(AR12/VLOOKUP($E12,坦克部件!#REF!,4,FALSE)*VLOOKUP($E12&amp;0,所有坦克升星属性,MATCH(AM$3,所有坦克升星属性标头,0),FALSE),0)</f>
        <v>#REF!</v>
      </c>
      <c r="AN12" s="577">
        <f t="shared" ca="1" si="2"/>
        <v>366</v>
      </c>
      <c r="AO12" s="577">
        <f t="shared" ca="1" si="2"/>
        <v>275</v>
      </c>
      <c r="AP12" s="577" t="e">
        <f ca="1">VLOOKUP($E12&amp;$K12,所有坦克升星属性,MATCH(AP$3,所有坦克升星属性标头,0),FALSE)+ROUND(AS12/VLOOKUP($E12,坦克部件!#REF!,4,FALSE)*VLOOKUP($E12&amp;0,所有坦克升星属性,MATCH(AP$3,所有坦克升星属性标头,0),FALSE),0)</f>
        <v>#REF!</v>
      </c>
      <c r="AQ12" s="577" t="e">
        <f>(VLOOKUP($T12,坦克部件!#REF!,MATCH("标准值",坦克部件!#REF!,0),FALSE)+VLOOKUP($N12,坦克部件!#REF!,MATCH("标准值",坦克部件!#REF!,0),FALSE))*$Q12</f>
        <v>#REF!</v>
      </c>
      <c r="AR12" s="577" t="e">
        <f>(VLOOKUP($T12,坦克部件!#REF!,MATCH("标准值",坦克部件!#REF!,0),FALSE)+VLOOKUP($N12,坦克部件!#REF!,MATCH("标准值",坦克部件!#REF!,0),FALSE))*$Q12</f>
        <v>#REF!</v>
      </c>
      <c r="AS12" s="577" t="e">
        <f>(VLOOKUP($T12,坦克部件!#REF!,MATCH("标准值",坦克部件!#REF!,0),FALSE)+VLOOKUP($N12,坦克部件!#REF!,MATCH("标准值",坦克部件!#REF!,0),FALSE))*$Q12</f>
        <v>#REF!</v>
      </c>
      <c r="AT12" s="577">
        <f>VLOOKUP($E12,坦克属性统计!$B$3:$AY$33,MATCH(AT$3,坦克属性统计!$B$3:$AY$3,0),FALSE)</f>
        <v>6</v>
      </c>
      <c r="AU12" s="577">
        <f t="shared" si="3"/>
        <v>1.17</v>
      </c>
      <c r="AV12" s="577">
        <f t="shared" si="3"/>
        <v>0</v>
      </c>
      <c r="AW12" s="577">
        <f t="shared" si="3"/>
        <v>2.8</v>
      </c>
      <c r="AX12" s="356">
        <f t="shared" ref="AX12:AX13" si="19">IF(LEN(H12)=5,(60-(AT12-1)*AU12)/AV12+AT12,IF(RIGHT(H12,2)="弹夹",((60-(AT12-1)*AU12)/(AW12+(AT12-1)*AU12)+1)*AT12,60/AV12+AT12))</f>
        <v>43.560693641618506</v>
      </c>
      <c r="AY12" s="577" t="e">
        <f ca="1">VLOOKUP($F12&amp;$L12,所有坦克升星属性,MATCH(AY$3,所有坦克升星属性标头,0),FALSE)+ROUND(BD12/VLOOKUP($F12,坦克部件!#REF!,4,FALSE)*VLOOKUP($F12&amp;0,所有坦克升星属性,MATCH(AY$3,所有坦克升星属性标头,0),FALSE),0)</f>
        <v>#REF!</v>
      </c>
      <c r="AZ12" s="577" t="e">
        <f ca="1">VLOOKUP($F12&amp;$L12,所有坦克升星属性,MATCH(AZ$3,所有坦克升星属性标头,0),FALSE)+ROUND(BE12/VLOOKUP($F12,坦克部件!#REF!,4,FALSE)*VLOOKUP($F12&amp;0,所有坦克升星属性,MATCH(AZ$3,所有坦克升星属性标头,0),FALSE),0)</f>
        <v>#REF!</v>
      </c>
      <c r="BA12" s="577">
        <f t="shared" ca="1" si="4"/>
        <v>311</v>
      </c>
      <c r="BB12" s="577">
        <f t="shared" ca="1" si="4"/>
        <v>249</v>
      </c>
      <c r="BC12" s="577" t="e">
        <f ca="1">VLOOKUP($F12&amp;$L12,所有坦克升星属性,MATCH(BC$3,所有坦克升星属性标头,0),FALSE)+ROUND(BF12/VLOOKUP($F12,坦克部件!#REF!,4,FALSE)*VLOOKUP($F12&amp;0,所有坦克升星属性,MATCH(BC$3,所有坦克升星属性标头,0),FALSE),0)</f>
        <v>#REF!</v>
      </c>
      <c r="BD12" s="577" t="e">
        <f>(VLOOKUP($U12,坦克部件!#REF!,MATCH("标准值",坦克部件!#REF!,0),FALSE)+VLOOKUP($O12,坦克部件!#REF!,MATCH("标准值",坦克部件!#REF!,0),FALSE))*$R12</f>
        <v>#REF!</v>
      </c>
      <c r="BE12" s="577" t="e">
        <f>(VLOOKUP($U12,坦克部件!#REF!,MATCH("标准值",坦克部件!#REF!,0),FALSE)+VLOOKUP($O12,坦克部件!#REF!,MATCH("标准值",坦克部件!#REF!,0),FALSE))*$R12</f>
        <v>#REF!</v>
      </c>
      <c r="BF12" s="577" t="e">
        <f>(VLOOKUP($U12,坦克部件!#REF!,MATCH("标准值",坦克部件!#REF!,0),FALSE)+VLOOKUP($O12,坦克部件!#REF!,MATCH("标准值",坦克部件!#REF!,0),FALSE))*$R12</f>
        <v>#REF!</v>
      </c>
      <c r="BG12" s="577">
        <f>VLOOKUP($F12,坦克属性统计!$B$3:$AY$33,MATCH(BG$3,坦克属性统计!$B$3:$AY$3,0),FALSE)</f>
        <v>2</v>
      </c>
      <c r="BH12" s="577">
        <f t="shared" si="5"/>
        <v>2.8</v>
      </c>
      <c r="BI12" s="577">
        <f t="shared" si="5"/>
        <v>5.05</v>
      </c>
      <c r="BJ12" s="577">
        <f t="shared" si="5"/>
        <v>0</v>
      </c>
      <c r="BK12" s="356">
        <f t="shared" ref="BK12:BK13" si="20">IF(LEN(I12)=5,(60-(BG12-1)*BH12)/BI12+BG12,IF(RIGHT(I12,2)="弹夹",((60-(BG12-1)*BH12)/(BJ12+(BG12-1)*BH12)+1)*BG12,60/BI12+BG12))</f>
        <v>13.881188118811881</v>
      </c>
      <c r="BM12" s="271" t="e">
        <f t="shared" ca="1" si="6"/>
        <v>#REF!</v>
      </c>
    </row>
    <row r="13" spans="2:65" x14ac:dyDescent="0.35">
      <c r="B13" s="577">
        <v>10</v>
      </c>
      <c r="C13" s="577" t="e">
        <f t="shared" ca="1" si="14"/>
        <v>#REF!</v>
      </c>
      <c r="D13" s="577" t="s">
        <v>616</v>
      </c>
      <c r="E13" s="577" t="s">
        <v>624</v>
      </c>
      <c r="F13" s="577" t="s">
        <v>721</v>
      </c>
      <c r="G13" s="577" t="str">
        <f>VLOOKUP(D13,坦克个性化设定!$B$18:$F$48,5,FALSE)</f>
        <v>轻坦弹夹</v>
      </c>
      <c r="H13" s="577" t="str">
        <f>VLOOKUP(E13,坦克个性化设定!$B$18:$F$48,5,FALSE)</f>
        <v>中坦弹夹</v>
      </c>
      <c r="I13" s="577" t="str">
        <f>VLOOKUP(F13,坦克个性化设定!$B$18:$F$48,5,FALSE)</f>
        <v>重坦自动</v>
      </c>
      <c r="J13" s="577">
        <v>2</v>
      </c>
      <c r="K13" s="577">
        <v>1</v>
      </c>
      <c r="L13" s="577">
        <v>1</v>
      </c>
      <c r="M13" s="578" t="s">
        <v>2645</v>
      </c>
      <c r="N13" s="578" t="s">
        <v>2646</v>
      </c>
      <c r="O13" s="578" t="s">
        <v>2647</v>
      </c>
      <c r="P13" s="577">
        <v>6</v>
      </c>
      <c r="Q13" s="577">
        <v>6</v>
      </c>
      <c r="R13" s="577">
        <v>6</v>
      </c>
      <c r="S13" s="577">
        <v>10</v>
      </c>
      <c r="T13" s="577">
        <v>10</v>
      </c>
      <c r="U13" s="577">
        <v>10</v>
      </c>
      <c r="V13" s="357" t="e">
        <f t="shared" ca="1" si="15"/>
        <v>#REF!</v>
      </c>
      <c r="W13" s="357" t="e">
        <f t="shared" ca="1" si="16"/>
        <v>#REF!</v>
      </c>
      <c r="X13" s="357" t="e">
        <f t="shared" ca="1" si="17"/>
        <v>#REF!</v>
      </c>
      <c r="Y13" s="577" t="e">
        <f ca="1">VLOOKUP($D13&amp;$J13,所有坦克升星属性,MATCH(Y$3,所有坦克升星属性标头,0),FALSE)+ROUND(AD13/VLOOKUP($D13,坦克部件!#REF!,4,FALSE)*VLOOKUP($D13&amp;0,所有坦克升星属性,MATCH(Y$3,所有坦克升星属性标头,0),FALSE),0)</f>
        <v>#REF!</v>
      </c>
      <c r="Z13" s="577" t="e">
        <f ca="1">VLOOKUP($D13&amp;$J13,所有坦克升星属性,MATCH(Z$3,所有坦克升星属性标头,0),FALSE)+ROUND(AE13/VLOOKUP($D13,坦克部件!#REF!,4,FALSE)*VLOOKUP($D13&amp;0,所有坦克升星属性,MATCH(Z$3,所有坦克升星属性标头,0),FALSE),0)</f>
        <v>#REF!</v>
      </c>
      <c r="AA13" s="577">
        <f t="shared" ca="1" si="0"/>
        <v>448</v>
      </c>
      <c r="AB13" s="577">
        <f t="shared" ca="1" si="0"/>
        <v>314</v>
      </c>
      <c r="AC13" s="577" t="e">
        <f ca="1">VLOOKUP($D13&amp;$J13,所有坦克升星属性,MATCH(AC$3,所有坦克升星属性标头,0),FALSE)+ROUND(AF13/VLOOKUP($D13,坦克部件!#REF!,4,FALSE)*VLOOKUP($D13&amp;0,所有坦克升星属性,MATCH(AC$3,所有坦克升星属性标头,0),FALSE),0)</f>
        <v>#REF!</v>
      </c>
      <c r="AD13" s="577" t="e">
        <f>(VLOOKUP($S13,坦克部件!#REF!,MATCH("标准值",坦克部件!#REF!,0),FALSE)+VLOOKUP($M13,坦克部件!#REF!,MATCH("标准值",坦克部件!#REF!,0),FALSE))*$P13</f>
        <v>#REF!</v>
      </c>
      <c r="AE13" s="577" t="e">
        <f>(VLOOKUP($S13,坦克部件!#REF!,MATCH("标准值",坦克部件!#REF!,0),FALSE)+VLOOKUP($M13,坦克部件!#REF!,MATCH("标准值",坦克部件!#REF!,0),FALSE))*$P13</f>
        <v>#REF!</v>
      </c>
      <c r="AF13" s="577" t="e">
        <f>(VLOOKUP($S13,坦克部件!#REF!,MATCH("标准值",坦克部件!#REF!,0),FALSE)+VLOOKUP($M13,坦克部件!#REF!,MATCH("标准值",坦克部件!#REF!,0),FALSE))*$P13</f>
        <v>#REF!</v>
      </c>
      <c r="AG13" s="577">
        <f>VLOOKUP($D13,坦克属性统计!$B$3:$AY$33,MATCH(AG$3,坦克属性统计!$B$3:$AY$3,0),FALSE)</f>
        <v>14.999999999999998</v>
      </c>
      <c r="AH13" s="577">
        <f t="shared" si="1"/>
        <v>0.2</v>
      </c>
      <c r="AI13" s="577">
        <f t="shared" si="1"/>
        <v>0</v>
      </c>
      <c r="AJ13" s="577">
        <f t="shared" si="1"/>
        <v>7.4</v>
      </c>
      <c r="AK13" s="356">
        <f t="shared" si="18"/>
        <v>99.117647058823522</v>
      </c>
      <c r="AL13" s="577" t="e">
        <f ca="1">VLOOKUP($E13&amp;$K13,所有坦克升星属性,MATCH(AL$3,所有坦克升星属性标头,0),FALSE)+ROUND(AQ13/VLOOKUP($E13,坦克部件!#REF!,4,FALSE)*VLOOKUP($E13&amp;0,所有坦克升星属性,MATCH(AL$3,所有坦克升星属性标头,0),FALSE),0)</f>
        <v>#REF!</v>
      </c>
      <c r="AM13" s="577" t="e">
        <f ca="1">VLOOKUP($E13&amp;$K13,所有坦克升星属性,MATCH(AM$3,所有坦克升星属性标头,0),FALSE)+ROUND(AR13/VLOOKUP($E13,坦克部件!#REF!,4,FALSE)*VLOOKUP($E13&amp;0,所有坦克升星属性,MATCH(AM$3,所有坦克升星属性标头,0),FALSE),0)</f>
        <v>#REF!</v>
      </c>
      <c r="AN13" s="577">
        <f t="shared" ca="1" si="2"/>
        <v>366</v>
      </c>
      <c r="AO13" s="577">
        <f t="shared" ca="1" si="2"/>
        <v>275</v>
      </c>
      <c r="AP13" s="577" t="e">
        <f ca="1">VLOOKUP($E13&amp;$K13,所有坦克升星属性,MATCH(AP$3,所有坦克升星属性标头,0),FALSE)+ROUND(AS13/VLOOKUP($E13,坦克部件!#REF!,4,FALSE)*VLOOKUP($E13&amp;0,所有坦克升星属性,MATCH(AP$3,所有坦克升星属性标头,0),FALSE),0)</f>
        <v>#REF!</v>
      </c>
      <c r="AQ13" s="577" t="e">
        <f>(VLOOKUP($T13,坦克部件!#REF!,MATCH("标准值",坦克部件!#REF!,0),FALSE)+VLOOKUP($N13,坦克部件!#REF!,MATCH("标准值",坦克部件!#REF!,0),FALSE))*$Q13</f>
        <v>#REF!</v>
      </c>
      <c r="AR13" s="577" t="e">
        <f>(VLOOKUP($T13,坦克部件!#REF!,MATCH("标准值",坦克部件!#REF!,0),FALSE)+VLOOKUP($N13,坦克部件!#REF!,MATCH("标准值",坦克部件!#REF!,0),FALSE))*$Q13</f>
        <v>#REF!</v>
      </c>
      <c r="AS13" s="577" t="e">
        <f>(VLOOKUP($T13,坦克部件!#REF!,MATCH("标准值",坦克部件!#REF!,0),FALSE)+VLOOKUP($N13,坦克部件!#REF!,MATCH("标准值",坦克部件!#REF!,0),FALSE))*$Q13</f>
        <v>#REF!</v>
      </c>
      <c r="AT13" s="577">
        <f>VLOOKUP($E13,坦克属性统计!$B$3:$AY$33,MATCH(AT$3,坦克属性统计!$B$3:$AY$3,0),FALSE)</f>
        <v>6</v>
      </c>
      <c r="AU13" s="577">
        <f t="shared" si="3"/>
        <v>1.17</v>
      </c>
      <c r="AV13" s="577">
        <f t="shared" si="3"/>
        <v>0</v>
      </c>
      <c r="AW13" s="577">
        <f t="shared" si="3"/>
        <v>2.8</v>
      </c>
      <c r="AX13" s="356">
        <f t="shared" si="19"/>
        <v>43.560693641618506</v>
      </c>
      <c r="AY13" s="577" t="e">
        <f ca="1">VLOOKUP($F13&amp;$L13,所有坦克升星属性,MATCH(AY$3,所有坦克升星属性标头,0),FALSE)+ROUND(BD13/VLOOKUP($F13,坦克部件!#REF!,4,FALSE)*VLOOKUP($F13&amp;0,所有坦克升星属性,MATCH(AY$3,所有坦克升星属性标头,0),FALSE),0)</f>
        <v>#REF!</v>
      </c>
      <c r="AZ13" s="577" t="e">
        <f ca="1">VLOOKUP($F13&amp;$L13,所有坦克升星属性,MATCH(AZ$3,所有坦克升星属性标头,0),FALSE)+ROUND(BE13/VLOOKUP($F13,坦克部件!#REF!,4,FALSE)*VLOOKUP($F13&amp;0,所有坦克升星属性,MATCH(AZ$3,所有坦克升星属性标头,0),FALSE),0)</f>
        <v>#REF!</v>
      </c>
      <c r="BA13" s="577">
        <f t="shared" ca="1" si="4"/>
        <v>311</v>
      </c>
      <c r="BB13" s="577">
        <f t="shared" ca="1" si="4"/>
        <v>249</v>
      </c>
      <c r="BC13" s="577" t="e">
        <f ca="1">VLOOKUP($F13&amp;$L13,所有坦克升星属性,MATCH(BC$3,所有坦克升星属性标头,0),FALSE)+ROUND(BF13/VLOOKUP($F13,坦克部件!#REF!,4,FALSE)*VLOOKUP($F13&amp;0,所有坦克升星属性,MATCH(BC$3,所有坦克升星属性标头,0),FALSE),0)</f>
        <v>#REF!</v>
      </c>
      <c r="BD13" s="577" t="e">
        <f>(VLOOKUP($U13,坦克部件!#REF!,MATCH("标准值",坦克部件!#REF!,0),FALSE)+VLOOKUP($O13,坦克部件!#REF!,MATCH("标准值",坦克部件!#REF!,0),FALSE))*$R13</f>
        <v>#REF!</v>
      </c>
      <c r="BE13" s="577" t="e">
        <f>(VLOOKUP($U13,坦克部件!#REF!,MATCH("标准值",坦克部件!#REF!,0),FALSE)+VLOOKUP($O13,坦克部件!#REF!,MATCH("标准值",坦克部件!#REF!,0),FALSE))*$R13</f>
        <v>#REF!</v>
      </c>
      <c r="BF13" s="577" t="e">
        <f>(VLOOKUP($U13,坦克部件!#REF!,MATCH("标准值",坦克部件!#REF!,0),FALSE)+VLOOKUP($O13,坦克部件!#REF!,MATCH("标准值",坦克部件!#REF!,0),FALSE))*$R13</f>
        <v>#REF!</v>
      </c>
      <c r="BG13" s="577">
        <f>VLOOKUP($F13,坦克属性统计!$B$3:$AY$33,MATCH(BG$3,坦克属性统计!$B$3:$AY$3,0),FALSE)</f>
        <v>2</v>
      </c>
      <c r="BH13" s="577">
        <f t="shared" si="5"/>
        <v>2.8</v>
      </c>
      <c r="BI13" s="577">
        <f t="shared" si="5"/>
        <v>5.05</v>
      </c>
      <c r="BJ13" s="577">
        <f t="shared" si="5"/>
        <v>0</v>
      </c>
      <c r="BK13" s="356">
        <f t="shared" si="20"/>
        <v>13.881188118811881</v>
      </c>
      <c r="BM13" s="271" t="e">
        <f t="shared" ca="1" si="6"/>
        <v>#REF!</v>
      </c>
    </row>
    <row r="14" spans="2:65" x14ac:dyDescent="0.35">
      <c r="B14" s="577">
        <v>11</v>
      </c>
      <c r="C14" s="577" t="e">
        <f t="shared" ca="1" si="7"/>
        <v>#REF!</v>
      </c>
      <c r="D14" s="577" t="s">
        <v>617</v>
      </c>
      <c r="E14" s="577" t="s">
        <v>624</v>
      </c>
      <c r="F14" s="577" t="s">
        <v>630</v>
      </c>
      <c r="G14" s="577" t="str">
        <f>VLOOKUP(D14,坦克个性化设定!$B$18:$F$48,5,FALSE)</f>
        <v>轻坦半自动</v>
      </c>
      <c r="H14" s="577" t="str">
        <f>VLOOKUP(E14,坦克个性化设定!$B$18:$F$48,5,FALSE)</f>
        <v>中坦弹夹</v>
      </c>
      <c r="I14" s="577" t="str">
        <f>VLOOKUP(F14,坦克个性化设定!$B$18:$F$48,5,FALSE)</f>
        <v>重坦自动</v>
      </c>
      <c r="J14" s="577">
        <v>0</v>
      </c>
      <c r="K14" s="577">
        <v>1</v>
      </c>
      <c r="L14" s="577">
        <v>1</v>
      </c>
      <c r="M14" s="578" t="s">
        <v>2561</v>
      </c>
      <c r="N14" s="578" t="s">
        <v>2561</v>
      </c>
      <c r="O14" s="578" t="s">
        <v>2561</v>
      </c>
      <c r="P14" s="577">
        <v>6</v>
      </c>
      <c r="Q14" s="577">
        <v>6</v>
      </c>
      <c r="R14" s="577">
        <v>6</v>
      </c>
      <c r="S14" s="577">
        <v>15</v>
      </c>
      <c r="T14" s="577">
        <v>15</v>
      </c>
      <c r="U14" s="577">
        <v>15</v>
      </c>
      <c r="V14" s="357" t="e">
        <f t="shared" ca="1" si="8"/>
        <v>#REF!</v>
      </c>
      <c r="W14" s="357" t="e">
        <f t="shared" ca="1" si="9"/>
        <v>#REF!</v>
      </c>
      <c r="X14" s="357" t="e">
        <f t="shared" ca="1" si="10"/>
        <v>#REF!</v>
      </c>
      <c r="Y14" s="577" t="e">
        <f ca="1">VLOOKUP($D14&amp;$J14,所有坦克升星属性,MATCH(Y$3,所有坦克升星属性标头,0),FALSE)+ROUND(AD14/VLOOKUP($D14,坦克部件!#REF!,4,FALSE)*VLOOKUP($D14&amp;0,所有坦克升星属性,MATCH(Y$3,所有坦克升星属性标头,0),FALSE),0)</f>
        <v>#REF!</v>
      </c>
      <c r="Z14" s="577" t="e">
        <f ca="1">VLOOKUP($D14&amp;$J14,所有坦克升星属性,MATCH(Z$3,所有坦克升星属性标头,0),FALSE)+ROUND(AE14/VLOOKUP($D14,坦克部件!#REF!,4,FALSE)*VLOOKUP($D14&amp;0,所有坦克升星属性,MATCH(Z$3,所有坦克升星属性标头,0),FALSE),0)</f>
        <v>#REF!</v>
      </c>
      <c r="AA14" s="577">
        <f t="shared" ca="1" si="0"/>
        <v>369</v>
      </c>
      <c r="AB14" s="577">
        <f t="shared" ca="1" si="0"/>
        <v>258</v>
      </c>
      <c r="AC14" s="577" t="e">
        <f ca="1">VLOOKUP($D14&amp;$J14,所有坦克升星属性,MATCH(AC$3,所有坦克升星属性标头,0),FALSE)+ROUND(AF14/VLOOKUP($D14,坦克部件!#REF!,4,FALSE)*VLOOKUP($D14&amp;0,所有坦克升星属性,MATCH(AC$3,所有坦克升星属性标头,0),FALSE),0)</f>
        <v>#REF!</v>
      </c>
      <c r="AD14" s="577" t="e">
        <f>(VLOOKUP($S14,坦克部件!#REF!,MATCH("标准值",坦克部件!#REF!,0),FALSE)+VLOOKUP($M14,坦克部件!#REF!,MATCH("标准值",坦克部件!#REF!,0),FALSE))*$P14</f>
        <v>#REF!</v>
      </c>
      <c r="AE14" s="577" t="e">
        <f>(VLOOKUP($S14,坦克部件!#REF!,MATCH("标准值",坦克部件!#REF!,0),FALSE)+VLOOKUP($M14,坦克部件!#REF!,MATCH("标准值",坦克部件!#REF!,0),FALSE))*$P14</f>
        <v>#REF!</v>
      </c>
      <c r="AF14" s="577" t="e">
        <f>(VLOOKUP($S14,坦克部件!#REF!,MATCH("标准值",坦克部件!#REF!,0),FALSE)+VLOOKUP($M14,坦克部件!#REF!,MATCH("标准值",坦克部件!#REF!,0),FALSE))*$P14</f>
        <v>#REF!</v>
      </c>
      <c r="AG14" s="577">
        <f>VLOOKUP($D14,坦克属性统计!$B$3:$AY$33,MATCH(AG$3,坦克属性统计!$B$3:$AY$3,0),FALSE)</f>
        <v>4</v>
      </c>
      <c r="AH14" s="577">
        <f t="shared" si="1"/>
        <v>0.4</v>
      </c>
      <c r="AI14" s="577">
        <f t="shared" si="1"/>
        <v>1.05</v>
      </c>
      <c r="AJ14" s="577">
        <f t="shared" si="1"/>
        <v>0</v>
      </c>
      <c r="AK14" s="356">
        <f t="shared" si="11"/>
        <v>59.999999999999993</v>
      </c>
      <c r="AL14" s="577" t="e">
        <f ca="1">VLOOKUP($E14&amp;$K14,所有坦克升星属性,MATCH(AL$3,所有坦克升星属性标头,0),FALSE)+ROUND(AQ14/VLOOKUP($E14,坦克部件!#REF!,4,FALSE)*VLOOKUP($E14&amp;0,所有坦克升星属性,MATCH(AL$3,所有坦克升星属性标头,0),FALSE),0)</f>
        <v>#REF!</v>
      </c>
      <c r="AM14" s="577" t="e">
        <f ca="1">VLOOKUP($E14&amp;$K14,所有坦克升星属性,MATCH(AM$3,所有坦克升星属性标头,0),FALSE)+ROUND(AR14/VLOOKUP($E14,坦克部件!#REF!,4,FALSE)*VLOOKUP($E14&amp;0,所有坦克升星属性,MATCH(AM$3,所有坦克升星属性标头,0),FALSE),0)</f>
        <v>#REF!</v>
      </c>
      <c r="AN14" s="577">
        <f t="shared" ca="1" si="2"/>
        <v>366</v>
      </c>
      <c r="AO14" s="577">
        <f t="shared" ca="1" si="2"/>
        <v>275</v>
      </c>
      <c r="AP14" s="577" t="e">
        <f ca="1">VLOOKUP($E14&amp;$K14,所有坦克升星属性,MATCH(AP$3,所有坦克升星属性标头,0),FALSE)+ROUND(AS14/VLOOKUP($E14,坦克部件!#REF!,4,FALSE)*VLOOKUP($E14&amp;0,所有坦克升星属性,MATCH(AP$3,所有坦克升星属性标头,0),FALSE),0)</f>
        <v>#REF!</v>
      </c>
      <c r="AQ14" s="577" t="e">
        <f>(VLOOKUP($T14,坦克部件!#REF!,MATCH("标准值",坦克部件!#REF!,0),FALSE)+VLOOKUP($N14,坦克部件!#REF!,MATCH("标准值",坦克部件!#REF!,0),FALSE))*$Q14</f>
        <v>#REF!</v>
      </c>
      <c r="AR14" s="577" t="e">
        <f>(VLOOKUP($T14,坦克部件!#REF!,MATCH("标准值",坦克部件!#REF!,0),FALSE)+VLOOKUP($N14,坦克部件!#REF!,MATCH("标准值",坦克部件!#REF!,0),FALSE))*$Q14</f>
        <v>#REF!</v>
      </c>
      <c r="AS14" s="577" t="e">
        <f>(VLOOKUP($T14,坦克部件!#REF!,MATCH("标准值",坦克部件!#REF!,0),FALSE)+VLOOKUP($N14,坦克部件!#REF!,MATCH("标准值",坦克部件!#REF!,0),FALSE))*$Q14</f>
        <v>#REF!</v>
      </c>
      <c r="AT14" s="577">
        <f>VLOOKUP($E14,坦克属性统计!$B$3:$AY$33,MATCH(AT$3,坦克属性统计!$B$3:$AY$3,0),FALSE)</f>
        <v>6</v>
      </c>
      <c r="AU14" s="577">
        <f t="shared" si="3"/>
        <v>1.17</v>
      </c>
      <c r="AV14" s="577">
        <f t="shared" si="3"/>
        <v>0</v>
      </c>
      <c r="AW14" s="577">
        <f t="shared" si="3"/>
        <v>2.8</v>
      </c>
      <c r="AX14" s="356">
        <f t="shared" si="12"/>
        <v>43.560693641618506</v>
      </c>
      <c r="AY14" s="577" t="e">
        <f ca="1">VLOOKUP($F14&amp;$L14,所有坦克升星属性,MATCH(AY$3,所有坦克升星属性标头,0),FALSE)+ROUND(BD14/VLOOKUP($F14,坦克部件!#REF!,4,FALSE)*VLOOKUP($F14&amp;0,所有坦克升星属性,MATCH(AY$3,所有坦克升星属性标头,0),FALSE),0)</f>
        <v>#REF!</v>
      </c>
      <c r="AZ14" s="577" t="e">
        <f ca="1">VLOOKUP($F14&amp;$L14,所有坦克升星属性,MATCH(AZ$3,所有坦克升星属性标头,0),FALSE)+ROUND(BE14/VLOOKUP($F14,坦克部件!#REF!,4,FALSE)*VLOOKUP($F14&amp;0,所有坦克升星属性,MATCH(AZ$3,所有坦克升星属性标头,0),FALSE),0)</f>
        <v>#REF!</v>
      </c>
      <c r="BA14" s="577">
        <f t="shared" ca="1" si="4"/>
        <v>366</v>
      </c>
      <c r="BB14" s="577">
        <f t="shared" ca="1" si="4"/>
        <v>293</v>
      </c>
      <c r="BC14" s="577" t="e">
        <f ca="1">VLOOKUP($F14&amp;$L14,所有坦克升星属性,MATCH(BC$3,所有坦克升星属性标头,0),FALSE)+ROUND(BF14/VLOOKUP($F14,坦克部件!#REF!,4,FALSE)*VLOOKUP($F14&amp;0,所有坦克升星属性,MATCH(BC$3,所有坦克升星属性标头,0),FALSE),0)</f>
        <v>#REF!</v>
      </c>
      <c r="BD14" s="577" t="e">
        <f>(VLOOKUP($U14,坦克部件!#REF!,MATCH("标准值",坦克部件!#REF!,0),FALSE)+VLOOKUP($O14,坦克部件!#REF!,MATCH("标准值",坦克部件!#REF!,0),FALSE))*$R14</f>
        <v>#REF!</v>
      </c>
      <c r="BE14" s="577" t="e">
        <f>(VLOOKUP($U14,坦克部件!#REF!,MATCH("标准值",坦克部件!#REF!,0),FALSE)+VLOOKUP($O14,坦克部件!#REF!,MATCH("标准值",坦克部件!#REF!,0),FALSE))*$R14</f>
        <v>#REF!</v>
      </c>
      <c r="BF14" s="577" t="e">
        <f>(VLOOKUP($U14,坦克部件!#REF!,MATCH("标准值",坦克部件!#REF!,0),FALSE)+VLOOKUP($O14,坦克部件!#REF!,MATCH("标准值",坦克部件!#REF!,0),FALSE))*$R14</f>
        <v>#REF!</v>
      </c>
      <c r="BG14" s="577">
        <f>VLOOKUP($F14,坦克属性统计!$B$3:$AY$33,MATCH(BG$3,坦克属性统计!$B$3:$AY$3,0),FALSE)</f>
        <v>3</v>
      </c>
      <c r="BH14" s="577">
        <f t="shared" si="5"/>
        <v>1.88</v>
      </c>
      <c r="BI14" s="577">
        <f t="shared" si="5"/>
        <v>3.44</v>
      </c>
      <c r="BJ14" s="577">
        <f t="shared" si="5"/>
        <v>0</v>
      </c>
      <c r="BK14" s="356">
        <f t="shared" si="13"/>
        <v>20.441860465116278</v>
      </c>
      <c r="BM14" s="271" t="e">
        <f t="shared" ca="1" si="6"/>
        <v>#REF!</v>
      </c>
    </row>
    <row r="15" spans="2:65" x14ac:dyDescent="0.35">
      <c r="B15" s="577">
        <v>12</v>
      </c>
      <c r="C15" s="577" t="e">
        <f t="shared" ca="1" si="7"/>
        <v>#REF!</v>
      </c>
      <c r="D15" s="577" t="s">
        <v>617</v>
      </c>
      <c r="E15" s="577" t="s">
        <v>624</v>
      </c>
      <c r="F15" s="577" t="s">
        <v>630</v>
      </c>
      <c r="G15" s="577" t="str">
        <f>VLOOKUP(D15,坦克个性化设定!$B$18:$F$48,5,FALSE)</f>
        <v>轻坦半自动</v>
      </c>
      <c r="H15" s="577" t="str">
        <f>VLOOKUP(E15,坦克个性化设定!$B$18:$F$48,5,FALSE)</f>
        <v>中坦弹夹</v>
      </c>
      <c r="I15" s="577" t="str">
        <f>VLOOKUP(F15,坦克个性化设定!$B$18:$F$48,5,FALSE)</f>
        <v>重坦自动</v>
      </c>
      <c r="J15" s="577">
        <v>0</v>
      </c>
      <c r="K15" s="577">
        <v>0</v>
      </c>
      <c r="L15" s="577">
        <v>0</v>
      </c>
      <c r="M15" s="578" t="s">
        <v>2561</v>
      </c>
      <c r="N15" s="578" t="s">
        <v>2561</v>
      </c>
      <c r="O15" s="578" t="s">
        <v>2561</v>
      </c>
      <c r="P15" s="577">
        <v>6</v>
      </c>
      <c r="Q15" s="577">
        <v>6</v>
      </c>
      <c r="R15" s="577">
        <v>6</v>
      </c>
      <c r="S15" s="577">
        <v>20</v>
      </c>
      <c r="T15" s="577">
        <v>19</v>
      </c>
      <c r="U15" s="577">
        <v>19</v>
      </c>
      <c r="V15" s="357" t="e">
        <f t="shared" ca="1" si="8"/>
        <v>#REF!</v>
      </c>
      <c r="W15" s="357" t="e">
        <f t="shared" ca="1" si="9"/>
        <v>#REF!</v>
      </c>
      <c r="X15" s="357" t="e">
        <f t="shared" ca="1" si="10"/>
        <v>#REF!</v>
      </c>
      <c r="Y15" s="577" t="e">
        <f ca="1">VLOOKUP($D15&amp;$J15,所有坦克升星属性,MATCH(Y$3,所有坦克升星属性标头,0),FALSE)+ROUND(AD15/VLOOKUP($D15,坦克部件!#REF!,4,FALSE)*VLOOKUP($D15&amp;0,所有坦克升星属性,MATCH(Y$3,所有坦克升星属性标头,0),FALSE),0)</f>
        <v>#REF!</v>
      </c>
      <c r="Z15" s="577" t="e">
        <f ca="1">VLOOKUP($D15&amp;$J15,所有坦克升星属性,MATCH(Z$3,所有坦克升星属性标头,0),FALSE)+ROUND(AE15/VLOOKUP($D15,坦克部件!#REF!,4,FALSE)*VLOOKUP($D15&amp;0,所有坦克升星属性,MATCH(Z$3,所有坦克升星属性标头,0),FALSE),0)</f>
        <v>#REF!</v>
      </c>
      <c r="AA15" s="577">
        <f t="shared" ca="1" si="0"/>
        <v>369</v>
      </c>
      <c r="AB15" s="577">
        <f t="shared" ca="1" si="0"/>
        <v>258</v>
      </c>
      <c r="AC15" s="577" t="e">
        <f ca="1">VLOOKUP($D15&amp;$J15,所有坦克升星属性,MATCH(AC$3,所有坦克升星属性标头,0),FALSE)+ROUND(AF15/VLOOKUP($D15,坦克部件!#REF!,4,FALSE)*VLOOKUP($D15&amp;0,所有坦克升星属性,MATCH(AC$3,所有坦克升星属性标头,0),FALSE),0)</f>
        <v>#REF!</v>
      </c>
      <c r="AD15" s="577" t="e">
        <f>(VLOOKUP($S15,坦克部件!#REF!,MATCH("标准值",坦克部件!#REF!,0),FALSE)+VLOOKUP($M15,坦克部件!#REF!,MATCH("标准值",坦克部件!#REF!,0),FALSE))*$P15</f>
        <v>#REF!</v>
      </c>
      <c r="AE15" s="577" t="e">
        <f>(VLOOKUP($S15,坦克部件!#REF!,MATCH("标准值",坦克部件!#REF!,0),FALSE)+VLOOKUP($M15,坦克部件!#REF!,MATCH("标准值",坦克部件!#REF!,0),FALSE))*$P15</f>
        <v>#REF!</v>
      </c>
      <c r="AF15" s="577" t="e">
        <f>(VLOOKUP($S15,坦克部件!#REF!,MATCH("标准值",坦克部件!#REF!,0),FALSE)+VLOOKUP($M15,坦克部件!#REF!,MATCH("标准值",坦克部件!#REF!,0),FALSE))*$P15</f>
        <v>#REF!</v>
      </c>
      <c r="AG15" s="577">
        <f>VLOOKUP($D15,坦克属性统计!$B$3:$AY$33,MATCH(AG$3,坦克属性统计!$B$3:$AY$3,0),FALSE)</f>
        <v>4</v>
      </c>
      <c r="AH15" s="577">
        <f t="shared" si="1"/>
        <v>0.4</v>
      </c>
      <c r="AI15" s="577">
        <f t="shared" si="1"/>
        <v>1.05</v>
      </c>
      <c r="AJ15" s="577">
        <f t="shared" si="1"/>
        <v>0</v>
      </c>
      <c r="AK15" s="356">
        <f t="shared" si="11"/>
        <v>59.999999999999993</v>
      </c>
      <c r="AL15" s="577" t="e">
        <f ca="1">VLOOKUP($E15&amp;$K15,所有坦克升星属性,MATCH(AL$3,所有坦克升星属性标头,0),FALSE)+ROUND(AQ15/VLOOKUP($E15,坦克部件!#REF!,4,FALSE)*VLOOKUP($E15&amp;0,所有坦克升星属性,MATCH(AL$3,所有坦克升星属性标头,0),FALSE),0)</f>
        <v>#REF!</v>
      </c>
      <c r="AM15" s="577" t="e">
        <f ca="1">VLOOKUP($E15&amp;$K15,所有坦克升星属性,MATCH(AM$3,所有坦克升星属性标头,0),FALSE)+ROUND(AR15/VLOOKUP($E15,坦克部件!#REF!,4,FALSE)*VLOOKUP($E15&amp;0,所有坦克升星属性,MATCH(AM$3,所有坦克升星属性标头,0),FALSE),0)</f>
        <v>#REF!</v>
      </c>
      <c r="AN15" s="577">
        <f t="shared" ca="1" si="2"/>
        <v>343</v>
      </c>
      <c r="AO15" s="577">
        <f t="shared" ca="1" si="2"/>
        <v>257</v>
      </c>
      <c r="AP15" s="577" t="e">
        <f ca="1">VLOOKUP($E15&amp;$K15,所有坦克升星属性,MATCH(AP$3,所有坦克升星属性标头,0),FALSE)+ROUND(AS15/VLOOKUP($E15,坦克部件!#REF!,4,FALSE)*VLOOKUP($E15&amp;0,所有坦克升星属性,MATCH(AP$3,所有坦克升星属性标头,0),FALSE),0)</f>
        <v>#REF!</v>
      </c>
      <c r="AQ15" s="577" t="e">
        <f>(VLOOKUP($T15,坦克部件!#REF!,MATCH("标准值",坦克部件!#REF!,0),FALSE)+VLOOKUP($N15,坦克部件!#REF!,MATCH("标准值",坦克部件!#REF!,0),FALSE))*$Q15</f>
        <v>#REF!</v>
      </c>
      <c r="AR15" s="577" t="e">
        <f>(VLOOKUP($T15,坦克部件!#REF!,MATCH("标准值",坦克部件!#REF!,0),FALSE)+VLOOKUP($N15,坦克部件!#REF!,MATCH("标准值",坦克部件!#REF!,0),FALSE))*$Q15</f>
        <v>#REF!</v>
      </c>
      <c r="AS15" s="577" t="e">
        <f>(VLOOKUP($T15,坦克部件!#REF!,MATCH("标准值",坦克部件!#REF!,0),FALSE)+VLOOKUP($N15,坦克部件!#REF!,MATCH("标准值",坦克部件!#REF!,0),FALSE))*$Q15</f>
        <v>#REF!</v>
      </c>
      <c r="AT15" s="577">
        <f>VLOOKUP($E15,坦克属性统计!$B$3:$AY$33,MATCH(AT$3,坦克属性统计!$B$3:$AY$3,0),FALSE)</f>
        <v>6</v>
      </c>
      <c r="AU15" s="577">
        <f t="shared" si="3"/>
        <v>1.2</v>
      </c>
      <c r="AV15" s="577">
        <f t="shared" si="3"/>
        <v>0</v>
      </c>
      <c r="AW15" s="577">
        <f t="shared" si="3"/>
        <v>3</v>
      </c>
      <c r="AX15" s="356">
        <f t="shared" si="12"/>
        <v>42</v>
      </c>
      <c r="AY15" s="577" t="e">
        <f ca="1">VLOOKUP($F15&amp;$L15,所有坦克升星属性,MATCH(AY$3,所有坦克升星属性标头,0),FALSE)+ROUND(BD15/VLOOKUP($F15,坦克部件!#REF!,4,FALSE)*VLOOKUP($F15&amp;0,所有坦克升星属性,MATCH(AY$3,所有坦克升星属性标头,0),FALSE),0)</f>
        <v>#REF!</v>
      </c>
      <c r="AZ15" s="577" t="e">
        <f ca="1">VLOOKUP($F15&amp;$L15,所有坦克升星属性,MATCH(AZ$3,所有坦克升星属性标头,0),FALSE)+ROUND(BE15/VLOOKUP($F15,坦克部件!#REF!,4,FALSE)*VLOOKUP($F15&amp;0,所有坦克升星属性,MATCH(AZ$3,所有坦克升星属性标头,0),FALSE),0)</f>
        <v>#REF!</v>
      </c>
      <c r="BA15" s="577">
        <f t="shared" ca="1" si="4"/>
        <v>343</v>
      </c>
      <c r="BB15" s="577">
        <f t="shared" ca="1" si="4"/>
        <v>274</v>
      </c>
      <c r="BC15" s="577" t="e">
        <f ca="1">VLOOKUP($F15&amp;$L15,所有坦克升星属性,MATCH(BC$3,所有坦克升星属性标头,0),FALSE)+ROUND(BF15/VLOOKUP($F15,坦克部件!#REF!,4,FALSE)*VLOOKUP($F15&amp;0,所有坦克升星属性,MATCH(BC$3,所有坦克升星属性标头,0),FALSE),0)</f>
        <v>#REF!</v>
      </c>
      <c r="BD15" s="577" t="e">
        <f>(VLOOKUP($U15,坦克部件!#REF!,MATCH("标准值",坦克部件!#REF!,0),FALSE)+VLOOKUP($O15,坦克部件!#REF!,MATCH("标准值",坦克部件!#REF!,0),FALSE))*$R15</f>
        <v>#REF!</v>
      </c>
      <c r="BE15" s="577" t="e">
        <f>(VLOOKUP($U15,坦克部件!#REF!,MATCH("标准值",坦克部件!#REF!,0),FALSE)+VLOOKUP($O15,坦克部件!#REF!,MATCH("标准值",坦克部件!#REF!,0),FALSE))*$R15</f>
        <v>#REF!</v>
      </c>
      <c r="BF15" s="577" t="e">
        <f>(VLOOKUP($U15,坦克部件!#REF!,MATCH("标准值",坦克部件!#REF!,0),FALSE)+VLOOKUP($O15,坦克部件!#REF!,MATCH("标准值",坦克部件!#REF!,0),FALSE))*$R15</f>
        <v>#REF!</v>
      </c>
      <c r="BG15" s="577">
        <f>VLOOKUP($F15,坦克属性统计!$B$3:$AY$33,MATCH(BG$3,坦克属性统计!$B$3:$AY$3,0),FALSE)</f>
        <v>3</v>
      </c>
      <c r="BH15" s="577">
        <f t="shared" si="5"/>
        <v>1.88</v>
      </c>
      <c r="BI15" s="577">
        <f t="shared" si="5"/>
        <v>3.6</v>
      </c>
      <c r="BJ15" s="577">
        <f t="shared" si="5"/>
        <v>0</v>
      </c>
      <c r="BK15" s="356">
        <f t="shared" si="13"/>
        <v>19.666666666666668</v>
      </c>
      <c r="BM15" s="271" t="e">
        <f t="shared" ca="1" si="6"/>
        <v>#REF!</v>
      </c>
    </row>
    <row r="16" spans="2:65" x14ac:dyDescent="0.35">
      <c r="B16" s="577">
        <v>13</v>
      </c>
      <c r="C16" s="577" t="e">
        <f t="shared" ref="C16:C17" ca="1" si="21">MAX(V16:X16)*0.65+MIN(V16:X16)*0.1225+(SUM(V16:X16)-MAX(V16:X16)-MIN(V16:X16))*0.2275</f>
        <v>#REF!</v>
      </c>
      <c r="D16" s="577" t="s">
        <v>617</v>
      </c>
      <c r="E16" s="577" t="s">
        <v>624</v>
      </c>
      <c r="F16" s="577" t="s">
        <v>630</v>
      </c>
      <c r="G16" s="577" t="str">
        <f>VLOOKUP(D16,坦克个性化设定!$B$18:$F$48,5,FALSE)</f>
        <v>轻坦半自动</v>
      </c>
      <c r="H16" s="577" t="str">
        <f>VLOOKUP(E16,坦克个性化设定!$B$18:$F$48,5,FALSE)</f>
        <v>中坦弹夹</v>
      </c>
      <c r="I16" s="577" t="str">
        <f>VLOOKUP(F16,坦克个性化设定!$B$18:$F$48,5,FALSE)</f>
        <v>重坦自动</v>
      </c>
      <c r="J16" s="577">
        <v>0</v>
      </c>
      <c r="K16" s="577">
        <v>0</v>
      </c>
      <c r="L16" s="577">
        <v>0</v>
      </c>
      <c r="M16" s="578" t="s">
        <v>2624</v>
      </c>
      <c r="N16" s="578" t="s">
        <v>2622</v>
      </c>
      <c r="O16" s="578" t="s">
        <v>2623</v>
      </c>
      <c r="P16" s="577">
        <v>6</v>
      </c>
      <c r="Q16" s="577">
        <v>6</v>
      </c>
      <c r="R16" s="577">
        <v>6</v>
      </c>
      <c r="S16" s="577">
        <v>20</v>
      </c>
      <c r="T16" s="577">
        <v>20</v>
      </c>
      <c r="U16" s="577">
        <v>20</v>
      </c>
      <c r="V16" s="357" t="e">
        <f t="shared" ref="V16:V17" ca="1" si="22">ROUND(SQRT(Y16*Z16*AK16/2+AVERAGE(AA16,AB16)*AC16*100),0)</f>
        <v>#REF!</v>
      </c>
      <c r="W16" s="357" t="e">
        <f t="shared" ref="W16:W17" ca="1" si="23">ROUND(SQRT(AL16*AM16*AX16/2+AVERAGE(AN16,AO16)*AP16*100),0)</f>
        <v>#REF!</v>
      </c>
      <c r="X16" s="357" t="e">
        <f t="shared" ref="X16:X17" ca="1" si="24">ROUND(SQRT(AY16*AZ16*BK16/2+AVERAGE(BA16,BB16)*BC16*100),0)</f>
        <v>#REF!</v>
      </c>
      <c r="Y16" s="577" t="e">
        <f ca="1">VLOOKUP($D16&amp;$J16,所有坦克升星属性,MATCH(Y$3,所有坦克升星属性标头,0),FALSE)+ROUND(AD16/VLOOKUP($D16,坦克部件!#REF!,4,FALSE)*VLOOKUP($D16&amp;0,所有坦克升星属性,MATCH(Y$3,所有坦克升星属性标头,0),FALSE),0)</f>
        <v>#REF!</v>
      </c>
      <c r="Z16" s="577" t="e">
        <f ca="1">VLOOKUP($D16&amp;$J16,所有坦克升星属性,MATCH(Z$3,所有坦克升星属性标头,0),FALSE)+ROUND(AE16/VLOOKUP($D16,坦克部件!#REF!,4,FALSE)*VLOOKUP($D16&amp;0,所有坦克升星属性,MATCH(Z$3,所有坦克升星属性标头,0),FALSE),0)</f>
        <v>#REF!</v>
      </c>
      <c r="AA16" s="577">
        <f t="shared" ca="1" si="0"/>
        <v>369</v>
      </c>
      <c r="AB16" s="577">
        <f t="shared" ca="1" si="0"/>
        <v>258</v>
      </c>
      <c r="AC16" s="577" t="e">
        <f ca="1">VLOOKUP($D16&amp;$J16,所有坦克升星属性,MATCH(AC$3,所有坦克升星属性标头,0),FALSE)+ROUND(AF16/VLOOKUP($D16,坦克部件!#REF!,4,FALSE)*VLOOKUP($D16&amp;0,所有坦克升星属性,MATCH(AC$3,所有坦克升星属性标头,0),FALSE),0)</f>
        <v>#REF!</v>
      </c>
      <c r="AD16" s="577" t="e">
        <f>(VLOOKUP($S16,坦克部件!#REF!,MATCH("标准值",坦克部件!#REF!,0),FALSE)+VLOOKUP($M16,坦克部件!#REF!,MATCH("标准值",坦克部件!#REF!,0),FALSE))*$P16</f>
        <v>#REF!</v>
      </c>
      <c r="AE16" s="577" t="e">
        <f>(VLOOKUP($S16,坦克部件!#REF!,MATCH("标准值",坦克部件!#REF!,0),FALSE)+VLOOKUP($M16,坦克部件!#REF!,MATCH("标准值",坦克部件!#REF!,0),FALSE))*$P16</f>
        <v>#REF!</v>
      </c>
      <c r="AF16" s="577" t="e">
        <f>(VLOOKUP($S16,坦克部件!#REF!,MATCH("标准值",坦克部件!#REF!,0),FALSE)+VLOOKUP($M16,坦克部件!#REF!,MATCH("标准值",坦克部件!#REF!,0),FALSE))*$P16</f>
        <v>#REF!</v>
      </c>
      <c r="AG16" s="577">
        <f>VLOOKUP($D16,坦克属性统计!$B$3:$AY$33,MATCH(AG$3,坦克属性统计!$B$3:$AY$3,0),FALSE)</f>
        <v>4</v>
      </c>
      <c r="AH16" s="577">
        <f t="shared" si="1"/>
        <v>0.4</v>
      </c>
      <c r="AI16" s="577">
        <f t="shared" si="1"/>
        <v>1.05</v>
      </c>
      <c r="AJ16" s="577">
        <f t="shared" si="1"/>
        <v>0</v>
      </c>
      <c r="AK16" s="356">
        <f t="shared" ref="AK16:AK17" si="25">IF(LEN(G16)=5,(60-(AG16-1)*AH16)/AI16+AG16,IF(RIGHT(G16,2)="弹夹",((60-(AG16-1)*AH16)/(AJ16+(AG16-1)*AH16)+1)*AG16,60/AI16+AG16))</f>
        <v>59.999999999999993</v>
      </c>
      <c r="AL16" s="577" t="e">
        <f ca="1">VLOOKUP($E16&amp;$K16,所有坦克升星属性,MATCH(AL$3,所有坦克升星属性标头,0),FALSE)+ROUND(AQ16/VLOOKUP($E16,坦克部件!#REF!,4,FALSE)*VLOOKUP($E16&amp;0,所有坦克升星属性,MATCH(AL$3,所有坦克升星属性标头,0),FALSE),0)</f>
        <v>#REF!</v>
      </c>
      <c r="AM16" s="577" t="e">
        <f ca="1">VLOOKUP($E16&amp;$K16,所有坦克升星属性,MATCH(AM$3,所有坦克升星属性标头,0),FALSE)+ROUND(AR16/VLOOKUP($E16,坦克部件!#REF!,4,FALSE)*VLOOKUP($E16&amp;0,所有坦克升星属性,MATCH(AM$3,所有坦克升星属性标头,0),FALSE),0)</f>
        <v>#REF!</v>
      </c>
      <c r="AN16" s="577">
        <f t="shared" ca="1" si="2"/>
        <v>343</v>
      </c>
      <c r="AO16" s="577">
        <f t="shared" ca="1" si="2"/>
        <v>257</v>
      </c>
      <c r="AP16" s="577" t="e">
        <f ca="1">VLOOKUP($E16&amp;$K16,所有坦克升星属性,MATCH(AP$3,所有坦克升星属性标头,0),FALSE)+ROUND(AS16/VLOOKUP($E16,坦克部件!#REF!,4,FALSE)*VLOOKUP($E16&amp;0,所有坦克升星属性,MATCH(AP$3,所有坦克升星属性标头,0),FALSE),0)</f>
        <v>#REF!</v>
      </c>
      <c r="AQ16" s="577" t="e">
        <f>(VLOOKUP($T16,坦克部件!#REF!,MATCH("标准值",坦克部件!#REF!,0),FALSE)+VLOOKUP($N16,坦克部件!#REF!,MATCH("标准值",坦克部件!#REF!,0),FALSE))*$Q16</f>
        <v>#REF!</v>
      </c>
      <c r="AR16" s="577" t="e">
        <f>(VLOOKUP($T16,坦克部件!#REF!,MATCH("标准值",坦克部件!#REF!,0),FALSE)+VLOOKUP($N16,坦克部件!#REF!,MATCH("标准值",坦克部件!#REF!,0),FALSE))*$Q16</f>
        <v>#REF!</v>
      </c>
      <c r="AS16" s="577" t="e">
        <f>(VLOOKUP($T16,坦克部件!#REF!,MATCH("标准值",坦克部件!#REF!,0),FALSE)+VLOOKUP($N16,坦克部件!#REF!,MATCH("标准值",坦克部件!#REF!,0),FALSE))*$Q16</f>
        <v>#REF!</v>
      </c>
      <c r="AT16" s="577">
        <f>VLOOKUP($E16,坦克属性统计!$B$3:$AY$33,MATCH(AT$3,坦克属性统计!$B$3:$AY$3,0),FALSE)</f>
        <v>6</v>
      </c>
      <c r="AU16" s="577">
        <f t="shared" si="3"/>
        <v>1.2</v>
      </c>
      <c r="AV16" s="577">
        <f t="shared" si="3"/>
        <v>0</v>
      </c>
      <c r="AW16" s="577">
        <f t="shared" si="3"/>
        <v>3</v>
      </c>
      <c r="AX16" s="356">
        <f t="shared" ref="AX16:AX17" si="26">IF(LEN(H16)=5,(60-(AT16-1)*AU16)/AV16+AT16,IF(RIGHT(H16,2)="弹夹",((60-(AT16-1)*AU16)/(AW16+(AT16-1)*AU16)+1)*AT16,60/AV16+AT16))</f>
        <v>42</v>
      </c>
      <c r="AY16" s="577" t="e">
        <f ca="1">VLOOKUP($F16&amp;$L16,所有坦克升星属性,MATCH(AY$3,所有坦克升星属性标头,0),FALSE)+ROUND(BD16/VLOOKUP($F16,坦克部件!#REF!,4,FALSE)*VLOOKUP($F16&amp;0,所有坦克升星属性,MATCH(AY$3,所有坦克升星属性标头,0),FALSE),0)</f>
        <v>#REF!</v>
      </c>
      <c r="AZ16" s="577" t="e">
        <f ca="1">VLOOKUP($F16&amp;$L16,所有坦克升星属性,MATCH(AZ$3,所有坦克升星属性标头,0),FALSE)+ROUND(BE16/VLOOKUP($F16,坦克部件!#REF!,4,FALSE)*VLOOKUP($F16&amp;0,所有坦克升星属性,MATCH(AZ$3,所有坦克升星属性标头,0),FALSE),0)</f>
        <v>#REF!</v>
      </c>
      <c r="BA16" s="577">
        <f t="shared" ca="1" si="4"/>
        <v>343</v>
      </c>
      <c r="BB16" s="577">
        <f t="shared" ca="1" si="4"/>
        <v>274</v>
      </c>
      <c r="BC16" s="577" t="e">
        <f ca="1">VLOOKUP($F16&amp;$L16,所有坦克升星属性,MATCH(BC$3,所有坦克升星属性标头,0),FALSE)+ROUND(BF16/VLOOKUP($F16,坦克部件!#REF!,4,FALSE)*VLOOKUP($F16&amp;0,所有坦克升星属性,MATCH(BC$3,所有坦克升星属性标头,0),FALSE),0)</f>
        <v>#REF!</v>
      </c>
      <c r="BD16" s="577" t="e">
        <f>(VLOOKUP($U16,坦克部件!#REF!,MATCH("标准值",坦克部件!#REF!,0),FALSE)+VLOOKUP($O16,坦克部件!#REF!,MATCH("标准值",坦克部件!#REF!,0),FALSE))*$R16</f>
        <v>#REF!</v>
      </c>
      <c r="BE16" s="577" t="e">
        <f>(VLOOKUP($U16,坦克部件!#REF!,MATCH("标准值",坦克部件!#REF!,0),FALSE)+VLOOKUP($O16,坦克部件!#REF!,MATCH("标准值",坦克部件!#REF!,0),FALSE))*$R16</f>
        <v>#REF!</v>
      </c>
      <c r="BF16" s="577" t="e">
        <f>(VLOOKUP($U16,坦克部件!#REF!,MATCH("标准值",坦克部件!#REF!,0),FALSE)+VLOOKUP($O16,坦克部件!#REF!,MATCH("标准值",坦克部件!#REF!,0),FALSE))*$R16</f>
        <v>#REF!</v>
      </c>
      <c r="BG16" s="577">
        <f>VLOOKUP($F16,坦克属性统计!$B$3:$AY$33,MATCH(BG$3,坦克属性统计!$B$3:$AY$3,0),FALSE)</f>
        <v>3</v>
      </c>
      <c r="BH16" s="577">
        <f t="shared" si="5"/>
        <v>1.88</v>
      </c>
      <c r="BI16" s="577">
        <f t="shared" si="5"/>
        <v>3.6</v>
      </c>
      <c r="BJ16" s="577">
        <f t="shared" si="5"/>
        <v>0</v>
      </c>
      <c r="BK16" s="356">
        <f t="shared" ref="BK16:BK17" si="27">IF(LEN(I16)=5,(60-(BG16-1)*BH16)/BI16+BG16,IF(RIGHT(I16,2)="弹夹",((60-(BG16-1)*BH16)/(BJ16+(BG16-1)*BH16)+1)*BG16,60/BI16+BG16))</f>
        <v>19.666666666666668</v>
      </c>
      <c r="BM16" s="271" t="e">
        <f t="shared" ca="1" si="6"/>
        <v>#REF!</v>
      </c>
    </row>
    <row r="17" spans="2:65" x14ac:dyDescent="0.35">
      <c r="B17" s="577">
        <v>14</v>
      </c>
      <c r="C17" s="577" t="e">
        <f t="shared" ca="1" si="21"/>
        <v>#REF!</v>
      </c>
      <c r="D17" s="577" t="s">
        <v>617</v>
      </c>
      <c r="E17" s="577" t="s">
        <v>626</v>
      </c>
      <c r="F17" s="577" t="s">
        <v>630</v>
      </c>
      <c r="G17" s="577" t="str">
        <f>VLOOKUP(D17,坦克个性化设定!$B$18:$F$48,5,FALSE)</f>
        <v>轻坦半自动</v>
      </c>
      <c r="H17" s="577" t="str">
        <f>VLOOKUP(E17,坦克个性化设定!$B$18:$F$48,5,FALSE)</f>
        <v>中坦单发</v>
      </c>
      <c r="I17" s="577" t="str">
        <f>VLOOKUP(F17,坦克个性化设定!$B$18:$F$48,5,FALSE)</f>
        <v>重坦自动</v>
      </c>
      <c r="J17" s="577">
        <v>0</v>
      </c>
      <c r="K17" s="577">
        <v>0</v>
      </c>
      <c r="L17" s="577">
        <v>0</v>
      </c>
      <c r="M17" s="578" t="s">
        <v>2624</v>
      </c>
      <c r="N17" s="578" t="s">
        <v>2625</v>
      </c>
      <c r="O17" s="578" t="s">
        <v>2624</v>
      </c>
      <c r="P17" s="577">
        <v>6</v>
      </c>
      <c r="Q17" s="577">
        <v>6</v>
      </c>
      <c r="R17" s="577">
        <v>6</v>
      </c>
      <c r="S17" s="577">
        <v>20</v>
      </c>
      <c r="T17" s="577">
        <v>20</v>
      </c>
      <c r="U17" s="577">
        <v>20</v>
      </c>
      <c r="V17" s="357" t="e">
        <f t="shared" ca="1" si="22"/>
        <v>#REF!</v>
      </c>
      <c r="W17" s="357" t="e">
        <f t="shared" ca="1" si="23"/>
        <v>#REF!</v>
      </c>
      <c r="X17" s="357" t="e">
        <f t="shared" ca="1" si="24"/>
        <v>#REF!</v>
      </c>
      <c r="Y17" s="577" t="e">
        <f ca="1">VLOOKUP($D17&amp;$J17,所有坦克升星属性,MATCH(Y$3,所有坦克升星属性标头,0),FALSE)+ROUND(AD17/VLOOKUP($D17,坦克部件!#REF!,4,FALSE)*VLOOKUP($D17&amp;0,所有坦克升星属性,MATCH(Y$3,所有坦克升星属性标头,0),FALSE),0)</f>
        <v>#REF!</v>
      </c>
      <c r="Z17" s="577" t="e">
        <f ca="1">VLOOKUP($D17&amp;$J17,所有坦克升星属性,MATCH(Z$3,所有坦克升星属性标头,0),FALSE)+ROUND(AE17/VLOOKUP($D17,坦克部件!#REF!,4,FALSE)*VLOOKUP($D17&amp;0,所有坦克升星属性,MATCH(Z$3,所有坦克升星属性标头,0),FALSE),0)</f>
        <v>#REF!</v>
      </c>
      <c r="AA17" s="577">
        <f t="shared" ca="1" si="0"/>
        <v>369</v>
      </c>
      <c r="AB17" s="577">
        <f t="shared" ca="1" si="0"/>
        <v>258</v>
      </c>
      <c r="AC17" s="577" t="e">
        <f ca="1">VLOOKUP($D17&amp;$J17,所有坦克升星属性,MATCH(AC$3,所有坦克升星属性标头,0),FALSE)+ROUND(AF17/VLOOKUP($D17,坦克部件!#REF!,4,FALSE)*VLOOKUP($D17&amp;0,所有坦克升星属性,MATCH(AC$3,所有坦克升星属性标头,0),FALSE),0)</f>
        <v>#REF!</v>
      </c>
      <c r="AD17" s="577" t="e">
        <f>(VLOOKUP($S17,坦克部件!#REF!,MATCH("标准值",坦克部件!#REF!,0),FALSE)+VLOOKUP($M17,坦克部件!#REF!,MATCH("标准值",坦克部件!#REF!,0),FALSE))*$P17</f>
        <v>#REF!</v>
      </c>
      <c r="AE17" s="577" t="e">
        <f>(VLOOKUP($S17,坦克部件!#REF!,MATCH("标准值",坦克部件!#REF!,0),FALSE)+VLOOKUP($M17,坦克部件!#REF!,MATCH("标准值",坦克部件!#REF!,0),FALSE))*$P17</f>
        <v>#REF!</v>
      </c>
      <c r="AF17" s="577" t="e">
        <f>(VLOOKUP($S17,坦克部件!#REF!,MATCH("标准值",坦克部件!#REF!,0),FALSE)+VLOOKUP($M17,坦克部件!#REF!,MATCH("标准值",坦克部件!#REF!,0),FALSE))*$P17</f>
        <v>#REF!</v>
      </c>
      <c r="AG17" s="577">
        <f>VLOOKUP($D17,坦克属性统计!$B$3:$AY$33,MATCH(AG$3,坦克属性统计!$B$3:$AY$3,0),FALSE)</f>
        <v>4</v>
      </c>
      <c r="AH17" s="577">
        <f t="shared" si="1"/>
        <v>0.4</v>
      </c>
      <c r="AI17" s="577">
        <f t="shared" si="1"/>
        <v>1.05</v>
      </c>
      <c r="AJ17" s="577">
        <f t="shared" si="1"/>
        <v>0</v>
      </c>
      <c r="AK17" s="356">
        <f t="shared" si="25"/>
        <v>59.999999999999993</v>
      </c>
      <c r="AL17" s="577" t="e">
        <f ca="1">VLOOKUP($E17&amp;$K17,所有坦克升星属性,MATCH(AL$3,所有坦克升星属性标头,0),FALSE)+ROUND(AQ17/VLOOKUP($E17,坦克部件!#REF!,4,FALSE)*VLOOKUP($E17&amp;0,所有坦克升星属性,MATCH(AL$3,所有坦克升星属性标头,0),FALSE),0)</f>
        <v>#REF!</v>
      </c>
      <c r="AM17" s="577" t="e">
        <f ca="1">VLOOKUP($E17&amp;$K17,所有坦克升星属性,MATCH(AM$3,所有坦克升星属性标头,0),FALSE)+ROUND(AR17/VLOOKUP($E17,坦克部件!#REF!,4,FALSE)*VLOOKUP($E17&amp;0,所有坦克升星属性,MATCH(AM$3,所有坦克升星属性标头,0),FALSE),0)</f>
        <v>#REF!</v>
      </c>
      <c r="AN17" s="577">
        <f t="shared" ca="1" si="2"/>
        <v>404</v>
      </c>
      <c r="AO17" s="577">
        <f t="shared" ca="1" si="2"/>
        <v>303</v>
      </c>
      <c r="AP17" s="577" t="e">
        <f ca="1">VLOOKUP($E17&amp;$K17,所有坦克升星属性,MATCH(AP$3,所有坦克升星属性标头,0),FALSE)+ROUND(AS17/VLOOKUP($E17,坦克部件!#REF!,4,FALSE)*VLOOKUP($E17&amp;0,所有坦克升星属性,MATCH(AP$3,所有坦克升星属性标头,0),FALSE),0)</f>
        <v>#REF!</v>
      </c>
      <c r="AQ17" s="577" t="e">
        <f>(VLOOKUP($T17,坦克部件!#REF!,MATCH("标准值",坦克部件!#REF!,0),FALSE)+VLOOKUP($N17,坦克部件!#REF!,MATCH("标准值",坦克部件!#REF!,0),FALSE))*$Q17</f>
        <v>#REF!</v>
      </c>
      <c r="AR17" s="577" t="e">
        <f>(VLOOKUP($T17,坦克部件!#REF!,MATCH("标准值",坦克部件!#REF!,0),FALSE)+VLOOKUP($N17,坦克部件!#REF!,MATCH("标准值",坦克部件!#REF!,0),FALSE))*$Q17</f>
        <v>#REF!</v>
      </c>
      <c r="AS17" s="577" t="e">
        <f>(VLOOKUP($T17,坦克部件!#REF!,MATCH("标准值",坦克部件!#REF!,0),FALSE)+VLOOKUP($N17,坦克部件!#REF!,MATCH("标准值",坦克部件!#REF!,0),FALSE))*$Q17</f>
        <v>#REF!</v>
      </c>
      <c r="AT17" s="577">
        <f>VLOOKUP($E17,坦克属性统计!$B$3:$AY$33,MATCH(AT$3,坦克属性统计!$B$3:$AY$3,0),FALSE)</f>
        <v>1</v>
      </c>
      <c r="AU17" s="577">
        <f t="shared" si="3"/>
        <v>0</v>
      </c>
      <c r="AV17" s="577">
        <f t="shared" si="3"/>
        <v>4.5</v>
      </c>
      <c r="AW17" s="577">
        <f t="shared" si="3"/>
        <v>0</v>
      </c>
      <c r="AX17" s="356">
        <f t="shared" si="26"/>
        <v>14.333333333333334</v>
      </c>
      <c r="AY17" s="577" t="e">
        <f ca="1">VLOOKUP($F17&amp;$L17,所有坦克升星属性,MATCH(AY$3,所有坦克升星属性标头,0),FALSE)+ROUND(BD17/VLOOKUP($F17,坦克部件!#REF!,4,FALSE)*VLOOKUP($F17&amp;0,所有坦克升星属性,MATCH(AY$3,所有坦克升星属性标头,0),FALSE),0)</f>
        <v>#REF!</v>
      </c>
      <c r="AZ17" s="577" t="e">
        <f ca="1">VLOOKUP($F17&amp;$L17,所有坦克升星属性,MATCH(AZ$3,所有坦克升星属性标头,0),FALSE)+ROUND(BE17/VLOOKUP($F17,坦克部件!#REF!,4,FALSE)*VLOOKUP($F17&amp;0,所有坦克升星属性,MATCH(AZ$3,所有坦克升星属性标头,0),FALSE),0)</f>
        <v>#REF!</v>
      </c>
      <c r="BA17" s="577">
        <f t="shared" ca="1" si="4"/>
        <v>343</v>
      </c>
      <c r="BB17" s="577">
        <f t="shared" ca="1" si="4"/>
        <v>274</v>
      </c>
      <c r="BC17" s="577" t="e">
        <f ca="1">VLOOKUP($F17&amp;$L17,所有坦克升星属性,MATCH(BC$3,所有坦克升星属性标头,0),FALSE)+ROUND(BF17/VLOOKUP($F17,坦克部件!#REF!,4,FALSE)*VLOOKUP($F17&amp;0,所有坦克升星属性,MATCH(BC$3,所有坦克升星属性标头,0),FALSE),0)</f>
        <v>#REF!</v>
      </c>
      <c r="BD17" s="577" t="e">
        <f>(VLOOKUP($U17,坦克部件!#REF!,MATCH("标准值",坦克部件!#REF!,0),FALSE)+VLOOKUP($O17,坦克部件!#REF!,MATCH("标准值",坦克部件!#REF!,0),FALSE))*$R17</f>
        <v>#REF!</v>
      </c>
      <c r="BE17" s="577" t="e">
        <f>(VLOOKUP($U17,坦克部件!#REF!,MATCH("标准值",坦克部件!#REF!,0),FALSE)+VLOOKUP($O17,坦克部件!#REF!,MATCH("标准值",坦克部件!#REF!,0),FALSE))*$R17</f>
        <v>#REF!</v>
      </c>
      <c r="BF17" s="577" t="e">
        <f>(VLOOKUP($U17,坦克部件!#REF!,MATCH("标准值",坦克部件!#REF!,0),FALSE)+VLOOKUP($O17,坦克部件!#REF!,MATCH("标准值",坦克部件!#REF!,0),FALSE))*$R17</f>
        <v>#REF!</v>
      </c>
      <c r="BG17" s="577">
        <f>VLOOKUP($F17,坦克属性统计!$B$3:$AY$33,MATCH(BG$3,坦克属性统计!$B$3:$AY$3,0),FALSE)</f>
        <v>3</v>
      </c>
      <c r="BH17" s="577">
        <f t="shared" si="5"/>
        <v>1.88</v>
      </c>
      <c r="BI17" s="577">
        <f t="shared" si="5"/>
        <v>3.6</v>
      </c>
      <c r="BJ17" s="577">
        <f t="shared" si="5"/>
        <v>0</v>
      </c>
      <c r="BK17" s="356">
        <f t="shared" si="27"/>
        <v>19.666666666666668</v>
      </c>
      <c r="BM17" s="271" t="e">
        <f t="shared" ca="1" si="6"/>
        <v>#REF!</v>
      </c>
    </row>
    <row r="18" spans="2:65" x14ac:dyDescent="0.35">
      <c r="B18" s="577">
        <v>15</v>
      </c>
      <c r="C18" s="577" t="e">
        <f t="shared" ca="1" si="7"/>
        <v>#REF!</v>
      </c>
      <c r="D18" s="577" t="s">
        <v>617</v>
      </c>
      <c r="E18" s="577" t="s">
        <v>626</v>
      </c>
      <c r="F18" s="577" t="s">
        <v>630</v>
      </c>
      <c r="G18" s="577" t="str">
        <f>VLOOKUP(D18,坦克个性化设定!$B$18:$F$48,5,FALSE)</f>
        <v>轻坦半自动</v>
      </c>
      <c r="H18" s="577" t="str">
        <f>VLOOKUP(E18,坦克个性化设定!$B$18:$F$48,5,FALSE)</f>
        <v>中坦单发</v>
      </c>
      <c r="I18" s="577" t="str">
        <f>VLOOKUP(F18,坦克个性化设定!$B$18:$F$48,5,FALSE)</f>
        <v>重坦自动</v>
      </c>
      <c r="J18" s="577">
        <v>1</v>
      </c>
      <c r="K18" s="577">
        <v>0</v>
      </c>
      <c r="L18" s="577">
        <v>0</v>
      </c>
      <c r="M18" s="578" t="s">
        <v>2648</v>
      </c>
      <c r="N18" s="578" t="s">
        <v>2624</v>
      </c>
      <c r="O18" s="578" t="s">
        <v>2649</v>
      </c>
      <c r="P18" s="577">
        <v>6</v>
      </c>
      <c r="Q18" s="577">
        <v>6</v>
      </c>
      <c r="R18" s="577">
        <v>6</v>
      </c>
      <c r="S18" s="577">
        <v>20</v>
      </c>
      <c r="T18" s="577">
        <v>20</v>
      </c>
      <c r="U18" s="577">
        <v>20</v>
      </c>
      <c r="V18" s="357" t="e">
        <f t="shared" ca="1" si="8"/>
        <v>#REF!</v>
      </c>
      <c r="W18" s="357" t="e">
        <f t="shared" ca="1" si="9"/>
        <v>#REF!</v>
      </c>
      <c r="X18" s="357" t="e">
        <f t="shared" ca="1" si="10"/>
        <v>#REF!</v>
      </c>
      <c r="Y18" s="577" t="e">
        <f ca="1">VLOOKUP($D18&amp;$J18,所有坦克升星属性,MATCH(Y$3,所有坦克升星属性标头,0),FALSE)+ROUND(AD18/VLOOKUP($D18,坦克部件!#REF!,4,FALSE)*VLOOKUP($D18&amp;0,所有坦克升星属性,MATCH(Y$3,所有坦克升星属性标头,0),FALSE),0)</f>
        <v>#REF!</v>
      </c>
      <c r="Z18" s="577" t="e">
        <f ca="1">VLOOKUP($D18&amp;$J18,所有坦克升星属性,MATCH(Z$3,所有坦克升星属性标头,0),FALSE)+ROUND(AE18/VLOOKUP($D18,坦克部件!#REF!,4,FALSE)*VLOOKUP($D18&amp;0,所有坦克升星属性,MATCH(Z$3,所有坦克升星属性标头,0),FALSE),0)</f>
        <v>#REF!</v>
      </c>
      <c r="AA18" s="577">
        <f t="shared" ca="1" si="0"/>
        <v>397</v>
      </c>
      <c r="AB18" s="577">
        <f t="shared" ca="1" si="0"/>
        <v>277</v>
      </c>
      <c r="AC18" s="577" t="e">
        <f ca="1">VLOOKUP($D18&amp;$J18,所有坦克升星属性,MATCH(AC$3,所有坦克升星属性标头,0),FALSE)+ROUND(AF18/VLOOKUP($D18,坦克部件!#REF!,4,FALSE)*VLOOKUP($D18&amp;0,所有坦克升星属性,MATCH(AC$3,所有坦克升星属性标头,0),FALSE),0)</f>
        <v>#REF!</v>
      </c>
      <c r="AD18" s="577" t="e">
        <f>(VLOOKUP($S18,坦克部件!#REF!,MATCH("标准值",坦克部件!#REF!,0),FALSE)+VLOOKUP($M18,坦克部件!#REF!,MATCH("标准值",坦克部件!#REF!,0),FALSE))*$P18</f>
        <v>#REF!</v>
      </c>
      <c r="AE18" s="577" t="e">
        <f>(VLOOKUP($S18,坦克部件!#REF!,MATCH("标准值",坦克部件!#REF!,0),FALSE)+VLOOKUP($M18,坦克部件!#REF!,MATCH("标准值",坦克部件!#REF!,0),FALSE))*$P18</f>
        <v>#REF!</v>
      </c>
      <c r="AF18" s="577" t="e">
        <f>(VLOOKUP($S18,坦克部件!#REF!,MATCH("标准值",坦克部件!#REF!,0),FALSE)+VLOOKUP($M18,坦克部件!#REF!,MATCH("标准值",坦克部件!#REF!,0),FALSE))*$P18</f>
        <v>#REF!</v>
      </c>
      <c r="AG18" s="577">
        <f>VLOOKUP($D18,坦克属性统计!$B$3:$AY$33,MATCH(AG$3,坦克属性统计!$B$3:$AY$3,0),FALSE)</f>
        <v>4</v>
      </c>
      <c r="AH18" s="577">
        <f t="shared" si="1"/>
        <v>0.4</v>
      </c>
      <c r="AI18" s="577">
        <f t="shared" si="1"/>
        <v>1.03</v>
      </c>
      <c r="AJ18" s="577">
        <f t="shared" si="1"/>
        <v>0</v>
      </c>
      <c r="AK18" s="356">
        <f t="shared" si="11"/>
        <v>61.087378640776691</v>
      </c>
      <c r="AL18" s="577" t="e">
        <f ca="1">VLOOKUP($E18&amp;$K18,所有坦克升星属性,MATCH(AL$3,所有坦克升星属性标头,0),FALSE)+ROUND(AQ18/VLOOKUP($E18,坦克部件!#REF!,4,FALSE)*VLOOKUP($E18&amp;0,所有坦克升星属性,MATCH(AL$3,所有坦克升星属性标头,0),FALSE),0)</f>
        <v>#REF!</v>
      </c>
      <c r="AM18" s="577" t="e">
        <f ca="1">VLOOKUP($E18&amp;$K18,所有坦克升星属性,MATCH(AM$3,所有坦克升星属性标头,0),FALSE)+ROUND(AR18/VLOOKUP($E18,坦克部件!#REF!,4,FALSE)*VLOOKUP($E18&amp;0,所有坦克升星属性,MATCH(AM$3,所有坦克升星属性标头,0),FALSE),0)</f>
        <v>#REF!</v>
      </c>
      <c r="AN18" s="577">
        <f t="shared" ca="1" si="2"/>
        <v>404</v>
      </c>
      <c r="AO18" s="577">
        <f t="shared" ca="1" si="2"/>
        <v>303</v>
      </c>
      <c r="AP18" s="577" t="e">
        <f ca="1">VLOOKUP($E18&amp;$K18,所有坦克升星属性,MATCH(AP$3,所有坦克升星属性标头,0),FALSE)+ROUND(AS18/VLOOKUP($E18,坦克部件!#REF!,4,FALSE)*VLOOKUP($E18&amp;0,所有坦克升星属性,MATCH(AP$3,所有坦克升星属性标头,0),FALSE),0)</f>
        <v>#REF!</v>
      </c>
      <c r="AQ18" s="577" t="e">
        <f>(VLOOKUP($T18,坦克部件!#REF!,MATCH("标准值",坦克部件!#REF!,0),FALSE)+VLOOKUP($N18,坦克部件!#REF!,MATCH("标准值",坦克部件!#REF!,0),FALSE))*$Q18</f>
        <v>#REF!</v>
      </c>
      <c r="AR18" s="577" t="e">
        <f>(VLOOKUP($T18,坦克部件!#REF!,MATCH("标准值",坦克部件!#REF!,0),FALSE)+VLOOKUP($N18,坦克部件!#REF!,MATCH("标准值",坦克部件!#REF!,0),FALSE))*$Q18</f>
        <v>#REF!</v>
      </c>
      <c r="AS18" s="577" t="e">
        <f>(VLOOKUP($T18,坦克部件!#REF!,MATCH("标准值",坦克部件!#REF!,0),FALSE)+VLOOKUP($N18,坦克部件!#REF!,MATCH("标准值",坦克部件!#REF!,0),FALSE))*$Q18</f>
        <v>#REF!</v>
      </c>
      <c r="AT18" s="577">
        <f>VLOOKUP($E18,坦克属性统计!$B$3:$AY$33,MATCH(AT$3,坦克属性统计!$B$3:$AY$3,0),FALSE)</f>
        <v>1</v>
      </c>
      <c r="AU18" s="577">
        <f t="shared" si="3"/>
        <v>0</v>
      </c>
      <c r="AV18" s="577">
        <f t="shared" si="3"/>
        <v>4.5</v>
      </c>
      <c r="AW18" s="577">
        <f t="shared" si="3"/>
        <v>0</v>
      </c>
      <c r="AX18" s="356">
        <f t="shared" si="12"/>
        <v>14.333333333333334</v>
      </c>
      <c r="AY18" s="577" t="e">
        <f ca="1">VLOOKUP($F18&amp;$L18,所有坦克升星属性,MATCH(AY$3,所有坦克升星属性标头,0),FALSE)+ROUND(BD18/VLOOKUP($F18,坦克部件!#REF!,4,FALSE)*VLOOKUP($F18&amp;0,所有坦克升星属性,MATCH(AY$3,所有坦克升星属性标头,0),FALSE),0)</f>
        <v>#REF!</v>
      </c>
      <c r="AZ18" s="577" t="e">
        <f ca="1">VLOOKUP($F18&amp;$L18,所有坦克升星属性,MATCH(AZ$3,所有坦克升星属性标头,0),FALSE)+ROUND(BE18/VLOOKUP($F18,坦克部件!#REF!,4,FALSE)*VLOOKUP($F18&amp;0,所有坦克升星属性,MATCH(AZ$3,所有坦克升星属性标头,0),FALSE),0)</f>
        <v>#REF!</v>
      </c>
      <c r="BA18" s="577">
        <f t="shared" ca="1" si="4"/>
        <v>343</v>
      </c>
      <c r="BB18" s="577">
        <f t="shared" ca="1" si="4"/>
        <v>274</v>
      </c>
      <c r="BC18" s="577" t="e">
        <f ca="1">VLOOKUP($F18&amp;$L18,所有坦克升星属性,MATCH(BC$3,所有坦克升星属性标头,0),FALSE)+ROUND(BF18/VLOOKUP($F18,坦克部件!#REF!,4,FALSE)*VLOOKUP($F18&amp;0,所有坦克升星属性,MATCH(BC$3,所有坦克升星属性标头,0),FALSE),0)</f>
        <v>#REF!</v>
      </c>
      <c r="BD18" s="577" t="e">
        <f>(VLOOKUP($U18,坦克部件!#REF!,MATCH("标准值",坦克部件!#REF!,0),FALSE)+VLOOKUP($O18,坦克部件!#REF!,MATCH("标准值",坦克部件!#REF!,0),FALSE))*$R18</f>
        <v>#REF!</v>
      </c>
      <c r="BE18" s="577" t="e">
        <f>(VLOOKUP($U18,坦克部件!#REF!,MATCH("标准值",坦克部件!#REF!,0),FALSE)+VLOOKUP($O18,坦克部件!#REF!,MATCH("标准值",坦克部件!#REF!,0),FALSE))*$R18</f>
        <v>#REF!</v>
      </c>
      <c r="BF18" s="577" t="e">
        <f>(VLOOKUP($U18,坦克部件!#REF!,MATCH("标准值",坦克部件!#REF!,0),FALSE)+VLOOKUP($O18,坦克部件!#REF!,MATCH("标准值",坦克部件!#REF!,0),FALSE))*$R18</f>
        <v>#REF!</v>
      </c>
      <c r="BG18" s="577">
        <f>VLOOKUP($F18,坦克属性统计!$B$3:$AY$33,MATCH(BG$3,坦克属性统计!$B$3:$AY$3,0),FALSE)</f>
        <v>3</v>
      </c>
      <c r="BH18" s="577">
        <f t="shared" si="5"/>
        <v>1.88</v>
      </c>
      <c r="BI18" s="577">
        <f t="shared" si="5"/>
        <v>3.6</v>
      </c>
      <c r="BJ18" s="577">
        <f t="shared" si="5"/>
        <v>0</v>
      </c>
      <c r="BK18" s="356">
        <f t="shared" si="13"/>
        <v>19.666666666666668</v>
      </c>
      <c r="BM18" s="271" t="e">
        <f t="shared" ca="1" si="6"/>
        <v>#REF!</v>
      </c>
    </row>
    <row r="19" spans="2:65" x14ac:dyDescent="0.35">
      <c r="B19" s="577">
        <v>16</v>
      </c>
      <c r="C19" s="577" t="e">
        <f t="shared" ca="1" si="7"/>
        <v>#REF!</v>
      </c>
      <c r="D19" s="577" t="s">
        <v>617</v>
      </c>
      <c r="E19" s="577" t="s">
        <v>626</v>
      </c>
      <c r="F19" s="577" t="s">
        <v>631</v>
      </c>
      <c r="G19" s="577" t="str">
        <f>VLOOKUP(D19,坦克个性化设定!$B$18:$F$48,5,FALSE)</f>
        <v>轻坦半自动</v>
      </c>
      <c r="H19" s="577" t="str">
        <f>VLOOKUP(E19,坦克个性化设定!$B$18:$F$48,5,FALSE)</f>
        <v>中坦单发</v>
      </c>
      <c r="I19" s="577" t="str">
        <f>VLOOKUP(F19,坦克个性化设定!$B$18:$F$48,5,FALSE)</f>
        <v>重坦单发</v>
      </c>
      <c r="J19" s="577">
        <v>1</v>
      </c>
      <c r="K19" s="577">
        <v>0</v>
      </c>
      <c r="L19" s="577">
        <v>0</v>
      </c>
      <c r="M19" s="578" t="s">
        <v>2626</v>
      </c>
      <c r="N19" s="578" t="s">
        <v>2626</v>
      </c>
      <c r="O19" s="578" t="s">
        <v>2650</v>
      </c>
      <c r="P19" s="577">
        <v>6</v>
      </c>
      <c r="Q19" s="577">
        <v>6</v>
      </c>
      <c r="R19" s="577">
        <v>6</v>
      </c>
      <c r="S19" s="577">
        <v>20</v>
      </c>
      <c r="T19" s="577">
        <v>20</v>
      </c>
      <c r="U19" s="577">
        <v>20</v>
      </c>
      <c r="V19" s="357" t="e">
        <f t="shared" ca="1" si="8"/>
        <v>#REF!</v>
      </c>
      <c r="W19" s="357" t="e">
        <f t="shared" ca="1" si="9"/>
        <v>#REF!</v>
      </c>
      <c r="X19" s="357" t="e">
        <f t="shared" ca="1" si="10"/>
        <v>#REF!</v>
      </c>
      <c r="Y19" s="577" t="e">
        <f ca="1">VLOOKUP($D19&amp;$J19,所有坦克升星属性,MATCH(Y$3,所有坦克升星属性标头,0),FALSE)+ROUND(AD19/VLOOKUP($D19,坦克部件!#REF!,4,FALSE)*VLOOKUP($D19&amp;0,所有坦克升星属性,MATCH(Y$3,所有坦克升星属性标头,0),FALSE),0)</f>
        <v>#REF!</v>
      </c>
      <c r="Z19" s="577" t="e">
        <f ca="1">VLOOKUP($D19&amp;$J19,所有坦克升星属性,MATCH(Z$3,所有坦克升星属性标头,0),FALSE)+ROUND(AE19/VLOOKUP($D19,坦克部件!#REF!,4,FALSE)*VLOOKUP($D19&amp;0,所有坦克升星属性,MATCH(Z$3,所有坦克升星属性标头,0),FALSE),0)</f>
        <v>#REF!</v>
      </c>
      <c r="AA19" s="577">
        <f t="shared" ca="1" si="0"/>
        <v>397</v>
      </c>
      <c r="AB19" s="577">
        <f t="shared" ca="1" si="0"/>
        <v>277</v>
      </c>
      <c r="AC19" s="577" t="e">
        <f ca="1">VLOOKUP($D19&amp;$J19,所有坦克升星属性,MATCH(AC$3,所有坦克升星属性标头,0),FALSE)+ROUND(AF19/VLOOKUP($D19,坦克部件!#REF!,4,FALSE)*VLOOKUP($D19&amp;0,所有坦克升星属性,MATCH(AC$3,所有坦克升星属性标头,0),FALSE),0)</f>
        <v>#REF!</v>
      </c>
      <c r="AD19" s="577" t="e">
        <f>(VLOOKUP($S19,坦克部件!#REF!,MATCH("标准值",坦克部件!#REF!,0),FALSE)+VLOOKUP($M19,坦克部件!#REF!,MATCH("标准值",坦克部件!#REF!,0),FALSE))*$P19</f>
        <v>#REF!</v>
      </c>
      <c r="AE19" s="577" t="e">
        <f>(VLOOKUP($S19,坦克部件!#REF!,MATCH("标准值",坦克部件!#REF!,0),FALSE)+VLOOKUP($M19,坦克部件!#REF!,MATCH("标准值",坦克部件!#REF!,0),FALSE))*$P19</f>
        <v>#REF!</v>
      </c>
      <c r="AF19" s="577" t="e">
        <f>(VLOOKUP($S19,坦克部件!#REF!,MATCH("标准值",坦克部件!#REF!,0),FALSE)+VLOOKUP($M19,坦克部件!#REF!,MATCH("标准值",坦克部件!#REF!,0),FALSE))*$P19</f>
        <v>#REF!</v>
      </c>
      <c r="AG19" s="577">
        <f>VLOOKUP($D19,坦克属性统计!$B$3:$AY$33,MATCH(AG$3,坦克属性统计!$B$3:$AY$3,0),FALSE)</f>
        <v>4</v>
      </c>
      <c r="AH19" s="577">
        <f t="shared" si="1"/>
        <v>0.4</v>
      </c>
      <c r="AI19" s="577">
        <f t="shared" si="1"/>
        <v>1.03</v>
      </c>
      <c r="AJ19" s="577">
        <f t="shared" si="1"/>
        <v>0</v>
      </c>
      <c r="AK19" s="356">
        <f t="shared" si="11"/>
        <v>61.087378640776691</v>
      </c>
      <c r="AL19" s="577" t="e">
        <f ca="1">VLOOKUP($E19&amp;$K19,所有坦克升星属性,MATCH(AL$3,所有坦克升星属性标头,0),FALSE)+ROUND(AQ19/VLOOKUP($E19,坦克部件!#REF!,4,FALSE)*VLOOKUP($E19&amp;0,所有坦克升星属性,MATCH(AL$3,所有坦克升星属性标头,0),FALSE),0)</f>
        <v>#REF!</v>
      </c>
      <c r="AM19" s="577" t="e">
        <f ca="1">VLOOKUP($E19&amp;$K19,所有坦克升星属性,MATCH(AM$3,所有坦克升星属性标头,0),FALSE)+ROUND(AR19/VLOOKUP($E19,坦克部件!#REF!,4,FALSE)*VLOOKUP($E19&amp;0,所有坦克升星属性,MATCH(AM$3,所有坦克升星属性标头,0),FALSE),0)</f>
        <v>#REF!</v>
      </c>
      <c r="AN19" s="577">
        <f t="shared" ca="1" si="2"/>
        <v>404</v>
      </c>
      <c r="AO19" s="577">
        <f t="shared" ca="1" si="2"/>
        <v>303</v>
      </c>
      <c r="AP19" s="577" t="e">
        <f ca="1">VLOOKUP($E19&amp;$K19,所有坦克升星属性,MATCH(AP$3,所有坦克升星属性标头,0),FALSE)+ROUND(AS19/VLOOKUP($E19,坦克部件!#REF!,4,FALSE)*VLOOKUP($E19&amp;0,所有坦克升星属性,MATCH(AP$3,所有坦克升星属性标头,0),FALSE),0)</f>
        <v>#REF!</v>
      </c>
      <c r="AQ19" s="577" t="e">
        <f>(VLOOKUP($T19,坦克部件!#REF!,MATCH("标准值",坦克部件!#REF!,0),FALSE)+VLOOKUP($N19,坦克部件!#REF!,MATCH("标准值",坦克部件!#REF!,0),FALSE))*$Q19</f>
        <v>#REF!</v>
      </c>
      <c r="AR19" s="577" t="e">
        <f>(VLOOKUP($T19,坦克部件!#REF!,MATCH("标准值",坦克部件!#REF!,0),FALSE)+VLOOKUP($N19,坦克部件!#REF!,MATCH("标准值",坦克部件!#REF!,0),FALSE))*$Q19</f>
        <v>#REF!</v>
      </c>
      <c r="AS19" s="577" t="e">
        <f>(VLOOKUP($T19,坦克部件!#REF!,MATCH("标准值",坦克部件!#REF!,0),FALSE)+VLOOKUP($N19,坦克部件!#REF!,MATCH("标准值",坦克部件!#REF!,0),FALSE))*$Q19</f>
        <v>#REF!</v>
      </c>
      <c r="AT19" s="577">
        <f>VLOOKUP($E19,坦克属性统计!$B$3:$AY$33,MATCH(AT$3,坦克属性统计!$B$3:$AY$3,0),FALSE)</f>
        <v>1</v>
      </c>
      <c r="AU19" s="577">
        <f t="shared" si="3"/>
        <v>0</v>
      </c>
      <c r="AV19" s="577">
        <f t="shared" si="3"/>
        <v>4.5</v>
      </c>
      <c r="AW19" s="577">
        <f t="shared" si="3"/>
        <v>0</v>
      </c>
      <c r="AX19" s="356">
        <f t="shared" si="12"/>
        <v>14.333333333333334</v>
      </c>
      <c r="AY19" s="577" t="e">
        <f ca="1">VLOOKUP($F19&amp;$L19,所有坦克升星属性,MATCH(AY$3,所有坦克升星属性标头,0),FALSE)+ROUND(BD19/VLOOKUP($F19,坦克部件!#REF!,4,FALSE)*VLOOKUP($F19&amp;0,所有坦克升星属性,MATCH(AY$3,所有坦克升星属性标头,0),FALSE),0)</f>
        <v>#REF!</v>
      </c>
      <c r="AZ19" s="577" t="e">
        <f ca="1">VLOOKUP($F19&amp;$L19,所有坦克升星属性,MATCH(AZ$3,所有坦克升星属性标头,0),FALSE)+ROUND(BE19/VLOOKUP($F19,坦克部件!#REF!,4,FALSE)*VLOOKUP($F19&amp;0,所有坦克升星属性,MATCH(AZ$3,所有坦克升星属性标头,0),FALSE),0)</f>
        <v>#REF!</v>
      </c>
      <c r="BA19" s="577">
        <f t="shared" ca="1" si="4"/>
        <v>387</v>
      </c>
      <c r="BB19" s="577">
        <f t="shared" ca="1" si="4"/>
        <v>309</v>
      </c>
      <c r="BC19" s="577" t="e">
        <f ca="1">VLOOKUP($F19&amp;$L19,所有坦克升星属性,MATCH(BC$3,所有坦克升星属性标头,0),FALSE)+ROUND(BF19/VLOOKUP($F19,坦克部件!#REF!,4,FALSE)*VLOOKUP($F19&amp;0,所有坦克升星属性,MATCH(BC$3,所有坦克升星属性标头,0),FALSE),0)</f>
        <v>#REF!</v>
      </c>
      <c r="BD19" s="577" t="e">
        <f>(VLOOKUP($U19,坦克部件!#REF!,MATCH("标准值",坦克部件!#REF!,0),FALSE)+VLOOKUP($O19,坦克部件!#REF!,MATCH("标准值",坦克部件!#REF!,0),FALSE))*$R19</f>
        <v>#REF!</v>
      </c>
      <c r="BE19" s="577" t="e">
        <f>(VLOOKUP($U19,坦克部件!#REF!,MATCH("标准值",坦克部件!#REF!,0),FALSE)+VLOOKUP($O19,坦克部件!#REF!,MATCH("标准值",坦克部件!#REF!,0),FALSE))*$R19</f>
        <v>#REF!</v>
      </c>
      <c r="BF19" s="577" t="e">
        <f>(VLOOKUP($U19,坦克部件!#REF!,MATCH("标准值",坦克部件!#REF!,0),FALSE)+VLOOKUP($O19,坦克部件!#REF!,MATCH("标准值",坦克部件!#REF!,0),FALSE))*$R19</f>
        <v>#REF!</v>
      </c>
      <c r="BG19" s="577">
        <f>VLOOKUP($F19,坦克属性统计!$B$3:$AY$33,MATCH(BG$3,坦克属性统计!$B$3:$AY$3,0),FALSE)</f>
        <v>1</v>
      </c>
      <c r="BH19" s="577">
        <f t="shared" si="5"/>
        <v>0</v>
      </c>
      <c r="BI19" s="577">
        <f t="shared" si="5"/>
        <v>6</v>
      </c>
      <c r="BJ19" s="577">
        <f t="shared" si="5"/>
        <v>0</v>
      </c>
      <c r="BK19" s="356">
        <f t="shared" si="13"/>
        <v>11</v>
      </c>
      <c r="BM19" s="271" t="e">
        <f t="shared" ca="1" si="6"/>
        <v>#REF!</v>
      </c>
    </row>
    <row r="20" spans="2:65" x14ac:dyDescent="0.35">
      <c r="B20" s="577">
        <v>17</v>
      </c>
      <c r="C20" s="577" t="e">
        <f t="shared" ref="C20" ca="1" si="28">MAX(V20:X20)*0.65+MIN(V20:X20)*0.1225+(SUM(V20:X20)-MAX(V20:X20)-MIN(V20:X20))*0.2275</f>
        <v>#REF!</v>
      </c>
      <c r="D20" s="577" t="s">
        <v>617</v>
      </c>
      <c r="E20" s="577" t="s">
        <v>626</v>
      </c>
      <c r="F20" s="577" t="s">
        <v>631</v>
      </c>
      <c r="G20" s="577" t="str">
        <f>VLOOKUP(D20,坦克个性化设定!$B$18:$F$48,5,FALSE)</f>
        <v>轻坦半自动</v>
      </c>
      <c r="H20" s="577" t="str">
        <f>VLOOKUP(E20,坦克个性化设定!$B$18:$F$48,5,FALSE)</f>
        <v>中坦单发</v>
      </c>
      <c r="I20" s="577" t="str">
        <f>VLOOKUP(F20,坦克个性化设定!$B$18:$F$48,5,FALSE)</f>
        <v>重坦单发</v>
      </c>
      <c r="J20" s="577">
        <v>1</v>
      </c>
      <c r="K20" s="577">
        <v>1</v>
      </c>
      <c r="L20" s="577">
        <v>0</v>
      </c>
      <c r="M20" s="578" t="s">
        <v>2626</v>
      </c>
      <c r="N20" s="578" t="s">
        <v>2626</v>
      </c>
      <c r="O20" s="578" t="s">
        <v>2626</v>
      </c>
      <c r="P20" s="577">
        <v>6</v>
      </c>
      <c r="Q20" s="577">
        <v>6</v>
      </c>
      <c r="R20" s="577">
        <v>6</v>
      </c>
      <c r="S20" s="577">
        <v>20</v>
      </c>
      <c r="T20" s="577">
        <v>20</v>
      </c>
      <c r="U20" s="577">
        <v>20</v>
      </c>
      <c r="V20" s="357" t="e">
        <f t="shared" ref="V20" ca="1" si="29">ROUND(SQRT(Y20*Z20*AK20/2+AVERAGE(AA20,AB20)*AC20*100),0)</f>
        <v>#REF!</v>
      </c>
      <c r="W20" s="357" t="e">
        <f t="shared" ref="W20" ca="1" si="30">ROUND(SQRT(AL20*AM20*AX20/2+AVERAGE(AN20,AO20)*AP20*100),0)</f>
        <v>#REF!</v>
      </c>
      <c r="X20" s="357" t="e">
        <f t="shared" ref="X20" ca="1" si="31">ROUND(SQRT(AY20*AZ20*BK20/2+AVERAGE(BA20,BB20)*BC20*100),0)</f>
        <v>#REF!</v>
      </c>
      <c r="Y20" s="577" t="e">
        <f ca="1">VLOOKUP($D20&amp;$J20,所有坦克升星属性,MATCH(Y$3,所有坦克升星属性标头,0),FALSE)+ROUND(AD20/VLOOKUP($D20,坦克部件!#REF!,4,FALSE)*VLOOKUP($D20&amp;0,所有坦克升星属性,MATCH(Y$3,所有坦克升星属性标头,0),FALSE),0)</f>
        <v>#REF!</v>
      </c>
      <c r="Z20" s="577" t="e">
        <f ca="1">VLOOKUP($D20&amp;$J20,所有坦克升星属性,MATCH(Z$3,所有坦克升星属性标头,0),FALSE)+ROUND(AE20/VLOOKUP($D20,坦克部件!#REF!,4,FALSE)*VLOOKUP($D20&amp;0,所有坦克升星属性,MATCH(Z$3,所有坦克升星属性标头,0),FALSE),0)</f>
        <v>#REF!</v>
      </c>
      <c r="AA20" s="577">
        <f t="shared" ca="1" si="0"/>
        <v>397</v>
      </c>
      <c r="AB20" s="577">
        <f t="shared" ca="1" si="0"/>
        <v>277</v>
      </c>
      <c r="AC20" s="577" t="e">
        <f ca="1">VLOOKUP($D20&amp;$J20,所有坦克升星属性,MATCH(AC$3,所有坦克升星属性标头,0),FALSE)+ROUND(AF20/VLOOKUP($D20,坦克部件!#REF!,4,FALSE)*VLOOKUP($D20&amp;0,所有坦克升星属性,MATCH(AC$3,所有坦克升星属性标头,0),FALSE),0)</f>
        <v>#REF!</v>
      </c>
      <c r="AD20" s="577" t="e">
        <f>(VLOOKUP($S20,坦克部件!#REF!,MATCH("标准值",坦克部件!#REF!,0),FALSE)+VLOOKUP($M20,坦克部件!#REF!,MATCH("标准值",坦克部件!#REF!,0),FALSE))*$P20</f>
        <v>#REF!</v>
      </c>
      <c r="AE20" s="577" t="e">
        <f>(VLOOKUP($S20,坦克部件!#REF!,MATCH("标准值",坦克部件!#REF!,0),FALSE)+VLOOKUP($M20,坦克部件!#REF!,MATCH("标准值",坦克部件!#REF!,0),FALSE))*$P20</f>
        <v>#REF!</v>
      </c>
      <c r="AF20" s="577" t="e">
        <f>(VLOOKUP($S20,坦克部件!#REF!,MATCH("标准值",坦克部件!#REF!,0),FALSE)+VLOOKUP($M20,坦克部件!#REF!,MATCH("标准值",坦克部件!#REF!,0),FALSE))*$P20</f>
        <v>#REF!</v>
      </c>
      <c r="AG20" s="577">
        <f>VLOOKUP($D20,坦克属性统计!$B$3:$AY$33,MATCH(AG$3,坦克属性统计!$B$3:$AY$3,0),FALSE)</f>
        <v>4</v>
      </c>
      <c r="AH20" s="577">
        <f t="shared" si="1"/>
        <v>0.4</v>
      </c>
      <c r="AI20" s="577">
        <f t="shared" si="1"/>
        <v>1.03</v>
      </c>
      <c r="AJ20" s="577">
        <f t="shared" si="1"/>
        <v>0</v>
      </c>
      <c r="AK20" s="356">
        <f t="shared" ref="AK20" si="32">IF(LEN(G20)=5,(60-(AG20-1)*AH20)/AI20+AG20,IF(RIGHT(G20,2)="弹夹",((60-(AG20-1)*AH20)/(AJ20+(AG20-1)*AH20)+1)*AG20,60/AI20+AG20))</f>
        <v>61.087378640776691</v>
      </c>
      <c r="AL20" s="577" t="e">
        <f ca="1">VLOOKUP($E20&amp;$K20,所有坦克升星属性,MATCH(AL$3,所有坦克升星属性标头,0),FALSE)+ROUND(AQ20/VLOOKUP($E20,坦克部件!#REF!,4,FALSE)*VLOOKUP($E20&amp;0,所有坦克升星属性,MATCH(AL$3,所有坦克升星属性标头,0),FALSE),0)</f>
        <v>#REF!</v>
      </c>
      <c r="AM20" s="577" t="e">
        <f ca="1">VLOOKUP($E20&amp;$K20,所有坦克升星属性,MATCH(AM$3,所有坦克升星属性标头,0),FALSE)+ROUND(AR20/VLOOKUP($E20,坦克部件!#REF!,4,FALSE)*VLOOKUP($E20&amp;0,所有坦克升星属性,MATCH(AM$3,所有坦克升星属性标头,0),FALSE),0)</f>
        <v>#REF!</v>
      </c>
      <c r="AN20" s="577">
        <f t="shared" ca="1" si="2"/>
        <v>434</v>
      </c>
      <c r="AO20" s="577">
        <f t="shared" ca="1" si="2"/>
        <v>326</v>
      </c>
      <c r="AP20" s="577" t="e">
        <f ca="1">VLOOKUP($E20&amp;$K20,所有坦克升星属性,MATCH(AP$3,所有坦克升星属性标头,0),FALSE)+ROUND(AS20/VLOOKUP($E20,坦克部件!#REF!,4,FALSE)*VLOOKUP($E20&amp;0,所有坦克升星属性,MATCH(AP$3,所有坦克升星属性标头,0),FALSE),0)</f>
        <v>#REF!</v>
      </c>
      <c r="AQ20" s="577" t="e">
        <f>(VLOOKUP($T20,坦克部件!#REF!,MATCH("标准值",坦克部件!#REF!,0),FALSE)+VLOOKUP($N20,坦克部件!#REF!,MATCH("标准值",坦克部件!#REF!,0),FALSE))*$Q20</f>
        <v>#REF!</v>
      </c>
      <c r="AR20" s="577" t="e">
        <f>(VLOOKUP($T20,坦克部件!#REF!,MATCH("标准值",坦克部件!#REF!,0),FALSE)+VLOOKUP($N20,坦克部件!#REF!,MATCH("标准值",坦克部件!#REF!,0),FALSE))*$Q20</f>
        <v>#REF!</v>
      </c>
      <c r="AS20" s="577" t="e">
        <f>(VLOOKUP($T20,坦克部件!#REF!,MATCH("标准值",坦克部件!#REF!,0),FALSE)+VLOOKUP($N20,坦克部件!#REF!,MATCH("标准值",坦克部件!#REF!,0),FALSE))*$Q20</f>
        <v>#REF!</v>
      </c>
      <c r="AT20" s="577">
        <f>VLOOKUP($E20,坦克属性统计!$B$3:$AY$33,MATCH(AT$3,坦克属性统计!$B$3:$AY$3,0),FALSE)</f>
        <v>1</v>
      </c>
      <c r="AU20" s="577">
        <f t="shared" si="3"/>
        <v>0</v>
      </c>
      <c r="AV20" s="577">
        <f t="shared" si="3"/>
        <v>4.4000000000000004</v>
      </c>
      <c r="AW20" s="577">
        <f t="shared" si="3"/>
        <v>0</v>
      </c>
      <c r="AX20" s="356">
        <f t="shared" ref="AX20" si="33">IF(LEN(H20)=5,(60-(AT20-1)*AU20)/AV20+AT20,IF(RIGHT(H20,2)="弹夹",((60-(AT20-1)*AU20)/(AW20+(AT20-1)*AU20)+1)*AT20,60/AV20+AT20))</f>
        <v>14.636363636363635</v>
      </c>
      <c r="AY20" s="577" t="e">
        <f ca="1">VLOOKUP($F20&amp;$L20,所有坦克升星属性,MATCH(AY$3,所有坦克升星属性标头,0),FALSE)+ROUND(BD20/VLOOKUP($F20,坦克部件!#REF!,4,FALSE)*VLOOKUP($F20&amp;0,所有坦克升星属性,MATCH(AY$3,所有坦克升星属性标头,0),FALSE),0)</f>
        <v>#REF!</v>
      </c>
      <c r="AZ20" s="577" t="e">
        <f ca="1">VLOOKUP($F20&amp;$L20,所有坦克升星属性,MATCH(AZ$3,所有坦克升星属性标头,0),FALSE)+ROUND(BE20/VLOOKUP($F20,坦克部件!#REF!,4,FALSE)*VLOOKUP($F20&amp;0,所有坦克升星属性,MATCH(AZ$3,所有坦克升星属性标头,0),FALSE),0)</f>
        <v>#REF!</v>
      </c>
      <c r="BA20" s="577">
        <f t="shared" ca="1" si="4"/>
        <v>387</v>
      </c>
      <c r="BB20" s="577">
        <f t="shared" ca="1" si="4"/>
        <v>309</v>
      </c>
      <c r="BC20" s="577" t="e">
        <f ca="1">VLOOKUP($F20&amp;$L20,所有坦克升星属性,MATCH(BC$3,所有坦克升星属性标头,0),FALSE)+ROUND(BF20/VLOOKUP($F20,坦克部件!#REF!,4,FALSE)*VLOOKUP($F20&amp;0,所有坦克升星属性,MATCH(BC$3,所有坦克升星属性标头,0),FALSE),0)</f>
        <v>#REF!</v>
      </c>
      <c r="BD20" s="577" t="e">
        <f>(VLOOKUP($U20,坦克部件!#REF!,MATCH("标准值",坦克部件!#REF!,0),FALSE)+VLOOKUP($O20,坦克部件!#REF!,MATCH("标准值",坦克部件!#REF!,0),FALSE))*$R20</f>
        <v>#REF!</v>
      </c>
      <c r="BE20" s="577" t="e">
        <f>(VLOOKUP($U20,坦克部件!#REF!,MATCH("标准值",坦克部件!#REF!,0),FALSE)+VLOOKUP($O20,坦克部件!#REF!,MATCH("标准值",坦克部件!#REF!,0),FALSE))*$R20</f>
        <v>#REF!</v>
      </c>
      <c r="BF20" s="577" t="e">
        <f>(VLOOKUP($U20,坦克部件!#REF!,MATCH("标准值",坦克部件!#REF!,0),FALSE)+VLOOKUP($O20,坦克部件!#REF!,MATCH("标准值",坦克部件!#REF!,0),FALSE))*$R20</f>
        <v>#REF!</v>
      </c>
      <c r="BG20" s="577">
        <f>VLOOKUP($F20,坦克属性统计!$B$3:$AY$33,MATCH(BG$3,坦克属性统计!$B$3:$AY$3,0),FALSE)</f>
        <v>1</v>
      </c>
      <c r="BH20" s="577">
        <f t="shared" si="5"/>
        <v>0</v>
      </c>
      <c r="BI20" s="577">
        <f t="shared" si="5"/>
        <v>6</v>
      </c>
      <c r="BJ20" s="577">
        <f t="shared" si="5"/>
        <v>0</v>
      </c>
      <c r="BK20" s="356">
        <f t="shared" ref="BK20" si="34">IF(LEN(I20)=5,(60-(BG20-1)*BH20)/BI20+BG20,IF(RIGHT(I20,2)="弹夹",((60-(BG20-1)*BH20)/(BJ20+(BG20-1)*BH20)+1)*BG20,60/BI20+BG20))</f>
        <v>11</v>
      </c>
      <c r="BM20" s="271" t="e">
        <f t="shared" ca="1" si="6"/>
        <v>#REF!</v>
      </c>
    </row>
    <row r="21" spans="2:65" x14ac:dyDescent="0.35">
      <c r="B21" s="577">
        <v>18</v>
      </c>
      <c r="C21" s="577" t="e">
        <f t="shared" ref="C21" ca="1" si="35">MAX(V21:X21)*0.65+MIN(V21:X21)*0.1225+(SUM(V21:X21)-MAX(V21:X21)-MIN(V21:X21))*0.2275</f>
        <v>#REF!</v>
      </c>
      <c r="D21" s="577" t="s">
        <v>618</v>
      </c>
      <c r="E21" s="577" t="s">
        <v>627</v>
      </c>
      <c r="F21" s="577" t="s">
        <v>628</v>
      </c>
      <c r="G21" s="577" t="str">
        <f>VLOOKUP(D21,坦克个性化设定!$B$18:$F$48,5,FALSE)</f>
        <v>轻坦半自动</v>
      </c>
      <c r="H21" s="577" t="str">
        <f>VLOOKUP(E21,坦克个性化设定!$B$18:$F$48,5,FALSE)</f>
        <v>中坦弹夹</v>
      </c>
      <c r="I21" s="577" t="str">
        <f>VLOOKUP(F21,坦克个性化设定!$B$18:$F$48,5,FALSE)</f>
        <v>重坦单发</v>
      </c>
      <c r="J21" s="577">
        <v>1</v>
      </c>
      <c r="K21" s="577">
        <v>1</v>
      </c>
      <c r="L21" s="577">
        <v>1</v>
      </c>
      <c r="M21" s="578" t="s">
        <v>2640</v>
      </c>
      <c r="N21" s="578" t="s">
        <v>2628</v>
      </c>
      <c r="O21" s="578" t="s">
        <v>2627</v>
      </c>
      <c r="P21" s="577">
        <v>6</v>
      </c>
      <c r="Q21" s="577">
        <v>6</v>
      </c>
      <c r="R21" s="577">
        <v>6</v>
      </c>
      <c r="S21" s="577">
        <v>30</v>
      </c>
      <c r="T21" s="577">
        <v>30</v>
      </c>
      <c r="U21" s="577">
        <v>30</v>
      </c>
      <c r="V21" s="357" t="e">
        <f t="shared" ref="V21" ca="1" si="36">ROUND(SQRT(Y21*Z21*AK21/2+AVERAGE(AA21,AB21)*AC21*100),0)</f>
        <v>#REF!</v>
      </c>
      <c r="W21" s="357" t="e">
        <f t="shared" ref="W21" ca="1" si="37">ROUND(SQRT(AL21*AM21*AX21/2+AVERAGE(AN21,AO21)*AP21*100),0)</f>
        <v>#REF!</v>
      </c>
      <c r="X21" s="357" t="e">
        <f t="shared" ref="X21" ca="1" si="38">ROUND(SQRT(AY21*AZ21*BK21/2+AVERAGE(BA21,BB21)*BC21*100),0)</f>
        <v>#REF!</v>
      </c>
      <c r="Y21" s="577" t="e">
        <f ca="1">VLOOKUP($D21&amp;$J21,所有坦克升星属性,MATCH(Y$3,所有坦克升星属性标头,0),FALSE)+ROUND(AD21/VLOOKUP($D21,坦克部件!#REF!,4,FALSE)*VLOOKUP($D21&amp;0,所有坦克升星属性,MATCH(Y$3,所有坦克升星属性标头,0),FALSE),0)</f>
        <v>#REF!</v>
      </c>
      <c r="Z21" s="577" t="e">
        <f ca="1">VLOOKUP($D21&amp;$J21,所有坦克升星属性,MATCH(Z$3,所有坦克升星属性标头,0),FALSE)+ROUND(AE21/VLOOKUP($D21,坦克部件!#REF!,4,FALSE)*VLOOKUP($D21&amp;0,所有坦克升星属性,MATCH(Z$3,所有坦克升星属性标头,0),FALSE),0)</f>
        <v>#REF!</v>
      </c>
      <c r="AA21" s="577">
        <f t="shared" ca="1" si="0"/>
        <v>473</v>
      </c>
      <c r="AB21" s="577">
        <f t="shared" ca="1" si="0"/>
        <v>331</v>
      </c>
      <c r="AC21" s="577" t="e">
        <f ca="1">VLOOKUP($D21&amp;$J21,所有坦克升星属性,MATCH(AC$3,所有坦克升星属性标头,0),FALSE)+ROUND(AF21/VLOOKUP($D21,坦克部件!#REF!,4,FALSE)*VLOOKUP($D21&amp;0,所有坦克升星属性,MATCH(AC$3,所有坦克升星属性标头,0),FALSE),0)</f>
        <v>#REF!</v>
      </c>
      <c r="AD21" s="577" t="e">
        <f>(VLOOKUP($S21,坦克部件!#REF!,MATCH("标准值",坦克部件!#REF!,0),FALSE)+VLOOKUP($M21,坦克部件!#REF!,MATCH("标准值",坦克部件!#REF!,0),FALSE))*$P21</f>
        <v>#REF!</v>
      </c>
      <c r="AE21" s="577" t="e">
        <f>(VLOOKUP($S21,坦克部件!#REF!,MATCH("标准值",坦克部件!#REF!,0),FALSE)+VLOOKUP($M21,坦克部件!#REF!,MATCH("标准值",坦克部件!#REF!,0),FALSE))*$P21</f>
        <v>#REF!</v>
      </c>
      <c r="AF21" s="577" t="e">
        <f>(VLOOKUP($S21,坦克部件!#REF!,MATCH("标准值",坦克部件!#REF!,0),FALSE)+VLOOKUP($M21,坦克部件!#REF!,MATCH("标准值",坦克部件!#REF!,0),FALSE))*$P21</f>
        <v>#REF!</v>
      </c>
      <c r="AG21" s="577">
        <f>VLOOKUP($D21,坦克属性统计!$B$3:$AY$33,MATCH(AG$3,坦克属性统计!$B$3:$AY$3,0),FALSE)</f>
        <v>6</v>
      </c>
      <c r="AH21" s="577">
        <f t="shared" si="1"/>
        <v>0.4</v>
      </c>
      <c r="AI21" s="577">
        <f t="shared" si="1"/>
        <v>1.36</v>
      </c>
      <c r="AJ21" s="577">
        <f t="shared" si="1"/>
        <v>0</v>
      </c>
      <c r="AK21" s="356">
        <f t="shared" ref="AK21" si="39">IF(LEN(G21)=5,(60-(AG21-1)*AH21)/AI21+AG21,IF(RIGHT(G21,2)="弹夹",((60-(AG21-1)*AH21)/(AJ21+(AG21-1)*AH21)+1)*AG21,60/AI21+AG21))</f>
        <v>48.647058823529406</v>
      </c>
      <c r="AL21" s="577" t="e">
        <f ca="1">VLOOKUP($E21&amp;$K21,所有坦克升星属性,MATCH(AL$3,所有坦克升星属性标头,0),FALSE)+ROUND(AQ21/VLOOKUP($E21,坦克部件!#REF!,4,FALSE)*VLOOKUP($E21&amp;0,所有坦克升星属性,MATCH(AL$3,所有坦克升星属性标头,0),FALSE),0)</f>
        <v>#REF!</v>
      </c>
      <c r="AM21" s="577" t="e">
        <f ca="1">VLOOKUP($E21&amp;$K21,所有坦克升星属性,MATCH(AM$3,所有坦克升星属性标头,0),FALSE)+ROUND(AR21/VLOOKUP($E21,坦克部件!#REF!,4,FALSE)*VLOOKUP($E21&amp;0,所有坦克升星属性,MATCH(AM$3,所有坦克升星属性标头,0),FALSE),0)</f>
        <v>#REF!</v>
      </c>
      <c r="AN21" s="577">
        <f t="shared" ca="1" si="2"/>
        <v>451</v>
      </c>
      <c r="AO21" s="577">
        <f t="shared" ca="1" si="2"/>
        <v>338</v>
      </c>
      <c r="AP21" s="577" t="e">
        <f ca="1">VLOOKUP($E21&amp;$K21,所有坦克升星属性,MATCH(AP$3,所有坦克升星属性标头,0),FALSE)+ROUND(AS21/VLOOKUP($E21,坦克部件!#REF!,4,FALSE)*VLOOKUP($E21&amp;0,所有坦克升星属性,MATCH(AP$3,所有坦克升星属性标头,0),FALSE),0)</f>
        <v>#REF!</v>
      </c>
      <c r="AQ21" s="577" t="e">
        <f>(VLOOKUP($T21,坦克部件!#REF!,MATCH("标准值",坦克部件!#REF!,0),FALSE)+VLOOKUP($N21,坦克部件!#REF!,MATCH("标准值",坦克部件!#REF!,0),FALSE))*$Q21</f>
        <v>#REF!</v>
      </c>
      <c r="AR21" s="577" t="e">
        <f>(VLOOKUP($T21,坦克部件!#REF!,MATCH("标准值",坦克部件!#REF!,0),FALSE)+VLOOKUP($N21,坦克部件!#REF!,MATCH("标准值",坦克部件!#REF!,0),FALSE))*$Q21</f>
        <v>#REF!</v>
      </c>
      <c r="AS21" s="577" t="e">
        <f>(VLOOKUP($T21,坦克部件!#REF!,MATCH("标准值",坦克部件!#REF!,0),FALSE)+VLOOKUP($N21,坦克部件!#REF!,MATCH("标准值",坦克部件!#REF!,0),FALSE))*$Q21</f>
        <v>#REF!</v>
      </c>
      <c r="AT21" s="577">
        <f>VLOOKUP($E21,坦克属性统计!$B$3:$AY$33,MATCH(AT$3,坦克属性统计!$B$3:$AY$3,0),FALSE)</f>
        <v>6</v>
      </c>
      <c r="AU21" s="577">
        <f t="shared" si="3"/>
        <v>0.71</v>
      </c>
      <c r="AV21" s="577">
        <f t="shared" si="3"/>
        <v>0</v>
      </c>
      <c r="AW21" s="577">
        <f t="shared" si="3"/>
        <v>2.9</v>
      </c>
      <c r="AX21" s="356">
        <f t="shared" ref="AX21" si="40">IF(LEN(H21)=5,(60-(AT21-1)*AU21)/AV21+AT21,IF(RIGHT(H21,2)="弹夹",((60-(AT21-1)*AU21)/(AW21+(AT21-1)*AU21)+1)*AT21,60/AV21+AT21))</f>
        <v>58.511627906976756</v>
      </c>
      <c r="AY21" s="577" t="e">
        <f ca="1">VLOOKUP($F21&amp;$L21,所有坦克升星属性,MATCH(AY$3,所有坦克升星属性标头,0),FALSE)+ROUND(BD21/VLOOKUP($F21,坦克部件!#REF!,4,FALSE)*VLOOKUP($F21&amp;0,所有坦克升星属性,MATCH(AY$3,所有坦克升星属性标头,0),FALSE),0)</f>
        <v>#REF!</v>
      </c>
      <c r="AZ21" s="577" t="e">
        <f ca="1">VLOOKUP($F21&amp;$L21,所有坦克升星属性,MATCH(AZ$3,所有坦克升星属性标头,0),FALSE)+ROUND(BE21/VLOOKUP($F21,坦克部件!#REF!,4,FALSE)*VLOOKUP($F21&amp;0,所有坦克升星属性,MATCH(AZ$3,所有坦克升星属性标头,0),FALSE),0)</f>
        <v>#REF!</v>
      </c>
      <c r="BA21" s="577">
        <f t="shared" ca="1" si="4"/>
        <v>495</v>
      </c>
      <c r="BB21" s="577">
        <f t="shared" ca="1" si="4"/>
        <v>396</v>
      </c>
      <c r="BC21" s="577" t="e">
        <f ca="1">VLOOKUP($F21&amp;$L21,所有坦克升星属性,MATCH(BC$3,所有坦克升星属性标头,0),FALSE)+ROUND(BF21/VLOOKUP($F21,坦克部件!#REF!,4,FALSE)*VLOOKUP($F21&amp;0,所有坦克升星属性,MATCH(BC$3,所有坦克升星属性标头,0),FALSE),0)</f>
        <v>#REF!</v>
      </c>
      <c r="BD21" s="577" t="e">
        <f>(VLOOKUP($U21,坦克部件!#REF!,MATCH("标准值",坦克部件!#REF!,0),FALSE)+VLOOKUP($O21,坦克部件!#REF!,MATCH("标准值",坦克部件!#REF!,0),FALSE))*$R21</f>
        <v>#REF!</v>
      </c>
      <c r="BE21" s="577" t="e">
        <f>(VLOOKUP($U21,坦克部件!#REF!,MATCH("标准值",坦克部件!#REF!,0),FALSE)+VLOOKUP($O21,坦克部件!#REF!,MATCH("标准值",坦克部件!#REF!,0),FALSE))*$R21</f>
        <v>#REF!</v>
      </c>
      <c r="BF21" s="577" t="e">
        <f>(VLOOKUP($U21,坦克部件!#REF!,MATCH("标准值",坦克部件!#REF!,0),FALSE)+VLOOKUP($O21,坦克部件!#REF!,MATCH("标准值",坦克部件!#REF!,0),FALSE))*$R21</f>
        <v>#REF!</v>
      </c>
      <c r="BG21" s="577">
        <f>VLOOKUP($F21,坦克属性统计!$B$3:$AY$33,MATCH(BG$3,坦克属性统计!$B$3:$AY$3,0),FALSE)</f>
        <v>1</v>
      </c>
      <c r="BH21" s="577">
        <f t="shared" si="5"/>
        <v>0</v>
      </c>
      <c r="BI21" s="577">
        <f t="shared" si="5"/>
        <v>5.81</v>
      </c>
      <c r="BJ21" s="577">
        <f t="shared" si="5"/>
        <v>0</v>
      </c>
      <c r="BK21" s="356">
        <f t="shared" ref="BK21" si="41">IF(LEN(I21)=5,(60-(BG21-1)*BH21)/BI21+BG21,IF(RIGHT(I21,2)="弹夹",((60-(BG21-1)*BH21)/(BJ21+(BG21-1)*BH21)+1)*BG21,60/BI21+BG21))</f>
        <v>11.327022375215147</v>
      </c>
      <c r="BM21" s="271" t="e">
        <f t="shared" ca="1" si="6"/>
        <v>#REF!</v>
      </c>
    </row>
    <row r="22" spans="2:65" x14ac:dyDescent="0.35">
      <c r="B22" s="577">
        <v>19</v>
      </c>
      <c r="C22" s="577" t="e">
        <f t="shared" ca="1" si="7"/>
        <v>#REF!</v>
      </c>
      <c r="D22" s="577" t="s">
        <v>618</v>
      </c>
      <c r="E22" s="577" t="s">
        <v>627</v>
      </c>
      <c r="F22" s="577" t="s">
        <v>628</v>
      </c>
      <c r="G22" s="577" t="str">
        <f>VLOOKUP(D22,坦克个性化设定!$B$18:$F$48,5,FALSE)</f>
        <v>轻坦半自动</v>
      </c>
      <c r="H22" s="577" t="str">
        <f>VLOOKUP(E22,坦克个性化设定!$B$18:$F$48,5,FALSE)</f>
        <v>中坦弹夹</v>
      </c>
      <c r="I22" s="577" t="str">
        <f>VLOOKUP(F22,坦克个性化设定!$B$18:$F$48,5,FALSE)</f>
        <v>重坦单发</v>
      </c>
      <c r="J22" s="577">
        <v>2</v>
      </c>
      <c r="K22" s="577">
        <v>2</v>
      </c>
      <c r="L22" s="577">
        <v>2</v>
      </c>
      <c r="M22" s="578" t="s">
        <v>2628</v>
      </c>
      <c r="N22" s="578" t="s">
        <v>2628</v>
      </c>
      <c r="O22" s="578" t="s">
        <v>2629</v>
      </c>
      <c r="P22" s="577">
        <v>6</v>
      </c>
      <c r="Q22" s="577">
        <v>6</v>
      </c>
      <c r="R22" s="577">
        <v>6</v>
      </c>
      <c r="S22" s="577">
        <v>30</v>
      </c>
      <c r="T22" s="577">
        <v>30</v>
      </c>
      <c r="U22" s="577">
        <v>30</v>
      </c>
      <c r="V22" s="357" t="e">
        <f t="shared" ca="1" si="8"/>
        <v>#REF!</v>
      </c>
      <c r="W22" s="357" t="e">
        <f t="shared" ca="1" si="9"/>
        <v>#REF!</v>
      </c>
      <c r="X22" s="357" t="e">
        <f t="shared" ca="1" si="10"/>
        <v>#REF!</v>
      </c>
      <c r="Y22" s="577" t="e">
        <f ca="1">VLOOKUP($D22&amp;$J22,所有坦克升星属性,MATCH(Y$3,所有坦克升星属性标头,0),FALSE)+ROUND(AD22/VLOOKUP($D22,坦克部件!#REF!,4,FALSE)*VLOOKUP($D22&amp;0,所有坦克升星属性,MATCH(Y$3,所有坦克升星属性标头,0),FALSE),0)</f>
        <v>#REF!</v>
      </c>
      <c r="Z22" s="577" t="e">
        <f ca="1">VLOOKUP($D22&amp;$J22,所有坦克升星属性,MATCH(Z$3,所有坦克升星属性标头,0),FALSE)+ROUND(AE22/VLOOKUP($D22,坦克部件!#REF!,4,FALSE)*VLOOKUP($D22&amp;0,所有坦克升星属性,MATCH(Z$3,所有坦克升星属性标头,0),FALSE),0)</f>
        <v>#REF!</v>
      </c>
      <c r="AA22" s="577">
        <f t="shared" ca="1" si="0"/>
        <v>496</v>
      </c>
      <c r="AB22" s="577">
        <f t="shared" ca="1" si="0"/>
        <v>347</v>
      </c>
      <c r="AC22" s="577" t="e">
        <f ca="1">VLOOKUP($D22&amp;$J22,所有坦克升星属性,MATCH(AC$3,所有坦克升星属性标头,0),FALSE)+ROUND(AF22/VLOOKUP($D22,坦克部件!#REF!,4,FALSE)*VLOOKUP($D22&amp;0,所有坦克升星属性,MATCH(AC$3,所有坦克升星属性标头,0),FALSE),0)</f>
        <v>#REF!</v>
      </c>
      <c r="AD22" s="577" t="e">
        <f>(VLOOKUP($S22,坦克部件!#REF!,MATCH("标准值",坦克部件!#REF!,0),FALSE)+VLOOKUP($M22,坦克部件!#REF!,MATCH("标准值",坦克部件!#REF!,0),FALSE))*$P22</f>
        <v>#REF!</v>
      </c>
      <c r="AE22" s="577" t="e">
        <f>(VLOOKUP($S22,坦克部件!#REF!,MATCH("标准值",坦克部件!#REF!,0),FALSE)+VLOOKUP($M22,坦克部件!#REF!,MATCH("标准值",坦克部件!#REF!,0),FALSE))*$P22</f>
        <v>#REF!</v>
      </c>
      <c r="AF22" s="577" t="e">
        <f>(VLOOKUP($S22,坦克部件!#REF!,MATCH("标准值",坦克部件!#REF!,0),FALSE)+VLOOKUP($M22,坦克部件!#REF!,MATCH("标准值",坦克部件!#REF!,0),FALSE))*$P22</f>
        <v>#REF!</v>
      </c>
      <c r="AG22" s="577">
        <f>VLOOKUP($D22,坦克属性统计!$B$3:$AY$33,MATCH(AG$3,坦克属性统计!$B$3:$AY$3,0),FALSE)</f>
        <v>6</v>
      </c>
      <c r="AH22" s="577">
        <f t="shared" si="1"/>
        <v>0.4</v>
      </c>
      <c r="AI22" s="577">
        <f t="shared" si="1"/>
        <v>1.31</v>
      </c>
      <c r="AJ22" s="577">
        <f t="shared" si="1"/>
        <v>0</v>
      </c>
      <c r="AK22" s="356">
        <f t="shared" si="11"/>
        <v>50.274809160305338</v>
      </c>
      <c r="AL22" s="577" t="e">
        <f ca="1">VLOOKUP($E22&amp;$K22,所有坦克升星属性,MATCH(AL$3,所有坦克升星属性标头,0),FALSE)+ROUND(AQ22/VLOOKUP($E22,坦克部件!#REF!,4,FALSE)*VLOOKUP($E22&amp;0,所有坦克升星属性,MATCH(AL$3,所有坦克升星属性标头,0),FALSE),0)</f>
        <v>#REF!</v>
      </c>
      <c r="AM22" s="577" t="e">
        <f ca="1">VLOOKUP($E22&amp;$K22,所有坦克升星属性,MATCH(AM$3,所有坦克升星属性标头,0),FALSE)+ROUND(AR22/VLOOKUP($E22,坦克部件!#REF!,4,FALSE)*VLOOKUP($E22&amp;0,所有坦克升星属性,MATCH(AM$3,所有坦克升星属性标头,0),FALSE),0)</f>
        <v>#REF!</v>
      </c>
      <c r="AN22" s="577">
        <f t="shared" ca="1" si="2"/>
        <v>473</v>
      </c>
      <c r="AO22" s="577">
        <f t="shared" ca="1" si="2"/>
        <v>354</v>
      </c>
      <c r="AP22" s="577" t="e">
        <f ca="1">VLOOKUP($E22&amp;$K22,所有坦克升星属性,MATCH(AP$3,所有坦克升星属性标头,0),FALSE)+ROUND(AS22/VLOOKUP($E22,坦克部件!#REF!,4,FALSE)*VLOOKUP($E22&amp;0,所有坦克升星属性,MATCH(AP$3,所有坦克升星属性标头,0),FALSE),0)</f>
        <v>#REF!</v>
      </c>
      <c r="AQ22" s="577" t="e">
        <f>(VLOOKUP($T22,坦克部件!#REF!,MATCH("标准值",坦克部件!#REF!,0),FALSE)+VLOOKUP($N22,坦克部件!#REF!,MATCH("标准值",坦克部件!#REF!,0),FALSE))*$Q22</f>
        <v>#REF!</v>
      </c>
      <c r="AR22" s="577" t="e">
        <f>(VLOOKUP($T22,坦克部件!#REF!,MATCH("标准值",坦克部件!#REF!,0),FALSE)+VLOOKUP($N22,坦克部件!#REF!,MATCH("标准值",坦克部件!#REF!,0),FALSE))*$Q22</f>
        <v>#REF!</v>
      </c>
      <c r="AS22" s="577" t="e">
        <f>(VLOOKUP($T22,坦克部件!#REF!,MATCH("标准值",坦克部件!#REF!,0),FALSE)+VLOOKUP($N22,坦克部件!#REF!,MATCH("标准值",坦克部件!#REF!,0),FALSE))*$Q22</f>
        <v>#REF!</v>
      </c>
      <c r="AT22" s="577">
        <f>VLOOKUP($E22,坦克属性统计!$B$3:$AY$33,MATCH(AT$3,坦克属性统计!$B$3:$AY$3,0),FALSE)</f>
        <v>6</v>
      </c>
      <c r="AU22" s="577">
        <f t="shared" si="3"/>
        <v>0.69</v>
      </c>
      <c r="AV22" s="577">
        <f t="shared" si="3"/>
        <v>0</v>
      </c>
      <c r="AW22" s="577">
        <f t="shared" si="3"/>
        <v>2.7</v>
      </c>
      <c r="AX22" s="356">
        <f t="shared" si="12"/>
        <v>61.17073170731706</v>
      </c>
      <c r="AY22" s="577" t="e">
        <f ca="1">VLOOKUP($F22&amp;$L22,所有坦克升星属性,MATCH(AY$3,所有坦克升星属性标头,0),FALSE)+ROUND(BD22/VLOOKUP($F22,坦克部件!#REF!,4,FALSE)*VLOOKUP($F22&amp;0,所有坦克升星属性,MATCH(AY$3,所有坦克升星属性标头,0),FALSE),0)</f>
        <v>#REF!</v>
      </c>
      <c r="AZ22" s="577" t="e">
        <f ca="1">VLOOKUP($F22&amp;$L22,所有坦克升星属性,MATCH(AZ$3,所有坦克升星属性标头,0),FALSE)+ROUND(BE22/VLOOKUP($F22,坦克部件!#REF!,4,FALSE)*VLOOKUP($F22&amp;0,所有坦克升星属性,MATCH(AZ$3,所有坦克升星属性标头,0),FALSE),0)</f>
        <v>#REF!</v>
      </c>
      <c r="BA22" s="577">
        <f t="shared" ca="1" si="4"/>
        <v>520</v>
      </c>
      <c r="BB22" s="577">
        <f t="shared" ca="1" si="4"/>
        <v>416</v>
      </c>
      <c r="BC22" s="577" t="e">
        <f ca="1">VLOOKUP($F22&amp;$L22,所有坦克升星属性,MATCH(BC$3,所有坦克升星属性标头,0),FALSE)+ROUND(BF22/VLOOKUP($F22,坦克部件!#REF!,4,FALSE)*VLOOKUP($F22&amp;0,所有坦克升星属性,MATCH(BC$3,所有坦克升星属性标头,0),FALSE),0)</f>
        <v>#REF!</v>
      </c>
      <c r="BD22" s="577" t="e">
        <f>(VLOOKUP($U22,坦克部件!#REF!,MATCH("标准值",坦克部件!#REF!,0),FALSE)+VLOOKUP($O22,坦克部件!#REF!,MATCH("标准值",坦克部件!#REF!,0),FALSE))*$R22</f>
        <v>#REF!</v>
      </c>
      <c r="BE22" s="577" t="e">
        <f>(VLOOKUP($U22,坦克部件!#REF!,MATCH("标准值",坦克部件!#REF!,0),FALSE)+VLOOKUP($O22,坦克部件!#REF!,MATCH("标准值",坦克部件!#REF!,0),FALSE))*$R22</f>
        <v>#REF!</v>
      </c>
      <c r="BF22" s="577" t="e">
        <f>(VLOOKUP($U22,坦克部件!#REF!,MATCH("标准值",坦克部件!#REF!,0),FALSE)+VLOOKUP($O22,坦克部件!#REF!,MATCH("标准值",坦克部件!#REF!,0),FALSE))*$R22</f>
        <v>#REF!</v>
      </c>
      <c r="BG22" s="577">
        <f>VLOOKUP($F22,坦克属性统计!$B$3:$AY$33,MATCH(BG$3,坦克属性统计!$B$3:$AY$3,0),FALSE)</f>
        <v>1</v>
      </c>
      <c r="BH22" s="577">
        <f t="shared" si="5"/>
        <v>0</v>
      </c>
      <c r="BI22" s="577">
        <f t="shared" si="5"/>
        <v>5.63</v>
      </c>
      <c r="BJ22" s="577">
        <f t="shared" si="5"/>
        <v>0</v>
      </c>
      <c r="BK22" s="356">
        <f t="shared" si="13"/>
        <v>11.657193605683837</v>
      </c>
      <c r="BM22" s="271" t="e">
        <f t="shared" ca="1" si="6"/>
        <v>#REF!</v>
      </c>
    </row>
    <row r="23" spans="2:65" x14ac:dyDescent="0.35">
      <c r="B23" s="577">
        <v>20</v>
      </c>
      <c r="C23" s="577" t="e">
        <f t="shared" ca="1" si="7"/>
        <v>#REF!</v>
      </c>
      <c r="D23" s="577" t="s">
        <v>619</v>
      </c>
      <c r="E23" s="577" t="s">
        <v>718</v>
      </c>
      <c r="F23" s="577" t="s">
        <v>628</v>
      </c>
      <c r="G23" s="577" t="str">
        <f>VLOOKUP(D23,坦克个性化设定!$B$18:$F$48,5,FALSE)</f>
        <v>轻坦弹夹</v>
      </c>
      <c r="H23" s="577" t="str">
        <f>VLOOKUP(E23,坦克个性化设定!$B$18:$F$48,5,FALSE)</f>
        <v>中坦单发</v>
      </c>
      <c r="I23" s="577" t="str">
        <f>VLOOKUP(F23,坦克个性化设定!$B$18:$F$48,5,FALSE)</f>
        <v>重坦单发</v>
      </c>
      <c r="J23" s="577">
        <v>1</v>
      </c>
      <c r="K23" s="577">
        <v>1</v>
      </c>
      <c r="L23" s="577">
        <v>2</v>
      </c>
      <c r="M23" s="578" t="s">
        <v>2628</v>
      </c>
      <c r="N23" s="578" t="s">
        <v>2628</v>
      </c>
      <c r="O23" s="578" t="s">
        <v>2629</v>
      </c>
      <c r="P23" s="577">
        <v>6</v>
      </c>
      <c r="Q23" s="577">
        <v>6</v>
      </c>
      <c r="R23" s="577">
        <v>6</v>
      </c>
      <c r="S23" s="577">
        <v>30</v>
      </c>
      <c r="T23" s="577">
        <v>30</v>
      </c>
      <c r="U23" s="577">
        <v>30</v>
      </c>
      <c r="V23" s="357" t="e">
        <f t="shared" ca="1" si="8"/>
        <v>#REF!</v>
      </c>
      <c r="W23" s="357" t="e">
        <f t="shared" ca="1" si="9"/>
        <v>#REF!</v>
      </c>
      <c r="X23" s="357" t="e">
        <f t="shared" ca="1" si="10"/>
        <v>#REF!</v>
      </c>
      <c r="Y23" s="577" t="e">
        <f ca="1">VLOOKUP($D23&amp;$J23,所有坦克升星属性,MATCH(Y$3,所有坦克升星属性标头,0),FALSE)+ROUND(AD23/VLOOKUP($D23,坦克部件!#REF!,4,FALSE)*VLOOKUP($D23&amp;0,所有坦克升星属性,MATCH(Y$3,所有坦克升星属性标头,0),FALSE),0)</f>
        <v>#REF!</v>
      </c>
      <c r="Z23" s="577" t="e">
        <f ca="1">VLOOKUP($D23&amp;$J23,所有坦克升星属性,MATCH(Z$3,所有坦克升星属性标头,0),FALSE)+ROUND(AE23/VLOOKUP($D23,坦克部件!#REF!,4,FALSE)*VLOOKUP($D23&amp;0,所有坦克升星属性,MATCH(Z$3,所有坦克升星属性标头,0),FALSE),0)</f>
        <v>#REF!</v>
      </c>
      <c r="AA23" s="577">
        <f t="shared" ca="1" si="0"/>
        <v>537</v>
      </c>
      <c r="AB23" s="577">
        <f t="shared" ca="1" si="0"/>
        <v>375</v>
      </c>
      <c r="AC23" s="577" t="e">
        <f ca="1">VLOOKUP($D23&amp;$J23,所有坦克升星属性,MATCH(AC$3,所有坦克升星属性标头,0),FALSE)+ROUND(AF23/VLOOKUP($D23,坦克部件!#REF!,4,FALSE)*VLOOKUP($D23&amp;0,所有坦克升星属性,MATCH(AC$3,所有坦克升星属性标头,0),FALSE),0)</f>
        <v>#REF!</v>
      </c>
      <c r="AD23" s="577" t="e">
        <f>(VLOOKUP($S23,坦克部件!#REF!,MATCH("标准值",坦克部件!#REF!,0),FALSE)+VLOOKUP($M23,坦克部件!#REF!,MATCH("标准值",坦克部件!#REF!,0),FALSE))*$P23</f>
        <v>#REF!</v>
      </c>
      <c r="AE23" s="577" t="e">
        <f>(VLOOKUP($S23,坦克部件!#REF!,MATCH("标准值",坦克部件!#REF!,0),FALSE)+VLOOKUP($M23,坦克部件!#REF!,MATCH("标准值",坦克部件!#REF!,0),FALSE))*$P23</f>
        <v>#REF!</v>
      </c>
      <c r="AF23" s="577" t="e">
        <f>(VLOOKUP($S23,坦克部件!#REF!,MATCH("标准值",坦克部件!#REF!,0),FALSE)+VLOOKUP($M23,坦克部件!#REF!,MATCH("标准值",坦克部件!#REF!,0),FALSE))*$P23</f>
        <v>#REF!</v>
      </c>
      <c r="AG23" s="577">
        <f>VLOOKUP($D23,坦克属性统计!$B$3:$AY$33,MATCH(AG$3,坦克属性统计!$B$3:$AY$3,0),FALSE)</f>
        <v>9</v>
      </c>
      <c r="AH23" s="577">
        <f t="shared" si="1"/>
        <v>0.3</v>
      </c>
      <c r="AI23" s="577">
        <f t="shared" si="1"/>
        <v>0</v>
      </c>
      <c r="AJ23" s="577">
        <f t="shared" si="1"/>
        <v>6.1</v>
      </c>
      <c r="AK23" s="356">
        <f t="shared" si="11"/>
        <v>69.988235294117644</v>
      </c>
      <c r="AL23" s="577" t="e">
        <f ca="1">VLOOKUP($E23&amp;$K23,所有坦克升星属性,MATCH(AL$3,所有坦克升星属性标头,0),FALSE)+ROUND(AQ23/VLOOKUP($E23,坦克部件!#REF!,4,FALSE)*VLOOKUP($E23&amp;0,所有坦克升星属性,MATCH(AL$3,所有坦克升星属性标头,0),FALSE),0)</f>
        <v>#REF!</v>
      </c>
      <c r="AM23" s="577" t="e">
        <f ca="1">VLOOKUP($E23&amp;$K23,所有坦克升星属性,MATCH(AM$3,所有坦克升星属性标头,0),FALSE)+ROUND(AR23/VLOOKUP($E23,坦克部件!#REF!,4,FALSE)*VLOOKUP($E23&amp;0,所有坦克升星属性,MATCH(AM$3,所有坦克升星属性标头,0),FALSE),0)</f>
        <v>#REF!</v>
      </c>
      <c r="AN23" s="577">
        <f t="shared" ca="1" si="2"/>
        <v>537</v>
      </c>
      <c r="AO23" s="577">
        <f t="shared" ca="1" si="2"/>
        <v>403</v>
      </c>
      <c r="AP23" s="577" t="e">
        <f ca="1">VLOOKUP($E23&amp;$K23,所有坦克升星属性,MATCH(AP$3,所有坦克升星属性标头,0),FALSE)+ROUND(AS23/VLOOKUP($E23,坦克部件!#REF!,4,FALSE)*VLOOKUP($E23&amp;0,所有坦克升星属性,MATCH(AP$3,所有坦克升星属性标头,0),FALSE),0)</f>
        <v>#REF!</v>
      </c>
      <c r="AQ23" s="577" t="e">
        <f>(VLOOKUP($T23,坦克部件!#REF!,MATCH("标准值",坦克部件!#REF!,0),FALSE)+VLOOKUP($N23,坦克部件!#REF!,MATCH("标准值",坦克部件!#REF!,0),FALSE))*$Q23</f>
        <v>#REF!</v>
      </c>
      <c r="AR23" s="577" t="e">
        <f>(VLOOKUP($T23,坦克部件!#REF!,MATCH("标准值",坦克部件!#REF!,0),FALSE)+VLOOKUP($N23,坦克部件!#REF!,MATCH("标准值",坦克部件!#REF!,0),FALSE))*$Q23</f>
        <v>#REF!</v>
      </c>
      <c r="AS23" s="577" t="e">
        <f>(VLOOKUP($T23,坦克部件!#REF!,MATCH("标准值",坦克部件!#REF!,0),FALSE)+VLOOKUP($N23,坦克部件!#REF!,MATCH("标准值",坦克部件!#REF!,0),FALSE))*$Q23</f>
        <v>#REF!</v>
      </c>
      <c r="AT23" s="577">
        <f>VLOOKUP($E23,坦克属性统计!$B$3:$AY$33,MATCH(AT$3,坦克属性统计!$B$3:$AY$3,0),FALSE)</f>
        <v>1</v>
      </c>
      <c r="AU23" s="577">
        <f t="shared" si="3"/>
        <v>0</v>
      </c>
      <c r="AV23" s="577">
        <f t="shared" si="3"/>
        <v>4.42</v>
      </c>
      <c r="AW23" s="577">
        <f t="shared" si="3"/>
        <v>0</v>
      </c>
      <c r="AX23" s="356">
        <f t="shared" si="12"/>
        <v>14.574660633484163</v>
      </c>
      <c r="AY23" s="577" t="e">
        <f ca="1">VLOOKUP($F23&amp;$L23,所有坦克升星属性,MATCH(AY$3,所有坦克升星属性标头,0),FALSE)+ROUND(BD23/VLOOKUP($F23,坦克部件!#REF!,4,FALSE)*VLOOKUP($F23&amp;0,所有坦克升星属性,MATCH(AY$3,所有坦克升星属性标头,0),FALSE),0)</f>
        <v>#REF!</v>
      </c>
      <c r="AZ23" s="577" t="e">
        <f ca="1">VLOOKUP($F23&amp;$L23,所有坦克升星属性,MATCH(AZ$3,所有坦克升星属性标头,0),FALSE)+ROUND(BE23/VLOOKUP($F23,坦克部件!#REF!,4,FALSE)*VLOOKUP($F23&amp;0,所有坦克升星属性,MATCH(AZ$3,所有坦克升星属性标头,0),FALSE),0)</f>
        <v>#REF!</v>
      </c>
      <c r="BA23" s="577">
        <f t="shared" ca="1" si="4"/>
        <v>520</v>
      </c>
      <c r="BB23" s="577">
        <f t="shared" ca="1" si="4"/>
        <v>416</v>
      </c>
      <c r="BC23" s="577" t="e">
        <f ca="1">VLOOKUP($F23&amp;$L23,所有坦克升星属性,MATCH(BC$3,所有坦克升星属性标头,0),FALSE)+ROUND(BF23/VLOOKUP($F23,坦克部件!#REF!,4,FALSE)*VLOOKUP($F23&amp;0,所有坦克升星属性,MATCH(BC$3,所有坦克升星属性标头,0),FALSE),0)</f>
        <v>#REF!</v>
      </c>
      <c r="BD23" s="577" t="e">
        <f>(VLOOKUP($U23,坦克部件!#REF!,MATCH("标准值",坦克部件!#REF!,0),FALSE)+VLOOKUP($O23,坦克部件!#REF!,MATCH("标准值",坦克部件!#REF!,0),FALSE))*$R23</f>
        <v>#REF!</v>
      </c>
      <c r="BE23" s="577" t="e">
        <f>(VLOOKUP($U23,坦克部件!#REF!,MATCH("标准值",坦克部件!#REF!,0),FALSE)+VLOOKUP($O23,坦克部件!#REF!,MATCH("标准值",坦克部件!#REF!,0),FALSE))*$R23</f>
        <v>#REF!</v>
      </c>
      <c r="BF23" s="577" t="e">
        <f>(VLOOKUP($U23,坦克部件!#REF!,MATCH("标准值",坦克部件!#REF!,0),FALSE)+VLOOKUP($O23,坦克部件!#REF!,MATCH("标准值",坦克部件!#REF!,0),FALSE))*$R23</f>
        <v>#REF!</v>
      </c>
      <c r="BG23" s="577">
        <f>VLOOKUP($F23,坦克属性统计!$B$3:$AY$33,MATCH(BG$3,坦克属性统计!$B$3:$AY$3,0),FALSE)</f>
        <v>1</v>
      </c>
      <c r="BH23" s="577">
        <f t="shared" si="5"/>
        <v>0</v>
      </c>
      <c r="BI23" s="577">
        <f t="shared" si="5"/>
        <v>5.63</v>
      </c>
      <c r="BJ23" s="577">
        <f t="shared" si="5"/>
        <v>0</v>
      </c>
      <c r="BK23" s="356">
        <f t="shared" si="13"/>
        <v>11.657193605683837</v>
      </c>
      <c r="BM23" s="271" t="e">
        <f t="shared" ca="1" si="6"/>
        <v>#REF!</v>
      </c>
    </row>
    <row r="24" spans="2:65" x14ac:dyDescent="0.35">
      <c r="B24" s="577">
        <v>21</v>
      </c>
      <c r="C24" s="577" t="e">
        <f t="shared" ca="1" si="7"/>
        <v>#REF!</v>
      </c>
      <c r="D24" s="577" t="s">
        <v>619</v>
      </c>
      <c r="E24" s="577" t="s">
        <v>718</v>
      </c>
      <c r="F24" s="577" t="s">
        <v>632</v>
      </c>
      <c r="G24" s="577" t="str">
        <f>VLOOKUP(D24,坦克个性化设定!$B$18:$F$48,5,FALSE)</f>
        <v>轻坦弹夹</v>
      </c>
      <c r="H24" s="577" t="str">
        <f>VLOOKUP(E24,坦克个性化设定!$B$18:$F$48,5,FALSE)</f>
        <v>中坦单发</v>
      </c>
      <c r="I24" s="577" t="str">
        <f>VLOOKUP(F24,坦克个性化设定!$B$18:$F$48,5,FALSE)</f>
        <v>重坦单发</v>
      </c>
      <c r="J24" s="577">
        <v>1</v>
      </c>
      <c r="K24" s="577">
        <v>1</v>
      </c>
      <c r="L24" s="577">
        <v>1</v>
      </c>
      <c r="M24" s="578" t="s">
        <v>2628</v>
      </c>
      <c r="N24" s="578" t="s">
        <v>2628</v>
      </c>
      <c r="O24" s="578" t="s">
        <v>2629</v>
      </c>
      <c r="P24" s="577">
        <v>6</v>
      </c>
      <c r="Q24" s="577">
        <v>6</v>
      </c>
      <c r="R24" s="577">
        <v>6</v>
      </c>
      <c r="S24" s="577">
        <v>30</v>
      </c>
      <c r="T24" s="577">
        <v>30</v>
      </c>
      <c r="U24" s="577">
        <v>30</v>
      </c>
      <c r="V24" s="357" t="e">
        <f t="shared" ca="1" si="8"/>
        <v>#REF!</v>
      </c>
      <c r="W24" s="357" t="e">
        <f t="shared" ca="1" si="9"/>
        <v>#REF!</v>
      </c>
      <c r="X24" s="357" t="e">
        <f t="shared" ca="1" si="10"/>
        <v>#REF!</v>
      </c>
      <c r="Y24" s="577" t="e">
        <f ca="1">VLOOKUP($D24&amp;$J24,所有坦克升星属性,MATCH(Y$3,所有坦克升星属性标头,0),FALSE)+ROUND(AD24/VLOOKUP($D24,坦克部件!#REF!,4,FALSE)*VLOOKUP($D24&amp;0,所有坦克升星属性,MATCH(Y$3,所有坦克升星属性标头,0),FALSE),0)</f>
        <v>#REF!</v>
      </c>
      <c r="Z24" s="577" t="e">
        <f ca="1">VLOOKUP($D24&amp;$J24,所有坦克升星属性,MATCH(Z$3,所有坦克升星属性标头,0),FALSE)+ROUND(AE24/VLOOKUP($D24,坦克部件!#REF!,4,FALSE)*VLOOKUP($D24&amp;0,所有坦克升星属性,MATCH(Z$3,所有坦克升星属性标头,0),FALSE),0)</f>
        <v>#REF!</v>
      </c>
      <c r="AA24" s="577">
        <f t="shared" ref="AA24:AB37" ca="1" si="42">VLOOKUP($D24&amp;$J24,所有坦克升星属性,MATCH(AA$3,所有坦克升星属性标头,0),FALSE)</f>
        <v>537</v>
      </c>
      <c r="AB24" s="577">
        <f t="shared" ca="1" si="42"/>
        <v>375</v>
      </c>
      <c r="AC24" s="577" t="e">
        <f ca="1">VLOOKUP($D24&amp;$J24,所有坦克升星属性,MATCH(AC$3,所有坦克升星属性标头,0),FALSE)+ROUND(AF24/VLOOKUP($D24,坦克部件!#REF!,4,FALSE)*VLOOKUP($D24&amp;0,所有坦克升星属性,MATCH(AC$3,所有坦克升星属性标头,0),FALSE),0)</f>
        <v>#REF!</v>
      </c>
      <c r="AD24" s="577" t="e">
        <f>(VLOOKUP($S24,坦克部件!#REF!,MATCH("标准值",坦克部件!#REF!,0),FALSE)+VLOOKUP($M24,坦克部件!#REF!,MATCH("标准值",坦克部件!#REF!,0),FALSE))*$P24</f>
        <v>#REF!</v>
      </c>
      <c r="AE24" s="577" t="e">
        <f>(VLOOKUP($S24,坦克部件!#REF!,MATCH("标准值",坦克部件!#REF!,0),FALSE)+VLOOKUP($M24,坦克部件!#REF!,MATCH("标准值",坦克部件!#REF!,0),FALSE))*$P24</f>
        <v>#REF!</v>
      </c>
      <c r="AF24" s="577" t="e">
        <f>(VLOOKUP($S24,坦克部件!#REF!,MATCH("标准值",坦克部件!#REF!,0),FALSE)+VLOOKUP($M24,坦克部件!#REF!,MATCH("标准值",坦克部件!#REF!,0),FALSE))*$P24</f>
        <v>#REF!</v>
      </c>
      <c r="AG24" s="577">
        <f>VLOOKUP($D24,坦克属性统计!$B$3:$AY$33,MATCH(AG$3,坦克属性统计!$B$3:$AY$3,0),FALSE)</f>
        <v>9</v>
      </c>
      <c r="AH24" s="577">
        <f t="shared" ref="AH24:AJ37" si="43">VLOOKUP($D24&amp;$J24,所有坦克升星属性,MATCH(AH$3,所有坦克升星属性标头,0),FALSE)</f>
        <v>0.3</v>
      </c>
      <c r="AI24" s="577">
        <f t="shared" si="43"/>
        <v>0</v>
      </c>
      <c r="AJ24" s="577">
        <f t="shared" si="43"/>
        <v>6.1</v>
      </c>
      <c r="AK24" s="356">
        <f t="shared" si="11"/>
        <v>69.988235294117644</v>
      </c>
      <c r="AL24" s="577" t="e">
        <f ca="1">VLOOKUP($E24&amp;$K24,所有坦克升星属性,MATCH(AL$3,所有坦克升星属性标头,0),FALSE)+ROUND(AQ24/VLOOKUP($E24,坦克部件!#REF!,4,FALSE)*VLOOKUP($E24&amp;0,所有坦克升星属性,MATCH(AL$3,所有坦克升星属性标头,0),FALSE),0)</f>
        <v>#REF!</v>
      </c>
      <c r="AM24" s="577" t="e">
        <f ca="1">VLOOKUP($E24&amp;$K24,所有坦克升星属性,MATCH(AM$3,所有坦克升星属性标头,0),FALSE)+ROUND(AR24/VLOOKUP($E24,坦克部件!#REF!,4,FALSE)*VLOOKUP($E24&amp;0,所有坦克升星属性,MATCH(AM$3,所有坦克升星属性标头,0),FALSE),0)</f>
        <v>#REF!</v>
      </c>
      <c r="AN24" s="577">
        <f t="shared" ref="AN24:AO37" ca="1" si="44">VLOOKUP($E24&amp;$K24,所有坦克升星属性,MATCH(AN$3,所有坦克升星属性标头,0),FALSE)</f>
        <v>537</v>
      </c>
      <c r="AO24" s="577">
        <f t="shared" ca="1" si="44"/>
        <v>403</v>
      </c>
      <c r="AP24" s="577" t="e">
        <f ca="1">VLOOKUP($E24&amp;$K24,所有坦克升星属性,MATCH(AP$3,所有坦克升星属性标头,0),FALSE)+ROUND(AS24/VLOOKUP($E24,坦克部件!#REF!,4,FALSE)*VLOOKUP($E24&amp;0,所有坦克升星属性,MATCH(AP$3,所有坦克升星属性标头,0),FALSE),0)</f>
        <v>#REF!</v>
      </c>
      <c r="AQ24" s="577" t="e">
        <f>(VLOOKUP($T24,坦克部件!#REF!,MATCH("标准值",坦克部件!#REF!,0),FALSE)+VLOOKUP($N24,坦克部件!#REF!,MATCH("标准值",坦克部件!#REF!,0),FALSE))*$Q24</f>
        <v>#REF!</v>
      </c>
      <c r="AR24" s="577" t="e">
        <f>(VLOOKUP($T24,坦克部件!#REF!,MATCH("标准值",坦克部件!#REF!,0),FALSE)+VLOOKUP($N24,坦克部件!#REF!,MATCH("标准值",坦克部件!#REF!,0),FALSE))*$Q24</f>
        <v>#REF!</v>
      </c>
      <c r="AS24" s="577" t="e">
        <f>(VLOOKUP($T24,坦克部件!#REF!,MATCH("标准值",坦克部件!#REF!,0),FALSE)+VLOOKUP($N24,坦克部件!#REF!,MATCH("标准值",坦克部件!#REF!,0),FALSE))*$Q24</f>
        <v>#REF!</v>
      </c>
      <c r="AT24" s="577">
        <f>VLOOKUP($E24,坦克属性统计!$B$3:$AY$33,MATCH(AT$3,坦克属性统计!$B$3:$AY$3,0),FALSE)</f>
        <v>1</v>
      </c>
      <c r="AU24" s="577">
        <f t="shared" ref="AU24:AW37" si="45">VLOOKUP($E24&amp;$K24,所有坦克升星属性,MATCH(AU$3,所有坦克升星属性标头,0),FALSE)</f>
        <v>0</v>
      </c>
      <c r="AV24" s="577">
        <f t="shared" si="45"/>
        <v>4.42</v>
      </c>
      <c r="AW24" s="577">
        <f t="shared" si="45"/>
        <v>0</v>
      </c>
      <c r="AX24" s="356">
        <f t="shared" si="12"/>
        <v>14.574660633484163</v>
      </c>
      <c r="AY24" s="577" t="e">
        <f ca="1">VLOOKUP($F24&amp;$L24,所有坦克升星属性,MATCH(AY$3,所有坦克升星属性标头,0),FALSE)+ROUND(BD24/VLOOKUP($F24,坦克部件!#REF!,4,FALSE)*VLOOKUP($F24&amp;0,所有坦克升星属性,MATCH(AY$3,所有坦克升星属性标头,0),FALSE),0)</f>
        <v>#REF!</v>
      </c>
      <c r="AZ24" s="577" t="e">
        <f ca="1">VLOOKUP($F24&amp;$L24,所有坦克升星属性,MATCH(AZ$3,所有坦克升星属性标头,0),FALSE)+ROUND(BE24/VLOOKUP($F24,坦克部件!#REF!,4,FALSE)*VLOOKUP($F24&amp;0,所有坦克升星属性,MATCH(AZ$3,所有坦克升星属性标头,0),FALSE),0)</f>
        <v>#REF!</v>
      </c>
      <c r="BA24" s="577">
        <f t="shared" ref="BA24:BB37" ca="1" si="46">VLOOKUP($F24&amp;$L24,所有坦克升星属性,MATCH(BA$3,所有坦克升星属性标头,0),FALSE)</f>
        <v>513</v>
      </c>
      <c r="BB24" s="577">
        <f t="shared" ca="1" si="46"/>
        <v>410</v>
      </c>
      <c r="BC24" s="577" t="e">
        <f ca="1">VLOOKUP($F24&amp;$L24,所有坦克升星属性,MATCH(BC$3,所有坦克升星属性标头,0),FALSE)+ROUND(BF24/VLOOKUP($F24,坦克部件!#REF!,4,FALSE)*VLOOKUP($F24&amp;0,所有坦克升星属性,MATCH(BC$3,所有坦克升星属性标头,0),FALSE),0)</f>
        <v>#REF!</v>
      </c>
      <c r="BD24" s="577" t="e">
        <f>(VLOOKUP($U24,坦克部件!#REF!,MATCH("标准值",坦克部件!#REF!,0),FALSE)+VLOOKUP($O24,坦克部件!#REF!,MATCH("标准值",坦克部件!#REF!,0),FALSE))*$R24</f>
        <v>#REF!</v>
      </c>
      <c r="BE24" s="577" t="e">
        <f>(VLOOKUP($U24,坦克部件!#REF!,MATCH("标准值",坦克部件!#REF!,0),FALSE)+VLOOKUP($O24,坦克部件!#REF!,MATCH("标准值",坦克部件!#REF!,0),FALSE))*$R24</f>
        <v>#REF!</v>
      </c>
      <c r="BF24" s="577" t="e">
        <f>(VLOOKUP($U24,坦克部件!#REF!,MATCH("标准值",坦克部件!#REF!,0),FALSE)+VLOOKUP($O24,坦克部件!#REF!,MATCH("标准值",坦克部件!#REF!,0),FALSE))*$R24</f>
        <v>#REF!</v>
      </c>
      <c r="BG24" s="577">
        <f>VLOOKUP($F24,坦克属性统计!$B$3:$AY$33,MATCH(BG$3,坦克属性统计!$B$3:$AY$3,0),FALSE)</f>
        <v>1</v>
      </c>
      <c r="BH24" s="577">
        <f t="shared" ref="BH24:BJ37" si="47">VLOOKUP($F24&amp;$L24,所有坦克升星属性,MATCH(BH$3,所有坦克升星属性标头,0),FALSE)</f>
        <v>0</v>
      </c>
      <c r="BI24" s="577">
        <f t="shared" si="47"/>
        <v>5.89</v>
      </c>
      <c r="BJ24" s="577">
        <f t="shared" si="47"/>
        <v>0</v>
      </c>
      <c r="BK24" s="356">
        <f t="shared" si="13"/>
        <v>11.186757215619695</v>
      </c>
      <c r="BM24" s="271" t="e">
        <f t="shared" ca="1" si="6"/>
        <v>#REF!</v>
      </c>
    </row>
    <row r="25" spans="2:65" x14ac:dyDescent="0.35">
      <c r="B25" s="577">
        <v>22</v>
      </c>
      <c r="C25" s="577" t="e">
        <f t="shared" ca="1" si="7"/>
        <v>#REF!</v>
      </c>
      <c r="D25" s="577" t="s">
        <v>620</v>
      </c>
      <c r="E25" s="577" t="s">
        <v>718</v>
      </c>
      <c r="F25" s="577" t="s">
        <v>632</v>
      </c>
      <c r="G25" s="577" t="str">
        <f>VLOOKUP(D25,坦克个性化设定!$B$18:$F$48,5,FALSE)</f>
        <v>轻坦半自动</v>
      </c>
      <c r="H25" s="577" t="str">
        <f>VLOOKUP(E25,坦克个性化设定!$B$18:$F$48,5,FALSE)</f>
        <v>中坦单发</v>
      </c>
      <c r="I25" s="577" t="str">
        <f>VLOOKUP(F25,坦克个性化设定!$B$18:$F$48,5,FALSE)</f>
        <v>重坦单发</v>
      </c>
      <c r="J25" s="577">
        <v>0</v>
      </c>
      <c r="K25" s="577">
        <v>2</v>
      </c>
      <c r="L25" s="577">
        <v>1</v>
      </c>
      <c r="M25" s="578" t="s">
        <v>2562</v>
      </c>
      <c r="N25" s="578" t="s">
        <v>2630</v>
      </c>
      <c r="O25" s="578" t="s">
        <v>2630</v>
      </c>
      <c r="P25" s="577">
        <v>6</v>
      </c>
      <c r="Q25" s="577">
        <v>6</v>
      </c>
      <c r="R25" s="577">
        <v>6</v>
      </c>
      <c r="S25" s="577">
        <v>40</v>
      </c>
      <c r="T25" s="577">
        <v>30</v>
      </c>
      <c r="U25" s="577">
        <v>30</v>
      </c>
      <c r="V25" s="357" t="e">
        <f t="shared" ca="1" si="8"/>
        <v>#REF!</v>
      </c>
      <c r="W25" s="357" t="e">
        <f t="shared" ca="1" si="9"/>
        <v>#REF!</v>
      </c>
      <c r="X25" s="357" t="e">
        <f t="shared" ca="1" si="10"/>
        <v>#REF!</v>
      </c>
      <c r="Y25" s="577" t="e">
        <f ca="1">VLOOKUP($D25&amp;$J25,所有坦克升星属性,MATCH(Y$3,所有坦克升星属性标头,0),FALSE)+ROUND(AD25/VLOOKUP($D25,坦克部件!#REF!,4,FALSE)*VLOOKUP($D25&amp;0,所有坦克升星属性,MATCH(Y$3,所有坦克升星属性标头,0),FALSE),0)</f>
        <v>#REF!</v>
      </c>
      <c r="Z25" s="577" t="e">
        <f ca="1">VLOOKUP($D25&amp;$J25,所有坦克升星属性,MATCH(Z$3,所有坦克升星属性标头,0),FALSE)+ROUND(AE25/VLOOKUP($D25,坦克部件!#REF!,4,FALSE)*VLOOKUP($D25&amp;0,所有坦克升星属性,MATCH(Z$3,所有坦克升星属性标头,0),FALSE),0)</f>
        <v>#REF!</v>
      </c>
      <c r="AA25" s="577">
        <f t="shared" ca="1" si="42"/>
        <v>570</v>
      </c>
      <c r="AB25" s="577">
        <f t="shared" ca="1" si="42"/>
        <v>399</v>
      </c>
      <c r="AC25" s="577" t="e">
        <f ca="1">VLOOKUP($D25&amp;$J25,所有坦克升星属性,MATCH(AC$3,所有坦克升星属性标头,0),FALSE)+ROUND(AF25/VLOOKUP($D25,坦克部件!#REF!,4,FALSE)*VLOOKUP($D25&amp;0,所有坦克升星属性,MATCH(AC$3,所有坦克升星属性标头,0),FALSE),0)</f>
        <v>#REF!</v>
      </c>
      <c r="AD25" s="577" t="e">
        <f>(VLOOKUP($S25,坦克部件!#REF!,MATCH("标准值",坦克部件!#REF!,0),FALSE)+VLOOKUP($M25,坦克部件!#REF!,MATCH("标准值",坦克部件!#REF!,0),FALSE))*$P25</f>
        <v>#REF!</v>
      </c>
      <c r="AE25" s="577" t="e">
        <f>(VLOOKUP($S25,坦克部件!#REF!,MATCH("标准值",坦克部件!#REF!,0),FALSE)+VLOOKUP($M25,坦克部件!#REF!,MATCH("标准值",坦克部件!#REF!,0),FALSE))*$P25</f>
        <v>#REF!</v>
      </c>
      <c r="AF25" s="577" t="e">
        <f>(VLOOKUP($S25,坦克部件!#REF!,MATCH("标准值",坦克部件!#REF!,0),FALSE)+VLOOKUP($M25,坦克部件!#REF!,MATCH("标准值",坦克部件!#REF!,0),FALSE))*$P25</f>
        <v>#REF!</v>
      </c>
      <c r="AG25" s="577">
        <f>VLOOKUP($D25,坦克属性统计!$B$3:$AY$33,MATCH(AG$3,坦克属性统计!$B$3:$AY$3,0),FALSE)</f>
        <v>6</v>
      </c>
      <c r="AH25" s="577">
        <f t="shared" si="43"/>
        <v>0.3</v>
      </c>
      <c r="AI25" s="577">
        <f t="shared" si="43"/>
        <v>1.4</v>
      </c>
      <c r="AJ25" s="577">
        <f t="shared" si="43"/>
        <v>0</v>
      </c>
      <c r="AK25" s="356">
        <f t="shared" si="11"/>
        <v>47.785714285714292</v>
      </c>
      <c r="AL25" s="577" t="e">
        <f ca="1">VLOOKUP($E25&amp;$K25,所有坦克升星属性,MATCH(AL$3,所有坦克升星属性标头,0),FALSE)+ROUND(AQ25/VLOOKUP($E25,坦克部件!#REF!,4,FALSE)*VLOOKUP($E25&amp;0,所有坦克升星属性,MATCH(AL$3,所有坦克升星属性标头,0),FALSE),0)</f>
        <v>#REF!</v>
      </c>
      <c r="AM25" s="577" t="e">
        <f ca="1">VLOOKUP($E25&amp;$K25,所有坦克升星属性,MATCH(AM$3,所有坦克升星属性标头,0),FALSE)+ROUND(AR25/VLOOKUP($E25,坦克部件!#REF!,4,FALSE)*VLOOKUP($E25&amp;0,所有坦克升星属性,MATCH(AM$3,所有坦克升星属性标头,0),FALSE),0)</f>
        <v>#REF!</v>
      </c>
      <c r="AN25" s="577">
        <f t="shared" ca="1" si="44"/>
        <v>565</v>
      </c>
      <c r="AO25" s="577">
        <f t="shared" ca="1" si="44"/>
        <v>424</v>
      </c>
      <c r="AP25" s="577" t="e">
        <f ca="1">VLOOKUP($E25&amp;$K25,所有坦克升星属性,MATCH(AP$3,所有坦克升星属性标头,0),FALSE)+ROUND(AS25/VLOOKUP($E25,坦克部件!#REF!,4,FALSE)*VLOOKUP($E25&amp;0,所有坦克升星属性,MATCH(AP$3,所有坦克升星属性标头,0),FALSE),0)</f>
        <v>#REF!</v>
      </c>
      <c r="AQ25" s="577" t="e">
        <f>(VLOOKUP($T25,坦克部件!#REF!,MATCH("标准值",坦克部件!#REF!,0),FALSE)+VLOOKUP($N25,坦克部件!#REF!,MATCH("标准值",坦克部件!#REF!,0),FALSE))*$Q25</f>
        <v>#REF!</v>
      </c>
      <c r="AR25" s="577" t="e">
        <f>(VLOOKUP($T25,坦克部件!#REF!,MATCH("标准值",坦克部件!#REF!,0),FALSE)+VLOOKUP($N25,坦克部件!#REF!,MATCH("标准值",坦克部件!#REF!,0),FALSE))*$Q25</f>
        <v>#REF!</v>
      </c>
      <c r="AS25" s="577" t="e">
        <f>(VLOOKUP($T25,坦克部件!#REF!,MATCH("标准值",坦克部件!#REF!,0),FALSE)+VLOOKUP($N25,坦克部件!#REF!,MATCH("标准值",坦克部件!#REF!,0),FALSE))*$Q25</f>
        <v>#REF!</v>
      </c>
      <c r="AT25" s="577">
        <f>VLOOKUP($E25,坦克属性统计!$B$3:$AY$33,MATCH(AT$3,坦克属性统计!$B$3:$AY$3,0),FALSE)</f>
        <v>1</v>
      </c>
      <c r="AU25" s="577">
        <f t="shared" si="45"/>
        <v>0</v>
      </c>
      <c r="AV25" s="577">
        <f t="shared" si="45"/>
        <v>4.34</v>
      </c>
      <c r="AW25" s="577">
        <f t="shared" si="45"/>
        <v>0</v>
      </c>
      <c r="AX25" s="356">
        <f t="shared" si="12"/>
        <v>14.824884792626728</v>
      </c>
      <c r="AY25" s="577" t="e">
        <f ca="1">VLOOKUP($F25&amp;$L25,所有坦克升星属性,MATCH(AY$3,所有坦克升星属性标头,0),FALSE)+ROUND(BD25/VLOOKUP($F25,坦克部件!#REF!,4,FALSE)*VLOOKUP($F25&amp;0,所有坦克升星属性,MATCH(AY$3,所有坦克升星属性标头,0),FALSE),0)</f>
        <v>#REF!</v>
      </c>
      <c r="AZ25" s="577" t="e">
        <f ca="1">VLOOKUP($F25&amp;$L25,所有坦克升星属性,MATCH(AZ$3,所有坦克升星属性标头,0),FALSE)+ROUND(BE25/VLOOKUP($F25,坦克部件!#REF!,4,FALSE)*VLOOKUP($F25&amp;0,所有坦克升星属性,MATCH(AZ$3,所有坦克升星属性标头,0),FALSE),0)</f>
        <v>#REF!</v>
      </c>
      <c r="BA25" s="577">
        <f t="shared" ca="1" si="46"/>
        <v>513</v>
      </c>
      <c r="BB25" s="577">
        <f t="shared" ca="1" si="46"/>
        <v>410</v>
      </c>
      <c r="BC25" s="577" t="e">
        <f ca="1">VLOOKUP($F25&amp;$L25,所有坦克升星属性,MATCH(BC$3,所有坦克升星属性标头,0),FALSE)+ROUND(BF25/VLOOKUP($F25,坦克部件!#REF!,4,FALSE)*VLOOKUP($F25&amp;0,所有坦克升星属性,MATCH(BC$3,所有坦克升星属性标头,0),FALSE),0)</f>
        <v>#REF!</v>
      </c>
      <c r="BD25" s="577" t="e">
        <f>(VLOOKUP($U25,坦克部件!#REF!,MATCH("标准值",坦克部件!#REF!,0),FALSE)+VLOOKUP($O25,坦克部件!#REF!,MATCH("标准值",坦克部件!#REF!,0),FALSE))*$R25</f>
        <v>#REF!</v>
      </c>
      <c r="BE25" s="577" t="e">
        <f>(VLOOKUP($U25,坦克部件!#REF!,MATCH("标准值",坦克部件!#REF!,0),FALSE)+VLOOKUP($O25,坦克部件!#REF!,MATCH("标准值",坦克部件!#REF!,0),FALSE))*$R25</f>
        <v>#REF!</v>
      </c>
      <c r="BF25" s="577" t="e">
        <f>(VLOOKUP($U25,坦克部件!#REF!,MATCH("标准值",坦克部件!#REF!,0),FALSE)+VLOOKUP($O25,坦克部件!#REF!,MATCH("标准值",坦克部件!#REF!,0),FALSE))*$R25</f>
        <v>#REF!</v>
      </c>
      <c r="BG25" s="577">
        <f>VLOOKUP($F25,坦克属性统计!$B$3:$AY$33,MATCH(BG$3,坦克属性统计!$B$3:$AY$3,0),FALSE)</f>
        <v>1</v>
      </c>
      <c r="BH25" s="577">
        <f t="shared" si="47"/>
        <v>0</v>
      </c>
      <c r="BI25" s="577">
        <f t="shared" si="47"/>
        <v>5.89</v>
      </c>
      <c r="BJ25" s="577">
        <f t="shared" si="47"/>
        <v>0</v>
      </c>
      <c r="BK25" s="356">
        <f t="shared" si="13"/>
        <v>11.186757215619695</v>
      </c>
      <c r="BM25" s="271" t="e">
        <f t="shared" ca="1" si="6"/>
        <v>#REF!</v>
      </c>
    </row>
    <row r="26" spans="2:65" x14ac:dyDescent="0.35">
      <c r="B26" s="577">
        <v>23</v>
      </c>
      <c r="C26" s="577" t="e">
        <f t="shared" ref="C26:C35" ca="1" si="48">MAX(V26:X26)*0.65+MIN(V26:X26)*0.1225+(SUM(V26:X26)-MAX(V26:X26)-MIN(V26:X26))*0.2275</f>
        <v>#REF!</v>
      </c>
      <c r="D26" s="577" t="s">
        <v>620</v>
      </c>
      <c r="E26" s="577" t="s">
        <v>719</v>
      </c>
      <c r="F26" s="577" t="s">
        <v>635</v>
      </c>
      <c r="G26" s="577" t="str">
        <f>VLOOKUP(D26,坦克个性化设定!$B$18:$F$48,5,FALSE)</f>
        <v>轻坦半自动</v>
      </c>
      <c r="H26" s="577" t="str">
        <f>VLOOKUP(E26,坦克个性化设定!$B$18:$F$48,5,FALSE)</f>
        <v>中坦弹夹</v>
      </c>
      <c r="I26" s="577" t="str">
        <f>VLOOKUP(F26,坦克个性化设定!$B$18:$F$48,5,FALSE)</f>
        <v>重坦单发</v>
      </c>
      <c r="J26" s="577">
        <v>1</v>
      </c>
      <c r="K26" s="577">
        <v>0</v>
      </c>
      <c r="L26" s="577">
        <v>0</v>
      </c>
      <c r="M26" s="578" t="s">
        <v>2631</v>
      </c>
      <c r="N26" s="578" t="s">
        <v>2631</v>
      </c>
      <c r="O26" s="578" t="s">
        <v>2631</v>
      </c>
      <c r="P26" s="577">
        <v>6</v>
      </c>
      <c r="Q26" s="577">
        <v>6</v>
      </c>
      <c r="R26" s="577">
        <v>6</v>
      </c>
      <c r="S26" s="577">
        <v>40</v>
      </c>
      <c r="T26" s="577">
        <v>40</v>
      </c>
      <c r="U26" s="577">
        <v>39</v>
      </c>
      <c r="V26" s="357" t="e">
        <f t="shared" ref="V26:V35" ca="1" si="49">ROUND(SQRT(Y26*Z26*AK26/2+AVERAGE(AA26,AB26)*AC26*100),0)</f>
        <v>#REF!</v>
      </c>
      <c r="W26" s="357" t="e">
        <f t="shared" ref="W26:W35" ca="1" si="50">ROUND(SQRT(AL26*AM26*AX26/2+AVERAGE(AN26,AO26)*AP26*100),0)</f>
        <v>#REF!</v>
      </c>
      <c r="X26" s="357" t="e">
        <f t="shared" ref="X26:X35" ca="1" si="51">ROUND(SQRT(AY26*AZ26*BK26/2+AVERAGE(BA26,BB26)*BC26*100),0)</f>
        <v>#REF!</v>
      </c>
      <c r="Y26" s="577" t="e">
        <f ca="1">VLOOKUP($D26&amp;$J26,所有坦克升星属性,MATCH(Y$3,所有坦克升星属性标头,0),FALSE)+ROUND(AD26/VLOOKUP($D26,坦克部件!#REF!,4,FALSE)*VLOOKUP($D26&amp;0,所有坦克升星属性,MATCH(Y$3,所有坦克升星属性标头,0),FALSE),0)</f>
        <v>#REF!</v>
      </c>
      <c r="Z26" s="577" t="e">
        <f ca="1">VLOOKUP($D26&amp;$J26,所有坦克升星属性,MATCH(Z$3,所有坦克升星属性标头,0),FALSE)+ROUND(AE26/VLOOKUP($D26,坦克部件!#REF!,4,FALSE)*VLOOKUP($D26&amp;0,所有坦克升星属性,MATCH(Z$3,所有坦克升星属性标头,0),FALSE),0)</f>
        <v>#REF!</v>
      </c>
      <c r="AA26" s="577">
        <f t="shared" ca="1" si="42"/>
        <v>591</v>
      </c>
      <c r="AB26" s="577">
        <f t="shared" ca="1" si="42"/>
        <v>414</v>
      </c>
      <c r="AC26" s="577" t="e">
        <f ca="1">VLOOKUP($D26&amp;$J26,所有坦克升星属性,MATCH(AC$3,所有坦克升星属性标头,0),FALSE)+ROUND(AF26/VLOOKUP($D26,坦克部件!#REF!,4,FALSE)*VLOOKUP($D26&amp;0,所有坦克升星属性,MATCH(AC$3,所有坦克升星属性标头,0),FALSE),0)</f>
        <v>#REF!</v>
      </c>
      <c r="AD26" s="577" t="e">
        <f>(VLOOKUP($S26,坦克部件!#REF!,MATCH("标准值",坦克部件!#REF!,0),FALSE)+VLOOKUP($M26,坦克部件!#REF!,MATCH("标准值",坦克部件!#REF!,0),FALSE))*$P26</f>
        <v>#REF!</v>
      </c>
      <c r="AE26" s="577" t="e">
        <f>(VLOOKUP($S26,坦克部件!#REF!,MATCH("标准值",坦克部件!#REF!,0),FALSE)+VLOOKUP($M26,坦克部件!#REF!,MATCH("标准值",坦克部件!#REF!,0),FALSE))*$P26</f>
        <v>#REF!</v>
      </c>
      <c r="AF26" s="577" t="e">
        <f>(VLOOKUP($S26,坦克部件!#REF!,MATCH("标准值",坦克部件!#REF!,0),FALSE)+VLOOKUP($M26,坦克部件!#REF!,MATCH("标准值",坦克部件!#REF!,0),FALSE))*$P26</f>
        <v>#REF!</v>
      </c>
      <c r="AG26" s="577">
        <f>VLOOKUP($D26,坦克属性统计!$B$3:$AY$33,MATCH(AG$3,坦克属性统计!$B$3:$AY$3,0),FALSE)</f>
        <v>6</v>
      </c>
      <c r="AH26" s="577">
        <f t="shared" si="43"/>
        <v>0.3</v>
      </c>
      <c r="AI26" s="577">
        <f t="shared" si="43"/>
        <v>1.36</v>
      </c>
      <c r="AJ26" s="577">
        <f t="shared" si="43"/>
        <v>0</v>
      </c>
      <c r="AK26" s="356">
        <f t="shared" ref="AK26:AK35" si="52">IF(LEN(G26)=5,(60-(AG26-1)*AH26)/AI26+AG26,IF(RIGHT(G26,2)="弹夹",((60-(AG26-1)*AH26)/(AJ26+(AG26-1)*AH26)+1)*AG26,60/AI26+AG26))</f>
        <v>49.014705882352935</v>
      </c>
      <c r="AL26" s="577" t="e">
        <f ca="1">VLOOKUP($E26&amp;$K26,所有坦克升星属性,MATCH(AL$3,所有坦克升星属性标头,0),FALSE)+ROUND(AQ26/VLOOKUP($E26,坦克部件!#REF!,4,FALSE)*VLOOKUP($E26&amp;0,所有坦克升星属性,MATCH(AL$3,所有坦克升星属性标头,0),FALSE),0)</f>
        <v>#REF!</v>
      </c>
      <c r="AM26" s="577" t="e">
        <f ca="1">VLOOKUP($E26&amp;$K26,所有坦克升星属性,MATCH(AM$3,所有坦克升星属性标头,0),FALSE)+ROUND(AR26/VLOOKUP($E26,坦克部件!#REF!,4,FALSE)*VLOOKUP($E26&amp;0,所有坦克升星属性,MATCH(AM$3,所有坦克升星属性标头,0),FALSE),0)</f>
        <v>#REF!</v>
      </c>
      <c r="AN26" s="577">
        <f t="shared" ca="1" si="44"/>
        <v>543</v>
      </c>
      <c r="AO26" s="577">
        <f t="shared" ca="1" si="44"/>
        <v>407</v>
      </c>
      <c r="AP26" s="577" t="e">
        <f ca="1">VLOOKUP($E26&amp;$K26,所有坦克升星属性,MATCH(AP$3,所有坦克升星属性标头,0),FALSE)+ROUND(AS26/VLOOKUP($E26,坦克部件!#REF!,4,FALSE)*VLOOKUP($E26&amp;0,所有坦克升星属性,MATCH(AP$3,所有坦克升星属性标头,0),FALSE),0)</f>
        <v>#REF!</v>
      </c>
      <c r="AQ26" s="577" t="e">
        <f>(VLOOKUP($T26,坦克部件!#REF!,MATCH("标准值",坦克部件!#REF!,0),FALSE)+VLOOKUP($N26,坦克部件!#REF!,MATCH("标准值",坦克部件!#REF!,0),FALSE))*$Q26</f>
        <v>#REF!</v>
      </c>
      <c r="AR26" s="577" t="e">
        <f>(VLOOKUP($T26,坦克部件!#REF!,MATCH("标准值",坦克部件!#REF!,0),FALSE)+VLOOKUP($N26,坦克部件!#REF!,MATCH("标准值",坦克部件!#REF!,0),FALSE))*$Q26</f>
        <v>#REF!</v>
      </c>
      <c r="AS26" s="577" t="e">
        <f>(VLOOKUP($T26,坦克部件!#REF!,MATCH("标准值",坦克部件!#REF!,0),FALSE)+VLOOKUP($N26,坦克部件!#REF!,MATCH("标准值",坦克部件!#REF!,0),FALSE))*$Q26</f>
        <v>#REF!</v>
      </c>
      <c r="AT26" s="577">
        <f>VLOOKUP($E26,坦克属性统计!$B$3:$AY$33,MATCH(AT$3,坦克属性统计!$B$3:$AY$3,0),FALSE)</f>
        <v>4</v>
      </c>
      <c r="AU26" s="577">
        <f t="shared" si="45"/>
        <v>0.88</v>
      </c>
      <c r="AV26" s="577">
        <f t="shared" si="45"/>
        <v>0</v>
      </c>
      <c r="AW26" s="577">
        <f t="shared" si="45"/>
        <v>4</v>
      </c>
      <c r="AX26" s="356">
        <f t="shared" ref="AX26:AX35" si="53">IF(LEN(H26)=5,(60-(AT26-1)*AU26)/AV26+AT26,IF(RIGHT(H26,2)="弹夹",((60-(AT26-1)*AU26)/(AW26+(AT26-1)*AU26)+1)*AT26,60/AV26+AT26))</f>
        <v>38.554216867469876</v>
      </c>
      <c r="AY26" s="577" t="e">
        <f ca="1">VLOOKUP($F26&amp;$L26,所有坦克升星属性,MATCH(AY$3,所有坦克升星属性标头,0),FALSE)+ROUND(BD26/VLOOKUP($F26,坦克部件!#REF!,4,FALSE)*VLOOKUP($F26&amp;0,所有坦克升星属性,MATCH(AY$3,所有坦克升星属性标头,0),FALSE),0)</f>
        <v>#REF!</v>
      </c>
      <c r="AZ26" s="577" t="e">
        <f ca="1">VLOOKUP($F26&amp;$L26,所有坦克升星属性,MATCH(AZ$3,所有坦克升星属性标头,0),FALSE)+ROUND(BE26/VLOOKUP($F26,坦克部件!#REF!,4,FALSE)*VLOOKUP($F26&amp;0,所有坦克升星属性,MATCH(AZ$3,所有坦克升星属性标头,0),FALSE),0)</f>
        <v>#REF!</v>
      </c>
      <c r="BA26" s="577">
        <f t="shared" ca="1" si="46"/>
        <v>597</v>
      </c>
      <c r="BB26" s="577">
        <f t="shared" ca="1" si="46"/>
        <v>478</v>
      </c>
      <c r="BC26" s="577" t="e">
        <f ca="1">VLOOKUP($F26&amp;$L26,所有坦克升星属性,MATCH(BC$3,所有坦克升星属性标头,0),FALSE)+ROUND(BF26/VLOOKUP($F26,坦克部件!#REF!,4,FALSE)*VLOOKUP($F26&amp;0,所有坦克升星属性,MATCH(BC$3,所有坦克升星属性标头,0),FALSE),0)</f>
        <v>#REF!</v>
      </c>
      <c r="BD26" s="577" t="e">
        <f>(VLOOKUP($U26,坦克部件!#REF!,MATCH("标准值",坦克部件!#REF!,0),FALSE)+VLOOKUP($O26,坦克部件!#REF!,MATCH("标准值",坦克部件!#REF!,0),FALSE))*$R26</f>
        <v>#REF!</v>
      </c>
      <c r="BE26" s="577" t="e">
        <f>(VLOOKUP($U26,坦克部件!#REF!,MATCH("标准值",坦克部件!#REF!,0),FALSE)+VLOOKUP($O26,坦克部件!#REF!,MATCH("标准值",坦克部件!#REF!,0),FALSE))*$R26</f>
        <v>#REF!</v>
      </c>
      <c r="BF26" s="577" t="e">
        <f>(VLOOKUP($U26,坦克部件!#REF!,MATCH("标准值",坦克部件!#REF!,0),FALSE)+VLOOKUP($O26,坦克部件!#REF!,MATCH("标准值",坦克部件!#REF!,0),FALSE))*$R26</f>
        <v>#REF!</v>
      </c>
      <c r="BG26" s="577">
        <f>VLOOKUP($F26,坦克属性统计!$B$3:$AY$33,MATCH(BG$3,坦克属性统计!$B$3:$AY$3,0),FALSE)</f>
        <v>1</v>
      </c>
      <c r="BH26" s="577">
        <f t="shared" si="47"/>
        <v>0</v>
      </c>
      <c r="BI26" s="577">
        <f t="shared" si="47"/>
        <v>6</v>
      </c>
      <c r="BJ26" s="577">
        <f t="shared" si="47"/>
        <v>0</v>
      </c>
      <c r="BK26" s="356">
        <f t="shared" ref="BK26:BK35" si="54">IF(LEN(I26)=5,(60-(BG26-1)*BH26)/BI26+BG26,IF(RIGHT(I26,2)="弹夹",((60-(BG26-1)*BH26)/(BJ26+(BG26-1)*BH26)+1)*BG26,60/BI26+BG26))</f>
        <v>11</v>
      </c>
      <c r="BM26" s="271" t="e">
        <f t="shared" ca="1" si="6"/>
        <v>#REF!</v>
      </c>
    </row>
    <row r="27" spans="2:65" x14ac:dyDescent="0.35">
      <c r="B27" s="577">
        <v>24</v>
      </c>
      <c r="C27" s="577" t="e">
        <f t="shared" ca="1" si="48"/>
        <v>#REF!</v>
      </c>
      <c r="D27" s="577" t="s">
        <v>717</v>
      </c>
      <c r="E27" s="577" t="s">
        <v>719</v>
      </c>
      <c r="F27" s="577" t="s">
        <v>635</v>
      </c>
      <c r="G27" s="577" t="str">
        <f>VLOOKUP(D27,坦克个性化设定!$B$18:$F$48,5,FALSE)</f>
        <v>轻坦单发</v>
      </c>
      <c r="H27" s="577" t="str">
        <f>VLOOKUP(E27,坦克个性化设定!$B$18:$F$48,5,FALSE)</f>
        <v>中坦弹夹</v>
      </c>
      <c r="I27" s="577" t="str">
        <f>VLOOKUP(F27,坦克个性化设定!$B$18:$F$48,5,FALSE)</f>
        <v>重坦单发</v>
      </c>
      <c r="J27" s="577">
        <v>0</v>
      </c>
      <c r="K27" s="577">
        <v>1</v>
      </c>
      <c r="L27" s="577">
        <v>0</v>
      </c>
      <c r="M27" s="578" t="s">
        <v>2632</v>
      </c>
      <c r="N27" s="578" t="s">
        <v>2632</v>
      </c>
      <c r="O27" s="578" t="s">
        <v>2631</v>
      </c>
      <c r="P27" s="577">
        <v>6</v>
      </c>
      <c r="Q27" s="577">
        <v>6</v>
      </c>
      <c r="R27" s="577">
        <v>6</v>
      </c>
      <c r="S27" s="577">
        <v>40</v>
      </c>
      <c r="T27" s="577">
        <v>40</v>
      </c>
      <c r="U27" s="577">
        <v>40</v>
      </c>
      <c r="V27" s="357" t="e">
        <f t="shared" ca="1" si="49"/>
        <v>#REF!</v>
      </c>
      <c r="W27" s="357" t="e">
        <f t="shared" ca="1" si="50"/>
        <v>#REF!</v>
      </c>
      <c r="X27" s="357" t="e">
        <f t="shared" ca="1" si="51"/>
        <v>#REF!</v>
      </c>
      <c r="Y27" s="577" t="e">
        <f ca="1">VLOOKUP($D27&amp;$J27,所有坦克升星属性,MATCH(Y$3,所有坦克升星属性标头,0),FALSE)+ROUND(AD27/VLOOKUP($D27,坦克部件!#REF!,4,FALSE)*VLOOKUP($D27&amp;0,所有坦克升星属性,MATCH(Y$3,所有坦克升星属性标头,0),FALSE),0)</f>
        <v>#REF!</v>
      </c>
      <c r="Z27" s="577" t="e">
        <f ca="1">VLOOKUP($D27&amp;$J27,所有坦克升星属性,MATCH(Z$3,所有坦克升星属性标头,0),FALSE)+ROUND(AE27/VLOOKUP($D27,坦克部件!#REF!,4,FALSE)*VLOOKUP($D27&amp;0,所有坦克升星属性,MATCH(Z$3,所有坦克升星属性标头,0),FALSE),0)</f>
        <v>#REF!</v>
      </c>
      <c r="AA27" s="577">
        <f t="shared" ca="1" si="42"/>
        <v>700</v>
      </c>
      <c r="AB27" s="577">
        <f t="shared" ca="1" si="42"/>
        <v>490</v>
      </c>
      <c r="AC27" s="577" t="e">
        <f ca="1">VLOOKUP($D27&amp;$J27,所有坦克升星属性,MATCH(AC$3,所有坦克升星属性标头,0),FALSE)+ROUND(AF27/VLOOKUP($D27,坦克部件!#REF!,4,FALSE)*VLOOKUP($D27&amp;0,所有坦克升星属性,MATCH(AC$3,所有坦克升星属性标头,0),FALSE),0)</f>
        <v>#REF!</v>
      </c>
      <c r="AD27" s="577" t="e">
        <f>(VLOOKUP($S27,坦克部件!#REF!,MATCH("标准值",坦克部件!#REF!,0),FALSE)+VLOOKUP($M27,坦克部件!#REF!,MATCH("标准值",坦克部件!#REF!,0),FALSE))*$P27</f>
        <v>#REF!</v>
      </c>
      <c r="AE27" s="577" t="e">
        <f>(VLOOKUP($S27,坦克部件!#REF!,MATCH("标准值",坦克部件!#REF!,0),FALSE)+VLOOKUP($M27,坦克部件!#REF!,MATCH("标准值",坦克部件!#REF!,0),FALSE))*$P27</f>
        <v>#REF!</v>
      </c>
      <c r="AF27" s="577" t="e">
        <f>(VLOOKUP($S27,坦克部件!#REF!,MATCH("标准值",坦克部件!#REF!,0),FALSE)+VLOOKUP($M27,坦克部件!#REF!,MATCH("标准值",坦克部件!#REF!,0),FALSE))*$P27</f>
        <v>#REF!</v>
      </c>
      <c r="AG27" s="577">
        <f>VLOOKUP($D27,坦克属性统计!$B$3:$AY$33,MATCH(AG$3,坦克属性统计!$B$3:$AY$3,0),FALSE)</f>
        <v>1</v>
      </c>
      <c r="AH27" s="577">
        <f t="shared" si="43"/>
        <v>0</v>
      </c>
      <c r="AI27" s="577">
        <f t="shared" si="43"/>
        <v>3</v>
      </c>
      <c r="AJ27" s="577">
        <f t="shared" si="43"/>
        <v>0</v>
      </c>
      <c r="AK27" s="356">
        <f t="shared" si="52"/>
        <v>21</v>
      </c>
      <c r="AL27" s="577" t="e">
        <f ca="1">VLOOKUP($E27&amp;$K27,所有坦克升星属性,MATCH(AL$3,所有坦克升星属性标头,0),FALSE)+ROUND(AQ27/VLOOKUP($E27,坦克部件!#REF!,4,FALSE)*VLOOKUP($E27&amp;0,所有坦克升星属性,MATCH(AL$3,所有坦克升星属性标头,0),FALSE),0)</f>
        <v>#REF!</v>
      </c>
      <c r="AM27" s="577" t="e">
        <f ca="1">VLOOKUP($E27&amp;$K27,所有坦克升星属性,MATCH(AM$3,所有坦克升星属性标头,0),FALSE)+ROUND(AR27/VLOOKUP($E27,坦克部件!#REF!,4,FALSE)*VLOOKUP($E27&amp;0,所有坦克升星属性,MATCH(AM$3,所有坦克升星属性标头,0),FALSE),0)</f>
        <v>#REF!</v>
      </c>
      <c r="AN27" s="577">
        <f t="shared" ca="1" si="44"/>
        <v>563</v>
      </c>
      <c r="AO27" s="577">
        <f t="shared" ca="1" si="44"/>
        <v>422</v>
      </c>
      <c r="AP27" s="577" t="e">
        <f ca="1">VLOOKUP($E27&amp;$K27,所有坦克升星属性,MATCH(AP$3,所有坦克升星属性标头,0),FALSE)+ROUND(AS27/VLOOKUP($E27,坦克部件!#REF!,4,FALSE)*VLOOKUP($E27&amp;0,所有坦克升星属性,MATCH(AP$3,所有坦克升星属性标头,0),FALSE),0)</f>
        <v>#REF!</v>
      </c>
      <c r="AQ27" s="577" t="e">
        <f>(VLOOKUP($T27,坦克部件!#REF!,MATCH("标准值",坦克部件!#REF!,0),FALSE)+VLOOKUP($N27,坦克部件!#REF!,MATCH("标准值",坦克部件!#REF!,0),FALSE))*$Q27</f>
        <v>#REF!</v>
      </c>
      <c r="AR27" s="577" t="e">
        <f>(VLOOKUP($T27,坦克部件!#REF!,MATCH("标准值",坦克部件!#REF!,0),FALSE)+VLOOKUP($N27,坦克部件!#REF!,MATCH("标准值",坦克部件!#REF!,0),FALSE))*$Q27</f>
        <v>#REF!</v>
      </c>
      <c r="AS27" s="577" t="e">
        <f>(VLOOKUP($T27,坦克部件!#REF!,MATCH("标准值",坦克部件!#REF!,0),FALSE)+VLOOKUP($N27,坦克部件!#REF!,MATCH("标准值",坦克部件!#REF!,0),FALSE))*$Q27</f>
        <v>#REF!</v>
      </c>
      <c r="AT27" s="577">
        <f>VLOOKUP($E27,坦克属性统计!$B$3:$AY$33,MATCH(AT$3,坦克属性统计!$B$3:$AY$3,0),FALSE)</f>
        <v>4</v>
      </c>
      <c r="AU27" s="577">
        <f t="shared" si="45"/>
        <v>0.87</v>
      </c>
      <c r="AV27" s="577">
        <f t="shared" si="45"/>
        <v>0</v>
      </c>
      <c r="AW27" s="577">
        <f t="shared" si="45"/>
        <v>3.9</v>
      </c>
      <c r="AX27" s="356">
        <f t="shared" si="53"/>
        <v>39.262672811059907</v>
      </c>
      <c r="AY27" s="577" t="e">
        <f ca="1">VLOOKUP($F27&amp;$L27,所有坦克升星属性,MATCH(AY$3,所有坦克升星属性标头,0),FALSE)+ROUND(BD27/VLOOKUP($F27,坦克部件!#REF!,4,FALSE)*VLOOKUP($F27&amp;0,所有坦克升星属性,MATCH(AY$3,所有坦克升星属性标头,0),FALSE),0)</f>
        <v>#REF!</v>
      </c>
      <c r="AZ27" s="577" t="e">
        <f ca="1">VLOOKUP($F27&amp;$L27,所有坦克升星属性,MATCH(AZ$3,所有坦克升星属性标头,0),FALSE)+ROUND(BE27/VLOOKUP($F27,坦克部件!#REF!,4,FALSE)*VLOOKUP($F27&amp;0,所有坦克升星属性,MATCH(AZ$3,所有坦克升星属性标头,0),FALSE),0)</f>
        <v>#REF!</v>
      </c>
      <c r="BA27" s="577">
        <f t="shared" ca="1" si="46"/>
        <v>597</v>
      </c>
      <c r="BB27" s="577">
        <f t="shared" ca="1" si="46"/>
        <v>478</v>
      </c>
      <c r="BC27" s="577" t="e">
        <f ca="1">VLOOKUP($F27&amp;$L27,所有坦克升星属性,MATCH(BC$3,所有坦克升星属性标头,0),FALSE)+ROUND(BF27/VLOOKUP($F27,坦克部件!#REF!,4,FALSE)*VLOOKUP($F27&amp;0,所有坦克升星属性,MATCH(BC$3,所有坦克升星属性标头,0),FALSE),0)</f>
        <v>#REF!</v>
      </c>
      <c r="BD27" s="577" t="e">
        <f>(VLOOKUP($U27,坦克部件!#REF!,MATCH("标准值",坦克部件!#REF!,0),FALSE)+VLOOKUP($O27,坦克部件!#REF!,MATCH("标准值",坦克部件!#REF!,0),FALSE))*$R27</f>
        <v>#REF!</v>
      </c>
      <c r="BE27" s="577" t="e">
        <f>(VLOOKUP($U27,坦克部件!#REF!,MATCH("标准值",坦克部件!#REF!,0),FALSE)+VLOOKUP($O27,坦克部件!#REF!,MATCH("标准值",坦克部件!#REF!,0),FALSE))*$R27</f>
        <v>#REF!</v>
      </c>
      <c r="BF27" s="577" t="e">
        <f>(VLOOKUP($U27,坦克部件!#REF!,MATCH("标准值",坦克部件!#REF!,0),FALSE)+VLOOKUP($O27,坦克部件!#REF!,MATCH("标准值",坦克部件!#REF!,0),FALSE))*$R27</f>
        <v>#REF!</v>
      </c>
      <c r="BG27" s="577">
        <f>VLOOKUP($F27,坦克属性统计!$B$3:$AY$33,MATCH(BG$3,坦克属性统计!$B$3:$AY$3,0),FALSE)</f>
        <v>1</v>
      </c>
      <c r="BH27" s="577">
        <f t="shared" si="47"/>
        <v>0</v>
      </c>
      <c r="BI27" s="577">
        <f t="shared" si="47"/>
        <v>6</v>
      </c>
      <c r="BJ27" s="577">
        <f t="shared" si="47"/>
        <v>0</v>
      </c>
      <c r="BK27" s="356">
        <f t="shared" si="54"/>
        <v>11</v>
      </c>
      <c r="BM27" s="271" t="e">
        <f t="shared" ca="1" si="6"/>
        <v>#REF!</v>
      </c>
    </row>
    <row r="28" spans="2:65" x14ac:dyDescent="0.35">
      <c r="B28" s="577">
        <v>25</v>
      </c>
      <c r="C28" s="577" t="e">
        <f t="shared" ca="1" si="48"/>
        <v>#REF!</v>
      </c>
      <c r="D28" s="577" t="s">
        <v>717</v>
      </c>
      <c r="E28" s="577" t="s">
        <v>719</v>
      </c>
      <c r="F28" s="577" t="s">
        <v>635</v>
      </c>
      <c r="G28" s="577" t="str">
        <f>VLOOKUP(D28,坦克个性化设定!$B$18:$F$48,5,FALSE)</f>
        <v>轻坦单发</v>
      </c>
      <c r="H28" s="577" t="str">
        <f>VLOOKUP(E28,坦克个性化设定!$B$18:$F$48,5,FALSE)</f>
        <v>中坦弹夹</v>
      </c>
      <c r="I28" s="577" t="str">
        <f>VLOOKUP(F28,坦克个性化设定!$B$18:$F$48,5,FALSE)</f>
        <v>重坦单发</v>
      </c>
      <c r="J28" s="577">
        <v>1</v>
      </c>
      <c r="K28" s="577">
        <v>1</v>
      </c>
      <c r="L28" s="577">
        <v>0</v>
      </c>
      <c r="M28" s="578" t="s">
        <v>2635</v>
      </c>
      <c r="N28" s="578" t="s">
        <v>2632</v>
      </c>
      <c r="O28" s="578" t="s">
        <v>2632</v>
      </c>
      <c r="P28" s="577">
        <v>6</v>
      </c>
      <c r="Q28" s="577">
        <v>6</v>
      </c>
      <c r="R28" s="577">
        <v>6</v>
      </c>
      <c r="S28" s="577">
        <v>40</v>
      </c>
      <c r="T28" s="577">
        <v>40</v>
      </c>
      <c r="U28" s="577">
        <v>40</v>
      </c>
      <c r="V28" s="357" t="e">
        <f t="shared" ca="1" si="49"/>
        <v>#REF!</v>
      </c>
      <c r="W28" s="357" t="e">
        <f t="shared" ca="1" si="50"/>
        <v>#REF!</v>
      </c>
      <c r="X28" s="357" t="e">
        <f t="shared" ca="1" si="51"/>
        <v>#REF!</v>
      </c>
      <c r="Y28" s="577" t="e">
        <f ca="1">VLOOKUP($D28&amp;$J28,所有坦克升星属性,MATCH(Y$3,所有坦克升星属性标头,0),FALSE)+ROUND(AD28/VLOOKUP($D28,坦克部件!#REF!,4,FALSE)*VLOOKUP($D28&amp;0,所有坦克升星属性,MATCH(Y$3,所有坦克升星属性标头,0),FALSE),0)</f>
        <v>#REF!</v>
      </c>
      <c r="Z28" s="577" t="e">
        <f ca="1">VLOOKUP($D28&amp;$J28,所有坦克升星属性,MATCH(Z$3,所有坦克升星属性标头,0),FALSE)+ROUND(AE28/VLOOKUP($D28,坦克部件!#REF!,4,FALSE)*VLOOKUP($D28&amp;0,所有坦克升星属性,MATCH(Z$3,所有坦克升星属性标头,0),FALSE),0)</f>
        <v>#REF!</v>
      </c>
      <c r="AA28" s="577">
        <f t="shared" ca="1" si="42"/>
        <v>729</v>
      </c>
      <c r="AB28" s="577">
        <f t="shared" ca="1" si="42"/>
        <v>511</v>
      </c>
      <c r="AC28" s="577" t="e">
        <f ca="1">VLOOKUP($D28&amp;$J28,所有坦克升星属性,MATCH(AC$3,所有坦克升星属性标头,0),FALSE)+ROUND(AF28/VLOOKUP($D28,坦克部件!#REF!,4,FALSE)*VLOOKUP($D28&amp;0,所有坦克升星属性,MATCH(AC$3,所有坦克升星属性标头,0),FALSE),0)</f>
        <v>#REF!</v>
      </c>
      <c r="AD28" s="577" t="e">
        <f>(VLOOKUP($S28,坦克部件!#REF!,MATCH("标准值",坦克部件!#REF!,0),FALSE)+VLOOKUP($M28,坦克部件!#REF!,MATCH("标准值",坦克部件!#REF!,0),FALSE))*$P28</f>
        <v>#REF!</v>
      </c>
      <c r="AE28" s="577" t="e">
        <f>(VLOOKUP($S28,坦克部件!#REF!,MATCH("标准值",坦克部件!#REF!,0),FALSE)+VLOOKUP($M28,坦克部件!#REF!,MATCH("标准值",坦克部件!#REF!,0),FALSE))*$P28</f>
        <v>#REF!</v>
      </c>
      <c r="AF28" s="577" t="e">
        <f>(VLOOKUP($S28,坦克部件!#REF!,MATCH("标准值",坦克部件!#REF!,0),FALSE)+VLOOKUP($M28,坦克部件!#REF!,MATCH("标准值",坦克部件!#REF!,0),FALSE))*$P28</f>
        <v>#REF!</v>
      </c>
      <c r="AG28" s="577">
        <f>VLOOKUP($D28,坦克属性统计!$B$3:$AY$33,MATCH(AG$3,坦克属性统计!$B$3:$AY$3,0),FALSE)</f>
        <v>1</v>
      </c>
      <c r="AH28" s="577">
        <f t="shared" si="43"/>
        <v>0</v>
      </c>
      <c r="AI28" s="577">
        <f t="shared" si="43"/>
        <v>2.96</v>
      </c>
      <c r="AJ28" s="577">
        <f t="shared" si="43"/>
        <v>0</v>
      </c>
      <c r="AK28" s="356">
        <f t="shared" si="52"/>
        <v>21.27027027027027</v>
      </c>
      <c r="AL28" s="577" t="e">
        <f ca="1">VLOOKUP($E28&amp;$K28,所有坦克升星属性,MATCH(AL$3,所有坦克升星属性标头,0),FALSE)+ROUND(AQ28/VLOOKUP($E28,坦克部件!#REF!,4,FALSE)*VLOOKUP($E28&amp;0,所有坦克升星属性,MATCH(AL$3,所有坦克升星属性标头,0),FALSE),0)</f>
        <v>#REF!</v>
      </c>
      <c r="AM28" s="577" t="e">
        <f ca="1">VLOOKUP($E28&amp;$K28,所有坦克升星属性,MATCH(AM$3,所有坦克升星属性标头,0),FALSE)+ROUND(AR28/VLOOKUP($E28,坦克部件!#REF!,4,FALSE)*VLOOKUP($E28&amp;0,所有坦克升星属性,MATCH(AM$3,所有坦克升星属性标头,0),FALSE),0)</f>
        <v>#REF!</v>
      </c>
      <c r="AN28" s="577">
        <f t="shared" ca="1" si="44"/>
        <v>563</v>
      </c>
      <c r="AO28" s="577">
        <f t="shared" ca="1" si="44"/>
        <v>422</v>
      </c>
      <c r="AP28" s="577" t="e">
        <f ca="1">VLOOKUP($E28&amp;$K28,所有坦克升星属性,MATCH(AP$3,所有坦克升星属性标头,0),FALSE)+ROUND(AS28/VLOOKUP($E28,坦克部件!#REF!,4,FALSE)*VLOOKUP($E28&amp;0,所有坦克升星属性,MATCH(AP$3,所有坦克升星属性标头,0),FALSE),0)</f>
        <v>#REF!</v>
      </c>
      <c r="AQ28" s="577" t="e">
        <f>(VLOOKUP($T28,坦克部件!#REF!,MATCH("标准值",坦克部件!#REF!,0),FALSE)+VLOOKUP($N28,坦克部件!#REF!,MATCH("标准值",坦克部件!#REF!,0),FALSE))*$Q28</f>
        <v>#REF!</v>
      </c>
      <c r="AR28" s="577" t="e">
        <f>(VLOOKUP($T28,坦克部件!#REF!,MATCH("标准值",坦克部件!#REF!,0),FALSE)+VLOOKUP($N28,坦克部件!#REF!,MATCH("标准值",坦克部件!#REF!,0),FALSE))*$Q28</f>
        <v>#REF!</v>
      </c>
      <c r="AS28" s="577" t="e">
        <f>(VLOOKUP($T28,坦克部件!#REF!,MATCH("标准值",坦克部件!#REF!,0),FALSE)+VLOOKUP($N28,坦克部件!#REF!,MATCH("标准值",坦克部件!#REF!,0),FALSE))*$Q28</f>
        <v>#REF!</v>
      </c>
      <c r="AT28" s="577">
        <f>VLOOKUP($E28,坦克属性统计!$B$3:$AY$33,MATCH(AT$3,坦克属性统计!$B$3:$AY$3,0),FALSE)</f>
        <v>4</v>
      </c>
      <c r="AU28" s="577">
        <f t="shared" si="45"/>
        <v>0.87</v>
      </c>
      <c r="AV28" s="577">
        <f t="shared" si="45"/>
        <v>0</v>
      </c>
      <c r="AW28" s="577">
        <f t="shared" si="45"/>
        <v>3.9</v>
      </c>
      <c r="AX28" s="356">
        <f t="shared" si="53"/>
        <v>39.262672811059907</v>
      </c>
      <c r="AY28" s="577" t="e">
        <f ca="1">VLOOKUP($F28&amp;$L28,所有坦克升星属性,MATCH(AY$3,所有坦克升星属性标头,0),FALSE)+ROUND(BD28/VLOOKUP($F28,坦克部件!#REF!,4,FALSE)*VLOOKUP($F28&amp;0,所有坦克升星属性,MATCH(AY$3,所有坦克升星属性标头,0),FALSE),0)</f>
        <v>#REF!</v>
      </c>
      <c r="AZ28" s="577" t="e">
        <f ca="1">VLOOKUP($F28&amp;$L28,所有坦克升星属性,MATCH(AZ$3,所有坦克升星属性标头,0),FALSE)+ROUND(BE28/VLOOKUP($F28,坦克部件!#REF!,4,FALSE)*VLOOKUP($F28&amp;0,所有坦克升星属性,MATCH(AZ$3,所有坦克升星属性标头,0),FALSE),0)</f>
        <v>#REF!</v>
      </c>
      <c r="BA28" s="577">
        <f t="shared" ca="1" si="46"/>
        <v>597</v>
      </c>
      <c r="BB28" s="577">
        <f t="shared" ca="1" si="46"/>
        <v>478</v>
      </c>
      <c r="BC28" s="577" t="e">
        <f ca="1">VLOOKUP($F28&amp;$L28,所有坦克升星属性,MATCH(BC$3,所有坦克升星属性标头,0),FALSE)+ROUND(BF28/VLOOKUP($F28,坦克部件!#REF!,4,FALSE)*VLOOKUP($F28&amp;0,所有坦克升星属性,MATCH(BC$3,所有坦克升星属性标头,0),FALSE),0)</f>
        <v>#REF!</v>
      </c>
      <c r="BD28" s="577" t="e">
        <f>(VLOOKUP($U28,坦克部件!#REF!,MATCH("标准值",坦克部件!#REF!,0),FALSE)+VLOOKUP($O28,坦克部件!#REF!,MATCH("标准值",坦克部件!#REF!,0),FALSE))*$R28</f>
        <v>#REF!</v>
      </c>
      <c r="BE28" s="577" t="e">
        <f>(VLOOKUP($U28,坦克部件!#REF!,MATCH("标准值",坦克部件!#REF!,0),FALSE)+VLOOKUP($O28,坦克部件!#REF!,MATCH("标准值",坦克部件!#REF!,0),FALSE))*$R28</f>
        <v>#REF!</v>
      </c>
      <c r="BF28" s="577" t="e">
        <f>(VLOOKUP($U28,坦克部件!#REF!,MATCH("标准值",坦克部件!#REF!,0),FALSE)+VLOOKUP($O28,坦克部件!#REF!,MATCH("标准值",坦克部件!#REF!,0),FALSE))*$R28</f>
        <v>#REF!</v>
      </c>
      <c r="BG28" s="577">
        <f>VLOOKUP($F28,坦克属性统计!$B$3:$AY$33,MATCH(BG$3,坦克属性统计!$B$3:$AY$3,0),FALSE)</f>
        <v>1</v>
      </c>
      <c r="BH28" s="577">
        <f t="shared" si="47"/>
        <v>0</v>
      </c>
      <c r="BI28" s="577">
        <f t="shared" si="47"/>
        <v>6</v>
      </c>
      <c r="BJ28" s="577">
        <f t="shared" si="47"/>
        <v>0</v>
      </c>
      <c r="BK28" s="356">
        <f t="shared" si="54"/>
        <v>11</v>
      </c>
      <c r="BM28" s="271" t="e">
        <f t="shared" ca="1" si="6"/>
        <v>#REF!</v>
      </c>
    </row>
    <row r="29" spans="2:65" x14ac:dyDescent="0.35">
      <c r="B29" s="577">
        <v>26</v>
      </c>
      <c r="C29" s="577" t="e">
        <f t="shared" ca="1" si="48"/>
        <v>#REF!</v>
      </c>
      <c r="D29" s="577" t="s">
        <v>717</v>
      </c>
      <c r="E29" s="577" t="s">
        <v>720</v>
      </c>
      <c r="F29" s="577" t="s">
        <v>635</v>
      </c>
      <c r="G29" s="577" t="str">
        <f>VLOOKUP(D29,坦克个性化设定!$B$18:$F$48,5,FALSE)</f>
        <v>轻坦单发</v>
      </c>
      <c r="H29" s="577" t="str">
        <f>VLOOKUP(E29,坦克个性化设定!$B$18:$F$48,5,FALSE)</f>
        <v>中坦单发</v>
      </c>
      <c r="I29" s="577" t="str">
        <f>VLOOKUP(F29,坦克个性化设定!$B$18:$F$48,5,FALSE)</f>
        <v>重坦单发</v>
      </c>
      <c r="J29" s="577">
        <v>1</v>
      </c>
      <c r="K29" s="577">
        <v>0</v>
      </c>
      <c r="L29" s="577">
        <v>1</v>
      </c>
      <c r="M29" s="578" t="s">
        <v>2636</v>
      </c>
      <c r="N29" s="578" t="s">
        <v>2633</v>
      </c>
      <c r="O29" s="578" t="s">
        <v>2635</v>
      </c>
      <c r="P29" s="577">
        <v>6</v>
      </c>
      <c r="Q29" s="577">
        <v>6</v>
      </c>
      <c r="R29" s="577">
        <v>6</v>
      </c>
      <c r="S29" s="577">
        <v>40</v>
      </c>
      <c r="T29" s="577">
        <v>40</v>
      </c>
      <c r="U29" s="577">
        <v>40</v>
      </c>
      <c r="V29" s="357" t="e">
        <f t="shared" ca="1" si="49"/>
        <v>#REF!</v>
      </c>
      <c r="W29" s="357" t="e">
        <f t="shared" ca="1" si="50"/>
        <v>#REF!</v>
      </c>
      <c r="X29" s="357" t="e">
        <f t="shared" ca="1" si="51"/>
        <v>#REF!</v>
      </c>
      <c r="Y29" s="577" t="e">
        <f ca="1">VLOOKUP($D29&amp;$J29,所有坦克升星属性,MATCH(Y$3,所有坦克升星属性标头,0),FALSE)+ROUND(AD29/VLOOKUP($D29,坦克部件!#REF!,4,FALSE)*VLOOKUP($D29&amp;0,所有坦克升星属性,MATCH(Y$3,所有坦克升星属性标头,0),FALSE),0)</f>
        <v>#REF!</v>
      </c>
      <c r="Z29" s="577" t="e">
        <f ca="1">VLOOKUP($D29&amp;$J29,所有坦克升星属性,MATCH(Z$3,所有坦克升星属性标头,0),FALSE)+ROUND(AE29/VLOOKUP($D29,坦克部件!#REF!,4,FALSE)*VLOOKUP($D29&amp;0,所有坦克升星属性,MATCH(Z$3,所有坦克升星属性标头,0),FALSE),0)</f>
        <v>#REF!</v>
      </c>
      <c r="AA29" s="577">
        <f t="shared" ca="1" si="42"/>
        <v>729</v>
      </c>
      <c r="AB29" s="577">
        <f t="shared" ca="1" si="42"/>
        <v>511</v>
      </c>
      <c r="AC29" s="577" t="e">
        <f ca="1">VLOOKUP($D29&amp;$J29,所有坦克升星属性,MATCH(AC$3,所有坦克升星属性标头,0),FALSE)+ROUND(AF29/VLOOKUP($D29,坦克部件!#REF!,4,FALSE)*VLOOKUP($D29&amp;0,所有坦克升星属性,MATCH(AC$3,所有坦克升星属性标头,0),FALSE),0)</f>
        <v>#REF!</v>
      </c>
      <c r="AD29" s="577" t="e">
        <f>(VLOOKUP($S29,坦克部件!#REF!,MATCH("标准值",坦克部件!#REF!,0),FALSE)+VLOOKUP($M29,坦克部件!#REF!,MATCH("标准值",坦克部件!#REF!,0),FALSE))*$P29</f>
        <v>#REF!</v>
      </c>
      <c r="AE29" s="577" t="e">
        <f>(VLOOKUP($S29,坦克部件!#REF!,MATCH("标准值",坦克部件!#REF!,0),FALSE)+VLOOKUP($M29,坦克部件!#REF!,MATCH("标准值",坦克部件!#REF!,0),FALSE))*$P29</f>
        <v>#REF!</v>
      </c>
      <c r="AF29" s="577" t="e">
        <f>(VLOOKUP($S29,坦克部件!#REF!,MATCH("标准值",坦克部件!#REF!,0),FALSE)+VLOOKUP($M29,坦克部件!#REF!,MATCH("标准值",坦克部件!#REF!,0),FALSE))*$P29</f>
        <v>#REF!</v>
      </c>
      <c r="AG29" s="577">
        <f>VLOOKUP($D29,坦克属性统计!$B$3:$AY$33,MATCH(AG$3,坦克属性统计!$B$3:$AY$3,0),FALSE)</f>
        <v>1</v>
      </c>
      <c r="AH29" s="577">
        <f t="shared" si="43"/>
        <v>0</v>
      </c>
      <c r="AI29" s="577">
        <f t="shared" si="43"/>
        <v>2.96</v>
      </c>
      <c r="AJ29" s="577">
        <f t="shared" si="43"/>
        <v>0</v>
      </c>
      <c r="AK29" s="356">
        <f t="shared" si="52"/>
        <v>21.27027027027027</v>
      </c>
      <c r="AL29" s="577" t="e">
        <f ca="1">VLOOKUP($E29&amp;$K29,所有坦克升星属性,MATCH(AL$3,所有坦克升星属性标头,0),FALSE)+ROUND(AQ29/VLOOKUP($E29,坦克部件!#REF!,4,FALSE)*VLOOKUP($E29&amp;0,所有坦克升星属性,MATCH(AL$3,所有坦克升星属性标头,0),FALSE),0)</f>
        <v>#REF!</v>
      </c>
      <c r="AM29" s="577" t="e">
        <f ca="1">VLOOKUP($E29&amp;$K29,所有坦克升星属性,MATCH(AM$3,所有坦克升星属性标头,0),FALSE)+ROUND(AR29/VLOOKUP($E29,坦克部件!#REF!,4,FALSE)*VLOOKUP($E29&amp;0,所有坦克升星属性,MATCH(AM$3,所有坦克升星属性标头,0),FALSE),0)</f>
        <v>#REF!</v>
      </c>
      <c r="AN29" s="577">
        <f t="shared" ca="1" si="44"/>
        <v>644</v>
      </c>
      <c r="AO29" s="577">
        <f t="shared" ca="1" si="44"/>
        <v>483</v>
      </c>
      <c r="AP29" s="577" t="e">
        <f ca="1">VLOOKUP($E29&amp;$K29,所有坦克升星属性,MATCH(AP$3,所有坦克升星属性标头,0),FALSE)+ROUND(AS29/VLOOKUP($E29,坦克部件!#REF!,4,FALSE)*VLOOKUP($E29&amp;0,所有坦克升星属性,MATCH(AP$3,所有坦克升星属性标头,0),FALSE),0)</f>
        <v>#REF!</v>
      </c>
      <c r="AQ29" s="577" t="e">
        <f>(VLOOKUP($T29,坦克部件!#REF!,MATCH("标准值",坦克部件!#REF!,0),FALSE)+VLOOKUP($N29,坦克部件!#REF!,MATCH("标准值",坦克部件!#REF!,0),FALSE))*$Q29</f>
        <v>#REF!</v>
      </c>
      <c r="AR29" s="577" t="e">
        <f>(VLOOKUP($T29,坦克部件!#REF!,MATCH("标准值",坦克部件!#REF!,0),FALSE)+VLOOKUP($N29,坦克部件!#REF!,MATCH("标准值",坦克部件!#REF!,0),FALSE))*$Q29</f>
        <v>#REF!</v>
      </c>
      <c r="AS29" s="577" t="e">
        <f>(VLOOKUP($T29,坦克部件!#REF!,MATCH("标准值",坦克部件!#REF!,0),FALSE)+VLOOKUP($N29,坦克部件!#REF!,MATCH("标准值",坦克部件!#REF!,0),FALSE))*$Q29</f>
        <v>#REF!</v>
      </c>
      <c r="AT29" s="577">
        <f>VLOOKUP($E29,坦克属性统计!$B$3:$AY$33,MATCH(AT$3,坦克属性统计!$B$3:$AY$3,0),FALSE)</f>
        <v>1</v>
      </c>
      <c r="AU29" s="577">
        <f t="shared" si="45"/>
        <v>0</v>
      </c>
      <c r="AV29" s="577">
        <f t="shared" si="45"/>
        <v>4.5</v>
      </c>
      <c r="AW29" s="577">
        <f t="shared" si="45"/>
        <v>0</v>
      </c>
      <c r="AX29" s="356">
        <f t="shared" si="53"/>
        <v>14.333333333333334</v>
      </c>
      <c r="AY29" s="577" t="e">
        <f ca="1">VLOOKUP($F29&amp;$L29,所有坦克升星属性,MATCH(AY$3,所有坦克升星属性标头,0),FALSE)+ROUND(BD29/VLOOKUP($F29,坦克部件!#REF!,4,FALSE)*VLOOKUP($F29&amp;0,所有坦克升星属性,MATCH(AY$3,所有坦克升星属性标头,0),FALSE),0)</f>
        <v>#REF!</v>
      </c>
      <c r="AZ29" s="577" t="e">
        <f ca="1">VLOOKUP($F29&amp;$L29,所有坦克升星属性,MATCH(AZ$3,所有坦克升星属性标头,0),FALSE)+ROUND(BE29/VLOOKUP($F29,坦克部件!#REF!,4,FALSE)*VLOOKUP($F29&amp;0,所有坦克升星属性,MATCH(AZ$3,所有坦克升星属性标头,0),FALSE),0)</f>
        <v>#REF!</v>
      </c>
      <c r="BA29" s="577">
        <f t="shared" ca="1" si="46"/>
        <v>619</v>
      </c>
      <c r="BB29" s="577">
        <f t="shared" ca="1" si="46"/>
        <v>495</v>
      </c>
      <c r="BC29" s="577" t="e">
        <f ca="1">VLOOKUP($F29&amp;$L29,所有坦克升星属性,MATCH(BC$3,所有坦克升星属性标头,0),FALSE)+ROUND(BF29/VLOOKUP($F29,坦克部件!#REF!,4,FALSE)*VLOOKUP($F29&amp;0,所有坦克升星属性,MATCH(BC$3,所有坦克升星属性标头,0),FALSE),0)</f>
        <v>#REF!</v>
      </c>
      <c r="BD29" s="577" t="e">
        <f>(VLOOKUP($U29,坦克部件!#REF!,MATCH("标准值",坦克部件!#REF!,0),FALSE)+VLOOKUP($O29,坦克部件!#REF!,MATCH("标准值",坦克部件!#REF!,0),FALSE))*$R29</f>
        <v>#REF!</v>
      </c>
      <c r="BE29" s="577" t="e">
        <f>(VLOOKUP($U29,坦克部件!#REF!,MATCH("标准值",坦克部件!#REF!,0),FALSE)+VLOOKUP($O29,坦克部件!#REF!,MATCH("标准值",坦克部件!#REF!,0),FALSE))*$R29</f>
        <v>#REF!</v>
      </c>
      <c r="BF29" s="577" t="e">
        <f>(VLOOKUP($U29,坦克部件!#REF!,MATCH("标准值",坦克部件!#REF!,0),FALSE)+VLOOKUP($O29,坦克部件!#REF!,MATCH("标准值",坦克部件!#REF!,0),FALSE))*$R29</f>
        <v>#REF!</v>
      </c>
      <c r="BG29" s="577">
        <f>VLOOKUP($F29,坦克属性统计!$B$3:$AY$33,MATCH(BG$3,坦克属性统计!$B$3:$AY$3,0),FALSE)</f>
        <v>1</v>
      </c>
      <c r="BH29" s="577">
        <f t="shared" si="47"/>
        <v>0</v>
      </c>
      <c r="BI29" s="577">
        <f t="shared" si="47"/>
        <v>5.85</v>
      </c>
      <c r="BJ29" s="577">
        <f t="shared" si="47"/>
        <v>0</v>
      </c>
      <c r="BK29" s="356">
        <f t="shared" si="54"/>
        <v>11.256410256410257</v>
      </c>
      <c r="BM29" s="271" t="e">
        <f t="shared" ca="1" si="6"/>
        <v>#REF!</v>
      </c>
    </row>
    <row r="30" spans="2:65" x14ac:dyDescent="0.35">
      <c r="B30" s="577">
        <v>27</v>
      </c>
      <c r="C30" s="577" t="e">
        <f t="shared" ca="1" si="48"/>
        <v>#REF!</v>
      </c>
      <c r="D30" s="577" t="s">
        <v>717</v>
      </c>
      <c r="E30" s="577" t="s">
        <v>720</v>
      </c>
      <c r="F30" s="577" t="s">
        <v>629</v>
      </c>
      <c r="G30" s="577" t="str">
        <f>VLOOKUP(D30,坦克个性化设定!$B$18:$F$48,5,FALSE)</f>
        <v>轻坦单发</v>
      </c>
      <c r="H30" s="577" t="str">
        <f>VLOOKUP(E30,坦克个性化设定!$B$18:$F$48,5,FALSE)</f>
        <v>中坦单发</v>
      </c>
      <c r="I30" s="577" t="str">
        <f>VLOOKUP(F30,坦克个性化设定!$B$18:$F$48,5,FALSE)</f>
        <v>重坦自动</v>
      </c>
      <c r="J30" s="577">
        <v>1</v>
      </c>
      <c r="K30" s="577">
        <v>0</v>
      </c>
      <c r="L30" s="577">
        <v>0</v>
      </c>
      <c r="M30" s="578" t="s">
        <v>2638</v>
      </c>
      <c r="N30" s="578" t="s">
        <v>2638</v>
      </c>
      <c r="O30" s="578" t="s">
        <v>2637</v>
      </c>
      <c r="P30" s="577">
        <v>6</v>
      </c>
      <c r="Q30" s="577">
        <v>6</v>
      </c>
      <c r="R30" s="577">
        <v>6</v>
      </c>
      <c r="S30" s="577">
        <v>40</v>
      </c>
      <c r="T30" s="577">
        <v>40</v>
      </c>
      <c r="U30" s="577">
        <v>40</v>
      </c>
      <c r="V30" s="357" t="e">
        <f t="shared" ca="1" si="49"/>
        <v>#REF!</v>
      </c>
      <c r="W30" s="357" t="e">
        <f t="shared" ca="1" si="50"/>
        <v>#REF!</v>
      </c>
      <c r="X30" s="357" t="e">
        <f t="shared" ca="1" si="51"/>
        <v>#REF!</v>
      </c>
      <c r="Y30" s="577" t="e">
        <f ca="1">VLOOKUP($D30&amp;$J30,所有坦克升星属性,MATCH(Y$3,所有坦克升星属性标头,0),FALSE)+ROUND(AD30/VLOOKUP($D30,坦克部件!#REF!,4,FALSE)*VLOOKUP($D30&amp;0,所有坦克升星属性,MATCH(Y$3,所有坦克升星属性标头,0),FALSE),0)</f>
        <v>#REF!</v>
      </c>
      <c r="Z30" s="577" t="e">
        <f ca="1">VLOOKUP($D30&amp;$J30,所有坦克升星属性,MATCH(Z$3,所有坦克升星属性标头,0),FALSE)+ROUND(AE30/VLOOKUP($D30,坦克部件!#REF!,4,FALSE)*VLOOKUP($D30&amp;0,所有坦克升星属性,MATCH(Z$3,所有坦克升星属性标头,0),FALSE),0)</f>
        <v>#REF!</v>
      </c>
      <c r="AA30" s="577">
        <f t="shared" ca="1" si="42"/>
        <v>729</v>
      </c>
      <c r="AB30" s="577">
        <f t="shared" ca="1" si="42"/>
        <v>511</v>
      </c>
      <c r="AC30" s="577" t="e">
        <f ca="1">VLOOKUP($D30&amp;$J30,所有坦克升星属性,MATCH(AC$3,所有坦克升星属性标头,0),FALSE)+ROUND(AF30/VLOOKUP($D30,坦克部件!#REF!,4,FALSE)*VLOOKUP($D30&amp;0,所有坦克升星属性,MATCH(AC$3,所有坦克升星属性标头,0),FALSE),0)</f>
        <v>#REF!</v>
      </c>
      <c r="AD30" s="577" t="e">
        <f>(VLOOKUP($S30,坦克部件!#REF!,MATCH("标准值",坦克部件!#REF!,0),FALSE)+VLOOKUP($M30,坦克部件!#REF!,MATCH("标准值",坦克部件!#REF!,0),FALSE))*$P30</f>
        <v>#REF!</v>
      </c>
      <c r="AE30" s="577" t="e">
        <f>(VLOOKUP($S30,坦克部件!#REF!,MATCH("标准值",坦克部件!#REF!,0),FALSE)+VLOOKUP($M30,坦克部件!#REF!,MATCH("标准值",坦克部件!#REF!,0),FALSE))*$P30</f>
        <v>#REF!</v>
      </c>
      <c r="AF30" s="577" t="e">
        <f>(VLOOKUP($S30,坦克部件!#REF!,MATCH("标准值",坦克部件!#REF!,0),FALSE)+VLOOKUP($M30,坦克部件!#REF!,MATCH("标准值",坦克部件!#REF!,0),FALSE))*$P30</f>
        <v>#REF!</v>
      </c>
      <c r="AG30" s="577">
        <f>VLOOKUP($D30,坦克属性统计!$B$3:$AY$33,MATCH(AG$3,坦克属性统计!$B$3:$AY$3,0),FALSE)</f>
        <v>1</v>
      </c>
      <c r="AH30" s="577">
        <f t="shared" si="43"/>
        <v>0</v>
      </c>
      <c r="AI30" s="577">
        <f t="shared" si="43"/>
        <v>2.96</v>
      </c>
      <c r="AJ30" s="577">
        <f t="shared" si="43"/>
        <v>0</v>
      </c>
      <c r="AK30" s="356">
        <f t="shared" si="52"/>
        <v>21.27027027027027</v>
      </c>
      <c r="AL30" s="577" t="e">
        <f ca="1">VLOOKUP($E30&amp;$K30,所有坦克升星属性,MATCH(AL$3,所有坦克升星属性标头,0),FALSE)+ROUND(AQ30/VLOOKUP($E30,坦克部件!#REF!,4,FALSE)*VLOOKUP($E30&amp;0,所有坦克升星属性,MATCH(AL$3,所有坦克升星属性标头,0),FALSE),0)</f>
        <v>#REF!</v>
      </c>
      <c r="AM30" s="577" t="e">
        <f ca="1">VLOOKUP($E30&amp;$K30,所有坦克升星属性,MATCH(AM$3,所有坦克升星属性标头,0),FALSE)+ROUND(AR30/VLOOKUP($E30,坦克部件!#REF!,4,FALSE)*VLOOKUP($E30&amp;0,所有坦克升星属性,MATCH(AM$3,所有坦克升星属性标头,0),FALSE),0)</f>
        <v>#REF!</v>
      </c>
      <c r="AN30" s="577">
        <f t="shared" ca="1" si="44"/>
        <v>644</v>
      </c>
      <c r="AO30" s="577">
        <f t="shared" ca="1" si="44"/>
        <v>483</v>
      </c>
      <c r="AP30" s="577" t="e">
        <f ca="1">VLOOKUP($E30&amp;$K30,所有坦克升星属性,MATCH(AP$3,所有坦克升星属性标头,0),FALSE)+ROUND(AS30/VLOOKUP($E30,坦克部件!#REF!,4,FALSE)*VLOOKUP($E30&amp;0,所有坦克升星属性,MATCH(AP$3,所有坦克升星属性标头,0),FALSE),0)</f>
        <v>#REF!</v>
      </c>
      <c r="AQ30" s="577" t="e">
        <f>(VLOOKUP($T30,坦克部件!#REF!,MATCH("标准值",坦克部件!#REF!,0),FALSE)+VLOOKUP($N30,坦克部件!#REF!,MATCH("标准值",坦克部件!#REF!,0),FALSE))*$Q30</f>
        <v>#REF!</v>
      </c>
      <c r="AR30" s="577" t="e">
        <f>(VLOOKUP($T30,坦克部件!#REF!,MATCH("标准值",坦克部件!#REF!,0),FALSE)+VLOOKUP($N30,坦克部件!#REF!,MATCH("标准值",坦克部件!#REF!,0),FALSE))*$Q30</f>
        <v>#REF!</v>
      </c>
      <c r="AS30" s="577" t="e">
        <f>(VLOOKUP($T30,坦克部件!#REF!,MATCH("标准值",坦克部件!#REF!,0),FALSE)+VLOOKUP($N30,坦克部件!#REF!,MATCH("标准值",坦克部件!#REF!,0),FALSE))*$Q30</f>
        <v>#REF!</v>
      </c>
      <c r="AT30" s="577">
        <f>VLOOKUP($E30,坦克属性统计!$B$3:$AY$33,MATCH(AT$3,坦克属性统计!$B$3:$AY$3,0),FALSE)</f>
        <v>1</v>
      </c>
      <c r="AU30" s="577">
        <f t="shared" si="45"/>
        <v>0</v>
      </c>
      <c r="AV30" s="577">
        <f t="shared" si="45"/>
        <v>4.5</v>
      </c>
      <c r="AW30" s="577">
        <f t="shared" si="45"/>
        <v>0</v>
      </c>
      <c r="AX30" s="356">
        <f t="shared" si="53"/>
        <v>14.333333333333334</v>
      </c>
      <c r="AY30" s="577" t="e">
        <f ca="1">VLOOKUP($F30&amp;$L30,所有坦克升星属性,MATCH(AY$3,所有坦克升星属性标头,0),FALSE)+ROUND(BD30/VLOOKUP($F30,坦克部件!#REF!,4,FALSE)*VLOOKUP($F30&amp;0,所有坦克升星属性,MATCH(AY$3,所有坦克升星属性标头,0),FALSE),0)</f>
        <v>#REF!</v>
      </c>
      <c r="AZ30" s="577" t="e">
        <f ca="1">VLOOKUP($F30&amp;$L30,所有坦克升星属性,MATCH(AZ$3,所有坦克升星属性标头,0),FALSE)+ROUND(BE30/VLOOKUP($F30,坦克部件!#REF!,4,FALSE)*VLOOKUP($F30&amp;0,所有坦克升星属性,MATCH(AZ$3,所有坦克升星属性标头,0),FALSE),0)</f>
        <v>#REF!</v>
      </c>
      <c r="BA30" s="577">
        <f t="shared" ca="1" si="46"/>
        <v>560</v>
      </c>
      <c r="BB30" s="577">
        <f t="shared" ca="1" si="46"/>
        <v>448</v>
      </c>
      <c r="BC30" s="577" t="e">
        <f ca="1">VLOOKUP($F30&amp;$L30,所有坦克升星属性,MATCH(BC$3,所有坦克升星属性标头,0),FALSE)+ROUND(BF30/VLOOKUP($F30,坦克部件!#REF!,4,FALSE)*VLOOKUP($F30&amp;0,所有坦克升星属性,MATCH(BC$3,所有坦克升星属性标头,0),FALSE),0)</f>
        <v>#REF!</v>
      </c>
      <c r="BD30" s="577" t="e">
        <f>(VLOOKUP($U30,坦克部件!#REF!,MATCH("标准值",坦克部件!#REF!,0),FALSE)+VLOOKUP($O30,坦克部件!#REF!,MATCH("标准值",坦克部件!#REF!,0),FALSE))*$R30</f>
        <v>#REF!</v>
      </c>
      <c r="BE30" s="577" t="e">
        <f>(VLOOKUP($U30,坦克部件!#REF!,MATCH("标准值",坦克部件!#REF!,0),FALSE)+VLOOKUP($O30,坦克部件!#REF!,MATCH("标准值",坦克部件!#REF!,0),FALSE))*$R30</f>
        <v>#REF!</v>
      </c>
      <c r="BF30" s="577" t="e">
        <f>(VLOOKUP($U30,坦克部件!#REF!,MATCH("标准值",坦克部件!#REF!,0),FALSE)+VLOOKUP($O30,坦克部件!#REF!,MATCH("标准值",坦克部件!#REF!,0),FALSE))*$R30</f>
        <v>#REF!</v>
      </c>
      <c r="BG30" s="577">
        <f>VLOOKUP($F30,坦克属性统计!$B$3:$AY$33,MATCH(BG$3,坦克属性统计!$B$3:$AY$3,0),FALSE)</f>
        <v>2</v>
      </c>
      <c r="BH30" s="577">
        <f t="shared" si="47"/>
        <v>2</v>
      </c>
      <c r="BI30" s="577">
        <f t="shared" si="47"/>
        <v>4.5</v>
      </c>
      <c r="BJ30" s="577">
        <f t="shared" si="47"/>
        <v>0</v>
      </c>
      <c r="BK30" s="356">
        <f t="shared" si="54"/>
        <v>15.333333333333334</v>
      </c>
      <c r="BM30" s="271" t="e">
        <f t="shared" ca="1" si="6"/>
        <v>#REF!</v>
      </c>
    </row>
    <row r="31" spans="2:65" x14ac:dyDescent="0.35">
      <c r="B31" s="577">
        <v>28</v>
      </c>
      <c r="C31" s="577" t="e">
        <f t="shared" ca="1" si="48"/>
        <v>#REF!</v>
      </c>
      <c r="D31" s="577" t="s">
        <v>621</v>
      </c>
      <c r="E31" s="577" t="s">
        <v>720</v>
      </c>
      <c r="F31" s="577" t="s">
        <v>629</v>
      </c>
      <c r="G31" s="577" t="str">
        <f>VLOOKUP(D31,坦克个性化设定!$B$18:$F$48,5,FALSE)</f>
        <v>轻坦半自动</v>
      </c>
      <c r="H31" s="577" t="str">
        <f>VLOOKUP(E31,坦克个性化设定!$B$18:$F$48,5,FALSE)</f>
        <v>中坦单发</v>
      </c>
      <c r="I31" s="577" t="str">
        <f>VLOOKUP(F31,坦克个性化设定!$B$18:$F$48,5,FALSE)</f>
        <v>重坦自动</v>
      </c>
      <c r="J31" s="577">
        <v>0</v>
      </c>
      <c r="K31" s="577">
        <v>1</v>
      </c>
      <c r="L31" s="577">
        <v>0</v>
      </c>
      <c r="M31" s="578" t="s">
        <v>2638</v>
      </c>
      <c r="N31" s="578" t="s">
        <v>2638</v>
      </c>
      <c r="O31" s="578" t="s">
        <v>2638</v>
      </c>
      <c r="P31" s="577">
        <v>6</v>
      </c>
      <c r="Q31" s="577">
        <v>6</v>
      </c>
      <c r="R31" s="577">
        <v>6</v>
      </c>
      <c r="S31" s="577">
        <v>40</v>
      </c>
      <c r="T31" s="577">
        <v>40</v>
      </c>
      <c r="U31" s="577">
        <v>40</v>
      </c>
      <c r="V31" s="357" t="e">
        <f t="shared" ca="1" si="49"/>
        <v>#REF!</v>
      </c>
      <c r="W31" s="357" t="e">
        <f t="shared" ca="1" si="50"/>
        <v>#REF!</v>
      </c>
      <c r="X31" s="357" t="e">
        <f t="shared" ca="1" si="51"/>
        <v>#REF!</v>
      </c>
      <c r="Y31" s="577" t="e">
        <f ca="1">VLOOKUP($D31&amp;$J31,所有坦克升星属性,MATCH(Y$3,所有坦克升星属性标头,0),FALSE)+ROUND(AD31/VLOOKUP($D31,坦克部件!#REF!,4,FALSE)*VLOOKUP($D31&amp;0,所有坦克升星属性,MATCH(Y$3,所有坦克升星属性标头,0),FALSE),0)</f>
        <v>#REF!</v>
      </c>
      <c r="Z31" s="577" t="e">
        <f ca="1">VLOOKUP($D31&amp;$J31,所有坦克升星属性,MATCH(Z$3,所有坦克升星属性标头,0),FALSE)+ROUND(AE31/VLOOKUP($D31,坦克部件!#REF!,4,FALSE)*VLOOKUP($D31&amp;0,所有坦克升星属性,MATCH(Z$3,所有坦克升星属性标头,0),FALSE),0)</f>
        <v>#REF!</v>
      </c>
      <c r="AA31" s="577">
        <f t="shared" ca="1" si="42"/>
        <v>618</v>
      </c>
      <c r="AB31" s="577">
        <f t="shared" ca="1" si="42"/>
        <v>433</v>
      </c>
      <c r="AC31" s="577" t="e">
        <f ca="1">VLOOKUP($D31&amp;$J31,所有坦克升星属性,MATCH(AC$3,所有坦克升星属性标头,0),FALSE)+ROUND(AF31/VLOOKUP($D31,坦克部件!#REF!,4,FALSE)*VLOOKUP($D31&amp;0,所有坦克升星属性,MATCH(AC$3,所有坦克升星属性标头,0),FALSE),0)</f>
        <v>#REF!</v>
      </c>
      <c r="AD31" s="577" t="e">
        <f>(VLOOKUP($S31,坦克部件!#REF!,MATCH("标准值",坦克部件!#REF!,0),FALSE)+VLOOKUP($M31,坦克部件!#REF!,MATCH("标准值",坦克部件!#REF!,0),FALSE))*$P31</f>
        <v>#REF!</v>
      </c>
      <c r="AE31" s="577" t="e">
        <f>(VLOOKUP($S31,坦克部件!#REF!,MATCH("标准值",坦克部件!#REF!,0),FALSE)+VLOOKUP($M31,坦克部件!#REF!,MATCH("标准值",坦克部件!#REF!,0),FALSE))*$P31</f>
        <v>#REF!</v>
      </c>
      <c r="AF31" s="577" t="e">
        <f>(VLOOKUP($S31,坦克部件!#REF!,MATCH("标准值",坦克部件!#REF!,0),FALSE)+VLOOKUP($M31,坦克部件!#REF!,MATCH("标准值",坦克部件!#REF!,0),FALSE))*$P31</f>
        <v>#REF!</v>
      </c>
      <c r="AG31" s="577">
        <f>VLOOKUP($D31,坦克属性统计!$B$3:$AY$33,MATCH(AG$3,坦克属性统计!$B$3:$AY$3,0),FALSE)</f>
        <v>4</v>
      </c>
      <c r="AH31" s="577">
        <f t="shared" si="43"/>
        <v>0.4</v>
      </c>
      <c r="AI31" s="577">
        <f t="shared" si="43"/>
        <v>1.4</v>
      </c>
      <c r="AJ31" s="577">
        <f t="shared" si="43"/>
        <v>0</v>
      </c>
      <c r="AK31" s="356">
        <f t="shared" si="52"/>
        <v>46</v>
      </c>
      <c r="AL31" s="577" t="e">
        <f ca="1">VLOOKUP($E31&amp;$K31,所有坦克升星属性,MATCH(AL$3,所有坦克升星属性标头,0),FALSE)+ROUND(AQ31/VLOOKUP($E31,坦克部件!#REF!,4,FALSE)*VLOOKUP($E31&amp;0,所有坦克升星属性,MATCH(AL$3,所有坦克升星属性标头,0),FALSE),0)</f>
        <v>#REF!</v>
      </c>
      <c r="AM31" s="577" t="e">
        <f ca="1">VLOOKUP($E31&amp;$K31,所有坦克升星属性,MATCH(AM$3,所有坦克升星属性标头,0),FALSE)+ROUND(AR31/VLOOKUP($E31,坦克部件!#REF!,4,FALSE)*VLOOKUP($E31&amp;0,所有坦克升星属性,MATCH(AM$3,所有坦克升星属性标头,0),FALSE),0)</f>
        <v>#REF!</v>
      </c>
      <c r="AN31" s="577">
        <f t="shared" ca="1" si="44"/>
        <v>671</v>
      </c>
      <c r="AO31" s="577">
        <f t="shared" ca="1" si="44"/>
        <v>503</v>
      </c>
      <c r="AP31" s="577" t="e">
        <f ca="1">VLOOKUP($E31&amp;$K31,所有坦克升星属性,MATCH(AP$3,所有坦克升星属性标头,0),FALSE)+ROUND(AS31/VLOOKUP($E31,坦克部件!#REF!,4,FALSE)*VLOOKUP($E31&amp;0,所有坦克升星属性,MATCH(AP$3,所有坦克升星属性标头,0),FALSE),0)</f>
        <v>#REF!</v>
      </c>
      <c r="AQ31" s="577" t="e">
        <f>(VLOOKUP($T31,坦克部件!#REF!,MATCH("标准值",坦克部件!#REF!,0),FALSE)+VLOOKUP($N31,坦克部件!#REF!,MATCH("标准值",坦克部件!#REF!,0),FALSE))*$Q31</f>
        <v>#REF!</v>
      </c>
      <c r="AR31" s="577" t="e">
        <f>(VLOOKUP($T31,坦克部件!#REF!,MATCH("标准值",坦克部件!#REF!,0),FALSE)+VLOOKUP($N31,坦克部件!#REF!,MATCH("标准值",坦克部件!#REF!,0),FALSE))*$Q31</f>
        <v>#REF!</v>
      </c>
      <c r="AS31" s="577" t="e">
        <f>(VLOOKUP($T31,坦克部件!#REF!,MATCH("标准值",坦克部件!#REF!,0),FALSE)+VLOOKUP($N31,坦克部件!#REF!,MATCH("标准值",坦克部件!#REF!,0),FALSE))*$Q31</f>
        <v>#REF!</v>
      </c>
      <c r="AT31" s="577">
        <f>VLOOKUP($E31,坦克属性统计!$B$3:$AY$33,MATCH(AT$3,坦克属性统计!$B$3:$AY$3,0),FALSE)</f>
        <v>1</v>
      </c>
      <c r="AU31" s="577">
        <f t="shared" si="45"/>
        <v>0</v>
      </c>
      <c r="AV31" s="577">
        <f t="shared" si="45"/>
        <v>4.4400000000000004</v>
      </c>
      <c r="AW31" s="577">
        <f t="shared" si="45"/>
        <v>0</v>
      </c>
      <c r="AX31" s="356">
        <f t="shared" si="53"/>
        <v>14.513513513513512</v>
      </c>
      <c r="AY31" s="577" t="e">
        <f ca="1">VLOOKUP($F31&amp;$L31,所有坦克升星属性,MATCH(AY$3,所有坦克升星属性标头,0),FALSE)+ROUND(BD31/VLOOKUP($F31,坦克部件!#REF!,4,FALSE)*VLOOKUP($F31&amp;0,所有坦克升星属性,MATCH(AY$3,所有坦克升星属性标头,0),FALSE),0)</f>
        <v>#REF!</v>
      </c>
      <c r="AZ31" s="577" t="e">
        <f ca="1">VLOOKUP($F31&amp;$L31,所有坦克升星属性,MATCH(AZ$3,所有坦克升星属性标头,0),FALSE)+ROUND(BE31/VLOOKUP($F31,坦克部件!#REF!,4,FALSE)*VLOOKUP($F31&amp;0,所有坦克升星属性,MATCH(AZ$3,所有坦克升星属性标头,0),FALSE),0)</f>
        <v>#REF!</v>
      </c>
      <c r="BA31" s="577">
        <f t="shared" ca="1" si="46"/>
        <v>560</v>
      </c>
      <c r="BB31" s="577">
        <f t="shared" ca="1" si="46"/>
        <v>448</v>
      </c>
      <c r="BC31" s="577" t="e">
        <f ca="1">VLOOKUP($F31&amp;$L31,所有坦克升星属性,MATCH(BC$3,所有坦克升星属性标头,0),FALSE)+ROUND(BF31/VLOOKUP($F31,坦克部件!#REF!,4,FALSE)*VLOOKUP($F31&amp;0,所有坦克升星属性,MATCH(BC$3,所有坦克升星属性标头,0),FALSE),0)</f>
        <v>#REF!</v>
      </c>
      <c r="BD31" s="577" t="e">
        <f>(VLOOKUP($U31,坦克部件!#REF!,MATCH("标准值",坦克部件!#REF!,0),FALSE)+VLOOKUP($O31,坦克部件!#REF!,MATCH("标准值",坦克部件!#REF!,0),FALSE))*$R31</f>
        <v>#REF!</v>
      </c>
      <c r="BE31" s="577" t="e">
        <f>(VLOOKUP($U31,坦克部件!#REF!,MATCH("标准值",坦克部件!#REF!,0),FALSE)+VLOOKUP($O31,坦克部件!#REF!,MATCH("标准值",坦克部件!#REF!,0),FALSE))*$R31</f>
        <v>#REF!</v>
      </c>
      <c r="BF31" s="577" t="e">
        <f>(VLOOKUP($U31,坦克部件!#REF!,MATCH("标准值",坦克部件!#REF!,0),FALSE)+VLOOKUP($O31,坦克部件!#REF!,MATCH("标准值",坦克部件!#REF!,0),FALSE))*$R31</f>
        <v>#REF!</v>
      </c>
      <c r="BG31" s="577">
        <f>VLOOKUP($F31,坦克属性统计!$B$3:$AY$33,MATCH(BG$3,坦克属性统计!$B$3:$AY$3,0),FALSE)</f>
        <v>2</v>
      </c>
      <c r="BH31" s="577">
        <f t="shared" si="47"/>
        <v>2</v>
      </c>
      <c r="BI31" s="577">
        <f t="shared" si="47"/>
        <v>4.5</v>
      </c>
      <c r="BJ31" s="577">
        <f t="shared" si="47"/>
        <v>0</v>
      </c>
      <c r="BK31" s="356">
        <f t="shared" si="54"/>
        <v>15.333333333333334</v>
      </c>
      <c r="BM31" s="271" t="e">
        <f t="shared" ca="1" si="6"/>
        <v>#REF!</v>
      </c>
    </row>
    <row r="32" spans="2:65" x14ac:dyDescent="0.35">
      <c r="B32" s="577">
        <v>29</v>
      </c>
      <c r="C32" s="577" t="e">
        <f t="shared" ca="1" si="48"/>
        <v>#REF!</v>
      </c>
      <c r="D32" s="577" t="s">
        <v>621</v>
      </c>
      <c r="E32" s="577" t="s">
        <v>720</v>
      </c>
      <c r="F32" s="577" t="s">
        <v>629</v>
      </c>
      <c r="G32" s="577" t="str">
        <f>VLOOKUP(D32,坦克个性化设定!$B$18:$F$48,5,FALSE)</f>
        <v>轻坦半自动</v>
      </c>
      <c r="H32" s="577" t="str">
        <f>VLOOKUP(E32,坦克个性化设定!$B$18:$F$48,5,FALSE)</f>
        <v>中坦单发</v>
      </c>
      <c r="I32" s="577" t="str">
        <f>VLOOKUP(F32,坦克个性化设定!$B$18:$F$48,5,FALSE)</f>
        <v>重坦自动</v>
      </c>
      <c r="J32" s="577">
        <v>0</v>
      </c>
      <c r="K32" s="577">
        <v>1</v>
      </c>
      <c r="L32" s="577">
        <v>1</v>
      </c>
      <c r="M32" s="578" t="s">
        <v>2638</v>
      </c>
      <c r="N32" s="578" t="s">
        <v>2638</v>
      </c>
      <c r="O32" s="578" t="s">
        <v>2638</v>
      </c>
      <c r="P32" s="577">
        <v>6</v>
      </c>
      <c r="Q32" s="577">
        <v>6</v>
      </c>
      <c r="R32" s="577">
        <v>6</v>
      </c>
      <c r="S32" s="577">
        <v>40</v>
      </c>
      <c r="T32" s="577">
        <v>40</v>
      </c>
      <c r="U32" s="577">
        <v>40</v>
      </c>
      <c r="V32" s="357" t="e">
        <f t="shared" ca="1" si="49"/>
        <v>#REF!</v>
      </c>
      <c r="W32" s="357" t="e">
        <f t="shared" ca="1" si="50"/>
        <v>#REF!</v>
      </c>
      <c r="X32" s="357" t="e">
        <f t="shared" ca="1" si="51"/>
        <v>#REF!</v>
      </c>
      <c r="Y32" s="577" t="e">
        <f ca="1">VLOOKUP($D32&amp;$J32,所有坦克升星属性,MATCH(Y$3,所有坦克升星属性标头,0),FALSE)+ROUND(AD32/VLOOKUP($D32,坦克部件!#REF!,4,FALSE)*VLOOKUP($D32&amp;0,所有坦克升星属性,MATCH(Y$3,所有坦克升星属性标头,0),FALSE),0)</f>
        <v>#REF!</v>
      </c>
      <c r="Z32" s="577" t="e">
        <f ca="1">VLOOKUP($D32&amp;$J32,所有坦克升星属性,MATCH(Z$3,所有坦克升星属性标头,0),FALSE)+ROUND(AE32/VLOOKUP($D32,坦克部件!#REF!,4,FALSE)*VLOOKUP($D32&amp;0,所有坦克升星属性,MATCH(Z$3,所有坦克升星属性标头,0),FALSE),0)</f>
        <v>#REF!</v>
      </c>
      <c r="AA32" s="577">
        <f t="shared" ca="1" si="42"/>
        <v>618</v>
      </c>
      <c r="AB32" s="577">
        <f t="shared" ca="1" si="42"/>
        <v>433</v>
      </c>
      <c r="AC32" s="577" t="e">
        <f ca="1">VLOOKUP($D32&amp;$J32,所有坦克升星属性,MATCH(AC$3,所有坦克升星属性标头,0),FALSE)+ROUND(AF32/VLOOKUP($D32,坦克部件!#REF!,4,FALSE)*VLOOKUP($D32&amp;0,所有坦克升星属性,MATCH(AC$3,所有坦克升星属性标头,0),FALSE),0)</f>
        <v>#REF!</v>
      </c>
      <c r="AD32" s="577" t="e">
        <f>(VLOOKUP($S32,坦克部件!#REF!,MATCH("标准值",坦克部件!#REF!,0),FALSE)+VLOOKUP($M32,坦克部件!#REF!,MATCH("标准值",坦克部件!#REF!,0),FALSE))*$P32</f>
        <v>#REF!</v>
      </c>
      <c r="AE32" s="577" t="e">
        <f>(VLOOKUP($S32,坦克部件!#REF!,MATCH("标准值",坦克部件!#REF!,0),FALSE)+VLOOKUP($M32,坦克部件!#REF!,MATCH("标准值",坦克部件!#REF!,0),FALSE))*$P32</f>
        <v>#REF!</v>
      </c>
      <c r="AF32" s="577" t="e">
        <f>(VLOOKUP($S32,坦克部件!#REF!,MATCH("标准值",坦克部件!#REF!,0),FALSE)+VLOOKUP($M32,坦克部件!#REF!,MATCH("标准值",坦克部件!#REF!,0),FALSE))*$P32</f>
        <v>#REF!</v>
      </c>
      <c r="AG32" s="577">
        <f>VLOOKUP($D32,坦克属性统计!$B$3:$AY$33,MATCH(AG$3,坦克属性统计!$B$3:$AY$3,0),FALSE)</f>
        <v>4</v>
      </c>
      <c r="AH32" s="577">
        <f t="shared" si="43"/>
        <v>0.4</v>
      </c>
      <c r="AI32" s="577">
        <f t="shared" si="43"/>
        <v>1.4</v>
      </c>
      <c r="AJ32" s="577">
        <f t="shared" si="43"/>
        <v>0</v>
      </c>
      <c r="AK32" s="356">
        <f t="shared" si="52"/>
        <v>46</v>
      </c>
      <c r="AL32" s="577" t="e">
        <f ca="1">VLOOKUP($E32&amp;$K32,所有坦克升星属性,MATCH(AL$3,所有坦克升星属性标头,0),FALSE)+ROUND(AQ32/VLOOKUP($E32,坦克部件!#REF!,4,FALSE)*VLOOKUP($E32&amp;0,所有坦克升星属性,MATCH(AL$3,所有坦克升星属性标头,0),FALSE),0)</f>
        <v>#REF!</v>
      </c>
      <c r="AM32" s="577" t="e">
        <f ca="1">VLOOKUP($E32&amp;$K32,所有坦克升星属性,MATCH(AM$3,所有坦克升星属性标头,0),FALSE)+ROUND(AR32/VLOOKUP($E32,坦克部件!#REF!,4,FALSE)*VLOOKUP($E32&amp;0,所有坦克升星属性,MATCH(AM$3,所有坦克升星属性标头,0),FALSE),0)</f>
        <v>#REF!</v>
      </c>
      <c r="AN32" s="577">
        <f t="shared" ca="1" si="44"/>
        <v>671</v>
      </c>
      <c r="AO32" s="577">
        <f t="shared" ca="1" si="44"/>
        <v>503</v>
      </c>
      <c r="AP32" s="577" t="e">
        <f ca="1">VLOOKUP($E32&amp;$K32,所有坦克升星属性,MATCH(AP$3,所有坦克升星属性标头,0),FALSE)+ROUND(AS32/VLOOKUP($E32,坦克部件!#REF!,4,FALSE)*VLOOKUP($E32&amp;0,所有坦克升星属性,MATCH(AP$3,所有坦克升星属性标头,0),FALSE),0)</f>
        <v>#REF!</v>
      </c>
      <c r="AQ32" s="577" t="e">
        <f>(VLOOKUP($T32,坦克部件!#REF!,MATCH("标准值",坦克部件!#REF!,0),FALSE)+VLOOKUP($N32,坦克部件!#REF!,MATCH("标准值",坦克部件!#REF!,0),FALSE))*$Q32</f>
        <v>#REF!</v>
      </c>
      <c r="AR32" s="577" t="e">
        <f>(VLOOKUP($T32,坦克部件!#REF!,MATCH("标准值",坦克部件!#REF!,0),FALSE)+VLOOKUP($N32,坦克部件!#REF!,MATCH("标准值",坦克部件!#REF!,0),FALSE))*$Q32</f>
        <v>#REF!</v>
      </c>
      <c r="AS32" s="577" t="e">
        <f>(VLOOKUP($T32,坦克部件!#REF!,MATCH("标准值",坦克部件!#REF!,0),FALSE)+VLOOKUP($N32,坦克部件!#REF!,MATCH("标准值",坦克部件!#REF!,0),FALSE))*$Q32</f>
        <v>#REF!</v>
      </c>
      <c r="AT32" s="577">
        <f>VLOOKUP($E32,坦克属性统计!$B$3:$AY$33,MATCH(AT$3,坦克属性统计!$B$3:$AY$3,0),FALSE)</f>
        <v>1</v>
      </c>
      <c r="AU32" s="577">
        <f t="shared" si="45"/>
        <v>0</v>
      </c>
      <c r="AV32" s="577">
        <f t="shared" si="45"/>
        <v>4.4400000000000004</v>
      </c>
      <c r="AW32" s="577">
        <f t="shared" si="45"/>
        <v>0</v>
      </c>
      <c r="AX32" s="356">
        <f t="shared" si="53"/>
        <v>14.513513513513512</v>
      </c>
      <c r="AY32" s="577" t="e">
        <f ca="1">VLOOKUP($F32&amp;$L32,所有坦克升星属性,MATCH(AY$3,所有坦克升星属性标头,0),FALSE)+ROUND(BD32/VLOOKUP($F32,坦克部件!#REF!,4,FALSE)*VLOOKUP($F32&amp;0,所有坦克升星属性,MATCH(AY$3,所有坦克升星属性标头,0),FALSE),0)</f>
        <v>#REF!</v>
      </c>
      <c r="AZ32" s="577" t="e">
        <f ca="1">VLOOKUP($F32&amp;$L32,所有坦克升星属性,MATCH(AZ$3,所有坦克升星属性标头,0),FALSE)+ROUND(BE32/VLOOKUP($F32,坦克部件!#REF!,4,FALSE)*VLOOKUP($F32&amp;0,所有坦克升星属性,MATCH(AZ$3,所有坦克升星属性标头,0),FALSE),0)</f>
        <v>#REF!</v>
      </c>
      <c r="BA32" s="577">
        <f t="shared" ca="1" si="46"/>
        <v>583</v>
      </c>
      <c r="BB32" s="577">
        <f t="shared" ca="1" si="46"/>
        <v>467</v>
      </c>
      <c r="BC32" s="577" t="e">
        <f ca="1">VLOOKUP($F32&amp;$L32,所有坦克升星属性,MATCH(BC$3,所有坦克升星属性标头,0),FALSE)+ROUND(BF32/VLOOKUP($F32,坦克部件!#REF!,4,FALSE)*VLOOKUP($F32&amp;0,所有坦克升星属性,MATCH(BC$3,所有坦克升星属性标头,0),FALSE),0)</f>
        <v>#REF!</v>
      </c>
      <c r="BD32" s="577" t="e">
        <f>(VLOOKUP($U32,坦克部件!#REF!,MATCH("标准值",坦克部件!#REF!,0),FALSE)+VLOOKUP($O32,坦克部件!#REF!,MATCH("标准值",坦克部件!#REF!,0),FALSE))*$R32</f>
        <v>#REF!</v>
      </c>
      <c r="BE32" s="577" t="e">
        <f>(VLOOKUP($U32,坦克部件!#REF!,MATCH("标准值",坦克部件!#REF!,0),FALSE)+VLOOKUP($O32,坦克部件!#REF!,MATCH("标准值",坦克部件!#REF!,0),FALSE))*$R32</f>
        <v>#REF!</v>
      </c>
      <c r="BF32" s="577" t="e">
        <f>(VLOOKUP($U32,坦克部件!#REF!,MATCH("标准值",坦克部件!#REF!,0),FALSE)+VLOOKUP($O32,坦克部件!#REF!,MATCH("标准值",坦克部件!#REF!,0),FALSE))*$R32</f>
        <v>#REF!</v>
      </c>
      <c r="BG32" s="577">
        <f>VLOOKUP($F32,坦克属性统计!$B$3:$AY$33,MATCH(BG$3,坦克属性统计!$B$3:$AY$3,0),FALSE)</f>
        <v>2</v>
      </c>
      <c r="BH32" s="577">
        <f t="shared" si="47"/>
        <v>2</v>
      </c>
      <c r="BI32" s="577">
        <f t="shared" si="47"/>
        <v>4.43</v>
      </c>
      <c r="BJ32" s="577">
        <f t="shared" si="47"/>
        <v>0</v>
      </c>
      <c r="BK32" s="356">
        <f t="shared" si="54"/>
        <v>15.544018058690746</v>
      </c>
      <c r="BM32" s="271" t="e">
        <f t="shared" ca="1" si="6"/>
        <v>#REF!</v>
      </c>
    </row>
    <row r="33" spans="2:65" x14ac:dyDescent="0.35">
      <c r="B33" s="577">
        <v>30</v>
      </c>
      <c r="C33" s="577" t="e">
        <f t="shared" ca="1" si="48"/>
        <v>#REF!</v>
      </c>
      <c r="D33" s="577" t="s">
        <v>621</v>
      </c>
      <c r="E33" s="578" t="s">
        <v>2639</v>
      </c>
      <c r="F33" s="577" t="s">
        <v>629</v>
      </c>
      <c r="G33" s="577" t="str">
        <f>VLOOKUP(D33,坦克个性化设定!$B$18:$F$48,5,FALSE)</f>
        <v>轻坦半自动</v>
      </c>
      <c r="H33" s="577" t="str">
        <f>VLOOKUP(E33,坦克个性化设定!$B$18:$F$48,5,FALSE)</f>
        <v>中坦单发</v>
      </c>
      <c r="I33" s="577" t="str">
        <f>VLOOKUP(F33,坦克个性化设定!$B$18:$F$48,5,FALSE)</f>
        <v>重坦自动</v>
      </c>
      <c r="J33" s="577">
        <v>1</v>
      </c>
      <c r="K33" s="577">
        <v>0</v>
      </c>
      <c r="L33" s="577">
        <v>1</v>
      </c>
      <c r="M33" s="578" t="s">
        <v>2638</v>
      </c>
      <c r="N33" s="578" t="s">
        <v>2638</v>
      </c>
      <c r="O33" s="578" t="s">
        <v>2638</v>
      </c>
      <c r="P33" s="577">
        <v>6</v>
      </c>
      <c r="Q33" s="577">
        <v>6</v>
      </c>
      <c r="R33" s="577">
        <v>6</v>
      </c>
      <c r="S33" s="577">
        <v>40</v>
      </c>
      <c r="T33" s="577">
        <v>40</v>
      </c>
      <c r="U33" s="577">
        <v>40</v>
      </c>
      <c r="V33" s="357" t="e">
        <f t="shared" ca="1" si="49"/>
        <v>#REF!</v>
      </c>
      <c r="W33" s="357" t="e">
        <f t="shared" ca="1" si="50"/>
        <v>#REF!</v>
      </c>
      <c r="X33" s="357" t="e">
        <f t="shared" ca="1" si="51"/>
        <v>#REF!</v>
      </c>
      <c r="Y33" s="577" t="e">
        <f ca="1">VLOOKUP($D33&amp;$J33,所有坦克升星属性,MATCH(Y$3,所有坦克升星属性标头,0),FALSE)+ROUND(AD33/VLOOKUP($D33,坦克部件!#REF!,4,FALSE)*VLOOKUP($D33&amp;0,所有坦克升星属性,MATCH(Y$3,所有坦克升星属性标头,0),FALSE),0)</f>
        <v>#REF!</v>
      </c>
      <c r="Z33" s="577" t="e">
        <f ca="1">VLOOKUP($D33&amp;$J33,所有坦克升星属性,MATCH(Z$3,所有坦克升星属性标头,0),FALSE)+ROUND(AE33/VLOOKUP($D33,坦克部件!#REF!,4,FALSE)*VLOOKUP($D33&amp;0,所有坦克升星属性,MATCH(Z$3,所有坦克升星属性标头,0),FALSE),0)</f>
        <v>#REF!</v>
      </c>
      <c r="AA33" s="577">
        <f t="shared" ca="1" si="42"/>
        <v>645</v>
      </c>
      <c r="AB33" s="577">
        <f t="shared" ca="1" si="42"/>
        <v>452</v>
      </c>
      <c r="AC33" s="577" t="e">
        <f ca="1">VLOOKUP($D33&amp;$J33,所有坦克升星属性,MATCH(AC$3,所有坦克升星属性标头,0),FALSE)+ROUND(AF33/VLOOKUP($D33,坦克部件!#REF!,4,FALSE)*VLOOKUP($D33&amp;0,所有坦克升星属性,MATCH(AC$3,所有坦克升星属性标头,0),FALSE),0)</f>
        <v>#REF!</v>
      </c>
      <c r="AD33" s="577" t="e">
        <f>(VLOOKUP($S33,坦克部件!#REF!,MATCH("标准值",坦克部件!#REF!,0),FALSE)+VLOOKUP($M33,坦克部件!#REF!,MATCH("标准值",坦克部件!#REF!,0),FALSE))*$P33</f>
        <v>#REF!</v>
      </c>
      <c r="AE33" s="577" t="e">
        <f>(VLOOKUP($S33,坦克部件!#REF!,MATCH("标准值",坦克部件!#REF!,0),FALSE)+VLOOKUP($M33,坦克部件!#REF!,MATCH("标准值",坦克部件!#REF!,0),FALSE))*$P33</f>
        <v>#REF!</v>
      </c>
      <c r="AF33" s="577" t="e">
        <f>(VLOOKUP($S33,坦克部件!#REF!,MATCH("标准值",坦克部件!#REF!,0),FALSE)+VLOOKUP($M33,坦克部件!#REF!,MATCH("标准值",坦克部件!#REF!,0),FALSE))*$P33</f>
        <v>#REF!</v>
      </c>
      <c r="AG33" s="577">
        <f>VLOOKUP($D33,坦克属性统计!$B$3:$AY$33,MATCH(AG$3,坦克属性统计!$B$3:$AY$3,0),FALSE)</f>
        <v>4</v>
      </c>
      <c r="AH33" s="577">
        <f t="shared" si="43"/>
        <v>0.4</v>
      </c>
      <c r="AI33" s="577">
        <f t="shared" si="43"/>
        <v>1.38</v>
      </c>
      <c r="AJ33" s="577">
        <f t="shared" si="43"/>
        <v>0</v>
      </c>
      <c r="AK33" s="356">
        <f t="shared" si="52"/>
        <v>46.608695652173914</v>
      </c>
      <c r="AL33" s="577" t="e">
        <f ca="1">VLOOKUP($E33&amp;$K33,所有坦克升星属性,MATCH(AL$3,所有坦克升星属性标头,0),FALSE)+ROUND(AQ33/VLOOKUP($E33,坦克部件!#REF!,4,FALSE)*VLOOKUP($E33&amp;0,所有坦克升星属性,MATCH(AL$3,所有坦克升星属性标头,0),FALSE),0)</f>
        <v>#REF!</v>
      </c>
      <c r="AM33" s="577" t="e">
        <f ca="1">VLOOKUP($E33&amp;$K33,所有坦克升星属性,MATCH(AM$3,所有坦克升星属性标头,0),FALSE)+ROUND(AR33/VLOOKUP($E33,坦克部件!#REF!,4,FALSE)*VLOOKUP($E33&amp;0,所有坦克升星属性,MATCH(AM$3,所有坦克升星属性标头,0),FALSE),0)</f>
        <v>#REF!</v>
      </c>
      <c r="AN33" s="577">
        <f t="shared" ca="1" si="44"/>
        <v>677</v>
      </c>
      <c r="AO33" s="577">
        <f t="shared" ca="1" si="44"/>
        <v>508</v>
      </c>
      <c r="AP33" s="577" t="e">
        <f ca="1">VLOOKUP($E33&amp;$K33,所有坦克升星属性,MATCH(AP$3,所有坦克升星属性标头,0),FALSE)+ROUND(AS33/VLOOKUP($E33,坦克部件!#REF!,4,FALSE)*VLOOKUP($E33&amp;0,所有坦克升星属性,MATCH(AP$3,所有坦克升星属性标头,0),FALSE),0)</f>
        <v>#REF!</v>
      </c>
      <c r="AQ33" s="577" t="e">
        <f>(VLOOKUP($T33,坦克部件!#REF!,MATCH("标准值",坦克部件!#REF!,0),FALSE)+VLOOKUP($N33,坦克部件!#REF!,MATCH("标准值",坦克部件!#REF!,0),FALSE))*$Q33</f>
        <v>#REF!</v>
      </c>
      <c r="AR33" s="577" t="e">
        <f>(VLOOKUP($T33,坦克部件!#REF!,MATCH("标准值",坦克部件!#REF!,0),FALSE)+VLOOKUP($N33,坦克部件!#REF!,MATCH("标准值",坦克部件!#REF!,0),FALSE))*$Q33</f>
        <v>#REF!</v>
      </c>
      <c r="AS33" s="577" t="e">
        <f>(VLOOKUP($T33,坦克部件!#REF!,MATCH("标准值",坦克部件!#REF!,0),FALSE)+VLOOKUP($N33,坦克部件!#REF!,MATCH("标准值",坦克部件!#REF!,0),FALSE))*$Q33</f>
        <v>#REF!</v>
      </c>
      <c r="AT33" s="577">
        <f>VLOOKUP($E33,坦克属性统计!$B$3:$AY$33,MATCH(AT$3,坦克属性统计!$B$3:$AY$3,0),FALSE)</f>
        <v>1</v>
      </c>
      <c r="AU33" s="577">
        <f t="shared" si="45"/>
        <v>0</v>
      </c>
      <c r="AV33" s="577">
        <f t="shared" si="45"/>
        <v>4.5</v>
      </c>
      <c r="AW33" s="577">
        <f t="shared" si="45"/>
        <v>0</v>
      </c>
      <c r="AX33" s="356">
        <f t="shared" si="53"/>
        <v>14.333333333333334</v>
      </c>
      <c r="AY33" s="577" t="e">
        <f ca="1">VLOOKUP($F33&amp;$L33,所有坦克升星属性,MATCH(AY$3,所有坦克升星属性标头,0),FALSE)+ROUND(BD33/VLOOKUP($F33,坦克部件!#REF!,4,FALSE)*VLOOKUP($F33&amp;0,所有坦克升星属性,MATCH(AY$3,所有坦克升星属性标头,0),FALSE),0)</f>
        <v>#REF!</v>
      </c>
      <c r="AZ33" s="577" t="e">
        <f ca="1">VLOOKUP($F33&amp;$L33,所有坦克升星属性,MATCH(AZ$3,所有坦克升星属性标头,0),FALSE)+ROUND(BE33/VLOOKUP($F33,坦克部件!#REF!,4,FALSE)*VLOOKUP($F33&amp;0,所有坦克升星属性,MATCH(AZ$3,所有坦克升星属性标头,0),FALSE),0)</f>
        <v>#REF!</v>
      </c>
      <c r="BA33" s="577">
        <f t="shared" ca="1" si="46"/>
        <v>583</v>
      </c>
      <c r="BB33" s="577">
        <f t="shared" ca="1" si="46"/>
        <v>467</v>
      </c>
      <c r="BC33" s="577" t="e">
        <f ca="1">VLOOKUP($F33&amp;$L33,所有坦克升星属性,MATCH(BC$3,所有坦克升星属性标头,0),FALSE)+ROUND(BF33/VLOOKUP($F33,坦克部件!#REF!,4,FALSE)*VLOOKUP($F33&amp;0,所有坦克升星属性,MATCH(BC$3,所有坦克升星属性标头,0),FALSE),0)</f>
        <v>#REF!</v>
      </c>
      <c r="BD33" s="577" t="e">
        <f>(VLOOKUP($U33,坦克部件!#REF!,MATCH("标准值",坦克部件!#REF!,0),FALSE)+VLOOKUP($O33,坦克部件!#REF!,MATCH("标准值",坦克部件!#REF!,0),FALSE))*$R33</f>
        <v>#REF!</v>
      </c>
      <c r="BE33" s="577" t="e">
        <f>(VLOOKUP($U33,坦克部件!#REF!,MATCH("标准值",坦克部件!#REF!,0),FALSE)+VLOOKUP($O33,坦克部件!#REF!,MATCH("标准值",坦克部件!#REF!,0),FALSE))*$R33</f>
        <v>#REF!</v>
      </c>
      <c r="BF33" s="577" t="e">
        <f>(VLOOKUP($U33,坦克部件!#REF!,MATCH("标准值",坦克部件!#REF!,0),FALSE)+VLOOKUP($O33,坦克部件!#REF!,MATCH("标准值",坦克部件!#REF!,0),FALSE))*$R33</f>
        <v>#REF!</v>
      </c>
      <c r="BG33" s="577">
        <f>VLOOKUP($F33,坦克属性统计!$B$3:$AY$33,MATCH(BG$3,坦克属性统计!$B$3:$AY$3,0),FALSE)</f>
        <v>2</v>
      </c>
      <c r="BH33" s="577">
        <f t="shared" si="47"/>
        <v>2</v>
      </c>
      <c r="BI33" s="577">
        <f t="shared" si="47"/>
        <v>4.43</v>
      </c>
      <c r="BJ33" s="577">
        <f t="shared" si="47"/>
        <v>0</v>
      </c>
      <c r="BK33" s="356">
        <f t="shared" si="54"/>
        <v>15.544018058690746</v>
      </c>
      <c r="BM33" s="271" t="e">
        <f t="shared" ca="1" si="6"/>
        <v>#REF!</v>
      </c>
    </row>
    <row r="34" spans="2:65" x14ac:dyDescent="0.35">
      <c r="B34" s="577">
        <v>31</v>
      </c>
      <c r="C34" s="577" t="e">
        <f t="shared" ca="1" si="48"/>
        <v>#REF!</v>
      </c>
      <c r="D34" s="577" t="s">
        <v>621</v>
      </c>
      <c r="E34" s="578" t="s">
        <v>2639</v>
      </c>
      <c r="F34" s="577" t="s">
        <v>722</v>
      </c>
      <c r="G34" s="577" t="str">
        <f>VLOOKUP(D34,坦克个性化设定!$B$18:$F$48,5,FALSE)</f>
        <v>轻坦半自动</v>
      </c>
      <c r="H34" s="577" t="str">
        <f>VLOOKUP(E34,坦克个性化设定!$B$18:$F$48,5,FALSE)</f>
        <v>中坦单发</v>
      </c>
      <c r="I34" s="577" t="str">
        <f>VLOOKUP(F34,坦克个性化设定!$B$18:$F$48,5,FALSE)</f>
        <v>重坦单发</v>
      </c>
      <c r="J34" s="577">
        <v>1</v>
      </c>
      <c r="K34" s="577">
        <v>1</v>
      </c>
      <c r="L34" s="577">
        <v>0</v>
      </c>
      <c r="M34" s="578" t="s">
        <v>2638</v>
      </c>
      <c r="N34" s="578" t="s">
        <v>2638</v>
      </c>
      <c r="O34" s="578" t="s">
        <v>2638</v>
      </c>
      <c r="P34" s="577">
        <v>6</v>
      </c>
      <c r="Q34" s="577">
        <v>6</v>
      </c>
      <c r="R34" s="577">
        <v>6</v>
      </c>
      <c r="S34" s="577">
        <v>40</v>
      </c>
      <c r="T34" s="577">
        <v>40</v>
      </c>
      <c r="U34" s="577">
        <v>40</v>
      </c>
      <c r="V34" s="357" t="e">
        <f t="shared" ca="1" si="49"/>
        <v>#REF!</v>
      </c>
      <c r="W34" s="357" t="e">
        <f t="shared" ca="1" si="50"/>
        <v>#REF!</v>
      </c>
      <c r="X34" s="357" t="e">
        <f t="shared" ca="1" si="51"/>
        <v>#REF!</v>
      </c>
      <c r="Y34" s="577" t="e">
        <f ca="1">VLOOKUP($D34&amp;$J34,所有坦克升星属性,MATCH(Y$3,所有坦克升星属性标头,0),FALSE)+ROUND(AD34/VLOOKUP($D34,坦克部件!#REF!,4,FALSE)*VLOOKUP($D34&amp;0,所有坦克升星属性,MATCH(Y$3,所有坦克升星属性标头,0),FALSE),0)</f>
        <v>#REF!</v>
      </c>
      <c r="Z34" s="577" t="e">
        <f ca="1">VLOOKUP($D34&amp;$J34,所有坦克升星属性,MATCH(Z$3,所有坦克升星属性标头,0),FALSE)+ROUND(AE34/VLOOKUP($D34,坦克部件!#REF!,4,FALSE)*VLOOKUP($D34&amp;0,所有坦克升星属性,MATCH(Z$3,所有坦克升星属性标头,0),FALSE),0)</f>
        <v>#REF!</v>
      </c>
      <c r="AA34" s="577">
        <f t="shared" ca="1" si="42"/>
        <v>645</v>
      </c>
      <c r="AB34" s="577">
        <f t="shared" ca="1" si="42"/>
        <v>452</v>
      </c>
      <c r="AC34" s="577" t="e">
        <f ca="1">VLOOKUP($D34&amp;$J34,所有坦克升星属性,MATCH(AC$3,所有坦克升星属性标头,0),FALSE)+ROUND(AF34/VLOOKUP($D34,坦克部件!#REF!,4,FALSE)*VLOOKUP($D34&amp;0,所有坦克升星属性,MATCH(AC$3,所有坦克升星属性标头,0),FALSE),0)</f>
        <v>#REF!</v>
      </c>
      <c r="AD34" s="577" t="e">
        <f>(VLOOKUP($S34,坦克部件!#REF!,MATCH("标准值",坦克部件!#REF!,0),FALSE)+VLOOKUP($M34,坦克部件!#REF!,MATCH("标准值",坦克部件!#REF!,0),FALSE))*$P34</f>
        <v>#REF!</v>
      </c>
      <c r="AE34" s="577" t="e">
        <f>(VLOOKUP($S34,坦克部件!#REF!,MATCH("标准值",坦克部件!#REF!,0),FALSE)+VLOOKUP($M34,坦克部件!#REF!,MATCH("标准值",坦克部件!#REF!,0),FALSE))*$P34</f>
        <v>#REF!</v>
      </c>
      <c r="AF34" s="577" t="e">
        <f>(VLOOKUP($S34,坦克部件!#REF!,MATCH("标准值",坦克部件!#REF!,0),FALSE)+VLOOKUP($M34,坦克部件!#REF!,MATCH("标准值",坦克部件!#REF!,0),FALSE))*$P34</f>
        <v>#REF!</v>
      </c>
      <c r="AG34" s="577">
        <f>VLOOKUP($D34,坦克属性统计!$B$3:$AY$33,MATCH(AG$3,坦克属性统计!$B$3:$AY$3,0),FALSE)</f>
        <v>4</v>
      </c>
      <c r="AH34" s="577">
        <f t="shared" si="43"/>
        <v>0.4</v>
      </c>
      <c r="AI34" s="577">
        <f t="shared" si="43"/>
        <v>1.38</v>
      </c>
      <c r="AJ34" s="577">
        <f t="shared" si="43"/>
        <v>0</v>
      </c>
      <c r="AK34" s="356">
        <f t="shared" si="52"/>
        <v>46.608695652173914</v>
      </c>
      <c r="AL34" s="577" t="e">
        <f ca="1">VLOOKUP($E34&amp;$K34,所有坦克升星属性,MATCH(AL$3,所有坦克升星属性标头,0),FALSE)+ROUND(AQ34/VLOOKUP($E34,坦克部件!#REF!,4,FALSE)*VLOOKUP($E34&amp;0,所有坦克升星属性,MATCH(AL$3,所有坦克升星属性标头,0),FALSE),0)</f>
        <v>#REF!</v>
      </c>
      <c r="AM34" s="577" t="e">
        <f ca="1">VLOOKUP($E34&amp;$K34,所有坦克升星属性,MATCH(AM$3,所有坦克升星属性标头,0),FALSE)+ROUND(AR34/VLOOKUP($E34,坦克部件!#REF!,4,FALSE)*VLOOKUP($E34&amp;0,所有坦克升星属性,MATCH(AM$3,所有坦克升星属性标头,0),FALSE),0)</f>
        <v>#REF!</v>
      </c>
      <c r="AN34" s="577">
        <f t="shared" ca="1" si="44"/>
        <v>707</v>
      </c>
      <c r="AO34" s="577">
        <f t="shared" ca="1" si="44"/>
        <v>530</v>
      </c>
      <c r="AP34" s="577" t="e">
        <f ca="1">VLOOKUP($E34&amp;$K34,所有坦克升星属性,MATCH(AP$3,所有坦克升星属性标头,0),FALSE)+ROUND(AS34/VLOOKUP($E34,坦克部件!#REF!,4,FALSE)*VLOOKUP($E34&amp;0,所有坦克升星属性,MATCH(AP$3,所有坦克升星属性标头,0),FALSE),0)</f>
        <v>#REF!</v>
      </c>
      <c r="AQ34" s="577" t="e">
        <f>(VLOOKUP($T34,坦克部件!#REF!,MATCH("标准值",坦克部件!#REF!,0),FALSE)+VLOOKUP($N34,坦克部件!#REF!,MATCH("标准值",坦克部件!#REF!,0),FALSE))*$Q34</f>
        <v>#REF!</v>
      </c>
      <c r="AR34" s="577" t="e">
        <f>(VLOOKUP($T34,坦克部件!#REF!,MATCH("标准值",坦克部件!#REF!,0),FALSE)+VLOOKUP($N34,坦克部件!#REF!,MATCH("标准值",坦克部件!#REF!,0),FALSE))*$Q34</f>
        <v>#REF!</v>
      </c>
      <c r="AS34" s="577" t="e">
        <f>(VLOOKUP($T34,坦克部件!#REF!,MATCH("标准值",坦克部件!#REF!,0),FALSE)+VLOOKUP($N34,坦克部件!#REF!,MATCH("标准值",坦克部件!#REF!,0),FALSE))*$Q34</f>
        <v>#REF!</v>
      </c>
      <c r="AT34" s="577">
        <f>VLOOKUP($E34,坦克属性统计!$B$3:$AY$33,MATCH(AT$3,坦克属性统计!$B$3:$AY$3,0),FALSE)</f>
        <v>1</v>
      </c>
      <c r="AU34" s="577">
        <f t="shared" si="45"/>
        <v>0</v>
      </c>
      <c r="AV34" s="577">
        <f t="shared" si="45"/>
        <v>4.4400000000000004</v>
      </c>
      <c r="AW34" s="577">
        <f t="shared" si="45"/>
        <v>0</v>
      </c>
      <c r="AX34" s="356">
        <f t="shared" si="53"/>
        <v>14.513513513513512</v>
      </c>
      <c r="AY34" s="577" t="e">
        <f ca="1">VLOOKUP($F34&amp;$L34,所有坦克升星属性,MATCH(AY$3,所有坦克升星属性标头,0),FALSE)+ROUND(BD34/VLOOKUP($F34,坦克部件!#REF!,4,FALSE)*VLOOKUP($F34&amp;0,所有坦克升星属性,MATCH(AY$3,所有坦克升星属性标头,0),FALSE),0)</f>
        <v>#REF!</v>
      </c>
      <c r="AZ34" s="577" t="e">
        <f ca="1">VLOOKUP($F34&amp;$L34,所有坦克升星属性,MATCH(AZ$3,所有坦克升星属性标头,0),FALSE)+ROUND(BE34/VLOOKUP($F34,坦克部件!#REF!,4,FALSE)*VLOOKUP($F34&amp;0,所有坦克升星属性,MATCH(AZ$3,所有坦克升星属性标头,0),FALSE),0)</f>
        <v>#REF!</v>
      </c>
      <c r="BA34" s="577">
        <f t="shared" ca="1" si="46"/>
        <v>647</v>
      </c>
      <c r="BB34" s="577">
        <f t="shared" ca="1" si="46"/>
        <v>518</v>
      </c>
      <c r="BC34" s="577" t="e">
        <f ca="1">VLOOKUP($F34&amp;$L34,所有坦克升星属性,MATCH(BC$3,所有坦克升星属性标头,0),FALSE)+ROUND(BF34/VLOOKUP($F34,坦克部件!#REF!,4,FALSE)*VLOOKUP($F34&amp;0,所有坦克升星属性,MATCH(BC$3,所有坦克升星属性标头,0),FALSE),0)</f>
        <v>#REF!</v>
      </c>
      <c r="BD34" s="577" t="e">
        <f>(VLOOKUP($U34,坦克部件!#REF!,MATCH("标准值",坦克部件!#REF!,0),FALSE)+VLOOKUP($O34,坦克部件!#REF!,MATCH("标准值",坦克部件!#REF!,0),FALSE))*$R34</f>
        <v>#REF!</v>
      </c>
      <c r="BE34" s="577" t="e">
        <f>(VLOOKUP($U34,坦克部件!#REF!,MATCH("标准值",坦克部件!#REF!,0),FALSE)+VLOOKUP($O34,坦克部件!#REF!,MATCH("标准值",坦克部件!#REF!,0),FALSE))*$R34</f>
        <v>#REF!</v>
      </c>
      <c r="BF34" s="577" t="e">
        <f>(VLOOKUP($U34,坦克部件!#REF!,MATCH("标准值",坦克部件!#REF!,0),FALSE)+VLOOKUP($O34,坦克部件!#REF!,MATCH("标准值",坦克部件!#REF!,0),FALSE))*$R34</f>
        <v>#REF!</v>
      </c>
      <c r="BG34" s="577">
        <f>VLOOKUP($F34,坦克属性统计!$B$3:$AY$33,MATCH(BG$3,坦克属性统计!$B$3:$AY$3,0),FALSE)</f>
        <v>1</v>
      </c>
      <c r="BH34" s="577">
        <f t="shared" si="47"/>
        <v>0</v>
      </c>
      <c r="BI34" s="577">
        <f t="shared" si="47"/>
        <v>6</v>
      </c>
      <c r="BJ34" s="577">
        <f t="shared" si="47"/>
        <v>0</v>
      </c>
      <c r="BK34" s="356">
        <f t="shared" si="54"/>
        <v>11</v>
      </c>
      <c r="BM34" s="271" t="e">
        <f t="shared" ca="1" si="6"/>
        <v>#REF!</v>
      </c>
    </row>
    <row r="35" spans="2:65" x14ac:dyDescent="0.35">
      <c r="B35" s="577">
        <v>32</v>
      </c>
      <c r="C35" s="577" t="e">
        <f t="shared" ca="1" si="48"/>
        <v>#REF!</v>
      </c>
      <c r="D35" s="577" t="s">
        <v>621</v>
      </c>
      <c r="E35" s="578" t="s">
        <v>2639</v>
      </c>
      <c r="F35" s="577" t="s">
        <v>722</v>
      </c>
      <c r="G35" s="577" t="str">
        <f>VLOOKUP(D35,坦克个性化设定!$B$18:$F$48,5,FALSE)</f>
        <v>轻坦半自动</v>
      </c>
      <c r="H35" s="577" t="str">
        <f>VLOOKUP(E35,坦克个性化设定!$B$18:$F$48,5,FALSE)</f>
        <v>中坦单发</v>
      </c>
      <c r="I35" s="577" t="str">
        <f>VLOOKUP(F35,坦克个性化设定!$B$18:$F$48,5,FALSE)</f>
        <v>重坦单发</v>
      </c>
      <c r="J35" s="577">
        <v>1</v>
      </c>
      <c r="K35" s="577">
        <v>1</v>
      </c>
      <c r="L35" s="577">
        <v>1</v>
      </c>
      <c r="M35" s="578" t="s">
        <v>2638</v>
      </c>
      <c r="N35" s="578" t="s">
        <v>2638</v>
      </c>
      <c r="O35" s="578" t="s">
        <v>2638</v>
      </c>
      <c r="P35" s="577">
        <v>6</v>
      </c>
      <c r="Q35" s="577">
        <v>6</v>
      </c>
      <c r="R35" s="577">
        <v>6</v>
      </c>
      <c r="S35" s="577">
        <v>40</v>
      </c>
      <c r="T35" s="577">
        <v>40</v>
      </c>
      <c r="U35" s="577">
        <v>40</v>
      </c>
      <c r="V35" s="357" t="e">
        <f t="shared" ca="1" si="49"/>
        <v>#REF!</v>
      </c>
      <c r="W35" s="357" t="e">
        <f t="shared" ca="1" si="50"/>
        <v>#REF!</v>
      </c>
      <c r="X35" s="357" t="e">
        <f t="shared" ca="1" si="51"/>
        <v>#REF!</v>
      </c>
      <c r="Y35" s="577" t="e">
        <f ca="1">VLOOKUP($D35&amp;$J35,所有坦克升星属性,MATCH(Y$3,所有坦克升星属性标头,0),FALSE)+ROUND(AD35/VLOOKUP($D35,坦克部件!#REF!,4,FALSE)*VLOOKUP($D35&amp;0,所有坦克升星属性,MATCH(Y$3,所有坦克升星属性标头,0),FALSE),0)</f>
        <v>#REF!</v>
      </c>
      <c r="Z35" s="577" t="e">
        <f ca="1">VLOOKUP($D35&amp;$J35,所有坦克升星属性,MATCH(Z$3,所有坦克升星属性标头,0),FALSE)+ROUND(AE35/VLOOKUP($D35,坦克部件!#REF!,4,FALSE)*VLOOKUP($D35&amp;0,所有坦克升星属性,MATCH(Z$3,所有坦克升星属性标头,0),FALSE),0)</f>
        <v>#REF!</v>
      </c>
      <c r="AA35" s="577">
        <f t="shared" ca="1" si="42"/>
        <v>645</v>
      </c>
      <c r="AB35" s="577">
        <f t="shared" ca="1" si="42"/>
        <v>452</v>
      </c>
      <c r="AC35" s="577" t="e">
        <f ca="1">VLOOKUP($D35&amp;$J35,所有坦克升星属性,MATCH(AC$3,所有坦克升星属性标头,0),FALSE)+ROUND(AF35/VLOOKUP($D35,坦克部件!#REF!,4,FALSE)*VLOOKUP($D35&amp;0,所有坦克升星属性,MATCH(AC$3,所有坦克升星属性标头,0),FALSE),0)</f>
        <v>#REF!</v>
      </c>
      <c r="AD35" s="577" t="e">
        <f>(VLOOKUP($S35,坦克部件!#REF!,MATCH("标准值",坦克部件!#REF!,0),FALSE)+VLOOKUP($M35,坦克部件!#REF!,MATCH("标准值",坦克部件!#REF!,0),FALSE))*$P35</f>
        <v>#REF!</v>
      </c>
      <c r="AE35" s="577" t="e">
        <f>(VLOOKUP($S35,坦克部件!#REF!,MATCH("标准值",坦克部件!#REF!,0),FALSE)+VLOOKUP($M35,坦克部件!#REF!,MATCH("标准值",坦克部件!#REF!,0),FALSE))*$P35</f>
        <v>#REF!</v>
      </c>
      <c r="AF35" s="577" t="e">
        <f>(VLOOKUP($S35,坦克部件!#REF!,MATCH("标准值",坦克部件!#REF!,0),FALSE)+VLOOKUP($M35,坦克部件!#REF!,MATCH("标准值",坦克部件!#REF!,0),FALSE))*$P35</f>
        <v>#REF!</v>
      </c>
      <c r="AG35" s="577">
        <f>VLOOKUP($D35,坦克属性统计!$B$3:$AY$33,MATCH(AG$3,坦克属性统计!$B$3:$AY$3,0),FALSE)</f>
        <v>4</v>
      </c>
      <c r="AH35" s="577">
        <f t="shared" si="43"/>
        <v>0.4</v>
      </c>
      <c r="AI35" s="577">
        <f t="shared" si="43"/>
        <v>1.38</v>
      </c>
      <c r="AJ35" s="577">
        <f t="shared" si="43"/>
        <v>0</v>
      </c>
      <c r="AK35" s="356">
        <f t="shared" si="52"/>
        <v>46.608695652173914</v>
      </c>
      <c r="AL35" s="577" t="e">
        <f ca="1">VLOOKUP($E35&amp;$K35,所有坦克升星属性,MATCH(AL$3,所有坦克升星属性标头,0),FALSE)+ROUND(AQ35/VLOOKUP($E35,坦克部件!#REF!,4,FALSE)*VLOOKUP($E35&amp;0,所有坦克升星属性,MATCH(AL$3,所有坦克升星属性标头,0),FALSE),0)</f>
        <v>#REF!</v>
      </c>
      <c r="AM35" s="577" t="e">
        <f ca="1">VLOOKUP($E35&amp;$K35,所有坦克升星属性,MATCH(AM$3,所有坦克升星属性标头,0),FALSE)+ROUND(AR35/VLOOKUP($E35,坦克部件!#REF!,4,FALSE)*VLOOKUP($E35&amp;0,所有坦克升星属性,MATCH(AM$3,所有坦克升星属性标头,0),FALSE),0)</f>
        <v>#REF!</v>
      </c>
      <c r="AN35" s="577">
        <f t="shared" ca="1" si="44"/>
        <v>707</v>
      </c>
      <c r="AO35" s="577">
        <f t="shared" ca="1" si="44"/>
        <v>530</v>
      </c>
      <c r="AP35" s="577" t="e">
        <f ca="1">VLOOKUP($E35&amp;$K35,所有坦克升星属性,MATCH(AP$3,所有坦克升星属性标头,0),FALSE)+ROUND(AS35/VLOOKUP($E35,坦克部件!#REF!,4,FALSE)*VLOOKUP($E35&amp;0,所有坦克升星属性,MATCH(AP$3,所有坦克升星属性标头,0),FALSE),0)</f>
        <v>#REF!</v>
      </c>
      <c r="AQ35" s="577" t="e">
        <f>(VLOOKUP($T35,坦克部件!#REF!,MATCH("标准值",坦克部件!#REF!,0),FALSE)+VLOOKUP($N35,坦克部件!#REF!,MATCH("标准值",坦克部件!#REF!,0),FALSE))*$Q35</f>
        <v>#REF!</v>
      </c>
      <c r="AR35" s="577" t="e">
        <f>(VLOOKUP($T35,坦克部件!#REF!,MATCH("标准值",坦克部件!#REF!,0),FALSE)+VLOOKUP($N35,坦克部件!#REF!,MATCH("标准值",坦克部件!#REF!,0),FALSE))*$Q35</f>
        <v>#REF!</v>
      </c>
      <c r="AS35" s="577" t="e">
        <f>(VLOOKUP($T35,坦克部件!#REF!,MATCH("标准值",坦克部件!#REF!,0),FALSE)+VLOOKUP($N35,坦克部件!#REF!,MATCH("标准值",坦克部件!#REF!,0),FALSE))*$Q35</f>
        <v>#REF!</v>
      </c>
      <c r="AT35" s="577">
        <f>VLOOKUP($E35,坦克属性统计!$B$3:$AY$33,MATCH(AT$3,坦克属性统计!$B$3:$AY$3,0),FALSE)</f>
        <v>1</v>
      </c>
      <c r="AU35" s="577">
        <f t="shared" si="45"/>
        <v>0</v>
      </c>
      <c r="AV35" s="577">
        <f t="shared" si="45"/>
        <v>4.4400000000000004</v>
      </c>
      <c r="AW35" s="577">
        <f t="shared" si="45"/>
        <v>0</v>
      </c>
      <c r="AX35" s="356">
        <f t="shared" si="53"/>
        <v>14.513513513513512</v>
      </c>
      <c r="AY35" s="577" t="e">
        <f ca="1">VLOOKUP($F35&amp;$L35,所有坦克升星属性,MATCH(AY$3,所有坦克升星属性标头,0),FALSE)+ROUND(BD35/VLOOKUP($F35,坦克部件!#REF!,4,FALSE)*VLOOKUP($F35&amp;0,所有坦克升星属性,MATCH(AY$3,所有坦克升星属性标头,0),FALSE),0)</f>
        <v>#REF!</v>
      </c>
      <c r="AZ35" s="577" t="e">
        <f ca="1">VLOOKUP($F35&amp;$L35,所有坦克升星属性,MATCH(AZ$3,所有坦克升星属性标头,0),FALSE)+ROUND(BE35/VLOOKUP($F35,坦克部件!#REF!,4,FALSE)*VLOOKUP($F35&amp;0,所有坦克升星属性,MATCH(AZ$3,所有坦克升星属性标头,0),FALSE),0)</f>
        <v>#REF!</v>
      </c>
      <c r="BA35" s="577">
        <f t="shared" ca="1" si="46"/>
        <v>675</v>
      </c>
      <c r="BB35" s="577">
        <f t="shared" ca="1" si="46"/>
        <v>541</v>
      </c>
      <c r="BC35" s="577" t="e">
        <f ca="1">VLOOKUP($F35&amp;$L35,所有坦克升星属性,MATCH(BC$3,所有坦克升星属性标头,0),FALSE)+ROUND(BF35/VLOOKUP($F35,坦克部件!#REF!,4,FALSE)*VLOOKUP($F35&amp;0,所有坦克升星属性,MATCH(BC$3,所有坦克升星属性标头,0),FALSE),0)</f>
        <v>#REF!</v>
      </c>
      <c r="BD35" s="577" t="e">
        <f>(VLOOKUP($U35,坦克部件!#REF!,MATCH("标准值",坦克部件!#REF!,0),FALSE)+VLOOKUP($O35,坦克部件!#REF!,MATCH("标准值",坦克部件!#REF!,0),FALSE))*$R35</f>
        <v>#REF!</v>
      </c>
      <c r="BE35" s="577" t="e">
        <f>(VLOOKUP($U35,坦克部件!#REF!,MATCH("标准值",坦克部件!#REF!,0),FALSE)+VLOOKUP($O35,坦克部件!#REF!,MATCH("标准值",坦克部件!#REF!,0),FALSE))*$R35</f>
        <v>#REF!</v>
      </c>
      <c r="BF35" s="577" t="e">
        <f>(VLOOKUP($U35,坦克部件!#REF!,MATCH("标准值",坦克部件!#REF!,0),FALSE)+VLOOKUP($O35,坦克部件!#REF!,MATCH("标准值",坦克部件!#REF!,0),FALSE))*$R35</f>
        <v>#REF!</v>
      </c>
      <c r="BG35" s="577">
        <f>VLOOKUP($F35,坦克属性统计!$B$3:$AY$33,MATCH(BG$3,坦克属性统计!$B$3:$AY$3,0),FALSE)</f>
        <v>1</v>
      </c>
      <c r="BH35" s="577">
        <f t="shared" si="47"/>
        <v>0</v>
      </c>
      <c r="BI35" s="577">
        <f t="shared" si="47"/>
        <v>5.91</v>
      </c>
      <c r="BJ35" s="577">
        <f t="shared" si="47"/>
        <v>0</v>
      </c>
      <c r="BK35" s="356">
        <f t="shared" si="54"/>
        <v>11.152284263959391</v>
      </c>
      <c r="BM35" s="271" t="e">
        <f t="shared" ca="1" si="6"/>
        <v>#REF!</v>
      </c>
    </row>
    <row r="36" spans="2:65" x14ac:dyDescent="0.35">
      <c r="B36" s="577">
        <v>33</v>
      </c>
      <c r="C36" s="577" t="e">
        <f t="shared" ref="C36:C37" ca="1" si="55">MAX(V36:X36)*0.65+MIN(V36:X36)*0.1225+(SUM(V36:X36)-MAX(V36:X36)-MIN(V36:X36))*0.2275</f>
        <v>#REF!</v>
      </c>
      <c r="D36" s="577" t="s">
        <v>621</v>
      </c>
      <c r="E36" s="578" t="s">
        <v>2639</v>
      </c>
      <c r="F36" s="577" t="s">
        <v>722</v>
      </c>
      <c r="G36" s="577" t="str">
        <f>VLOOKUP(D36,坦克个性化设定!$B$18:$F$48,5,FALSE)</f>
        <v>轻坦半自动</v>
      </c>
      <c r="H36" s="577" t="str">
        <f>VLOOKUP(E36,坦克个性化设定!$B$18:$F$48,5,FALSE)</f>
        <v>中坦单发</v>
      </c>
      <c r="I36" s="577" t="str">
        <f>VLOOKUP(F36,坦克个性化设定!$B$18:$F$48,5,FALSE)</f>
        <v>重坦单发</v>
      </c>
      <c r="J36" s="577">
        <v>2</v>
      </c>
      <c r="K36" s="577">
        <v>2</v>
      </c>
      <c r="L36" s="577">
        <v>2</v>
      </c>
      <c r="M36" s="578" t="s">
        <v>2638</v>
      </c>
      <c r="N36" s="578" t="s">
        <v>2638</v>
      </c>
      <c r="O36" s="578" t="s">
        <v>2638</v>
      </c>
      <c r="P36" s="577">
        <v>6</v>
      </c>
      <c r="Q36" s="577">
        <v>6</v>
      </c>
      <c r="R36" s="577">
        <v>6</v>
      </c>
      <c r="S36" s="577">
        <v>40</v>
      </c>
      <c r="T36" s="577">
        <v>40</v>
      </c>
      <c r="U36" s="577">
        <v>40</v>
      </c>
      <c r="V36" s="357" t="e">
        <f t="shared" ref="V36:V37" ca="1" si="56">ROUND(SQRT(Y36*Z36*AK36/2+AVERAGE(AA36,AB36)*AC36*100),0)</f>
        <v>#REF!</v>
      </c>
      <c r="W36" s="357" t="e">
        <f t="shared" ref="W36:W37" ca="1" si="57">ROUND(SQRT(AL36*AM36*AX36/2+AVERAGE(AN36,AO36)*AP36*100),0)</f>
        <v>#REF!</v>
      </c>
      <c r="X36" s="357" t="e">
        <f t="shared" ref="X36:X37" ca="1" si="58">ROUND(SQRT(AY36*AZ36*BK36/2+AVERAGE(BA36,BB36)*BC36*100),0)</f>
        <v>#REF!</v>
      </c>
      <c r="Y36" s="577" t="e">
        <f ca="1">VLOOKUP($D36&amp;$J36,所有坦克升星属性,MATCH(Y$3,所有坦克升星属性标头,0),FALSE)+ROUND(AD36/VLOOKUP($D36,坦克部件!#REF!,4,FALSE)*VLOOKUP($D36&amp;0,所有坦克升星属性,MATCH(Y$3,所有坦克升星属性标头,0),FALSE),0)</f>
        <v>#REF!</v>
      </c>
      <c r="Z36" s="577" t="e">
        <f ca="1">VLOOKUP($D36&amp;$J36,所有坦克升星属性,MATCH(Z$3,所有坦克升星属性标头,0),FALSE)+ROUND(AE36/VLOOKUP($D36,坦克部件!#REF!,4,FALSE)*VLOOKUP($D36&amp;0,所有坦克升星属性,MATCH(Z$3,所有坦克升星属性标头,0),FALSE),0)</f>
        <v>#REF!</v>
      </c>
      <c r="AA36" s="577">
        <f t="shared" ca="1" si="42"/>
        <v>672</v>
      </c>
      <c r="AB36" s="577">
        <f t="shared" ca="1" si="42"/>
        <v>471</v>
      </c>
      <c r="AC36" s="577" t="e">
        <f ca="1">VLOOKUP($D36&amp;$J36,所有坦克升星属性,MATCH(AC$3,所有坦克升星属性标头,0),FALSE)+ROUND(AF36/VLOOKUP($D36,坦克部件!#REF!,4,FALSE)*VLOOKUP($D36&amp;0,所有坦克升星属性,MATCH(AC$3,所有坦克升星属性标头,0),FALSE),0)</f>
        <v>#REF!</v>
      </c>
      <c r="AD36" s="577" t="e">
        <f>(VLOOKUP($S36,坦克部件!#REF!,MATCH("标准值",坦克部件!#REF!,0),FALSE)+VLOOKUP($M36,坦克部件!#REF!,MATCH("标准值",坦克部件!#REF!,0),FALSE))*$P36</f>
        <v>#REF!</v>
      </c>
      <c r="AE36" s="577" t="e">
        <f>(VLOOKUP($S36,坦克部件!#REF!,MATCH("标准值",坦克部件!#REF!,0),FALSE)+VLOOKUP($M36,坦克部件!#REF!,MATCH("标准值",坦克部件!#REF!,0),FALSE))*$P36</f>
        <v>#REF!</v>
      </c>
      <c r="AF36" s="577" t="e">
        <f>(VLOOKUP($S36,坦克部件!#REF!,MATCH("标准值",坦克部件!#REF!,0),FALSE)+VLOOKUP($M36,坦克部件!#REF!,MATCH("标准值",坦克部件!#REF!,0),FALSE))*$P36</f>
        <v>#REF!</v>
      </c>
      <c r="AG36" s="577">
        <f>VLOOKUP($D36,坦克属性统计!$B$3:$AY$33,MATCH(AG$3,坦克属性统计!$B$3:$AY$3,0),FALSE)</f>
        <v>4</v>
      </c>
      <c r="AH36" s="577">
        <f t="shared" si="43"/>
        <v>0.4</v>
      </c>
      <c r="AI36" s="577">
        <f t="shared" si="43"/>
        <v>1.36</v>
      </c>
      <c r="AJ36" s="577">
        <f t="shared" si="43"/>
        <v>0</v>
      </c>
      <c r="AK36" s="356">
        <f t="shared" ref="AK36:AK37" si="59">IF(LEN(G36)=5,(60-(AG36-1)*AH36)/AI36+AG36,IF(RIGHT(G36,2)="弹夹",((60-(AG36-1)*AH36)/(AJ36+(AG36-1)*AH36)+1)*AG36,60/AI36+AG36))</f>
        <v>47.235294117647051</v>
      </c>
      <c r="AL36" s="577" t="e">
        <f ca="1">VLOOKUP($E36&amp;$K36,所有坦克升星属性,MATCH(AL$3,所有坦克升星属性标头,0),FALSE)+ROUND(AQ36/VLOOKUP($E36,坦克部件!#REF!,4,FALSE)*VLOOKUP($E36&amp;0,所有坦克升星属性,MATCH(AL$3,所有坦克升星属性标头,0),FALSE),0)</f>
        <v>#REF!</v>
      </c>
      <c r="AM36" s="577" t="e">
        <f ca="1">VLOOKUP($E36&amp;$K36,所有坦克升星属性,MATCH(AM$3,所有坦克升星属性标头,0),FALSE)+ROUND(AR36/VLOOKUP($E36,坦克部件!#REF!,4,FALSE)*VLOOKUP($E36&amp;0,所有坦克升星属性,MATCH(AM$3,所有坦克升星属性标头,0),FALSE),0)</f>
        <v>#REF!</v>
      </c>
      <c r="AN36" s="577">
        <f t="shared" ca="1" si="44"/>
        <v>736</v>
      </c>
      <c r="AO36" s="577">
        <f t="shared" ca="1" si="44"/>
        <v>552</v>
      </c>
      <c r="AP36" s="577" t="e">
        <f ca="1">VLOOKUP($E36&amp;$K36,所有坦克升星属性,MATCH(AP$3,所有坦克升星属性标头,0),FALSE)+ROUND(AS36/VLOOKUP($E36,坦克部件!#REF!,4,FALSE)*VLOOKUP($E36&amp;0,所有坦克升星属性,MATCH(AP$3,所有坦克升星属性标头,0),FALSE),0)</f>
        <v>#REF!</v>
      </c>
      <c r="AQ36" s="577" t="e">
        <f>(VLOOKUP($T36,坦克部件!#REF!,MATCH("标准值",坦克部件!#REF!,0),FALSE)+VLOOKUP($N36,坦克部件!#REF!,MATCH("标准值",坦克部件!#REF!,0),FALSE))*$Q36</f>
        <v>#REF!</v>
      </c>
      <c r="AR36" s="577" t="e">
        <f>(VLOOKUP($T36,坦克部件!#REF!,MATCH("标准值",坦克部件!#REF!,0),FALSE)+VLOOKUP($N36,坦克部件!#REF!,MATCH("标准值",坦克部件!#REF!,0),FALSE))*$Q36</f>
        <v>#REF!</v>
      </c>
      <c r="AS36" s="577" t="e">
        <f>(VLOOKUP($T36,坦克部件!#REF!,MATCH("标准值",坦克部件!#REF!,0),FALSE)+VLOOKUP($N36,坦克部件!#REF!,MATCH("标准值",坦克部件!#REF!,0),FALSE))*$Q36</f>
        <v>#REF!</v>
      </c>
      <c r="AT36" s="577">
        <f>VLOOKUP($E36,坦克属性统计!$B$3:$AY$33,MATCH(AT$3,坦克属性统计!$B$3:$AY$3,0),FALSE)</f>
        <v>1</v>
      </c>
      <c r="AU36" s="577">
        <f t="shared" si="45"/>
        <v>0</v>
      </c>
      <c r="AV36" s="577">
        <f t="shared" si="45"/>
        <v>4.37</v>
      </c>
      <c r="AW36" s="577">
        <f t="shared" si="45"/>
        <v>0</v>
      </c>
      <c r="AX36" s="356">
        <f t="shared" ref="AX36:AX37" si="60">IF(LEN(H36)=5,(60-(AT36-1)*AU36)/AV36+AT36,IF(RIGHT(H36,2)="弹夹",((60-(AT36-1)*AU36)/(AW36+(AT36-1)*AU36)+1)*AT36,60/AV36+AT36))</f>
        <v>14.729977116704806</v>
      </c>
      <c r="AY36" s="577" t="e">
        <f ca="1">VLOOKUP($F36&amp;$L36,所有坦克升星属性,MATCH(AY$3,所有坦克升星属性标头,0),FALSE)+ROUND(BD36/VLOOKUP($F36,坦克部件!#REF!,4,FALSE)*VLOOKUP($F36&amp;0,所有坦克升星属性,MATCH(AY$3,所有坦克升星属性标头,0),FALSE),0)</f>
        <v>#REF!</v>
      </c>
      <c r="AZ36" s="577" t="e">
        <f ca="1">VLOOKUP($F36&amp;$L36,所有坦克升星属性,MATCH(AZ$3,所有坦克升星属性标头,0),FALSE)+ROUND(BE36/VLOOKUP($F36,坦克部件!#REF!,4,FALSE)*VLOOKUP($F36&amp;0,所有坦克升星属性,MATCH(AZ$3,所有坦克升星属性标头,0),FALSE),0)</f>
        <v>#REF!</v>
      </c>
      <c r="BA36" s="577">
        <f t="shared" ca="1" si="46"/>
        <v>704</v>
      </c>
      <c r="BB36" s="577">
        <f t="shared" ca="1" si="46"/>
        <v>563</v>
      </c>
      <c r="BC36" s="577" t="e">
        <f ca="1">VLOOKUP($F36&amp;$L36,所有坦克升星属性,MATCH(BC$3,所有坦克升星属性标头,0),FALSE)+ROUND(BF36/VLOOKUP($F36,坦克部件!#REF!,4,FALSE)*VLOOKUP($F36&amp;0,所有坦克升星属性,MATCH(BC$3,所有坦克升星属性标头,0),FALSE),0)</f>
        <v>#REF!</v>
      </c>
      <c r="BD36" s="577" t="e">
        <f>(VLOOKUP($U36,坦克部件!#REF!,MATCH("标准值",坦克部件!#REF!,0),FALSE)+VLOOKUP($O36,坦克部件!#REF!,MATCH("标准值",坦克部件!#REF!,0),FALSE))*$R36</f>
        <v>#REF!</v>
      </c>
      <c r="BE36" s="577" t="e">
        <f>(VLOOKUP($U36,坦克部件!#REF!,MATCH("标准值",坦克部件!#REF!,0),FALSE)+VLOOKUP($O36,坦克部件!#REF!,MATCH("标准值",坦克部件!#REF!,0),FALSE))*$R36</f>
        <v>#REF!</v>
      </c>
      <c r="BF36" s="577" t="e">
        <f>(VLOOKUP($U36,坦克部件!#REF!,MATCH("标准值",坦克部件!#REF!,0),FALSE)+VLOOKUP($O36,坦克部件!#REF!,MATCH("标准值",坦克部件!#REF!,0),FALSE))*$R36</f>
        <v>#REF!</v>
      </c>
      <c r="BG36" s="577">
        <f>VLOOKUP($F36,坦克属性统计!$B$3:$AY$33,MATCH(BG$3,坦克属性统计!$B$3:$AY$3,0),FALSE)</f>
        <v>1</v>
      </c>
      <c r="BH36" s="577">
        <f t="shared" si="47"/>
        <v>0</v>
      </c>
      <c r="BI36" s="577">
        <f t="shared" si="47"/>
        <v>5.82</v>
      </c>
      <c r="BJ36" s="577">
        <f t="shared" si="47"/>
        <v>0</v>
      </c>
      <c r="BK36" s="356">
        <f t="shared" ref="BK36:BK37" si="61">IF(LEN(I36)=5,(60-(BG36-1)*BH36)/BI36+BG36,IF(RIGHT(I36,2)="弹夹",((60-(BG36-1)*BH36)/(BJ36+(BG36-1)*BH36)+1)*BG36,60/BI36+BG36))</f>
        <v>11.309278350515463</v>
      </c>
      <c r="BM36" s="271" t="e">
        <f t="shared" ca="1" si="6"/>
        <v>#REF!</v>
      </c>
    </row>
    <row r="37" spans="2:65" x14ac:dyDescent="0.35">
      <c r="B37" s="577">
        <v>34</v>
      </c>
      <c r="C37" s="577" t="e">
        <f t="shared" ca="1" si="55"/>
        <v>#REF!</v>
      </c>
      <c r="D37" s="577" t="s">
        <v>621</v>
      </c>
      <c r="E37" s="578" t="s">
        <v>2639</v>
      </c>
      <c r="F37" s="577" t="s">
        <v>722</v>
      </c>
      <c r="G37" s="577" t="str">
        <f>VLOOKUP(D37,坦克个性化设定!$B$18:$F$48,5,FALSE)</f>
        <v>轻坦半自动</v>
      </c>
      <c r="H37" s="577" t="str">
        <f>VLOOKUP(E37,坦克个性化设定!$B$18:$F$48,5,FALSE)</f>
        <v>中坦单发</v>
      </c>
      <c r="I37" s="577" t="str">
        <f>VLOOKUP(F37,坦克个性化设定!$B$18:$F$48,5,FALSE)</f>
        <v>重坦单发</v>
      </c>
      <c r="J37" s="577">
        <v>3</v>
      </c>
      <c r="K37" s="577">
        <v>3</v>
      </c>
      <c r="L37" s="577">
        <v>3</v>
      </c>
      <c r="M37" s="578" t="s">
        <v>2638</v>
      </c>
      <c r="N37" s="578" t="s">
        <v>2638</v>
      </c>
      <c r="O37" s="578" t="s">
        <v>2638</v>
      </c>
      <c r="P37" s="577">
        <v>6</v>
      </c>
      <c r="Q37" s="577">
        <v>6</v>
      </c>
      <c r="R37" s="577">
        <v>6</v>
      </c>
      <c r="S37" s="577">
        <v>40</v>
      </c>
      <c r="T37" s="577">
        <v>40</v>
      </c>
      <c r="U37" s="577">
        <v>40</v>
      </c>
      <c r="V37" s="357" t="e">
        <f t="shared" ca="1" si="56"/>
        <v>#REF!</v>
      </c>
      <c r="W37" s="357" t="e">
        <f t="shared" ca="1" si="57"/>
        <v>#REF!</v>
      </c>
      <c r="X37" s="357" t="e">
        <f t="shared" ca="1" si="58"/>
        <v>#REF!</v>
      </c>
      <c r="Y37" s="577" t="e">
        <f ca="1">VLOOKUP($D37&amp;$J37,所有坦克升星属性,MATCH(Y$3,所有坦克升星属性标头,0),FALSE)+ROUND(AD37/VLOOKUP($D37,坦克部件!#REF!,4,FALSE)*VLOOKUP($D37&amp;0,所有坦克升星属性,MATCH(Y$3,所有坦克升星属性标头,0),FALSE),0)</f>
        <v>#REF!</v>
      </c>
      <c r="Z37" s="577" t="e">
        <f ca="1">VLOOKUP($D37&amp;$J37,所有坦克升星属性,MATCH(Z$3,所有坦克升星属性标头,0),FALSE)+ROUND(AE37/VLOOKUP($D37,坦克部件!#REF!,4,FALSE)*VLOOKUP($D37&amp;0,所有坦克升星属性,MATCH(Z$3,所有坦克升星属性标头,0),FALSE),0)</f>
        <v>#REF!</v>
      </c>
      <c r="AA37" s="577">
        <f t="shared" ca="1" si="42"/>
        <v>699</v>
      </c>
      <c r="AB37" s="577">
        <f t="shared" ca="1" si="42"/>
        <v>490</v>
      </c>
      <c r="AC37" s="577" t="e">
        <f ca="1">VLOOKUP($D37&amp;$J37,所有坦克升星属性,MATCH(AC$3,所有坦克升星属性标头,0),FALSE)+ROUND(AF37/VLOOKUP($D37,坦克部件!#REF!,4,FALSE)*VLOOKUP($D37&amp;0,所有坦克升星属性,MATCH(AC$3,所有坦克升星属性标头,0),FALSE),0)</f>
        <v>#REF!</v>
      </c>
      <c r="AD37" s="577" t="e">
        <f>(VLOOKUP($S37,坦克部件!#REF!,MATCH("标准值",坦克部件!#REF!,0),FALSE)+VLOOKUP($M37,坦克部件!#REF!,MATCH("标准值",坦克部件!#REF!,0),FALSE))*$P37</f>
        <v>#REF!</v>
      </c>
      <c r="AE37" s="577" t="e">
        <f>(VLOOKUP($S37,坦克部件!#REF!,MATCH("标准值",坦克部件!#REF!,0),FALSE)+VLOOKUP($M37,坦克部件!#REF!,MATCH("标准值",坦克部件!#REF!,0),FALSE))*$P37</f>
        <v>#REF!</v>
      </c>
      <c r="AF37" s="577" t="e">
        <f>(VLOOKUP($S37,坦克部件!#REF!,MATCH("标准值",坦克部件!#REF!,0),FALSE)+VLOOKUP($M37,坦克部件!#REF!,MATCH("标准值",坦克部件!#REF!,0),FALSE))*$P37</f>
        <v>#REF!</v>
      </c>
      <c r="AG37" s="577">
        <f>VLOOKUP($D37,坦克属性统计!$B$3:$AY$33,MATCH(AG$3,坦克属性统计!$B$3:$AY$3,0),FALSE)</f>
        <v>4</v>
      </c>
      <c r="AH37" s="577">
        <f t="shared" si="43"/>
        <v>0.4</v>
      </c>
      <c r="AI37" s="577">
        <f t="shared" si="43"/>
        <v>1.34</v>
      </c>
      <c r="AJ37" s="577">
        <f t="shared" si="43"/>
        <v>0</v>
      </c>
      <c r="AK37" s="356">
        <f t="shared" si="59"/>
        <v>47.880597014925371</v>
      </c>
      <c r="AL37" s="577" t="e">
        <f ca="1">VLOOKUP($E37&amp;$K37,所有坦克升星属性,MATCH(AL$3,所有坦克升星属性标头,0),FALSE)+ROUND(AQ37/VLOOKUP($E37,坦克部件!#REF!,4,FALSE)*VLOOKUP($E37&amp;0,所有坦克升星属性,MATCH(AL$3,所有坦克升星属性标头,0),FALSE),0)</f>
        <v>#REF!</v>
      </c>
      <c r="AM37" s="577" t="e">
        <f ca="1">VLOOKUP($E37&amp;$K37,所有坦克升星属性,MATCH(AM$3,所有坦克升星属性标头,0),FALSE)+ROUND(AR37/VLOOKUP($E37,坦克部件!#REF!,4,FALSE)*VLOOKUP($E37&amp;0,所有坦克升星属性,MATCH(AM$3,所有坦克升星属性标头,0),FALSE),0)</f>
        <v>#REF!</v>
      </c>
      <c r="AN37" s="577">
        <f t="shared" ca="1" si="44"/>
        <v>766</v>
      </c>
      <c r="AO37" s="577">
        <f t="shared" ca="1" si="44"/>
        <v>574</v>
      </c>
      <c r="AP37" s="577" t="e">
        <f ca="1">VLOOKUP($E37&amp;$K37,所有坦克升星属性,MATCH(AP$3,所有坦克升星属性标头,0),FALSE)+ROUND(AS37/VLOOKUP($E37,坦克部件!#REF!,4,FALSE)*VLOOKUP($E37&amp;0,所有坦克升星属性,MATCH(AP$3,所有坦克升星属性标头,0),FALSE),0)</f>
        <v>#REF!</v>
      </c>
      <c r="AQ37" s="577" t="e">
        <f>(VLOOKUP($T37,坦克部件!#REF!,MATCH("标准值",坦克部件!#REF!,0),FALSE)+VLOOKUP($N37,坦克部件!#REF!,MATCH("标准值",坦克部件!#REF!,0),FALSE))*$Q37</f>
        <v>#REF!</v>
      </c>
      <c r="AR37" s="577" t="e">
        <f>(VLOOKUP($T37,坦克部件!#REF!,MATCH("标准值",坦克部件!#REF!,0),FALSE)+VLOOKUP($N37,坦克部件!#REF!,MATCH("标准值",坦克部件!#REF!,0),FALSE))*$Q37</f>
        <v>#REF!</v>
      </c>
      <c r="AS37" s="577" t="e">
        <f>(VLOOKUP($T37,坦克部件!#REF!,MATCH("标准值",坦克部件!#REF!,0),FALSE)+VLOOKUP($N37,坦克部件!#REF!,MATCH("标准值",坦克部件!#REF!,0),FALSE))*$Q37</f>
        <v>#REF!</v>
      </c>
      <c r="AT37" s="577">
        <f>VLOOKUP($E37,坦克属性统计!$B$3:$AY$33,MATCH(AT$3,坦克属性统计!$B$3:$AY$3,0),FALSE)</f>
        <v>1</v>
      </c>
      <c r="AU37" s="577">
        <f t="shared" si="45"/>
        <v>0</v>
      </c>
      <c r="AV37" s="577">
        <f t="shared" si="45"/>
        <v>4.3099999999999996</v>
      </c>
      <c r="AW37" s="577">
        <f t="shared" si="45"/>
        <v>0</v>
      </c>
      <c r="AX37" s="356">
        <f t="shared" si="60"/>
        <v>14.921113689095129</v>
      </c>
      <c r="AY37" s="577" t="e">
        <f ca="1">VLOOKUP($F37&amp;$L37,所有坦克升星属性,MATCH(AY$3,所有坦克升星属性标头,0),FALSE)+ROUND(BD37/VLOOKUP($F37,坦克部件!#REF!,4,FALSE)*VLOOKUP($F37&amp;0,所有坦克升星属性,MATCH(AY$3,所有坦克升星属性标头,0),FALSE),0)</f>
        <v>#REF!</v>
      </c>
      <c r="AZ37" s="577" t="e">
        <f ca="1">VLOOKUP($F37&amp;$L37,所有坦克升星属性,MATCH(AZ$3,所有坦克升星属性标头,0),FALSE)+ROUND(BE37/VLOOKUP($F37,坦克部件!#REF!,4,FALSE)*VLOOKUP($F37&amp;0,所有坦克升星属性,MATCH(AZ$3,所有坦克升星属性标头,0),FALSE),0)</f>
        <v>#REF!</v>
      </c>
      <c r="BA37" s="577">
        <f t="shared" ca="1" si="46"/>
        <v>732</v>
      </c>
      <c r="BB37" s="577">
        <f t="shared" ca="1" si="46"/>
        <v>586</v>
      </c>
      <c r="BC37" s="577" t="e">
        <f ca="1">VLOOKUP($F37&amp;$L37,所有坦克升星属性,MATCH(BC$3,所有坦克升星属性标头,0),FALSE)+ROUND(BF37/VLOOKUP($F37,坦克部件!#REF!,4,FALSE)*VLOOKUP($F37&amp;0,所有坦克升星属性,MATCH(BC$3,所有坦克升星属性标头,0),FALSE),0)</f>
        <v>#REF!</v>
      </c>
      <c r="BD37" s="577" t="e">
        <f>(VLOOKUP($U37,坦克部件!#REF!,MATCH("标准值",坦克部件!#REF!,0),FALSE)+VLOOKUP($O37,坦克部件!#REF!,MATCH("标准值",坦克部件!#REF!,0),FALSE))*$R37</f>
        <v>#REF!</v>
      </c>
      <c r="BE37" s="577" t="e">
        <f>(VLOOKUP($U37,坦克部件!#REF!,MATCH("标准值",坦克部件!#REF!,0),FALSE)+VLOOKUP($O37,坦克部件!#REF!,MATCH("标准值",坦克部件!#REF!,0),FALSE))*$R37</f>
        <v>#REF!</v>
      </c>
      <c r="BF37" s="577" t="e">
        <f>(VLOOKUP($U37,坦克部件!#REF!,MATCH("标准值",坦克部件!#REF!,0),FALSE)+VLOOKUP($O37,坦克部件!#REF!,MATCH("标准值",坦克部件!#REF!,0),FALSE))*$R37</f>
        <v>#REF!</v>
      </c>
      <c r="BG37" s="577">
        <f>VLOOKUP($F37,坦克属性统计!$B$3:$AY$33,MATCH(BG$3,坦克属性统计!$B$3:$AY$3,0),FALSE)</f>
        <v>1</v>
      </c>
      <c r="BH37" s="577">
        <f t="shared" si="47"/>
        <v>0</v>
      </c>
      <c r="BI37" s="577">
        <f t="shared" si="47"/>
        <v>5.74</v>
      </c>
      <c r="BJ37" s="577">
        <f t="shared" si="47"/>
        <v>0</v>
      </c>
      <c r="BK37" s="356">
        <f t="shared" si="61"/>
        <v>11.452961672473867</v>
      </c>
      <c r="BM37" s="271" t="e">
        <f t="shared" ca="1" si="6"/>
        <v>#REF!</v>
      </c>
    </row>
    <row r="48" spans="2:65" x14ac:dyDescent="0.35">
      <c r="M48" s="642"/>
      <c r="N48" s="643"/>
      <c r="O48" s="642"/>
    </row>
  </sheetData>
  <phoneticPr fontId="10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3:O60"/>
  <sheetViews>
    <sheetView workbookViewId="0">
      <selection activeCell="H33" sqref="H33"/>
    </sheetView>
  </sheetViews>
  <sheetFormatPr defaultColWidth="9" defaultRowHeight="13" x14ac:dyDescent="0.35"/>
  <cols>
    <col min="1" max="16384" width="9" style="72"/>
  </cols>
  <sheetData>
    <row r="3" spans="2:12" x14ac:dyDescent="0.35">
      <c r="B3" s="520" t="s">
        <v>2188</v>
      </c>
      <c r="C3" s="520" t="s">
        <v>2193</v>
      </c>
      <c r="D3" s="520" t="s">
        <v>2192</v>
      </c>
      <c r="E3" s="520" t="s">
        <v>2199</v>
      </c>
    </row>
    <row r="4" spans="2:12" x14ac:dyDescent="0.35">
      <c r="B4" s="520" t="s">
        <v>2189</v>
      </c>
      <c r="C4" s="490">
        <v>24</v>
      </c>
      <c r="D4" s="520" t="s">
        <v>2196</v>
      </c>
      <c r="E4" s="520" t="s">
        <v>2200</v>
      </c>
    </row>
    <row r="5" spans="2:12" x14ac:dyDescent="0.35">
      <c r="B5" s="520" t="s">
        <v>2190</v>
      </c>
      <c r="C5" s="520" t="s">
        <v>2194</v>
      </c>
      <c r="D5" s="520" t="s">
        <v>2197</v>
      </c>
      <c r="E5" s="490"/>
    </row>
    <row r="6" spans="2:12" x14ac:dyDescent="0.35">
      <c r="B6" s="520" t="s">
        <v>2191</v>
      </c>
      <c r="C6" s="520" t="s">
        <v>2195</v>
      </c>
      <c r="D6" s="520" t="s">
        <v>2198</v>
      </c>
      <c r="E6" s="490"/>
    </row>
    <row r="8" spans="2:12" x14ac:dyDescent="0.35">
      <c r="C8" s="759" t="s">
        <v>2201</v>
      </c>
      <c r="D8" s="760"/>
      <c r="E8" s="760"/>
      <c r="F8" s="759" t="s">
        <v>2202</v>
      </c>
      <c r="G8" s="759"/>
      <c r="H8" s="759"/>
    </row>
    <row r="9" spans="2:12" x14ac:dyDescent="0.35">
      <c r="B9" s="334" t="s">
        <v>597</v>
      </c>
      <c r="C9" s="333" t="s">
        <v>803</v>
      </c>
      <c r="D9" s="333" t="s">
        <v>804</v>
      </c>
      <c r="E9" s="333" t="s">
        <v>805</v>
      </c>
      <c r="F9" s="347" t="s">
        <v>1734</v>
      </c>
      <c r="G9" s="347" t="s">
        <v>1735</v>
      </c>
      <c r="H9" s="347" t="s">
        <v>1736</v>
      </c>
    </row>
    <row r="10" spans="2:12" x14ac:dyDescent="0.35">
      <c r="B10" s="332">
        <v>1</v>
      </c>
      <c r="C10" s="336" t="str">
        <f>游戏时长规划!C83</f>
        <v>T1低</v>
      </c>
      <c r="D10" s="336" t="str">
        <f>游戏时长规划!D83</f>
        <v>T1低</v>
      </c>
      <c r="E10" s="336" t="str">
        <f>游戏时长规划!E83</f>
        <v>T1低</v>
      </c>
      <c r="F10" s="336" t="str">
        <f>IF(基础经济系数!Q57="","",基础经济系数!Q57)</f>
        <v>T1低</v>
      </c>
      <c r="G10" s="490" t="str">
        <f>IF(基础经济系数!R57="","",基础经济系数!R57)</f>
        <v/>
      </c>
      <c r="H10" s="490" t="str">
        <f>IF(基础经济系数!S57="","",基础经济系数!S57)</f>
        <v/>
      </c>
      <c r="J10" s="72" t="s">
        <v>615</v>
      </c>
      <c r="K10" s="72" t="s">
        <v>623</v>
      </c>
      <c r="L10" s="72" t="s">
        <v>721</v>
      </c>
    </row>
    <row r="11" spans="2:12" x14ac:dyDescent="0.35">
      <c r="B11" s="332">
        <v>2</v>
      </c>
      <c r="C11" s="336" t="str">
        <f>游戏时长规划!C84</f>
        <v>T2低</v>
      </c>
      <c r="D11" s="336" t="str">
        <f>游戏时长规划!D84</f>
        <v>T1低</v>
      </c>
      <c r="E11" s="336" t="str">
        <f>游戏时长规划!E84</f>
        <v>T1低</v>
      </c>
      <c r="F11" s="490" t="str">
        <f>IF(基础经济系数!Q58="","",基础经济系数!Q58)</f>
        <v>T2低</v>
      </c>
      <c r="G11" s="490" t="str">
        <f>IF(基础经济系数!R58="","",基础经济系数!R58)</f>
        <v/>
      </c>
      <c r="H11" s="490" t="str">
        <f>IF(基础经济系数!S58="","",基础经济系数!S58)</f>
        <v/>
      </c>
      <c r="J11" s="72" t="s">
        <v>616</v>
      </c>
      <c r="K11" s="72" t="s">
        <v>624</v>
      </c>
      <c r="L11" s="72" t="s">
        <v>630</v>
      </c>
    </row>
    <row r="12" spans="2:12" x14ac:dyDescent="0.35">
      <c r="B12" s="332">
        <v>3</v>
      </c>
      <c r="C12" s="336" t="str">
        <f>游戏时长规划!C85</f>
        <v>T2低</v>
      </c>
      <c r="D12" s="336" t="str">
        <f>游戏时长规划!D85</f>
        <v>T2低</v>
      </c>
      <c r="E12" s="336" t="str">
        <f>游戏时长规划!E85</f>
        <v>T1低</v>
      </c>
      <c r="F12" s="490" t="str">
        <f>IF(基础经济系数!Q59="","",基础经济系数!Q59)</f>
        <v>T2中</v>
      </c>
      <c r="G12" s="490" t="str">
        <f>IF(基础经济系数!R59="","",基础经济系数!R59)</f>
        <v/>
      </c>
      <c r="H12" s="490" t="str">
        <f>IF(基础经济系数!S59="","",基础经济系数!S59)</f>
        <v/>
      </c>
      <c r="J12" s="72" t="s">
        <v>616</v>
      </c>
      <c r="K12" s="72" t="s">
        <v>624</v>
      </c>
      <c r="L12" s="72" t="s">
        <v>630</v>
      </c>
    </row>
    <row r="13" spans="2:12" x14ac:dyDescent="0.35">
      <c r="B13" s="332">
        <v>4</v>
      </c>
      <c r="C13" s="336" t="str">
        <f>游戏时长规划!C86</f>
        <v>T2低</v>
      </c>
      <c r="D13" s="336" t="str">
        <f>游戏时长规划!D86</f>
        <v>T2低</v>
      </c>
      <c r="E13" s="336" t="str">
        <f>游戏时长规划!E86</f>
        <v>T2低</v>
      </c>
      <c r="F13" s="490" t="str">
        <f>IF(基础经济系数!Q60="","",基础经济系数!Q60)</f>
        <v/>
      </c>
      <c r="G13" s="490" t="str">
        <f>IF(基础经济系数!R60="","",基础经济系数!R60)</f>
        <v/>
      </c>
      <c r="H13" s="490" t="str">
        <f>IF(基础经济系数!S60="","",基础经济系数!S60)</f>
        <v/>
      </c>
      <c r="J13" s="72" t="s">
        <v>616</v>
      </c>
      <c r="K13" s="72" t="s">
        <v>624</v>
      </c>
      <c r="L13" s="72" t="s">
        <v>630</v>
      </c>
    </row>
    <row r="14" spans="2:12" x14ac:dyDescent="0.35">
      <c r="B14" s="332">
        <v>5</v>
      </c>
      <c r="C14" s="336" t="str">
        <f>游戏时长规划!C87</f>
        <v>T3低</v>
      </c>
      <c r="D14" s="336" t="str">
        <f>游戏时长规划!D87</f>
        <v>T2低</v>
      </c>
      <c r="E14" s="336" t="str">
        <f>游戏时长规划!E87</f>
        <v>T2低</v>
      </c>
      <c r="F14" s="490" t="str">
        <f>IF(基础经济系数!Q61="","",基础经济系数!Q61)</f>
        <v>T3低</v>
      </c>
      <c r="G14" s="490" t="str">
        <f>IF(基础经济系数!R61="","",基础经济系数!R61)</f>
        <v>T3中</v>
      </c>
      <c r="H14" s="490" t="str">
        <f>IF(基础经济系数!S61="","",基础经济系数!S61)</f>
        <v/>
      </c>
      <c r="J14" s="72" t="s">
        <v>618</v>
      </c>
      <c r="K14" s="72" t="s">
        <v>627</v>
      </c>
      <c r="L14" s="72" t="s">
        <v>628</v>
      </c>
    </row>
    <row r="15" spans="2:12" x14ac:dyDescent="0.35">
      <c r="B15" s="332">
        <v>6</v>
      </c>
      <c r="C15" s="336" t="str">
        <f>游戏时长规划!C88</f>
        <v>T3低</v>
      </c>
      <c r="D15" s="336" t="str">
        <f>游戏时长规划!D88</f>
        <v>T3低</v>
      </c>
      <c r="E15" s="336" t="str">
        <f>游戏时长规划!E88</f>
        <v>T2低</v>
      </c>
      <c r="F15" s="490" t="str">
        <f>IF(基础经济系数!Q62="","",基础经济系数!Q62)</f>
        <v/>
      </c>
      <c r="G15" s="490" t="str">
        <f>IF(基础经济系数!R62="","",基础经济系数!R62)</f>
        <v/>
      </c>
      <c r="H15" s="490" t="str">
        <f>IF(基础经济系数!S62="","",基础经济系数!S62)</f>
        <v/>
      </c>
      <c r="J15" s="72" t="s">
        <v>618</v>
      </c>
      <c r="K15" s="72" t="s">
        <v>627</v>
      </c>
      <c r="L15" s="72" t="s">
        <v>628</v>
      </c>
    </row>
    <row r="16" spans="2:12" x14ac:dyDescent="0.35">
      <c r="B16" s="332">
        <v>7</v>
      </c>
      <c r="C16" s="336" t="str">
        <f>游戏时长规划!C89</f>
        <v>T3低</v>
      </c>
      <c r="D16" s="336" t="str">
        <f>游戏时长规划!D89</f>
        <v>T3低</v>
      </c>
      <c r="E16" s="336" t="str">
        <f>游戏时长规划!E89</f>
        <v>T3低</v>
      </c>
      <c r="F16" s="490" t="str">
        <f>IF(基础经济系数!Q63="","",基础经济系数!Q63)</f>
        <v/>
      </c>
      <c r="G16" s="490" t="str">
        <f>IF(基础经济系数!R63="","",基础经济系数!R63)</f>
        <v/>
      </c>
      <c r="H16" s="490" t="str">
        <f>IF(基础经济系数!S63="","",基础经济系数!S63)</f>
        <v/>
      </c>
      <c r="J16" s="72" t="s">
        <v>618</v>
      </c>
      <c r="K16" s="72" t="s">
        <v>627</v>
      </c>
      <c r="L16" s="72" t="s">
        <v>628</v>
      </c>
    </row>
    <row r="17" spans="2:13" x14ac:dyDescent="0.35">
      <c r="B17" s="332">
        <v>8</v>
      </c>
      <c r="C17" s="336" t="str">
        <f>游戏时长规划!C90</f>
        <v>T4低</v>
      </c>
      <c r="D17" s="336" t="str">
        <f>游戏时长规划!D90</f>
        <v>T3低</v>
      </c>
      <c r="E17" s="336" t="str">
        <f>游戏时长规划!E90</f>
        <v>T3低</v>
      </c>
      <c r="F17" s="490" t="str">
        <f>IF(基础经济系数!Q64="","",基础经济系数!Q64)</f>
        <v>T4低</v>
      </c>
      <c r="G17" s="490" t="str">
        <f>IF(基础经济系数!R64="","",基础经济系数!R64)</f>
        <v>T4中</v>
      </c>
      <c r="H17" s="490" t="str">
        <f>IF(基础经济系数!S64="","",基础经济系数!S64)</f>
        <v>T4高</v>
      </c>
      <c r="J17" s="72" t="s">
        <v>620</v>
      </c>
      <c r="K17" s="72" t="s">
        <v>719</v>
      </c>
      <c r="L17" s="72" t="s">
        <v>635</v>
      </c>
    </row>
    <row r="18" spans="2:13" x14ac:dyDescent="0.35">
      <c r="B18" s="332">
        <v>9</v>
      </c>
      <c r="C18" s="336" t="str">
        <f>游戏时长规划!C91</f>
        <v>T4低</v>
      </c>
      <c r="D18" s="336" t="str">
        <f>游戏时长规划!D91</f>
        <v>T4低</v>
      </c>
      <c r="E18" s="336" t="str">
        <f>游戏时长规划!E91</f>
        <v>T3低</v>
      </c>
      <c r="F18" s="490" t="str">
        <f>IF(基础经济系数!Q65="","",基础经济系数!Q65)</f>
        <v>T4中</v>
      </c>
      <c r="G18" s="490" t="str">
        <f>IF(基础经济系数!R65="","",基础经济系数!R65)</f>
        <v>T4高</v>
      </c>
      <c r="H18" s="490" t="str">
        <f>IF(基础经济系数!S65="","",基础经济系数!S65)</f>
        <v/>
      </c>
      <c r="J18" s="72" t="s">
        <v>620</v>
      </c>
      <c r="K18" s="72" t="s">
        <v>719</v>
      </c>
      <c r="L18" s="72" t="s">
        <v>635</v>
      </c>
    </row>
    <row r="19" spans="2:13" x14ac:dyDescent="0.35">
      <c r="B19" s="332">
        <v>10</v>
      </c>
      <c r="C19" s="336" t="str">
        <f>游戏时长规划!C92</f>
        <v>T4低</v>
      </c>
      <c r="D19" s="336" t="str">
        <f>游戏时长规划!D92</f>
        <v>T4低</v>
      </c>
      <c r="E19" s="336" t="str">
        <f>游戏时长规划!E92</f>
        <v>T4低</v>
      </c>
      <c r="F19" s="490" t="str">
        <f>IF(基础经济系数!Q66="","",基础经济系数!Q66)</f>
        <v>T4中</v>
      </c>
      <c r="G19" s="490" t="str">
        <f>IF(基础经济系数!R66="","",基础经济系数!R66)</f>
        <v>T4高</v>
      </c>
      <c r="H19" s="490" t="str">
        <f>IF(基础经济系数!S66="","",基础经济系数!S66)</f>
        <v/>
      </c>
      <c r="J19" s="72" t="s">
        <v>717</v>
      </c>
      <c r="K19" s="72" t="s">
        <v>720</v>
      </c>
      <c r="L19" s="72" t="s">
        <v>629</v>
      </c>
    </row>
    <row r="20" spans="2:13" x14ac:dyDescent="0.35">
      <c r="B20" s="332">
        <v>11</v>
      </c>
      <c r="C20" s="336" t="str">
        <f>游戏时长规划!C93</f>
        <v>T5低</v>
      </c>
      <c r="D20" s="336" t="str">
        <f>游戏时长规划!D93</f>
        <v>T4低</v>
      </c>
      <c r="E20" s="336" t="str">
        <f>游戏时长规划!E93</f>
        <v>T4低</v>
      </c>
      <c r="F20" s="490" t="str">
        <f>IF(基础经济系数!Q67="","",基础经济系数!Q67)</f>
        <v/>
      </c>
      <c r="G20" s="490" t="str">
        <f>IF(基础经济系数!R67="","",基础经济系数!R67)</f>
        <v/>
      </c>
      <c r="H20" s="490" t="str">
        <f>IF(基础经济系数!S67="","",基础经济系数!S67)</f>
        <v/>
      </c>
      <c r="J20" s="72" t="s">
        <v>717</v>
      </c>
      <c r="K20" s="72" t="s">
        <v>720</v>
      </c>
      <c r="L20" s="72" t="s">
        <v>629</v>
      </c>
    </row>
    <row r="23" spans="2:13" x14ac:dyDescent="0.35">
      <c r="B23" s="333" t="s">
        <v>574</v>
      </c>
      <c r="C23" s="333" t="s">
        <v>1128</v>
      </c>
      <c r="D23" s="347" t="s">
        <v>1737</v>
      </c>
      <c r="E23" s="347" t="s">
        <v>1738</v>
      </c>
      <c r="F23" s="347" t="s">
        <v>1740</v>
      </c>
      <c r="G23" s="347" t="s">
        <v>1739</v>
      </c>
      <c r="H23" s="347" t="s">
        <v>1741</v>
      </c>
    </row>
    <row r="24" spans="2:13" x14ac:dyDescent="0.35">
      <c r="B24" s="380" t="s">
        <v>1102</v>
      </c>
      <c r="C24" s="332">
        <f>游戏时长规划!C67</f>
        <v>1</v>
      </c>
      <c r="D24" s="336">
        <f>坦克升星消耗!G21</f>
        <v>5</v>
      </c>
      <c r="E24" s="348">
        <f>D24/C24</f>
        <v>5</v>
      </c>
      <c r="F24" s="336">
        <v>3</v>
      </c>
      <c r="G24" s="522">
        <v>0.32500000000000007</v>
      </c>
      <c r="H24" s="349">
        <f>E24*F24*G24</f>
        <v>4.8750000000000009</v>
      </c>
      <c r="I24" s="72">
        <v>15</v>
      </c>
      <c r="J24" s="72">
        <f>I24/H24*G24</f>
        <v>1</v>
      </c>
      <c r="K24" s="72">
        <f>ROUND(H24,0)</f>
        <v>5</v>
      </c>
      <c r="M24" s="72">
        <v>15</v>
      </c>
    </row>
    <row r="25" spans="2:13" x14ac:dyDescent="0.35">
      <c r="B25" s="380" t="s">
        <v>1103</v>
      </c>
      <c r="C25" s="380">
        <f>游戏时长规划!C68</f>
        <v>1.9</v>
      </c>
      <c r="D25" s="385">
        <f>坦克升星消耗!G22</f>
        <v>10</v>
      </c>
      <c r="E25" s="348">
        <f t="shared" ref="E25:E33" si="0">D25/C25</f>
        <v>5.2631578947368425</v>
      </c>
      <c r="F25" s="336">
        <v>3</v>
      </c>
      <c r="G25" s="522">
        <v>0.37142857142857144</v>
      </c>
      <c r="H25" s="349">
        <f t="shared" ref="H25:H33" si="1">E25*F25*G25</f>
        <v>5.8646616541353387</v>
      </c>
      <c r="I25" s="72">
        <v>10</v>
      </c>
      <c r="J25" s="72">
        <f>I25/H25*G25</f>
        <v>0.6333333333333333</v>
      </c>
      <c r="K25" s="72">
        <f t="shared" ref="K25:K33" si="2">ROUND(H25,0)</f>
        <v>6</v>
      </c>
      <c r="M25" s="72">
        <v>25</v>
      </c>
    </row>
    <row r="26" spans="2:13" x14ac:dyDescent="0.35">
      <c r="B26" s="380" t="s">
        <v>1104</v>
      </c>
      <c r="C26" s="380">
        <f>游戏时长规划!C69</f>
        <v>2.7</v>
      </c>
      <c r="D26" s="385">
        <f>坦克升星消耗!G23</f>
        <v>10</v>
      </c>
      <c r="E26" s="348">
        <f t="shared" si="0"/>
        <v>3.7037037037037033</v>
      </c>
      <c r="F26" s="336">
        <v>3</v>
      </c>
      <c r="G26" s="522">
        <v>0.33333333333333331</v>
      </c>
      <c r="H26" s="349">
        <f t="shared" si="1"/>
        <v>3.7037037037037033</v>
      </c>
      <c r="I26" s="72">
        <v>5</v>
      </c>
      <c r="J26" s="72">
        <f t="shared" ref="J26:J33" si="3">I26/H26*G26</f>
        <v>0.45</v>
      </c>
      <c r="K26" s="72">
        <f t="shared" si="2"/>
        <v>4</v>
      </c>
      <c r="M26" s="72">
        <v>45</v>
      </c>
    </row>
    <row r="27" spans="2:13" x14ac:dyDescent="0.35">
      <c r="B27" s="380" t="s">
        <v>1105</v>
      </c>
      <c r="C27" s="380">
        <f>游戏时长规划!C70</f>
        <v>5.8</v>
      </c>
      <c r="D27" s="385">
        <f>坦克升星消耗!G24</f>
        <v>30</v>
      </c>
      <c r="E27" s="348">
        <f t="shared" si="0"/>
        <v>5.1724137931034484</v>
      </c>
      <c r="F27" s="336">
        <v>3</v>
      </c>
      <c r="G27" s="522">
        <v>0.3666666666666667</v>
      </c>
      <c r="H27" s="349">
        <f t="shared" si="1"/>
        <v>5.6896551724137936</v>
      </c>
      <c r="I27" s="72">
        <v>7</v>
      </c>
      <c r="J27" s="72">
        <f t="shared" si="3"/>
        <v>0.45111111111111113</v>
      </c>
      <c r="K27" s="72">
        <f t="shared" si="2"/>
        <v>6</v>
      </c>
      <c r="M27" s="72">
        <v>35</v>
      </c>
    </row>
    <row r="28" spans="2:13" x14ac:dyDescent="0.35">
      <c r="B28" s="380" t="s">
        <v>1106</v>
      </c>
      <c r="C28" s="380">
        <f>游戏时长规划!C71</f>
        <v>7.2</v>
      </c>
      <c r="D28" s="385">
        <f>坦克升星消耗!G25</f>
        <v>30</v>
      </c>
      <c r="E28" s="348">
        <f t="shared" si="0"/>
        <v>4.166666666666667</v>
      </c>
      <c r="F28" s="336">
        <v>3</v>
      </c>
      <c r="G28" s="522">
        <v>0.3125</v>
      </c>
      <c r="H28" s="349">
        <f t="shared" si="1"/>
        <v>3.90625</v>
      </c>
      <c r="I28" s="72">
        <v>3</v>
      </c>
      <c r="J28" s="72">
        <f t="shared" si="3"/>
        <v>0.24</v>
      </c>
      <c r="K28" s="72">
        <f t="shared" si="2"/>
        <v>4</v>
      </c>
      <c r="M28" s="72">
        <v>70</v>
      </c>
    </row>
    <row r="29" spans="2:13" x14ac:dyDescent="0.35">
      <c r="B29" s="380" t="s">
        <v>1107</v>
      </c>
      <c r="C29" s="380">
        <f>游戏时长规划!C72</f>
        <v>9.1999999999999993</v>
      </c>
      <c r="D29" s="385">
        <f>坦克升星消耗!G26</f>
        <v>30</v>
      </c>
      <c r="E29" s="348">
        <f t="shared" si="0"/>
        <v>3.2608695652173916</v>
      </c>
      <c r="F29" s="385">
        <v>3</v>
      </c>
      <c r="G29" s="522">
        <v>0.16444444444444445</v>
      </c>
      <c r="H29" s="349">
        <f t="shared" si="1"/>
        <v>1.6086956521739133</v>
      </c>
      <c r="I29" s="72">
        <v>1</v>
      </c>
      <c r="J29" s="72">
        <f t="shared" si="3"/>
        <v>0.1022222222222222</v>
      </c>
      <c r="K29" s="72">
        <f t="shared" si="2"/>
        <v>2</v>
      </c>
      <c r="M29" s="72">
        <v>110</v>
      </c>
    </row>
    <row r="30" spans="2:13" x14ac:dyDescent="0.35">
      <c r="B30" s="380" t="s">
        <v>1108</v>
      </c>
      <c r="C30" s="380">
        <f>游戏时长规划!C73</f>
        <v>16.100000000000001</v>
      </c>
      <c r="D30" s="385">
        <f>坦克升星消耗!G27</f>
        <v>50</v>
      </c>
      <c r="E30" s="348">
        <f t="shared" si="0"/>
        <v>3.1055900621118009</v>
      </c>
      <c r="F30" s="385">
        <v>3</v>
      </c>
      <c r="G30" s="522">
        <v>0.33555555555555555</v>
      </c>
      <c r="H30" s="349">
        <f t="shared" si="1"/>
        <v>3.1262939958592129</v>
      </c>
      <c r="I30" s="72">
        <v>5</v>
      </c>
      <c r="J30" s="72">
        <f t="shared" si="3"/>
        <v>0.53666666666666674</v>
      </c>
      <c r="K30" s="72">
        <f t="shared" si="2"/>
        <v>3</v>
      </c>
      <c r="M30" s="72">
        <v>45</v>
      </c>
    </row>
    <row r="31" spans="2:13" x14ac:dyDescent="0.35">
      <c r="B31" s="380" t="s">
        <v>1109</v>
      </c>
      <c r="C31" s="380">
        <f>游戏时长规划!C74</f>
        <v>20.100000000000001</v>
      </c>
      <c r="D31" s="385">
        <f>坦克升星消耗!G28</f>
        <v>50</v>
      </c>
      <c r="E31" s="348">
        <f t="shared" si="0"/>
        <v>2.4875621890547261</v>
      </c>
      <c r="F31" s="385">
        <v>3</v>
      </c>
      <c r="G31" s="522">
        <v>0.224</v>
      </c>
      <c r="H31" s="349">
        <f t="shared" si="1"/>
        <v>1.6716417910447761</v>
      </c>
      <c r="I31" s="72">
        <v>1</v>
      </c>
      <c r="J31" s="72">
        <f t="shared" si="3"/>
        <v>0.13400000000000001</v>
      </c>
      <c r="K31" s="72">
        <f t="shared" si="2"/>
        <v>2</v>
      </c>
      <c r="M31" s="72">
        <v>150</v>
      </c>
    </row>
    <row r="32" spans="2:13" x14ac:dyDescent="0.35">
      <c r="B32" s="380" t="s">
        <v>1110</v>
      </c>
      <c r="C32" s="380">
        <f>游戏时长规划!C75</f>
        <v>24.9</v>
      </c>
      <c r="D32" s="385">
        <f>坦克升星消耗!G29</f>
        <v>50</v>
      </c>
      <c r="E32" s="348">
        <f t="shared" si="0"/>
        <v>2.0080321285140563</v>
      </c>
      <c r="F32" s="385">
        <v>3</v>
      </c>
      <c r="G32" s="522">
        <v>0.34333333333333338</v>
      </c>
      <c r="H32" s="349">
        <f t="shared" si="1"/>
        <v>2.0682730923694783</v>
      </c>
      <c r="I32" s="72">
        <v>1</v>
      </c>
      <c r="J32" s="72">
        <f t="shared" si="3"/>
        <v>0.16599999999999998</v>
      </c>
      <c r="K32" s="72">
        <f t="shared" si="2"/>
        <v>2</v>
      </c>
      <c r="M32" s="72">
        <v>230</v>
      </c>
    </row>
    <row r="33" spans="2:15" x14ac:dyDescent="0.35">
      <c r="B33" s="380" t="s">
        <v>1111</v>
      </c>
      <c r="C33" s="380">
        <f>游戏时长规划!C76</f>
        <v>43.7</v>
      </c>
      <c r="D33" s="385">
        <f>坦克升星消耗!G30</f>
        <v>80</v>
      </c>
      <c r="E33" s="348">
        <f t="shared" si="0"/>
        <v>1.8306636155606406</v>
      </c>
      <c r="F33" s="385">
        <v>3</v>
      </c>
      <c r="G33" s="522">
        <v>0.246</v>
      </c>
      <c r="H33" s="349">
        <f t="shared" si="1"/>
        <v>1.3510297482837528</v>
      </c>
      <c r="I33" s="72">
        <v>3</v>
      </c>
      <c r="J33" s="72">
        <f t="shared" si="3"/>
        <v>0.54625000000000001</v>
      </c>
      <c r="K33" s="72">
        <f t="shared" si="2"/>
        <v>1</v>
      </c>
      <c r="M33" s="72">
        <v>55</v>
      </c>
    </row>
    <row r="37" spans="2:15" x14ac:dyDescent="0.35">
      <c r="I37" s="350"/>
      <c r="O37" s="413"/>
    </row>
    <row r="38" spans="2:15" x14ac:dyDescent="0.35">
      <c r="I38" s="350"/>
      <c r="O38" s="413"/>
    </row>
    <row r="39" spans="2:15" x14ac:dyDescent="0.35">
      <c r="I39" s="350"/>
      <c r="O39" s="413"/>
    </row>
    <row r="40" spans="2:15" x14ac:dyDescent="0.35">
      <c r="I40" s="350"/>
      <c r="O40" s="413"/>
    </row>
    <row r="41" spans="2:15" x14ac:dyDescent="0.35">
      <c r="I41" s="350"/>
      <c r="O41" s="413"/>
    </row>
    <row r="42" spans="2:15" x14ac:dyDescent="0.35">
      <c r="I42" s="350"/>
      <c r="O42" s="413"/>
    </row>
    <row r="43" spans="2:15" x14ac:dyDescent="0.35">
      <c r="I43" s="350"/>
      <c r="O43" s="414"/>
    </row>
    <row r="44" spans="2:15" x14ac:dyDescent="0.35">
      <c r="I44" s="350"/>
      <c r="O44" s="414"/>
    </row>
    <row r="45" spans="2:15" x14ac:dyDescent="0.35">
      <c r="I45" s="350"/>
      <c r="O45" s="414"/>
    </row>
    <row r="46" spans="2:15" x14ac:dyDescent="0.35">
      <c r="I46" s="350"/>
      <c r="O46" s="413"/>
    </row>
    <row r="47" spans="2:15" x14ac:dyDescent="0.35">
      <c r="I47" s="350"/>
      <c r="O47" s="413"/>
    </row>
    <row r="48" spans="2:15" x14ac:dyDescent="0.35">
      <c r="I48" s="350"/>
      <c r="O48" s="413"/>
    </row>
    <row r="49" spans="9:15" x14ac:dyDescent="0.35">
      <c r="I49" s="350"/>
      <c r="O49" s="414"/>
    </row>
    <row r="50" spans="9:15" x14ac:dyDescent="0.35">
      <c r="I50" s="350"/>
      <c r="O50" s="414"/>
    </row>
    <row r="51" spans="9:15" x14ac:dyDescent="0.35">
      <c r="I51" s="350"/>
      <c r="O51" s="414"/>
    </row>
    <row r="52" spans="9:15" x14ac:dyDescent="0.35">
      <c r="I52" s="350"/>
      <c r="O52" s="413"/>
    </row>
    <row r="53" spans="9:15" x14ac:dyDescent="0.35">
      <c r="I53" s="350"/>
      <c r="O53" s="413"/>
    </row>
    <row r="54" spans="9:15" x14ac:dyDescent="0.35">
      <c r="I54" s="350"/>
      <c r="O54" s="413"/>
    </row>
    <row r="55" spans="9:15" x14ac:dyDescent="0.35">
      <c r="I55" s="350"/>
      <c r="O55" s="413"/>
    </row>
    <row r="56" spans="9:15" x14ac:dyDescent="0.35">
      <c r="I56" s="350"/>
      <c r="O56" s="413"/>
    </row>
    <row r="57" spans="9:15" x14ac:dyDescent="0.35">
      <c r="I57" s="350"/>
      <c r="O57" s="413"/>
    </row>
    <row r="58" spans="9:15" x14ac:dyDescent="0.35">
      <c r="I58" s="350"/>
      <c r="O58" s="414"/>
    </row>
    <row r="59" spans="9:15" x14ac:dyDescent="0.35">
      <c r="I59" s="350"/>
      <c r="O59" s="414"/>
    </row>
    <row r="60" spans="9:15" x14ac:dyDescent="0.35">
      <c r="I60" s="350"/>
      <c r="O60" s="414"/>
    </row>
  </sheetData>
  <mergeCells count="2">
    <mergeCell ref="C8:E8"/>
    <mergeCell ref="F8:H8"/>
  </mergeCells>
  <phoneticPr fontId="10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3:W183"/>
  <sheetViews>
    <sheetView workbookViewId="0">
      <selection activeCell="E15" sqref="E15"/>
    </sheetView>
  </sheetViews>
  <sheetFormatPr defaultColWidth="9" defaultRowHeight="13" x14ac:dyDescent="0.35"/>
  <cols>
    <col min="1" max="16384" width="9" style="331"/>
  </cols>
  <sheetData>
    <row r="3" spans="2:23" x14ac:dyDescent="0.35">
      <c r="B3" s="581" t="s">
        <v>884</v>
      </c>
      <c r="C3" s="581" t="s">
        <v>887</v>
      </c>
      <c r="D3" s="586" t="s">
        <v>2659</v>
      </c>
      <c r="E3" s="586" t="s">
        <v>2661</v>
      </c>
      <c r="K3" s="586" t="s">
        <v>2666</v>
      </c>
      <c r="L3" s="586" t="s">
        <v>2669</v>
      </c>
      <c r="M3" s="588" t="s">
        <v>2681</v>
      </c>
      <c r="N3" s="586" t="s">
        <v>2668</v>
      </c>
      <c r="O3" s="586" t="s">
        <v>2667</v>
      </c>
      <c r="Q3" s="331">
        <v>0</v>
      </c>
    </row>
    <row r="4" spans="2:23" x14ac:dyDescent="0.35">
      <c r="B4" s="582" t="s">
        <v>1102</v>
      </c>
      <c r="C4" s="585">
        <f>基础经济系数!F33</f>
        <v>300</v>
      </c>
      <c r="D4" s="585">
        <f>C4*(坦克升星消耗!J21+1)</f>
        <v>2100</v>
      </c>
      <c r="E4" s="585">
        <f>D4</f>
        <v>2100</v>
      </c>
      <c r="K4" s="585">
        <v>1</v>
      </c>
      <c r="L4" s="8">
        <v>1</v>
      </c>
      <c r="M4" s="8">
        <v>15</v>
      </c>
      <c r="N4" s="585">
        <f>VLOOKUP(L4,$B$18:$I$183,8,FALSE)+M4</f>
        <v>45</v>
      </c>
      <c r="O4" s="585">
        <v>0.01</v>
      </c>
      <c r="Q4" s="331">
        <v>45</v>
      </c>
      <c r="R4" s="331">
        <v>1</v>
      </c>
      <c r="S4" s="331">
        <f t="shared" ref="S4:S11" si="0">S5</f>
        <v>0.40606060606060607</v>
      </c>
      <c r="T4" s="331">
        <f>ROUND(R4/S4,0)</f>
        <v>2</v>
      </c>
      <c r="U4" s="331">
        <f>T4^1.5</f>
        <v>2.8284271247461898</v>
      </c>
      <c r="V4" s="331">
        <f>ROUNDUP(U4/12.85,0)</f>
        <v>1</v>
      </c>
    </row>
    <row r="5" spans="2:23" x14ac:dyDescent="0.35">
      <c r="B5" s="582" t="s">
        <v>1103</v>
      </c>
      <c r="C5" s="585">
        <f>基础经济系数!F34</f>
        <v>600</v>
      </c>
      <c r="D5" s="585">
        <f>C5*(坦克升星消耗!J22+1)</f>
        <v>5100</v>
      </c>
      <c r="E5" s="585">
        <f>D5+E4</f>
        <v>7200</v>
      </c>
      <c r="K5" s="585">
        <v>2</v>
      </c>
      <c r="L5" s="8">
        <v>3</v>
      </c>
      <c r="M5" s="8">
        <v>20</v>
      </c>
      <c r="N5" s="585">
        <f t="shared" ref="N5:N13" si="1">VLOOKUP(L5,$B$18:$I$183,8,FALSE)+M5</f>
        <v>110</v>
      </c>
      <c r="O5" s="585">
        <v>0.02</v>
      </c>
      <c r="Q5" s="331">
        <v>110</v>
      </c>
      <c r="R5" s="331">
        <v>3</v>
      </c>
      <c r="S5" s="331">
        <f t="shared" si="0"/>
        <v>0.40606060606060607</v>
      </c>
      <c r="T5" s="331">
        <f t="shared" ref="T5:T12" si="2">ROUND(R5/S5,0)</f>
        <v>7</v>
      </c>
      <c r="U5" s="331">
        <f t="shared" ref="U5:U13" si="3">T5^1.5</f>
        <v>18.520259177452129</v>
      </c>
      <c r="V5" s="331">
        <f t="shared" ref="V5:V13" si="4">ROUNDUP(U5/12.85,0)</f>
        <v>2</v>
      </c>
    </row>
    <row r="6" spans="2:23" x14ac:dyDescent="0.35">
      <c r="B6" s="582" t="s">
        <v>1104</v>
      </c>
      <c r="C6" s="585">
        <f>基础经济系数!F35</f>
        <v>850</v>
      </c>
      <c r="D6" s="585">
        <f>C6*(坦克升星消耗!J23+1)</f>
        <v>15300</v>
      </c>
      <c r="E6" s="585">
        <f t="shared" ref="E6:E15" si="5">D6+E5</f>
        <v>22500</v>
      </c>
      <c r="K6" s="585">
        <v>3</v>
      </c>
      <c r="L6" s="8">
        <v>6</v>
      </c>
      <c r="M6" s="8">
        <v>30</v>
      </c>
      <c r="N6" s="585">
        <f t="shared" si="1"/>
        <v>210</v>
      </c>
      <c r="O6" s="585">
        <v>0.03</v>
      </c>
      <c r="Q6" s="331">
        <v>225</v>
      </c>
      <c r="R6" s="331">
        <v>4</v>
      </c>
      <c r="S6" s="331">
        <f t="shared" si="0"/>
        <v>0.40606060606060607</v>
      </c>
      <c r="T6" s="331">
        <f t="shared" si="2"/>
        <v>10</v>
      </c>
      <c r="U6" s="331">
        <f t="shared" si="3"/>
        <v>31.622776601683803</v>
      </c>
      <c r="V6" s="331">
        <f t="shared" si="4"/>
        <v>3</v>
      </c>
    </row>
    <row r="7" spans="2:23" x14ac:dyDescent="0.35">
      <c r="B7" s="582" t="s">
        <v>1105</v>
      </c>
      <c r="C7" s="585">
        <f>基础经济系数!F36</f>
        <v>1800</v>
      </c>
      <c r="D7" s="585">
        <f>C7*(坦克升星消耗!J24+1)</f>
        <v>11400</v>
      </c>
      <c r="E7" s="585">
        <f t="shared" si="5"/>
        <v>33900</v>
      </c>
      <c r="K7" s="585">
        <v>4</v>
      </c>
      <c r="L7" s="8">
        <v>9</v>
      </c>
      <c r="M7" s="8">
        <v>60</v>
      </c>
      <c r="N7" s="585">
        <f t="shared" si="1"/>
        <v>330</v>
      </c>
      <c r="O7" s="585">
        <v>0.04</v>
      </c>
      <c r="Q7" s="331">
        <v>390</v>
      </c>
      <c r="R7" s="331">
        <v>7</v>
      </c>
      <c r="S7" s="331">
        <f t="shared" si="0"/>
        <v>0.40606060606060607</v>
      </c>
      <c r="T7" s="331">
        <f t="shared" si="2"/>
        <v>17</v>
      </c>
      <c r="U7" s="331">
        <f t="shared" si="3"/>
        <v>70.092795635500266</v>
      </c>
      <c r="V7" s="331">
        <f t="shared" si="4"/>
        <v>6</v>
      </c>
    </row>
    <row r="8" spans="2:23" x14ac:dyDescent="0.35">
      <c r="B8" s="582" t="s">
        <v>1106</v>
      </c>
      <c r="C8" s="585">
        <f>基础经济系数!F37</f>
        <v>2250</v>
      </c>
      <c r="D8" s="585">
        <f>C8*(坦克升星消耗!J25+1)</f>
        <v>34500</v>
      </c>
      <c r="E8" s="585">
        <f t="shared" si="5"/>
        <v>68400</v>
      </c>
      <c r="K8" s="585">
        <v>5</v>
      </c>
      <c r="L8" s="8">
        <v>15</v>
      </c>
      <c r="M8" s="8">
        <v>55</v>
      </c>
      <c r="N8" s="585">
        <f t="shared" si="1"/>
        <v>595</v>
      </c>
      <c r="O8" s="585">
        <v>0.05</v>
      </c>
      <c r="Q8" s="331">
        <v>655</v>
      </c>
      <c r="R8" s="331">
        <v>10</v>
      </c>
      <c r="S8" s="331">
        <f t="shared" si="0"/>
        <v>0.40606060606060607</v>
      </c>
      <c r="T8" s="331">
        <f t="shared" si="2"/>
        <v>25</v>
      </c>
      <c r="U8" s="331">
        <f t="shared" si="3"/>
        <v>124.99999999999994</v>
      </c>
      <c r="V8" s="331">
        <f t="shared" si="4"/>
        <v>10</v>
      </c>
    </row>
    <row r="9" spans="2:23" x14ac:dyDescent="0.35">
      <c r="B9" s="582" t="s">
        <v>1107</v>
      </c>
      <c r="C9" s="585">
        <f>基础经济系数!F38</f>
        <v>2850</v>
      </c>
      <c r="D9" s="585">
        <f>C9*(坦克升星消耗!J26+1)</f>
        <v>41325</v>
      </c>
      <c r="E9" s="585">
        <f t="shared" si="5"/>
        <v>109725</v>
      </c>
      <c r="K9" s="585">
        <v>6</v>
      </c>
      <c r="L9" s="8">
        <v>25</v>
      </c>
      <c r="M9" s="8">
        <v>20</v>
      </c>
      <c r="N9" s="585">
        <f t="shared" si="1"/>
        <v>1145</v>
      </c>
      <c r="O9" s="585">
        <v>0.06</v>
      </c>
      <c r="Q9" s="331">
        <v>1220</v>
      </c>
      <c r="R9" s="331">
        <v>15</v>
      </c>
      <c r="S9" s="331">
        <f t="shared" si="0"/>
        <v>0.40606060606060607</v>
      </c>
      <c r="T9" s="331">
        <f t="shared" si="2"/>
        <v>37</v>
      </c>
      <c r="U9" s="331">
        <f t="shared" si="3"/>
        <v>225.06221362103415</v>
      </c>
      <c r="V9" s="331">
        <f t="shared" si="4"/>
        <v>18</v>
      </c>
    </row>
    <row r="10" spans="2:23" x14ac:dyDescent="0.35">
      <c r="B10" s="582" t="s">
        <v>1108</v>
      </c>
      <c r="C10" s="585">
        <f>基础经济系数!F39</f>
        <v>5000</v>
      </c>
      <c r="D10" s="585">
        <f>C10*(坦克升星消耗!J27+1)</f>
        <v>27500</v>
      </c>
      <c r="E10" s="585">
        <f t="shared" si="5"/>
        <v>137225</v>
      </c>
      <c r="K10" s="585">
        <v>7</v>
      </c>
      <c r="L10" s="8">
        <v>42</v>
      </c>
      <c r="M10" s="8">
        <v>-10</v>
      </c>
      <c r="N10" s="585">
        <f t="shared" si="1"/>
        <v>2150</v>
      </c>
      <c r="O10" s="585">
        <v>7.0000000000000007E-2</v>
      </c>
      <c r="Q10" s="331">
        <v>2285</v>
      </c>
      <c r="R10" s="331">
        <v>22</v>
      </c>
      <c r="S10" s="331">
        <f t="shared" si="0"/>
        <v>0.40606060606060607</v>
      </c>
      <c r="T10" s="331">
        <f t="shared" si="2"/>
        <v>54</v>
      </c>
      <c r="U10" s="331">
        <f t="shared" si="3"/>
        <v>396.81733833087492</v>
      </c>
      <c r="V10" s="331">
        <f t="shared" si="4"/>
        <v>31</v>
      </c>
    </row>
    <row r="11" spans="2:23" x14ac:dyDescent="0.35">
      <c r="B11" s="582" t="s">
        <v>1109</v>
      </c>
      <c r="C11" s="585">
        <f>基础经济系数!F40</f>
        <v>6250</v>
      </c>
      <c r="D11" s="585">
        <f>C11*(坦克升星消耗!J28+1)</f>
        <v>67500</v>
      </c>
      <c r="E11" s="585">
        <f t="shared" si="5"/>
        <v>204725</v>
      </c>
      <c r="K11" s="585">
        <v>8</v>
      </c>
      <c r="L11" s="8">
        <v>63</v>
      </c>
      <c r="M11" s="8">
        <v>40</v>
      </c>
      <c r="N11" s="585">
        <f t="shared" si="1"/>
        <v>3790</v>
      </c>
      <c r="O11" s="585">
        <v>0.08</v>
      </c>
      <c r="Q11" s="331">
        <v>4150</v>
      </c>
      <c r="R11" s="331">
        <v>33</v>
      </c>
      <c r="S11" s="331">
        <f t="shared" si="0"/>
        <v>0.40606060606060607</v>
      </c>
      <c r="T11" s="331">
        <f t="shared" si="2"/>
        <v>81</v>
      </c>
      <c r="U11" s="331">
        <f t="shared" si="3"/>
        <v>729.00000000000011</v>
      </c>
      <c r="V11" s="331">
        <f t="shared" si="4"/>
        <v>57</v>
      </c>
    </row>
    <row r="12" spans="2:23" x14ac:dyDescent="0.35">
      <c r="B12" s="582" t="s">
        <v>1110</v>
      </c>
      <c r="C12" s="585">
        <f>基础经济系数!F41</f>
        <v>7750</v>
      </c>
      <c r="D12" s="585">
        <f>C12*(坦克升星消耗!J29+1)</f>
        <v>88350</v>
      </c>
      <c r="E12" s="585">
        <f t="shared" si="5"/>
        <v>293075</v>
      </c>
      <c r="K12" s="585">
        <v>9</v>
      </c>
      <c r="L12" s="8">
        <v>100</v>
      </c>
      <c r="M12" s="8">
        <v>0</v>
      </c>
      <c r="N12" s="585">
        <f t="shared" si="1"/>
        <v>6990</v>
      </c>
      <c r="O12" s="585">
        <v>0.09</v>
      </c>
      <c r="Q12" s="331">
        <v>7615</v>
      </c>
      <c r="R12" s="331">
        <v>46</v>
      </c>
      <c r="S12" s="331">
        <f>S13</f>
        <v>0.40606060606060607</v>
      </c>
      <c r="T12" s="331">
        <f t="shared" si="2"/>
        <v>113</v>
      </c>
      <c r="U12" s="331">
        <f t="shared" si="3"/>
        <v>1201.2064768390157</v>
      </c>
      <c r="V12" s="331">
        <f t="shared" si="4"/>
        <v>94</v>
      </c>
    </row>
    <row r="13" spans="2:23" x14ac:dyDescent="0.35">
      <c r="B13" s="582" t="s">
        <v>1111</v>
      </c>
      <c r="C13" s="585">
        <f>基础经济系数!F42</f>
        <v>13600</v>
      </c>
      <c r="D13" s="585">
        <f>C13*(坦克升星消耗!J30+1)</f>
        <v>64600</v>
      </c>
      <c r="E13" s="585">
        <f t="shared" si="5"/>
        <v>357675</v>
      </c>
      <c r="K13" s="585">
        <v>10</v>
      </c>
      <c r="L13" s="8">
        <v>165</v>
      </c>
      <c r="M13" s="8">
        <v>0</v>
      </c>
      <c r="N13" s="585">
        <f t="shared" si="1"/>
        <v>15120</v>
      </c>
      <c r="O13" s="585">
        <v>0.1</v>
      </c>
      <c r="Q13" s="331">
        <v>15855</v>
      </c>
      <c r="R13" s="331">
        <v>67</v>
      </c>
      <c r="S13" s="331">
        <f>R13/T13</f>
        <v>0.40606060606060607</v>
      </c>
      <c r="T13" s="331">
        <v>165</v>
      </c>
      <c r="U13" s="331">
        <f t="shared" si="3"/>
        <v>2119.463375479746</v>
      </c>
      <c r="V13" s="331">
        <f t="shared" si="4"/>
        <v>165</v>
      </c>
      <c r="W13" s="331">
        <f>U13/T13</f>
        <v>12.845232578665128</v>
      </c>
    </row>
    <row r="14" spans="2:23" x14ac:dyDescent="0.35">
      <c r="B14" s="582" t="s">
        <v>1112</v>
      </c>
      <c r="C14" s="585">
        <f>基础经济系数!F43</f>
        <v>16000</v>
      </c>
      <c r="D14" s="585">
        <f>C14*(坦克升星消耗!J31+1)</f>
        <v>144000</v>
      </c>
      <c r="E14" s="585">
        <f t="shared" si="5"/>
        <v>501675</v>
      </c>
    </row>
    <row r="15" spans="2:23" x14ac:dyDescent="0.35">
      <c r="B15" s="582" t="s">
        <v>1113</v>
      </c>
      <c r="C15" s="585">
        <f>基础经济系数!F44</f>
        <v>19600</v>
      </c>
      <c r="D15" s="585">
        <f>C15*(坦克升星消耗!J32+1)</f>
        <v>193550</v>
      </c>
      <c r="E15" s="585">
        <f t="shared" si="5"/>
        <v>695225</v>
      </c>
    </row>
    <row r="18" spans="2:9" x14ac:dyDescent="0.35">
      <c r="B18" s="586" t="s">
        <v>2670</v>
      </c>
      <c r="C18" s="427" t="s">
        <v>792</v>
      </c>
      <c r="D18" s="427" t="s">
        <v>2016</v>
      </c>
      <c r="E18" s="586" t="s">
        <v>2660</v>
      </c>
      <c r="F18" s="586" t="s">
        <v>2662</v>
      </c>
      <c r="G18" s="586" t="s">
        <v>2663</v>
      </c>
      <c r="H18" s="586" t="s">
        <v>2664</v>
      </c>
      <c r="I18" s="586" t="s">
        <v>2665</v>
      </c>
    </row>
    <row r="19" spans="2:9" x14ac:dyDescent="0.35">
      <c r="B19" s="585">
        <v>1</v>
      </c>
      <c r="C19" s="581" t="str">
        <f>坦克升星消耗!AG4</f>
        <v>1T1低0</v>
      </c>
      <c r="D19" s="581">
        <f>IF(坦克升星消耗!AI4=0,0,坦克升星消耗!AI4-坦克升星消耗!AI3)</f>
        <v>0</v>
      </c>
      <c r="E19" s="585">
        <f>IF(D19=0,VLOOKUP(LEFT(RIGHT(C19,4),3),$B$3:$C$15,2,FALSE),D19)</f>
        <v>300</v>
      </c>
      <c r="F19" s="585">
        <f>E19</f>
        <v>300</v>
      </c>
      <c r="G19" s="585">
        <f>ROUND(POWER(E19,0.5)/10,0)*5</f>
        <v>10</v>
      </c>
      <c r="H19" s="585">
        <f>G19</f>
        <v>10</v>
      </c>
      <c r="I19" s="585">
        <f>H19*3</f>
        <v>30</v>
      </c>
    </row>
    <row r="20" spans="2:9" x14ac:dyDescent="0.35">
      <c r="B20" s="585">
        <v>2</v>
      </c>
      <c r="C20" s="581" t="str">
        <f>坦克升星消耗!AG5</f>
        <v>1T1低1</v>
      </c>
      <c r="D20" s="581">
        <f>IF(坦克升星消耗!AI5=0,0,坦克升星消耗!AI5-坦克升星消耗!AI4)</f>
        <v>300</v>
      </c>
      <c r="E20" s="585">
        <f t="shared" ref="E20:E83" si="6">IF(D20=0,VLOOKUP(LEFT(RIGHT(C20,4),3),$B$3:$C$15,2,FALSE),D20)</f>
        <v>300</v>
      </c>
      <c r="F20" s="585">
        <f>E20+F19</f>
        <v>600</v>
      </c>
      <c r="G20" s="585">
        <f t="shared" ref="G20:G83" si="7">ROUND(POWER(E20,0.5)/10,0)*5</f>
        <v>10</v>
      </c>
      <c r="H20" s="585">
        <f>G20+H19</f>
        <v>20</v>
      </c>
      <c r="I20" s="585">
        <f t="shared" ref="I20:I83" si="8">H20*3</f>
        <v>60</v>
      </c>
    </row>
    <row r="21" spans="2:9" x14ac:dyDescent="0.35">
      <c r="B21" s="585">
        <v>3</v>
      </c>
      <c r="C21" s="581" t="str">
        <f>坦克升星消耗!AG6</f>
        <v>1T1低2</v>
      </c>
      <c r="D21" s="581">
        <f>IF(坦克升星消耗!AI6=0,0,坦克升星消耗!AI6-坦克升星消耗!AI5)</f>
        <v>300</v>
      </c>
      <c r="E21" s="585">
        <f t="shared" si="6"/>
        <v>300</v>
      </c>
      <c r="F21" s="585">
        <f t="shared" ref="F21:F84" si="9">E21+F20</f>
        <v>900</v>
      </c>
      <c r="G21" s="585">
        <f t="shared" si="7"/>
        <v>10</v>
      </c>
      <c r="H21" s="585">
        <f t="shared" ref="H21:H84" si="10">G21+H20</f>
        <v>30</v>
      </c>
      <c r="I21" s="585">
        <f t="shared" si="8"/>
        <v>90</v>
      </c>
    </row>
    <row r="22" spans="2:9" x14ac:dyDescent="0.35">
      <c r="B22" s="585">
        <v>4</v>
      </c>
      <c r="C22" s="581" t="str">
        <f>坦克升星消耗!AG7</f>
        <v>1T1低3</v>
      </c>
      <c r="D22" s="581">
        <f>IF(坦克升星消耗!AI7=0,0,坦克升星消耗!AI7-坦克升星消耗!AI6)</f>
        <v>600</v>
      </c>
      <c r="E22" s="585">
        <f t="shared" si="6"/>
        <v>600</v>
      </c>
      <c r="F22" s="585">
        <f t="shared" si="9"/>
        <v>1500</v>
      </c>
      <c r="G22" s="585">
        <f t="shared" si="7"/>
        <v>10</v>
      </c>
      <c r="H22" s="585">
        <f t="shared" si="10"/>
        <v>40</v>
      </c>
      <c r="I22" s="585">
        <f t="shared" si="8"/>
        <v>120</v>
      </c>
    </row>
    <row r="23" spans="2:9" x14ac:dyDescent="0.35">
      <c r="B23" s="585">
        <v>5</v>
      </c>
      <c r="C23" s="581" t="str">
        <f>坦克升星消耗!AG8</f>
        <v>1T1低4</v>
      </c>
      <c r="D23" s="581">
        <f>IF(坦克升星消耗!AI8=0,0,坦克升星消耗!AI8-坦克升星消耗!AI7)</f>
        <v>600</v>
      </c>
      <c r="E23" s="585">
        <f t="shared" si="6"/>
        <v>600</v>
      </c>
      <c r="F23" s="585">
        <f t="shared" si="9"/>
        <v>2100</v>
      </c>
      <c r="G23" s="585">
        <f t="shared" si="7"/>
        <v>10</v>
      </c>
      <c r="H23" s="585">
        <f t="shared" si="10"/>
        <v>50</v>
      </c>
      <c r="I23" s="585">
        <f t="shared" si="8"/>
        <v>150</v>
      </c>
    </row>
    <row r="24" spans="2:9" x14ac:dyDescent="0.35">
      <c r="B24" s="585">
        <v>6</v>
      </c>
      <c r="C24" s="581" t="str">
        <f>坦克升星消耗!AG9</f>
        <v>2T2低0</v>
      </c>
      <c r="D24" s="581">
        <f>IF(坦克升星消耗!AI9=0,0,坦克升星消耗!AI9-坦克升星消耗!AI8)</f>
        <v>0</v>
      </c>
      <c r="E24" s="585">
        <f t="shared" si="6"/>
        <v>600</v>
      </c>
      <c r="F24" s="585">
        <f t="shared" si="9"/>
        <v>2700</v>
      </c>
      <c r="G24" s="585">
        <f t="shared" si="7"/>
        <v>10</v>
      </c>
      <c r="H24" s="585">
        <f t="shared" si="10"/>
        <v>60</v>
      </c>
      <c r="I24" s="585">
        <f t="shared" si="8"/>
        <v>180</v>
      </c>
    </row>
    <row r="25" spans="2:9" x14ac:dyDescent="0.35">
      <c r="B25" s="585">
        <v>7</v>
      </c>
      <c r="C25" s="581" t="str">
        <f>坦克升星消耗!AG10</f>
        <v>2T2低1</v>
      </c>
      <c r="D25" s="581">
        <f>IF(坦克升星消耗!AI10=0,0,坦克升星消耗!AI10-坦克升星消耗!AI9)</f>
        <v>600</v>
      </c>
      <c r="E25" s="585">
        <f t="shared" si="6"/>
        <v>600</v>
      </c>
      <c r="F25" s="585">
        <f t="shared" si="9"/>
        <v>3300</v>
      </c>
      <c r="G25" s="585">
        <f t="shared" si="7"/>
        <v>10</v>
      </c>
      <c r="H25" s="585">
        <f t="shared" si="10"/>
        <v>70</v>
      </c>
      <c r="I25" s="585">
        <f t="shared" si="8"/>
        <v>210</v>
      </c>
    </row>
    <row r="26" spans="2:9" x14ac:dyDescent="0.35">
      <c r="B26" s="585">
        <v>8</v>
      </c>
      <c r="C26" s="581" t="str">
        <f>坦克升星消耗!AG11</f>
        <v>2T2低2</v>
      </c>
      <c r="D26" s="581">
        <f>IF(坦克升星消耗!AI11=0,0,坦克升星消耗!AI11-坦克升星消耗!AI10)</f>
        <v>600</v>
      </c>
      <c r="E26" s="585">
        <f t="shared" si="6"/>
        <v>600</v>
      </c>
      <c r="F26" s="585">
        <f t="shared" si="9"/>
        <v>3900</v>
      </c>
      <c r="G26" s="585">
        <f t="shared" si="7"/>
        <v>10</v>
      </c>
      <c r="H26" s="585">
        <f t="shared" si="10"/>
        <v>80</v>
      </c>
      <c r="I26" s="585">
        <f t="shared" si="8"/>
        <v>240</v>
      </c>
    </row>
    <row r="27" spans="2:9" x14ac:dyDescent="0.35">
      <c r="B27" s="585">
        <v>9</v>
      </c>
      <c r="C27" s="581" t="str">
        <f>坦克升星消耗!AG12</f>
        <v>2T2低3</v>
      </c>
      <c r="D27" s="581">
        <f>IF(坦克升星消耗!AI12=0,0,坦克升星消耗!AI12-坦克升星消耗!AI11)</f>
        <v>600</v>
      </c>
      <c r="E27" s="585">
        <f t="shared" si="6"/>
        <v>600</v>
      </c>
      <c r="F27" s="585">
        <f t="shared" si="9"/>
        <v>4500</v>
      </c>
      <c r="G27" s="585">
        <f t="shared" si="7"/>
        <v>10</v>
      </c>
      <c r="H27" s="585">
        <f t="shared" si="10"/>
        <v>90</v>
      </c>
      <c r="I27" s="585">
        <f t="shared" si="8"/>
        <v>270</v>
      </c>
    </row>
    <row r="28" spans="2:9" x14ac:dyDescent="0.35">
      <c r="B28" s="585">
        <v>10</v>
      </c>
      <c r="C28" s="581" t="str">
        <f>坦克升星消耗!AG13</f>
        <v>2T2低4</v>
      </c>
      <c r="D28" s="581">
        <f>IF(坦克升星消耗!AI13=0,0,坦克升星消耗!AI13-坦克升星消耗!AI12)</f>
        <v>900</v>
      </c>
      <c r="E28" s="585">
        <f t="shared" si="6"/>
        <v>900</v>
      </c>
      <c r="F28" s="585">
        <f t="shared" si="9"/>
        <v>5400</v>
      </c>
      <c r="G28" s="585">
        <f t="shared" si="7"/>
        <v>15</v>
      </c>
      <c r="H28" s="585">
        <f t="shared" si="10"/>
        <v>105</v>
      </c>
      <c r="I28" s="585">
        <f t="shared" si="8"/>
        <v>315</v>
      </c>
    </row>
    <row r="29" spans="2:9" x14ac:dyDescent="0.35">
      <c r="B29" s="585">
        <v>11</v>
      </c>
      <c r="C29" s="581" t="str">
        <f>坦克升星消耗!AG14</f>
        <v>2T2低5</v>
      </c>
      <c r="D29" s="581">
        <f>IF(坦克升星消耗!AI14=0,0,坦克升星消耗!AI14-坦克升星消耗!AI13)</f>
        <v>900</v>
      </c>
      <c r="E29" s="585">
        <f t="shared" si="6"/>
        <v>900</v>
      </c>
      <c r="F29" s="585">
        <f t="shared" si="9"/>
        <v>6300</v>
      </c>
      <c r="G29" s="585">
        <f t="shared" si="7"/>
        <v>15</v>
      </c>
      <c r="H29" s="585">
        <f t="shared" si="10"/>
        <v>120</v>
      </c>
      <c r="I29" s="585">
        <f t="shared" si="8"/>
        <v>360</v>
      </c>
    </row>
    <row r="30" spans="2:9" x14ac:dyDescent="0.35">
      <c r="B30" s="585">
        <v>12</v>
      </c>
      <c r="C30" s="581" t="str">
        <f>坦克升星消耗!AG15</f>
        <v>2T2低6</v>
      </c>
      <c r="D30" s="581">
        <f>IF(坦克升星消耗!AI15=0,0,坦克升星消耗!AI15-坦克升星消耗!AI14)</f>
        <v>900</v>
      </c>
      <c r="E30" s="585">
        <f t="shared" si="6"/>
        <v>900</v>
      </c>
      <c r="F30" s="585">
        <f t="shared" si="9"/>
        <v>7200</v>
      </c>
      <c r="G30" s="585">
        <f t="shared" si="7"/>
        <v>15</v>
      </c>
      <c r="H30" s="585">
        <f t="shared" si="10"/>
        <v>135</v>
      </c>
      <c r="I30" s="585">
        <f t="shared" si="8"/>
        <v>405</v>
      </c>
    </row>
    <row r="31" spans="2:9" x14ac:dyDescent="0.35">
      <c r="B31" s="585">
        <v>13</v>
      </c>
      <c r="C31" s="581" t="str">
        <f>坦克升星消耗!AG16</f>
        <v>3T2中0</v>
      </c>
      <c r="D31" s="581">
        <f>IF(坦克升星消耗!AI16=0,0,坦克升星消耗!AI16-坦克升星消耗!AI15)</f>
        <v>0</v>
      </c>
      <c r="E31" s="585">
        <f t="shared" si="6"/>
        <v>850</v>
      </c>
      <c r="F31" s="585">
        <f t="shared" si="9"/>
        <v>8050</v>
      </c>
      <c r="G31" s="585">
        <f t="shared" si="7"/>
        <v>15</v>
      </c>
      <c r="H31" s="585">
        <f t="shared" si="10"/>
        <v>150</v>
      </c>
      <c r="I31" s="585">
        <f t="shared" si="8"/>
        <v>450</v>
      </c>
    </row>
    <row r="32" spans="2:9" x14ac:dyDescent="0.35">
      <c r="B32" s="585">
        <v>14</v>
      </c>
      <c r="C32" s="581" t="str">
        <f>坦克升星消耗!AG17</f>
        <v>3T2中1</v>
      </c>
      <c r="D32" s="581">
        <f>IF(坦克升星消耗!AI17=0,0,坦克升星消耗!AI17-坦克升星消耗!AI16)</f>
        <v>850</v>
      </c>
      <c r="E32" s="585">
        <f t="shared" si="6"/>
        <v>850</v>
      </c>
      <c r="F32" s="585">
        <f t="shared" si="9"/>
        <v>8900</v>
      </c>
      <c r="G32" s="585">
        <f t="shared" si="7"/>
        <v>15</v>
      </c>
      <c r="H32" s="585">
        <f t="shared" si="10"/>
        <v>165</v>
      </c>
      <c r="I32" s="585">
        <f t="shared" si="8"/>
        <v>495</v>
      </c>
    </row>
    <row r="33" spans="2:9" x14ac:dyDescent="0.35">
      <c r="B33" s="585">
        <v>15</v>
      </c>
      <c r="C33" s="581" t="str">
        <f>坦克升星消耗!AG18</f>
        <v>3T2中2</v>
      </c>
      <c r="D33" s="581">
        <f>IF(坦克升星消耗!AI18=0,0,坦克升星消耗!AI18-坦克升星消耗!AI17)</f>
        <v>850</v>
      </c>
      <c r="E33" s="585">
        <f t="shared" si="6"/>
        <v>850</v>
      </c>
      <c r="F33" s="585">
        <f t="shared" si="9"/>
        <v>9750</v>
      </c>
      <c r="G33" s="585">
        <f t="shared" si="7"/>
        <v>15</v>
      </c>
      <c r="H33" s="585">
        <f t="shared" si="10"/>
        <v>180</v>
      </c>
      <c r="I33" s="585">
        <f t="shared" si="8"/>
        <v>540</v>
      </c>
    </row>
    <row r="34" spans="2:9" x14ac:dyDescent="0.35">
      <c r="B34" s="585">
        <v>16</v>
      </c>
      <c r="C34" s="581" t="str">
        <f>坦克升星消耗!AG19</f>
        <v>3T2中3</v>
      </c>
      <c r="D34" s="581">
        <f>IF(坦克升星消耗!AI19=0,0,坦克升星消耗!AI19-坦克升星消耗!AI18)</f>
        <v>850</v>
      </c>
      <c r="E34" s="585">
        <f t="shared" si="6"/>
        <v>850</v>
      </c>
      <c r="F34" s="585">
        <f t="shared" si="9"/>
        <v>10600</v>
      </c>
      <c r="G34" s="585">
        <f t="shared" si="7"/>
        <v>15</v>
      </c>
      <c r="H34" s="585">
        <f t="shared" si="10"/>
        <v>195</v>
      </c>
      <c r="I34" s="585">
        <f t="shared" si="8"/>
        <v>585</v>
      </c>
    </row>
    <row r="35" spans="2:9" x14ac:dyDescent="0.35">
      <c r="B35" s="585">
        <v>17</v>
      </c>
      <c r="C35" s="581" t="str">
        <f>坦克升星消耗!AG20</f>
        <v>3T2中4</v>
      </c>
      <c r="D35" s="581">
        <f>IF(坦克升星消耗!AI20=0,0,坦克升星消耗!AI20-坦克升星消耗!AI19)</f>
        <v>1275</v>
      </c>
      <c r="E35" s="585">
        <f t="shared" si="6"/>
        <v>1275</v>
      </c>
      <c r="F35" s="585">
        <f t="shared" si="9"/>
        <v>11875</v>
      </c>
      <c r="G35" s="585">
        <f t="shared" si="7"/>
        <v>20</v>
      </c>
      <c r="H35" s="585">
        <f t="shared" si="10"/>
        <v>215</v>
      </c>
      <c r="I35" s="585">
        <f t="shared" si="8"/>
        <v>645</v>
      </c>
    </row>
    <row r="36" spans="2:9" x14ac:dyDescent="0.35">
      <c r="B36" s="585">
        <v>18</v>
      </c>
      <c r="C36" s="581" t="str">
        <f>坦克升星消耗!AG21</f>
        <v>3T2中5</v>
      </c>
      <c r="D36" s="581">
        <f>IF(坦克升星消耗!AI21=0,0,坦克升星消耗!AI21-坦克升星消耗!AI20)</f>
        <v>1275</v>
      </c>
      <c r="E36" s="585">
        <f t="shared" si="6"/>
        <v>1275</v>
      </c>
      <c r="F36" s="585">
        <f t="shared" si="9"/>
        <v>13150</v>
      </c>
      <c r="G36" s="585">
        <f t="shared" si="7"/>
        <v>20</v>
      </c>
      <c r="H36" s="585">
        <f t="shared" si="10"/>
        <v>235</v>
      </c>
      <c r="I36" s="585">
        <f t="shared" si="8"/>
        <v>705</v>
      </c>
    </row>
    <row r="37" spans="2:9" x14ac:dyDescent="0.35">
      <c r="B37" s="585">
        <v>19</v>
      </c>
      <c r="C37" s="581" t="str">
        <f>坦克升星消耗!AG22</f>
        <v>3T2中6</v>
      </c>
      <c r="D37" s="581">
        <f>IF(坦克升星消耗!AI22=0,0,坦克升星消耗!AI22-坦克升星消耗!AI21)</f>
        <v>1275</v>
      </c>
      <c r="E37" s="585">
        <f t="shared" si="6"/>
        <v>1275</v>
      </c>
      <c r="F37" s="585">
        <f t="shared" si="9"/>
        <v>14425</v>
      </c>
      <c r="G37" s="585">
        <f t="shared" si="7"/>
        <v>20</v>
      </c>
      <c r="H37" s="585">
        <f t="shared" si="10"/>
        <v>255</v>
      </c>
      <c r="I37" s="585">
        <f t="shared" si="8"/>
        <v>765</v>
      </c>
    </row>
    <row r="38" spans="2:9" x14ac:dyDescent="0.35">
      <c r="B38" s="585">
        <v>20</v>
      </c>
      <c r="C38" s="581" t="str">
        <f>坦克升星消耗!AG23</f>
        <v>3T2中7</v>
      </c>
      <c r="D38" s="581">
        <f>IF(坦克升星消耗!AI23=0,0,坦克升星消耗!AI23-坦克升星消耗!AI22)</f>
        <v>1275</v>
      </c>
      <c r="E38" s="585">
        <f t="shared" si="6"/>
        <v>1275</v>
      </c>
      <c r="F38" s="585">
        <f t="shared" si="9"/>
        <v>15700</v>
      </c>
      <c r="G38" s="585">
        <f t="shared" si="7"/>
        <v>20</v>
      </c>
      <c r="H38" s="585">
        <f t="shared" si="10"/>
        <v>275</v>
      </c>
      <c r="I38" s="585">
        <f t="shared" si="8"/>
        <v>825</v>
      </c>
    </row>
    <row r="39" spans="2:9" x14ac:dyDescent="0.35">
      <c r="B39" s="585">
        <v>21</v>
      </c>
      <c r="C39" s="581" t="str">
        <f>坦克升星消耗!AG24</f>
        <v>3T2中8</v>
      </c>
      <c r="D39" s="581">
        <f>IF(坦克升星消耗!AI24=0,0,坦克升星消耗!AI24-坦克升星消耗!AI23)</f>
        <v>1700</v>
      </c>
      <c r="E39" s="585">
        <f t="shared" si="6"/>
        <v>1700</v>
      </c>
      <c r="F39" s="585">
        <f t="shared" si="9"/>
        <v>17400</v>
      </c>
      <c r="G39" s="585">
        <f t="shared" si="7"/>
        <v>20</v>
      </c>
      <c r="H39" s="585">
        <f t="shared" si="10"/>
        <v>295</v>
      </c>
      <c r="I39" s="585">
        <f t="shared" si="8"/>
        <v>885</v>
      </c>
    </row>
    <row r="40" spans="2:9" x14ac:dyDescent="0.35">
      <c r="B40" s="585">
        <v>22</v>
      </c>
      <c r="C40" s="581" t="str">
        <f>坦克升星消耗!AG25</f>
        <v>3T2中9</v>
      </c>
      <c r="D40" s="581">
        <f>IF(坦克升星消耗!AI25=0,0,坦克升星消耗!AI25-坦克升星消耗!AI24)</f>
        <v>1700</v>
      </c>
      <c r="E40" s="585">
        <f t="shared" si="6"/>
        <v>1700</v>
      </c>
      <c r="F40" s="585">
        <f t="shared" si="9"/>
        <v>19100</v>
      </c>
      <c r="G40" s="585">
        <f t="shared" si="7"/>
        <v>20</v>
      </c>
      <c r="H40" s="585">
        <f t="shared" si="10"/>
        <v>315</v>
      </c>
      <c r="I40" s="585">
        <f t="shared" si="8"/>
        <v>945</v>
      </c>
    </row>
    <row r="41" spans="2:9" x14ac:dyDescent="0.35">
      <c r="B41" s="585">
        <v>23</v>
      </c>
      <c r="C41" s="581" t="str">
        <f>坦克升星消耗!AG26</f>
        <v>3T2中10</v>
      </c>
      <c r="D41" s="581">
        <f>IF(坦克升星消耗!AI26=0,0,坦克升星消耗!AI26-坦克升星消耗!AI25)</f>
        <v>1700</v>
      </c>
      <c r="E41" s="585">
        <f t="shared" si="6"/>
        <v>1700</v>
      </c>
      <c r="F41" s="585">
        <f t="shared" si="9"/>
        <v>20800</v>
      </c>
      <c r="G41" s="585">
        <f t="shared" si="7"/>
        <v>20</v>
      </c>
      <c r="H41" s="585">
        <f t="shared" si="10"/>
        <v>335</v>
      </c>
      <c r="I41" s="585">
        <f t="shared" si="8"/>
        <v>1005</v>
      </c>
    </row>
    <row r="42" spans="2:9" x14ac:dyDescent="0.35">
      <c r="B42" s="585">
        <v>24</v>
      </c>
      <c r="C42" s="581" t="str">
        <f>坦克升星消耗!AG27</f>
        <v>3T2中11</v>
      </c>
      <c r="D42" s="581">
        <f>IF(坦克升星消耗!AI27=0,0,坦克升星消耗!AI27-坦克升星消耗!AI26)</f>
        <v>1700</v>
      </c>
      <c r="E42" s="585">
        <f t="shared" si="6"/>
        <v>1700</v>
      </c>
      <c r="F42" s="585">
        <f t="shared" si="9"/>
        <v>22500</v>
      </c>
      <c r="G42" s="585">
        <f t="shared" si="7"/>
        <v>20</v>
      </c>
      <c r="H42" s="585">
        <f t="shared" si="10"/>
        <v>355</v>
      </c>
      <c r="I42" s="585">
        <f t="shared" si="8"/>
        <v>1065</v>
      </c>
    </row>
    <row r="43" spans="2:9" x14ac:dyDescent="0.35">
      <c r="B43" s="585">
        <v>25</v>
      </c>
      <c r="C43" s="581" t="str">
        <f>坦克升星消耗!AG28</f>
        <v>4T3低0</v>
      </c>
      <c r="D43" s="581">
        <f>IF(坦克升星消耗!AI28=0,0,坦克升星消耗!AI28-坦克升星消耗!AI27)</f>
        <v>0</v>
      </c>
      <c r="E43" s="585">
        <f t="shared" si="6"/>
        <v>1800</v>
      </c>
      <c r="F43" s="585">
        <f t="shared" si="9"/>
        <v>24300</v>
      </c>
      <c r="G43" s="585">
        <f t="shared" si="7"/>
        <v>20</v>
      </c>
      <c r="H43" s="585">
        <f t="shared" si="10"/>
        <v>375</v>
      </c>
      <c r="I43" s="585">
        <f t="shared" si="8"/>
        <v>1125</v>
      </c>
    </row>
    <row r="44" spans="2:9" x14ac:dyDescent="0.35">
      <c r="B44" s="585">
        <v>26</v>
      </c>
      <c r="C44" s="581" t="str">
        <f>坦克升星消耗!AG29</f>
        <v>4T3低1</v>
      </c>
      <c r="D44" s="581">
        <f>IF(坦克升星消耗!AI29=0,0,坦克升星消耗!AI29-坦克升星消耗!AI28)</f>
        <v>900</v>
      </c>
      <c r="E44" s="585">
        <f t="shared" si="6"/>
        <v>900</v>
      </c>
      <c r="F44" s="585">
        <f t="shared" si="9"/>
        <v>25200</v>
      </c>
      <c r="G44" s="585">
        <f t="shared" si="7"/>
        <v>15</v>
      </c>
      <c r="H44" s="585">
        <f t="shared" si="10"/>
        <v>390</v>
      </c>
      <c r="I44" s="585">
        <f t="shared" si="8"/>
        <v>1170</v>
      </c>
    </row>
    <row r="45" spans="2:9" x14ac:dyDescent="0.35">
      <c r="B45" s="585">
        <v>27</v>
      </c>
      <c r="C45" s="581" t="str">
        <f>坦克升星消耗!AG30</f>
        <v>4T3低2</v>
      </c>
      <c r="D45" s="581">
        <f>IF(坦克升星消耗!AI30=0,0,坦克升星消耗!AI30-坦克升星消耗!AI29)</f>
        <v>900</v>
      </c>
      <c r="E45" s="585">
        <f t="shared" si="6"/>
        <v>900</v>
      </c>
      <c r="F45" s="585">
        <f t="shared" si="9"/>
        <v>26100</v>
      </c>
      <c r="G45" s="585">
        <f t="shared" si="7"/>
        <v>15</v>
      </c>
      <c r="H45" s="585">
        <f t="shared" si="10"/>
        <v>405</v>
      </c>
      <c r="I45" s="585">
        <f t="shared" si="8"/>
        <v>1215</v>
      </c>
    </row>
    <row r="46" spans="2:9" x14ac:dyDescent="0.35">
      <c r="B46" s="585">
        <v>28</v>
      </c>
      <c r="C46" s="581" t="str">
        <f>坦克升星消耗!AG31</f>
        <v>4T3低3</v>
      </c>
      <c r="D46" s="581">
        <f>IF(坦克升星消耗!AI31=0,0,坦克升星消耗!AI31-坦克升星消耗!AI30)</f>
        <v>900</v>
      </c>
      <c r="E46" s="585">
        <f t="shared" si="6"/>
        <v>900</v>
      </c>
      <c r="F46" s="585">
        <f t="shared" si="9"/>
        <v>27000</v>
      </c>
      <c r="G46" s="585">
        <f t="shared" si="7"/>
        <v>15</v>
      </c>
      <c r="H46" s="585">
        <f t="shared" si="10"/>
        <v>420</v>
      </c>
      <c r="I46" s="585">
        <f t="shared" si="8"/>
        <v>1260</v>
      </c>
    </row>
    <row r="47" spans="2:9" x14ac:dyDescent="0.35">
      <c r="B47" s="585">
        <v>29</v>
      </c>
      <c r="C47" s="581" t="str">
        <f>坦克升星消耗!AG32</f>
        <v>4T3低4</v>
      </c>
      <c r="D47" s="581">
        <f>IF(坦克升星消耗!AI32=0,0,坦克升星消耗!AI32-坦克升星消耗!AI31)</f>
        <v>900</v>
      </c>
      <c r="E47" s="585">
        <f t="shared" si="6"/>
        <v>900</v>
      </c>
      <c r="F47" s="585">
        <f t="shared" si="9"/>
        <v>27900</v>
      </c>
      <c r="G47" s="585">
        <f t="shared" si="7"/>
        <v>15</v>
      </c>
      <c r="H47" s="585">
        <f t="shared" si="10"/>
        <v>435</v>
      </c>
      <c r="I47" s="585">
        <f t="shared" si="8"/>
        <v>1305</v>
      </c>
    </row>
    <row r="48" spans="2:9" x14ac:dyDescent="0.35">
      <c r="B48" s="585">
        <v>30</v>
      </c>
      <c r="C48" s="581" t="str">
        <f>坦克升星消耗!AG33</f>
        <v>4T3低5</v>
      </c>
      <c r="D48" s="581">
        <f>IF(坦克升星消耗!AI33=0,0,坦克升星消耗!AI33-坦克升星消耗!AI32)</f>
        <v>1500</v>
      </c>
      <c r="E48" s="585">
        <f t="shared" si="6"/>
        <v>1500</v>
      </c>
      <c r="F48" s="585">
        <f t="shared" si="9"/>
        <v>29400</v>
      </c>
      <c r="G48" s="585">
        <f t="shared" si="7"/>
        <v>20</v>
      </c>
      <c r="H48" s="585">
        <f t="shared" si="10"/>
        <v>455</v>
      </c>
      <c r="I48" s="585">
        <f t="shared" si="8"/>
        <v>1365</v>
      </c>
    </row>
    <row r="49" spans="2:9" x14ac:dyDescent="0.35">
      <c r="B49" s="585">
        <v>31</v>
      </c>
      <c r="C49" s="581" t="str">
        <f>坦克升星消耗!AG34</f>
        <v>4T3低6</v>
      </c>
      <c r="D49" s="581">
        <f>IF(坦克升星消耗!AI34=0,0,坦克升星消耗!AI34-坦克升星消耗!AI33)</f>
        <v>1500</v>
      </c>
      <c r="E49" s="585">
        <f t="shared" si="6"/>
        <v>1500</v>
      </c>
      <c r="F49" s="585">
        <f t="shared" si="9"/>
        <v>30900</v>
      </c>
      <c r="G49" s="585">
        <f t="shared" si="7"/>
        <v>20</v>
      </c>
      <c r="H49" s="585">
        <f t="shared" si="10"/>
        <v>475</v>
      </c>
      <c r="I49" s="585">
        <f t="shared" si="8"/>
        <v>1425</v>
      </c>
    </row>
    <row r="50" spans="2:9" x14ac:dyDescent="0.35">
      <c r="B50" s="585">
        <v>32</v>
      </c>
      <c r="C50" s="581" t="str">
        <f>坦克升星消耗!AG35</f>
        <v>4T3低7</v>
      </c>
      <c r="D50" s="581">
        <f>IF(坦克升星消耗!AI35=0,0,坦克升星消耗!AI35-坦克升星消耗!AI34)</f>
        <v>1500</v>
      </c>
      <c r="E50" s="585">
        <f t="shared" si="6"/>
        <v>1500</v>
      </c>
      <c r="F50" s="585">
        <f t="shared" si="9"/>
        <v>32400</v>
      </c>
      <c r="G50" s="585">
        <f t="shared" si="7"/>
        <v>20</v>
      </c>
      <c r="H50" s="585">
        <f t="shared" si="10"/>
        <v>495</v>
      </c>
      <c r="I50" s="585">
        <f t="shared" si="8"/>
        <v>1485</v>
      </c>
    </row>
    <row r="51" spans="2:9" x14ac:dyDescent="0.35">
      <c r="B51" s="585">
        <v>33</v>
      </c>
      <c r="C51" s="581" t="str">
        <f>坦克升星消耗!AG36</f>
        <v>4T3低8</v>
      </c>
      <c r="D51" s="581">
        <f>IF(坦克升星消耗!AI36=0,0,坦克升星消耗!AI36-坦克升星消耗!AI35)</f>
        <v>1500</v>
      </c>
      <c r="E51" s="585">
        <f t="shared" si="6"/>
        <v>1500</v>
      </c>
      <c r="F51" s="585">
        <f t="shared" si="9"/>
        <v>33900</v>
      </c>
      <c r="G51" s="585">
        <f t="shared" si="7"/>
        <v>20</v>
      </c>
      <c r="H51" s="585">
        <f t="shared" si="10"/>
        <v>515</v>
      </c>
      <c r="I51" s="585">
        <f t="shared" si="8"/>
        <v>1545</v>
      </c>
    </row>
    <row r="52" spans="2:9" x14ac:dyDescent="0.35">
      <c r="B52" s="585">
        <v>34</v>
      </c>
      <c r="C52" s="581" t="str">
        <f>坦克升星消耗!AG37</f>
        <v>5T3中0</v>
      </c>
      <c r="D52" s="581">
        <f>IF(坦克升星消耗!AI37=0,0,坦克升星消耗!AI37-坦克升星消耗!AI36)</f>
        <v>0</v>
      </c>
      <c r="E52" s="585">
        <f t="shared" si="6"/>
        <v>2250</v>
      </c>
      <c r="F52" s="585">
        <f t="shared" si="9"/>
        <v>36150</v>
      </c>
      <c r="G52" s="585">
        <f t="shared" si="7"/>
        <v>25</v>
      </c>
      <c r="H52" s="585">
        <f t="shared" si="10"/>
        <v>540</v>
      </c>
      <c r="I52" s="585">
        <f t="shared" si="8"/>
        <v>1620</v>
      </c>
    </row>
    <row r="53" spans="2:9" x14ac:dyDescent="0.35">
      <c r="B53" s="585">
        <v>35</v>
      </c>
      <c r="C53" s="581" t="str">
        <f>坦克升星消耗!AG38</f>
        <v>5T3中1</v>
      </c>
      <c r="D53" s="581">
        <f>IF(坦克升星消耗!AI38=0,0,坦克升星消耗!AI38-坦克升星消耗!AI37)</f>
        <v>1500</v>
      </c>
      <c r="E53" s="585">
        <f t="shared" si="6"/>
        <v>1500</v>
      </c>
      <c r="F53" s="585">
        <f t="shared" si="9"/>
        <v>37650</v>
      </c>
      <c r="G53" s="585">
        <f t="shared" si="7"/>
        <v>20</v>
      </c>
      <c r="H53" s="585">
        <f t="shared" si="10"/>
        <v>560</v>
      </c>
      <c r="I53" s="585">
        <f t="shared" si="8"/>
        <v>1680</v>
      </c>
    </row>
    <row r="54" spans="2:9" x14ac:dyDescent="0.35">
      <c r="B54" s="585">
        <v>36</v>
      </c>
      <c r="C54" s="581" t="str">
        <f>坦克升星消耗!AG39</f>
        <v>5T3中2</v>
      </c>
      <c r="D54" s="581">
        <f>IF(坦克升星消耗!AI39=0,0,坦克升星消耗!AI39-坦克升星消耗!AI38)</f>
        <v>1500</v>
      </c>
      <c r="E54" s="585">
        <f t="shared" si="6"/>
        <v>1500</v>
      </c>
      <c r="F54" s="585">
        <f t="shared" si="9"/>
        <v>39150</v>
      </c>
      <c r="G54" s="585">
        <f t="shared" si="7"/>
        <v>20</v>
      </c>
      <c r="H54" s="585">
        <f t="shared" si="10"/>
        <v>580</v>
      </c>
      <c r="I54" s="585">
        <f t="shared" si="8"/>
        <v>1740</v>
      </c>
    </row>
    <row r="55" spans="2:9" x14ac:dyDescent="0.35">
      <c r="B55" s="585">
        <v>37</v>
      </c>
      <c r="C55" s="581" t="str">
        <f>坦克升星消耗!AG40</f>
        <v>5T3中3</v>
      </c>
      <c r="D55" s="581">
        <f>IF(坦克升星消耗!AI40=0,0,坦克升星消耗!AI40-坦克升星消耗!AI39)</f>
        <v>1500</v>
      </c>
      <c r="E55" s="585">
        <f t="shared" si="6"/>
        <v>1500</v>
      </c>
      <c r="F55" s="585">
        <f t="shared" si="9"/>
        <v>40650</v>
      </c>
      <c r="G55" s="585">
        <f t="shared" si="7"/>
        <v>20</v>
      </c>
      <c r="H55" s="585">
        <f t="shared" si="10"/>
        <v>600</v>
      </c>
      <c r="I55" s="585">
        <f t="shared" si="8"/>
        <v>1800</v>
      </c>
    </row>
    <row r="56" spans="2:9" x14ac:dyDescent="0.35">
      <c r="B56" s="585">
        <v>38</v>
      </c>
      <c r="C56" s="581" t="str">
        <f>坦克升星消耗!AG41</f>
        <v>5T3中4</v>
      </c>
      <c r="D56" s="581">
        <f>IF(坦克升星消耗!AI41=0,0,坦克升星消耗!AI41-坦克升星消耗!AI40)</f>
        <v>1500</v>
      </c>
      <c r="E56" s="585">
        <f t="shared" si="6"/>
        <v>1500</v>
      </c>
      <c r="F56" s="585">
        <f t="shared" si="9"/>
        <v>42150</v>
      </c>
      <c r="G56" s="585">
        <f t="shared" si="7"/>
        <v>20</v>
      </c>
      <c r="H56" s="585">
        <f t="shared" si="10"/>
        <v>620</v>
      </c>
      <c r="I56" s="585">
        <f t="shared" si="8"/>
        <v>1860</v>
      </c>
    </row>
    <row r="57" spans="2:9" x14ac:dyDescent="0.35">
      <c r="B57" s="585">
        <v>39</v>
      </c>
      <c r="C57" s="581" t="str">
        <f>坦克升星消耗!AG42</f>
        <v>5T3中5</v>
      </c>
      <c r="D57" s="581">
        <f>IF(坦克升星消耗!AI42=0,0,坦克升星消耗!AI42-坦克升星消耗!AI41)</f>
        <v>2250</v>
      </c>
      <c r="E57" s="585">
        <f t="shared" si="6"/>
        <v>2250</v>
      </c>
      <c r="F57" s="585">
        <f t="shared" si="9"/>
        <v>44400</v>
      </c>
      <c r="G57" s="585">
        <f t="shared" si="7"/>
        <v>25</v>
      </c>
      <c r="H57" s="585">
        <f t="shared" si="10"/>
        <v>645</v>
      </c>
      <c r="I57" s="585">
        <f t="shared" si="8"/>
        <v>1935</v>
      </c>
    </row>
    <row r="58" spans="2:9" x14ac:dyDescent="0.35">
      <c r="B58" s="585">
        <v>40</v>
      </c>
      <c r="C58" s="581" t="str">
        <f>坦克升星消耗!AG43</f>
        <v>5T3中6</v>
      </c>
      <c r="D58" s="581">
        <f>IF(坦克升星消耗!AI43=0,0,坦克升星消耗!AI43-坦克升星消耗!AI42)</f>
        <v>2250</v>
      </c>
      <c r="E58" s="585">
        <f t="shared" si="6"/>
        <v>2250</v>
      </c>
      <c r="F58" s="585">
        <f t="shared" si="9"/>
        <v>46650</v>
      </c>
      <c r="G58" s="585">
        <f t="shared" si="7"/>
        <v>25</v>
      </c>
      <c r="H58" s="585">
        <f t="shared" si="10"/>
        <v>670</v>
      </c>
      <c r="I58" s="585">
        <f t="shared" si="8"/>
        <v>2010</v>
      </c>
    </row>
    <row r="59" spans="2:9" x14ac:dyDescent="0.35">
      <c r="B59" s="585">
        <v>41</v>
      </c>
      <c r="C59" s="581" t="str">
        <f>坦克升星消耗!AG44</f>
        <v>5T3中7</v>
      </c>
      <c r="D59" s="581">
        <f>IF(坦克升星消耗!AI44=0,0,坦克升星消耗!AI44-坦克升星消耗!AI43)</f>
        <v>2250</v>
      </c>
      <c r="E59" s="585">
        <f t="shared" si="6"/>
        <v>2250</v>
      </c>
      <c r="F59" s="585">
        <f t="shared" si="9"/>
        <v>48900</v>
      </c>
      <c r="G59" s="585">
        <f t="shared" si="7"/>
        <v>25</v>
      </c>
      <c r="H59" s="585">
        <f t="shared" si="10"/>
        <v>695</v>
      </c>
      <c r="I59" s="585">
        <f t="shared" si="8"/>
        <v>2085</v>
      </c>
    </row>
    <row r="60" spans="2:9" x14ac:dyDescent="0.35">
      <c r="B60" s="585">
        <v>42</v>
      </c>
      <c r="C60" s="581" t="str">
        <f>坦克升星消耗!AG45</f>
        <v>5T3中8</v>
      </c>
      <c r="D60" s="581">
        <f>IF(坦克升星消耗!AI45=0,0,坦克升星消耗!AI45-坦克升星消耗!AI44)</f>
        <v>2250</v>
      </c>
      <c r="E60" s="585">
        <f t="shared" si="6"/>
        <v>2250</v>
      </c>
      <c r="F60" s="585">
        <f t="shared" si="9"/>
        <v>51150</v>
      </c>
      <c r="G60" s="585">
        <f t="shared" si="7"/>
        <v>25</v>
      </c>
      <c r="H60" s="585">
        <f t="shared" si="10"/>
        <v>720</v>
      </c>
      <c r="I60" s="585">
        <f t="shared" si="8"/>
        <v>2160</v>
      </c>
    </row>
    <row r="61" spans="2:9" x14ac:dyDescent="0.35">
      <c r="B61" s="585">
        <v>43</v>
      </c>
      <c r="C61" s="581" t="str">
        <f>坦克升星消耗!AG46</f>
        <v>5T3中9</v>
      </c>
      <c r="D61" s="581">
        <f>IF(坦克升星消耗!AI46=0,0,坦克升星消耗!AI46-坦克升星消耗!AI45)</f>
        <v>2250</v>
      </c>
      <c r="E61" s="585">
        <f t="shared" si="6"/>
        <v>2250</v>
      </c>
      <c r="F61" s="585">
        <f t="shared" si="9"/>
        <v>53400</v>
      </c>
      <c r="G61" s="585">
        <f t="shared" si="7"/>
        <v>25</v>
      </c>
      <c r="H61" s="585">
        <f t="shared" si="10"/>
        <v>745</v>
      </c>
      <c r="I61" s="585">
        <f t="shared" si="8"/>
        <v>2235</v>
      </c>
    </row>
    <row r="62" spans="2:9" x14ac:dyDescent="0.35">
      <c r="B62" s="585">
        <v>44</v>
      </c>
      <c r="C62" s="581" t="str">
        <f>坦克升星消耗!AG47</f>
        <v>5T3中10</v>
      </c>
      <c r="D62" s="581">
        <f>IF(坦克升星消耗!AI47=0,0,坦克升星消耗!AI47-坦克升星消耗!AI46)</f>
        <v>3000</v>
      </c>
      <c r="E62" s="585">
        <f t="shared" si="6"/>
        <v>3000</v>
      </c>
      <c r="F62" s="585">
        <f t="shared" si="9"/>
        <v>56400</v>
      </c>
      <c r="G62" s="585">
        <f t="shared" si="7"/>
        <v>25</v>
      </c>
      <c r="H62" s="585">
        <f t="shared" si="10"/>
        <v>770</v>
      </c>
      <c r="I62" s="585">
        <f t="shared" si="8"/>
        <v>2310</v>
      </c>
    </row>
    <row r="63" spans="2:9" x14ac:dyDescent="0.35">
      <c r="B63" s="585">
        <v>45</v>
      </c>
      <c r="C63" s="581" t="str">
        <f>坦克升星消耗!AG48</f>
        <v>5T3中11</v>
      </c>
      <c r="D63" s="581">
        <f>IF(坦克升星消耗!AI48=0,0,坦克升星消耗!AI48-坦克升星消耗!AI47)</f>
        <v>3000</v>
      </c>
      <c r="E63" s="585">
        <f t="shared" si="6"/>
        <v>3000</v>
      </c>
      <c r="F63" s="585">
        <f t="shared" si="9"/>
        <v>59400</v>
      </c>
      <c r="G63" s="585">
        <f t="shared" si="7"/>
        <v>25</v>
      </c>
      <c r="H63" s="585">
        <f t="shared" si="10"/>
        <v>795</v>
      </c>
      <c r="I63" s="585">
        <f t="shared" si="8"/>
        <v>2385</v>
      </c>
    </row>
    <row r="64" spans="2:9" x14ac:dyDescent="0.35">
      <c r="B64" s="585">
        <v>46</v>
      </c>
      <c r="C64" s="581" t="str">
        <f>坦克升星消耗!AG49</f>
        <v>5T3中12</v>
      </c>
      <c r="D64" s="581">
        <f>IF(坦克升星消耗!AI49=0,0,坦克升星消耗!AI49-坦克升星消耗!AI48)</f>
        <v>3000</v>
      </c>
      <c r="E64" s="585">
        <f t="shared" si="6"/>
        <v>3000</v>
      </c>
      <c r="F64" s="585">
        <f t="shared" si="9"/>
        <v>62400</v>
      </c>
      <c r="G64" s="585">
        <f t="shared" si="7"/>
        <v>25</v>
      </c>
      <c r="H64" s="585">
        <f t="shared" si="10"/>
        <v>820</v>
      </c>
      <c r="I64" s="585">
        <f t="shared" si="8"/>
        <v>2460</v>
      </c>
    </row>
    <row r="65" spans="2:9" x14ac:dyDescent="0.35">
      <c r="B65" s="585">
        <v>47</v>
      </c>
      <c r="C65" s="581" t="str">
        <f>坦克升星消耗!AG50</f>
        <v>5T3中13</v>
      </c>
      <c r="D65" s="581">
        <f>IF(坦克升星消耗!AI50=0,0,坦克升星消耗!AI50-坦克升星消耗!AI49)</f>
        <v>3000</v>
      </c>
      <c r="E65" s="585">
        <f t="shared" si="6"/>
        <v>3000</v>
      </c>
      <c r="F65" s="585">
        <f t="shared" si="9"/>
        <v>65400</v>
      </c>
      <c r="G65" s="585">
        <f t="shared" si="7"/>
        <v>25</v>
      </c>
      <c r="H65" s="585">
        <f t="shared" si="10"/>
        <v>845</v>
      </c>
      <c r="I65" s="585">
        <f t="shared" si="8"/>
        <v>2535</v>
      </c>
    </row>
    <row r="66" spans="2:9" x14ac:dyDescent="0.35">
      <c r="B66" s="585">
        <v>48</v>
      </c>
      <c r="C66" s="581" t="str">
        <f>坦克升星消耗!AG51</f>
        <v>5T3中14</v>
      </c>
      <c r="D66" s="581">
        <f>IF(坦克升星消耗!AI51=0,0,坦克升星消耗!AI51-坦克升星消耗!AI50)</f>
        <v>3000</v>
      </c>
      <c r="E66" s="585">
        <f t="shared" si="6"/>
        <v>3000</v>
      </c>
      <c r="F66" s="585">
        <f t="shared" si="9"/>
        <v>68400</v>
      </c>
      <c r="G66" s="585">
        <f t="shared" si="7"/>
        <v>25</v>
      </c>
      <c r="H66" s="585">
        <f t="shared" si="10"/>
        <v>870</v>
      </c>
      <c r="I66" s="585">
        <f t="shared" si="8"/>
        <v>2610</v>
      </c>
    </row>
    <row r="67" spans="2:9" x14ac:dyDescent="0.35">
      <c r="B67" s="585">
        <v>49</v>
      </c>
      <c r="C67" s="581" t="str">
        <f>坦克升星消耗!AG52</f>
        <v>6T3高0</v>
      </c>
      <c r="D67" s="581">
        <f>IF(坦克升星消耗!AI52=0,0,坦克升星消耗!AI52-坦克升星消耗!AI51)</f>
        <v>0</v>
      </c>
      <c r="E67" s="585">
        <f t="shared" si="6"/>
        <v>2850</v>
      </c>
      <c r="F67" s="585">
        <f t="shared" si="9"/>
        <v>71250</v>
      </c>
      <c r="G67" s="585">
        <f t="shared" si="7"/>
        <v>25</v>
      </c>
      <c r="H67" s="585">
        <f t="shared" si="10"/>
        <v>895</v>
      </c>
      <c r="I67" s="585">
        <f t="shared" si="8"/>
        <v>2685</v>
      </c>
    </row>
    <row r="68" spans="2:9" x14ac:dyDescent="0.35">
      <c r="B68" s="585">
        <v>50</v>
      </c>
      <c r="C68" s="581" t="str">
        <f>坦克升星消耗!AG53</f>
        <v>6T3高1</v>
      </c>
      <c r="D68" s="581">
        <f>IF(坦克升星消耗!AI53=0,0,坦克升星消耗!AI53-坦克升星消耗!AI52)</f>
        <v>1900</v>
      </c>
      <c r="E68" s="585">
        <f t="shared" si="6"/>
        <v>1900</v>
      </c>
      <c r="F68" s="585">
        <f t="shared" si="9"/>
        <v>73150</v>
      </c>
      <c r="G68" s="585">
        <f t="shared" si="7"/>
        <v>20</v>
      </c>
      <c r="H68" s="585">
        <f t="shared" si="10"/>
        <v>915</v>
      </c>
      <c r="I68" s="585">
        <f t="shared" si="8"/>
        <v>2745</v>
      </c>
    </row>
    <row r="69" spans="2:9" x14ac:dyDescent="0.35">
      <c r="B69" s="585">
        <v>51</v>
      </c>
      <c r="C69" s="581" t="str">
        <f>坦克升星消耗!AG54</f>
        <v>6T3高2</v>
      </c>
      <c r="D69" s="581">
        <f>IF(坦克升星消耗!AI54=0,0,坦克升星消耗!AI54-坦克升星消耗!AI53)</f>
        <v>1900</v>
      </c>
      <c r="E69" s="585">
        <f t="shared" si="6"/>
        <v>1900</v>
      </c>
      <c r="F69" s="585">
        <f t="shared" si="9"/>
        <v>75050</v>
      </c>
      <c r="G69" s="585">
        <f t="shared" si="7"/>
        <v>20</v>
      </c>
      <c r="H69" s="585">
        <f t="shared" si="10"/>
        <v>935</v>
      </c>
      <c r="I69" s="585">
        <f t="shared" si="8"/>
        <v>2805</v>
      </c>
    </row>
    <row r="70" spans="2:9" x14ac:dyDescent="0.35">
      <c r="B70" s="585">
        <v>52</v>
      </c>
      <c r="C70" s="581" t="str">
        <f>坦克升星消耗!AG55</f>
        <v>6T3高3</v>
      </c>
      <c r="D70" s="581">
        <f>IF(坦克升星消耗!AI55=0,0,坦克升星消耗!AI55-坦克升星消耗!AI54)</f>
        <v>1900</v>
      </c>
      <c r="E70" s="585">
        <f t="shared" si="6"/>
        <v>1900</v>
      </c>
      <c r="F70" s="585">
        <f t="shared" si="9"/>
        <v>76950</v>
      </c>
      <c r="G70" s="585">
        <f t="shared" si="7"/>
        <v>20</v>
      </c>
      <c r="H70" s="585">
        <f t="shared" si="10"/>
        <v>955</v>
      </c>
      <c r="I70" s="585">
        <f t="shared" si="8"/>
        <v>2865</v>
      </c>
    </row>
    <row r="71" spans="2:9" x14ac:dyDescent="0.35">
      <c r="B71" s="585">
        <v>53</v>
      </c>
      <c r="C71" s="581" t="str">
        <f>坦克升星消耗!AG56</f>
        <v>6T3高4</v>
      </c>
      <c r="D71" s="581">
        <f>IF(坦克升星消耗!AI56=0,0,坦克升星消耗!AI56-坦克升星消耗!AI55)</f>
        <v>1900</v>
      </c>
      <c r="E71" s="585">
        <f t="shared" si="6"/>
        <v>1900</v>
      </c>
      <c r="F71" s="585">
        <f t="shared" si="9"/>
        <v>78850</v>
      </c>
      <c r="G71" s="585">
        <f t="shared" si="7"/>
        <v>20</v>
      </c>
      <c r="H71" s="585">
        <f t="shared" si="10"/>
        <v>975</v>
      </c>
      <c r="I71" s="585">
        <f t="shared" si="8"/>
        <v>2925</v>
      </c>
    </row>
    <row r="72" spans="2:9" x14ac:dyDescent="0.35">
      <c r="B72" s="585">
        <v>54</v>
      </c>
      <c r="C72" s="581" t="str">
        <f>坦克升星消耗!AG57</f>
        <v>6T3高5</v>
      </c>
      <c r="D72" s="581">
        <f>IF(坦克升星消耗!AI57=0,0,坦克升星消耗!AI57-坦克升星消耗!AI56)</f>
        <v>2850</v>
      </c>
      <c r="E72" s="585">
        <f t="shared" si="6"/>
        <v>2850</v>
      </c>
      <c r="F72" s="585">
        <f t="shared" si="9"/>
        <v>81700</v>
      </c>
      <c r="G72" s="585">
        <f t="shared" si="7"/>
        <v>25</v>
      </c>
      <c r="H72" s="585">
        <f t="shared" si="10"/>
        <v>1000</v>
      </c>
      <c r="I72" s="585">
        <f t="shared" si="8"/>
        <v>3000</v>
      </c>
    </row>
    <row r="73" spans="2:9" x14ac:dyDescent="0.35">
      <c r="B73" s="585">
        <v>55</v>
      </c>
      <c r="C73" s="581" t="str">
        <f>坦克升星消耗!AG58</f>
        <v>6T3高6</v>
      </c>
      <c r="D73" s="581">
        <f>IF(坦克升星消耗!AI58=0,0,坦克升星消耗!AI58-坦克升星消耗!AI57)</f>
        <v>2850</v>
      </c>
      <c r="E73" s="585">
        <f t="shared" si="6"/>
        <v>2850</v>
      </c>
      <c r="F73" s="585">
        <f t="shared" si="9"/>
        <v>84550</v>
      </c>
      <c r="G73" s="585">
        <f t="shared" si="7"/>
        <v>25</v>
      </c>
      <c r="H73" s="585">
        <f t="shared" si="10"/>
        <v>1025</v>
      </c>
      <c r="I73" s="585">
        <f t="shared" si="8"/>
        <v>3075</v>
      </c>
    </row>
    <row r="74" spans="2:9" x14ac:dyDescent="0.35">
      <c r="B74" s="585">
        <v>56</v>
      </c>
      <c r="C74" s="581" t="str">
        <f>坦克升星消耗!AG59</f>
        <v>6T3高7</v>
      </c>
      <c r="D74" s="581">
        <f>IF(坦克升星消耗!AI59=0,0,坦克升星消耗!AI59-坦克升星消耗!AI58)</f>
        <v>2850</v>
      </c>
      <c r="E74" s="585">
        <f t="shared" si="6"/>
        <v>2850</v>
      </c>
      <c r="F74" s="585">
        <f t="shared" si="9"/>
        <v>87400</v>
      </c>
      <c r="G74" s="585">
        <f t="shared" si="7"/>
        <v>25</v>
      </c>
      <c r="H74" s="585">
        <f t="shared" si="10"/>
        <v>1050</v>
      </c>
      <c r="I74" s="585">
        <f t="shared" si="8"/>
        <v>3150</v>
      </c>
    </row>
    <row r="75" spans="2:9" x14ac:dyDescent="0.35">
      <c r="B75" s="585">
        <v>57</v>
      </c>
      <c r="C75" s="581" t="str">
        <f>坦克升星消耗!AG60</f>
        <v>6T3高8</v>
      </c>
      <c r="D75" s="581">
        <f>IF(坦克升星消耗!AI60=0,0,坦克升星消耗!AI60-坦克升星消耗!AI59)</f>
        <v>2850</v>
      </c>
      <c r="E75" s="585">
        <f t="shared" si="6"/>
        <v>2850</v>
      </c>
      <c r="F75" s="585">
        <f t="shared" si="9"/>
        <v>90250</v>
      </c>
      <c r="G75" s="585">
        <f t="shared" si="7"/>
        <v>25</v>
      </c>
      <c r="H75" s="585">
        <f t="shared" si="10"/>
        <v>1075</v>
      </c>
      <c r="I75" s="585">
        <f t="shared" si="8"/>
        <v>3225</v>
      </c>
    </row>
    <row r="76" spans="2:9" x14ac:dyDescent="0.35">
      <c r="B76" s="585">
        <v>58</v>
      </c>
      <c r="C76" s="581" t="str">
        <f>坦克升星消耗!AG61</f>
        <v>6T3高9</v>
      </c>
      <c r="D76" s="581">
        <f>IF(坦克升星消耗!AI61=0,0,坦克升星消耗!AI61-坦克升星消耗!AI60)</f>
        <v>2850</v>
      </c>
      <c r="E76" s="585">
        <f t="shared" si="6"/>
        <v>2850</v>
      </c>
      <c r="F76" s="585">
        <f t="shared" si="9"/>
        <v>93100</v>
      </c>
      <c r="G76" s="585">
        <f t="shared" si="7"/>
        <v>25</v>
      </c>
      <c r="H76" s="585">
        <f t="shared" si="10"/>
        <v>1100</v>
      </c>
      <c r="I76" s="585">
        <f t="shared" si="8"/>
        <v>3300</v>
      </c>
    </row>
    <row r="77" spans="2:9" x14ac:dyDescent="0.35">
      <c r="B77" s="585">
        <v>59</v>
      </c>
      <c r="C77" s="581" t="str">
        <f>坦克升星消耗!AG62</f>
        <v>6T3高10</v>
      </c>
      <c r="D77" s="581">
        <f>IF(坦克升星消耗!AI62=0,0,坦克升星消耗!AI62-坦克升星消耗!AI61)</f>
        <v>3325</v>
      </c>
      <c r="E77" s="585">
        <f t="shared" si="6"/>
        <v>3325</v>
      </c>
      <c r="F77" s="585">
        <f t="shared" si="9"/>
        <v>96425</v>
      </c>
      <c r="G77" s="585">
        <f t="shared" si="7"/>
        <v>30</v>
      </c>
      <c r="H77" s="585">
        <f t="shared" si="10"/>
        <v>1130</v>
      </c>
      <c r="I77" s="585">
        <f t="shared" si="8"/>
        <v>3390</v>
      </c>
    </row>
    <row r="78" spans="2:9" x14ac:dyDescent="0.35">
      <c r="B78" s="585">
        <v>60</v>
      </c>
      <c r="C78" s="581" t="str">
        <f>坦克升星消耗!AG63</f>
        <v>6T3高11</v>
      </c>
      <c r="D78" s="581">
        <f>IF(坦克升星消耗!AI63=0,0,坦克升星消耗!AI63-坦克升星消耗!AI62)</f>
        <v>3325</v>
      </c>
      <c r="E78" s="585">
        <f t="shared" si="6"/>
        <v>3325</v>
      </c>
      <c r="F78" s="585">
        <f t="shared" si="9"/>
        <v>99750</v>
      </c>
      <c r="G78" s="585">
        <f t="shared" si="7"/>
        <v>30</v>
      </c>
      <c r="H78" s="585">
        <f t="shared" si="10"/>
        <v>1160</v>
      </c>
      <c r="I78" s="585">
        <f t="shared" si="8"/>
        <v>3480</v>
      </c>
    </row>
    <row r="79" spans="2:9" x14ac:dyDescent="0.35">
      <c r="B79" s="585">
        <v>61</v>
      </c>
      <c r="C79" s="581" t="str">
        <f>坦克升星消耗!AG64</f>
        <v>6T3高12</v>
      </c>
      <c r="D79" s="581">
        <f>IF(坦克升星消耗!AI64=0,0,坦克升星消耗!AI64-坦克升星消耗!AI63)</f>
        <v>3325</v>
      </c>
      <c r="E79" s="585">
        <f t="shared" si="6"/>
        <v>3325</v>
      </c>
      <c r="F79" s="585">
        <f t="shared" si="9"/>
        <v>103075</v>
      </c>
      <c r="G79" s="585">
        <f t="shared" si="7"/>
        <v>30</v>
      </c>
      <c r="H79" s="585">
        <f t="shared" si="10"/>
        <v>1190</v>
      </c>
      <c r="I79" s="585">
        <f t="shared" si="8"/>
        <v>3570</v>
      </c>
    </row>
    <row r="80" spans="2:9" x14ac:dyDescent="0.35">
      <c r="B80" s="585">
        <v>62</v>
      </c>
      <c r="C80" s="581" t="str">
        <f>坦克升星消耗!AG65</f>
        <v>6T3高13</v>
      </c>
      <c r="D80" s="581">
        <f>IF(坦克升星消耗!AI65=0,0,坦克升星消耗!AI65-坦克升星消耗!AI64)</f>
        <v>3325</v>
      </c>
      <c r="E80" s="585">
        <f t="shared" si="6"/>
        <v>3325</v>
      </c>
      <c r="F80" s="585">
        <f t="shared" si="9"/>
        <v>106400</v>
      </c>
      <c r="G80" s="585">
        <f t="shared" si="7"/>
        <v>30</v>
      </c>
      <c r="H80" s="585">
        <f t="shared" si="10"/>
        <v>1220</v>
      </c>
      <c r="I80" s="585">
        <f t="shared" si="8"/>
        <v>3660</v>
      </c>
    </row>
    <row r="81" spans="2:9" x14ac:dyDescent="0.35">
      <c r="B81" s="585">
        <v>63</v>
      </c>
      <c r="C81" s="581" t="str">
        <f>坦克升星消耗!AG66</f>
        <v>6T3高14</v>
      </c>
      <c r="D81" s="581">
        <f>IF(坦克升星消耗!AI66=0,0,坦克升星消耗!AI66-坦克升星消耗!AI65)</f>
        <v>3325</v>
      </c>
      <c r="E81" s="585">
        <f t="shared" si="6"/>
        <v>3325</v>
      </c>
      <c r="F81" s="585">
        <f t="shared" si="9"/>
        <v>109725</v>
      </c>
      <c r="G81" s="585">
        <f t="shared" si="7"/>
        <v>30</v>
      </c>
      <c r="H81" s="585">
        <f t="shared" si="10"/>
        <v>1250</v>
      </c>
      <c r="I81" s="585">
        <f t="shared" si="8"/>
        <v>3750</v>
      </c>
    </row>
    <row r="82" spans="2:9" x14ac:dyDescent="0.35">
      <c r="B82" s="585">
        <v>64</v>
      </c>
      <c r="C82" s="581" t="str">
        <f>坦克升星消耗!AG67</f>
        <v>7T4低0</v>
      </c>
      <c r="D82" s="581">
        <f>IF(坦克升星消耗!AI67=0,0,坦克升星消耗!AI67-坦克升星消耗!AI66)</f>
        <v>0</v>
      </c>
      <c r="E82" s="585">
        <f t="shared" si="6"/>
        <v>5000</v>
      </c>
      <c r="F82" s="585">
        <f t="shared" si="9"/>
        <v>114725</v>
      </c>
      <c r="G82" s="585">
        <f t="shared" si="7"/>
        <v>35</v>
      </c>
      <c r="H82" s="585">
        <f t="shared" si="10"/>
        <v>1285</v>
      </c>
      <c r="I82" s="585">
        <f t="shared" si="8"/>
        <v>3855</v>
      </c>
    </row>
    <row r="83" spans="2:9" x14ac:dyDescent="0.35">
      <c r="B83" s="585">
        <v>65</v>
      </c>
      <c r="C83" s="581" t="str">
        <f>坦克升星消耗!AG68</f>
        <v>7T4低1</v>
      </c>
      <c r="D83" s="581">
        <f>IF(坦克升星消耗!AI68=0,0,坦克升星消耗!AI68-坦克升星消耗!AI67)</f>
        <v>2000</v>
      </c>
      <c r="E83" s="585">
        <f t="shared" si="6"/>
        <v>2000</v>
      </c>
      <c r="F83" s="585">
        <f t="shared" si="9"/>
        <v>116725</v>
      </c>
      <c r="G83" s="585">
        <f t="shared" si="7"/>
        <v>20</v>
      </c>
      <c r="H83" s="585">
        <f t="shared" si="10"/>
        <v>1305</v>
      </c>
      <c r="I83" s="585">
        <f t="shared" si="8"/>
        <v>3915</v>
      </c>
    </row>
    <row r="84" spans="2:9" x14ac:dyDescent="0.35">
      <c r="B84" s="585">
        <v>66</v>
      </c>
      <c r="C84" s="581" t="str">
        <f>坦克升星消耗!AG69</f>
        <v>7T4低2</v>
      </c>
      <c r="D84" s="581">
        <f>IF(坦克升星消耗!AI69=0,0,坦克升星消耗!AI69-坦克升星消耗!AI68)</f>
        <v>2000</v>
      </c>
      <c r="E84" s="585">
        <f t="shared" ref="E84:E96" si="11">IF(D84=0,VLOOKUP(LEFT(RIGHT(C84,4),3),$B$3:$C$15,2,FALSE),D84)</f>
        <v>2000</v>
      </c>
      <c r="F84" s="585">
        <f t="shared" si="9"/>
        <v>118725</v>
      </c>
      <c r="G84" s="585">
        <f t="shared" ref="G84:G147" si="12">ROUND(POWER(E84,0.5)/10,0)*5</f>
        <v>20</v>
      </c>
      <c r="H84" s="585">
        <f t="shared" si="10"/>
        <v>1325</v>
      </c>
      <c r="I84" s="585">
        <f t="shared" ref="I84:I96" si="13">H84*3</f>
        <v>3975</v>
      </c>
    </row>
    <row r="85" spans="2:9" x14ac:dyDescent="0.35">
      <c r="B85" s="585">
        <v>67</v>
      </c>
      <c r="C85" s="581" t="str">
        <f>坦克升星消耗!AG70</f>
        <v>7T4低3</v>
      </c>
      <c r="D85" s="581">
        <f>IF(坦克升星消耗!AI70=0,0,坦克升星消耗!AI70-坦克升星消耗!AI69)</f>
        <v>2000</v>
      </c>
      <c r="E85" s="585">
        <f t="shared" si="11"/>
        <v>2000</v>
      </c>
      <c r="F85" s="585">
        <f t="shared" ref="F85:F96" si="14">E85+F84</f>
        <v>120725</v>
      </c>
      <c r="G85" s="585">
        <f t="shared" si="12"/>
        <v>20</v>
      </c>
      <c r="H85" s="585">
        <f t="shared" ref="H85:H96" si="15">G85+H84</f>
        <v>1345</v>
      </c>
      <c r="I85" s="585">
        <f t="shared" si="13"/>
        <v>4035</v>
      </c>
    </row>
    <row r="86" spans="2:9" x14ac:dyDescent="0.35">
      <c r="B86" s="585">
        <v>68</v>
      </c>
      <c r="C86" s="581" t="str">
        <f>坦克升星消耗!AG71</f>
        <v>7T4低4</v>
      </c>
      <c r="D86" s="581">
        <f>IF(坦克升星消耗!AI71=0,0,坦克升星消耗!AI71-坦克升星消耗!AI70)</f>
        <v>2000</v>
      </c>
      <c r="E86" s="585">
        <f t="shared" si="11"/>
        <v>2000</v>
      </c>
      <c r="F86" s="585">
        <f t="shared" si="14"/>
        <v>122725</v>
      </c>
      <c r="G86" s="585">
        <f t="shared" si="12"/>
        <v>20</v>
      </c>
      <c r="H86" s="585">
        <f t="shared" si="15"/>
        <v>1365</v>
      </c>
      <c r="I86" s="585">
        <f t="shared" si="13"/>
        <v>4095</v>
      </c>
    </row>
    <row r="87" spans="2:9" x14ac:dyDescent="0.35">
      <c r="B87" s="585">
        <v>69</v>
      </c>
      <c r="C87" s="581" t="str">
        <f>坦克升星消耗!AG72</f>
        <v>7T4低5</v>
      </c>
      <c r="D87" s="581">
        <f>IF(坦克升星消耗!AI72=0,0,坦克升星消耗!AI72-坦克升星消耗!AI71)</f>
        <v>2000</v>
      </c>
      <c r="E87" s="585">
        <f t="shared" si="11"/>
        <v>2000</v>
      </c>
      <c r="F87" s="585">
        <f t="shared" si="14"/>
        <v>124725</v>
      </c>
      <c r="G87" s="585">
        <f t="shared" si="12"/>
        <v>20</v>
      </c>
      <c r="H87" s="585">
        <f t="shared" si="15"/>
        <v>1385</v>
      </c>
      <c r="I87" s="585">
        <f t="shared" si="13"/>
        <v>4155</v>
      </c>
    </row>
    <row r="88" spans="2:9" x14ac:dyDescent="0.35">
      <c r="B88" s="585">
        <v>70</v>
      </c>
      <c r="C88" s="581" t="str">
        <f>坦克升星消耗!AG73</f>
        <v>7T4低6</v>
      </c>
      <c r="D88" s="581">
        <f>IF(坦克升星消耗!AI73=0,0,坦克升星消耗!AI73-坦克升星消耗!AI72)</f>
        <v>2500</v>
      </c>
      <c r="E88" s="585">
        <f t="shared" si="11"/>
        <v>2500</v>
      </c>
      <c r="F88" s="585">
        <f t="shared" si="14"/>
        <v>127225</v>
      </c>
      <c r="G88" s="585">
        <f t="shared" si="12"/>
        <v>25</v>
      </c>
      <c r="H88" s="585">
        <f t="shared" si="15"/>
        <v>1410</v>
      </c>
      <c r="I88" s="585">
        <f t="shared" si="13"/>
        <v>4230</v>
      </c>
    </row>
    <row r="89" spans="2:9" x14ac:dyDescent="0.35">
      <c r="B89" s="585">
        <v>71</v>
      </c>
      <c r="C89" s="581" t="str">
        <f>坦克升星消耗!AG74</f>
        <v>7T4低7</v>
      </c>
      <c r="D89" s="581">
        <f>IF(坦克升星消耗!AI74=0,0,坦克升星消耗!AI74-坦克升星消耗!AI73)</f>
        <v>2500</v>
      </c>
      <c r="E89" s="585">
        <f t="shared" si="11"/>
        <v>2500</v>
      </c>
      <c r="F89" s="585">
        <f t="shared" si="14"/>
        <v>129725</v>
      </c>
      <c r="G89" s="585">
        <f t="shared" si="12"/>
        <v>25</v>
      </c>
      <c r="H89" s="585">
        <f t="shared" si="15"/>
        <v>1435</v>
      </c>
      <c r="I89" s="585">
        <f t="shared" si="13"/>
        <v>4305</v>
      </c>
    </row>
    <row r="90" spans="2:9" x14ac:dyDescent="0.35">
      <c r="B90" s="585">
        <v>72</v>
      </c>
      <c r="C90" s="581" t="str">
        <f>坦克升星消耗!AG75</f>
        <v>7T4低8</v>
      </c>
      <c r="D90" s="581">
        <f>IF(坦克升星消耗!AI75=0,0,坦克升星消耗!AI75-坦克升星消耗!AI74)</f>
        <v>2500</v>
      </c>
      <c r="E90" s="585">
        <f t="shared" si="11"/>
        <v>2500</v>
      </c>
      <c r="F90" s="585">
        <f t="shared" si="14"/>
        <v>132225</v>
      </c>
      <c r="G90" s="585">
        <f t="shared" si="12"/>
        <v>25</v>
      </c>
      <c r="H90" s="585">
        <f t="shared" si="15"/>
        <v>1460</v>
      </c>
      <c r="I90" s="585">
        <f t="shared" si="13"/>
        <v>4380</v>
      </c>
    </row>
    <row r="91" spans="2:9" x14ac:dyDescent="0.35">
      <c r="B91" s="585">
        <v>73</v>
      </c>
      <c r="C91" s="581" t="str">
        <f>坦克升星消耗!AG76</f>
        <v>7T4低9</v>
      </c>
      <c r="D91" s="581">
        <f>IF(坦克升星消耗!AI76=0,0,坦克升星消耗!AI76-坦克升星消耗!AI75)</f>
        <v>2500</v>
      </c>
      <c r="E91" s="585">
        <f t="shared" si="11"/>
        <v>2500</v>
      </c>
      <c r="F91" s="585">
        <f t="shared" si="14"/>
        <v>134725</v>
      </c>
      <c r="G91" s="585">
        <f t="shared" si="12"/>
        <v>25</v>
      </c>
      <c r="H91" s="585">
        <f t="shared" si="15"/>
        <v>1485</v>
      </c>
      <c r="I91" s="585">
        <f t="shared" si="13"/>
        <v>4455</v>
      </c>
    </row>
    <row r="92" spans="2:9" x14ac:dyDescent="0.35">
      <c r="B92" s="585">
        <v>74</v>
      </c>
      <c r="C92" s="581" t="str">
        <f>坦克升星消耗!AG77</f>
        <v>7T4低10</v>
      </c>
      <c r="D92" s="581">
        <f>IF(坦克升星消耗!AI77=0,0,坦克升星消耗!AI77-坦克升星消耗!AI76)</f>
        <v>2500</v>
      </c>
      <c r="E92" s="585">
        <f t="shared" si="11"/>
        <v>2500</v>
      </c>
      <c r="F92" s="585">
        <f t="shared" si="14"/>
        <v>137225</v>
      </c>
      <c r="G92" s="585">
        <f t="shared" si="12"/>
        <v>25</v>
      </c>
      <c r="H92" s="585">
        <f t="shared" si="15"/>
        <v>1510</v>
      </c>
      <c r="I92" s="585">
        <f t="shared" si="13"/>
        <v>4530</v>
      </c>
    </row>
    <row r="93" spans="2:9" x14ac:dyDescent="0.35">
      <c r="B93" s="585">
        <v>75</v>
      </c>
      <c r="C93" s="581" t="str">
        <f>坦克升星消耗!AG78</f>
        <v>8T4中0</v>
      </c>
      <c r="D93" s="581">
        <f>IF(坦克升星消耗!AI78=0,0,坦克升星消耗!AI78-坦克升星消耗!AI77)</f>
        <v>0</v>
      </c>
      <c r="E93" s="585">
        <f t="shared" si="11"/>
        <v>6250</v>
      </c>
      <c r="F93" s="585">
        <f t="shared" si="14"/>
        <v>143475</v>
      </c>
      <c r="G93" s="585">
        <f t="shared" si="12"/>
        <v>40</v>
      </c>
      <c r="H93" s="585">
        <f t="shared" si="15"/>
        <v>1550</v>
      </c>
      <c r="I93" s="585">
        <f t="shared" si="13"/>
        <v>4650</v>
      </c>
    </row>
    <row r="94" spans="2:9" x14ac:dyDescent="0.35">
      <c r="B94" s="585">
        <v>76</v>
      </c>
      <c r="C94" s="581" t="str">
        <f>坦克升星消耗!AG79</f>
        <v>8T4中1</v>
      </c>
      <c r="D94" s="581">
        <f>IF(坦克升星消耗!AI79=0,0,坦克升星消耗!AI79-坦克升星消耗!AI78)</f>
        <v>2500</v>
      </c>
      <c r="E94" s="585">
        <f t="shared" si="11"/>
        <v>2500</v>
      </c>
      <c r="F94" s="585">
        <f t="shared" si="14"/>
        <v>145975</v>
      </c>
      <c r="G94" s="585">
        <f t="shared" si="12"/>
        <v>25</v>
      </c>
      <c r="H94" s="585">
        <f t="shared" si="15"/>
        <v>1575</v>
      </c>
      <c r="I94" s="585">
        <f t="shared" si="13"/>
        <v>4725</v>
      </c>
    </row>
    <row r="95" spans="2:9" x14ac:dyDescent="0.35">
      <c r="B95" s="585">
        <v>77</v>
      </c>
      <c r="C95" s="581" t="str">
        <f>坦克升星消耗!AG80</f>
        <v>8T4中2</v>
      </c>
      <c r="D95" s="581">
        <f>IF(坦克升星消耗!AI80=0,0,坦克升星消耗!AI80-坦克升星消耗!AI79)</f>
        <v>2500</v>
      </c>
      <c r="E95" s="585">
        <f t="shared" si="11"/>
        <v>2500</v>
      </c>
      <c r="F95" s="585">
        <f t="shared" si="14"/>
        <v>148475</v>
      </c>
      <c r="G95" s="585">
        <f t="shared" si="12"/>
        <v>25</v>
      </c>
      <c r="H95" s="585">
        <f t="shared" si="15"/>
        <v>1600</v>
      </c>
      <c r="I95" s="585">
        <f t="shared" si="13"/>
        <v>4800</v>
      </c>
    </row>
    <row r="96" spans="2:9" x14ac:dyDescent="0.35">
      <c r="B96" s="585">
        <v>78</v>
      </c>
      <c r="C96" s="581" t="str">
        <f>坦克升星消耗!AG81</f>
        <v>8T4中3</v>
      </c>
      <c r="D96" s="581">
        <f>IF(坦克升星消耗!AI81=0,0,坦克升星消耗!AI81-坦克升星消耗!AI80)</f>
        <v>2500</v>
      </c>
      <c r="E96" s="585">
        <f t="shared" si="11"/>
        <v>2500</v>
      </c>
      <c r="F96" s="585">
        <f t="shared" si="14"/>
        <v>150975</v>
      </c>
      <c r="G96" s="585">
        <f t="shared" si="12"/>
        <v>25</v>
      </c>
      <c r="H96" s="585">
        <f t="shared" si="15"/>
        <v>1625</v>
      </c>
      <c r="I96" s="585">
        <f t="shared" si="13"/>
        <v>4875</v>
      </c>
    </row>
    <row r="97" spans="2:9" x14ac:dyDescent="0.35">
      <c r="B97" s="585">
        <v>79</v>
      </c>
      <c r="C97" s="662" t="str">
        <f>坦克升星消耗!AG82</f>
        <v>8T4中4</v>
      </c>
      <c r="D97" s="662">
        <f>IF(坦克升星消耗!AI82=0,0,坦克升星消耗!AI82-坦克升星消耗!AI81)</f>
        <v>2500</v>
      </c>
      <c r="E97" s="585">
        <f t="shared" ref="E97:E121" si="16">IF(D97=0,VLOOKUP(LEFT(RIGHT(C97,4),3),$B$3:$C$15,2,FALSE),D97)</f>
        <v>2500</v>
      </c>
      <c r="F97" s="585">
        <f t="shared" ref="F97:F121" si="17">E97+F96</f>
        <v>153475</v>
      </c>
      <c r="G97" s="585">
        <f t="shared" si="12"/>
        <v>25</v>
      </c>
      <c r="H97" s="585">
        <f t="shared" ref="H97:H121" si="18">G97+H96</f>
        <v>1650</v>
      </c>
      <c r="I97" s="585">
        <f t="shared" ref="I97:I121" si="19">H97*3</f>
        <v>4950</v>
      </c>
    </row>
    <row r="98" spans="2:9" x14ac:dyDescent="0.35">
      <c r="B98" s="585">
        <v>80</v>
      </c>
      <c r="C98" s="662" t="str">
        <f>坦克升星消耗!AG83</f>
        <v>8T4中5</v>
      </c>
      <c r="D98" s="662">
        <f>IF(坦克升星消耗!AI83=0,0,坦克升星消耗!AI83-坦克升星消耗!AI82)</f>
        <v>2500</v>
      </c>
      <c r="E98" s="585">
        <f t="shared" si="16"/>
        <v>2500</v>
      </c>
      <c r="F98" s="585">
        <f t="shared" si="17"/>
        <v>155975</v>
      </c>
      <c r="G98" s="585">
        <f t="shared" si="12"/>
        <v>25</v>
      </c>
      <c r="H98" s="585">
        <f t="shared" si="18"/>
        <v>1675</v>
      </c>
      <c r="I98" s="585">
        <f t="shared" si="19"/>
        <v>5025</v>
      </c>
    </row>
    <row r="99" spans="2:9" x14ac:dyDescent="0.35">
      <c r="B99" s="585">
        <v>81</v>
      </c>
      <c r="C99" s="662" t="str">
        <f>坦克升星消耗!AG84</f>
        <v>8T4中6</v>
      </c>
      <c r="D99" s="662">
        <f>IF(坦克升星消耗!AI84=0,0,坦克升星消耗!AI84-坦克升星消耗!AI83)</f>
        <v>3750</v>
      </c>
      <c r="E99" s="585">
        <f t="shared" si="16"/>
        <v>3750</v>
      </c>
      <c r="F99" s="585">
        <f t="shared" si="17"/>
        <v>159725</v>
      </c>
      <c r="G99" s="585">
        <f t="shared" si="12"/>
        <v>30</v>
      </c>
      <c r="H99" s="585">
        <f t="shared" si="18"/>
        <v>1705</v>
      </c>
      <c r="I99" s="585">
        <f t="shared" si="19"/>
        <v>5115</v>
      </c>
    </row>
    <row r="100" spans="2:9" x14ac:dyDescent="0.35">
      <c r="B100" s="585">
        <v>82</v>
      </c>
      <c r="C100" s="662" t="str">
        <f>坦克升星消耗!AG85</f>
        <v>8T4中7</v>
      </c>
      <c r="D100" s="662">
        <f>IF(坦克升星消耗!AI85=0,0,坦克升星消耗!AI85-坦克升星消耗!AI84)</f>
        <v>3750</v>
      </c>
      <c r="E100" s="585">
        <f t="shared" si="16"/>
        <v>3750</v>
      </c>
      <c r="F100" s="585">
        <f t="shared" si="17"/>
        <v>163475</v>
      </c>
      <c r="G100" s="585">
        <f t="shared" si="12"/>
        <v>30</v>
      </c>
      <c r="H100" s="585">
        <f t="shared" si="18"/>
        <v>1735</v>
      </c>
      <c r="I100" s="585">
        <f t="shared" si="19"/>
        <v>5205</v>
      </c>
    </row>
    <row r="101" spans="2:9" x14ac:dyDescent="0.35">
      <c r="B101" s="585">
        <v>83</v>
      </c>
      <c r="C101" s="662" t="str">
        <f>坦克升星消耗!AG86</f>
        <v>8T4中8</v>
      </c>
      <c r="D101" s="662">
        <f>IF(坦克升星消耗!AI86=0,0,坦克升星消耗!AI86-坦克升星消耗!AI85)</f>
        <v>3750</v>
      </c>
      <c r="E101" s="585">
        <f t="shared" si="16"/>
        <v>3750</v>
      </c>
      <c r="F101" s="585">
        <f t="shared" si="17"/>
        <v>167225</v>
      </c>
      <c r="G101" s="585">
        <f t="shared" si="12"/>
        <v>30</v>
      </c>
      <c r="H101" s="585">
        <f t="shared" si="18"/>
        <v>1765</v>
      </c>
      <c r="I101" s="585">
        <f t="shared" si="19"/>
        <v>5295</v>
      </c>
    </row>
    <row r="102" spans="2:9" x14ac:dyDescent="0.35">
      <c r="B102" s="585">
        <v>84</v>
      </c>
      <c r="C102" s="662" t="str">
        <f>坦克升星消耗!AG87</f>
        <v>8T4中9</v>
      </c>
      <c r="D102" s="662">
        <f>IF(坦克升星消耗!AI87=0,0,坦克升星消耗!AI87-坦克升星消耗!AI86)</f>
        <v>3750</v>
      </c>
      <c r="E102" s="585">
        <f t="shared" si="16"/>
        <v>3750</v>
      </c>
      <c r="F102" s="585">
        <f t="shared" si="17"/>
        <v>170975</v>
      </c>
      <c r="G102" s="585">
        <f t="shared" si="12"/>
        <v>30</v>
      </c>
      <c r="H102" s="585">
        <f t="shared" si="18"/>
        <v>1795</v>
      </c>
      <c r="I102" s="585">
        <f t="shared" si="19"/>
        <v>5385</v>
      </c>
    </row>
    <row r="103" spans="2:9" x14ac:dyDescent="0.35">
      <c r="B103" s="585">
        <v>85</v>
      </c>
      <c r="C103" s="662" t="str">
        <f>坦克升星消耗!AG88</f>
        <v>8T4中10</v>
      </c>
      <c r="D103" s="662">
        <f>IF(坦克升星消耗!AI88=0,0,坦克升星消耗!AI88-坦克升星消耗!AI87)</f>
        <v>3750</v>
      </c>
      <c r="E103" s="585">
        <f t="shared" si="16"/>
        <v>3750</v>
      </c>
      <c r="F103" s="585">
        <f t="shared" si="17"/>
        <v>174725</v>
      </c>
      <c r="G103" s="585">
        <f t="shared" si="12"/>
        <v>30</v>
      </c>
      <c r="H103" s="585">
        <f t="shared" si="18"/>
        <v>1825</v>
      </c>
      <c r="I103" s="585">
        <f t="shared" si="19"/>
        <v>5475</v>
      </c>
    </row>
    <row r="104" spans="2:9" x14ac:dyDescent="0.35">
      <c r="B104" s="585">
        <v>86</v>
      </c>
      <c r="C104" s="662" t="str">
        <f>坦克升星消耗!AG89</f>
        <v>8T4中11</v>
      </c>
      <c r="D104" s="662">
        <f>IF(坦克升星消耗!AI89=0,0,坦克升星消耗!AI89-坦克升星消耗!AI88)</f>
        <v>3750</v>
      </c>
      <c r="E104" s="585">
        <f t="shared" si="16"/>
        <v>3750</v>
      </c>
      <c r="F104" s="585">
        <f t="shared" si="17"/>
        <v>178475</v>
      </c>
      <c r="G104" s="585">
        <f t="shared" si="12"/>
        <v>30</v>
      </c>
      <c r="H104" s="585">
        <f t="shared" si="18"/>
        <v>1855</v>
      </c>
      <c r="I104" s="585">
        <f t="shared" si="19"/>
        <v>5565</v>
      </c>
    </row>
    <row r="105" spans="2:9" x14ac:dyDescent="0.35">
      <c r="B105" s="585">
        <v>87</v>
      </c>
      <c r="C105" s="662" t="str">
        <f>坦克升星消耗!AG90</f>
        <v>8T4中12</v>
      </c>
      <c r="D105" s="662">
        <f>IF(坦克升星消耗!AI90=0,0,坦克升星消耗!AI90-坦克升星消耗!AI89)</f>
        <v>4375</v>
      </c>
      <c r="E105" s="585">
        <f t="shared" si="16"/>
        <v>4375</v>
      </c>
      <c r="F105" s="585">
        <f t="shared" si="17"/>
        <v>182850</v>
      </c>
      <c r="G105" s="585">
        <f t="shared" si="12"/>
        <v>35</v>
      </c>
      <c r="H105" s="585">
        <f t="shared" si="18"/>
        <v>1890</v>
      </c>
      <c r="I105" s="585">
        <f t="shared" si="19"/>
        <v>5670</v>
      </c>
    </row>
    <row r="106" spans="2:9" x14ac:dyDescent="0.35">
      <c r="B106" s="585">
        <v>88</v>
      </c>
      <c r="C106" s="662" t="str">
        <f>坦克升星消耗!AG91</f>
        <v>8T4中13</v>
      </c>
      <c r="D106" s="662">
        <f>IF(坦克升星消耗!AI91=0,0,坦克升星消耗!AI91-坦克升星消耗!AI90)</f>
        <v>4375</v>
      </c>
      <c r="E106" s="585">
        <f t="shared" si="16"/>
        <v>4375</v>
      </c>
      <c r="F106" s="585">
        <f t="shared" si="17"/>
        <v>187225</v>
      </c>
      <c r="G106" s="585">
        <f t="shared" si="12"/>
        <v>35</v>
      </c>
      <c r="H106" s="585">
        <f t="shared" si="18"/>
        <v>1925</v>
      </c>
      <c r="I106" s="585">
        <f t="shared" si="19"/>
        <v>5775</v>
      </c>
    </row>
    <row r="107" spans="2:9" x14ac:dyDescent="0.35">
      <c r="B107" s="585">
        <v>89</v>
      </c>
      <c r="C107" s="662" t="str">
        <f>坦克升星消耗!AG92</f>
        <v>8T4中14</v>
      </c>
      <c r="D107" s="662">
        <f>IF(坦克升星消耗!AI92=0,0,坦克升星消耗!AI92-坦克升星消耗!AI91)</f>
        <v>4375</v>
      </c>
      <c r="E107" s="585">
        <f t="shared" si="16"/>
        <v>4375</v>
      </c>
      <c r="F107" s="585">
        <f t="shared" si="17"/>
        <v>191600</v>
      </c>
      <c r="G107" s="585">
        <f t="shared" si="12"/>
        <v>35</v>
      </c>
      <c r="H107" s="585">
        <f t="shared" si="18"/>
        <v>1960</v>
      </c>
      <c r="I107" s="585">
        <f t="shared" si="19"/>
        <v>5880</v>
      </c>
    </row>
    <row r="108" spans="2:9" x14ac:dyDescent="0.35">
      <c r="B108" s="585">
        <v>90</v>
      </c>
      <c r="C108" s="662" t="str">
        <f>坦克升星消耗!AG93</f>
        <v>8T4中15</v>
      </c>
      <c r="D108" s="662">
        <f>IF(坦克升星消耗!AI93=0,0,坦克升星消耗!AI93-坦克升星消耗!AI92)</f>
        <v>4375</v>
      </c>
      <c r="E108" s="585">
        <f t="shared" si="16"/>
        <v>4375</v>
      </c>
      <c r="F108" s="585">
        <f t="shared" si="17"/>
        <v>195975</v>
      </c>
      <c r="G108" s="585">
        <f t="shared" si="12"/>
        <v>35</v>
      </c>
      <c r="H108" s="585">
        <f t="shared" si="18"/>
        <v>1995</v>
      </c>
      <c r="I108" s="585">
        <f t="shared" si="19"/>
        <v>5985</v>
      </c>
    </row>
    <row r="109" spans="2:9" x14ac:dyDescent="0.35">
      <c r="B109" s="585">
        <v>91</v>
      </c>
      <c r="C109" s="662" t="str">
        <f>坦克升星消耗!AG94</f>
        <v>8T4中16</v>
      </c>
      <c r="D109" s="662">
        <f>IF(坦克升星消耗!AI94=0,0,坦克升星消耗!AI94-坦克升星消耗!AI93)</f>
        <v>4375</v>
      </c>
      <c r="E109" s="585">
        <f t="shared" si="16"/>
        <v>4375</v>
      </c>
      <c r="F109" s="585">
        <f t="shared" si="17"/>
        <v>200350</v>
      </c>
      <c r="G109" s="585">
        <f t="shared" si="12"/>
        <v>35</v>
      </c>
      <c r="H109" s="585">
        <f t="shared" si="18"/>
        <v>2030</v>
      </c>
      <c r="I109" s="585">
        <f t="shared" si="19"/>
        <v>6090</v>
      </c>
    </row>
    <row r="110" spans="2:9" x14ac:dyDescent="0.35">
      <c r="B110" s="585">
        <v>92</v>
      </c>
      <c r="C110" s="662" t="str">
        <f>坦克升星消耗!AG95</f>
        <v>8T4中17</v>
      </c>
      <c r="D110" s="662">
        <f>IF(坦克升星消耗!AI95=0,0,坦克升星消耗!AI95-坦克升星消耗!AI94)</f>
        <v>4375</v>
      </c>
      <c r="E110" s="585">
        <f t="shared" si="16"/>
        <v>4375</v>
      </c>
      <c r="F110" s="585">
        <f t="shared" si="17"/>
        <v>204725</v>
      </c>
      <c r="G110" s="585">
        <f t="shared" si="12"/>
        <v>35</v>
      </c>
      <c r="H110" s="585">
        <f t="shared" si="18"/>
        <v>2065</v>
      </c>
      <c r="I110" s="585">
        <f t="shared" si="19"/>
        <v>6195</v>
      </c>
    </row>
    <row r="111" spans="2:9" x14ac:dyDescent="0.35">
      <c r="B111" s="585">
        <v>93</v>
      </c>
      <c r="C111" s="662" t="str">
        <f>坦克升星消耗!AG96</f>
        <v>9T4高0</v>
      </c>
      <c r="D111" s="662">
        <f>IF(坦克升星消耗!AI96=0,0,坦克升星消耗!AI96-坦克升星消耗!AI95)</f>
        <v>0</v>
      </c>
      <c r="E111" s="585">
        <f t="shared" si="16"/>
        <v>7750</v>
      </c>
      <c r="F111" s="585">
        <f t="shared" si="17"/>
        <v>212475</v>
      </c>
      <c r="G111" s="585">
        <f t="shared" si="12"/>
        <v>45</v>
      </c>
      <c r="H111" s="585">
        <f t="shared" si="18"/>
        <v>2110</v>
      </c>
      <c r="I111" s="585">
        <f t="shared" si="19"/>
        <v>6330</v>
      </c>
    </row>
    <row r="112" spans="2:9" x14ac:dyDescent="0.35">
      <c r="B112" s="585">
        <v>94</v>
      </c>
      <c r="C112" s="662" t="str">
        <f>坦克升星消耗!AG97</f>
        <v>9T4高1</v>
      </c>
      <c r="D112" s="662">
        <f>IF(坦克升星消耗!AI97=0,0,坦克升星消耗!AI97-坦克升星消耗!AI96)</f>
        <v>3100</v>
      </c>
      <c r="E112" s="585">
        <f t="shared" si="16"/>
        <v>3100</v>
      </c>
      <c r="F112" s="585">
        <f t="shared" si="17"/>
        <v>215575</v>
      </c>
      <c r="G112" s="585">
        <f t="shared" si="12"/>
        <v>30</v>
      </c>
      <c r="H112" s="585">
        <f t="shared" si="18"/>
        <v>2140</v>
      </c>
      <c r="I112" s="585">
        <f t="shared" si="19"/>
        <v>6420</v>
      </c>
    </row>
    <row r="113" spans="2:9" x14ac:dyDescent="0.35">
      <c r="B113" s="585">
        <v>95</v>
      </c>
      <c r="C113" s="662" t="str">
        <f>坦克升星消耗!AG98</f>
        <v>9T4高2</v>
      </c>
      <c r="D113" s="662">
        <f>IF(坦克升星消耗!AI98=0,0,坦克升星消耗!AI98-坦克升星消耗!AI97)</f>
        <v>3100</v>
      </c>
      <c r="E113" s="585">
        <f t="shared" si="16"/>
        <v>3100</v>
      </c>
      <c r="F113" s="585">
        <f t="shared" si="17"/>
        <v>218675</v>
      </c>
      <c r="G113" s="585">
        <f t="shared" si="12"/>
        <v>30</v>
      </c>
      <c r="H113" s="585">
        <f t="shared" si="18"/>
        <v>2170</v>
      </c>
      <c r="I113" s="585">
        <f t="shared" si="19"/>
        <v>6510</v>
      </c>
    </row>
    <row r="114" spans="2:9" x14ac:dyDescent="0.35">
      <c r="B114" s="585">
        <v>96</v>
      </c>
      <c r="C114" s="662" t="str">
        <f>坦克升星消耗!AG99</f>
        <v>9T4高3</v>
      </c>
      <c r="D114" s="662">
        <f>IF(坦克升星消耗!AI99=0,0,坦克升星消耗!AI99-坦克升星消耗!AI98)</f>
        <v>3100</v>
      </c>
      <c r="E114" s="585">
        <f t="shared" si="16"/>
        <v>3100</v>
      </c>
      <c r="F114" s="585">
        <f t="shared" si="17"/>
        <v>221775</v>
      </c>
      <c r="G114" s="585">
        <f t="shared" si="12"/>
        <v>30</v>
      </c>
      <c r="H114" s="585">
        <f t="shared" si="18"/>
        <v>2200</v>
      </c>
      <c r="I114" s="585">
        <f t="shared" si="19"/>
        <v>6600</v>
      </c>
    </row>
    <row r="115" spans="2:9" x14ac:dyDescent="0.35">
      <c r="B115" s="585">
        <v>97</v>
      </c>
      <c r="C115" s="662" t="str">
        <f>坦克升星消耗!AG100</f>
        <v>9T4高4</v>
      </c>
      <c r="D115" s="662">
        <f>IF(坦克升星消耗!AI100=0,0,坦克升星消耗!AI100-坦克升星消耗!AI99)</f>
        <v>3100</v>
      </c>
      <c r="E115" s="585">
        <f t="shared" si="16"/>
        <v>3100</v>
      </c>
      <c r="F115" s="585">
        <f t="shared" si="17"/>
        <v>224875</v>
      </c>
      <c r="G115" s="585">
        <f t="shared" si="12"/>
        <v>30</v>
      </c>
      <c r="H115" s="585">
        <f t="shared" si="18"/>
        <v>2230</v>
      </c>
      <c r="I115" s="585">
        <f t="shared" si="19"/>
        <v>6690</v>
      </c>
    </row>
    <row r="116" spans="2:9" x14ac:dyDescent="0.35">
      <c r="B116" s="585">
        <v>98</v>
      </c>
      <c r="C116" s="662" t="str">
        <f>坦克升星消耗!AG101</f>
        <v>9T4高5</v>
      </c>
      <c r="D116" s="662">
        <f>IF(坦克升星消耗!AI101=0,0,坦克升星消耗!AI101-坦克升星消耗!AI100)</f>
        <v>3100</v>
      </c>
      <c r="E116" s="585">
        <f t="shared" si="16"/>
        <v>3100</v>
      </c>
      <c r="F116" s="585">
        <f t="shared" si="17"/>
        <v>227975</v>
      </c>
      <c r="G116" s="585">
        <f t="shared" si="12"/>
        <v>30</v>
      </c>
      <c r="H116" s="585">
        <f t="shared" si="18"/>
        <v>2260</v>
      </c>
      <c r="I116" s="585">
        <f t="shared" si="19"/>
        <v>6780</v>
      </c>
    </row>
    <row r="117" spans="2:9" x14ac:dyDescent="0.35">
      <c r="B117" s="585">
        <v>99</v>
      </c>
      <c r="C117" s="662" t="str">
        <f>坦克升星消耗!AG102</f>
        <v>9T4高6</v>
      </c>
      <c r="D117" s="662">
        <f>IF(坦克升星消耗!AI102=0,0,坦克升星消耗!AI102-坦克升星消耗!AI101)</f>
        <v>4650</v>
      </c>
      <c r="E117" s="585">
        <f t="shared" si="16"/>
        <v>4650</v>
      </c>
      <c r="F117" s="585">
        <f t="shared" si="17"/>
        <v>232625</v>
      </c>
      <c r="G117" s="585">
        <f t="shared" si="12"/>
        <v>35</v>
      </c>
      <c r="H117" s="585">
        <f t="shared" si="18"/>
        <v>2295</v>
      </c>
      <c r="I117" s="585">
        <f t="shared" si="19"/>
        <v>6885</v>
      </c>
    </row>
    <row r="118" spans="2:9" x14ac:dyDescent="0.35">
      <c r="B118" s="585">
        <v>100</v>
      </c>
      <c r="C118" s="662" t="str">
        <f>坦克升星消耗!AG103</f>
        <v>9T4高7</v>
      </c>
      <c r="D118" s="662">
        <f>IF(坦克升星消耗!AI103=0,0,坦克升星消耗!AI103-坦克升星消耗!AI102)</f>
        <v>4650</v>
      </c>
      <c r="E118" s="585">
        <f t="shared" si="16"/>
        <v>4650</v>
      </c>
      <c r="F118" s="585">
        <f t="shared" si="17"/>
        <v>237275</v>
      </c>
      <c r="G118" s="585">
        <f t="shared" si="12"/>
        <v>35</v>
      </c>
      <c r="H118" s="585">
        <f t="shared" si="18"/>
        <v>2330</v>
      </c>
      <c r="I118" s="585">
        <f t="shared" si="19"/>
        <v>6990</v>
      </c>
    </row>
    <row r="119" spans="2:9" x14ac:dyDescent="0.35">
      <c r="B119" s="585">
        <v>101</v>
      </c>
      <c r="C119" s="662" t="str">
        <f>坦克升星消耗!AG104</f>
        <v>9T4高8</v>
      </c>
      <c r="D119" s="662">
        <f>IF(坦克升星消耗!AI104=0,0,坦克升星消耗!AI104-坦克升星消耗!AI103)</f>
        <v>4650</v>
      </c>
      <c r="E119" s="585">
        <f t="shared" si="16"/>
        <v>4650</v>
      </c>
      <c r="F119" s="585">
        <f t="shared" si="17"/>
        <v>241925</v>
      </c>
      <c r="G119" s="585">
        <f t="shared" si="12"/>
        <v>35</v>
      </c>
      <c r="H119" s="585">
        <f t="shared" si="18"/>
        <v>2365</v>
      </c>
      <c r="I119" s="585">
        <f t="shared" si="19"/>
        <v>7095</v>
      </c>
    </row>
    <row r="120" spans="2:9" x14ac:dyDescent="0.35">
      <c r="B120" s="585">
        <v>102</v>
      </c>
      <c r="C120" s="662" t="str">
        <f>坦克升星消耗!AG105</f>
        <v>9T4高9</v>
      </c>
      <c r="D120" s="662">
        <f>IF(坦克升星消耗!AI105=0,0,坦克升星消耗!AI105-坦克升星消耗!AI104)</f>
        <v>4650</v>
      </c>
      <c r="E120" s="585">
        <f t="shared" si="16"/>
        <v>4650</v>
      </c>
      <c r="F120" s="585">
        <f t="shared" si="17"/>
        <v>246575</v>
      </c>
      <c r="G120" s="585">
        <f t="shared" si="12"/>
        <v>35</v>
      </c>
      <c r="H120" s="585">
        <f t="shared" si="18"/>
        <v>2400</v>
      </c>
      <c r="I120" s="585">
        <f t="shared" si="19"/>
        <v>7200</v>
      </c>
    </row>
    <row r="121" spans="2:9" x14ac:dyDescent="0.35">
      <c r="B121" s="585">
        <v>103</v>
      </c>
      <c r="C121" s="662" t="str">
        <f>坦克升星消耗!AG106</f>
        <v>9T4高10</v>
      </c>
      <c r="D121" s="662">
        <f>IF(坦克升星消耗!AI106=0,0,坦克升星消耗!AI106-坦克升星消耗!AI105)</f>
        <v>4650</v>
      </c>
      <c r="E121" s="585">
        <f t="shared" si="16"/>
        <v>4650</v>
      </c>
      <c r="F121" s="585">
        <f t="shared" si="17"/>
        <v>251225</v>
      </c>
      <c r="G121" s="585">
        <f t="shared" si="12"/>
        <v>35</v>
      </c>
      <c r="H121" s="585">
        <f t="shared" si="18"/>
        <v>2435</v>
      </c>
      <c r="I121" s="585">
        <f t="shared" si="19"/>
        <v>7305</v>
      </c>
    </row>
    <row r="122" spans="2:9" x14ac:dyDescent="0.35">
      <c r="B122" s="585">
        <v>104</v>
      </c>
      <c r="C122" s="662" t="str">
        <f>坦克升星消耗!AG107</f>
        <v>9T4高11</v>
      </c>
      <c r="D122" s="662">
        <f>IF(坦克升星消耗!AI107=0,0,坦克升星消耗!AI107-坦克升星消耗!AI106)</f>
        <v>4650</v>
      </c>
      <c r="E122" s="585">
        <f t="shared" ref="E122:E183" si="20">IF(D122=0,VLOOKUP(LEFT(RIGHT(C122,4),3),$B$3:$C$15,2,FALSE),D122)</f>
        <v>4650</v>
      </c>
      <c r="F122" s="585">
        <f t="shared" ref="F122:F183" si="21">E122+F121</f>
        <v>255875</v>
      </c>
      <c r="G122" s="585">
        <f t="shared" si="12"/>
        <v>35</v>
      </c>
      <c r="H122" s="585">
        <f t="shared" ref="H122:H183" si="22">G122+H121</f>
        <v>2470</v>
      </c>
      <c r="I122" s="585">
        <f t="shared" ref="I122:I183" si="23">H122*3</f>
        <v>7410</v>
      </c>
    </row>
    <row r="123" spans="2:9" x14ac:dyDescent="0.35">
      <c r="B123" s="585">
        <v>105</v>
      </c>
      <c r="C123" s="662" t="str">
        <f>坦克升星消耗!AG108</f>
        <v>9T4高12</v>
      </c>
      <c r="D123" s="662">
        <f>IF(坦克升星消耗!AI108=0,0,坦克升星消耗!AI108-坦克升星消耗!AI107)</f>
        <v>6200</v>
      </c>
      <c r="E123" s="585">
        <f t="shared" si="20"/>
        <v>6200</v>
      </c>
      <c r="F123" s="585">
        <f t="shared" si="21"/>
        <v>262075</v>
      </c>
      <c r="G123" s="585">
        <f t="shared" si="12"/>
        <v>40</v>
      </c>
      <c r="H123" s="585">
        <f t="shared" si="22"/>
        <v>2510</v>
      </c>
      <c r="I123" s="585">
        <f t="shared" si="23"/>
        <v>7530</v>
      </c>
    </row>
    <row r="124" spans="2:9" x14ac:dyDescent="0.35">
      <c r="B124" s="585">
        <v>106</v>
      </c>
      <c r="C124" s="662" t="str">
        <f>坦克升星消耗!AG109</f>
        <v>9T4高13</v>
      </c>
      <c r="D124" s="662">
        <f>IF(坦克升星消耗!AI109=0,0,坦克升星消耗!AI109-坦克升星消耗!AI108)</f>
        <v>6200</v>
      </c>
      <c r="E124" s="585">
        <f t="shared" si="20"/>
        <v>6200</v>
      </c>
      <c r="F124" s="585">
        <f t="shared" si="21"/>
        <v>268275</v>
      </c>
      <c r="G124" s="585">
        <f t="shared" si="12"/>
        <v>40</v>
      </c>
      <c r="H124" s="585">
        <f t="shared" si="22"/>
        <v>2550</v>
      </c>
      <c r="I124" s="585">
        <f t="shared" si="23"/>
        <v>7650</v>
      </c>
    </row>
    <row r="125" spans="2:9" x14ac:dyDescent="0.35">
      <c r="B125" s="585">
        <v>107</v>
      </c>
      <c r="C125" s="662" t="str">
        <f>坦克升星消耗!AG110</f>
        <v>9T4高14</v>
      </c>
      <c r="D125" s="662">
        <f>IF(坦克升星消耗!AI110=0,0,坦克升星消耗!AI110-坦克升星消耗!AI109)</f>
        <v>6200</v>
      </c>
      <c r="E125" s="585">
        <f t="shared" si="20"/>
        <v>6200</v>
      </c>
      <c r="F125" s="585">
        <f t="shared" si="21"/>
        <v>274475</v>
      </c>
      <c r="G125" s="585">
        <f t="shared" si="12"/>
        <v>40</v>
      </c>
      <c r="H125" s="585">
        <f t="shared" si="22"/>
        <v>2590</v>
      </c>
      <c r="I125" s="585">
        <f t="shared" si="23"/>
        <v>7770</v>
      </c>
    </row>
    <row r="126" spans="2:9" x14ac:dyDescent="0.35">
      <c r="B126" s="585">
        <v>108</v>
      </c>
      <c r="C126" s="662" t="str">
        <f>坦克升星消耗!AG111</f>
        <v>9T4高15</v>
      </c>
      <c r="D126" s="662">
        <f>IF(坦克升星消耗!AI111=0,0,坦克升星消耗!AI111-坦克升星消耗!AI110)</f>
        <v>6200</v>
      </c>
      <c r="E126" s="585">
        <f t="shared" si="20"/>
        <v>6200</v>
      </c>
      <c r="F126" s="585">
        <f t="shared" si="21"/>
        <v>280675</v>
      </c>
      <c r="G126" s="585">
        <f t="shared" si="12"/>
        <v>40</v>
      </c>
      <c r="H126" s="585">
        <f t="shared" si="22"/>
        <v>2630</v>
      </c>
      <c r="I126" s="585">
        <f t="shared" si="23"/>
        <v>7890</v>
      </c>
    </row>
    <row r="127" spans="2:9" x14ac:dyDescent="0.35">
      <c r="B127" s="585">
        <v>109</v>
      </c>
      <c r="C127" s="662" t="str">
        <f>坦克升星消耗!AG112</f>
        <v>9T4高16</v>
      </c>
      <c r="D127" s="662">
        <f>IF(坦克升星消耗!AI112=0,0,坦克升星消耗!AI112-坦克升星消耗!AI111)</f>
        <v>6200</v>
      </c>
      <c r="E127" s="585">
        <f t="shared" si="20"/>
        <v>6200</v>
      </c>
      <c r="F127" s="585">
        <f t="shared" si="21"/>
        <v>286875</v>
      </c>
      <c r="G127" s="585">
        <f t="shared" si="12"/>
        <v>40</v>
      </c>
      <c r="H127" s="585">
        <f t="shared" si="22"/>
        <v>2670</v>
      </c>
      <c r="I127" s="585">
        <f t="shared" si="23"/>
        <v>8010</v>
      </c>
    </row>
    <row r="128" spans="2:9" x14ac:dyDescent="0.35">
      <c r="B128" s="585">
        <v>110</v>
      </c>
      <c r="C128" s="662" t="str">
        <f>坦克升星消耗!AG113</f>
        <v>9T4高17</v>
      </c>
      <c r="D128" s="662">
        <f>IF(坦克升星消耗!AI113=0,0,坦克升星消耗!AI113-坦克升星消耗!AI112)</f>
        <v>6200</v>
      </c>
      <c r="E128" s="585">
        <f t="shared" si="20"/>
        <v>6200</v>
      </c>
      <c r="F128" s="585">
        <f t="shared" si="21"/>
        <v>293075</v>
      </c>
      <c r="G128" s="585">
        <f t="shared" si="12"/>
        <v>40</v>
      </c>
      <c r="H128" s="585">
        <f t="shared" si="22"/>
        <v>2710</v>
      </c>
      <c r="I128" s="585">
        <f t="shared" si="23"/>
        <v>8130</v>
      </c>
    </row>
    <row r="129" spans="2:9" x14ac:dyDescent="0.35">
      <c r="B129" s="585">
        <v>111</v>
      </c>
      <c r="C129" s="662" t="str">
        <f>坦克升星消耗!AG114</f>
        <v>10T5低0</v>
      </c>
      <c r="D129" s="662">
        <f>IF(坦克升星消耗!AI114=0,0,坦克升星消耗!AI114-坦克升星消耗!AI113)</f>
        <v>0</v>
      </c>
      <c r="E129" s="585">
        <f t="shared" si="20"/>
        <v>13600</v>
      </c>
      <c r="F129" s="585">
        <f t="shared" si="21"/>
        <v>306675</v>
      </c>
      <c r="G129" s="585">
        <f t="shared" si="12"/>
        <v>60</v>
      </c>
      <c r="H129" s="585">
        <f t="shared" si="22"/>
        <v>2770</v>
      </c>
      <c r="I129" s="585">
        <f t="shared" si="23"/>
        <v>8310</v>
      </c>
    </row>
    <row r="130" spans="2:9" x14ac:dyDescent="0.35">
      <c r="B130" s="585">
        <v>112</v>
      </c>
      <c r="C130" s="662" t="str">
        <f>坦克升星消耗!AG115</f>
        <v>10T5低1</v>
      </c>
      <c r="D130" s="662">
        <f>IF(坦克升星消耗!AI115=0,0,坦克升星消耗!AI115-坦克升星消耗!AI114)</f>
        <v>3400</v>
      </c>
      <c r="E130" s="585">
        <f t="shared" si="20"/>
        <v>3400</v>
      </c>
      <c r="F130" s="585">
        <f t="shared" si="21"/>
        <v>310075</v>
      </c>
      <c r="G130" s="585">
        <f t="shared" si="12"/>
        <v>30</v>
      </c>
      <c r="H130" s="585">
        <f t="shared" si="22"/>
        <v>2800</v>
      </c>
      <c r="I130" s="585">
        <f t="shared" si="23"/>
        <v>8400</v>
      </c>
    </row>
    <row r="131" spans="2:9" x14ac:dyDescent="0.35">
      <c r="B131" s="585">
        <v>113</v>
      </c>
      <c r="C131" s="662" t="str">
        <f>坦克升星消耗!AG116</f>
        <v>10T5低2</v>
      </c>
      <c r="D131" s="662">
        <f>IF(坦克升星消耗!AI116=0,0,坦克升星消耗!AI116-坦克升星消耗!AI115)</f>
        <v>3400</v>
      </c>
      <c r="E131" s="585">
        <f t="shared" si="20"/>
        <v>3400</v>
      </c>
      <c r="F131" s="585">
        <f t="shared" si="21"/>
        <v>313475</v>
      </c>
      <c r="G131" s="585">
        <f t="shared" si="12"/>
        <v>30</v>
      </c>
      <c r="H131" s="585">
        <f t="shared" si="22"/>
        <v>2830</v>
      </c>
      <c r="I131" s="585">
        <f t="shared" si="23"/>
        <v>8490</v>
      </c>
    </row>
    <row r="132" spans="2:9" x14ac:dyDescent="0.35">
      <c r="B132" s="585">
        <v>114</v>
      </c>
      <c r="C132" s="662" t="str">
        <f>坦克升星消耗!AG117</f>
        <v>10T5低3</v>
      </c>
      <c r="D132" s="662">
        <f>IF(坦克升星消耗!AI117=0,0,坦克升星消耗!AI117-坦克升星消耗!AI116)</f>
        <v>3400</v>
      </c>
      <c r="E132" s="585">
        <f t="shared" si="20"/>
        <v>3400</v>
      </c>
      <c r="F132" s="585">
        <f t="shared" si="21"/>
        <v>316875</v>
      </c>
      <c r="G132" s="585">
        <f t="shared" si="12"/>
        <v>30</v>
      </c>
      <c r="H132" s="585">
        <f t="shared" si="22"/>
        <v>2860</v>
      </c>
      <c r="I132" s="585">
        <f t="shared" si="23"/>
        <v>8580</v>
      </c>
    </row>
    <row r="133" spans="2:9" x14ac:dyDescent="0.35">
      <c r="B133" s="585">
        <v>115</v>
      </c>
      <c r="C133" s="662" t="str">
        <f>坦克升星消耗!AG118</f>
        <v>10T5低4</v>
      </c>
      <c r="D133" s="662">
        <f>IF(坦克升星消耗!AI118=0,0,坦克升星消耗!AI118-坦克升星消耗!AI117)</f>
        <v>3400</v>
      </c>
      <c r="E133" s="585">
        <f t="shared" si="20"/>
        <v>3400</v>
      </c>
      <c r="F133" s="585">
        <f t="shared" si="21"/>
        <v>320275</v>
      </c>
      <c r="G133" s="585">
        <f t="shared" si="12"/>
        <v>30</v>
      </c>
      <c r="H133" s="585">
        <f t="shared" si="22"/>
        <v>2890</v>
      </c>
      <c r="I133" s="585">
        <f t="shared" si="23"/>
        <v>8670</v>
      </c>
    </row>
    <row r="134" spans="2:9" x14ac:dyDescent="0.35">
      <c r="B134" s="585">
        <v>116</v>
      </c>
      <c r="C134" s="662" t="str">
        <f>坦克升星消耗!AG119</f>
        <v>10T5低5</v>
      </c>
      <c r="D134" s="662">
        <f>IF(坦克升星消耗!AI119=0,0,坦克升星消耗!AI119-坦克升星消耗!AI118)</f>
        <v>3400</v>
      </c>
      <c r="E134" s="585">
        <f t="shared" si="20"/>
        <v>3400</v>
      </c>
      <c r="F134" s="585">
        <f t="shared" si="21"/>
        <v>323675</v>
      </c>
      <c r="G134" s="585">
        <f t="shared" si="12"/>
        <v>30</v>
      </c>
      <c r="H134" s="585">
        <f t="shared" si="22"/>
        <v>2920</v>
      </c>
      <c r="I134" s="585">
        <f t="shared" si="23"/>
        <v>8760</v>
      </c>
    </row>
    <row r="135" spans="2:9" x14ac:dyDescent="0.35">
      <c r="B135" s="585">
        <v>117</v>
      </c>
      <c r="C135" s="662" t="str">
        <f>坦克升星消耗!AG120</f>
        <v>10T5低6</v>
      </c>
      <c r="D135" s="662">
        <f>IF(坦克升星消耗!AI120=0,0,坦克升星消耗!AI120-坦克升星消耗!AI119)</f>
        <v>3400</v>
      </c>
      <c r="E135" s="585">
        <f t="shared" si="20"/>
        <v>3400</v>
      </c>
      <c r="F135" s="585">
        <f t="shared" si="21"/>
        <v>327075</v>
      </c>
      <c r="G135" s="585">
        <f t="shared" si="12"/>
        <v>30</v>
      </c>
      <c r="H135" s="585">
        <f t="shared" si="22"/>
        <v>2950</v>
      </c>
      <c r="I135" s="585">
        <f t="shared" si="23"/>
        <v>8850</v>
      </c>
    </row>
    <row r="136" spans="2:9" x14ac:dyDescent="0.35">
      <c r="B136" s="585">
        <v>118</v>
      </c>
      <c r="C136" s="662" t="str">
        <f>坦克升星消耗!AG121</f>
        <v>10T5低7</v>
      </c>
      <c r="D136" s="662">
        <f>IF(坦克升星消耗!AI121=0,0,坦克升星消耗!AI121-坦克升星消耗!AI120)</f>
        <v>5100</v>
      </c>
      <c r="E136" s="585">
        <f t="shared" si="20"/>
        <v>5100</v>
      </c>
      <c r="F136" s="585">
        <f t="shared" si="21"/>
        <v>332175</v>
      </c>
      <c r="G136" s="585">
        <f t="shared" si="12"/>
        <v>35</v>
      </c>
      <c r="H136" s="585">
        <f t="shared" si="22"/>
        <v>2985</v>
      </c>
      <c r="I136" s="585">
        <f t="shared" si="23"/>
        <v>8955</v>
      </c>
    </row>
    <row r="137" spans="2:9" x14ac:dyDescent="0.35">
      <c r="B137" s="585">
        <v>119</v>
      </c>
      <c r="C137" s="662" t="str">
        <f>坦克升星消耗!AG122</f>
        <v>10T5低8</v>
      </c>
      <c r="D137" s="662">
        <f>IF(坦克升星消耗!AI122=0,0,坦克升星消耗!AI122-坦克升星消耗!AI121)</f>
        <v>5100</v>
      </c>
      <c r="E137" s="585">
        <f t="shared" si="20"/>
        <v>5100</v>
      </c>
      <c r="F137" s="585">
        <f t="shared" si="21"/>
        <v>337275</v>
      </c>
      <c r="G137" s="585">
        <f t="shared" si="12"/>
        <v>35</v>
      </c>
      <c r="H137" s="585">
        <f t="shared" si="22"/>
        <v>3020</v>
      </c>
      <c r="I137" s="585">
        <f t="shared" si="23"/>
        <v>9060</v>
      </c>
    </row>
    <row r="138" spans="2:9" x14ac:dyDescent="0.35">
      <c r="B138" s="585">
        <v>120</v>
      </c>
      <c r="C138" s="662" t="str">
        <f>坦克升星消耗!AG123</f>
        <v>10T5低9</v>
      </c>
      <c r="D138" s="662">
        <f>IF(坦克升星消耗!AI123=0,0,坦克升星消耗!AI123-坦克升星消耗!AI122)</f>
        <v>5100</v>
      </c>
      <c r="E138" s="585">
        <f t="shared" si="20"/>
        <v>5100</v>
      </c>
      <c r="F138" s="585">
        <f t="shared" si="21"/>
        <v>342375</v>
      </c>
      <c r="G138" s="585">
        <f t="shared" si="12"/>
        <v>35</v>
      </c>
      <c r="H138" s="585">
        <f t="shared" si="22"/>
        <v>3055</v>
      </c>
      <c r="I138" s="585">
        <f t="shared" si="23"/>
        <v>9165</v>
      </c>
    </row>
    <row r="139" spans="2:9" x14ac:dyDescent="0.35">
      <c r="B139" s="585">
        <v>121</v>
      </c>
      <c r="C139" s="662" t="str">
        <f>坦克升星消耗!AG124</f>
        <v>10T5低10</v>
      </c>
      <c r="D139" s="662">
        <f>IF(坦克升星消耗!AI124=0,0,坦克升星消耗!AI124-坦克升星消耗!AI123)</f>
        <v>5100</v>
      </c>
      <c r="E139" s="585">
        <f t="shared" si="20"/>
        <v>5100</v>
      </c>
      <c r="F139" s="585">
        <f t="shared" si="21"/>
        <v>347475</v>
      </c>
      <c r="G139" s="585">
        <f t="shared" si="12"/>
        <v>35</v>
      </c>
      <c r="H139" s="585">
        <f t="shared" si="22"/>
        <v>3090</v>
      </c>
      <c r="I139" s="585">
        <f t="shared" si="23"/>
        <v>9270</v>
      </c>
    </row>
    <row r="140" spans="2:9" x14ac:dyDescent="0.35">
      <c r="B140" s="585">
        <v>122</v>
      </c>
      <c r="C140" s="662" t="str">
        <f>坦克升星消耗!AG125</f>
        <v>10T5低11</v>
      </c>
      <c r="D140" s="662">
        <f>IF(坦克升星消耗!AI125=0,0,坦克升星消耗!AI125-坦克升星消耗!AI124)</f>
        <v>5100</v>
      </c>
      <c r="E140" s="585">
        <f t="shared" si="20"/>
        <v>5100</v>
      </c>
      <c r="F140" s="585">
        <f t="shared" si="21"/>
        <v>352575</v>
      </c>
      <c r="G140" s="585">
        <f t="shared" si="12"/>
        <v>35</v>
      </c>
      <c r="H140" s="585">
        <f t="shared" si="22"/>
        <v>3125</v>
      </c>
      <c r="I140" s="585">
        <f t="shared" si="23"/>
        <v>9375</v>
      </c>
    </row>
    <row r="141" spans="2:9" x14ac:dyDescent="0.35">
      <c r="B141" s="585">
        <v>123</v>
      </c>
      <c r="C141" s="662" t="str">
        <f>坦克升星消耗!AG126</f>
        <v>10T5低12</v>
      </c>
      <c r="D141" s="662">
        <f>IF(坦克升星消耗!AI126=0,0,坦克升星消耗!AI126-坦克升星消耗!AI125)</f>
        <v>5100</v>
      </c>
      <c r="E141" s="585">
        <f t="shared" si="20"/>
        <v>5100</v>
      </c>
      <c r="F141" s="585">
        <f t="shared" si="21"/>
        <v>357675</v>
      </c>
      <c r="G141" s="585">
        <f t="shared" si="12"/>
        <v>35</v>
      </c>
      <c r="H141" s="585">
        <f t="shared" si="22"/>
        <v>3160</v>
      </c>
      <c r="I141" s="585">
        <f t="shared" si="23"/>
        <v>9480</v>
      </c>
    </row>
    <row r="142" spans="2:9" x14ac:dyDescent="0.35">
      <c r="B142" s="585">
        <v>124</v>
      </c>
      <c r="C142" s="662" t="str">
        <f>坦克升星消耗!AG127</f>
        <v>11T5中0</v>
      </c>
      <c r="D142" s="662">
        <f>IF(坦克升星消耗!AI127=0,0,坦克升星消耗!AI127-坦克升星消耗!AI126)</f>
        <v>0</v>
      </c>
      <c r="E142" s="585">
        <f t="shared" si="20"/>
        <v>16000</v>
      </c>
      <c r="F142" s="585">
        <f t="shared" si="21"/>
        <v>373675</v>
      </c>
      <c r="G142" s="585">
        <f t="shared" si="12"/>
        <v>65</v>
      </c>
      <c r="H142" s="585">
        <f t="shared" si="22"/>
        <v>3225</v>
      </c>
      <c r="I142" s="585">
        <f t="shared" si="23"/>
        <v>9675</v>
      </c>
    </row>
    <row r="143" spans="2:9" x14ac:dyDescent="0.35">
      <c r="B143" s="585">
        <v>125</v>
      </c>
      <c r="C143" s="662" t="str">
        <f>坦克升星消耗!AG128</f>
        <v>11T5中1</v>
      </c>
      <c r="D143" s="662">
        <f>IF(坦克升星消耗!AI128=0,0,坦克升星消耗!AI128-坦克升星消耗!AI127)</f>
        <v>5000</v>
      </c>
      <c r="E143" s="585">
        <f t="shared" si="20"/>
        <v>5000</v>
      </c>
      <c r="F143" s="585">
        <f t="shared" si="21"/>
        <v>378675</v>
      </c>
      <c r="G143" s="585">
        <f t="shared" si="12"/>
        <v>35</v>
      </c>
      <c r="H143" s="585">
        <f t="shared" si="22"/>
        <v>3260</v>
      </c>
      <c r="I143" s="585">
        <f t="shared" si="23"/>
        <v>9780</v>
      </c>
    </row>
    <row r="144" spans="2:9" x14ac:dyDescent="0.35">
      <c r="B144" s="585">
        <v>126</v>
      </c>
      <c r="C144" s="662" t="str">
        <f>坦克升星消耗!AG129</f>
        <v>11T5中2</v>
      </c>
      <c r="D144" s="662">
        <f>IF(坦克升星消耗!AI129=0,0,坦克升星消耗!AI129-坦克升星消耗!AI128)</f>
        <v>5000</v>
      </c>
      <c r="E144" s="585">
        <f t="shared" si="20"/>
        <v>5000</v>
      </c>
      <c r="F144" s="585">
        <f t="shared" si="21"/>
        <v>383675</v>
      </c>
      <c r="G144" s="585">
        <f t="shared" si="12"/>
        <v>35</v>
      </c>
      <c r="H144" s="585">
        <f t="shared" si="22"/>
        <v>3295</v>
      </c>
      <c r="I144" s="585">
        <f t="shared" si="23"/>
        <v>9885</v>
      </c>
    </row>
    <row r="145" spans="2:9" x14ac:dyDescent="0.35">
      <c r="B145" s="585">
        <v>127</v>
      </c>
      <c r="C145" s="662" t="str">
        <f>坦克升星消耗!AG130</f>
        <v>11T5中3</v>
      </c>
      <c r="D145" s="662">
        <f>IF(坦克升星消耗!AI130=0,0,坦克升星消耗!AI130-坦克升星消耗!AI129)</f>
        <v>5000</v>
      </c>
      <c r="E145" s="585">
        <f t="shared" si="20"/>
        <v>5000</v>
      </c>
      <c r="F145" s="585">
        <f t="shared" si="21"/>
        <v>388675</v>
      </c>
      <c r="G145" s="585">
        <f t="shared" si="12"/>
        <v>35</v>
      </c>
      <c r="H145" s="585">
        <f t="shared" si="22"/>
        <v>3330</v>
      </c>
      <c r="I145" s="585">
        <f t="shared" si="23"/>
        <v>9990</v>
      </c>
    </row>
    <row r="146" spans="2:9" x14ac:dyDescent="0.35">
      <c r="B146" s="585">
        <v>128</v>
      </c>
      <c r="C146" s="662" t="str">
        <f>坦克升星消耗!AG131</f>
        <v>11T5中4</v>
      </c>
      <c r="D146" s="662">
        <f>IF(坦克升星消耗!AI131=0,0,坦克升星消耗!AI131-坦克升星消耗!AI130)</f>
        <v>5000</v>
      </c>
      <c r="E146" s="585">
        <f t="shared" si="20"/>
        <v>5000</v>
      </c>
      <c r="F146" s="585">
        <f t="shared" si="21"/>
        <v>393675</v>
      </c>
      <c r="G146" s="585">
        <f t="shared" si="12"/>
        <v>35</v>
      </c>
      <c r="H146" s="585">
        <f t="shared" si="22"/>
        <v>3365</v>
      </c>
      <c r="I146" s="585">
        <f t="shared" si="23"/>
        <v>10095</v>
      </c>
    </row>
    <row r="147" spans="2:9" x14ac:dyDescent="0.35">
      <c r="B147" s="585">
        <v>129</v>
      </c>
      <c r="C147" s="662" t="str">
        <f>坦克升星消耗!AG132</f>
        <v>11T5中5</v>
      </c>
      <c r="D147" s="662">
        <f>IF(坦克升星消耗!AI132=0,0,坦克升星消耗!AI132-坦克升星消耗!AI131)</f>
        <v>5000</v>
      </c>
      <c r="E147" s="585">
        <f t="shared" si="20"/>
        <v>5000</v>
      </c>
      <c r="F147" s="585">
        <f t="shared" si="21"/>
        <v>398675</v>
      </c>
      <c r="G147" s="585">
        <f t="shared" si="12"/>
        <v>35</v>
      </c>
      <c r="H147" s="585">
        <f t="shared" si="22"/>
        <v>3400</v>
      </c>
      <c r="I147" s="585">
        <f t="shared" si="23"/>
        <v>10200</v>
      </c>
    </row>
    <row r="148" spans="2:9" x14ac:dyDescent="0.35">
      <c r="B148" s="585">
        <v>130</v>
      </c>
      <c r="C148" s="662" t="str">
        <f>坦克升星消耗!AG133</f>
        <v>11T5中6</v>
      </c>
      <c r="D148" s="662">
        <f>IF(坦克升星消耗!AI133=0,0,坦克升星消耗!AI133-坦克升星消耗!AI132)</f>
        <v>5000</v>
      </c>
      <c r="E148" s="585">
        <f t="shared" si="20"/>
        <v>5000</v>
      </c>
      <c r="F148" s="585">
        <f t="shared" si="21"/>
        <v>403675</v>
      </c>
      <c r="G148" s="585">
        <f t="shared" ref="G148:G183" si="24">ROUND(POWER(E148,0.5)/10,0)*5</f>
        <v>35</v>
      </c>
      <c r="H148" s="585">
        <f t="shared" si="22"/>
        <v>3435</v>
      </c>
      <c r="I148" s="585">
        <f t="shared" si="23"/>
        <v>10305</v>
      </c>
    </row>
    <row r="149" spans="2:9" x14ac:dyDescent="0.35">
      <c r="B149" s="585">
        <v>131</v>
      </c>
      <c r="C149" s="662" t="str">
        <f>坦克升星消耗!AG134</f>
        <v>11T5中7</v>
      </c>
      <c r="D149" s="662">
        <f>IF(坦克升星消耗!AI134=0,0,坦克升星消耗!AI134-坦克升星消耗!AI133)</f>
        <v>6000</v>
      </c>
      <c r="E149" s="585">
        <f t="shared" si="20"/>
        <v>6000</v>
      </c>
      <c r="F149" s="585">
        <f t="shared" si="21"/>
        <v>409675</v>
      </c>
      <c r="G149" s="585">
        <f t="shared" si="24"/>
        <v>40</v>
      </c>
      <c r="H149" s="585">
        <f t="shared" si="22"/>
        <v>3475</v>
      </c>
      <c r="I149" s="585">
        <f t="shared" si="23"/>
        <v>10425</v>
      </c>
    </row>
    <row r="150" spans="2:9" x14ac:dyDescent="0.35">
      <c r="B150" s="585">
        <v>132</v>
      </c>
      <c r="C150" s="662" t="str">
        <f>坦克升星消耗!AG135</f>
        <v>11T5中8</v>
      </c>
      <c r="D150" s="662">
        <f>IF(坦克升星消耗!AI135=0,0,坦克升星消耗!AI135-坦克升星消耗!AI134)</f>
        <v>6000</v>
      </c>
      <c r="E150" s="585">
        <f t="shared" si="20"/>
        <v>6000</v>
      </c>
      <c r="F150" s="585">
        <f t="shared" si="21"/>
        <v>415675</v>
      </c>
      <c r="G150" s="585">
        <f t="shared" si="24"/>
        <v>40</v>
      </c>
      <c r="H150" s="585">
        <f t="shared" si="22"/>
        <v>3515</v>
      </c>
      <c r="I150" s="585">
        <f t="shared" si="23"/>
        <v>10545</v>
      </c>
    </row>
    <row r="151" spans="2:9" x14ac:dyDescent="0.35">
      <c r="B151" s="585">
        <v>133</v>
      </c>
      <c r="C151" s="662" t="str">
        <f>坦克升星消耗!AG136</f>
        <v>11T5中9</v>
      </c>
      <c r="D151" s="662">
        <f>IF(坦克升星消耗!AI136=0,0,坦克升星消耗!AI136-坦克升星消耗!AI135)</f>
        <v>6000</v>
      </c>
      <c r="E151" s="585">
        <f t="shared" si="20"/>
        <v>6000</v>
      </c>
      <c r="F151" s="585">
        <f t="shared" si="21"/>
        <v>421675</v>
      </c>
      <c r="G151" s="585">
        <f t="shared" si="24"/>
        <v>40</v>
      </c>
      <c r="H151" s="585">
        <f t="shared" si="22"/>
        <v>3555</v>
      </c>
      <c r="I151" s="585">
        <f t="shared" si="23"/>
        <v>10665</v>
      </c>
    </row>
    <row r="152" spans="2:9" x14ac:dyDescent="0.35">
      <c r="B152" s="585">
        <v>134</v>
      </c>
      <c r="C152" s="662" t="str">
        <f>坦克升星消耗!AG137</f>
        <v>11T5中10</v>
      </c>
      <c r="D152" s="662">
        <f>IF(坦克升星消耗!AI137=0,0,坦克升星消耗!AI137-坦克升星消耗!AI136)</f>
        <v>6000</v>
      </c>
      <c r="E152" s="585">
        <f t="shared" si="20"/>
        <v>6000</v>
      </c>
      <c r="F152" s="585">
        <f t="shared" si="21"/>
        <v>427675</v>
      </c>
      <c r="G152" s="585">
        <f t="shared" si="24"/>
        <v>40</v>
      </c>
      <c r="H152" s="585">
        <f t="shared" si="22"/>
        <v>3595</v>
      </c>
      <c r="I152" s="585">
        <f t="shared" si="23"/>
        <v>10785</v>
      </c>
    </row>
    <row r="153" spans="2:9" x14ac:dyDescent="0.35">
      <c r="B153" s="585">
        <v>135</v>
      </c>
      <c r="C153" s="662" t="str">
        <f>坦克升星消耗!AG138</f>
        <v>11T5中11</v>
      </c>
      <c r="D153" s="662">
        <f>IF(坦克升星消耗!AI138=0,0,坦克升星消耗!AI138-坦克升星消耗!AI137)</f>
        <v>6000</v>
      </c>
      <c r="E153" s="585">
        <f t="shared" si="20"/>
        <v>6000</v>
      </c>
      <c r="F153" s="585">
        <f t="shared" si="21"/>
        <v>433675</v>
      </c>
      <c r="G153" s="585">
        <f t="shared" si="24"/>
        <v>40</v>
      </c>
      <c r="H153" s="585">
        <f t="shared" si="22"/>
        <v>3635</v>
      </c>
      <c r="I153" s="585">
        <f t="shared" si="23"/>
        <v>10905</v>
      </c>
    </row>
    <row r="154" spans="2:9" x14ac:dyDescent="0.35">
      <c r="B154" s="585">
        <v>136</v>
      </c>
      <c r="C154" s="662" t="str">
        <f>坦克升星消耗!AG139</f>
        <v>11T5中12</v>
      </c>
      <c r="D154" s="662">
        <f>IF(坦克升星消耗!AI139=0,0,坦克升星消耗!AI139-坦克升星消耗!AI138)</f>
        <v>6000</v>
      </c>
      <c r="E154" s="585">
        <f t="shared" si="20"/>
        <v>6000</v>
      </c>
      <c r="F154" s="585">
        <f t="shared" si="21"/>
        <v>439675</v>
      </c>
      <c r="G154" s="585">
        <f t="shared" si="24"/>
        <v>40</v>
      </c>
      <c r="H154" s="585">
        <f t="shared" si="22"/>
        <v>3675</v>
      </c>
      <c r="I154" s="585">
        <f t="shared" si="23"/>
        <v>11025</v>
      </c>
    </row>
    <row r="155" spans="2:9" x14ac:dyDescent="0.35">
      <c r="B155" s="585">
        <v>137</v>
      </c>
      <c r="C155" s="662" t="str">
        <f>坦克升星消耗!AG140</f>
        <v>11T5中13</v>
      </c>
      <c r="D155" s="662">
        <f>IF(坦克升星消耗!AI140=0,0,坦克升星消耗!AI140-坦克升星消耗!AI139)</f>
        <v>6000</v>
      </c>
      <c r="E155" s="585">
        <f t="shared" si="20"/>
        <v>6000</v>
      </c>
      <c r="F155" s="585">
        <f t="shared" si="21"/>
        <v>445675</v>
      </c>
      <c r="G155" s="585">
        <f t="shared" si="24"/>
        <v>40</v>
      </c>
      <c r="H155" s="585">
        <f t="shared" si="22"/>
        <v>3715</v>
      </c>
      <c r="I155" s="585">
        <f t="shared" si="23"/>
        <v>11145</v>
      </c>
    </row>
    <row r="156" spans="2:9" x14ac:dyDescent="0.35">
      <c r="B156" s="585">
        <v>138</v>
      </c>
      <c r="C156" s="662" t="str">
        <f>坦克升星消耗!AG141</f>
        <v>11T5中14</v>
      </c>
      <c r="D156" s="662">
        <f>IF(坦克升星消耗!AI141=0,0,坦克升星消耗!AI141-坦克升星消耗!AI140)</f>
        <v>8000</v>
      </c>
      <c r="E156" s="585">
        <f t="shared" si="20"/>
        <v>8000</v>
      </c>
      <c r="F156" s="585">
        <f t="shared" si="21"/>
        <v>453675</v>
      </c>
      <c r="G156" s="585">
        <f t="shared" si="24"/>
        <v>45</v>
      </c>
      <c r="H156" s="585">
        <f t="shared" si="22"/>
        <v>3760</v>
      </c>
      <c r="I156" s="585">
        <f t="shared" si="23"/>
        <v>11280</v>
      </c>
    </row>
    <row r="157" spans="2:9" x14ac:dyDescent="0.35">
      <c r="B157" s="585">
        <v>139</v>
      </c>
      <c r="C157" s="662" t="str">
        <f>坦克升星消耗!AG142</f>
        <v>11T5中15</v>
      </c>
      <c r="D157" s="662">
        <f>IF(坦克升星消耗!AI142=0,0,坦克升星消耗!AI142-坦克升星消耗!AI141)</f>
        <v>8000</v>
      </c>
      <c r="E157" s="585">
        <f t="shared" si="20"/>
        <v>8000</v>
      </c>
      <c r="F157" s="585">
        <f t="shared" si="21"/>
        <v>461675</v>
      </c>
      <c r="G157" s="585">
        <f t="shared" si="24"/>
        <v>45</v>
      </c>
      <c r="H157" s="585">
        <f t="shared" si="22"/>
        <v>3805</v>
      </c>
      <c r="I157" s="585">
        <f t="shared" si="23"/>
        <v>11415</v>
      </c>
    </row>
    <row r="158" spans="2:9" x14ac:dyDescent="0.35">
      <c r="B158" s="585">
        <v>140</v>
      </c>
      <c r="C158" s="662" t="str">
        <f>坦克升星消耗!AG143</f>
        <v>11T5中16</v>
      </c>
      <c r="D158" s="662">
        <f>IF(坦克升星消耗!AI143=0,0,坦克升星消耗!AI143-坦克升星消耗!AI142)</f>
        <v>8000</v>
      </c>
      <c r="E158" s="585">
        <f t="shared" si="20"/>
        <v>8000</v>
      </c>
      <c r="F158" s="585">
        <f t="shared" si="21"/>
        <v>469675</v>
      </c>
      <c r="G158" s="585">
        <f t="shared" si="24"/>
        <v>45</v>
      </c>
      <c r="H158" s="585">
        <f t="shared" si="22"/>
        <v>3850</v>
      </c>
      <c r="I158" s="585">
        <f t="shared" si="23"/>
        <v>11550</v>
      </c>
    </row>
    <row r="159" spans="2:9" x14ac:dyDescent="0.35">
      <c r="B159" s="585">
        <v>141</v>
      </c>
      <c r="C159" s="662" t="str">
        <f>坦克升星消耗!AG144</f>
        <v>11T5中17</v>
      </c>
      <c r="D159" s="662">
        <f>IF(坦克升星消耗!AI144=0,0,坦克升星消耗!AI144-坦克升星消耗!AI143)</f>
        <v>8000</v>
      </c>
      <c r="E159" s="585">
        <f t="shared" si="20"/>
        <v>8000</v>
      </c>
      <c r="F159" s="585">
        <f t="shared" si="21"/>
        <v>477675</v>
      </c>
      <c r="G159" s="585">
        <f t="shared" si="24"/>
        <v>45</v>
      </c>
      <c r="H159" s="585">
        <f t="shared" si="22"/>
        <v>3895</v>
      </c>
      <c r="I159" s="585">
        <f t="shared" si="23"/>
        <v>11685</v>
      </c>
    </row>
    <row r="160" spans="2:9" x14ac:dyDescent="0.35">
      <c r="B160" s="585">
        <v>142</v>
      </c>
      <c r="C160" s="662" t="str">
        <f>坦克升星消耗!AG145</f>
        <v>11T5中18</v>
      </c>
      <c r="D160" s="662">
        <f>IF(坦克升星消耗!AI145=0,0,坦克升星消耗!AI145-坦克升星消耗!AI144)</f>
        <v>8000</v>
      </c>
      <c r="E160" s="585">
        <f t="shared" si="20"/>
        <v>8000</v>
      </c>
      <c r="F160" s="585">
        <f t="shared" si="21"/>
        <v>485675</v>
      </c>
      <c r="G160" s="585">
        <f t="shared" si="24"/>
        <v>45</v>
      </c>
      <c r="H160" s="585">
        <f t="shared" si="22"/>
        <v>3940</v>
      </c>
      <c r="I160" s="585">
        <f t="shared" si="23"/>
        <v>11820</v>
      </c>
    </row>
    <row r="161" spans="2:9" x14ac:dyDescent="0.35">
      <c r="B161" s="585">
        <v>143</v>
      </c>
      <c r="C161" s="662" t="str">
        <f>坦克升星消耗!AG146</f>
        <v>11T5中19</v>
      </c>
      <c r="D161" s="662">
        <f>IF(坦克升星消耗!AI146=0,0,坦克升星消耗!AI146-坦克升星消耗!AI145)</f>
        <v>8000</v>
      </c>
      <c r="E161" s="585">
        <f t="shared" si="20"/>
        <v>8000</v>
      </c>
      <c r="F161" s="585">
        <f t="shared" si="21"/>
        <v>493675</v>
      </c>
      <c r="G161" s="585">
        <f t="shared" si="24"/>
        <v>45</v>
      </c>
      <c r="H161" s="585">
        <f t="shared" si="22"/>
        <v>3985</v>
      </c>
      <c r="I161" s="585">
        <f t="shared" si="23"/>
        <v>11955</v>
      </c>
    </row>
    <row r="162" spans="2:9" x14ac:dyDescent="0.35">
      <c r="B162" s="585">
        <v>144</v>
      </c>
      <c r="C162" s="662" t="str">
        <f>坦克升星消耗!AG147</f>
        <v>11T5中20</v>
      </c>
      <c r="D162" s="662">
        <f>IF(坦克升星消耗!AI147=0,0,坦克升星消耗!AI147-坦克升星消耗!AI146)</f>
        <v>8000</v>
      </c>
      <c r="E162" s="585">
        <f t="shared" si="20"/>
        <v>8000</v>
      </c>
      <c r="F162" s="585">
        <f t="shared" si="21"/>
        <v>501675</v>
      </c>
      <c r="G162" s="585">
        <f t="shared" si="24"/>
        <v>45</v>
      </c>
      <c r="H162" s="585">
        <f t="shared" si="22"/>
        <v>4030</v>
      </c>
      <c r="I162" s="585">
        <f t="shared" si="23"/>
        <v>12090</v>
      </c>
    </row>
    <row r="163" spans="2:9" x14ac:dyDescent="0.35">
      <c r="B163" s="585">
        <v>145</v>
      </c>
      <c r="C163" s="662" t="str">
        <f>坦克升星消耗!AG148</f>
        <v>12T5高0</v>
      </c>
      <c r="D163" s="662">
        <f>IF(坦克升星消耗!AI148=0,0,坦克升星消耗!AI148-坦克升星消耗!AI147)</f>
        <v>0</v>
      </c>
      <c r="E163" s="585">
        <f t="shared" si="20"/>
        <v>19600</v>
      </c>
      <c r="F163" s="585">
        <f t="shared" si="21"/>
        <v>521275</v>
      </c>
      <c r="G163" s="585">
        <f t="shared" si="24"/>
        <v>70</v>
      </c>
      <c r="H163" s="585">
        <f t="shared" si="22"/>
        <v>4100</v>
      </c>
      <c r="I163" s="585">
        <f t="shared" si="23"/>
        <v>12300</v>
      </c>
    </row>
    <row r="164" spans="2:9" x14ac:dyDescent="0.35">
      <c r="B164" s="585">
        <v>146</v>
      </c>
      <c r="C164" s="662" t="str">
        <f>坦克升星消耗!AG149</f>
        <v>12T5高1</v>
      </c>
      <c r="D164" s="662">
        <f>IF(坦克升星消耗!AI149=0,0,坦克升星消耗!AI149-坦克升星消耗!AI148)</f>
        <v>6125</v>
      </c>
      <c r="E164" s="585">
        <f t="shared" si="20"/>
        <v>6125</v>
      </c>
      <c r="F164" s="585">
        <f t="shared" si="21"/>
        <v>527400</v>
      </c>
      <c r="G164" s="585">
        <f t="shared" si="24"/>
        <v>40</v>
      </c>
      <c r="H164" s="585">
        <f t="shared" si="22"/>
        <v>4140</v>
      </c>
      <c r="I164" s="585">
        <f t="shared" si="23"/>
        <v>12420</v>
      </c>
    </row>
    <row r="165" spans="2:9" x14ac:dyDescent="0.35">
      <c r="B165" s="585">
        <v>147</v>
      </c>
      <c r="C165" s="662" t="str">
        <f>坦克升星消耗!AG150</f>
        <v>12T5高2</v>
      </c>
      <c r="D165" s="662">
        <f>IF(坦克升星消耗!AI150=0,0,坦克升星消耗!AI150-坦克升星消耗!AI149)</f>
        <v>6125</v>
      </c>
      <c r="E165" s="585">
        <f t="shared" si="20"/>
        <v>6125</v>
      </c>
      <c r="F165" s="585">
        <f t="shared" si="21"/>
        <v>533525</v>
      </c>
      <c r="G165" s="585">
        <f t="shared" si="24"/>
        <v>40</v>
      </c>
      <c r="H165" s="585">
        <f t="shared" si="22"/>
        <v>4180</v>
      </c>
      <c r="I165" s="585">
        <f t="shared" si="23"/>
        <v>12540</v>
      </c>
    </row>
    <row r="166" spans="2:9" x14ac:dyDescent="0.35">
      <c r="B166" s="585">
        <v>148</v>
      </c>
      <c r="C166" s="662" t="str">
        <f>坦克升星消耗!AG151</f>
        <v>12T5高3</v>
      </c>
      <c r="D166" s="662">
        <f>IF(坦克升星消耗!AI151=0,0,坦克升星消耗!AI151-坦克升星消耗!AI150)</f>
        <v>6125</v>
      </c>
      <c r="E166" s="585">
        <f t="shared" si="20"/>
        <v>6125</v>
      </c>
      <c r="F166" s="585">
        <f t="shared" si="21"/>
        <v>539650</v>
      </c>
      <c r="G166" s="585">
        <f t="shared" si="24"/>
        <v>40</v>
      </c>
      <c r="H166" s="585">
        <f t="shared" si="22"/>
        <v>4220</v>
      </c>
      <c r="I166" s="585">
        <f t="shared" si="23"/>
        <v>12660</v>
      </c>
    </row>
    <row r="167" spans="2:9" x14ac:dyDescent="0.35">
      <c r="B167" s="585">
        <v>149</v>
      </c>
      <c r="C167" s="662" t="str">
        <f>坦克升星消耗!AG152</f>
        <v>12T5高4</v>
      </c>
      <c r="D167" s="662">
        <f>IF(坦克升星消耗!AI152=0,0,坦克升星消耗!AI152-坦克升星消耗!AI151)</f>
        <v>6125</v>
      </c>
      <c r="E167" s="585">
        <f t="shared" si="20"/>
        <v>6125</v>
      </c>
      <c r="F167" s="585">
        <f t="shared" si="21"/>
        <v>545775</v>
      </c>
      <c r="G167" s="585">
        <f t="shared" si="24"/>
        <v>40</v>
      </c>
      <c r="H167" s="585">
        <f t="shared" si="22"/>
        <v>4260</v>
      </c>
      <c r="I167" s="585">
        <f t="shared" si="23"/>
        <v>12780</v>
      </c>
    </row>
    <row r="168" spans="2:9" x14ac:dyDescent="0.35">
      <c r="B168" s="585">
        <v>150</v>
      </c>
      <c r="C168" s="662" t="str">
        <f>坦克升星消耗!AG153</f>
        <v>12T5高5</v>
      </c>
      <c r="D168" s="662">
        <f>IF(坦克升星消耗!AI153=0,0,坦克升星消耗!AI153-坦克升星消耗!AI152)</f>
        <v>6125</v>
      </c>
      <c r="E168" s="585">
        <f t="shared" si="20"/>
        <v>6125</v>
      </c>
      <c r="F168" s="585">
        <f t="shared" si="21"/>
        <v>551900</v>
      </c>
      <c r="G168" s="585">
        <f t="shared" si="24"/>
        <v>40</v>
      </c>
      <c r="H168" s="585">
        <f t="shared" si="22"/>
        <v>4300</v>
      </c>
      <c r="I168" s="585">
        <f t="shared" si="23"/>
        <v>12900</v>
      </c>
    </row>
    <row r="169" spans="2:9" x14ac:dyDescent="0.35">
      <c r="B169" s="585">
        <v>151</v>
      </c>
      <c r="C169" s="662" t="str">
        <f>坦克升星消耗!AG154</f>
        <v>12T5高6</v>
      </c>
      <c r="D169" s="662">
        <f>IF(坦克升星消耗!AI154=0,0,坦克升星消耗!AI154-坦克升星消耗!AI153)</f>
        <v>6125</v>
      </c>
      <c r="E169" s="585">
        <f t="shared" si="20"/>
        <v>6125</v>
      </c>
      <c r="F169" s="585">
        <f t="shared" si="21"/>
        <v>558025</v>
      </c>
      <c r="G169" s="585">
        <f t="shared" si="24"/>
        <v>40</v>
      </c>
      <c r="H169" s="585">
        <f t="shared" si="22"/>
        <v>4340</v>
      </c>
      <c r="I169" s="585">
        <f t="shared" si="23"/>
        <v>13020</v>
      </c>
    </row>
    <row r="170" spans="2:9" x14ac:dyDescent="0.35">
      <c r="B170" s="585">
        <v>152</v>
      </c>
      <c r="C170" s="662" t="str">
        <f>坦克升星消耗!AG155</f>
        <v>12T5高7</v>
      </c>
      <c r="D170" s="662">
        <f>IF(坦克升星消耗!AI155=0,0,坦克升星消耗!AI155-坦克升星消耗!AI154)</f>
        <v>8575</v>
      </c>
      <c r="E170" s="585">
        <f t="shared" si="20"/>
        <v>8575</v>
      </c>
      <c r="F170" s="585">
        <f t="shared" si="21"/>
        <v>566600</v>
      </c>
      <c r="G170" s="585">
        <f t="shared" si="24"/>
        <v>45</v>
      </c>
      <c r="H170" s="585">
        <f t="shared" si="22"/>
        <v>4385</v>
      </c>
      <c r="I170" s="585">
        <f t="shared" si="23"/>
        <v>13155</v>
      </c>
    </row>
    <row r="171" spans="2:9" x14ac:dyDescent="0.35">
      <c r="B171" s="585">
        <v>153</v>
      </c>
      <c r="C171" s="662" t="str">
        <f>坦克升星消耗!AG156</f>
        <v>12T5高8</v>
      </c>
      <c r="D171" s="662">
        <f>IF(坦克升星消耗!AI156=0,0,坦克升星消耗!AI156-坦克升星消耗!AI155)</f>
        <v>8575</v>
      </c>
      <c r="E171" s="585">
        <f t="shared" si="20"/>
        <v>8575</v>
      </c>
      <c r="F171" s="585">
        <f t="shared" si="21"/>
        <v>575175</v>
      </c>
      <c r="G171" s="585">
        <f t="shared" si="24"/>
        <v>45</v>
      </c>
      <c r="H171" s="585">
        <f t="shared" si="22"/>
        <v>4430</v>
      </c>
      <c r="I171" s="585">
        <f t="shared" si="23"/>
        <v>13290</v>
      </c>
    </row>
    <row r="172" spans="2:9" x14ac:dyDescent="0.35">
      <c r="B172" s="585">
        <v>154</v>
      </c>
      <c r="C172" s="662" t="str">
        <f>坦克升星消耗!AG157</f>
        <v>12T5高9</v>
      </c>
      <c r="D172" s="662">
        <f>IF(坦克升星消耗!AI157=0,0,坦克升星消耗!AI157-坦克升星消耗!AI156)</f>
        <v>8575</v>
      </c>
      <c r="E172" s="585">
        <f t="shared" si="20"/>
        <v>8575</v>
      </c>
      <c r="F172" s="585">
        <f t="shared" si="21"/>
        <v>583750</v>
      </c>
      <c r="G172" s="585">
        <f t="shared" si="24"/>
        <v>45</v>
      </c>
      <c r="H172" s="585">
        <f t="shared" si="22"/>
        <v>4475</v>
      </c>
      <c r="I172" s="585">
        <f t="shared" si="23"/>
        <v>13425</v>
      </c>
    </row>
    <row r="173" spans="2:9" x14ac:dyDescent="0.35">
      <c r="B173" s="585">
        <v>155</v>
      </c>
      <c r="C173" s="662" t="str">
        <f>坦克升星消耗!AG158</f>
        <v>12T5高10</v>
      </c>
      <c r="D173" s="662">
        <f>IF(坦克升星消耗!AI158=0,0,坦克升星消耗!AI158-坦克升星消耗!AI157)</f>
        <v>8575</v>
      </c>
      <c r="E173" s="585">
        <f t="shared" si="20"/>
        <v>8575</v>
      </c>
      <c r="F173" s="585">
        <f t="shared" si="21"/>
        <v>592325</v>
      </c>
      <c r="G173" s="585">
        <f t="shared" si="24"/>
        <v>45</v>
      </c>
      <c r="H173" s="585">
        <f t="shared" si="22"/>
        <v>4520</v>
      </c>
      <c r="I173" s="585">
        <f t="shared" si="23"/>
        <v>13560</v>
      </c>
    </row>
    <row r="174" spans="2:9" x14ac:dyDescent="0.35">
      <c r="B174" s="585">
        <v>156</v>
      </c>
      <c r="C174" s="662" t="str">
        <f>坦克升星消耗!AG159</f>
        <v>12T5高11</v>
      </c>
      <c r="D174" s="662">
        <f>IF(坦克升星消耗!AI159=0,0,坦克升星消耗!AI159-坦克升星消耗!AI158)</f>
        <v>8575</v>
      </c>
      <c r="E174" s="585">
        <f t="shared" si="20"/>
        <v>8575</v>
      </c>
      <c r="F174" s="585">
        <f t="shared" si="21"/>
        <v>600900</v>
      </c>
      <c r="G174" s="585">
        <f t="shared" si="24"/>
        <v>45</v>
      </c>
      <c r="H174" s="585">
        <f t="shared" si="22"/>
        <v>4565</v>
      </c>
      <c r="I174" s="585">
        <f t="shared" si="23"/>
        <v>13695</v>
      </c>
    </row>
    <row r="175" spans="2:9" x14ac:dyDescent="0.35">
      <c r="B175" s="585">
        <v>157</v>
      </c>
      <c r="C175" s="662" t="str">
        <f>坦克升星消耗!AG160</f>
        <v>12T5高12</v>
      </c>
      <c r="D175" s="662">
        <f>IF(坦克升星消耗!AI160=0,0,坦克升星消耗!AI160-坦克升星消耗!AI159)</f>
        <v>8575</v>
      </c>
      <c r="E175" s="585">
        <f t="shared" si="20"/>
        <v>8575</v>
      </c>
      <c r="F175" s="585">
        <f t="shared" si="21"/>
        <v>609475</v>
      </c>
      <c r="G175" s="585">
        <f t="shared" si="24"/>
        <v>45</v>
      </c>
      <c r="H175" s="585">
        <f t="shared" si="22"/>
        <v>4610</v>
      </c>
      <c r="I175" s="585">
        <f t="shared" si="23"/>
        <v>13830</v>
      </c>
    </row>
    <row r="176" spans="2:9" x14ac:dyDescent="0.35">
      <c r="B176" s="585">
        <v>158</v>
      </c>
      <c r="C176" s="662" t="str">
        <f>坦克升星消耗!AG161</f>
        <v>12T5高13</v>
      </c>
      <c r="D176" s="662">
        <f>IF(坦克升星消耗!AI161=0,0,坦克升星消耗!AI161-坦克升星消耗!AI160)</f>
        <v>8575</v>
      </c>
      <c r="E176" s="585">
        <f t="shared" si="20"/>
        <v>8575</v>
      </c>
      <c r="F176" s="585">
        <f t="shared" si="21"/>
        <v>618050</v>
      </c>
      <c r="G176" s="585">
        <f t="shared" si="24"/>
        <v>45</v>
      </c>
      <c r="H176" s="585">
        <f t="shared" si="22"/>
        <v>4655</v>
      </c>
      <c r="I176" s="585">
        <f t="shared" si="23"/>
        <v>13965</v>
      </c>
    </row>
    <row r="177" spans="2:9" x14ac:dyDescent="0.35">
      <c r="B177" s="585">
        <v>159</v>
      </c>
      <c r="C177" s="662" t="str">
        <f>坦克升星消耗!AG162</f>
        <v>12T5高14</v>
      </c>
      <c r="D177" s="662">
        <f>IF(坦克升星消耗!AI162=0,0,坦克升星消耗!AI162-坦克升星消耗!AI161)</f>
        <v>11025</v>
      </c>
      <c r="E177" s="585">
        <f t="shared" si="20"/>
        <v>11025</v>
      </c>
      <c r="F177" s="585">
        <f t="shared" si="21"/>
        <v>629075</v>
      </c>
      <c r="G177" s="585">
        <f t="shared" si="24"/>
        <v>55</v>
      </c>
      <c r="H177" s="585">
        <f t="shared" si="22"/>
        <v>4710</v>
      </c>
      <c r="I177" s="585">
        <f t="shared" si="23"/>
        <v>14130</v>
      </c>
    </row>
    <row r="178" spans="2:9" x14ac:dyDescent="0.35">
      <c r="B178" s="585">
        <v>160</v>
      </c>
      <c r="C178" s="662" t="str">
        <f>坦克升星消耗!AG163</f>
        <v>12T5高15</v>
      </c>
      <c r="D178" s="662">
        <f>IF(坦克升星消耗!AI163=0,0,坦克升星消耗!AI163-坦克升星消耗!AI162)</f>
        <v>11025</v>
      </c>
      <c r="E178" s="585">
        <f t="shared" si="20"/>
        <v>11025</v>
      </c>
      <c r="F178" s="585">
        <f t="shared" si="21"/>
        <v>640100</v>
      </c>
      <c r="G178" s="585">
        <f t="shared" si="24"/>
        <v>55</v>
      </c>
      <c r="H178" s="585">
        <f t="shared" si="22"/>
        <v>4765</v>
      </c>
      <c r="I178" s="585">
        <f t="shared" si="23"/>
        <v>14295</v>
      </c>
    </row>
    <row r="179" spans="2:9" x14ac:dyDescent="0.35">
      <c r="B179" s="585">
        <v>161</v>
      </c>
      <c r="C179" s="662" t="str">
        <f>坦克升星消耗!AG164</f>
        <v>12T5高16</v>
      </c>
      <c r="D179" s="662">
        <f>IF(坦克升星消耗!AI164=0,0,坦克升星消耗!AI164-坦克升星消耗!AI163)</f>
        <v>11025</v>
      </c>
      <c r="E179" s="585">
        <f t="shared" si="20"/>
        <v>11025</v>
      </c>
      <c r="F179" s="585">
        <f t="shared" si="21"/>
        <v>651125</v>
      </c>
      <c r="G179" s="585">
        <f t="shared" si="24"/>
        <v>55</v>
      </c>
      <c r="H179" s="585">
        <f t="shared" si="22"/>
        <v>4820</v>
      </c>
      <c r="I179" s="585">
        <f t="shared" si="23"/>
        <v>14460</v>
      </c>
    </row>
    <row r="180" spans="2:9" x14ac:dyDescent="0.35">
      <c r="B180" s="585">
        <v>162</v>
      </c>
      <c r="C180" s="662" t="str">
        <f>坦克升星消耗!AG165</f>
        <v>12T5高17</v>
      </c>
      <c r="D180" s="662">
        <f>IF(坦克升星消耗!AI165=0,0,坦克升星消耗!AI165-坦克升星消耗!AI164)</f>
        <v>11025</v>
      </c>
      <c r="E180" s="585">
        <f t="shared" si="20"/>
        <v>11025</v>
      </c>
      <c r="F180" s="585">
        <f t="shared" si="21"/>
        <v>662150</v>
      </c>
      <c r="G180" s="585">
        <f t="shared" si="24"/>
        <v>55</v>
      </c>
      <c r="H180" s="585">
        <f t="shared" si="22"/>
        <v>4875</v>
      </c>
      <c r="I180" s="585">
        <f t="shared" si="23"/>
        <v>14625</v>
      </c>
    </row>
    <row r="181" spans="2:9" x14ac:dyDescent="0.35">
      <c r="B181" s="585">
        <v>163</v>
      </c>
      <c r="C181" s="662" t="str">
        <f>坦克升星消耗!AG166</f>
        <v>12T5高18</v>
      </c>
      <c r="D181" s="662">
        <f>IF(坦克升星消耗!AI166=0,0,坦克升星消耗!AI166-坦克升星消耗!AI165)</f>
        <v>11025</v>
      </c>
      <c r="E181" s="585">
        <f t="shared" si="20"/>
        <v>11025</v>
      </c>
      <c r="F181" s="585">
        <f t="shared" si="21"/>
        <v>673175</v>
      </c>
      <c r="G181" s="585">
        <f t="shared" si="24"/>
        <v>55</v>
      </c>
      <c r="H181" s="585">
        <f t="shared" si="22"/>
        <v>4930</v>
      </c>
      <c r="I181" s="585">
        <f t="shared" si="23"/>
        <v>14790</v>
      </c>
    </row>
    <row r="182" spans="2:9" x14ac:dyDescent="0.35">
      <c r="B182" s="585">
        <v>164</v>
      </c>
      <c r="C182" s="662" t="str">
        <f>坦克升星消耗!AG167</f>
        <v>12T5高19</v>
      </c>
      <c r="D182" s="662">
        <f>IF(坦克升星消耗!AI167=0,0,坦克升星消耗!AI167-坦克升星消耗!AI166)</f>
        <v>11025</v>
      </c>
      <c r="E182" s="585">
        <f t="shared" si="20"/>
        <v>11025</v>
      </c>
      <c r="F182" s="585">
        <f t="shared" si="21"/>
        <v>684200</v>
      </c>
      <c r="G182" s="585">
        <f t="shared" si="24"/>
        <v>55</v>
      </c>
      <c r="H182" s="585">
        <f t="shared" si="22"/>
        <v>4985</v>
      </c>
      <c r="I182" s="585">
        <f t="shared" si="23"/>
        <v>14955</v>
      </c>
    </row>
    <row r="183" spans="2:9" x14ac:dyDescent="0.35">
      <c r="B183" s="585">
        <v>165</v>
      </c>
      <c r="C183" s="662" t="str">
        <f>坦克升星消耗!AG168</f>
        <v>12T5高20</v>
      </c>
      <c r="D183" s="662">
        <f>IF(坦克升星消耗!AI168=0,0,坦克升星消耗!AI168-坦克升星消耗!AI167)</f>
        <v>11025</v>
      </c>
      <c r="E183" s="585">
        <f t="shared" si="20"/>
        <v>11025</v>
      </c>
      <c r="F183" s="585">
        <f t="shared" si="21"/>
        <v>695225</v>
      </c>
      <c r="G183" s="585">
        <f t="shared" si="24"/>
        <v>55</v>
      </c>
      <c r="H183" s="585">
        <f t="shared" si="22"/>
        <v>5040</v>
      </c>
      <c r="I183" s="585">
        <f t="shared" si="23"/>
        <v>15120</v>
      </c>
    </row>
  </sheetData>
  <phoneticPr fontId="10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B2:AR123"/>
  <sheetViews>
    <sheetView topLeftCell="A19" workbookViewId="0">
      <selection activeCell="F64" sqref="F64"/>
    </sheetView>
  </sheetViews>
  <sheetFormatPr defaultColWidth="9" defaultRowHeight="13" x14ac:dyDescent="0.35"/>
  <cols>
    <col min="1" max="16384" width="9" style="158"/>
  </cols>
  <sheetData>
    <row r="2" spans="2:42" x14ac:dyDescent="0.35">
      <c r="B2" s="762" t="s">
        <v>1178</v>
      </c>
      <c r="C2" s="762"/>
      <c r="D2" s="762"/>
      <c r="E2" s="762"/>
      <c r="F2" s="762"/>
      <c r="H2" s="764" t="s">
        <v>1177</v>
      </c>
      <c r="I2" s="736"/>
      <c r="J2" s="736"/>
      <c r="K2" s="737"/>
      <c r="N2" s="754" t="s">
        <v>1139</v>
      </c>
      <c r="O2" s="755"/>
      <c r="P2" s="755"/>
      <c r="Q2" s="755"/>
      <c r="R2" s="755"/>
      <c r="S2" s="755"/>
      <c r="T2" s="755"/>
      <c r="U2" s="755"/>
      <c r="V2" s="755"/>
      <c r="W2" s="755"/>
      <c r="X2" s="755"/>
      <c r="Y2" s="755"/>
      <c r="Z2" s="755"/>
      <c r="AA2" s="755"/>
      <c r="AB2" s="755"/>
      <c r="AC2" s="755"/>
      <c r="AD2" s="755"/>
      <c r="AE2" s="755"/>
      <c r="AF2" s="755"/>
      <c r="AG2" s="755"/>
      <c r="AH2" s="755"/>
      <c r="AI2" s="755"/>
      <c r="AJ2" s="755"/>
      <c r="AK2" s="756"/>
    </row>
    <row r="3" spans="2:42" x14ac:dyDescent="0.35">
      <c r="B3" s="436" t="s">
        <v>903</v>
      </c>
      <c r="C3" s="436" t="s">
        <v>904</v>
      </c>
      <c r="D3" s="438" t="s">
        <v>2021</v>
      </c>
      <c r="E3" s="438" t="s">
        <v>2020</v>
      </c>
      <c r="F3" s="438" t="s">
        <v>2022</v>
      </c>
      <c r="G3" s="157"/>
      <c r="H3" s="220" t="s">
        <v>919</v>
      </c>
      <c r="I3" s="221" t="s">
        <v>574</v>
      </c>
      <c r="J3" s="221" t="s">
        <v>576</v>
      </c>
      <c r="K3" s="220" t="s">
        <v>582</v>
      </c>
      <c r="N3" s="222" t="s">
        <v>1131</v>
      </c>
      <c r="O3" s="222" t="s">
        <v>1133</v>
      </c>
      <c r="P3" s="222" t="s">
        <v>1134</v>
      </c>
      <c r="Q3" s="222" t="s">
        <v>1135</v>
      </c>
      <c r="R3" s="222" t="s">
        <v>1136</v>
      </c>
      <c r="S3" s="222" t="s">
        <v>1137</v>
      </c>
      <c r="T3" s="222" t="s">
        <v>1138</v>
      </c>
      <c r="U3" s="218" t="s">
        <v>1102</v>
      </c>
      <c r="V3" s="218" t="s">
        <v>1103</v>
      </c>
      <c r="W3" s="218" t="s">
        <v>1104</v>
      </c>
      <c r="X3" s="218" t="s">
        <v>1105</v>
      </c>
      <c r="Y3" s="218" t="s">
        <v>1106</v>
      </c>
      <c r="Z3" s="218" t="s">
        <v>1107</v>
      </c>
      <c r="AA3" s="218" t="s">
        <v>1108</v>
      </c>
      <c r="AB3" s="218" t="s">
        <v>1109</v>
      </c>
      <c r="AC3" s="218" t="s">
        <v>1110</v>
      </c>
      <c r="AD3" s="218" t="s">
        <v>1111</v>
      </c>
      <c r="AE3" s="218" t="s">
        <v>1112</v>
      </c>
      <c r="AF3" s="218" t="s">
        <v>1113</v>
      </c>
      <c r="AG3" s="520" t="s">
        <v>2180</v>
      </c>
      <c r="AH3" s="520" t="s">
        <v>2182</v>
      </c>
      <c r="AI3" s="520" t="s">
        <v>2183</v>
      </c>
      <c r="AJ3" s="520" t="s">
        <v>2184</v>
      </c>
      <c r="AK3" s="520" t="s">
        <v>2185</v>
      </c>
    </row>
    <row r="4" spans="2:42" x14ac:dyDescent="0.35">
      <c r="B4" s="437" t="s">
        <v>1102</v>
      </c>
      <c r="C4" s="159">
        <f>基础经济系数!F33</f>
        <v>300</v>
      </c>
      <c r="D4" s="503">
        <v>0.05</v>
      </c>
      <c r="E4" s="159">
        <f>ROUND(C4*D4,0)</f>
        <v>15</v>
      </c>
      <c r="F4" s="159">
        <f>ROUND(E4*$R$73/500,0)*500</f>
        <v>6000</v>
      </c>
      <c r="G4" s="211"/>
      <c r="H4" s="219" t="s">
        <v>615</v>
      </c>
      <c r="I4" s="219" t="str">
        <f>VLOOKUP(H4,坦克个性化设定!$B$18:$E$48,3,FALSE)</f>
        <v>轻坦</v>
      </c>
      <c r="J4" s="159" t="str">
        <f>VLOOKUP(H4,坦克个性化设定!$B$18:$E$48,4,FALSE)</f>
        <v>T1</v>
      </c>
      <c r="K4" s="159" t="str">
        <f>VLOOKUP(H4,坦克个性化细分!$I$3:$J$33,2,FALSE)</f>
        <v>低</v>
      </c>
      <c r="N4" s="218">
        <v>1</v>
      </c>
      <c r="O4" s="218" t="s">
        <v>1102</v>
      </c>
      <c r="P4" s="218"/>
      <c r="Q4" s="218"/>
      <c r="R4" s="218" t="str">
        <f>游戏时长规划!C83</f>
        <v>T1低</v>
      </c>
      <c r="S4" s="218" t="str">
        <f>游戏时长规划!D83</f>
        <v>T1低</v>
      </c>
      <c r="T4" s="218" t="str">
        <f>游戏时长规划!E83</f>
        <v>T1低</v>
      </c>
      <c r="U4" s="228">
        <v>1</v>
      </c>
      <c r="V4" s="228">
        <v>1</v>
      </c>
      <c r="W4" s="228">
        <v>1</v>
      </c>
      <c r="X4" s="228">
        <v>1</v>
      </c>
      <c r="Y4" s="228">
        <v>1</v>
      </c>
      <c r="Z4" s="228">
        <v>1</v>
      </c>
      <c r="AA4" s="228">
        <v>1</v>
      </c>
      <c r="AB4" s="228">
        <v>1</v>
      </c>
      <c r="AC4" s="228">
        <v>1</v>
      </c>
      <c r="AD4" s="228">
        <v>1</v>
      </c>
      <c r="AE4" s="228">
        <v>1</v>
      </c>
      <c r="AF4" s="228">
        <v>1</v>
      </c>
      <c r="AG4" s="228">
        <v>1</v>
      </c>
      <c r="AH4" s="228">
        <v>1</v>
      </c>
      <c r="AI4" s="228">
        <v>1</v>
      </c>
      <c r="AJ4" s="228">
        <v>1</v>
      </c>
      <c r="AK4" s="228">
        <v>1</v>
      </c>
      <c r="AM4" s="713">
        <v>1</v>
      </c>
      <c r="AN4" s="713" t="s">
        <v>1102</v>
      </c>
      <c r="AO4" s="713"/>
      <c r="AP4" s="713"/>
    </row>
    <row r="5" spans="2:42" x14ac:dyDescent="0.35">
      <c r="B5" s="437" t="s">
        <v>1103</v>
      </c>
      <c r="C5" s="159">
        <f>基础经济系数!F34</f>
        <v>600</v>
      </c>
      <c r="D5" s="299">
        <f>D4</f>
        <v>0.05</v>
      </c>
      <c r="E5" s="159">
        <f>ROUND(C5*D5,0)</f>
        <v>30</v>
      </c>
      <c r="F5" s="159">
        <f>ROUND(E5*$R$73/500,0)*500</f>
        <v>12000</v>
      </c>
      <c r="G5" s="211"/>
      <c r="H5" s="219" t="s">
        <v>616</v>
      </c>
      <c r="I5" s="219" t="str">
        <f>VLOOKUP(H5,坦克个性化设定!$B$18:$E$48,3,FALSE)</f>
        <v>轻坦</v>
      </c>
      <c r="J5" s="159" t="str">
        <f>VLOOKUP(H5,坦克个性化设定!$B$18:$E$48,4,FALSE)</f>
        <v>T2</v>
      </c>
      <c r="K5" s="159" t="str">
        <f>VLOOKUP(H5,坦克个性化细分!$I$3:$J$33,2,FALSE)</f>
        <v>低</v>
      </c>
      <c r="N5" s="218">
        <v>2</v>
      </c>
      <c r="O5" s="380" t="s">
        <v>1103</v>
      </c>
      <c r="P5" s="395"/>
      <c r="Q5" s="380"/>
      <c r="R5" s="218" t="str">
        <f>游戏时长规划!C84</f>
        <v>T2低</v>
      </c>
      <c r="S5" s="218" t="str">
        <f>游戏时长规划!D84</f>
        <v>T1低</v>
      </c>
      <c r="T5" s="218" t="str">
        <f>游戏时长规划!E84</f>
        <v>T1低</v>
      </c>
      <c r="U5" s="228">
        <v>0.94</v>
      </c>
      <c r="V5" s="228">
        <v>1</v>
      </c>
      <c r="W5" s="228">
        <v>1</v>
      </c>
      <c r="X5" s="228">
        <v>1</v>
      </c>
      <c r="Y5" s="228">
        <v>1</v>
      </c>
      <c r="Z5" s="228">
        <v>1</v>
      </c>
      <c r="AA5" s="228">
        <v>1</v>
      </c>
      <c r="AB5" s="228">
        <v>1</v>
      </c>
      <c r="AC5" s="228">
        <v>1</v>
      </c>
      <c r="AD5" s="228">
        <v>1</v>
      </c>
      <c r="AE5" s="228">
        <v>1</v>
      </c>
      <c r="AF5" s="228">
        <v>1</v>
      </c>
      <c r="AG5" s="228">
        <v>0.95</v>
      </c>
      <c r="AH5" s="228">
        <v>1</v>
      </c>
      <c r="AI5" s="228">
        <v>1</v>
      </c>
      <c r="AJ5" s="228">
        <v>1</v>
      </c>
      <c r="AK5" s="228">
        <v>1</v>
      </c>
      <c r="AM5" s="713">
        <v>2</v>
      </c>
      <c r="AN5" s="713" t="s">
        <v>1103</v>
      </c>
      <c r="AO5" s="713"/>
      <c r="AP5" s="713"/>
    </row>
    <row r="6" spans="2:42" x14ac:dyDescent="0.35">
      <c r="B6" s="437" t="s">
        <v>1104</v>
      </c>
      <c r="C6" s="159">
        <f>基础经济系数!F35</f>
        <v>850</v>
      </c>
      <c r="D6" s="299">
        <f>D5</f>
        <v>0.05</v>
      </c>
      <c r="E6" s="159">
        <f>ROUND(C6*D6,0)</f>
        <v>43</v>
      </c>
      <c r="F6" s="159">
        <f>ROUND(E6*$R$73/500,0)*500</f>
        <v>17000</v>
      </c>
      <c r="G6" s="211"/>
      <c r="H6" s="219" t="s">
        <v>617</v>
      </c>
      <c r="I6" s="219" t="str">
        <f>VLOOKUP(H6,坦克个性化设定!$B$18:$E$48,3,FALSE)</f>
        <v>轻坦</v>
      </c>
      <c r="J6" s="159" t="str">
        <f>VLOOKUP(H6,坦克个性化设定!$B$18:$E$48,4,FALSE)</f>
        <v>T2</v>
      </c>
      <c r="K6" s="159" t="str">
        <f>VLOOKUP(H6,坦克个性化细分!$I$3:$J$33,2,FALSE)</f>
        <v>中</v>
      </c>
      <c r="N6" s="218">
        <v>3</v>
      </c>
      <c r="O6" s="380" t="s">
        <v>1103</v>
      </c>
      <c r="P6" s="380" t="s">
        <v>1104</v>
      </c>
      <c r="Q6" s="380"/>
      <c r="R6" s="218" t="str">
        <f>游戏时长规划!C85</f>
        <v>T2低</v>
      </c>
      <c r="S6" s="218" t="str">
        <f>游戏时长规划!D85</f>
        <v>T2低</v>
      </c>
      <c r="T6" s="218" t="str">
        <f>游戏时长规划!E85</f>
        <v>T1低</v>
      </c>
      <c r="U6" s="228">
        <v>0.88</v>
      </c>
      <c r="V6" s="228">
        <v>0.94</v>
      </c>
      <c r="W6" s="228">
        <v>1</v>
      </c>
      <c r="X6" s="228">
        <v>1</v>
      </c>
      <c r="Y6" s="228">
        <v>1</v>
      </c>
      <c r="Z6" s="228">
        <v>1</v>
      </c>
      <c r="AA6" s="228">
        <v>1</v>
      </c>
      <c r="AB6" s="228">
        <v>1</v>
      </c>
      <c r="AC6" s="228">
        <v>1</v>
      </c>
      <c r="AD6" s="228">
        <v>1</v>
      </c>
      <c r="AE6" s="228">
        <v>1</v>
      </c>
      <c r="AF6" s="228">
        <v>1</v>
      </c>
      <c r="AG6" s="228">
        <v>0.9</v>
      </c>
      <c r="AH6" s="228">
        <v>1</v>
      </c>
      <c r="AI6" s="228">
        <v>1</v>
      </c>
      <c r="AJ6" s="228">
        <v>1</v>
      </c>
      <c r="AK6" s="228">
        <v>1</v>
      </c>
      <c r="AM6" s="713">
        <v>3</v>
      </c>
      <c r="AN6" s="713" t="s">
        <v>1104</v>
      </c>
      <c r="AO6" s="713"/>
      <c r="AP6" s="713"/>
    </row>
    <row r="7" spans="2:42" x14ac:dyDescent="0.35">
      <c r="B7" s="437" t="s">
        <v>1105</v>
      </c>
      <c r="C7" s="159">
        <f>基础经济系数!F36</f>
        <v>1800</v>
      </c>
      <c r="D7" s="299">
        <f>D6</f>
        <v>0.05</v>
      </c>
      <c r="E7" s="159">
        <f>ROUND(C7*D7,0)</f>
        <v>90</v>
      </c>
      <c r="F7" s="159">
        <f>ROUND(E7*$R$73/500,0)*500</f>
        <v>36000</v>
      </c>
      <c r="G7" s="211"/>
      <c r="H7" s="219" t="s">
        <v>618</v>
      </c>
      <c r="I7" s="219" t="str">
        <f>VLOOKUP(H7,坦克个性化设定!$B$18:$E$48,3,FALSE)</f>
        <v>轻坦</v>
      </c>
      <c r="J7" s="159" t="str">
        <f>VLOOKUP(H7,坦克个性化设定!$B$18:$E$48,4,FALSE)</f>
        <v>T3</v>
      </c>
      <c r="K7" s="159" t="str">
        <f>VLOOKUP(H7,坦克个性化细分!$I$3:$J$33,2,FALSE)</f>
        <v>低</v>
      </c>
      <c r="N7" s="218">
        <v>4</v>
      </c>
      <c r="O7" s="395" t="s">
        <v>1103</v>
      </c>
      <c r="P7" s="395" t="s">
        <v>1104</v>
      </c>
      <c r="Q7" s="395"/>
      <c r="R7" s="218" t="str">
        <f>游戏时长规划!C86</f>
        <v>T2低</v>
      </c>
      <c r="S7" s="218" t="str">
        <f>游戏时长规划!D86</f>
        <v>T2低</v>
      </c>
      <c r="T7" s="218" t="str">
        <f>游戏时长规划!E86</f>
        <v>T2低</v>
      </c>
      <c r="U7" s="228">
        <v>0.82</v>
      </c>
      <c r="V7" s="228">
        <v>0.88</v>
      </c>
      <c r="W7" s="228">
        <v>0.96</v>
      </c>
      <c r="X7" s="228">
        <v>1</v>
      </c>
      <c r="Y7" s="228">
        <v>1</v>
      </c>
      <c r="Z7" s="228">
        <v>1</v>
      </c>
      <c r="AA7" s="228">
        <v>1</v>
      </c>
      <c r="AB7" s="228">
        <v>1</v>
      </c>
      <c r="AC7" s="228">
        <v>1</v>
      </c>
      <c r="AD7" s="228">
        <v>1</v>
      </c>
      <c r="AE7" s="228">
        <v>1</v>
      </c>
      <c r="AF7" s="228">
        <v>1</v>
      </c>
      <c r="AG7" s="228">
        <v>0.85</v>
      </c>
      <c r="AH7" s="228">
        <v>0.96499999999999997</v>
      </c>
      <c r="AI7" s="228">
        <v>1</v>
      </c>
      <c r="AJ7" s="228">
        <v>1</v>
      </c>
      <c r="AK7" s="228">
        <v>1</v>
      </c>
      <c r="AM7" s="713">
        <v>4</v>
      </c>
      <c r="AN7" s="713"/>
      <c r="AO7" s="713"/>
      <c r="AP7" s="713"/>
    </row>
    <row r="8" spans="2:42" x14ac:dyDescent="0.35">
      <c r="B8" s="437" t="s">
        <v>1106</v>
      </c>
      <c r="C8" s="159">
        <f>基础经济系数!F37</f>
        <v>2250</v>
      </c>
      <c r="D8" s="299">
        <f>D7</f>
        <v>0.05</v>
      </c>
      <c r="E8" s="159">
        <f>ROUND(C8*D8,0)</f>
        <v>113</v>
      </c>
      <c r="F8" s="159">
        <f>ROUND(E8*$R$73/500,0)*500</f>
        <v>45000</v>
      </c>
      <c r="G8" s="211"/>
      <c r="H8" s="219" t="s">
        <v>619</v>
      </c>
      <c r="I8" s="219" t="str">
        <f>VLOOKUP(H8,坦克个性化设定!$B$18:$E$48,3,FALSE)</f>
        <v>轻坦</v>
      </c>
      <c r="J8" s="159" t="str">
        <f>VLOOKUP(H8,坦克个性化设定!$B$18:$E$48,4,FALSE)</f>
        <v>T3</v>
      </c>
      <c r="K8" s="159" t="str">
        <f>VLOOKUP(H8,坦克个性化细分!$I$3:$J$33,2,FALSE)</f>
        <v>中</v>
      </c>
      <c r="N8" s="218">
        <v>5</v>
      </c>
      <c r="O8" s="380" t="s">
        <v>1105</v>
      </c>
      <c r="P8" s="380" t="s">
        <v>1106</v>
      </c>
      <c r="Q8" s="395"/>
      <c r="R8" s="218" t="str">
        <f>游戏时长规划!C87</f>
        <v>T3低</v>
      </c>
      <c r="S8" s="218" t="str">
        <f>游戏时长规划!D87</f>
        <v>T2低</v>
      </c>
      <c r="T8" s="218" t="str">
        <f>游戏时长规划!E87</f>
        <v>T2低</v>
      </c>
      <c r="U8" s="228">
        <v>0.76</v>
      </c>
      <c r="V8" s="228">
        <v>0.82</v>
      </c>
      <c r="W8" s="228">
        <v>0.92</v>
      </c>
      <c r="X8" s="228">
        <v>1</v>
      </c>
      <c r="Y8" s="228">
        <v>1</v>
      </c>
      <c r="Z8" s="228">
        <v>1</v>
      </c>
      <c r="AA8" s="228">
        <v>1</v>
      </c>
      <c r="AB8" s="228">
        <v>1</v>
      </c>
      <c r="AC8" s="228">
        <v>1</v>
      </c>
      <c r="AD8" s="228">
        <v>1</v>
      </c>
      <c r="AE8" s="228">
        <v>1</v>
      </c>
      <c r="AF8" s="228">
        <v>1</v>
      </c>
      <c r="AG8" s="228">
        <v>0.8</v>
      </c>
      <c r="AH8" s="228">
        <v>0.93</v>
      </c>
      <c r="AI8" s="228">
        <v>1</v>
      </c>
      <c r="AJ8" s="228">
        <v>1</v>
      </c>
      <c r="AK8" s="228">
        <v>1</v>
      </c>
      <c r="AM8" s="713">
        <v>5</v>
      </c>
      <c r="AN8" s="713" t="s">
        <v>1105</v>
      </c>
      <c r="AO8" s="713" t="s">
        <v>1106</v>
      </c>
      <c r="AP8" s="713"/>
    </row>
    <row r="9" spans="2:42" x14ac:dyDescent="0.35">
      <c r="B9" s="437" t="s">
        <v>1107</v>
      </c>
      <c r="C9" s="159">
        <f>基础经济系数!F38</f>
        <v>2850</v>
      </c>
      <c r="D9" s="299">
        <f>D8</f>
        <v>0.05</v>
      </c>
      <c r="E9" s="159">
        <f>ROUND(C9*D9,0)</f>
        <v>143</v>
      </c>
      <c r="F9" s="159">
        <f>ROUND(E9*$R$73/500,0)*500</f>
        <v>57000</v>
      </c>
      <c r="G9" s="211"/>
      <c r="H9" s="219" t="s">
        <v>716</v>
      </c>
      <c r="I9" s="219" t="str">
        <f>VLOOKUP(H9,坦克个性化设定!$B$18:$E$48,3,FALSE)</f>
        <v>轻坦</v>
      </c>
      <c r="J9" s="159" t="str">
        <f>VLOOKUP(H9,坦克个性化设定!$B$18:$E$48,4,FALSE)</f>
        <v>T3</v>
      </c>
      <c r="K9" s="159" t="str">
        <f>VLOOKUP(H9,坦克个性化细分!$I$3:$J$33,2,FALSE)</f>
        <v>高</v>
      </c>
      <c r="N9" s="218">
        <v>6</v>
      </c>
      <c r="O9" s="380" t="s">
        <v>1105</v>
      </c>
      <c r="P9" s="380" t="s">
        <v>1106</v>
      </c>
      <c r="Q9" s="395"/>
      <c r="R9" s="218" t="str">
        <f>游戏时长规划!C88</f>
        <v>T3低</v>
      </c>
      <c r="S9" s="218" t="str">
        <f>游戏时长规划!D88</f>
        <v>T3低</v>
      </c>
      <c r="T9" s="218" t="str">
        <f>游戏时长规划!E88</f>
        <v>T2低</v>
      </c>
      <c r="U9" s="228">
        <v>0.7</v>
      </c>
      <c r="V9" s="228">
        <v>0.76</v>
      </c>
      <c r="W9" s="228">
        <v>0.88</v>
      </c>
      <c r="X9" s="228">
        <v>0.94</v>
      </c>
      <c r="Y9" s="228">
        <v>0.96</v>
      </c>
      <c r="Z9" s="228">
        <v>0.96</v>
      </c>
      <c r="AA9" s="228">
        <v>1</v>
      </c>
      <c r="AB9" s="228">
        <v>1</v>
      </c>
      <c r="AC9" s="228">
        <v>1</v>
      </c>
      <c r="AD9" s="228">
        <v>1</v>
      </c>
      <c r="AE9" s="228">
        <v>1</v>
      </c>
      <c r="AF9" s="228">
        <v>1</v>
      </c>
      <c r="AG9" s="228">
        <v>0.75</v>
      </c>
      <c r="AH9" s="228">
        <v>0.89500000000000002</v>
      </c>
      <c r="AI9" s="228">
        <v>0.98</v>
      </c>
      <c r="AJ9" s="228">
        <v>1</v>
      </c>
      <c r="AK9" s="228">
        <v>1</v>
      </c>
      <c r="AM9" s="713">
        <v>6</v>
      </c>
      <c r="AN9" s="713"/>
      <c r="AO9" s="713"/>
      <c r="AP9" s="713"/>
    </row>
    <row r="10" spans="2:42" x14ac:dyDescent="0.35">
      <c r="B10" s="437" t="s">
        <v>1108</v>
      </c>
      <c r="C10" s="159">
        <f>基础经济系数!F39</f>
        <v>5000</v>
      </c>
      <c r="D10" s="299">
        <f>D9</f>
        <v>0.05</v>
      </c>
      <c r="E10" s="159">
        <f>ROUND(C10*D10,0)</f>
        <v>250</v>
      </c>
      <c r="F10" s="159">
        <f>ROUND(E10*$R$73/500,0)*500</f>
        <v>100000</v>
      </c>
      <c r="G10" s="211"/>
      <c r="H10" s="219" t="s">
        <v>620</v>
      </c>
      <c r="I10" s="219" t="str">
        <f>VLOOKUP(H10,坦克个性化设定!$B$18:$E$48,3,FALSE)</f>
        <v>轻坦</v>
      </c>
      <c r="J10" s="159" t="str">
        <f>VLOOKUP(H10,坦克个性化设定!$B$18:$E$48,4,FALSE)</f>
        <v>T4</v>
      </c>
      <c r="K10" s="159" t="str">
        <f>VLOOKUP(H10,坦克个性化细分!$I$3:$J$33,2,FALSE)</f>
        <v>低</v>
      </c>
      <c r="N10" s="218">
        <v>7</v>
      </c>
      <c r="O10" s="395" t="s">
        <v>1105</v>
      </c>
      <c r="P10" s="395" t="s">
        <v>1106</v>
      </c>
      <c r="Q10" s="395"/>
      <c r="R10" s="218" t="str">
        <f>游戏时长规划!C89</f>
        <v>T3低</v>
      </c>
      <c r="S10" s="218" t="str">
        <f>游戏时长规划!D89</f>
        <v>T3低</v>
      </c>
      <c r="T10" s="218" t="str">
        <f>游戏时长规划!E89</f>
        <v>T3低</v>
      </c>
      <c r="U10" s="228">
        <v>0.64</v>
      </c>
      <c r="V10" s="228">
        <v>0.7</v>
      </c>
      <c r="W10" s="228">
        <v>0.84</v>
      </c>
      <c r="X10" s="228">
        <v>0.88</v>
      </c>
      <c r="Y10" s="228">
        <v>0.92</v>
      </c>
      <c r="Z10" s="228">
        <v>0.92</v>
      </c>
      <c r="AA10" s="228">
        <v>1</v>
      </c>
      <c r="AB10" s="228">
        <v>1</v>
      </c>
      <c r="AC10" s="228">
        <v>1</v>
      </c>
      <c r="AD10" s="228">
        <v>1</v>
      </c>
      <c r="AE10" s="228">
        <v>1</v>
      </c>
      <c r="AF10" s="228">
        <v>1</v>
      </c>
      <c r="AG10" s="228">
        <v>0.7</v>
      </c>
      <c r="AH10" s="228">
        <v>0.86</v>
      </c>
      <c r="AI10" s="228">
        <v>0.96</v>
      </c>
      <c r="AJ10" s="228">
        <v>1</v>
      </c>
      <c r="AK10" s="228">
        <v>1</v>
      </c>
      <c r="AM10" s="713">
        <v>7</v>
      </c>
      <c r="AN10" s="713"/>
      <c r="AO10" s="713"/>
      <c r="AP10" s="713"/>
    </row>
    <row r="11" spans="2:42" x14ac:dyDescent="0.35">
      <c r="B11" s="437" t="s">
        <v>1109</v>
      </c>
      <c r="C11" s="159">
        <f>基础经济系数!F40</f>
        <v>6250</v>
      </c>
      <c r="D11" s="299">
        <f>D10</f>
        <v>0.05</v>
      </c>
      <c r="E11" s="159">
        <f>ROUND(C11*D11,0)</f>
        <v>313</v>
      </c>
      <c r="F11" s="159">
        <f>ROUND(E11*$R$73/500,0)*500</f>
        <v>125000</v>
      </c>
      <c r="G11" s="211"/>
      <c r="H11" s="219" t="s">
        <v>717</v>
      </c>
      <c r="I11" s="219" t="str">
        <f>VLOOKUP(H11,坦克个性化设定!$B$18:$E$48,3,FALSE)</f>
        <v>轻坦</v>
      </c>
      <c r="J11" s="159" t="str">
        <f>VLOOKUP(H11,坦克个性化设定!$B$18:$E$48,4,FALSE)</f>
        <v>T4</v>
      </c>
      <c r="K11" s="159" t="str">
        <f>VLOOKUP(H11,坦克个性化细分!$I$3:$J$33,2,FALSE)</f>
        <v>中</v>
      </c>
      <c r="N11" s="218">
        <v>8</v>
      </c>
      <c r="O11" s="380" t="s">
        <v>1108</v>
      </c>
      <c r="P11" s="380" t="s">
        <v>1109</v>
      </c>
      <c r="Q11" s="380" t="s">
        <v>1110</v>
      </c>
      <c r="R11" s="218" t="str">
        <f>游戏时长规划!C90</f>
        <v>T4低</v>
      </c>
      <c r="S11" s="218" t="str">
        <f>游戏时长规划!D90</f>
        <v>T3低</v>
      </c>
      <c r="T11" s="218" t="str">
        <f>游戏时长规划!E90</f>
        <v>T3低</v>
      </c>
      <c r="U11" s="228">
        <v>0.57999999999999996</v>
      </c>
      <c r="V11" s="228">
        <v>0.64</v>
      </c>
      <c r="W11" s="228">
        <v>0.8</v>
      </c>
      <c r="X11" s="228">
        <v>0.82</v>
      </c>
      <c r="Y11" s="228">
        <v>0.88</v>
      </c>
      <c r="Z11" s="228">
        <v>0.88</v>
      </c>
      <c r="AA11" s="228">
        <v>1</v>
      </c>
      <c r="AB11" s="228">
        <v>1</v>
      </c>
      <c r="AC11" s="228">
        <v>1</v>
      </c>
      <c r="AD11" s="228">
        <v>1</v>
      </c>
      <c r="AE11" s="228">
        <v>1</v>
      </c>
      <c r="AF11" s="228">
        <v>1</v>
      </c>
      <c r="AG11" s="228">
        <v>0.65</v>
      </c>
      <c r="AH11" s="228">
        <v>0.82499999999999996</v>
      </c>
      <c r="AI11" s="228">
        <v>0.94</v>
      </c>
      <c r="AJ11" s="228">
        <v>1</v>
      </c>
      <c r="AK11" s="228">
        <v>1</v>
      </c>
      <c r="AM11" s="713">
        <v>8</v>
      </c>
      <c r="AN11" s="713" t="s">
        <v>1108</v>
      </c>
      <c r="AO11" s="713" t="s">
        <v>1109</v>
      </c>
      <c r="AP11" s="713" t="s">
        <v>1110</v>
      </c>
    </row>
    <row r="12" spans="2:42" x14ac:dyDescent="0.35">
      <c r="B12" s="437" t="s">
        <v>1110</v>
      </c>
      <c r="C12" s="159">
        <f>基础经济系数!F41</f>
        <v>7750</v>
      </c>
      <c r="D12" s="299">
        <f>D11</f>
        <v>0.05</v>
      </c>
      <c r="E12" s="159">
        <f>ROUND(C12*D12,0)</f>
        <v>388</v>
      </c>
      <c r="F12" s="159">
        <f>ROUND(E12*$R$73/500,0)*500</f>
        <v>155000</v>
      </c>
      <c r="G12" s="211"/>
      <c r="H12" s="219" t="s">
        <v>621</v>
      </c>
      <c r="I12" s="219" t="str">
        <f>VLOOKUP(H12,坦克个性化设定!$B$18:$E$48,3,FALSE)</f>
        <v>轻坦</v>
      </c>
      <c r="J12" s="159" t="str">
        <f>VLOOKUP(H12,坦克个性化设定!$B$18:$E$48,4,FALSE)</f>
        <v>T4</v>
      </c>
      <c r="K12" s="159" t="str">
        <f>VLOOKUP(H12,坦克个性化细分!$I$3:$J$33,2,FALSE)</f>
        <v>高</v>
      </c>
      <c r="N12" s="218">
        <v>9</v>
      </c>
      <c r="O12" s="380" t="s">
        <v>1108</v>
      </c>
      <c r="P12" s="380" t="s">
        <v>1109</v>
      </c>
      <c r="Q12" s="380" t="s">
        <v>1110</v>
      </c>
      <c r="R12" s="218" t="str">
        <f>游戏时长规划!C91</f>
        <v>T4低</v>
      </c>
      <c r="S12" s="218" t="str">
        <f>游戏时长规划!D91</f>
        <v>T4低</v>
      </c>
      <c r="T12" s="218" t="str">
        <f>游戏时长规划!E91</f>
        <v>T3低</v>
      </c>
      <c r="U12" s="228">
        <v>0.52</v>
      </c>
      <c r="V12" s="228">
        <v>0.57999999999999996</v>
      </c>
      <c r="W12" s="228">
        <v>0.76</v>
      </c>
      <c r="X12" s="228">
        <v>0.76</v>
      </c>
      <c r="Y12" s="228">
        <v>0.84</v>
      </c>
      <c r="Z12" s="228">
        <v>0.84</v>
      </c>
      <c r="AA12" s="228">
        <v>0.96</v>
      </c>
      <c r="AB12" s="228">
        <v>0.96</v>
      </c>
      <c r="AC12" s="228">
        <v>0.96</v>
      </c>
      <c r="AD12" s="228">
        <v>1</v>
      </c>
      <c r="AE12" s="228">
        <v>1</v>
      </c>
      <c r="AF12" s="228">
        <v>1</v>
      </c>
      <c r="AG12" s="228">
        <v>0.6</v>
      </c>
      <c r="AH12" s="228">
        <v>0.79</v>
      </c>
      <c r="AI12" s="228">
        <v>0.92</v>
      </c>
      <c r="AJ12" s="228">
        <v>1</v>
      </c>
      <c r="AK12" s="228">
        <v>1</v>
      </c>
      <c r="AM12" s="713">
        <v>9</v>
      </c>
      <c r="AN12" s="713" t="s">
        <v>1109</v>
      </c>
      <c r="AO12" s="713" t="s">
        <v>1110</v>
      </c>
      <c r="AP12" s="713"/>
    </row>
    <row r="13" spans="2:42" x14ac:dyDescent="0.35">
      <c r="B13" s="437" t="s">
        <v>1111</v>
      </c>
      <c r="C13" s="159">
        <f>基础经济系数!F42</f>
        <v>13600</v>
      </c>
      <c r="D13" s="299">
        <f>D12</f>
        <v>0.05</v>
      </c>
      <c r="E13" s="159">
        <f>ROUND(C13*D13,0)</f>
        <v>680</v>
      </c>
      <c r="F13" s="159">
        <f>ROUND(E13*$R$73/500,0)*500</f>
        <v>272000</v>
      </c>
      <c r="G13" s="211"/>
      <c r="H13" s="219" t="s">
        <v>622</v>
      </c>
      <c r="I13" s="219" t="str">
        <f>VLOOKUP(H13,坦克个性化设定!$B$18:$E$48,3,FALSE)</f>
        <v>轻坦</v>
      </c>
      <c r="J13" s="159" t="str">
        <f>VLOOKUP(H13,坦克个性化设定!$B$18:$E$48,4,FALSE)</f>
        <v>T5</v>
      </c>
      <c r="K13" s="159" t="str">
        <f>VLOOKUP(H13,坦克个性化细分!$I$3:$J$33,2,FALSE)</f>
        <v>低</v>
      </c>
      <c r="N13" s="218">
        <v>10</v>
      </c>
      <c r="O13" s="395" t="s">
        <v>1108</v>
      </c>
      <c r="P13" s="395" t="s">
        <v>1109</v>
      </c>
      <c r="Q13" s="395" t="s">
        <v>1110</v>
      </c>
      <c r="R13" s="218" t="str">
        <f>游戏时长规划!C92</f>
        <v>T4低</v>
      </c>
      <c r="S13" s="218" t="str">
        <f>游戏时长规划!D92</f>
        <v>T4低</v>
      </c>
      <c r="T13" s="218" t="str">
        <f>游戏时长规划!E92</f>
        <v>T4低</v>
      </c>
      <c r="U13" s="228">
        <v>0.46</v>
      </c>
      <c r="V13" s="228">
        <v>0.52</v>
      </c>
      <c r="W13" s="228">
        <v>0.72</v>
      </c>
      <c r="X13" s="228">
        <v>0.7</v>
      </c>
      <c r="Y13" s="228">
        <v>0.8</v>
      </c>
      <c r="Z13" s="228">
        <v>0.8</v>
      </c>
      <c r="AA13" s="228">
        <v>0.92</v>
      </c>
      <c r="AB13" s="228">
        <v>0.92</v>
      </c>
      <c r="AC13" s="228">
        <v>0.92</v>
      </c>
      <c r="AD13" s="228">
        <v>1</v>
      </c>
      <c r="AE13" s="228">
        <v>1</v>
      </c>
      <c r="AF13" s="228">
        <v>1</v>
      </c>
      <c r="AG13" s="228">
        <v>0.55000000000000004</v>
      </c>
      <c r="AH13" s="228">
        <v>0.755</v>
      </c>
      <c r="AI13" s="228">
        <v>0.9</v>
      </c>
      <c r="AJ13" s="228">
        <v>1</v>
      </c>
      <c r="AK13" s="228">
        <v>1</v>
      </c>
      <c r="AM13" s="713">
        <v>10</v>
      </c>
      <c r="AN13" s="713"/>
      <c r="AO13" s="713"/>
      <c r="AP13" s="713"/>
    </row>
    <row r="14" spans="2:42" x14ac:dyDescent="0.35">
      <c r="B14" s="437" t="s">
        <v>1112</v>
      </c>
      <c r="C14" s="159">
        <f>基础经济系数!F43</f>
        <v>16000</v>
      </c>
      <c r="D14" s="299">
        <f>D13</f>
        <v>0.05</v>
      </c>
      <c r="E14" s="159">
        <f>ROUND(C14*D14,0)</f>
        <v>800</v>
      </c>
      <c r="F14" s="159">
        <f>ROUND(E14*$R$73/500,0)*500</f>
        <v>320000</v>
      </c>
      <c r="G14" s="211"/>
      <c r="H14" s="219" t="s">
        <v>623</v>
      </c>
      <c r="I14" s="219" t="str">
        <f>VLOOKUP(H14,坦克个性化设定!$B$18:$E$48,3,FALSE)</f>
        <v>中坦</v>
      </c>
      <c r="J14" s="159" t="str">
        <f>VLOOKUP(H14,坦克个性化设定!$B$18:$E$48,4,FALSE)</f>
        <v>T1</v>
      </c>
      <c r="K14" s="159" t="str">
        <f>VLOOKUP(H14,坦克个性化细分!$I$3:$J$33,2,FALSE)</f>
        <v>低</v>
      </c>
      <c r="N14" s="218">
        <v>11</v>
      </c>
      <c r="O14" s="218" t="s">
        <v>1111</v>
      </c>
      <c r="P14" s="218" t="s">
        <v>1112</v>
      </c>
      <c r="Q14" s="218" t="s">
        <v>1113</v>
      </c>
      <c r="R14" s="218" t="str">
        <f>游戏时长规划!C93</f>
        <v>T5低</v>
      </c>
      <c r="S14" s="218" t="str">
        <f>游戏时长规划!D93</f>
        <v>T4低</v>
      </c>
      <c r="T14" s="218" t="str">
        <f>游戏时长规划!E93</f>
        <v>T4低</v>
      </c>
      <c r="U14" s="228">
        <v>0.40000000000000102</v>
      </c>
      <c r="V14" s="228">
        <v>0.46</v>
      </c>
      <c r="W14" s="228">
        <v>0.68000000000000105</v>
      </c>
      <c r="X14" s="228">
        <v>0.64</v>
      </c>
      <c r="Y14" s="228">
        <v>0.76</v>
      </c>
      <c r="Z14" s="228">
        <v>0.76</v>
      </c>
      <c r="AA14" s="228">
        <v>0.88</v>
      </c>
      <c r="AB14" s="228">
        <v>0.88</v>
      </c>
      <c r="AC14" s="228">
        <v>0.88</v>
      </c>
      <c r="AD14" s="228">
        <v>0.98</v>
      </c>
      <c r="AE14" s="228">
        <v>0.98</v>
      </c>
      <c r="AF14" s="228">
        <v>0.98</v>
      </c>
      <c r="AG14" s="228">
        <v>0.5</v>
      </c>
      <c r="AH14" s="228">
        <v>0.72</v>
      </c>
      <c r="AI14" s="228">
        <v>0.88</v>
      </c>
      <c r="AJ14" s="228">
        <v>1</v>
      </c>
      <c r="AK14" s="228">
        <v>1</v>
      </c>
    </row>
    <row r="15" spans="2:42" x14ac:dyDescent="0.35">
      <c r="B15" s="437" t="s">
        <v>1113</v>
      </c>
      <c r="C15" s="159">
        <f>基础经济系数!F44</f>
        <v>19600</v>
      </c>
      <c r="D15" s="299">
        <f>D14</f>
        <v>0.05</v>
      </c>
      <c r="E15" s="159">
        <f>ROUND(C15*D15,0)</f>
        <v>980</v>
      </c>
      <c r="F15" s="159">
        <f>ROUND(E15*$R$73/500,0)*500</f>
        <v>392000</v>
      </c>
      <c r="G15" s="211"/>
      <c r="H15" s="219" t="s">
        <v>624</v>
      </c>
      <c r="I15" s="219" t="str">
        <f>VLOOKUP(H15,坦克个性化设定!$B$18:$E$48,3,FALSE)</f>
        <v>中坦</v>
      </c>
      <c r="J15" s="159" t="str">
        <f>VLOOKUP(H15,坦克个性化设定!$B$18:$E$48,4,FALSE)</f>
        <v>T2</v>
      </c>
      <c r="K15" s="159" t="str">
        <f>VLOOKUP(H15,坦克个性化细分!$I$3:$J$33,2,FALSE)</f>
        <v>低</v>
      </c>
      <c r="N15" s="218">
        <v>12</v>
      </c>
      <c r="O15" s="218" t="s">
        <v>1111</v>
      </c>
      <c r="P15" s="218" t="s">
        <v>1112</v>
      </c>
      <c r="Q15" s="218" t="s">
        <v>1113</v>
      </c>
      <c r="R15" s="218" t="str">
        <f>游戏时长规划!C94</f>
        <v>T5低</v>
      </c>
      <c r="S15" s="218" t="str">
        <f>游戏时长规划!D94</f>
        <v>T5低</v>
      </c>
      <c r="T15" s="218" t="str">
        <f>游戏时长规划!E94</f>
        <v>T4低</v>
      </c>
      <c r="U15" s="228">
        <v>0.34000000000000102</v>
      </c>
      <c r="V15" s="228">
        <v>0.40000000000000102</v>
      </c>
      <c r="W15" s="228">
        <v>0.64000000000000101</v>
      </c>
      <c r="X15" s="228">
        <v>0.57999999999999996</v>
      </c>
      <c r="Y15" s="228">
        <v>0.72</v>
      </c>
      <c r="Z15" s="228">
        <v>0.72</v>
      </c>
      <c r="AA15" s="228">
        <v>0.84</v>
      </c>
      <c r="AB15" s="228">
        <v>0.84</v>
      </c>
      <c r="AC15" s="228">
        <v>0.84</v>
      </c>
      <c r="AD15" s="228">
        <v>0.96</v>
      </c>
      <c r="AE15" s="228">
        <v>0.96</v>
      </c>
      <c r="AF15" s="228">
        <v>0.96</v>
      </c>
      <c r="AG15" s="228">
        <v>0.45</v>
      </c>
      <c r="AH15" s="228">
        <v>0.68500000000000005</v>
      </c>
      <c r="AI15" s="228">
        <v>0.86</v>
      </c>
      <c r="AJ15" s="228">
        <v>1</v>
      </c>
      <c r="AK15" s="228">
        <v>1</v>
      </c>
    </row>
    <row r="16" spans="2:42" x14ac:dyDescent="0.35">
      <c r="B16" s="436" t="s">
        <v>1114</v>
      </c>
      <c r="C16" s="159">
        <f>基础经济系数!H33</f>
        <v>60</v>
      </c>
      <c r="D16" s="299">
        <f>D15</f>
        <v>0.05</v>
      </c>
      <c r="E16" s="159">
        <f>ROUND(C16*D16,0)</f>
        <v>3</v>
      </c>
      <c r="F16" s="159">
        <f>ROUND(E16*$R$73/500,0)*500</f>
        <v>1000</v>
      </c>
      <c r="G16" s="211"/>
      <c r="H16" s="219" t="s">
        <v>626</v>
      </c>
      <c r="I16" s="219" t="str">
        <f>VLOOKUP(H16,坦克个性化设定!$B$18:$E$48,3,FALSE)</f>
        <v>中坦</v>
      </c>
      <c r="J16" s="159" t="str">
        <f>VLOOKUP(H16,坦克个性化设定!$B$18:$E$48,4,FALSE)</f>
        <v>T2</v>
      </c>
      <c r="K16" s="159" t="str">
        <f>VLOOKUP(H16,坦克个性化细分!$I$3:$J$33,2,FALSE)</f>
        <v>中</v>
      </c>
    </row>
    <row r="17" spans="2:44" x14ac:dyDescent="0.35">
      <c r="B17" s="436" t="s">
        <v>1115</v>
      </c>
      <c r="C17" s="159">
        <f>基础经济系数!H34</f>
        <v>60</v>
      </c>
      <c r="D17" s="299">
        <f>D16</f>
        <v>0.05</v>
      </c>
      <c r="E17" s="159">
        <f>ROUND(C17*D17,0)</f>
        <v>3</v>
      </c>
      <c r="F17" s="159">
        <f>ROUND(E17*$R$73/500,0)*500</f>
        <v>1000</v>
      </c>
      <c r="G17" s="211"/>
      <c r="H17" s="219" t="s">
        <v>627</v>
      </c>
      <c r="I17" s="219" t="str">
        <f>VLOOKUP(H17,坦克个性化设定!$B$18:$E$48,3,FALSE)</f>
        <v>中坦</v>
      </c>
      <c r="J17" s="159" t="str">
        <f>VLOOKUP(H17,坦克个性化设定!$B$18:$E$48,4,FALSE)</f>
        <v>T3</v>
      </c>
      <c r="K17" s="159" t="str">
        <f>VLOOKUP(H17,坦克个性化细分!$I$3:$J$33,2,FALSE)</f>
        <v>低</v>
      </c>
      <c r="N17" s="765" t="s">
        <v>1172</v>
      </c>
      <c r="O17" s="744"/>
      <c r="P17" s="744"/>
      <c r="Q17" s="744"/>
      <c r="R17" s="744"/>
      <c r="S17" s="744"/>
      <c r="T17" s="744"/>
      <c r="U17" s="744"/>
      <c r="V17" s="744"/>
      <c r="W17" s="744"/>
      <c r="X17" s="744"/>
      <c r="Y17" s="744"/>
      <c r="Z17" s="744"/>
      <c r="AA17" s="744"/>
      <c r="AB17" s="744"/>
      <c r="AC17" s="744"/>
      <c r="AD17" s="744"/>
      <c r="AE17" s="744"/>
      <c r="AF17" s="744"/>
      <c r="AG17" s="744"/>
      <c r="AH17" s="744"/>
      <c r="AI17" s="744"/>
      <c r="AJ17" s="744"/>
      <c r="AK17" s="744"/>
      <c r="AL17" s="744"/>
      <c r="AM17" s="744"/>
      <c r="AN17" s="744"/>
      <c r="AO17" s="744"/>
      <c r="AP17" s="744"/>
      <c r="AQ17" s="744"/>
      <c r="AR17" s="744"/>
    </row>
    <row r="18" spans="2:44" x14ac:dyDescent="0.35">
      <c r="B18" s="436" t="s">
        <v>1116</v>
      </c>
      <c r="C18" s="159">
        <f>基础经济系数!H35</f>
        <v>85</v>
      </c>
      <c r="D18" s="299">
        <f>D17</f>
        <v>0.05</v>
      </c>
      <c r="E18" s="159">
        <f>ROUND(C18*D18,0)</f>
        <v>4</v>
      </c>
      <c r="F18" s="159">
        <f>ROUND(E18*$R$73/500,0)*500</f>
        <v>1500</v>
      </c>
      <c r="G18" s="211"/>
      <c r="H18" s="219" t="s">
        <v>718</v>
      </c>
      <c r="I18" s="219" t="str">
        <f>VLOOKUP(H18,坦克个性化设定!$B$18:$E$48,3,FALSE)</f>
        <v>中坦</v>
      </c>
      <c r="J18" s="159" t="str">
        <f>VLOOKUP(H18,坦克个性化设定!$B$18:$E$48,4,FALSE)</f>
        <v>T3</v>
      </c>
      <c r="K18" s="159" t="str">
        <f>VLOOKUP(H18,坦克个性化细分!$I$3:$J$33,2,FALSE)</f>
        <v>中</v>
      </c>
      <c r="N18" s="224" t="s">
        <v>1171</v>
      </c>
      <c r="O18" s="219" t="s">
        <v>615</v>
      </c>
      <c r="P18" s="219" t="s">
        <v>616</v>
      </c>
      <c r="Q18" s="219" t="s">
        <v>617</v>
      </c>
      <c r="R18" s="219" t="s">
        <v>618</v>
      </c>
      <c r="S18" s="219" t="s">
        <v>619</v>
      </c>
      <c r="T18" s="219" t="s">
        <v>716</v>
      </c>
      <c r="U18" s="219" t="s">
        <v>620</v>
      </c>
      <c r="V18" s="219" t="s">
        <v>717</v>
      </c>
      <c r="W18" s="219" t="s">
        <v>621</v>
      </c>
      <c r="X18" s="219" t="s">
        <v>622</v>
      </c>
      <c r="Y18" s="219" t="s">
        <v>623</v>
      </c>
      <c r="Z18" s="219" t="s">
        <v>624</v>
      </c>
      <c r="AA18" s="219" t="s">
        <v>626</v>
      </c>
      <c r="AB18" s="219" t="s">
        <v>627</v>
      </c>
      <c r="AC18" s="219" t="s">
        <v>718</v>
      </c>
      <c r="AD18" s="219" t="s">
        <v>625</v>
      </c>
      <c r="AE18" s="219" t="s">
        <v>719</v>
      </c>
      <c r="AF18" s="219" t="s">
        <v>720</v>
      </c>
      <c r="AG18" s="219" t="s">
        <v>634</v>
      </c>
      <c r="AH18" s="219" t="s">
        <v>636</v>
      </c>
      <c r="AI18" s="219" t="s">
        <v>721</v>
      </c>
      <c r="AJ18" s="219" t="s">
        <v>630</v>
      </c>
      <c r="AK18" s="219" t="s">
        <v>631</v>
      </c>
      <c r="AL18" s="219" t="s">
        <v>628</v>
      </c>
      <c r="AM18" s="219" t="s">
        <v>632</v>
      </c>
      <c r="AN18" s="219" t="s">
        <v>633</v>
      </c>
      <c r="AO18" s="219" t="s">
        <v>635</v>
      </c>
      <c r="AP18" s="219" t="s">
        <v>629</v>
      </c>
      <c r="AQ18" s="219" t="s">
        <v>722</v>
      </c>
      <c r="AR18" s="219" t="s">
        <v>637</v>
      </c>
    </row>
    <row r="19" spans="2:44" x14ac:dyDescent="0.35">
      <c r="B19" s="436" t="s">
        <v>1117</v>
      </c>
      <c r="C19" s="159">
        <f>基础经济系数!H36</f>
        <v>60</v>
      </c>
      <c r="D19" s="299">
        <f>D18</f>
        <v>0.05</v>
      </c>
      <c r="E19" s="159">
        <f>ROUND(C19*D19,0)</f>
        <v>3</v>
      </c>
      <c r="F19" s="159">
        <f>ROUND(E19*$R$73/500,0)*500</f>
        <v>1000</v>
      </c>
      <c r="G19" s="211"/>
      <c r="H19" s="219" t="s">
        <v>625</v>
      </c>
      <c r="I19" s="219" t="str">
        <f>VLOOKUP(H19,坦克个性化设定!$B$18:$E$48,3,FALSE)</f>
        <v>中坦</v>
      </c>
      <c r="J19" s="159" t="str">
        <f>VLOOKUP(H19,坦克个性化设定!$B$18:$E$48,4,FALSE)</f>
        <v>T3</v>
      </c>
      <c r="K19" s="159" t="str">
        <f>VLOOKUP(H19,坦克个性化细分!$I$3:$J$33,2,FALSE)</f>
        <v>高</v>
      </c>
      <c r="N19" s="219">
        <v>1</v>
      </c>
      <c r="O19" s="227">
        <f>IFERROR(VLOOKUP(VLOOKUP(O$18,$H$3:$K$33,3,FALSE)&amp;VLOOKUP(O$18,$H$3:$K$33,4,FALSE),$B$3:$C$27,2,FALSE)*VLOOKUP($N19,$N$3:$AF$15,MATCH(VLOOKUP(O$18,$H$3:$K$33,3,FALSE)&amp;VLOOKUP(O$18,$H$3:$K$33,4,FALSE),$N$3:$AF$3,0),FALSE),O18)</f>
        <v>300</v>
      </c>
      <c r="P19" s="227">
        <f>IFERROR(VLOOKUP(VLOOKUP(P$18,$H$3:$K$33,3,FALSE)&amp;VLOOKUP(P$18,$H$3:$K$33,4,FALSE),$B$3:$C$27,2,FALSE)*VLOOKUP($N19,$N$3:$AF$15,MATCH(VLOOKUP(P$18,$H$3:$K$33,3,FALSE)&amp;VLOOKUP(P$18,$H$3:$K$33,4,FALSE),$N$3:$AF$3,0),FALSE),P18)</f>
        <v>600</v>
      </c>
      <c r="Q19" s="227">
        <f>IFERROR(VLOOKUP(VLOOKUP(Q$18,$H$3:$K$33,3,FALSE)&amp;VLOOKUP(Q$18,$H$3:$K$33,4,FALSE),$B$3:$C$27,2,FALSE)*VLOOKUP($N19,$N$3:$AF$15,MATCH(VLOOKUP(Q$18,$H$3:$K$33,3,FALSE)&amp;VLOOKUP(Q$18,$H$3:$K$33,4,FALSE),$N$3:$AF$3,0),FALSE),Q18)</f>
        <v>850</v>
      </c>
      <c r="R19" s="227">
        <f>IFERROR(VLOOKUP(VLOOKUP(R$18,$H$3:$K$33,3,FALSE)&amp;VLOOKUP(R$18,$H$3:$K$33,4,FALSE),$B$3:$C$27,2,FALSE)*VLOOKUP($N19,$N$3:$AF$15,MATCH(VLOOKUP(R$18,$H$3:$K$33,3,FALSE)&amp;VLOOKUP(R$18,$H$3:$K$33,4,FALSE),$N$3:$AF$3,0),FALSE),R18)</f>
        <v>1800</v>
      </c>
      <c r="S19" s="227">
        <f>IFERROR(VLOOKUP(VLOOKUP(S$18,$H$3:$K$33,3,FALSE)&amp;VLOOKUP(S$18,$H$3:$K$33,4,FALSE),$B$3:$C$27,2,FALSE)*VLOOKUP($N19,$N$3:$AF$15,MATCH(VLOOKUP(S$18,$H$3:$K$33,3,FALSE)&amp;VLOOKUP(S$18,$H$3:$K$33,4,FALSE),$N$3:$AF$3,0),FALSE),S18)</f>
        <v>2250</v>
      </c>
      <c r="T19" s="227">
        <f>IFERROR(VLOOKUP(VLOOKUP(T$18,$H$3:$K$33,3,FALSE)&amp;VLOOKUP(T$18,$H$3:$K$33,4,FALSE),$B$3:$C$27,2,FALSE)*VLOOKUP($N19,$N$3:$AF$15,MATCH(VLOOKUP(T$18,$H$3:$K$33,3,FALSE)&amp;VLOOKUP(T$18,$H$3:$K$33,4,FALSE),$N$3:$AF$3,0),FALSE),T18)</f>
        <v>2850</v>
      </c>
      <c r="U19" s="227">
        <f>IFERROR(VLOOKUP(VLOOKUP(U$18,$H$3:$K$33,3,FALSE)&amp;VLOOKUP(U$18,$H$3:$K$33,4,FALSE),$B$3:$C$27,2,FALSE)*VLOOKUP($N19,$N$3:$AF$15,MATCH(VLOOKUP(U$18,$H$3:$K$33,3,FALSE)&amp;VLOOKUP(U$18,$H$3:$K$33,4,FALSE),$N$3:$AF$3,0),FALSE),U18)</f>
        <v>5000</v>
      </c>
      <c r="V19" s="227">
        <f>IFERROR(VLOOKUP(VLOOKUP(V$18,$H$3:$K$33,3,FALSE)&amp;VLOOKUP(V$18,$H$3:$K$33,4,FALSE),$B$3:$C$27,2,FALSE)*VLOOKUP($N19,$N$3:$AF$15,MATCH(VLOOKUP(V$18,$H$3:$K$33,3,FALSE)&amp;VLOOKUP(V$18,$H$3:$K$33,4,FALSE),$N$3:$AF$3,0),FALSE),V18)</f>
        <v>6250</v>
      </c>
      <c r="W19" s="227">
        <f>IFERROR(VLOOKUP(VLOOKUP(W$18,$H$3:$K$33,3,FALSE)&amp;VLOOKUP(W$18,$H$3:$K$33,4,FALSE),$B$3:$C$27,2,FALSE)*VLOOKUP($N19,$N$3:$AF$15,MATCH(VLOOKUP(W$18,$H$3:$K$33,3,FALSE)&amp;VLOOKUP(W$18,$H$3:$K$33,4,FALSE),$N$3:$AF$3,0),FALSE),W18)</f>
        <v>7750</v>
      </c>
      <c r="X19" s="227">
        <f>IFERROR(VLOOKUP(VLOOKUP(X$18,$H$3:$K$33,3,FALSE)&amp;VLOOKUP(X$18,$H$3:$K$33,4,FALSE),$B$3:$C$27,2,FALSE)*VLOOKUP($N19,$N$3:$AF$15,MATCH(VLOOKUP(X$18,$H$3:$K$33,3,FALSE)&amp;VLOOKUP(X$18,$H$3:$K$33,4,FALSE),$N$3:$AF$3,0),FALSE),X18)</f>
        <v>13600</v>
      </c>
      <c r="Y19" s="227">
        <f>IFERROR(VLOOKUP(VLOOKUP(Y$18,$H$3:$K$33,3,FALSE)&amp;VLOOKUP(Y$18,$H$3:$K$33,4,FALSE),$B$3:$C$27,2,FALSE)*VLOOKUP($N19,$N$3:$AF$15,MATCH(VLOOKUP(Y$18,$H$3:$K$33,3,FALSE)&amp;VLOOKUP(Y$18,$H$3:$K$33,4,FALSE),$N$3:$AF$3,0),FALSE),Y18)</f>
        <v>300</v>
      </c>
      <c r="Z19" s="227">
        <f>IFERROR(VLOOKUP(VLOOKUP(Z$18,$H$3:$K$33,3,FALSE)&amp;VLOOKUP(Z$18,$H$3:$K$33,4,FALSE),$B$3:$C$27,2,FALSE)*VLOOKUP($N19,$N$3:$AF$15,MATCH(VLOOKUP(Z$18,$H$3:$K$33,3,FALSE)&amp;VLOOKUP(Z$18,$H$3:$K$33,4,FALSE),$N$3:$AF$3,0),FALSE),Z18)</f>
        <v>600</v>
      </c>
      <c r="AA19" s="227">
        <f>IFERROR(VLOOKUP(VLOOKUP(AA$18,$H$3:$K$33,3,FALSE)&amp;VLOOKUP(AA$18,$H$3:$K$33,4,FALSE),$B$3:$C$27,2,FALSE)*VLOOKUP($N19,$N$3:$AF$15,MATCH(VLOOKUP(AA$18,$H$3:$K$33,3,FALSE)&amp;VLOOKUP(AA$18,$H$3:$K$33,4,FALSE),$N$3:$AF$3,0),FALSE),AA18)</f>
        <v>850</v>
      </c>
      <c r="AB19" s="227">
        <f>IFERROR(VLOOKUP(VLOOKUP(AB$18,$H$3:$K$33,3,FALSE)&amp;VLOOKUP(AB$18,$H$3:$K$33,4,FALSE),$B$3:$C$27,2,FALSE)*VLOOKUP($N19,$N$3:$AF$15,MATCH(VLOOKUP(AB$18,$H$3:$K$33,3,FALSE)&amp;VLOOKUP(AB$18,$H$3:$K$33,4,FALSE),$N$3:$AF$3,0),FALSE),AB18)</f>
        <v>1800</v>
      </c>
      <c r="AC19" s="227">
        <f>IFERROR(VLOOKUP(VLOOKUP(AC$18,$H$3:$K$33,3,FALSE)&amp;VLOOKUP(AC$18,$H$3:$K$33,4,FALSE),$B$3:$C$27,2,FALSE)*VLOOKUP($N19,$N$3:$AF$15,MATCH(VLOOKUP(AC$18,$H$3:$K$33,3,FALSE)&amp;VLOOKUP(AC$18,$H$3:$K$33,4,FALSE),$N$3:$AF$3,0),FALSE),AC18)</f>
        <v>2250</v>
      </c>
      <c r="AD19" s="227">
        <f>IFERROR(VLOOKUP(VLOOKUP(AD$18,$H$3:$K$33,3,FALSE)&amp;VLOOKUP(AD$18,$H$3:$K$33,4,FALSE),$B$3:$C$27,2,FALSE)*VLOOKUP($N19,$N$3:$AF$15,MATCH(VLOOKUP(AD$18,$H$3:$K$33,3,FALSE)&amp;VLOOKUP(AD$18,$H$3:$K$33,4,FALSE),$N$3:$AF$3,0),FALSE),AD18)</f>
        <v>2850</v>
      </c>
      <c r="AE19" s="227">
        <f>IFERROR(VLOOKUP(VLOOKUP(AE$18,$H$3:$K$33,3,FALSE)&amp;VLOOKUP(AE$18,$H$3:$K$33,4,FALSE),$B$3:$C$27,2,FALSE)*VLOOKUP($N19,$N$3:$AF$15,MATCH(VLOOKUP(AE$18,$H$3:$K$33,3,FALSE)&amp;VLOOKUP(AE$18,$H$3:$K$33,4,FALSE),$N$3:$AF$3,0),FALSE),AE18)</f>
        <v>5000</v>
      </c>
      <c r="AF19" s="227">
        <f>IFERROR(VLOOKUP(VLOOKUP(AF$18,$H$3:$K$33,3,FALSE)&amp;VLOOKUP(AF$18,$H$3:$K$33,4,FALSE),$B$3:$C$27,2,FALSE)*VLOOKUP($N19,$N$3:$AF$15,MATCH(VLOOKUP(AF$18,$H$3:$K$33,3,FALSE)&amp;VLOOKUP(AF$18,$H$3:$K$33,4,FALSE),$N$3:$AF$3,0),FALSE),AF18)</f>
        <v>6250</v>
      </c>
      <c r="AG19" s="227">
        <f>IFERROR(VLOOKUP(VLOOKUP(AG$18,$H$3:$K$33,3,FALSE)&amp;VLOOKUP(AG$18,$H$3:$K$33,4,FALSE),$B$3:$C$27,2,FALSE)*VLOOKUP($N19,$N$3:$AF$15,MATCH(VLOOKUP(AG$18,$H$3:$K$33,3,FALSE)&amp;VLOOKUP(AG$18,$H$3:$K$33,4,FALSE),$N$3:$AF$3,0),FALSE),AG18)</f>
        <v>7750</v>
      </c>
      <c r="AH19" s="227">
        <f>IFERROR(VLOOKUP(VLOOKUP(AH$18,$H$3:$K$33,3,FALSE)&amp;VLOOKUP(AH$18,$H$3:$K$33,4,FALSE),$B$3:$C$27,2,FALSE)*VLOOKUP($N19,$N$3:$AF$15,MATCH(VLOOKUP(AH$18,$H$3:$K$33,3,FALSE)&amp;VLOOKUP(AH$18,$H$3:$K$33,4,FALSE),$N$3:$AF$3,0),FALSE),AH18)</f>
        <v>13600</v>
      </c>
      <c r="AI19" s="227">
        <f>IFERROR(VLOOKUP(VLOOKUP(AI$18,$H$3:$K$33,3,FALSE)&amp;VLOOKUP(AI$18,$H$3:$K$33,4,FALSE),$B$3:$C$27,2,FALSE)*VLOOKUP($N19,$N$3:$AF$15,MATCH(VLOOKUP(AI$18,$H$3:$K$33,3,FALSE)&amp;VLOOKUP(AI$18,$H$3:$K$33,4,FALSE),$N$3:$AF$3,0),FALSE),AI18)</f>
        <v>300</v>
      </c>
      <c r="AJ19" s="227">
        <f>IFERROR(VLOOKUP(VLOOKUP(AJ$18,$H$3:$K$33,3,FALSE)&amp;VLOOKUP(AJ$18,$H$3:$K$33,4,FALSE),$B$3:$C$27,2,FALSE)*VLOOKUP($N19,$N$3:$AF$15,MATCH(VLOOKUP(AJ$18,$H$3:$K$33,3,FALSE)&amp;VLOOKUP(AJ$18,$H$3:$K$33,4,FALSE),$N$3:$AF$3,0),FALSE),AJ18)</f>
        <v>600</v>
      </c>
      <c r="AK19" s="227">
        <f>IFERROR(VLOOKUP(VLOOKUP(AK$18,$H$3:$K$33,3,FALSE)&amp;VLOOKUP(AK$18,$H$3:$K$33,4,FALSE),$B$3:$C$27,2,FALSE)*VLOOKUP($N19,$N$3:$AF$15,MATCH(VLOOKUP(AK$18,$H$3:$K$33,3,FALSE)&amp;VLOOKUP(AK$18,$H$3:$K$33,4,FALSE),$N$3:$AF$3,0),FALSE),AK18)</f>
        <v>850</v>
      </c>
      <c r="AL19" s="227">
        <f>IFERROR(VLOOKUP(VLOOKUP(AL$18,$H$3:$K$33,3,FALSE)&amp;VLOOKUP(AL$18,$H$3:$K$33,4,FALSE),$B$3:$C$27,2,FALSE)*VLOOKUP($N19,$N$3:$AF$15,MATCH(VLOOKUP(AL$18,$H$3:$K$33,3,FALSE)&amp;VLOOKUP(AL$18,$H$3:$K$33,4,FALSE),$N$3:$AF$3,0),FALSE),AL18)</f>
        <v>1800</v>
      </c>
      <c r="AM19" s="227">
        <f>IFERROR(VLOOKUP(VLOOKUP(AM$18,$H$3:$K$33,3,FALSE)&amp;VLOOKUP(AM$18,$H$3:$K$33,4,FALSE),$B$3:$C$27,2,FALSE)*VLOOKUP($N19,$N$3:$AF$15,MATCH(VLOOKUP(AM$18,$H$3:$K$33,3,FALSE)&amp;VLOOKUP(AM$18,$H$3:$K$33,4,FALSE),$N$3:$AF$3,0),FALSE),AM18)</f>
        <v>2250</v>
      </c>
      <c r="AN19" s="227">
        <f>IFERROR(VLOOKUP(VLOOKUP(AN$18,$H$3:$K$33,3,FALSE)&amp;VLOOKUP(AN$18,$H$3:$K$33,4,FALSE),$B$3:$C$27,2,FALSE)*VLOOKUP($N19,$N$3:$AF$15,MATCH(VLOOKUP(AN$18,$H$3:$K$33,3,FALSE)&amp;VLOOKUP(AN$18,$H$3:$K$33,4,FALSE),$N$3:$AF$3,0),FALSE),AN18)</f>
        <v>2850</v>
      </c>
      <c r="AO19" s="227">
        <f>IFERROR(VLOOKUP(VLOOKUP(AO$18,$H$3:$K$33,3,FALSE)&amp;VLOOKUP(AO$18,$H$3:$K$33,4,FALSE),$B$3:$C$27,2,FALSE)*VLOOKUP($N19,$N$3:$AF$15,MATCH(VLOOKUP(AO$18,$H$3:$K$33,3,FALSE)&amp;VLOOKUP(AO$18,$H$3:$K$33,4,FALSE),$N$3:$AF$3,0),FALSE),AO18)</f>
        <v>5000</v>
      </c>
      <c r="AP19" s="227">
        <f>IFERROR(VLOOKUP(VLOOKUP(AP$18,$H$3:$K$33,3,FALSE)&amp;VLOOKUP(AP$18,$H$3:$K$33,4,FALSE),$B$3:$C$27,2,FALSE)*VLOOKUP($N19,$N$3:$AF$15,MATCH(VLOOKUP(AP$18,$H$3:$K$33,3,FALSE)&amp;VLOOKUP(AP$18,$H$3:$K$33,4,FALSE),$N$3:$AF$3,0),FALSE),AP18)</f>
        <v>6250</v>
      </c>
      <c r="AQ19" s="227">
        <f>IFERROR(VLOOKUP(VLOOKUP(AQ$18,$H$3:$K$33,3,FALSE)&amp;VLOOKUP(AQ$18,$H$3:$K$33,4,FALSE),$B$3:$C$27,2,FALSE)*VLOOKUP($N19,$N$3:$AF$15,MATCH(VLOOKUP(AQ$18,$H$3:$K$33,3,FALSE)&amp;VLOOKUP(AQ$18,$H$3:$K$33,4,FALSE),$N$3:$AF$3,0),FALSE),AQ18)</f>
        <v>7750</v>
      </c>
      <c r="AR19" s="227">
        <f>IFERROR(VLOOKUP(VLOOKUP(AR$18,$H$3:$K$33,3,FALSE)&amp;VLOOKUP(AR$18,$H$3:$K$33,4,FALSE),$B$3:$C$27,2,FALSE)*VLOOKUP($N19,$N$3:$AF$15,MATCH(VLOOKUP(AR$18,$H$3:$K$33,3,FALSE)&amp;VLOOKUP(AR$18,$H$3:$K$33,4,FALSE),$N$3:$AF$3,0),FALSE),AR18)</f>
        <v>13600</v>
      </c>
    </row>
    <row r="20" spans="2:44" x14ac:dyDescent="0.35">
      <c r="B20" s="436" t="s">
        <v>1118</v>
      </c>
      <c r="C20" s="159">
        <f>基础经济系数!H37</f>
        <v>75</v>
      </c>
      <c r="D20" s="299">
        <f>D19</f>
        <v>0.05</v>
      </c>
      <c r="E20" s="159">
        <f>ROUND(C20*D20,0)</f>
        <v>4</v>
      </c>
      <c r="F20" s="159">
        <f>ROUND(E20*$R$73/500,0)*500</f>
        <v>1500</v>
      </c>
      <c r="G20" s="211"/>
      <c r="H20" s="219" t="s">
        <v>719</v>
      </c>
      <c r="I20" s="219" t="str">
        <f>VLOOKUP(H20,坦克个性化设定!$B$18:$E$48,3,FALSE)</f>
        <v>中坦</v>
      </c>
      <c r="J20" s="159" t="str">
        <f>VLOOKUP(H20,坦克个性化设定!$B$18:$E$48,4,FALSE)</f>
        <v>T4</v>
      </c>
      <c r="K20" s="159" t="str">
        <f>VLOOKUP(H20,坦克个性化细分!$I$3:$J$33,2,FALSE)</f>
        <v>低</v>
      </c>
      <c r="N20" s="219">
        <v>2</v>
      </c>
      <c r="O20" s="227">
        <f>IFERROR(VLOOKUP(VLOOKUP(O$18,$H$3:$K$33,3,FALSE)&amp;VLOOKUP(O$18,$H$3:$K$33,4,FALSE),$B$3:$C$27,2,FALSE)*VLOOKUP($N20,$N$3:$AF$15,MATCH(VLOOKUP(O$18,$H$3:$K$33,3,FALSE)&amp;VLOOKUP(O$18,$H$3:$K$33,4,FALSE),$N$3:$AF$3,0),FALSE),O19)</f>
        <v>282</v>
      </c>
      <c r="P20" s="227">
        <f>IFERROR(VLOOKUP(VLOOKUP(P$18,$H$3:$K$33,3,FALSE)&amp;VLOOKUP(P$18,$H$3:$K$33,4,FALSE),$B$3:$C$27,2,FALSE)*VLOOKUP($N20,$N$3:$AF$15,MATCH(VLOOKUP(P$18,$H$3:$K$33,3,FALSE)&amp;VLOOKUP(P$18,$H$3:$K$33,4,FALSE),$N$3:$AF$3,0),FALSE),P19)</f>
        <v>600</v>
      </c>
      <c r="Q20" s="227">
        <f>IFERROR(VLOOKUP(VLOOKUP(Q$18,$H$3:$K$33,3,FALSE)&amp;VLOOKUP(Q$18,$H$3:$K$33,4,FALSE),$B$3:$C$27,2,FALSE)*VLOOKUP($N20,$N$3:$AF$15,MATCH(VLOOKUP(Q$18,$H$3:$K$33,3,FALSE)&amp;VLOOKUP(Q$18,$H$3:$K$33,4,FALSE),$N$3:$AF$3,0),FALSE),Q19)</f>
        <v>850</v>
      </c>
      <c r="R20" s="227">
        <f>IFERROR(VLOOKUP(VLOOKUP(R$18,$H$3:$K$33,3,FALSE)&amp;VLOOKUP(R$18,$H$3:$K$33,4,FALSE),$B$3:$C$27,2,FALSE)*VLOOKUP($N20,$N$3:$AF$15,MATCH(VLOOKUP(R$18,$H$3:$K$33,3,FALSE)&amp;VLOOKUP(R$18,$H$3:$K$33,4,FALSE),$N$3:$AF$3,0),FALSE),R19)</f>
        <v>1800</v>
      </c>
      <c r="S20" s="227">
        <f>IFERROR(VLOOKUP(VLOOKUP(S$18,$H$3:$K$33,3,FALSE)&amp;VLOOKUP(S$18,$H$3:$K$33,4,FALSE),$B$3:$C$27,2,FALSE)*VLOOKUP($N20,$N$3:$AF$15,MATCH(VLOOKUP(S$18,$H$3:$K$33,3,FALSE)&amp;VLOOKUP(S$18,$H$3:$K$33,4,FALSE),$N$3:$AF$3,0),FALSE),S19)</f>
        <v>2250</v>
      </c>
      <c r="T20" s="227">
        <f>IFERROR(VLOOKUP(VLOOKUP(T$18,$H$3:$K$33,3,FALSE)&amp;VLOOKUP(T$18,$H$3:$K$33,4,FALSE),$B$3:$C$27,2,FALSE)*VLOOKUP($N20,$N$3:$AF$15,MATCH(VLOOKUP(T$18,$H$3:$K$33,3,FALSE)&amp;VLOOKUP(T$18,$H$3:$K$33,4,FALSE),$N$3:$AF$3,0),FALSE),T19)</f>
        <v>2850</v>
      </c>
      <c r="U20" s="227">
        <f>IFERROR(VLOOKUP(VLOOKUP(U$18,$H$3:$K$33,3,FALSE)&amp;VLOOKUP(U$18,$H$3:$K$33,4,FALSE),$B$3:$C$27,2,FALSE)*VLOOKUP($N20,$N$3:$AF$15,MATCH(VLOOKUP(U$18,$H$3:$K$33,3,FALSE)&amp;VLOOKUP(U$18,$H$3:$K$33,4,FALSE),$N$3:$AF$3,0),FALSE),U19)</f>
        <v>5000</v>
      </c>
      <c r="V20" s="227">
        <f>IFERROR(VLOOKUP(VLOOKUP(V$18,$H$3:$K$33,3,FALSE)&amp;VLOOKUP(V$18,$H$3:$K$33,4,FALSE),$B$3:$C$27,2,FALSE)*VLOOKUP($N20,$N$3:$AF$15,MATCH(VLOOKUP(V$18,$H$3:$K$33,3,FALSE)&amp;VLOOKUP(V$18,$H$3:$K$33,4,FALSE),$N$3:$AF$3,0),FALSE),V19)</f>
        <v>6250</v>
      </c>
      <c r="W20" s="227">
        <f>IFERROR(VLOOKUP(VLOOKUP(W$18,$H$3:$K$33,3,FALSE)&amp;VLOOKUP(W$18,$H$3:$K$33,4,FALSE),$B$3:$C$27,2,FALSE)*VLOOKUP($N20,$N$3:$AF$15,MATCH(VLOOKUP(W$18,$H$3:$K$33,3,FALSE)&amp;VLOOKUP(W$18,$H$3:$K$33,4,FALSE),$N$3:$AF$3,0),FALSE),W19)</f>
        <v>7750</v>
      </c>
      <c r="X20" s="227">
        <f>IFERROR(VLOOKUP(VLOOKUP(X$18,$H$3:$K$33,3,FALSE)&amp;VLOOKUP(X$18,$H$3:$K$33,4,FALSE),$B$3:$C$27,2,FALSE)*VLOOKUP($N20,$N$3:$AF$15,MATCH(VLOOKUP(X$18,$H$3:$K$33,3,FALSE)&amp;VLOOKUP(X$18,$H$3:$K$33,4,FALSE),$N$3:$AF$3,0),FALSE),X19)</f>
        <v>13600</v>
      </c>
      <c r="Y20" s="227">
        <f>IFERROR(VLOOKUP(VLOOKUP(Y$18,$H$3:$K$33,3,FALSE)&amp;VLOOKUP(Y$18,$H$3:$K$33,4,FALSE),$B$3:$C$27,2,FALSE)*VLOOKUP($N20,$N$3:$AF$15,MATCH(VLOOKUP(Y$18,$H$3:$K$33,3,FALSE)&amp;VLOOKUP(Y$18,$H$3:$K$33,4,FALSE),$N$3:$AF$3,0),FALSE),Y19)</f>
        <v>282</v>
      </c>
      <c r="Z20" s="227">
        <f>IFERROR(VLOOKUP(VLOOKUP(Z$18,$H$3:$K$33,3,FALSE)&amp;VLOOKUP(Z$18,$H$3:$K$33,4,FALSE),$B$3:$C$27,2,FALSE)*VLOOKUP($N20,$N$3:$AF$15,MATCH(VLOOKUP(Z$18,$H$3:$K$33,3,FALSE)&amp;VLOOKUP(Z$18,$H$3:$K$33,4,FALSE),$N$3:$AF$3,0),FALSE),Z19)</f>
        <v>600</v>
      </c>
      <c r="AA20" s="227">
        <f>IFERROR(VLOOKUP(VLOOKUP(AA$18,$H$3:$K$33,3,FALSE)&amp;VLOOKUP(AA$18,$H$3:$K$33,4,FALSE),$B$3:$C$27,2,FALSE)*VLOOKUP($N20,$N$3:$AF$15,MATCH(VLOOKUP(AA$18,$H$3:$K$33,3,FALSE)&amp;VLOOKUP(AA$18,$H$3:$K$33,4,FALSE),$N$3:$AF$3,0),FALSE),AA19)</f>
        <v>850</v>
      </c>
      <c r="AB20" s="227">
        <f>IFERROR(VLOOKUP(VLOOKUP(AB$18,$H$3:$K$33,3,FALSE)&amp;VLOOKUP(AB$18,$H$3:$K$33,4,FALSE),$B$3:$C$27,2,FALSE)*VLOOKUP($N20,$N$3:$AF$15,MATCH(VLOOKUP(AB$18,$H$3:$K$33,3,FALSE)&amp;VLOOKUP(AB$18,$H$3:$K$33,4,FALSE),$N$3:$AF$3,0),FALSE),AB19)</f>
        <v>1800</v>
      </c>
      <c r="AC20" s="227">
        <f>IFERROR(VLOOKUP(VLOOKUP(AC$18,$H$3:$K$33,3,FALSE)&amp;VLOOKUP(AC$18,$H$3:$K$33,4,FALSE),$B$3:$C$27,2,FALSE)*VLOOKUP($N20,$N$3:$AF$15,MATCH(VLOOKUP(AC$18,$H$3:$K$33,3,FALSE)&amp;VLOOKUP(AC$18,$H$3:$K$33,4,FALSE),$N$3:$AF$3,0),FALSE),AC19)</f>
        <v>2250</v>
      </c>
      <c r="AD20" s="227">
        <f>IFERROR(VLOOKUP(VLOOKUP(AD$18,$H$3:$K$33,3,FALSE)&amp;VLOOKUP(AD$18,$H$3:$K$33,4,FALSE),$B$3:$C$27,2,FALSE)*VLOOKUP($N20,$N$3:$AF$15,MATCH(VLOOKUP(AD$18,$H$3:$K$33,3,FALSE)&amp;VLOOKUP(AD$18,$H$3:$K$33,4,FALSE),$N$3:$AF$3,0),FALSE),AD19)</f>
        <v>2850</v>
      </c>
      <c r="AE20" s="227">
        <f>IFERROR(VLOOKUP(VLOOKUP(AE$18,$H$3:$K$33,3,FALSE)&amp;VLOOKUP(AE$18,$H$3:$K$33,4,FALSE),$B$3:$C$27,2,FALSE)*VLOOKUP($N20,$N$3:$AF$15,MATCH(VLOOKUP(AE$18,$H$3:$K$33,3,FALSE)&amp;VLOOKUP(AE$18,$H$3:$K$33,4,FALSE),$N$3:$AF$3,0),FALSE),AE19)</f>
        <v>5000</v>
      </c>
      <c r="AF20" s="227">
        <f>IFERROR(VLOOKUP(VLOOKUP(AF$18,$H$3:$K$33,3,FALSE)&amp;VLOOKUP(AF$18,$H$3:$K$33,4,FALSE),$B$3:$C$27,2,FALSE)*VLOOKUP($N20,$N$3:$AF$15,MATCH(VLOOKUP(AF$18,$H$3:$K$33,3,FALSE)&amp;VLOOKUP(AF$18,$H$3:$K$33,4,FALSE),$N$3:$AF$3,0),FALSE),AF19)</f>
        <v>6250</v>
      </c>
      <c r="AG20" s="227">
        <f>IFERROR(VLOOKUP(VLOOKUP(AG$18,$H$3:$K$33,3,FALSE)&amp;VLOOKUP(AG$18,$H$3:$K$33,4,FALSE),$B$3:$C$27,2,FALSE)*VLOOKUP($N20,$N$3:$AF$15,MATCH(VLOOKUP(AG$18,$H$3:$K$33,3,FALSE)&amp;VLOOKUP(AG$18,$H$3:$K$33,4,FALSE),$N$3:$AF$3,0),FALSE),AG19)</f>
        <v>7750</v>
      </c>
      <c r="AH20" s="227">
        <f>IFERROR(VLOOKUP(VLOOKUP(AH$18,$H$3:$K$33,3,FALSE)&amp;VLOOKUP(AH$18,$H$3:$K$33,4,FALSE),$B$3:$C$27,2,FALSE)*VLOOKUP($N20,$N$3:$AF$15,MATCH(VLOOKUP(AH$18,$H$3:$K$33,3,FALSE)&amp;VLOOKUP(AH$18,$H$3:$K$33,4,FALSE),$N$3:$AF$3,0),FALSE),AH19)</f>
        <v>13600</v>
      </c>
      <c r="AI20" s="227">
        <f>IFERROR(VLOOKUP(VLOOKUP(AI$18,$H$3:$K$33,3,FALSE)&amp;VLOOKUP(AI$18,$H$3:$K$33,4,FALSE),$B$3:$C$27,2,FALSE)*VLOOKUP($N20,$N$3:$AF$15,MATCH(VLOOKUP(AI$18,$H$3:$K$33,3,FALSE)&amp;VLOOKUP(AI$18,$H$3:$K$33,4,FALSE),$N$3:$AF$3,0),FALSE),AI19)</f>
        <v>282</v>
      </c>
      <c r="AJ20" s="227">
        <f>IFERROR(VLOOKUP(VLOOKUP(AJ$18,$H$3:$K$33,3,FALSE)&amp;VLOOKUP(AJ$18,$H$3:$K$33,4,FALSE),$B$3:$C$27,2,FALSE)*VLOOKUP($N20,$N$3:$AF$15,MATCH(VLOOKUP(AJ$18,$H$3:$K$33,3,FALSE)&amp;VLOOKUP(AJ$18,$H$3:$K$33,4,FALSE),$N$3:$AF$3,0),FALSE),AJ19)</f>
        <v>600</v>
      </c>
      <c r="AK20" s="227">
        <f>IFERROR(VLOOKUP(VLOOKUP(AK$18,$H$3:$K$33,3,FALSE)&amp;VLOOKUP(AK$18,$H$3:$K$33,4,FALSE),$B$3:$C$27,2,FALSE)*VLOOKUP($N20,$N$3:$AF$15,MATCH(VLOOKUP(AK$18,$H$3:$K$33,3,FALSE)&amp;VLOOKUP(AK$18,$H$3:$K$33,4,FALSE),$N$3:$AF$3,0),FALSE),AK19)</f>
        <v>850</v>
      </c>
      <c r="AL20" s="227">
        <f>IFERROR(VLOOKUP(VLOOKUP(AL$18,$H$3:$K$33,3,FALSE)&amp;VLOOKUP(AL$18,$H$3:$K$33,4,FALSE),$B$3:$C$27,2,FALSE)*VLOOKUP($N20,$N$3:$AF$15,MATCH(VLOOKUP(AL$18,$H$3:$K$33,3,FALSE)&amp;VLOOKUP(AL$18,$H$3:$K$33,4,FALSE),$N$3:$AF$3,0),FALSE),AL19)</f>
        <v>1800</v>
      </c>
      <c r="AM20" s="227">
        <f>IFERROR(VLOOKUP(VLOOKUP(AM$18,$H$3:$K$33,3,FALSE)&amp;VLOOKUP(AM$18,$H$3:$K$33,4,FALSE),$B$3:$C$27,2,FALSE)*VLOOKUP($N20,$N$3:$AF$15,MATCH(VLOOKUP(AM$18,$H$3:$K$33,3,FALSE)&amp;VLOOKUP(AM$18,$H$3:$K$33,4,FALSE),$N$3:$AF$3,0),FALSE),AM19)</f>
        <v>2250</v>
      </c>
      <c r="AN20" s="227">
        <f>IFERROR(VLOOKUP(VLOOKUP(AN$18,$H$3:$K$33,3,FALSE)&amp;VLOOKUP(AN$18,$H$3:$K$33,4,FALSE),$B$3:$C$27,2,FALSE)*VLOOKUP($N20,$N$3:$AF$15,MATCH(VLOOKUP(AN$18,$H$3:$K$33,3,FALSE)&amp;VLOOKUP(AN$18,$H$3:$K$33,4,FALSE),$N$3:$AF$3,0),FALSE),AN19)</f>
        <v>2850</v>
      </c>
      <c r="AO20" s="227">
        <f>IFERROR(VLOOKUP(VLOOKUP(AO$18,$H$3:$K$33,3,FALSE)&amp;VLOOKUP(AO$18,$H$3:$K$33,4,FALSE),$B$3:$C$27,2,FALSE)*VLOOKUP($N20,$N$3:$AF$15,MATCH(VLOOKUP(AO$18,$H$3:$K$33,3,FALSE)&amp;VLOOKUP(AO$18,$H$3:$K$33,4,FALSE),$N$3:$AF$3,0),FALSE),AO19)</f>
        <v>5000</v>
      </c>
      <c r="AP20" s="227">
        <f>IFERROR(VLOOKUP(VLOOKUP(AP$18,$H$3:$K$33,3,FALSE)&amp;VLOOKUP(AP$18,$H$3:$K$33,4,FALSE),$B$3:$C$27,2,FALSE)*VLOOKUP($N20,$N$3:$AF$15,MATCH(VLOOKUP(AP$18,$H$3:$K$33,3,FALSE)&amp;VLOOKUP(AP$18,$H$3:$K$33,4,FALSE),$N$3:$AF$3,0),FALSE),AP19)</f>
        <v>6250</v>
      </c>
      <c r="AQ20" s="227">
        <f>IFERROR(VLOOKUP(VLOOKUP(AQ$18,$H$3:$K$33,3,FALSE)&amp;VLOOKUP(AQ$18,$H$3:$K$33,4,FALSE),$B$3:$C$27,2,FALSE)*VLOOKUP($N20,$N$3:$AF$15,MATCH(VLOOKUP(AQ$18,$H$3:$K$33,3,FALSE)&amp;VLOOKUP(AQ$18,$H$3:$K$33,4,FALSE),$N$3:$AF$3,0),FALSE),AQ19)</f>
        <v>7750</v>
      </c>
      <c r="AR20" s="227">
        <f>IFERROR(VLOOKUP(VLOOKUP(AR$18,$H$3:$K$33,3,FALSE)&amp;VLOOKUP(AR$18,$H$3:$K$33,4,FALSE),$B$3:$C$27,2,FALSE)*VLOOKUP($N20,$N$3:$AF$15,MATCH(VLOOKUP(AR$18,$H$3:$K$33,3,FALSE)&amp;VLOOKUP(AR$18,$H$3:$K$33,4,FALSE),$N$3:$AF$3,0),FALSE),AR19)</f>
        <v>13600</v>
      </c>
    </row>
    <row r="21" spans="2:44" x14ac:dyDescent="0.35">
      <c r="B21" s="436" t="s">
        <v>1119</v>
      </c>
      <c r="C21" s="159">
        <f>基础经济系数!H38</f>
        <v>95</v>
      </c>
      <c r="D21" s="299">
        <f>D20</f>
        <v>0.05</v>
      </c>
      <c r="E21" s="159">
        <f>ROUND(C21*D21,0)</f>
        <v>5</v>
      </c>
      <c r="F21" s="159">
        <f>ROUND(E21*$R$73/500,0)*500</f>
        <v>2000</v>
      </c>
      <c r="G21" s="211"/>
      <c r="H21" s="219" t="s">
        <v>720</v>
      </c>
      <c r="I21" s="219" t="str">
        <f>VLOOKUP(H21,坦克个性化设定!$B$18:$E$48,3,FALSE)</f>
        <v>中坦</v>
      </c>
      <c r="J21" s="159" t="str">
        <f>VLOOKUP(H21,坦克个性化设定!$B$18:$E$48,4,FALSE)</f>
        <v>T4</v>
      </c>
      <c r="K21" s="159" t="str">
        <f>VLOOKUP(H21,坦克个性化细分!$I$3:$J$33,2,FALSE)</f>
        <v>中</v>
      </c>
      <c r="N21" s="219">
        <v>3</v>
      </c>
      <c r="O21" s="227">
        <f>IFERROR(VLOOKUP(VLOOKUP(O$18,$H$3:$K$33,3,FALSE)&amp;VLOOKUP(O$18,$H$3:$K$33,4,FALSE),$B$3:$C$27,2,FALSE)*VLOOKUP($N21,$N$3:$AF$15,MATCH(VLOOKUP(O$18,$H$3:$K$33,3,FALSE)&amp;VLOOKUP(O$18,$H$3:$K$33,4,FALSE),$N$3:$AF$3,0),FALSE),O20)</f>
        <v>264</v>
      </c>
      <c r="P21" s="227">
        <f>IFERROR(VLOOKUP(VLOOKUP(P$18,$H$3:$K$33,3,FALSE)&amp;VLOOKUP(P$18,$H$3:$K$33,4,FALSE),$B$3:$C$27,2,FALSE)*VLOOKUP($N21,$N$3:$AF$15,MATCH(VLOOKUP(P$18,$H$3:$K$33,3,FALSE)&amp;VLOOKUP(P$18,$H$3:$K$33,4,FALSE),$N$3:$AF$3,0),FALSE),P20)</f>
        <v>564</v>
      </c>
      <c r="Q21" s="227">
        <f>IFERROR(VLOOKUP(VLOOKUP(Q$18,$H$3:$K$33,3,FALSE)&amp;VLOOKUP(Q$18,$H$3:$K$33,4,FALSE),$B$3:$C$27,2,FALSE)*VLOOKUP($N21,$N$3:$AF$15,MATCH(VLOOKUP(Q$18,$H$3:$K$33,3,FALSE)&amp;VLOOKUP(Q$18,$H$3:$K$33,4,FALSE),$N$3:$AF$3,0),FALSE),Q20)</f>
        <v>850</v>
      </c>
      <c r="R21" s="227">
        <f>IFERROR(VLOOKUP(VLOOKUP(R$18,$H$3:$K$33,3,FALSE)&amp;VLOOKUP(R$18,$H$3:$K$33,4,FALSE),$B$3:$C$27,2,FALSE)*VLOOKUP($N21,$N$3:$AF$15,MATCH(VLOOKUP(R$18,$H$3:$K$33,3,FALSE)&amp;VLOOKUP(R$18,$H$3:$K$33,4,FALSE),$N$3:$AF$3,0),FALSE),R20)</f>
        <v>1800</v>
      </c>
      <c r="S21" s="227">
        <f>IFERROR(VLOOKUP(VLOOKUP(S$18,$H$3:$K$33,3,FALSE)&amp;VLOOKUP(S$18,$H$3:$K$33,4,FALSE),$B$3:$C$27,2,FALSE)*VLOOKUP($N21,$N$3:$AF$15,MATCH(VLOOKUP(S$18,$H$3:$K$33,3,FALSE)&amp;VLOOKUP(S$18,$H$3:$K$33,4,FALSE),$N$3:$AF$3,0),FALSE),S20)</f>
        <v>2250</v>
      </c>
      <c r="T21" s="227">
        <f>IFERROR(VLOOKUP(VLOOKUP(T$18,$H$3:$K$33,3,FALSE)&amp;VLOOKUP(T$18,$H$3:$K$33,4,FALSE),$B$3:$C$27,2,FALSE)*VLOOKUP($N21,$N$3:$AF$15,MATCH(VLOOKUP(T$18,$H$3:$K$33,3,FALSE)&amp;VLOOKUP(T$18,$H$3:$K$33,4,FALSE),$N$3:$AF$3,0),FALSE),T20)</f>
        <v>2850</v>
      </c>
      <c r="U21" s="227">
        <f>IFERROR(VLOOKUP(VLOOKUP(U$18,$H$3:$K$33,3,FALSE)&amp;VLOOKUP(U$18,$H$3:$K$33,4,FALSE),$B$3:$C$27,2,FALSE)*VLOOKUP($N21,$N$3:$AF$15,MATCH(VLOOKUP(U$18,$H$3:$K$33,3,FALSE)&amp;VLOOKUP(U$18,$H$3:$K$33,4,FALSE),$N$3:$AF$3,0),FALSE),U20)</f>
        <v>5000</v>
      </c>
      <c r="V21" s="227">
        <f>IFERROR(VLOOKUP(VLOOKUP(V$18,$H$3:$K$33,3,FALSE)&amp;VLOOKUP(V$18,$H$3:$K$33,4,FALSE),$B$3:$C$27,2,FALSE)*VLOOKUP($N21,$N$3:$AF$15,MATCH(VLOOKUP(V$18,$H$3:$K$33,3,FALSE)&amp;VLOOKUP(V$18,$H$3:$K$33,4,FALSE),$N$3:$AF$3,0),FALSE),V20)</f>
        <v>6250</v>
      </c>
      <c r="W21" s="227">
        <f>IFERROR(VLOOKUP(VLOOKUP(W$18,$H$3:$K$33,3,FALSE)&amp;VLOOKUP(W$18,$H$3:$K$33,4,FALSE),$B$3:$C$27,2,FALSE)*VLOOKUP($N21,$N$3:$AF$15,MATCH(VLOOKUP(W$18,$H$3:$K$33,3,FALSE)&amp;VLOOKUP(W$18,$H$3:$K$33,4,FALSE),$N$3:$AF$3,0),FALSE),W20)</f>
        <v>7750</v>
      </c>
      <c r="X21" s="227">
        <f>IFERROR(VLOOKUP(VLOOKUP(X$18,$H$3:$K$33,3,FALSE)&amp;VLOOKUP(X$18,$H$3:$K$33,4,FALSE),$B$3:$C$27,2,FALSE)*VLOOKUP($N21,$N$3:$AF$15,MATCH(VLOOKUP(X$18,$H$3:$K$33,3,FALSE)&amp;VLOOKUP(X$18,$H$3:$K$33,4,FALSE),$N$3:$AF$3,0),FALSE),X20)</f>
        <v>13600</v>
      </c>
      <c r="Y21" s="227">
        <f>IFERROR(VLOOKUP(VLOOKUP(Y$18,$H$3:$K$33,3,FALSE)&amp;VLOOKUP(Y$18,$H$3:$K$33,4,FALSE),$B$3:$C$27,2,FALSE)*VLOOKUP($N21,$N$3:$AF$15,MATCH(VLOOKUP(Y$18,$H$3:$K$33,3,FALSE)&amp;VLOOKUP(Y$18,$H$3:$K$33,4,FALSE),$N$3:$AF$3,0),FALSE),Y20)</f>
        <v>264</v>
      </c>
      <c r="Z21" s="227">
        <f>IFERROR(VLOOKUP(VLOOKUP(Z$18,$H$3:$K$33,3,FALSE)&amp;VLOOKUP(Z$18,$H$3:$K$33,4,FALSE),$B$3:$C$27,2,FALSE)*VLOOKUP($N21,$N$3:$AF$15,MATCH(VLOOKUP(Z$18,$H$3:$K$33,3,FALSE)&amp;VLOOKUP(Z$18,$H$3:$K$33,4,FALSE),$N$3:$AF$3,0),FALSE),Z20)</f>
        <v>564</v>
      </c>
      <c r="AA21" s="227">
        <f>IFERROR(VLOOKUP(VLOOKUP(AA$18,$H$3:$K$33,3,FALSE)&amp;VLOOKUP(AA$18,$H$3:$K$33,4,FALSE),$B$3:$C$27,2,FALSE)*VLOOKUP($N21,$N$3:$AF$15,MATCH(VLOOKUP(AA$18,$H$3:$K$33,3,FALSE)&amp;VLOOKUP(AA$18,$H$3:$K$33,4,FALSE),$N$3:$AF$3,0),FALSE),AA20)</f>
        <v>850</v>
      </c>
      <c r="AB21" s="227">
        <f>IFERROR(VLOOKUP(VLOOKUP(AB$18,$H$3:$K$33,3,FALSE)&amp;VLOOKUP(AB$18,$H$3:$K$33,4,FALSE),$B$3:$C$27,2,FALSE)*VLOOKUP($N21,$N$3:$AF$15,MATCH(VLOOKUP(AB$18,$H$3:$K$33,3,FALSE)&amp;VLOOKUP(AB$18,$H$3:$K$33,4,FALSE),$N$3:$AF$3,0),FALSE),AB20)</f>
        <v>1800</v>
      </c>
      <c r="AC21" s="227">
        <f>IFERROR(VLOOKUP(VLOOKUP(AC$18,$H$3:$K$33,3,FALSE)&amp;VLOOKUP(AC$18,$H$3:$K$33,4,FALSE),$B$3:$C$27,2,FALSE)*VLOOKUP($N21,$N$3:$AF$15,MATCH(VLOOKUP(AC$18,$H$3:$K$33,3,FALSE)&amp;VLOOKUP(AC$18,$H$3:$K$33,4,FALSE),$N$3:$AF$3,0),FALSE),AC20)</f>
        <v>2250</v>
      </c>
      <c r="AD21" s="227">
        <f>IFERROR(VLOOKUP(VLOOKUP(AD$18,$H$3:$K$33,3,FALSE)&amp;VLOOKUP(AD$18,$H$3:$K$33,4,FALSE),$B$3:$C$27,2,FALSE)*VLOOKUP($N21,$N$3:$AF$15,MATCH(VLOOKUP(AD$18,$H$3:$K$33,3,FALSE)&amp;VLOOKUP(AD$18,$H$3:$K$33,4,FALSE),$N$3:$AF$3,0),FALSE),AD20)</f>
        <v>2850</v>
      </c>
      <c r="AE21" s="227">
        <f>IFERROR(VLOOKUP(VLOOKUP(AE$18,$H$3:$K$33,3,FALSE)&amp;VLOOKUP(AE$18,$H$3:$K$33,4,FALSE),$B$3:$C$27,2,FALSE)*VLOOKUP($N21,$N$3:$AF$15,MATCH(VLOOKUP(AE$18,$H$3:$K$33,3,FALSE)&amp;VLOOKUP(AE$18,$H$3:$K$33,4,FALSE),$N$3:$AF$3,0),FALSE),AE20)</f>
        <v>5000</v>
      </c>
      <c r="AF21" s="227">
        <f>IFERROR(VLOOKUP(VLOOKUP(AF$18,$H$3:$K$33,3,FALSE)&amp;VLOOKUP(AF$18,$H$3:$K$33,4,FALSE),$B$3:$C$27,2,FALSE)*VLOOKUP($N21,$N$3:$AF$15,MATCH(VLOOKUP(AF$18,$H$3:$K$33,3,FALSE)&amp;VLOOKUP(AF$18,$H$3:$K$33,4,FALSE),$N$3:$AF$3,0),FALSE),AF20)</f>
        <v>6250</v>
      </c>
      <c r="AG21" s="227">
        <f>IFERROR(VLOOKUP(VLOOKUP(AG$18,$H$3:$K$33,3,FALSE)&amp;VLOOKUP(AG$18,$H$3:$K$33,4,FALSE),$B$3:$C$27,2,FALSE)*VLOOKUP($N21,$N$3:$AF$15,MATCH(VLOOKUP(AG$18,$H$3:$K$33,3,FALSE)&amp;VLOOKUP(AG$18,$H$3:$K$33,4,FALSE),$N$3:$AF$3,0),FALSE),AG20)</f>
        <v>7750</v>
      </c>
      <c r="AH21" s="227">
        <f>IFERROR(VLOOKUP(VLOOKUP(AH$18,$H$3:$K$33,3,FALSE)&amp;VLOOKUP(AH$18,$H$3:$K$33,4,FALSE),$B$3:$C$27,2,FALSE)*VLOOKUP($N21,$N$3:$AF$15,MATCH(VLOOKUP(AH$18,$H$3:$K$33,3,FALSE)&amp;VLOOKUP(AH$18,$H$3:$K$33,4,FALSE),$N$3:$AF$3,0),FALSE),AH20)</f>
        <v>13600</v>
      </c>
      <c r="AI21" s="227">
        <f>IFERROR(VLOOKUP(VLOOKUP(AI$18,$H$3:$K$33,3,FALSE)&amp;VLOOKUP(AI$18,$H$3:$K$33,4,FALSE),$B$3:$C$27,2,FALSE)*VLOOKUP($N21,$N$3:$AF$15,MATCH(VLOOKUP(AI$18,$H$3:$K$33,3,FALSE)&amp;VLOOKUP(AI$18,$H$3:$K$33,4,FALSE),$N$3:$AF$3,0),FALSE),AI20)</f>
        <v>264</v>
      </c>
      <c r="AJ21" s="227">
        <f>IFERROR(VLOOKUP(VLOOKUP(AJ$18,$H$3:$K$33,3,FALSE)&amp;VLOOKUP(AJ$18,$H$3:$K$33,4,FALSE),$B$3:$C$27,2,FALSE)*VLOOKUP($N21,$N$3:$AF$15,MATCH(VLOOKUP(AJ$18,$H$3:$K$33,3,FALSE)&amp;VLOOKUP(AJ$18,$H$3:$K$33,4,FALSE),$N$3:$AF$3,0),FALSE),AJ20)</f>
        <v>564</v>
      </c>
      <c r="AK21" s="227">
        <f>IFERROR(VLOOKUP(VLOOKUP(AK$18,$H$3:$K$33,3,FALSE)&amp;VLOOKUP(AK$18,$H$3:$K$33,4,FALSE),$B$3:$C$27,2,FALSE)*VLOOKUP($N21,$N$3:$AF$15,MATCH(VLOOKUP(AK$18,$H$3:$K$33,3,FALSE)&amp;VLOOKUP(AK$18,$H$3:$K$33,4,FALSE),$N$3:$AF$3,0),FALSE),AK20)</f>
        <v>850</v>
      </c>
      <c r="AL21" s="227">
        <f>IFERROR(VLOOKUP(VLOOKUP(AL$18,$H$3:$K$33,3,FALSE)&amp;VLOOKUP(AL$18,$H$3:$K$33,4,FALSE),$B$3:$C$27,2,FALSE)*VLOOKUP($N21,$N$3:$AF$15,MATCH(VLOOKUP(AL$18,$H$3:$K$33,3,FALSE)&amp;VLOOKUP(AL$18,$H$3:$K$33,4,FALSE),$N$3:$AF$3,0),FALSE),AL20)</f>
        <v>1800</v>
      </c>
      <c r="AM21" s="227">
        <f>IFERROR(VLOOKUP(VLOOKUP(AM$18,$H$3:$K$33,3,FALSE)&amp;VLOOKUP(AM$18,$H$3:$K$33,4,FALSE),$B$3:$C$27,2,FALSE)*VLOOKUP($N21,$N$3:$AF$15,MATCH(VLOOKUP(AM$18,$H$3:$K$33,3,FALSE)&amp;VLOOKUP(AM$18,$H$3:$K$33,4,FALSE),$N$3:$AF$3,0),FALSE),AM20)</f>
        <v>2250</v>
      </c>
      <c r="AN21" s="227">
        <f>IFERROR(VLOOKUP(VLOOKUP(AN$18,$H$3:$K$33,3,FALSE)&amp;VLOOKUP(AN$18,$H$3:$K$33,4,FALSE),$B$3:$C$27,2,FALSE)*VLOOKUP($N21,$N$3:$AF$15,MATCH(VLOOKUP(AN$18,$H$3:$K$33,3,FALSE)&amp;VLOOKUP(AN$18,$H$3:$K$33,4,FALSE),$N$3:$AF$3,0),FALSE),AN20)</f>
        <v>2850</v>
      </c>
      <c r="AO21" s="227">
        <f>IFERROR(VLOOKUP(VLOOKUP(AO$18,$H$3:$K$33,3,FALSE)&amp;VLOOKUP(AO$18,$H$3:$K$33,4,FALSE),$B$3:$C$27,2,FALSE)*VLOOKUP($N21,$N$3:$AF$15,MATCH(VLOOKUP(AO$18,$H$3:$K$33,3,FALSE)&amp;VLOOKUP(AO$18,$H$3:$K$33,4,FALSE),$N$3:$AF$3,0),FALSE),AO20)</f>
        <v>5000</v>
      </c>
      <c r="AP21" s="227">
        <f>IFERROR(VLOOKUP(VLOOKUP(AP$18,$H$3:$K$33,3,FALSE)&amp;VLOOKUP(AP$18,$H$3:$K$33,4,FALSE),$B$3:$C$27,2,FALSE)*VLOOKUP($N21,$N$3:$AF$15,MATCH(VLOOKUP(AP$18,$H$3:$K$33,3,FALSE)&amp;VLOOKUP(AP$18,$H$3:$K$33,4,FALSE),$N$3:$AF$3,0),FALSE),AP20)</f>
        <v>6250</v>
      </c>
      <c r="AQ21" s="227">
        <f>IFERROR(VLOOKUP(VLOOKUP(AQ$18,$H$3:$K$33,3,FALSE)&amp;VLOOKUP(AQ$18,$H$3:$K$33,4,FALSE),$B$3:$C$27,2,FALSE)*VLOOKUP($N21,$N$3:$AF$15,MATCH(VLOOKUP(AQ$18,$H$3:$K$33,3,FALSE)&amp;VLOOKUP(AQ$18,$H$3:$K$33,4,FALSE),$N$3:$AF$3,0),FALSE),AQ20)</f>
        <v>7750</v>
      </c>
      <c r="AR21" s="227">
        <f>IFERROR(VLOOKUP(VLOOKUP(AR$18,$H$3:$K$33,3,FALSE)&amp;VLOOKUP(AR$18,$H$3:$K$33,4,FALSE),$B$3:$C$27,2,FALSE)*VLOOKUP($N21,$N$3:$AF$15,MATCH(VLOOKUP(AR$18,$H$3:$K$33,3,FALSE)&amp;VLOOKUP(AR$18,$H$3:$K$33,4,FALSE),$N$3:$AF$3,0),FALSE),AR20)</f>
        <v>13600</v>
      </c>
    </row>
    <row r="22" spans="2:44" x14ac:dyDescent="0.35">
      <c r="B22" s="436" t="s">
        <v>1120</v>
      </c>
      <c r="C22" s="159">
        <f>基础经济系数!H39</f>
        <v>100</v>
      </c>
      <c r="D22" s="299">
        <f>D21</f>
        <v>0.05</v>
      </c>
      <c r="E22" s="159">
        <f>ROUND(C22*D22,0)</f>
        <v>5</v>
      </c>
      <c r="F22" s="159">
        <f>ROUND(E22*$R$73/500,0)*500</f>
        <v>2000</v>
      </c>
      <c r="G22" s="211"/>
      <c r="H22" s="219" t="s">
        <v>634</v>
      </c>
      <c r="I22" s="219" t="str">
        <f>VLOOKUP(H22,坦克个性化设定!$B$18:$E$48,3,FALSE)</f>
        <v>中坦</v>
      </c>
      <c r="J22" s="159" t="str">
        <f>VLOOKUP(H22,坦克个性化设定!$B$18:$E$48,4,FALSE)</f>
        <v>T4</v>
      </c>
      <c r="K22" s="159" t="str">
        <f>VLOOKUP(H22,坦克个性化细分!$I$3:$J$33,2,FALSE)</f>
        <v>高</v>
      </c>
      <c r="N22" s="219">
        <v>4</v>
      </c>
      <c r="O22" s="227">
        <f>IFERROR(VLOOKUP(VLOOKUP(O$18,$H$3:$K$33,3,FALSE)&amp;VLOOKUP(O$18,$H$3:$K$33,4,FALSE),$B$3:$C$27,2,FALSE)*VLOOKUP($N22,$N$3:$AF$15,MATCH(VLOOKUP(O$18,$H$3:$K$33,3,FALSE)&amp;VLOOKUP(O$18,$H$3:$K$33,4,FALSE),$N$3:$AF$3,0),FALSE),O21)</f>
        <v>245.99999999999997</v>
      </c>
      <c r="P22" s="227">
        <f>IFERROR(VLOOKUP(VLOOKUP(P$18,$H$3:$K$33,3,FALSE)&amp;VLOOKUP(P$18,$H$3:$K$33,4,FALSE),$B$3:$C$27,2,FALSE)*VLOOKUP($N22,$N$3:$AF$15,MATCH(VLOOKUP(P$18,$H$3:$K$33,3,FALSE)&amp;VLOOKUP(P$18,$H$3:$K$33,4,FALSE),$N$3:$AF$3,0),FALSE),P21)</f>
        <v>528</v>
      </c>
      <c r="Q22" s="227">
        <f>IFERROR(VLOOKUP(VLOOKUP(Q$18,$H$3:$K$33,3,FALSE)&amp;VLOOKUP(Q$18,$H$3:$K$33,4,FALSE),$B$3:$C$27,2,FALSE)*VLOOKUP($N22,$N$3:$AF$15,MATCH(VLOOKUP(Q$18,$H$3:$K$33,3,FALSE)&amp;VLOOKUP(Q$18,$H$3:$K$33,4,FALSE),$N$3:$AF$3,0),FALSE),Q21)</f>
        <v>816</v>
      </c>
      <c r="R22" s="227">
        <f>IFERROR(VLOOKUP(VLOOKUP(R$18,$H$3:$K$33,3,FALSE)&amp;VLOOKUP(R$18,$H$3:$K$33,4,FALSE),$B$3:$C$27,2,FALSE)*VLOOKUP($N22,$N$3:$AF$15,MATCH(VLOOKUP(R$18,$H$3:$K$33,3,FALSE)&amp;VLOOKUP(R$18,$H$3:$K$33,4,FALSE),$N$3:$AF$3,0),FALSE),R21)</f>
        <v>1800</v>
      </c>
      <c r="S22" s="227">
        <f>IFERROR(VLOOKUP(VLOOKUP(S$18,$H$3:$K$33,3,FALSE)&amp;VLOOKUP(S$18,$H$3:$K$33,4,FALSE),$B$3:$C$27,2,FALSE)*VLOOKUP($N22,$N$3:$AF$15,MATCH(VLOOKUP(S$18,$H$3:$K$33,3,FALSE)&amp;VLOOKUP(S$18,$H$3:$K$33,4,FALSE),$N$3:$AF$3,0),FALSE),S21)</f>
        <v>2250</v>
      </c>
      <c r="T22" s="227">
        <f>IFERROR(VLOOKUP(VLOOKUP(T$18,$H$3:$K$33,3,FALSE)&amp;VLOOKUP(T$18,$H$3:$K$33,4,FALSE),$B$3:$C$27,2,FALSE)*VLOOKUP($N22,$N$3:$AF$15,MATCH(VLOOKUP(T$18,$H$3:$K$33,3,FALSE)&amp;VLOOKUP(T$18,$H$3:$K$33,4,FALSE),$N$3:$AF$3,0),FALSE),T21)</f>
        <v>2850</v>
      </c>
      <c r="U22" s="227">
        <f>IFERROR(VLOOKUP(VLOOKUP(U$18,$H$3:$K$33,3,FALSE)&amp;VLOOKUP(U$18,$H$3:$K$33,4,FALSE),$B$3:$C$27,2,FALSE)*VLOOKUP($N22,$N$3:$AF$15,MATCH(VLOOKUP(U$18,$H$3:$K$33,3,FALSE)&amp;VLOOKUP(U$18,$H$3:$K$33,4,FALSE),$N$3:$AF$3,0),FALSE),U21)</f>
        <v>5000</v>
      </c>
      <c r="V22" s="227">
        <f>IFERROR(VLOOKUP(VLOOKUP(V$18,$H$3:$K$33,3,FALSE)&amp;VLOOKUP(V$18,$H$3:$K$33,4,FALSE),$B$3:$C$27,2,FALSE)*VLOOKUP($N22,$N$3:$AF$15,MATCH(VLOOKUP(V$18,$H$3:$K$33,3,FALSE)&amp;VLOOKUP(V$18,$H$3:$K$33,4,FALSE),$N$3:$AF$3,0),FALSE),V21)</f>
        <v>6250</v>
      </c>
      <c r="W22" s="227">
        <f>IFERROR(VLOOKUP(VLOOKUP(W$18,$H$3:$K$33,3,FALSE)&amp;VLOOKUP(W$18,$H$3:$K$33,4,FALSE),$B$3:$C$27,2,FALSE)*VLOOKUP($N22,$N$3:$AF$15,MATCH(VLOOKUP(W$18,$H$3:$K$33,3,FALSE)&amp;VLOOKUP(W$18,$H$3:$K$33,4,FALSE),$N$3:$AF$3,0),FALSE),W21)</f>
        <v>7750</v>
      </c>
      <c r="X22" s="227">
        <f>IFERROR(VLOOKUP(VLOOKUP(X$18,$H$3:$K$33,3,FALSE)&amp;VLOOKUP(X$18,$H$3:$K$33,4,FALSE),$B$3:$C$27,2,FALSE)*VLOOKUP($N22,$N$3:$AF$15,MATCH(VLOOKUP(X$18,$H$3:$K$33,3,FALSE)&amp;VLOOKUP(X$18,$H$3:$K$33,4,FALSE),$N$3:$AF$3,0),FALSE),X21)</f>
        <v>13600</v>
      </c>
      <c r="Y22" s="227">
        <f>IFERROR(VLOOKUP(VLOOKUP(Y$18,$H$3:$K$33,3,FALSE)&amp;VLOOKUP(Y$18,$H$3:$K$33,4,FALSE),$B$3:$C$27,2,FALSE)*VLOOKUP($N22,$N$3:$AF$15,MATCH(VLOOKUP(Y$18,$H$3:$K$33,3,FALSE)&amp;VLOOKUP(Y$18,$H$3:$K$33,4,FALSE),$N$3:$AF$3,0),FALSE),Y21)</f>
        <v>245.99999999999997</v>
      </c>
      <c r="Z22" s="227">
        <f>IFERROR(VLOOKUP(VLOOKUP(Z$18,$H$3:$K$33,3,FALSE)&amp;VLOOKUP(Z$18,$H$3:$K$33,4,FALSE),$B$3:$C$27,2,FALSE)*VLOOKUP($N22,$N$3:$AF$15,MATCH(VLOOKUP(Z$18,$H$3:$K$33,3,FALSE)&amp;VLOOKUP(Z$18,$H$3:$K$33,4,FALSE),$N$3:$AF$3,0),FALSE),Z21)</f>
        <v>528</v>
      </c>
      <c r="AA22" s="227">
        <f>IFERROR(VLOOKUP(VLOOKUP(AA$18,$H$3:$K$33,3,FALSE)&amp;VLOOKUP(AA$18,$H$3:$K$33,4,FALSE),$B$3:$C$27,2,FALSE)*VLOOKUP($N22,$N$3:$AF$15,MATCH(VLOOKUP(AA$18,$H$3:$K$33,3,FALSE)&amp;VLOOKUP(AA$18,$H$3:$K$33,4,FALSE),$N$3:$AF$3,0),FALSE),AA21)</f>
        <v>816</v>
      </c>
      <c r="AB22" s="227">
        <f>IFERROR(VLOOKUP(VLOOKUP(AB$18,$H$3:$K$33,3,FALSE)&amp;VLOOKUP(AB$18,$H$3:$K$33,4,FALSE),$B$3:$C$27,2,FALSE)*VLOOKUP($N22,$N$3:$AF$15,MATCH(VLOOKUP(AB$18,$H$3:$K$33,3,FALSE)&amp;VLOOKUP(AB$18,$H$3:$K$33,4,FALSE),$N$3:$AF$3,0),FALSE),AB21)</f>
        <v>1800</v>
      </c>
      <c r="AC22" s="227">
        <f>IFERROR(VLOOKUP(VLOOKUP(AC$18,$H$3:$K$33,3,FALSE)&amp;VLOOKUP(AC$18,$H$3:$K$33,4,FALSE),$B$3:$C$27,2,FALSE)*VLOOKUP($N22,$N$3:$AF$15,MATCH(VLOOKUP(AC$18,$H$3:$K$33,3,FALSE)&amp;VLOOKUP(AC$18,$H$3:$K$33,4,FALSE),$N$3:$AF$3,0),FALSE),AC21)</f>
        <v>2250</v>
      </c>
      <c r="AD22" s="227">
        <f>IFERROR(VLOOKUP(VLOOKUP(AD$18,$H$3:$K$33,3,FALSE)&amp;VLOOKUP(AD$18,$H$3:$K$33,4,FALSE),$B$3:$C$27,2,FALSE)*VLOOKUP($N22,$N$3:$AF$15,MATCH(VLOOKUP(AD$18,$H$3:$K$33,3,FALSE)&amp;VLOOKUP(AD$18,$H$3:$K$33,4,FALSE),$N$3:$AF$3,0),FALSE),AD21)</f>
        <v>2850</v>
      </c>
      <c r="AE22" s="227">
        <f>IFERROR(VLOOKUP(VLOOKUP(AE$18,$H$3:$K$33,3,FALSE)&amp;VLOOKUP(AE$18,$H$3:$K$33,4,FALSE),$B$3:$C$27,2,FALSE)*VLOOKUP($N22,$N$3:$AF$15,MATCH(VLOOKUP(AE$18,$H$3:$K$33,3,FALSE)&amp;VLOOKUP(AE$18,$H$3:$K$33,4,FALSE),$N$3:$AF$3,0),FALSE),AE21)</f>
        <v>5000</v>
      </c>
      <c r="AF22" s="227">
        <f>IFERROR(VLOOKUP(VLOOKUP(AF$18,$H$3:$K$33,3,FALSE)&amp;VLOOKUP(AF$18,$H$3:$K$33,4,FALSE),$B$3:$C$27,2,FALSE)*VLOOKUP($N22,$N$3:$AF$15,MATCH(VLOOKUP(AF$18,$H$3:$K$33,3,FALSE)&amp;VLOOKUP(AF$18,$H$3:$K$33,4,FALSE),$N$3:$AF$3,0),FALSE),AF21)</f>
        <v>6250</v>
      </c>
      <c r="AG22" s="227">
        <f>IFERROR(VLOOKUP(VLOOKUP(AG$18,$H$3:$K$33,3,FALSE)&amp;VLOOKUP(AG$18,$H$3:$K$33,4,FALSE),$B$3:$C$27,2,FALSE)*VLOOKUP($N22,$N$3:$AF$15,MATCH(VLOOKUP(AG$18,$H$3:$K$33,3,FALSE)&amp;VLOOKUP(AG$18,$H$3:$K$33,4,FALSE),$N$3:$AF$3,0),FALSE),AG21)</f>
        <v>7750</v>
      </c>
      <c r="AH22" s="227">
        <f>IFERROR(VLOOKUP(VLOOKUP(AH$18,$H$3:$K$33,3,FALSE)&amp;VLOOKUP(AH$18,$H$3:$K$33,4,FALSE),$B$3:$C$27,2,FALSE)*VLOOKUP($N22,$N$3:$AF$15,MATCH(VLOOKUP(AH$18,$H$3:$K$33,3,FALSE)&amp;VLOOKUP(AH$18,$H$3:$K$33,4,FALSE),$N$3:$AF$3,0),FALSE),AH21)</f>
        <v>13600</v>
      </c>
      <c r="AI22" s="227">
        <f>IFERROR(VLOOKUP(VLOOKUP(AI$18,$H$3:$K$33,3,FALSE)&amp;VLOOKUP(AI$18,$H$3:$K$33,4,FALSE),$B$3:$C$27,2,FALSE)*VLOOKUP($N22,$N$3:$AF$15,MATCH(VLOOKUP(AI$18,$H$3:$K$33,3,FALSE)&amp;VLOOKUP(AI$18,$H$3:$K$33,4,FALSE),$N$3:$AF$3,0),FALSE),AI21)</f>
        <v>245.99999999999997</v>
      </c>
      <c r="AJ22" s="227">
        <f>IFERROR(VLOOKUP(VLOOKUP(AJ$18,$H$3:$K$33,3,FALSE)&amp;VLOOKUP(AJ$18,$H$3:$K$33,4,FALSE),$B$3:$C$27,2,FALSE)*VLOOKUP($N22,$N$3:$AF$15,MATCH(VLOOKUP(AJ$18,$H$3:$K$33,3,FALSE)&amp;VLOOKUP(AJ$18,$H$3:$K$33,4,FALSE),$N$3:$AF$3,0),FALSE),AJ21)</f>
        <v>528</v>
      </c>
      <c r="AK22" s="227">
        <f>IFERROR(VLOOKUP(VLOOKUP(AK$18,$H$3:$K$33,3,FALSE)&amp;VLOOKUP(AK$18,$H$3:$K$33,4,FALSE),$B$3:$C$27,2,FALSE)*VLOOKUP($N22,$N$3:$AF$15,MATCH(VLOOKUP(AK$18,$H$3:$K$33,3,FALSE)&amp;VLOOKUP(AK$18,$H$3:$K$33,4,FALSE),$N$3:$AF$3,0),FALSE),AK21)</f>
        <v>816</v>
      </c>
      <c r="AL22" s="227">
        <f>IFERROR(VLOOKUP(VLOOKUP(AL$18,$H$3:$K$33,3,FALSE)&amp;VLOOKUP(AL$18,$H$3:$K$33,4,FALSE),$B$3:$C$27,2,FALSE)*VLOOKUP($N22,$N$3:$AF$15,MATCH(VLOOKUP(AL$18,$H$3:$K$33,3,FALSE)&amp;VLOOKUP(AL$18,$H$3:$K$33,4,FALSE),$N$3:$AF$3,0),FALSE),AL21)</f>
        <v>1800</v>
      </c>
      <c r="AM22" s="227">
        <f>IFERROR(VLOOKUP(VLOOKUP(AM$18,$H$3:$K$33,3,FALSE)&amp;VLOOKUP(AM$18,$H$3:$K$33,4,FALSE),$B$3:$C$27,2,FALSE)*VLOOKUP($N22,$N$3:$AF$15,MATCH(VLOOKUP(AM$18,$H$3:$K$33,3,FALSE)&amp;VLOOKUP(AM$18,$H$3:$K$33,4,FALSE),$N$3:$AF$3,0),FALSE),AM21)</f>
        <v>2250</v>
      </c>
      <c r="AN22" s="227">
        <f>IFERROR(VLOOKUP(VLOOKUP(AN$18,$H$3:$K$33,3,FALSE)&amp;VLOOKUP(AN$18,$H$3:$K$33,4,FALSE),$B$3:$C$27,2,FALSE)*VLOOKUP($N22,$N$3:$AF$15,MATCH(VLOOKUP(AN$18,$H$3:$K$33,3,FALSE)&amp;VLOOKUP(AN$18,$H$3:$K$33,4,FALSE),$N$3:$AF$3,0),FALSE),AN21)</f>
        <v>2850</v>
      </c>
      <c r="AO22" s="227">
        <f>IFERROR(VLOOKUP(VLOOKUP(AO$18,$H$3:$K$33,3,FALSE)&amp;VLOOKUP(AO$18,$H$3:$K$33,4,FALSE),$B$3:$C$27,2,FALSE)*VLOOKUP($N22,$N$3:$AF$15,MATCH(VLOOKUP(AO$18,$H$3:$K$33,3,FALSE)&amp;VLOOKUP(AO$18,$H$3:$K$33,4,FALSE),$N$3:$AF$3,0),FALSE),AO21)</f>
        <v>5000</v>
      </c>
      <c r="AP22" s="227">
        <f>IFERROR(VLOOKUP(VLOOKUP(AP$18,$H$3:$K$33,3,FALSE)&amp;VLOOKUP(AP$18,$H$3:$K$33,4,FALSE),$B$3:$C$27,2,FALSE)*VLOOKUP($N22,$N$3:$AF$15,MATCH(VLOOKUP(AP$18,$H$3:$K$33,3,FALSE)&amp;VLOOKUP(AP$18,$H$3:$K$33,4,FALSE),$N$3:$AF$3,0),FALSE),AP21)</f>
        <v>6250</v>
      </c>
      <c r="AQ22" s="227">
        <f>IFERROR(VLOOKUP(VLOOKUP(AQ$18,$H$3:$K$33,3,FALSE)&amp;VLOOKUP(AQ$18,$H$3:$K$33,4,FALSE),$B$3:$C$27,2,FALSE)*VLOOKUP($N22,$N$3:$AF$15,MATCH(VLOOKUP(AQ$18,$H$3:$K$33,3,FALSE)&amp;VLOOKUP(AQ$18,$H$3:$K$33,4,FALSE),$N$3:$AF$3,0),FALSE),AQ21)</f>
        <v>7750</v>
      </c>
      <c r="AR22" s="227">
        <f>IFERROR(VLOOKUP(VLOOKUP(AR$18,$H$3:$K$33,3,FALSE)&amp;VLOOKUP(AR$18,$H$3:$K$33,4,FALSE),$B$3:$C$27,2,FALSE)*VLOOKUP($N22,$N$3:$AF$15,MATCH(VLOOKUP(AR$18,$H$3:$K$33,3,FALSE)&amp;VLOOKUP(AR$18,$H$3:$K$33,4,FALSE),$N$3:$AF$3,0),FALSE),AR21)</f>
        <v>13600</v>
      </c>
    </row>
    <row r="23" spans="2:44" x14ac:dyDescent="0.35">
      <c r="B23" s="436" t="s">
        <v>1121</v>
      </c>
      <c r="C23" s="159">
        <f>基础经济系数!H40</f>
        <v>125</v>
      </c>
      <c r="D23" s="299">
        <f>D22</f>
        <v>0.05</v>
      </c>
      <c r="E23" s="159">
        <f>ROUND(C23*D23,0)</f>
        <v>6</v>
      </c>
      <c r="F23" s="159">
        <f>ROUND(E23*$R$73/500,0)*500</f>
        <v>2500</v>
      </c>
      <c r="G23" s="211"/>
      <c r="H23" s="219" t="s">
        <v>636</v>
      </c>
      <c r="I23" s="219" t="str">
        <f>VLOOKUP(H23,坦克个性化设定!$B$18:$E$48,3,FALSE)</f>
        <v>中坦</v>
      </c>
      <c r="J23" s="159" t="str">
        <f>VLOOKUP(H23,坦克个性化设定!$B$18:$E$48,4,FALSE)</f>
        <v>T5</v>
      </c>
      <c r="K23" s="159" t="str">
        <f>VLOOKUP(H23,坦克个性化细分!$I$3:$J$33,2,FALSE)</f>
        <v>低</v>
      </c>
      <c r="N23" s="219">
        <v>5</v>
      </c>
      <c r="O23" s="227">
        <f>IFERROR(VLOOKUP(VLOOKUP(O$18,$H$3:$K$33,3,FALSE)&amp;VLOOKUP(O$18,$H$3:$K$33,4,FALSE),$B$3:$C$27,2,FALSE)*VLOOKUP($N23,$N$3:$AF$15,MATCH(VLOOKUP(O$18,$H$3:$K$33,3,FALSE)&amp;VLOOKUP(O$18,$H$3:$K$33,4,FALSE),$N$3:$AF$3,0),FALSE),O22)</f>
        <v>228</v>
      </c>
      <c r="P23" s="227">
        <f>IFERROR(VLOOKUP(VLOOKUP(P$18,$H$3:$K$33,3,FALSE)&amp;VLOOKUP(P$18,$H$3:$K$33,4,FALSE),$B$3:$C$27,2,FALSE)*VLOOKUP($N23,$N$3:$AF$15,MATCH(VLOOKUP(P$18,$H$3:$K$33,3,FALSE)&amp;VLOOKUP(P$18,$H$3:$K$33,4,FALSE),$N$3:$AF$3,0),FALSE),P22)</f>
        <v>491.99999999999994</v>
      </c>
      <c r="Q23" s="227">
        <f>IFERROR(VLOOKUP(VLOOKUP(Q$18,$H$3:$K$33,3,FALSE)&amp;VLOOKUP(Q$18,$H$3:$K$33,4,FALSE),$B$3:$C$27,2,FALSE)*VLOOKUP($N23,$N$3:$AF$15,MATCH(VLOOKUP(Q$18,$H$3:$K$33,3,FALSE)&amp;VLOOKUP(Q$18,$H$3:$K$33,4,FALSE),$N$3:$AF$3,0),FALSE),Q22)</f>
        <v>782</v>
      </c>
      <c r="R23" s="227">
        <f>IFERROR(VLOOKUP(VLOOKUP(R$18,$H$3:$K$33,3,FALSE)&amp;VLOOKUP(R$18,$H$3:$K$33,4,FALSE),$B$3:$C$27,2,FALSE)*VLOOKUP($N23,$N$3:$AF$15,MATCH(VLOOKUP(R$18,$H$3:$K$33,3,FALSE)&amp;VLOOKUP(R$18,$H$3:$K$33,4,FALSE),$N$3:$AF$3,0),FALSE),R22)</f>
        <v>1800</v>
      </c>
      <c r="S23" s="227">
        <f>IFERROR(VLOOKUP(VLOOKUP(S$18,$H$3:$K$33,3,FALSE)&amp;VLOOKUP(S$18,$H$3:$K$33,4,FALSE),$B$3:$C$27,2,FALSE)*VLOOKUP($N23,$N$3:$AF$15,MATCH(VLOOKUP(S$18,$H$3:$K$33,3,FALSE)&amp;VLOOKUP(S$18,$H$3:$K$33,4,FALSE),$N$3:$AF$3,0),FALSE),S22)</f>
        <v>2250</v>
      </c>
      <c r="T23" s="227">
        <f>IFERROR(VLOOKUP(VLOOKUP(T$18,$H$3:$K$33,3,FALSE)&amp;VLOOKUP(T$18,$H$3:$K$33,4,FALSE),$B$3:$C$27,2,FALSE)*VLOOKUP($N23,$N$3:$AF$15,MATCH(VLOOKUP(T$18,$H$3:$K$33,3,FALSE)&amp;VLOOKUP(T$18,$H$3:$K$33,4,FALSE),$N$3:$AF$3,0),FALSE),T22)</f>
        <v>2850</v>
      </c>
      <c r="U23" s="227">
        <f>IFERROR(VLOOKUP(VLOOKUP(U$18,$H$3:$K$33,3,FALSE)&amp;VLOOKUP(U$18,$H$3:$K$33,4,FALSE),$B$3:$C$27,2,FALSE)*VLOOKUP($N23,$N$3:$AF$15,MATCH(VLOOKUP(U$18,$H$3:$K$33,3,FALSE)&amp;VLOOKUP(U$18,$H$3:$K$33,4,FALSE),$N$3:$AF$3,0),FALSE),U22)</f>
        <v>5000</v>
      </c>
      <c r="V23" s="227">
        <f>IFERROR(VLOOKUP(VLOOKUP(V$18,$H$3:$K$33,3,FALSE)&amp;VLOOKUP(V$18,$H$3:$K$33,4,FALSE),$B$3:$C$27,2,FALSE)*VLOOKUP($N23,$N$3:$AF$15,MATCH(VLOOKUP(V$18,$H$3:$K$33,3,FALSE)&amp;VLOOKUP(V$18,$H$3:$K$33,4,FALSE),$N$3:$AF$3,0),FALSE),V22)</f>
        <v>6250</v>
      </c>
      <c r="W23" s="227">
        <f>IFERROR(VLOOKUP(VLOOKUP(W$18,$H$3:$K$33,3,FALSE)&amp;VLOOKUP(W$18,$H$3:$K$33,4,FALSE),$B$3:$C$27,2,FALSE)*VLOOKUP($N23,$N$3:$AF$15,MATCH(VLOOKUP(W$18,$H$3:$K$33,3,FALSE)&amp;VLOOKUP(W$18,$H$3:$K$33,4,FALSE),$N$3:$AF$3,0),FALSE),W22)</f>
        <v>7750</v>
      </c>
      <c r="X23" s="227">
        <f>IFERROR(VLOOKUP(VLOOKUP(X$18,$H$3:$K$33,3,FALSE)&amp;VLOOKUP(X$18,$H$3:$K$33,4,FALSE),$B$3:$C$27,2,FALSE)*VLOOKUP($N23,$N$3:$AF$15,MATCH(VLOOKUP(X$18,$H$3:$K$33,3,FALSE)&amp;VLOOKUP(X$18,$H$3:$K$33,4,FALSE),$N$3:$AF$3,0),FALSE),X22)</f>
        <v>13600</v>
      </c>
      <c r="Y23" s="227">
        <f>IFERROR(VLOOKUP(VLOOKUP(Y$18,$H$3:$K$33,3,FALSE)&amp;VLOOKUP(Y$18,$H$3:$K$33,4,FALSE),$B$3:$C$27,2,FALSE)*VLOOKUP($N23,$N$3:$AF$15,MATCH(VLOOKUP(Y$18,$H$3:$K$33,3,FALSE)&amp;VLOOKUP(Y$18,$H$3:$K$33,4,FALSE),$N$3:$AF$3,0),FALSE),Y22)</f>
        <v>228</v>
      </c>
      <c r="Z23" s="227">
        <f>IFERROR(VLOOKUP(VLOOKUP(Z$18,$H$3:$K$33,3,FALSE)&amp;VLOOKUP(Z$18,$H$3:$K$33,4,FALSE),$B$3:$C$27,2,FALSE)*VLOOKUP($N23,$N$3:$AF$15,MATCH(VLOOKUP(Z$18,$H$3:$K$33,3,FALSE)&amp;VLOOKUP(Z$18,$H$3:$K$33,4,FALSE),$N$3:$AF$3,0),FALSE),Z22)</f>
        <v>491.99999999999994</v>
      </c>
      <c r="AA23" s="227">
        <f>IFERROR(VLOOKUP(VLOOKUP(AA$18,$H$3:$K$33,3,FALSE)&amp;VLOOKUP(AA$18,$H$3:$K$33,4,FALSE),$B$3:$C$27,2,FALSE)*VLOOKUP($N23,$N$3:$AF$15,MATCH(VLOOKUP(AA$18,$H$3:$K$33,3,FALSE)&amp;VLOOKUP(AA$18,$H$3:$K$33,4,FALSE),$N$3:$AF$3,0),FALSE),AA22)</f>
        <v>782</v>
      </c>
      <c r="AB23" s="227">
        <f>IFERROR(VLOOKUP(VLOOKUP(AB$18,$H$3:$K$33,3,FALSE)&amp;VLOOKUP(AB$18,$H$3:$K$33,4,FALSE),$B$3:$C$27,2,FALSE)*VLOOKUP($N23,$N$3:$AF$15,MATCH(VLOOKUP(AB$18,$H$3:$K$33,3,FALSE)&amp;VLOOKUP(AB$18,$H$3:$K$33,4,FALSE),$N$3:$AF$3,0),FALSE),AB22)</f>
        <v>1800</v>
      </c>
      <c r="AC23" s="227">
        <f>IFERROR(VLOOKUP(VLOOKUP(AC$18,$H$3:$K$33,3,FALSE)&amp;VLOOKUP(AC$18,$H$3:$K$33,4,FALSE),$B$3:$C$27,2,FALSE)*VLOOKUP($N23,$N$3:$AF$15,MATCH(VLOOKUP(AC$18,$H$3:$K$33,3,FALSE)&amp;VLOOKUP(AC$18,$H$3:$K$33,4,FALSE),$N$3:$AF$3,0),FALSE),AC22)</f>
        <v>2250</v>
      </c>
      <c r="AD23" s="227">
        <f>IFERROR(VLOOKUP(VLOOKUP(AD$18,$H$3:$K$33,3,FALSE)&amp;VLOOKUP(AD$18,$H$3:$K$33,4,FALSE),$B$3:$C$27,2,FALSE)*VLOOKUP($N23,$N$3:$AF$15,MATCH(VLOOKUP(AD$18,$H$3:$K$33,3,FALSE)&amp;VLOOKUP(AD$18,$H$3:$K$33,4,FALSE),$N$3:$AF$3,0),FALSE),AD22)</f>
        <v>2850</v>
      </c>
      <c r="AE23" s="227">
        <f>IFERROR(VLOOKUP(VLOOKUP(AE$18,$H$3:$K$33,3,FALSE)&amp;VLOOKUP(AE$18,$H$3:$K$33,4,FALSE),$B$3:$C$27,2,FALSE)*VLOOKUP($N23,$N$3:$AF$15,MATCH(VLOOKUP(AE$18,$H$3:$K$33,3,FALSE)&amp;VLOOKUP(AE$18,$H$3:$K$33,4,FALSE),$N$3:$AF$3,0),FALSE),AE22)</f>
        <v>5000</v>
      </c>
      <c r="AF23" s="227">
        <f>IFERROR(VLOOKUP(VLOOKUP(AF$18,$H$3:$K$33,3,FALSE)&amp;VLOOKUP(AF$18,$H$3:$K$33,4,FALSE),$B$3:$C$27,2,FALSE)*VLOOKUP($N23,$N$3:$AF$15,MATCH(VLOOKUP(AF$18,$H$3:$K$33,3,FALSE)&amp;VLOOKUP(AF$18,$H$3:$K$33,4,FALSE),$N$3:$AF$3,0),FALSE),AF22)</f>
        <v>6250</v>
      </c>
      <c r="AG23" s="227">
        <f>IFERROR(VLOOKUP(VLOOKUP(AG$18,$H$3:$K$33,3,FALSE)&amp;VLOOKUP(AG$18,$H$3:$K$33,4,FALSE),$B$3:$C$27,2,FALSE)*VLOOKUP($N23,$N$3:$AF$15,MATCH(VLOOKUP(AG$18,$H$3:$K$33,3,FALSE)&amp;VLOOKUP(AG$18,$H$3:$K$33,4,FALSE),$N$3:$AF$3,0),FALSE),AG22)</f>
        <v>7750</v>
      </c>
      <c r="AH23" s="227">
        <f>IFERROR(VLOOKUP(VLOOKUP(AH$18,$H$3:$K$33,3,FALSE)&amp;VLOOKUP(AH$18,$H$3:$K$33,4,FALSE),$B$3:$C$27,2,FALSE)*VLOOKUP($N23,$N$3:$AF$15,MATCH(VLOOKUP(AH$18,$H$3:$K$33,3,FALSE)&amp;VLOOKUP(AH$18,$H$3:$K$33,4,FALSE),$N$3:$AF$3,0),FALSE),AH22)</f>
        <v>13600</v>
      </c>
      <c r="AI23" s="227">
        <f>IFERROR(VLOOKUP(VLOOKUP(AI$18,$H$3:$K$33,3,FALSE)&amp;VLOOKUP(AI$18,$H$3:$K$33,4,FALSE),$B$3:$C$27,2,FALSE)*VLOOKUP($N23,$N$3:$AF$15,MATCH(VLOOKUP(AI$18,$H$3:$K$33,3,FALSE)&amp;VLOOKUP(AI$18,$H$3:$K$33,4,FALSE),$N$3:$AF$3,0),FALSE),AI22)</f>
        <v>228</v>
      </c>
      <c r="AJ23" s="227">
        <f>IFERROR(VLOOKUP(VLOOKUP(AJ$18,$H$3:$K$33,3,FALSE)&amp;VLOOKUP(AJ$18,$H$3:$K$33,4,FALSE),$B$3:$C$27,2,FALSE)*VLOOKUP($N23,$N$3:$AF$15,MATCH(VLOOKUP(AJ$18,$H$3:$K$33,3,FALSE)&amp;VLOOKUP(AJ$18,$H$3:$K$33,4,FALSE),$N$3:$AF$3,0),FALSE),AJ22)</f>
        <v>491.99999999999994</v>
      </c>
      <c r="AK23" s="227">
        <f>IFERROR(VLOOKUP(VLOOKUP(AK$18,$H$3:$K$33,3,FALSE)&amp;VLOOKUP(AK$18,$H$3:$K$33,4,FALSE),$B$3:$C$27,2,FALSE)*VLOOKUP($N23,$N$3:$AF$15,MATCH(VLOOKUP(AK$18,$H$3:$K$33,3,FALSE)&amp;VLOOKUP(AK$18,$H$3:$K$33,4,FALSE),$N$3:$AF$3,0),FALSE),AK22)</f>
        <v>782</v>
      </c>
      <c r="AL23" s="227">
        <f>IFERROR(VLOOKUP(VLOOKUP(AL$18,$H$3:$K$33,3,FALSE)&amp;VLOOKUP(AL$18,$H$3:$K$33,4,FALSE),$B$3:$C$27,2,FALSE)*VLOOKUP($N23,$N$3:$AF$15,MATCH(VLOOKUP(AL$18,$H$3:$K$33,3,FALSE)&amp;VLOOKUP(AL$18,$H$3:$K$33,4,FALSE),$N$3:$AF$3,0),FALSE),AL22)</f>
        <v>1800</v>
      </c>
      <c r="AM23" s="227">
        <f>IFERROR(VLOOKUP(VLOOKUP(AM$18,$H$3:$K$33,3,FALSE)&amp;VLOOKUP(AM$18,$H$3:$K$33,4,FALSE),$B$3:$C$27,2,FALSE)*VLOOKUP($N23,$N$3:$AF$15,MATCH(VLOOKUP(AM$18,$H$3:$K$33,3,FALSE)&amp;VLOOKUP(AM$18,$H$3:$K$33,4,FALSE),$N$3:$AF$3,0),FALSE),AM22)</f>
        <v>2250</v>
      </c>
      <c r="AN23" s="227">
        <f>IFERROR(VLOOKUP(VLOOKUP(AN$18,$H$3:$K$33,3,FALSE)&amp;VLOOKUP(AN$18,$H$3:$K$33,4,FALSE),$B$3:$C$27,2,FALSE)*VLOOKUP($N23,$N$3:$AF$15,MATCH(VLOOKUP(AN$18,$H$3:$K$33,3,FALSE)&amp;VLOOKUP(AN$18,$H$3:$K$33,4,FALSE),$N$3:$AF$3,0),FALSE),AN22)</f>
        <v>2850</v>
      </c>
      <c r="AO23" s="227">
        <f>IFERROR(VLOOKUP(VLOOKUP(AO$18,$H$3:$K$33,3,FALSE)&amp;VLOOKUP(AO$18,$H$3:$K$33,4,FALSE),$B$3:$C$27,2,FALSE)*VLOOKUP($N23,$N$3:$AF$15,MATCH(VLOOKUP(AO$18,$H$3:$K$33,3,FALSE)&amp;VLOOKUP(AO$18,$H$3:$K$33,4,FALSE),$N$3:$AF$3,0),FALSE),AO22)</f>
        <v>5000</v>
      </c>
      <c r="AP23" s="227">
        <f>IFERROR(VLOOKUP(VLOOKUP(AP$18,$H$3:$K$33,3,FALSE)&amp;VLOOKUP(AP$18,$H$3:$K$33,4,FALSE),$B$3:$C$27,2,FALSE)*VLOOKUP($N23,$N$3:$AF$15,MATCH(VLOOKUP(AP$18,$H$3:$K$33,3,FALSE)&amp;VLOOKUP(AP$18,$H$3:$K$33,4,FALSE),$N$3:$AF$3,0),FALSE),AP22)</f>
        <v>6250</v>
      </c>
      <c r="AQ23" s="227">
        <f>IFERROR(VLOOKUP(VLOOKUP(AQ$18,$H$3:$K$33,3,FALSE)&amp;VLOOKUP(AQ$18,$H$3:$K$33,4,FALSE),$B$3:$C$27,2,FALSE)*VLOOKUP($N23,$N$3:$AF$15,MATCH(VLOOKUP(AQ$18,$H$3:$K$33,3,FALSE)&amp;VLOOKUP(AQ$18,$H$3:$K$33,4,FALSE),$N$3:$AF$3,0),FALSE),AQ22)</f>
        <v>7750</v>
      </c>
      <c r="AR23" s="227">
        <f>IFERROR(VLOOKUP(VLOOKUP(AR$18,$H$3:$K$33,3,FALSE)&amp;VLOOKUP(AR$18,$H$3:$K$33,4,FALSE),$B$3:$C$27,2,FALSE)*VLOOKUP($N23,$N$3:$AF$15,MATCH(VLOOKUP(AR$18,$H$3:$K$33,3,FALSE)&amp;VLOOKUP(AR$18,$H$3:$K$33,4,FALSE),$N$3:$AF$3,0),FALSE),AR22)</f>
        <v>13600</v>
      </c>
    </row>
    <row r="24" spans="2:44" x14ac:dyDescent="0.35">
      <c r="B24" s="436" t="s">
        <v>1122</v>
      </c>
      <c r="C24" s="159">
        <f>基础经济系数!H41</f>
        <v>155</v>
      </c>
      <c r="D24" s="299">
        <f>D23</f>
        <v>0.05</v>
      </c>
      <c r="E24" s="159">
        <f>ROUND(C24*D24,0)</f>
        <v>8</v>
      </c>
      <c r="F24" s="159">
        <f>ROUND(E24*$R$73/500,0)*500</f>
        <v>3000</v>
      </c>
      <c r="G24" s="211"/>
      <c r="H24" s="219" t="s">
        <v>721</v>
      </c>
      <c r="I24" s="219" t="str">
        <f>VLOOKUP(H24,坦克个性化设定!$B$18:$E$48,3,FALSE)</f>
        <v>重坦</v>
      </c>
      <c r="J24" s="159" t="str">
        <f>VLOOKUP(H24,坦克个性化设定!$B$18:$E$48,4,FALSE)</f>
        <v>T1</v>
      </c>
      <c r="K24" s="159" t="str">
        <f>VLOOKUP(H24,坦克个性化细分!$I$3:$J$33,2,FALSE)</f>
        <v>低</v>
      </c>
      <c r="N24" s="219">
        <v>6</v>
      </c>
      <c r="O24" s="227">
        <f>IFERROR(VLOOKUP(VLOOKUP(O$18,$H$3:$K$33,3,FALSE)&amp;VLOOKUP(O$18,$H$3:$K$33,4,FALSE),$B$3:$C$27,2,FALSE)*VLOOKUP($N24,$N$3:$AF$15,MATCH(VLOOKUP(O$18,$H$3:$K$33,3,FALSE)&amp;VLOOKUP(O$18,$H$3:$K$33,4,FALSE),$N$3:$AF$3,0),FALSE),O23)</f>
        <v>210</v>
      </c>
      <c r="P24" s="227">
        <f>IFERROR(VLOOKUP(VLOOKUP(P$18,$H$3:$K$33,3,FALSE)&amp;VLOOKUP(P$18,$H$3:$K$33,4,FALSE),$B$3:$C$27,2,FALSE)*VLOOKUP($N24,$N$3:$AF$15,MATCH(VLOOKUP(P$18,$H$3:$K$33,3,FALSE)&amp;VLOOKUP(P$18,$H$3:$K$33,4,FALSE),$N$3:$AF$3,0),FALSE),P23)</f>
        <v>456</v>
      </c>
      <c r="Q24" s="227">
        <f>IFERROR(VLOOKUP(VLOOKUP(Q$18,$H$3:$K$33,3,FALSE)&amp;VLOOKUP(Q$18,$H$3:$K$33,4,FALSE),$B$3:$C$27,2,FALSE)*VLOOKUP($N24,$N$3:$AF$15,MATCH(VLOOKUP(Q$18,$H$3:$K$33,3,FALSE)&amp;VLOOKUP(Q$18,$H$3:$K$33,4,FALSE),$N$3:$AF$3,0),FALSE),Q23)</f>
        <v>748</v>
      </c>
      <c r="R24" s="227">
        <f>IFERROR(VLOOKUP(VLOOKUP(R$18,$H$3:$K$33,3,FALSE)&amp;VLOOKUP(R$18,$H$3:$K$33,4,FALSE),$B$3:$C$27,2,FALSE)*VLOOKUP($N24,$N$3:$AF$15,MATCH(VLOOKUP(R$18,$H$3:$K$33,3,FALSE)&amp;VLOOKUP(R$18,$H$3:$K$33,4,FALSE),$N$3:$AF$3,0),FALSE),R23)</f>
        <v>1692</v>
      </c>
      <c r="S24" s="227">
        <f>IFERROR(VLOOKUP(VLOOKUP(S$18,$H$3:$K$33,3,FALSE)&amp;VLOOKUP(S$18,$H$3:$K$33,4,FALSE),$B$3:$C$27,2,FALSE)*VLOOKUP($N24,$N$3:$AF$15,MATCH(VLOOKUP(S$18,$H$3:$K$33,3,FALSE)&amp;VLOOKUP(S$18,$H$3:$K$33,4,FALSE),$N$3:$AF$3,0),FALSE),S23)</f>
        <v>2160</v>
      </c>
      <c r="T24" s="227">
        <f>IFERROR(VLOOKUP(VLOOKUP(T$18,$H$3:$K$33,3,FALSE)&amp;VLOOKUP(T$18,$H$3:$K$33,4,FALSE),$B$3:$C$27,2,FALSE)*VLOOKUP($N24,$N$3:$AF$15,MATCH(VLOOKUP(T$18,$H$3:$K$33,3,FALSE)&amp;VLOOKUP(T$18,$H$3:$K$33,4,FALSE),$N$3:$AF$3,0),FALSE),T23)</f>
        <v>2736</v>
      </c>
      <c r="U24" s="227">
        <f>IFERROR(VLOOKUP(VLOOKUP(U$18,$H$3:$K$33,3,FALSE)&amp;VLOOKUP(U$18,$H$3:$K$33,4,FALSE),$B$3:$C$27,2,FALSE)*VLOOKUP($N24,$N$3:$AF$15,MATCH(VLOOKUP(U$18,$H$3:$K$33,3,FALSE)&amp;VLOOKUP(U$18,$H$3:$K$33,4,FALSE),$N$3:$AF$3,0),FALSE),U23)</f>
        <v>5000</v>
      </c>
      <c r="V24" s="227">
        <f>IFERROR(VLOOKUP(VLOOKUP(V$18,$H$3:$K$33,3,FALSE)&amp;VLOOKUP(V$18,$H$3:$K$33,4,FALSE),$B$3:$C$27,2,FALSE)*VLOOKUP($N24,$N$3:$AF$15,MATCH(VLOOKUP(V$18,$H$3:$K$33,3,FALSE)&amp;VLOOKUP(V$18,$H$3:$K$33,4,FALSE),$N$3:$AF$3,0),FALSE),V23)</f>
        <v>6250</v>
      </c>
      <c r="W24" s="227">
        <f>IFERROR(VLOOKUP(VLOOKUP(W$18,$H$3:$K$33,3,FALSE)&amp;VLOOKUP(W$18,$H$3:$K$33,4,FALSE),$B$3:$C$27,2,FALSE)*VLOOKUP($N24,$N$3:$AF$15,MATCH(VLOOKUP(W$18,$H$3:$K$33,3,FALSE)&amp;VLOOKUP(W$18,$H$3:$K$33,4,FALSE),$N$3:$AF$3,0),FALSE),W23)</f>
        <v>7750</v>
      </c>
      <c r="X24" s="227">
        <f>IFERROR(VLOOKUP(VLOOKUP(X$18,$H$3:$K$33,3,FALSE)&amp;VLOOKUP(X$18,$H$3:$K$33,4,FALSE),$B$3:$C$27,2,FALSE)*VLOOKUP($N24,$N$3:$AF$15,MATCH(VLOOKUP(X$18,$H$3:$K$33,3,FALSE)&amp;VLOOKUP(X$18,$H$3:$K$33,4,FALSE),$N$3:$AF$3,0),FALSE),X23)</f>
        <v>13600</v>
      </c>
      <c r="Y24" s="227">
        <f>IFERROR(VLOOKUP(VLOOKUP(Y$18,$H$3:$K$33,3,FALSE)&amp;VLOOKUP(Y$18,$H$3:$K$33,4,FALSE),$B$3:$C$27,2,FALSE)*VLOOKUP($N24,$N$3:$AF$15,MATCH(VLOOKUP(Y$18,$H$3:$K$33,3,FALSE)&amp;VLOOKUP(Y$18,$H$3:$K$33,4,FALSE),$N$3:$AF$3,0),FALSE),Y23)</f>
        <v>210</v>
      </c>
      <c r="Z24" s="227">
        <f>IFERROR(VLOOKUP(VLOOKUP(Z$18,$H$3:$K$33,3,FALSE)&amp;VLOOKUP(Z$18,$H$3:$K$33,4,FALSE),$B$3:$C$27,2,FALSE)*VLOOKUP($N24,$N$3:$AF$15,MATCH(VLOOKUP(Z$18,$H$3:$K$33,3,FALSE)&amp;VLOOKUP(Z$18,$H$3:$K$33,4,FALSE),$N$3:$AF$3,0),FALSE),Z23)</f>
        <v>456</v>
      </c>
      <c r="AA24" s="227">
        <f>IFERROR(VLOOKUP(VLOOKUP(AA$18,$H$3:$K$33,3,FALSE)&amp;VLOOKUP(AA$18,$H$3:$K$33,4,FALSE),$B$3:$C$27,2,FALSE)*VLOOKUP($N24,$N$3:$AF$15,MATCH(VLOOKUP(AA$18,$H$3:$K$33,3,FALSE)&amp;VLOOKUP(AA$18,$H$3:$K$33,4,FALSE),$N$3:$AF$3,0),FALSE),AA23)</f>
        <v>748</v>
      </c>
      <c r="AB24" s="227">
        <f>IFERROR(VLOOKUP(VLOOKUP(AB$18,$H$3:$K$33,3,FALSE)&amp;VLOOKUP(AB$18,$H$3:$K$33,4,FALSE),$B$3:$C$27,2,FALSE)*VLOOKUP($N24,$N$3:$AF$15,MATCH(VLOOKUP(AB$18,$H$3:$K$33,3,FALSE)&amp;VLOOKUP(AB$18,$H$3:$K$33,4,FALSE),$N$3:$AF$3,0),FALSE),AB23)</f>
        <v>1692</v>
      </c>
      <c r="AC24" s="227">
        <f>IFERROR(VLOOKUP(VLOOKUP(AC$18,$H$3:$K$33,3,FALSE)&amp;VLOOKUP(AC$18,$H$3:$K$33,4,FALSE),$B$3:$C$27,2,FALSE)*VLOOKUP($N24,$N$3:$AF$15,MATCH(VLOOKUP(AC$18,$H$3:$K$33,3,FALSE)&amp;VLOOKUP(AC$18,$H$3:$K$33,4,FALSE),$N$3:$AF$3,0),FALSE),AC23)</f>
        <v>2160</v>
      </c>
      <c r="AD24" s="227">
        <f>IFERROR(VLOOKUP(VLOOKUP(AD$18,$H$3:$K$33,3,FALSE)&amp;VLOOKUP(AD$18,$H$3:$K$33,4,FALSE),$B$3:$C$27,2,FALSE)*VLOOKUP($N24,$N$3:$AF$15,MATCH(VLOOKUP(AD$18,$H$3:$K$33,3,FALSE)&amp;VLOOKUP(AD$18,$H$3:$K$33,4,FALSE),$N$3:$AF$3,0),FALSE),AD23)</f>
        <v>2736</v>
      </c>
      <c r="AE24" s="227">
        <f>IFERROR(VLOOKUP(VLOOKUP(AE$18,$H$3:$K$33,3,FALSE)&amp;VLOOKUP(AE$18,$H$3:$K$33,4,FALSE),$B$3:$C$27,2,FALSE)*VLOOKUP($N24,$N$3:$AF$15,MATCH(VLOOKUP(AE$18,$H$3:$K$33,3,FALSE)&amp;VLOOKUP(AE$18,$H$3:$K$33,4,FALSE),$N$3:$AF$3,0),FALSE),AE23)</f>
        <v>5000</v>
      </c>
      <c r="AF24" s="227">
        <f>IFERROR(VLOOKUP(VLOOKUP(AF$18,$H$3:$K$33,3,FALSE)&amp;VLOOKUP(AF$18,$H$3:$K$33,4,FALSE),$B$3:$C$27,2,FALSE)*VLOOKUP($N24,$N$3:$AF$15,MATCH(VLOOKUP(AF$18,$H$3:$K$33,3,FALSE)&amp;VLOOKUP(AF$18,$H$3:$K$33,4,FALSE),$N$3:$AF$3,0),FALSE),AF23)</f>
        <v>6250</v>
      </c>
      <c r="AG24" s="227">
        <f>IFERROR(VLOOKUP(VLOOKUP(AG$18,$H$3:$K$33,3,FALSE)&amp;VLOOKUP(AG$18,$H$3:$K$33,4,FALSE),$B$3:$C$27,2,FALSE)*VLOOKUP($N24,$N$3:$AF$15,MATCH(VLOOKUP(AG$18,$H$3:$K$33,3,FALSE)&amp;VLOOKUP(AG$18,$H$3:$K$33,4,FALSE),$N$3:$AF$3,0),FALSE),AG23)</f>
        <v>7750</v>
      </c>
      <c r="AH24" s="227">
        <f>IFERROR(VLOOKUP(VLOOKUP(AH$18,$H$3:$K$33,3,FALSE)&amp;VLOOKUP(AH$18,$H$3:$K$33,4,FALSE),$B$3:$C$27,2,FALSE)*VLOOKUP($N24,$N$3:$AF$15,MATCH(VLOOKUP(AH$18,$H$3:$K$33,3,FALSE)&amp;VLOOKUP(AH$18,$H$3:$K$33,4,FALSE),$N$3:$AF$3,0),FALSE),AH23)</f>
        <v>13600</v>
      </c>
      <c r="AI24" s="227">
        <f>IFERROR(VLOOKUP(VLOOKUP(AI$18,$H$3:$K$33,3,FALSE)&amp;VLOOKUP(AI$18,$H$3:$K$33,4,FALSE),$B$3:$C$27,2,FALSE)*VLOOKUP($N24,$N$3:$AF$15,MATCH(VLOOKUP(AI$18,$H$3:$K$33,3,FALSE)&amp;VLOOKUP(AI$18,$H$3:$K$33,4,FALSE),$N$3:$AF$3,0),FALSE),AI23)</f>
        <v>210</v>
      </c>
      <c r="AJ24" s="227">
        <f>IFERROR(VLOOKUP(VLOOKUP(AJ$18,$H$3:$K$33,3,FALSE)&amp;VLOOKUP(AJ$18,$H$3:$K$33,4,FALSE),$B$3:$C$27,2,FALSE)*VLOOKUP($N24,$N$3:$AF$15,MATCH(VLOOKUP(AJ$18,$H$3:$K$33,3,FALSE)&amp;VLOOKUP(AJ$18,$H$3:$K$33,4,FALSE),$N$3:$AF$3,0),FALSE),AJ23)</f>
        <v>456</v>
      </c>
      <c r="AK24" s="227">
        <f>IFERROR(VLOOKUP(VLOOKUP(AK$18,$H$3:$K$33,3,FALSE)&amp;VLOOKUP(AK$18,$H$3:$K$33,4,FALSE),$B$3:$C$27,2,FALSE)*VLOOKUP($N24,$N$3:$AF$15,MATCH(VLOOKUP(AK$18,$H$3:$K$33,3,FALSE)&amp;VLOOKUP(AK$18,$H$3:$K$33,4,FALSE),$N$3:$AF$3,0),FALSE),AK23)</f>
        <v>748</v>
      </c>
      <c r="AL24" s="227">
        <f>IFERROR(VLOOKUP(VLOOKUP(AL$18,$H$3:$K$33,3,FALSE)&amp;VLOOKUP(AL$18,$H$3:$K$33,4,FALSE),$B$3:$C$27,2,FALSE)*VLOOKUP($N24,$N$3:$AF$15,MATCH(VLOOKUP(AL$18,$H$3:$K$33,3,FALSE)&amp;VLOOKUP(AL$18,$H$3:$K$33,4,FALSE),$N$3:$AF$3,0),FALSE),AL23)</f>
        <v>1692</v>
      </c>
      <c r="AM24" s="227">
        <f>IFERROR(VLOOKUP(VLOOKUP(AM$18,$H$3:$K$33,3,FALSE)&amp;VLOOKUP(AM$18,$H$3:$K$33,4,FALSE),$B$3:$C$27,2,FALSE)*VLOOKUP($N24,$N$3:$AF$15,MATCH(VLOOKUP(AM$18,$H$3:$K$33,3,FALSE)&amp;VLOOKUP(AM$18,$H$3:$K$33,4,FALSE),$N$3:$AF$3,0),FALSE),AM23)</f>
        <v>2160</v>
      </c>
      <c r="AN24" s="227">
        <f>IFERROR(VLOOKUP(VLOOKUP(AN$18,$H$3:$K$33,3,FALSE)&amp;VLOOKUP(AN$18,$H$3:$K$33,4,FALSE),$B$3:$C$27,2,FALSE)*VLOOKUP($N24,$N$3:$AF$15,MATCH(VLOOKUP(AN$18,$H$3:$K$33,3,FALSE)&amp;VLOOKUP(AN$18,$H$3:$K$33,4,FALSE),$N$3:$AF$3,0),FALSE),AN23)</f>
        <v>2736</v>
      </c>
      <c r="AO24" s="227">
        <f>IFERROR(VLOOKUP(VLOOKUP(AO$18,$H$3:$K$33,3,FALSE)&amp;VLOOKUP(AO$18,$H$3:$K$33,4,FALSE),$B$3:$C$27,2,FALSE)*VLOOKUP($N24,$N$3:$AF$15,MATCH(VLOOKUP(AO$18,$H$3:$K$33,3,FALSE)&amp;VLOOKUP(AO$18,$H$3:$K$33,4,FALSE),$N$3:$AF$3,0),FALSE),AO23)</f>
        <v>5000</v>
      </c>
      <c r="AP24" s="227">
        <f>IFERROR(VLOOKUP(VLOOKUP(AP$18,$H$3:$K$33,3,FALSE)&amp;VLOOKUP(AP$18,$H$3:$K$33,4,FALSE),$B$3:$C$27,2,FALSE)*VLOOKUP($N24,$N$3:$AF$15,MATCH(VLOOKUP(AP$18,$H$3:$K$33,3,FALSE)&amp;VLOOKUP(AP$18,$H$3:$K$33,4,FALSE),$N$3:$AF$3,0),FALSE),AP23)</f>
        <v>6250</v>
      </c>
      <c r="AQ24" s="227">
        <f>IFERROR(VLOOKUP(VLOOKUP(AQ$18,$H$3:$K$33,3,FALSE)&amp;VLOOKUP(AQ$18,$H$3:$K$33,4,FALSE),$B$3:$C$27,2,FALSE)*VLOOKUP($N24,$N$3:$AF$15,MATCH(VLOOKUP(AQ$18,$H$3:$K$33,3,FALSE)&amp;VLOOKUP(AQ$18,$H$3:$K$33,4,FALSE),$N$3:$AF$3,0),FALSE),AQ23)</f>
        <v>7750</v>
      </c>
      <c r="AR24" s="227">
        <f>IFERROR(VLOOKUP(VLOOKUP(AR$18,$H$3:$K$33,3,FALSE)&amp;VLOOKUP(AR$18,$H$3:$K$33,4,FALSE),$B$3:$C$27,2,FALSE)*VLOOKUP($N24,$N$3:$AF$15,MATCH(VLOOKUP(AR$18,$H$3:$K$33,3,FALSE)&amp;VLOOKUP(AR$18,$H$3:$K$33,4,FALSE),$N$3:$AF$3,0),FALSE),AR23)</f>
        <v>13600</v>
      </c>
    </row>
    <row r="25" spans="2:44" x14ac:dyDescent="0.35">
      <c r="B25" s="436" t="s">
        <v>1123</v>
      </c>
      <c r="C25" s="159">
        <f>基础经济系数!H42</f>
        <v>170</v>
      </c>
      <c r="D25" s="299">
        <f>D24</f>
        <v>0.05</v>
      </c>
      <c r="E25" s="159">
        <f>ROUND(C25*D25,0)</f>
        <v>9</v>
      </c>
      <c r="F25" s="159">
        <f>ROUND(E25*$R$73/500,0)*500</f>
        <v>3500</v>
      </c>
      <c r="G25" s="211"/>
      <c r="H25" s="219" t="s">
        <v>630</v>
      </c>
      <c r="I25" s="219" t="str">
        <f>VLOOKUP(H25,坦克个性化设定!$B$18:$E$48,3,FALSE)</f>
        <v>重坦</v>
      </c>
      <c r="J25" s="159" t="str">
        <f>VLOOKUP(H25,坦克个性化设定!$B$18:$E$48,4,FALSE)</f>
        <v>T2</v>
      </c>
      <c r="K25" s="159" t="str">
        <f>VLOOKUP(H25,坦克个性化细分!$I$3:$J$33,2,FALSE)</f>
        <v>低</v>
      </c>
      <c r="N25" s="219">
        <v>7</v>
      </c>
      <c r="O25" s="227">
        <f>IFERROR(VLOOKUP(VLOOKUP(O$18,$H$3:$K$33,3,FALSE)&amp;VLOOKUP(O$18,$H$3:$K$33,4,FALSE),$B$3:$C$27,2,FALSE)*VLOOKUP($N25,$N$3:$AF$15,MATCH(VLOOKUP(O$18,$H$3:$K$33,3,FALSE)&amp;VLOOKUP(O$18,$H$3:$K$33,4,FALSE),$N$3:$AF$3,0),FALSE),O24)</f>
        <v>192</v>
      </c>
      <c r="P25" s="227">
        <f>IFERROR(VLOOKUP(VLOOKUP(P$18,$H$3:$K$33,3,FALSE)&amp;VLOOKUP(P$18,$H$3:$K$33,4,FALSE),$B$3:$C$27,2,FALSE)*VLOOKUP($N25,$N$3:$AF$15,MATCH(VLOOKUP(P$18,$H$3:$K$33,3,FALSE)&amp;VLOOKUP(P$18,$H$3:$K$33,4,FALSE),$N$3:$AF$3,0),FALSE),P24)</f>
        <v>420</v>
      </c>
      <c r="Q25" s="227">
        <f>IFERROR(VLOOKUP(VLOOKUP(Q$18,$H$3:$K$33,3,FALSE)&amp;VLOOKUP(Q$18,$H$3:$K$33,4,FALSE),$B$3:$C$27,2,FALSE)*VLOOKUP($N25,$N$3:$AF$15,MATCH(VLOOKUP(Q$18,$H$3:$K$33,3,FALSE)&amp;VLOOKUP(Q$18,$H$3:$K$33,4,FALSE),$N$3:$AF$3,0),FALSE),Q24)</f>
        <v>714</v>
      </c>
      <c r="R25" s="227">
        <f>IFERROR(VLOOKUP(VLOOKUP(R$18,$H$3:$K$33,3,FALSE)&amp;VLOOKUP(R$18,$H$3:$K$33,4,FALSE),$B$3:$C$27,2,FALSE)*VLOOKUP($N25,$N$3:$AF$15,MATCH(VLOOKUP(R$18,$H$3:$K$33,3,FALSE)&amp;VLOOKUP(R$18,$H$3:$K$33,4,FALSE),$N$3:$AF$3,0),FALSE),R24)</f>
        <v>1584</v>
      </c>
      <c r="S25" s="227">
        <f>IFERROR(VLOOKUP(VLOOKUP(S$18,$H$3:$K$33,3,FALSE)&amp;VLOOKUP(S$18,$H$3:$K$33,4,FALSE),$B$3:$C$27,2,FALSE)*VLOOKUP($N25,$N$3:$AF$15,MATCH(VLOOKUP(S$18,$H$3:$K$33,3,FALSE)&amp;VLOOKUP(S$18,$H$3:$K$33,4,FALSE),$N$3:$AF$3,0),FALSE),S24)</f>
        <v>2070</v>
      </c>
      <c r="T25" s="227">
        <f>IFERROR(VLOOKUP(VLOOKUP(T$18,$H$3:$K$33,3,FALSE)&amp;VLOOKUP(T$18,$H$3:$K$33,4,FALSE),$B$3:$C$27,2,FALSE)*VLOOKUP($N25,$N$3:$AF$15,MATCH(VLOOKUP(T$18,$H$3:$K$33,3,FALSE)&amp;VLOOKUP(T$18,$H$3:$K$33,4,FALSE),$N$3:$AF$3,0),FALSE),T24)</f>
        <v>2622</v>
      </c>
      <c r="U25" s="227">
        <f>IFERROR(VLOOKUP(VLOOKUP(U$18,$H$3:$K$33,3,FALSE)&amp;VLOOKUP(U$18,$H$3:$K$33,4,FALSE),$B$3:$C$27,2,FALSE)*VLOOKUP($N25,$N$3:$AF$15,MATCH(VLOOKUP(U$18,$H$3:$K$33,3,FALSE)&amp;VLOOKUP(U$18,$H$3:$K$33,4,FALSE),$N$3:$AF$3,0),FALSE),U24)</f>
        <v>5000</v>
      </c>
      <c r="V25" s="227">
        <f>IFERROR(VLOOKUP(VLOOKUP(V$18,$H$3:$K$33,3,FALSE)&amp;VLOOKUP(V$18,$H$3:$K$33,4,FALSE),$B$3:$C$27,2,FALSE)*VLOOKUP($N25,$N$3:$AF$15,MATCH(VLOOKUP(V$18,$H$3:$K$33,3,FALSE)&amp;VLOOKUP(V$18,$H$3:$K$33,4,FALSE),$N$3:$AF$3,0),FALSE),V24)</f>
        <v>6250</v>
      </c>
      <c r="W25" s="227">
        <f>IFERROR(VLOOKUP(VLOOKUP(W$18,$H$3:$K$33,3,FALSE)&amp;VLOOKUP(W$18,$H$3:$K$33,4,FALSE),$B$3:$C$27,2,FALSE)*VLOOKUP($N25,$N$3:$AF$15,MATCH(VLOOKUP(W$18,$H$3:$K$33,3,FALSE)&amp;VLOOKUP(W$18,$H$3:$K$33,4,FALSE),$N$3:$AF$3,0),FALSE),W24)</f>
        <v>7750</v>
      </c>
      <c r="X25" s="227">
        <f>IFERROR(VLOOKUP(VLOOKUP(X$18,$H$3:$K$33,3,FALSE)&amp;VLOOKUP(X$18,$H$3:$K$33,4,FALSE),$B$3:$C$27,2,FALSE)*VLOOKUP($N25,$N$3:$AF$15,MATCH(VLOOKUP(X$18,$H$3:$K$33,3,FALSE)&amp;VLOOKUP(X$18,$H$3:$K$33,4,FALSE),$N$3:$AF$3,0),FALSE),X24)</f>
        <v>13600</v>
      </c>
      <c r="Y25" s="227">
        <f>IFERROR(VLOOKUP(VLOOKUP(Y$18,$H$3:$K$33,3,FALSE)&amp;VLOOKUP(Y$18,$H$3:$K$33,4,FALSE),$B$3:$C$27,2,FALSE)*VLOOKUP($N25,$N$3:$AF$15,MATCH(VLOOKUP(Y$18,$H$3:$K$33,3,FALSE)&amp;VLOOKUP(Y$18,$H$3:$K$33,4,FALSE),$N$3:$AF$3,0),FALSE),Y24)</f>
        <v>192</v>
      </c>
      <c r="Z25" s="227">
        <f>IFERROR(VLOOKUP(VLOOKUP(Z$18,$H$3:$K$33,3,FALSE)&amp;VLOOKUP(Z$18,$H$3:$K$33,4,FALSE),$B$3:$C$27,2,FALSE)*VLOOKUP($N25,$N$3:$AF$15,MATCH(VLOOKUP(Z$18,$H$3:$K$33,3,FALSE)&amp;VLOOKUP(Z$18,$H$3:$K$33,4,FALSE),$N$3:$AF$3,0),FALSE),Z24)</f>
        <v>420</v>
      </c>
      <c r="AA25" s="227">
        <f>IFERROR(VLOOKUP(VLOOKUP(AA$18,$H$3:$K$33,3,FALSE)&amp;VLOOKUP(AA$18,$H$3:$K$33,4,FALSE),$B$3:$C$27,2,FALSE)*VLOOKUP($N25,$N$3:$AF$15,MATCH(VLOOKUP(AA$18,$H$3:$K$33,3,FALSE)&amp;VLOOKUP(AA$18,$H$3:$K$33,4,FALSE),$N$3:$AF$3,0),FALSE),AA24)</f>
        <v>714</v>
      </c>
      <c r="AB25" s="227">
        <f>IFERROR(VLOOKUP(VLOOKUP(AB$18,$H$3:$K$33,3,FALSE)&amp;VLOOKUP(AB$18,$H$3:$K$33,4,FALSE),$B$3:$C$27,2,FALSE)*VLOOKUP($N25,$N$3:$AF$15,MATCH(VLOOKUP(AB$18,$H$3:$K$33,3,FALSE)&amp;VLOOKUP(AB$18,$H$3:$K$33,4,FALSE),$N$3:$AF$3,0),FALSE),AB24)</f>
        <v>1584</v>
      </c>
      <c r="AC25" s="227">
        <f>IFERROR(VLOOKUP(VLOOKUP(AC$18,$H$3:$K$33,3,FALSE)&amp;VLOOKUP(AC$18,$H$3:$K$33,4,FALSE),$B$3:$C$27,2,FALSE)*VLOOKUP($N25,$N$3:$AF$15,MATCH(VLOOKUP(AC$18,$H$3:$K$33,3,FALSE)&amp;VLOOKUP(AC$18,$H$3:$K$33,4,FALSE),$N$3:$AF$3,0),FALSE),AC24)</f>
        <v>2070</v>
      </c>
      <c r="AD25" s="227">
        <f>IFERROR(VLOOKUP(VLOOKUP(AD$18,$H$3:$K$33,3,FALSE)&amp;VLOOKUP(AD$18,$H$3:$K$33,4,FALSE),$B$3:$C$27,2,FALSE)*VLOOKUP($N25,$N$3:$AF$15,MATCH(VLOOKUP(AD$18,$H$3:$K$33,3,FALSE)&amp;VLOOKUP(AD$18,$H$3:$K$33,4,FALSE),$N$3:$AF$3,0),FALSE),AD24)</f>
        <v>2622</v>
      </c>
      <c r="AE25" s="227">
        <f>IFERROR(VLOOKUP(VLOOKUP(AE$18,$H$3:$K$33,3,FALSE)&amp;VLOOKUP(AE$18,$H$3:$K$33,4,FALSE),$B$3:$C$27,2,FALSE)*VLOOKUP($N25,$N$3:$AF$15,MATCH(VLOOKUP(AE$18,$H$3:$K$33,3,FALSE)&amp;VLOOKUP(AE$18,$H$3:$K$33,4,FALSE),$N$3:$AF$3,0),FALSE),AE24)</f>
        <v>5000</v>
      </c>
      <c r="AF25" s="227">
        <f>IFERROR(VLOOKUP(VLOOKUP(AF$18,$H$3:$K$33,3,FALSE)&amp;VLOOKUP(AF$18,$H$3:$K$33,4,FALSE),$B$3:$C$27,2,FALSE)*VLOOKUP($N25,$N$3:$AF$15,MATCH(VLOOKUP(AF$18,$H$3:$K$33,3,FALSE)&amp;VLOOKUP(AF$18,$H$3:$K$33,4,FALSE),$N$3:$AF$3,0),FALSE),AF24)</f>
        <v>6250</v>
      </c>
      <c r="AG25" s="227">
        <f>IFERROR(VLOOKUP(VLOOKUP(AG$18,$H$3:$K$33,3,FALSE)&amp;VLOOKUP(AG$18,$H$3:$K$33,4,FALSE),$B$3:$C$27,2,FALSE)*VLOOKUP($N25,$N$3:$AF$15,MATCH(VLOOKUP(AG$18,$H$3:$K$33,3,FALSE)&amp;VLOOKUP(AG$18,$H$3:$K$33,4,FALSE),$N$3:$AF$3,0),FALSE),AG24)</f>
        <v>7750</v>
      </c>
      <c r="AH25" s="227">
        <f>IFERROR(VLOOKUP(VLOOKUP(AH$18,$H$3:$K$33,3,FALSE)&amp;VLOOKUP(AH$18,$H$3:$K$33,4,FALSE),$B$3:$C$27,2,FALSE)*VLOOKUP($N25,$N$3:$AF$15,MATCH(VLOOKUP(AH$18,$H$3:$K$33,3,FALSE)&amp;VLOOKUP(AH$18,$H$3:$K$33,4,FALSE),$N$3:$AF$3,0),FALSE),AH24)</f>
        <v>13600</v>
      </c>
      <c r="AI25" s="227">
        <f>IFERROR(VLOOKUP(VLOOKUP(AI$18,$H$3:$K$33,3,FALSE)&amp;VLOOKUP(AI$18,$H$3:$K$33,4,FALSE),$B$3:$C$27,2,FALSE)*VLOOKUP($N25,$N$3:$AF$15,MATCH(VLOOKUP(AI$18,$H$3:$K$33,3,FALSE)&amp;VLOOKUP(AI$18,$H$3:$K$33,4,FALSE),$N$3:$AF$3,0),FALSE),AI24)</f>
        <v>192</v>
      </c>
      <c r="AJ25" s="227">
        <f>IFERROR(VLOOKUP(VLOOKUP(AJ$18,$H$3:$K$33,3,FALSE)&amp;VLOOKUP(AJ$18,$H$3:$K$33,4,FALSE),$B$3:$C$27,2,FALSE)*VLOOKUP($N25,$N$3:$AF$15,MATCH(VLOOKUP(AJ$18,$H$3:$K$33,3,FALSE)&amp;VLOOKUP(AJ$18,$H$3:$K$33,4,FALSE),$N$3:$AF$3,0),FALSE),AJ24)</f>
        <v>420</v>
      </c>
      <c r="AK25" s="227">
        <f>IFERROR(VLOOKUP(VLOOKUP(AK$18,$H$3:$K$33,3,FALSE)&amp;VLOOKUP(AK$18,$H$3:$K$33,4,FALSE),$B$3:$C$27,2,FALSE)*VLOOKUP($N25,$N$3:$AF$15,MATCH(VLOOKUP(AK$18,$H$3:$K$33,3,FALSE)&amp;VLOOKUP(AK$18,$H$3:$K$33,4,FALSE),$N$3:$AF$3,0),FALSE),AK24)</f>
        <v>714</v>
      </c>
      <c r="AL25" s="227">
        <f>IFERROR(VLOOKUP(VLOOKUP(AL$18,$H$3:$K$33,3,FALSE)&amp;VLOOKUP(AL$18,$H$3:$K$33,4,FALSE),$B$3:$C$27,2,FALSE)*VLOOKUP($N25,$N$3:$AF$15,MATCH(VLOOKUP(AL$18,$H$3:$K$33,3,FALSE)&amp;VLOOKUP(AL$18,$H$3:$K$33,4,FALSE),$N$3:$AF$3,0),FALSE),AL24)</f>
        <v>1584</v>
      </c>
      <c r="AM25" s="227">
        <f>IFERROR(VLOOKUP(VLOOKUP(AM$18,$H$3:$K$33,3,FALSE)&amp;VLOOKUP(AM$18,$H$3:$K$33,4,FALSE),$B$3:$C$27,2,FALSE)*VLOOKUP($N25,$N$3:$AF$15,MATCH(VLOOKUP(AM$18,$H$3:$K$33,3,FALSE)&amp;VLOOKUP(AM$18,$H$3:$K$33,4,FALSE),$N$3:$AF$3,0),FALSE),AM24)</f>
        <v>2070</v>
      </c>
      <c r="AN25" s="227">
        <f>IFERROR(VLOOKUP(VLOOKUP(AN$18,$H$3:$K$33,3,FALSE)&amp;VLOOKUP(AN$18,$H$3:$K$33,4,FALSE),$B$3:$C$27,2,FALSE)*VLOOKUP($N25,$N$3:$AF$15,MATCH(VLOOKUP(AN$18,$H$3:$K$33,3,FALSE)&amp;VLOOKUP(AN$18,$H$3:$K$33,4,FALSE),$N$3:$AF$3,0),FALSE),AN24)</f>
        <v>2622</v>
      </c>
      <c r="AO25" s="227">
        <f>IFERROR(VLOOKUP(VLOOKUP(AO$18,$H$3:$K$33,3,FALSE)&amp;VLOOKUP(AO$18,$H$3:$K$33,4,FALSE),$B$3:$C$27,2,FALSE)*VLOOKUP($N25,$N$3:$AF$15,MATCH(VLOOKUP(AO$18,$H$3:$K$33,3,FALSE)&amp;VLOOKUP(AO$18,$H$3:$K$33,4,FALSE),$N$3:$AF$3,0),FALSE),AO24)</f>
        <v>5000</v>
      </c>
      <c r="AP25" s="227">
        <f>IFERROR(VLOOKUP(VLOOKUP(AP$18,$H$3:$K$33,3,FALSE)&amp;VLOOKUP(AP$18,$H$3:$K$33,4,FALSE),$B$3:$C$27,2,FALSE)*VLOOKUP($N25,$N$3:$AF$15,MATCH(VLOOKUP(AP$18,$H$3:$K$33,3,FALSE)&amp;VLOOKUP(AP$18,$H$3:$K$33,4,FALSE),$N$3:$AF$3,0),FALSE),AP24)</f>
        <v>6250</v>
      </c>
      <c r="AQ25" s="227">
        <f>IFERROR(VLOOKUP(VLOOKUP(AQ$18,$H$3:$K$33,3,FALSE)&amp;VLOOKUP(AQ$18,$H$3:$K$33,4,FALSE),$B$3:$C$27,2,FALSE)*VLOOKUP($N25,$N$3:$AF$15,MATCH(VLOOKUP(AQ$18,$H$3:$K$33,3,FALSE)&amp;VLOOKUP(AQ$18,$H$3:$K$33,4,FALSE),$N$3:$AF$3,0),FALSE),AQ24)</f>
        <v>7750</v>
      </c>
      <c r="AR25" s="227">
        <f>IFERROR(VLOOKUP(VLOOKUP(AR$18,$H$3:$K$33,3,FALSE)&amp;VLOOKUP(AR$18,$H$3:$K$33,4,FALSE),$B$3:$C$27,2,FALSE)*VLOOKUP($N25,$N$3:$AF$15,MATCH(VLOOKUP(AR$18,$H$3:$K$33,3,FALSE)&amp;VLOOKUP(AR$18,$H$3:$K$33,4,FALSE),$N$3:$AF$3,0),FALSE),AR24)</f>
        <v>13600</v>
      </c>
    </row>
    <row r="26" spans="2:44" x14ac:dyDescent="0.35">
      <c r="B26" s="436" t="s">
        <v>1124</v>
      </c>
      <c r="C26" s="159">
        <f>基础经济系数!H43</f>
        <v>200</v>
      </c>
      <c r="D26" s="299">
        <f>D25</f>
        <v>0.05</v>
      </c>
      <c r="E26" s="159">
        <f>ROUND(C26*D26,0)</f>
        <v>10</v>
      </c>
      <c r="F26" s="159">
        <f>ROUND(E26*$R$73/500,0)*500</f>
        <v>4000</v>
      </c>
      <c r="G26" s="211"/>
      <c r="H26" s="219" t="s">
        <v>631</v>
      </c>
      <c r="I26" s="219" t="str">
        <f>VLOOKUP(H26,坦克个性化设定!$B$18:$E$48,3,FALSE)</f>
        <v>重坦</v>
      </c>
      <c r="J26" s="159" t="str">
        <f>VLOOKUP(H26,坦克个性化设定!$B$18:$E$48,4,FALSE)</f>
        <v>T2</v>
      </c>
      <c r="K26" s="159" t="str">
        <f>VLOOKUP(H26,坦克个性化细分!$I$3:$J$33,2,FALSE)</f>
        <v>中</v>
      </c>
      <c r="N26" s="219">
        <v>8</v>
      </c>
      <c r="O26" s="227">
        <f>IFERROR(VLOOKUP(VLOOKUP(O$18,$H$3:$K$33,3,FALSE)&amp;VLOOKUP(O$18,$H$3:$K$33,4,FALSE),$B$3:$C$27,2,FALSE)*VLOOKUP($N26,$N$3:$AF$15,MATCH(VLOOKUP(O$18,$H$3:$K$33,3,FALSE)&amp;VLOOKUP(O$18,$H$3:$K$33,4,FALSE),$N$3:$AF$3,0),FALSE),O25)</f>
        <v>174</v>
      </c>
      <c r="P26" s="227">
        <f>IFERROR(VLOOKUP(VLOOKUP(P$18,$H$3:$K$33,3,FALSE)&amp;VLOOKUP(P$18,$H$3:$K$33,4,FALSE),$B$3:$C$27,2,FALSE)*VLOOKUP($N26,$N$3:$AF$15,MATCH(VLOOKUP(P$18,$H$3:$K$33,3,FALSE)&amp;VLOOKUP(P$18,$H$3:$K$33,4,FALSE),$N$3:$AF$3,0),FALSE),P25)</f>
        <v>384</v>
      </c>
      <c r="Q26" s="227">
        <f>IFERROR(VLOOKUP(VLOOKUP(Q$18,$H$3:$K$33,3,FALSE)&amp;VLOOKUP(Q$18,$H$3:$K$33,4,FALSE),$B$3:$C$27,2,FALSE)*VLOOKUP($N26,$N$3:$AF$15,MATCH(VLOOKUP(Q$18,$H$3:$K$33,3,FALSE)&amp;VLOOKUP(Q$18,$H$3:$K$33,4,FALSE),$N$3:$AF$3,0),FALSE),Q25)</f>
        <v>680</v>
      </c>
      <c r="R26" s="227">
        <f>IFERROR(VLOOKUP(VLOOKUP(R$18,$H$3:$K$33,3,FALSE)&amp;VLOOKUP(R$18,$H$3:$K$33,4,FALSE),$B$3:$C$27,2,FALSE)*VLOOKUP($N26,$N$3:$AF$15,MATCH(VLOOKUP(R$18,$H$3:$K$33,3,FALSE)&amp;VLOOKUP(R$18,$H$3:$K$33,4,FALSE),$N$3:$AF$3,0),FALSE),R25)</f>
        <v>1476</v>
      </c>
      <c r="S26" s="227">
        <f>IFERROR(VLOOKUP(VLOOKUP(S$18,$H$3:$K$33,3,FALSE)&amp;VLOOKUP(S$18,$H$3:$K$33,4,FALSE),$B$3:$C$27,2,FALSE)*VLOOKUP($N26,$N$3:$AF$15,MATCH(VLOOKUP(S$18,$H$3:$K$33,3,FALSE)&amp;VLOOKUP(S$18,$H$3:$K$33,4,FALSE),$N$3:$AF$3,0),FALSE),S25)</f>
        <v>1980</v>
      </c>
      <c r="T26" s="227">
        <f>IFERROR(VLOOKUP(VLOOKUP(T$18,$H$3:$K$33,3,FALSE)&amp;VLOOKUP(T$18,$H$3:$K$33,4,FALSE),$B$3:$C$27,2,FALSE)*VLOOKUP($N26,$N$3:$AF$15,MATCH(VLOOKUP(T$18,$H$3:$K$33,3,FALSE)&amp;VLOOKUP(T$18,$H$3:$K$33,4,FALSE),$N$3:$AF$3,0),FALSE),T25)</f>
        <v>2508</v>
      </c>
      <c r="U26" s="227">
        <f>IFERROR(VLOOKUP(VLOOKUP(U$18,$H$3:$K$33,3,FALSE)&amp;VLOOKUP(U$18,$H$3:$K$33,4,FALSE),$B$3:$C$27,2,FALSE)*VLOOKUP($N26,$N$3:$AF$15,MATCH(VLOOKUP(U$18,$H$3:$K$33,3,FALSE)&amp;VLOOKUP(U$18,$H$3:$K$33,4,FALSE),$N$3:$AF$3,0),FALSE),U25)</f>
        <v>5000</v>
      </c>
      <c r="V26" s="227">
        <f>IFERROR(VLOOKUP(VLOOKUP(V$18,$H$3:$K$33,3,FALSE)&amp;VLOOKUP(V$18,$H$3:$K$33,4,FALSE),$B$3:$C$27,2,FALSE)*VLOOKUP($N26,$N$3:$AF$15,MATCH(VLOOKUP(V$18,$H$3:$K$33,3,FALSE)&amp;VLOOKUP(V$18,$H$3:$K$33,4,FALSE),$N$3:$AF$3,0),FALSE),V25)</f>
        <v>6250</v>
      </c>
      <c r="W26" s="227">
        <f>IFERROR(VLOOKUP(VLOOKUP(W$18,$H$3:$K$33,3,FALSE)&amp;VLOOKUP(W$18,$H$3:$K$33,4,FALSE),$B$3:$C$27,2,FALSE)*VLOOKUP($N26,$N$3:$AF$15,MATCH(VLOOKUP(W$18,$H$3:$K$33,3,FALSE)&amp;VLOOKUP(W$18,$H$3:$K$33,4,FALSE),$N$3:$AF$3,0),FALSE),W25)</f>
        <v>7750</v>
      </c>
      <c r="X26" s="227">
        <f>IFERROR(VLOOKUP(VLOOKUP(X$18,$H$3:$K$33,3,FALSE)&amp;VLOOKUP(X$18,$H$3:$K$33,4,FALSE),$B$3:$C$27,2,FALSE)*VLOOKUP($N26,$N$3:$AF$15,MATCH(VLOOKUP(X$18,$H$3:$K$33,3,FALSE)&amp;VLOOKUP(X$18,$H$3:$K$33,4,FALSE),$N$3:$AF$3,0),FALSE),X25)</f>
        <v>13600</v>
      </c>
      <c r="Y26" s="227">
        <f>IFERROR(VLOOKUP(VLOOKUP(Y$18,$H$3:$K$33,3,FALSE)&amp;VLOOKUP(Y$18,$H$3:$K$33,4,FALSE),$B$3:$C$27,2,FALSE)*VLOOKUP($N26,$N$3:$AF$15,MATCH(VLOOKUP(Y$18,$H$3:$K$33,3,FALSE)&amp;VLOOKUP(Y$18,$H$3:$K$33,4,FALSE),$N$3:$AF$3,0),FALSE),Y25)</f>
        <v>174</v>
      </c>
      <c r="Z26" s="227">
        <f>IFERROR(VLOOKUP(VLOOKUP(Z$18,$H$3:$K$33,3,FALSE)&amp;VLOOKUP(Z$18,$H$3:$K$33,4,FALSE),$B$3:$C$27,2,FALSE)*VLOOKUP($N26,$N$3:$AF$15,MATCH(VLOOKUP(Z$18,$H$3:$K$33,3,FALSE)&amp;VLOOKUP(Z$18,$H$3:$K$33,4,FALSE),$N$3:$AF$3,0),FALSE),Z25)</f>
        <v>384</v>
      </c>
      <c r="AA26" s="227">
        <f>IFERROR(VLOOKUP(VLOOKUP(AA$18,$H$3:$K$33,3,FALSE)&amp;VLOOKUP(AA$18,$H$3:$K$33,4,FALSE),$B$3:$C$27,2,FALSE)*VLOOKUP($N26,$N$3:$AF$15,MATCH(VLOOKUP(AA$18,$H$3:$K$33,3,FALSE)&amp;VLOOKUP(AA$18,$H$3:$K$33,4,FALSE),$N$3:$AF$3,0),FALSE),AA25)</f>
        <v>680</v>
      </c>
      <c r="AB26" s="227">
        <f>IFERROR(VLOOKUP(VLOOKUP(AB$18,$H$3:$K$33,3,FALSE)&amp;VLOOKUP(AB$18,$H$3:$K$33,4,FALSE),$B$3:$C$27,2,FALSE)*VLOOKUP($N26,$N$3:$AF$15,MATCH(VLOOKUP(AB$18,$H$3:$K$33,3,FALSE)&amp;VLOOKUP(AB$18,$H$3:$K$33,4,FALSE),$N$3:$AF$3,0),FALSE),AB25)</f>
        <v>1476</v>
      </c>
      <c r="AC26" s="227">
        <f>IFERROR(VLOOKUP(VLOOKUP(AC$18,$H$3:$K$33,3,FALSE)&amp;VLOOKUP(AC$18,$H$3:$K$33,4,FALSE),$B$3:$C$27,2,FALSE)*VLOOKUP($N26,$N$3:$AF$15,MATCH(VLOOKUP(AC$18,$H$3:$K$33,3,FALSE)&amp;VLOOKUP(AC$18,$H$3:$K$33,4,FALSE),$N$3:$AF$3,0),FALSE),AC25)</f>
        <v>1980</v>
      </c>
      <c r="AD26" s="227">
        <f>IFERROR(VLOOKUP(VLOOKUP(AD$18,$H$3:$K$33,3,FALSE)&amp;VLOOKUP(AD$18,$H$3:$K$33,4,FALSE),$B$3:$C$27,2,FALSE)*VLOOKUP($N26,$N$3:$AF$15,MATCH(VLOOKUP(AD$18,$H$3:$K$33,3,FALSE)&amp;VLOOKUP(AD$18,$H$3:$K$33,4,FALSE),$N$3:$AF$3,0),FALSE),AD25)</f>
        <v>2508</v>
      </c>
      <c r="AE26" s="227">
        <f>IFERROR(VLOOKUP(VLOOKUP(AE$18,$H$3:$K$33,3,FALSE)&amp;VLOOKUP(AE$18,$H$3:$K$33,4,FALSE),$B$3:$C$27,2,FALSE)*VLOOKUP($N26,$N$3:$AF$15,MATCH(VLOOKUP(AE$18,$H$3:$K$33,3,FALSE)&amp;VLOOKUP(AE$18,$H$3:$K$33,4,FALSE),$N$3:$AF$3,0),FALSE),AE25)</f>
        <v>5000</v>
      </c>
      <c r="AF26" s="227">
        <f>IFERROR(VLOOKUP(VLOOKUP(AF$18,$H$3:$K$33,3,FALSE)&amp;VLOOKUP(AF$18,$H$3:$K$33,4,FALSE),$B$3:$C$27,2,FALSE)*VLOOKUP($N26,$N$3:$AF$15,MATCH(VLOOKUP(AF$18,$H$3:$K$33,3,FALSE)&amp;VLOOKUP(AF$18,$H$3:$K$33,4,FALSE),$N$3:$AF$3,0),FALSE),AF25)</f>
        <v>6250</v>
      </c>
      <c r="AG26" s="227">
        <f>IFERROR(VLOOKUP(VLOOKUP(AG$18,$H$3:$K$33,3,FALSE)&amp;VLOOKUP(AG$18,$H$3:$K$33,4,FALSE),$B$3:$C$27,2,FALSE)*VLOOKUP($N26,$N$3:$AF$15,MATCH(VLOOKUP(AG$18,$H$3:$K$33,3,FALSE)&amp;VLOOKUP(AG$18,$H$3:$K$33,4,FALSE),$N$3:$AF$3,0),FALSE),AG25)</f>
        <v>7750</v>
      </c>
      <c r="AH26" s="227">
        <f>IFERROR(VLOOKUP(VLOOKUP(AH$18,$H$3:$K$33,3,FALSE)&amp;VLOOKUP(AH$18,$H$3:$K$33,4,FALSE),$B$3:$C$27,2,FALSE)*VLOOKUP($N26,$N$3:$AF$15,MATCH(VLOOKUP(AH$18,$H$3:$K$33,3,FALSE)&amp;VLOOKUP(AH$18,$H$3:$K$33,4,FALSE),$N$3:$AF$3,0),FALSE),AH25)</f>
        <v>13600</v>
      </c>
      <c r="AI26" s="227">
        <f>IFERROR(VLOOKUP(VLOOKUP(AI$18,$H$3:$K$33,3,FALSE)&amp;VLOOKUP(AI$18,$H$3:$K$33,4,FALSE),$B$3:$C$27,2,FALSE)*VLOOKUP($N26,$N$3:$AF$15,MATCH(VLOOKUP(AI$18,$H$3:$K$33,3,FALSE)&amp;VLOOKUP(AI$18,$H$3:$K$33,4,FALSE),$N$3:$AF$3,0),FALSE),AI25)</f>
        <v>174</v>
      </c>
      <c r="AJ26" s="227">
        <f>IFERROR(VLOOKUP(VLOOKUP(AJ$18,$H$3:$K$33,3,FALSE)&amp;VLOOKUP(AJ$18,$H$3:$K$33,4,FALSE),$B$3:$C$27,2,FALSE)*VLOOKUP($N26,$N$3:$AF$15,MATCH(VLOOKUP(AJ$18,$H$3:$K$33,3,FALSE)&amp;VLOOKUP(AJ$18,$H$3:$K$33,4,FALSE),$N$3:$AF$3,0),FALSE),AJ25)</f>
        <v>384</v>
      </c>
      <c r="AK26" s="227">
        <f>IFERROR(VLOOKUP(VLOOKUP(AK$18,$H$3:$K$33,3,FALSE)&amp;VLOOKUP(AK$18,$H$3:$K$33,4,FALSE),$B$3:$C$27,2,FALSE)*VLOOKUP($N26,$N$3:$AF$15,MATCH(VLOOKUP(AK$18,$H$3:$K$33,3,FALSE)&amp;VLOOKUP(AK$18,$H$3:$K$33,4,FALSE),$N$3:$AF$3,0),FALSE),AK25)</f>
        <v>680</v>
      </c>
      <c r="AL26" s="227">
        <f>IFERROR(VLOOKUP(VLOOKUP(AL$18,$H$3:$K$33,3,FALSE)&amp;VLOOKUP(AL$18,$H$3:$K$33,4,FALSE),$B$3:$C$27,2,FALSE)*VLOOKUP($N26,$N$3:$AF$15,MATCH(VLOOKUP(AL$18,$H$3:$K$33,3,FALSE)&amp;VLOOKUP(AL$18,$H$3:$K$33,4,FALSE),$N$3:$AF$3,0),FALSE),AL25)</f>
        <v>1476</v>
      </c>
      <c r="AM26" s="227">
        <f>IFERROR(VLOOKUP(VLOOKUP(AM$18,$H$3:$K$33,3,FALSE)&amp;VLOOKUP(AM$18,$H$3:$K$33,4,FALSE),$B$3:$C$27,2,FALSE)*VLOOKUP($N26,$N$3:$AF$15,MATCH(VLOOKUP(AM$18,$H$3:$K$33,3,FALSE)&amp;VLOOKUP(AM$18,$H$3:$K$33,4,FALSE),$N$3:$AF$3,0),FALSE),AM25)</f>
        <v>1980</v>
      </c>
      <c r="AN26" s="227">
        <f>IFERROR(VLOOKUP(VLOOKUP(AN$18,$H$3:$K$33,3,FALSE)&amp;VLOOKUP(AN$18,$H$3:$K$33,4,FALSE),$B$3:$C$27,2,FALSE)*VLOOKUP($N26,$N$3:$AF$15,MATCH(VLOOKUP(AN$18,$H$3:$K$33,3,FALSE)&amp;VLOOKUP(AN$18,$H$3:$K$33,4,FALSE),$N$3:$AF$3,0),FALSE),AN25)</f>
        <v>2508</v>
      </c>
      <c r="AO26" s="227">
        <f>IFERROR(VLOOKUP(VLOOKUP(AO$18,$H$3:$K$33,3,FALSE)&amp;VLOOKUP(AO$18,$H$3:$K$33,4,FALSE),$B$3:$C$27,2,FALSE)*VLOOKUP($N26,$N$3:$AF$15,MATCH(VLOOKUP(AO$18,$H$3:$K$33,3,FALSE)&amp;VLOOKUP(AO$18,$H$3:$K$33,4,FALSE),$N$3:$AF$3,0),FALSE),AO25)</f>
        <v>5000</v>
      </c>
      <c r="AP26" s="227">
        <f>IFERROR(VLOOKUP(VLOOKUP(AP$18,$H$3:$K$33,3,FALSE)&amp;VLOOKUP(AP$18,$H$3:$K$33,4,FALSE),$B$3:$C$27,2,FALSE)*VLOOKUP($N26,$N$3:$AF$15,MATCH(VLOOKUP(AP$18,$H$3:$K$33,3,FALSE)&amp;VLOOKUP(AP$18,$H$3:$K$33,4,FALSE),$N$3:$AF$3,0),FALSE),AP25)</f>
        <v>6250</v>
      </c>
      <c r="AQ26" s="227">
        <f>IFERROR(VLOOKUP(VLOOKUP(AQ$18,$H$3:$K$33,3,FALSE)&amp;VLOOKUP(AQ$18,$H$3:$K$33,4,FALSE),$B$3:$C$27,2,FALSE)*VLOOKUP($N26,$N$3:$AF$15,MATCH(VLOOKUP(AQ$18,$H$3:$K$33,3,FALSE)&amp;VLOOKUP(AQ$18,$H$3:$K$33,4,FALSE),$N$3:$AF$3,0),FALSE),AQ25)</f>
        <v>7750</v>
      </c>
      <c r="AR26" s="227">
        <f>IFERROR(VLOOKUP(VLOOKUP(AR$18,$H$3:$K$33,3,FALSE)&amp;VLOOKUP(AR$18,$H$3:$K$33,4,FALSE),$B$3:$C$27,2,FALSE)*VLOOKUP($N26,$N$3:$AF$15,MATCH(VLOOKUP(AR$18,$H$3:$K$33,3,FALSE)&amp;VLOOKUP(AR$18,$H$3:$K$33,4,FALSE),$N$3:$AF$3,0),FALSE),AR25)</f>
        <v>13600</v>
      </c>
    </row>
    <row r="27" spans="2:44" x14ac:dyDescent="0.35">
      <c r="B27" s="436" t="s">
        <v>1125</v>
      </c>
      <c r="C27" s="159">
        <f>基础经济系数!H44</f>
        <v>245</v>
      </c>
      <c r="D27" s="299">
        <f>D26</f>
        <v>0.05</v>
      </c>
      <c r="E27" s="159">
        <f>ROUND(C27*D27,0)</f>
        <v>12</v>
      </c>
      <c r="F27" s="159">
        <f>ROUND(E27*$R$73/500,0)*500</f>
        <v>5000</v>
      </c>
      <c r="G27" s="211"/>
      <c r="H27" s="219" t="s">
        <v>628</v>
      </c>
      <c r="I27" s="219" t="str">
        <f>VLOOKUP(H27,坦克个性化设定!$B$18:$E$48,3,FALSE)</f>
        <v>重坦</v>
      </c>
      <c r="J27" s="159" t="str">
        <f>VLOOKUP(H27,坦克个性化设定!$B$18:$E$48,4,FALSE)</f>
        <v>T3</v>
      </c>
      <c r="K27" s="159" t="str">
        <f>VLOOKUP(H27,坦克个性化细分!$I$3:$J$33,2,FALSE)</f>
        <v>低</v>
      </c>
      <c r="N27" s="219">
        <v>9</v>
      </c>
      <c r="O27" s="227">
        <f>IFERROR(VLOOKUP(VLOOKUP(O$18,$H$3:$K$33,3,FALSE)&amp;VLOOKUP(O$18,$H$3:$K$33,4,FALSE),$B$3:$C$27,2,FALSE)*VLOOKUP($N27,$N$3:$AF$15,MATCH(VLOOKUP(O$18,$H$3:$K$33,3,FALSE)&amp;VLOOKUP(O$18,$H$3:$K$33,4,FALSE),$N$3:$AF$3,0),FALSE),O26)</f>
        <v>156</v>
      </c>
      <c r="P27" s="227">
        <f>IFERROR(VLOOKUP(VLOOKUP(P$18,$H$3:$K$33,3,FALSE)&amp;VLOOKUP(P$18,$H$3:$K$33,4,FALSE),$B$3:$C$27,2,FALSE)*VLOOKUP($N27,$N$3:$AF$15,MATCH(VLOOKUP(P$18,$H$3:$K$33,3,FALSE)&amp;VLOOKUP(P$18,$H$3:$K$33,4,FALSE),$N$3:$AF$3,0),FALSE),P26)</f>
        <v>348</v>
      </c>
      <c r="Q27" s="227">
        <f>IFERROR(VLOOKUP(VLOOKUP(Q$18,$H$3:$K$33,3,FALSE)&amp;VLOOKUP(Q$18,$H$3:$K$33,4,FALSE),$B$3:$C$27,2,FALSE)*VLOOKUP($N27,$N$3:$AF$15,MATCH(VLOOKUP(Q$18,$H$3:$K$33,3,FALSE)&amp;VLOOKUP(Q$18,$H$3:$K$33,4,FALSE),$N$3:$AF$3,0),FALSE),Q26)</f>
        <v>646</v>
      </c>
      <c r="R27" s="227">
        <f>IFERROR(VLOOKUP(VLOOKUP(R$18,$H$3:$K$33,3,FALSE)&amp;VLOOKUP(R$18,$H$3:$K$33,4,FALSE),$B$3:$C$27,2,FALSE)*VLOOKUP($N27,$N$3:$AF$15,MATCH(VLOOKUP(R$18,$H$3:$K$33,3,FALSE)&amp;VLOOKUP(R$18,$H$3:$K$33,4,FALSE),$N$3:$AF$3,0),FALSE),R26)</f>
        <v>1368</v>
      </c>
      <c r="S27" s="227">
        <f>IFERROR(VLOOKUP(VLOOKUP(S$18,$H$3:$K$33,3,FALSE)&amp;VLOOKUP(S$18,$H$3:$K$33,4,FALSE),$B$3:$C$27,2,FALSE)*VLOOKUP($N27,$N$3:$AF$15,MATCH(VLOOKUP(S$18,$H$3:$K$33,3,FALSE)&amp;VLOOKUP(S$18,$H$3:$K$33,4,FALSE),$N$3:$AF$3,0),FALSE),S26)</f>
        <v>1890</v>
      </c>
      <c r="T27" s="227">
        <f>IFERROR(VLOOKUP(VLOOKUP(T$18,$H$3:$K$33,3,FALSE)&amp;VLOOKUP(T$18,$H$3:$K$33,4,FALSE),$B$3:$C$27,2,FALSE)*VLOOKUP($N27,$N$3:$AF$15,MATCH(VLOOKUP(T$18,$H$3:$K$33,3,FALSE)&amp;VLOOKUP(T$18,$H$3:$K$33,4,FALSE),$N$3:$AF$3,0),FALSE),T26)</f>
        <v>2394</v>
      </c>
      <c r="U27" s="227">
        <f>IFERROR(VLOOKUP(VLOOKUP(U$18,$H$3:$K$33,3,FALSE)&amp;VLOOKUP(U$18,$H$3:$K$33,4,FALSE),$B$3:$C$27,2,FALSE)*VLOOKUP($N27,$N$3:$AF$15,MATCH(VLOOKUP(U$18,$H$3:$K$33,3,FALSE)&amp;VLOOKUP(U$18,$H$3:$K$33,4,FALSE),$N$3:$AF$3,0),FALSE),U26)</f>
        <v>4800</v>
      </c>
      <c r="V27" s="227">
        <f>IFERROR(VLOOKUP(VLOOKUP(V$18,$H$3:$K$33,3,FALSE)&amp;VLOOKUP(V$18,$H$3:$K$33,4,FALSE),$B$3:$C$27,2,FALSE)*VLOOKUP($N27,$N$3:$AF$15,MATCH(VLOOKUP(V$18,$H$3:$K$33,3,FALSE)&amp;VLOOKUP(V$18,$H$3:$K$33,4,FALSE),$N$3:$AF$3,0),FALSE),V26)</f>
        <v>6000</v>
      </c>
      <c r="W27" s="227">
        <f>IFERROR(VLOOKUP(VLOOKUP(W$18,$H$3:$K$33,3,FALSE)&amp;VLOOKUP(W$18,$H$3:$K$33,4,FALSE),$B$3:$C$27,2,FALSE)*VLOOKUP($N27,$N$3:$AF$15,MATCH(VLOOKUP(W$18,$H$3:$K$33,3,FALSE)&amp;VLOOKUP(W$18,$H$3:$K$33,4,FALSE),$N$3:$AF$3,0),FALSE),W26)</f>
        <v>7440</v>
      </c>
      <c r="X27" s="227">
        <f>IFERROR(VLOOKUP(VLOOKUP(X$18,$H$3:$K$33,3,FALSE)&amp;VLOOKUP(X$18,$H$3:$K$33,4,FALSE),$B$3:$C$27,2,FALSE)*VLOOKUP($N27,$N$3:$AF$15,MATCH(VLOOKUP(X$18,$H$3:$K$33,3,FALSE)&amp;VLOOKUP(X$18,$H$3:$K$33,4,FALSE),$N$3:$AF$3,0),FALSE),X26)</f>
        <v>13600</v>
      </c>
      <c r="Y27" s="227">
        <f>IFERROR(VLOOKUP(VLOOKUP(Y$18,$H$3:$K$33,3,FALSE)&amp;VLOOKUP(Y$18,$H$3:$K$33,4,FALSE),$B$3:$C$27,2,FALSE)*VLOOKUP($N27,$N$3:$AF$15,MATCH(VLOOKUP(Y$18,$H$3:$K$33,3,FALSE)&amp;VLOOKUP(Y$18,$H$3:$K$33,4,FALSE),$N$3:$AF$3,0),FALSE),Y26)</f>
        <v>156</v>
      </c>
      <c r="Z27" s="227">
        <f>IFERROR(VLOOKUP(VLOOKUP(Z$18,$H$3:$K$33,3,FALSE)&amp;VLOOKUP(Z$18,$H$3:$K$33,4,FALSE),$B$3:$C$27,2,FALSE)*VLOOKUP($N27,$N$3:$AF$15,MATCH(VLOOKUP(Z$18,$H$3:$K$33,3,FALSE)&amp;VLOOKUP(Z$18,$H$3:$K$33,4,FALSE),$N$3:$AF$3,0),FALSE),Z26)</f>
        <v>348</v>
      </c>
      <c r="AA27" s="227">
        <f>IFERROR(VLOOKUP(VLOOKUP(AA$18,$H$3:$K$33,3,FALSE)&amp;VLOOKUP(AA$18,$H$3:$K$33,4,FALSE),$B$3:$C$27,2,FALSE)*VLOOKUP($N27,$N$3:$AF$15,MATCH(VLOOKUP(AA$18,$H$3:$K$33,3,FALSE)&amp;VLOOKUP(AA$18,$H$3:$K$33,4,FALSE),$N$3:$AF$3,0),FALSE),AA26)</f>
        <v>646</v>
      </c>
      <c r="AB27" s="227">
        <f>IFERROR(VLOOKUP(VLOOKUP(AB$18,$H$3:$K$33,3,FALSE)&amp;VLOOKUP(AB$18,$H$3:$K$33,4,FALSE),$B$3:$C$27,2,FALSE)*VLOOKUP($N27,$N$3:$AF$15,MATCH(VLOOKUP(AB$18,$H$3:$K$33,3,FALSE)&amp;VLOOKUP(AB$18,$H$3:$K$33,4,FALSE),$N$3:$AF$3,0),FALSE),AB26)</f>
        <v>1368</v>
      </c>
      <c r="AC27" s="227">
        <f>IFERROR(VLOOKUP(VLOOKUP(AC$18,$H$3:$K$33,3,FALSE)&amp;VLOOKUP(AC$18,$H$3:$K$33,4,FALSE),$B$3:$C$27,2,FALSE)*VLOOKUP($N27,$N$3:$AF$15,MATCH(VLOOKUP(AC$18,$H$3:$K$33,3,FALSE)&amp;VLOOKUP(AC$18,$H$3:$K$33,4,FALSE),$N$3:$AF$3,0),FALSE),AC26)</f>
        <v>1890</v>
      </c>
      <c r="AD27" s="227">
        <f>IFERROR(VLOOKUP(VLOOKUP(AD$18,$H$3:$K$33,3,FALSE)&amp;VLOOKUP(AD$18,$H$3:$K$33,4,FALSE),$B$3:$C$27,2,FALSE)*VLOOKUP($N27,$N$3:$AF$15,MATCH(VLOOKUP(AD$18,$H$3:$K$33,3,FALSE)&amp;VLOOKUP(AD$18,$H$3:$K$33,4,FALSE),$N$3:$AF$3,0),FALSE),AD26)</f>
        <v>2394</v>
      </c>
      <c r="AE27" s="227">
        <f>IFERROR(VLOOKUP(VLOOKUP(AE$18,$H$3:$K$33,3,FALSE)&amp;VLOOKUP(AE$18,$H$3:$K$33,4,FALSE),$B$3:$C$27,2,FALSE)*VLOOKUP($N27,$N$3:$AF$15,MATCH(VLOOKUP(AE$18,$H$3:$K$33,3,FALSE)&amp;VLOOKUP(AE$18,$H$3:$K$33,4,FALSE),$N$3:$AF$3,0),FALSE),AE26)</f>
        <v>4800</v>
      </c>
      <c r="AF27" s="227">
        <f>IFERROR(VLOOKUP(VLOOKUP(AF$18,$H$3:$K$33,3,FALSE)&amp;VLOOKUP(AF$18,$H$3:$K$33,4,FALSE),$B$3:$C$27,2,FALSE)*VLOOKUP($N27,$N$3:$AF$15,MATCH(VLOOKUP(AF$18,$H$3:$K$33,3,FALSE)&amp;VLOOKUP(AF$18,$H$3:$K$33,4,FALSE),$N$3:$AF$3,0),FALSE),AF26)</f>
        <v>6000</v>
      </c>
      <c r="AG27" s="227">
        <f>IFERROR(VLOOKUP(VLOOKUP(AG$18,$H$3:$K$33,3,FALSE)&amp;VLOOKUP(AG$18,$H$3:$K$33,4,FALSE),$B$3:$C$27,2,FALSE)*VLOOKUP($N27,$N$3:$AF$15,MATCH(VLOOKUP(AG$18,$H$3:$K$33,3,FALSE)&amp;VLOOKUP(AG$18,$H$3:$K$33,4,FALSE),$N$3:$AF$3,0),FALSE),AG26)</f>
        <v>7440</v>
      </c>
      <c r="AH27" s="227">
        <f>IFERROR(VLOOKUP(VLOOKUP(AH$18,$H$3:$K$33,3,FALSE)&amp;VLOOKUP(AH$18,$H$3:$K$33,4,FALSE),$B$3:$C$27,2,FALSE)*VLOOKUP($N27,$N$3:$AF$15,MATCH(VLOOKUP(AH$18,$H$3:$K$33,3,FALSE)&amp;VLOOKUP(AH$18,$H$3:$K$33,4,FALSE),$N$3:$AF$3,0),FALSE),AH26)</f>
        <v>13600</v>
      </c>
      <c r="AI27" s="227">
        <f>IFERROR(VLOOKUP(VLOOKUP(AI$18,$H$3:$K$33,3,FALSE)&amp;VLOOKUP(AI$18,$H$3:$K$33,4,FALSE),$B$3:$C$27,2,FALSE)*VLOOKUP($N27,$N$3:$AF$15,MATCH(VLOOKUP(AI$18,$H$3:$K$33,3,FALSE)&amp;VLOOKUP(AI$18,$H$3:$K$33,4,FALSE),$N$3:$AF$3,0),FALSE),AI26)</f>
        <v>156</v>
      </c>
      <c r="AJ27" s="227">
        <f>IFERROR(VLOOKUP(VLOOKUP(AJ$18,$H$3:$K$33,3,FALSE)&amp;VLOOKUP(AJ$18,$H$3:$K$33,4,FALSE),$B$3:$C$27,2,FALSE)*VLOOKUP($N27,$N$3:$AF$15,MATCH(VLOOKUP(AJ$18,$H$3:$K$33,3,FALSE)&amp;VLOOKUP(AJ$18,$H$3:$K$33,4,FALSE),$N$3:$AF$3,0),FALSE),AJ26)</f>
        <v>348</v>
      </c>
      <c r="AK27" s="227">
        <f>IFERROR(VLOOKUP(VLOOKUP(AK$18,$H$3:$K$33,3,FALSE)&amp;VLOOKUP(AK$18,$H$3:$K$33,4,FALSE),$B$3:$C$27,2,FALSE)*VLOOKUP($N27,$N$3:$AF$15,MATCH(VLOOKUP(AK$18,$H$3:$K$33,3,FALSE)&amp;VLOOKUP(AK$18,$H$3:$K$33,4,FALSE),$N$3:$AF$3,0),FALSE),AK26)</f>
        <v>646</v>
      </c>
      <c r="AL27" s="227">
        <f>IFERROR(VLOOKUP(VLOOKUP(AL$18,$H$3:$K$33,3,FALSE)&amp;VLOOKUP(AL$18,$H$3:$K$33,4,FALSE),$B$3:$C$27,2,FALSE)*VLOOKUP($N27,$N$3:$AF$15,MATCH(VLOOKUP(AL$18,$H$3:$K$33,3,FALSE)&amp;VLOOKUP(AL$18,$H$3:$K$33,4,FALSE),$N$3:$AF$3,0),FALSE),AL26)</f>
        <v>1368</v>
      </c>
      <c r="AM27" s="227">
        <f>IFERROR(VLOOKUP(VLOOKUP(AM$18,$H$3:$K$33,3,FALSE)&amp;VLOOKUP(AM$18,$H$3:$K$33,4,FALSE),$B$3:$C$27,2,FALSE)*VLOOKUP($N27,$N$3:$AF$15,MATCH(VLOOKUP(AM$18,$H$3:$K$33,3,FALSE)&amp;VLOOKUP(AM$18,$H$3:$K$33,4,FALSE),$N$3:$AF$3,0),FALSE),AM26)</f>
        <v>1890</v>
      </c>
      <c r="AN27" s="227">
        <f>IFERROR(VLOOKUP(VLOOKUP(AN$18,$H$3:$K$33,3,FALSE)&amp;VLOOKUP(AN$18,$H$3:$K$33,4,FALSE),$B$3:$C$27,2,FALSE)*VLOOKUP($N27,$N$3:$AF$15,MATCH(VLOOKUP(AN$18,$H$3:$K$33,3,FALSE)&amp;VLOOKUP(AN$18,$H$3:$K$33,4,FALSE),$N$3:$AF$3,0),FALSE),AN26)</f>
        <v>2394</v>
      </c>
      <c r="AO27" s="227">
        <f>IFERROR(VLOOKUP(VLOOKUP(AO$18,$H$3:$K$33,3,FALSE)&amp;VLOOKUP(AO$18,$H$3:$K$33,4,FALSE),$B$3:$C$27,2,FALSE)*VLOOKUP($N27,$N$3:$AF$15,MATCH(VLOOKUP(AO$18,$H$3:$K$33,3,FALSE)&amp;VLOOKUP(AO$18,$H$3:$K$33,4,FALSE),$N$3:$AF$3,0),FALSE),AO26)</f>
        <v>4800</v>
      </c>
      <c r="AP27" s="227">
        <f>IFERROR(VLOOKUP(VLOOKUP(AP$18,$H$3:$K$33,3,FALSE)&amp;VLOOKUP(AP$18,$H$3:$K$33,4,FALSE),$B$3:$C$27,2,FALSE)*VLOOKUP($N27,$N$3:$AF$15,MATCH(VLOOKUP(AP$18,$H$3:$K$33,3,FALSE)&amp;VLOOKUP(AP$18,$H$3:$K$33,4,FALSE),$N$3:$AF$3,0),FALSE),AP26)</f>
        <v>6000</v>
      </c>
      <c r="AQ27" s="227">
        <f>IFERROR(VLOOKUP(VLOOKUP(AQ$18,$H$3:$K$33,3,FALSE)&amp;VLOOKUP(AQ$18,$H$3:$K$33,4,FALSE),$B$3:$C$27,2,FALSE)*VLOOKUP($N27,$N$3:$AF$15,MATCH(VLOOKUP(AQ$18,$H$3:$K$33,3,FALSE)&amp;VLOOKUP(AQ$18,$H$3:$K$33,4,FALSE),$N$3:$AF$3,0),FALSE),AQ26)</f>
        <v>7440</v>
      </c>
      <c r="AR27" s="227">
        <f>IFERROR(VLOOKUP(VLOOKUP(AR$18,$H$3:$K$33,3,FALSE)&amp;VLOOKUP(AR$18,$H$3:$K$33,4,FALSE),$B$3:$C$27,2,FALSE)*VLOOKUP($N27,$N$3:$AF$15,MATCH(VLOOKUP(AR$18,$H$3:$K$33,3,FALSE)&amp;VLOOKUP(AR$18,$H$3:$K$33,4,FALSE),$N$3:$AF$3,0),FALSE),AR26)</f>
        <v>13600</v>
      </c>
    </row>
    <row r="28" spans="2:44" x14ac:dyDescent="0.35">
      <c r="B28" s="520" t="s">
        <v>2186</v>
      </c>
      <c r="C28" s="489">
        <f>坦克部件养成!G16</f>
        <v>13.5</v>
      </c>
      <c r="D28" s="299">
        <f>D27</f>
        <v>0.05</v>
      </c>
      <c r="E28" s="159">
        <f>ROUND(C28*D28,0)</f>
        <v>1</v>
      </c>
      <c r="F28" s="159">
        <f>ROUND(E28*$R$73/500,0)*500</f>
        <v>500</v>
      </c>
      <c r="H28" s="219" t="s">
        <v>632</v>
      </c>
      <c r="I28" s="219" t="str">
        <f>VLOOKUP(H28,坦克个性化设定!$B$18:$E$48,3,FALSE)</f>
        <v>重坦</v>
      </c>
      <c r="J28" s="159" t="str">
        <f>VLOOKUP(H28,坦克个性化设定!$B$18:$E$48,4,FALSE)</f>
        <v>T3</v>
      </c>
      <c r="K28" s="159" t="str">
        <f>VLOOKUP(H28,坦克个性化细分!$I$3:$J$33,2,FALSE)</f>
        <v>中</v>
      </c>
      <c r="N28" s="219">
        <v>10</v>
      </c>
      <c r="O28" s="227">
        <f>IFERROR(VLOOKUP(VLOOKUP(O$18,$H$3:$K$33,3,FALSE)&amp;VLOOKUP(O$18,$H$3:$K$33,4,FALSE),$B$3:$C$27,2,FALSE)*VLOOKUP($N28,$N$3:$AF$15,MATCH(VLOOKUP(O$18,$H$3:$K$33,3,FALSE)&amp;VLOOKUP(O$18,$H$3:$K$33,4,FALSE),$N$3:$AF$3,0),FALSE),O27)</f>
        <v>138</v>
      </c>
      <c r="P28" s="227">
        <f>IFERROR(VLOOKUP(VLOOKUP(P$18,$H$3:$K$33,3,FALSE)&amp;VLOOKUP(P$18,$H$3:$K$33,4,FALSE),$B$3:$C$27,2,FALSE)*VLOOKUP($N28,$N$3:$AF$15,MATCH(VLOOKUP(P$18,$H$3:$K$33,3,FALSE)&amp;VLOOKUP(P$18,$H$3:$K$33,4,FALSE),$N$3:$AF$3,0),FALSE),P27)</f>
        <v>312</v>
      </c>
      <c r="Q28" s="227">
        <f>IFERROR(VLOOKUP(VLOOKUP(Q$18,$H$3:$K$33,3,FALSE)&amp;VLOOKUP(Q$18,$H$3:$K$33,4,FALSE),$B$3:$C$27,2,FALSE)*VLOOKUP($N28,$N$3:$AF$15,MATCH(VLOOKUP(Q$18,$H$3:$K$33,3,FALSE)&amp;VLOOKUP(Q$18,$H$3:$K$33,4,FALSE),$N$3:$AF$3,0),FALSE),Q27)</f>
        <v>612</v>
      </c>
      <c r="R28" s="227">
        <f>IFERROR(VLOOKUP(VLOOKUP(R$18,$H$3:$K$33,3,FALSE)&amp;VLOOKUP(R$18,$H$3:$K$33,4,FALSE),$B$3:$C$27,2,FALSE)*VLOOKUP($N28,$N$3:$AF$15,MATCH(VLOOKUP(R$18,$H$3:$K$33,3,FALSE)&amp;VLOOKUP(R$18,$H$3:$K$33,4,FALSE),$N$3:$AF$3,0),FALSE),R27)</f>
        <v>1260</v>
      </c>
      <c r="S28" s="227">
        <f>IFERROR(VLOOKUP(VLOOKUP(S$18,$H$3:$K$33,3,FALSE)&amp;VLOOKUP(S$18,$H$3:$K$33,4,FALSE),$B$3:$C$27,2,FALSE)*VLOOKUP($N28,$N$3:$AF$15,MATCH(VLOOKUP(S$18,$H$3:$K$33,3,FALSE)&amp;VLOOKUP(S$18,$H$3:$K$33,4,FALSE),$N$3:$AF$3,0),FALSE),S27)</f>
        <v>1800</v>
      </c>
      <c r="T28" s="227">
        <f>IFERROR(VLOOKUP(VLOOKUP(T$18,$H$3:$K$33,3,FALSE)&amp;VLOOKUP(T$18,$H$3:$K$33,4,FALSE),$B$3:$C$27,2,FALSE)*VLOOKUP($N28,$N$3:$AF$15,MATCH(VLOOKUP(T$18,$H$3:$K$33,3,FALSE)&amp;VLOOKUP(T$18,$H$3:$K$33,4,FALSE),$N$3:$AF$3,0),FALSE),T27)</f>
        <v>2280</v>
      </c>
      <c r="U28" s="227">
        <f>IFERROR(VLOOKUP(VLOOKUP(U$18,$H$3:$K$33,3,FALSE)&amp;VLOOKUP(U$18,$H$3:$K$33,4,FALSE),$B$3:$C$27,2,FALSE)*VLOOKUP($N28,$N$3:$AF$15,MATCH(VLOOKUP(U$18,$H$3:$K$33,3,FALSE)&amp;VLOOKUP(U$18,$H$3:$K$33,4,FALSE),$N$3:$AF$3,0),FALSE),U27)</f>
        <v>4600</v>
      </c>
      <c r="V28" s="227">
        <f>IFERROR(VLOOKUP(VLOOKUP(V$18,$H$3:$K$33,3,FALSE)&amp;VLOOKUP(V$18,$H$3:$K$33,4,FALSE),$B$3:$C$27,2,FALSE)*VLOOKUP($N28,$N$3:$AF$15,MATCH(VLOOKUP(V$18,$H$3:$K$33,3,FALSE)&amp;VLOOKUP(V$18,$H$3:$K$33,4,FALSE),$N$3:$AF$3,0),FALSE),V27)</f>
        <v>5750</v>
      </c>
      <c r="W28" s="227">
        <f>IFERROR(VLOOKUP(VLOOKUP(W$18,$H$3:$K$33,3,FALSE)&amp;VLOOKUP(W$18,$H$3:$K$33,4,FALSE),$B$3:$C$27,2,FALSE)*VLOOKUP($N28,$N$3:$AF$15,MATCH(VLOOKUP(W$18,$H$3:$K$33,3,FALSE)&amp;VLOOKUP(W$18,$H$3:$K$33,4,FALSE),$N$3:$AF$3,0),FALSE),W27)</f>
        <v>7130</v>
      </c>
      <c r="X28" s="227">
        <f>IFERROR(VLOOKUP(VLOOKUP(X$18,$H$3:$K$33,3,FALSE)&amp;VLOOKUP(X$18,$H$3:$K$33,4,FALSE),$B$3:$C$27,2,FALSE)*VLOOKUP($N28,$N$3:$AF$15,MATCH(VLOOKUP(X$18,$H$3:$K$33,3,FALSE)&amp;VLOOKUP(X$18,$H$3:$K$33,4,FALSE),$N$3:$AF$3,0),FALSE),X27)</f>
        <v>13600</v>
      </c>
      <c r="Y28" s="227">
        <f>IFERROR(VLOOKUP(VLOOKUP(Y$18,$H$3:$K$33,3,FALSE)&amp;VLOOKUP(Y$18,$H$3:$K$33,4,FALSE),$B$3:$C$27,2,FALSE)*VLOOKUP($N28,$N$3:$AF$15,MATCH(VLOOKUP(Y$18,$H$3:$K$33,3,FALSE)&amp;VLOOKUP(Y$18,$H$3:$K$33,4,FALSE),$N$3:$AF$3,0),FALSE),Y27)</f>
        <v>138</v>
      </c>
      <c r="Z28" s="227">
        <f>IFERROR(VLOOKUP(VLOOKUP(Z$18,$H$3:$K$33,3,FALSE)&amp;VLOOKUP(Z$18,$H$3:$K$33,4,FALSE),$B$3:$C$27,2,FALSE)*VLOOKUP($N28,$N$3:$AF$15,MATCH(VLOOKUP(Z$18,$H$3:$K$33,3,FALSE)&amp;VLOOKUP(Z$18,$H$3:$K$33,4,FALSE),$N$3:$AF$3,0),FALSE),Z27)</f>
        <v>312</v>
      </c>
      <c r="AA28" s="227">
        <f>IFERROR(VLOOKUP(VLOOKUP(AA$18,$H$3:$K$33,3,FALSE)&amp;VLOOKUP(AA$18,$H$3:$K$33,4,FALSE),$B$3:$C$27,2,FALSE)*VLOOKUP($N28,$N$3:$AF$15,MATCH(VLOOKUP(AA$18,$H$3:$K$33,3,FALSE)&amp;VLOOKUP(AA$18,$H$3:$K$33,4,FALSE),$N$3:$AF$3,0),FALSE),AA27)</f>
        <v>612</v>
      </c>
      <c r="AB28" s="227">
        <f>IFERROR(VLOOKUP(VLOOKUP(AB$18,$H$3:$K$33,3,FALSE)&amp;VLOOKUP(AB$18,$H$3:$K$33,4,FALSE),$B$3:$C$27,2,FALSE)*VLOOKUP($N28,$N$3:$AF$15,MATCH(VLOOKUP(AB$18,$H$3:$K$33,3,FALSE)&amp;VLOOKUP(AB$18,$H$3:$K$33,4,FALSE),$N$3:$AF$3,0),FALSE),AB27)</f>
        <v>1260</v>
      </c>
      <c r="AC28" s="227">
        <f>IFERROR(VLOOKUP(VLOOKUP(AC$18,$H$3:$K$33,3,FALSE)&amp;VLOOKUP(AC$18,$H$3:$K$33,4,FALSE),$B$3:$C$27,2,FALSE)*VLOOKUP($N28,$N$3:$AF$15,MATCH(VLOOKUP(AC$18,$H$3:$K$33,3,FALSE)&amp;VLOOKUP(AC$18,$H$3:$K$33,4,FALSE),$N$3:$AF$3,0),FALSE),AC27)</f>
        <v>1800</v>
      </c>
      <c r="AD28" s="227">
        <f>IFERROR(VLOOKUP(VLOOKUP(AD$18,$H$3:$K$33,3,FALSE)&amp;VLOOKUP(AD$18,$H$3:$K$33,4,FALSE),$B$3:$C$27,2,FALSE)*VLOOKUP($N28,$N$3:$AF$15,MATCH(VLOOKUP(AD$18,$H$3:$K$33,3,FALSE)&amp;VLOOKUP(AD$18,$H$3:$K$33,4,FALSE),$N$3:$AF$3,0),FALSE),AD27)</f>
        <v>2280</v>
      </c>
      <c r="AE28" s="227">
        <f>IFERROR(VLOOKUP(VLOOKUP(AE$18,$H$3:$K$33,3,FALSE)&amp;VLOOKUP(AE$18,$H$3:$K$33,4,FALSE),$B$3:$C$27,2,FALSE)*VLOOKUP($N28,$N$3:$AF$15,MATCH(VLOOKUP(AE$18,$H$3:$K$33,3,FALSE)&amp;VLOOKUP(AE$18,$H$3:$K$33,4,FALSE),$N$3:$AF$3,0),FALSE),AE27)</f>
        <v>4600</v>
      </c>
      <c r="AF28" s="227">
        <f>IFERROR(VLOOKUP(VLOOKUP(AF$18,$H$3:$K$33,3,FALSE)&amp;VLOOKUP(AF$18,$H$3:$K$33,4,FALSE),$B$3:$C$27,2,FALSE)*VLOOKUP($N28,$N$3:$AF$15,MATCH(VLOOKUP(AF$18,$H$3:$K$33,3,FALSE)&amp;VLOOKUP(AF$18,$H$3:$K$33,4,FALSE),$N$3:$AF$3,0),FALSE),AF27)</f>
        <v>5750</v>
      </c>
      <c r="AG28" s="227">
        <f>IFERROR(VLOOKUP(VLOOKUP(AG$18,$H$3:$K$33,3,FALSE)&amp;VLOOKUP(AG$18,$H$3:$K$33,4,FALSE),$B$3:$C$27,2,FALSE)*VLOOKUP($N28,$N$3:$AF$15,MATCH(VLOOKUP(AG$18,$H$3:$K$33,3,FALSE)&amp;VLOOKUP(AG$18,$H$3:$K$33,4,FALSE),$N$3:$AF$3,0),FALSE),AG27)</f>
        <v>7130</v>
      </c>
      <c r="AH28" s="227">
        <f>IFERROR(VLOOKUP(VLOOKUP(AH$18,$H$3:$K$33,3,FALSE)&amp;VLOOKUP(AH$18,$H$3:$K$33,4,FALSE),$B$3:$C$27,2,FALSE)*VLOOKUP($N28,$N$3:$AF$15,MATCH(VLOOKUP(AH$18,$H$3:$K$33,3,FALSE)&amp;VLOOKUP(AH$18,$H$3:$K$33,4,FALSE),$N$3:$AF$3,0),FALSE),AH27)</f>
        <v>13600</v>
      </c>
      <c r="AI28" s="227">
        <f>IFERROR(VLOOKUP(VLOOKUP(AI$18,$H$3:$K$33,3,FALSE)&amp;VLOOKUP(AI$18,$H$3:$K$33,4,FALSE),$B$3:$C$27,2,FALSE)*VLOOKUP($N28,$N$3:$AF$15,MATCH(VLOOKUP(AI$18,$H$3:$K$33,3,FALSE)&amp;VLOOKUP(AI$18,$H$3:$K$33,4,FALSE),$N$3:$AF$3,0),FALSE),AI27)</f>
        <v>138</v>
      </c>
      <c r="AJ28" s="227">
        <f>IFERROR(VLOOKUP(VLOOKUP(AJ$18,$H$3:$K$33,3,FALSE)&amp;VLOOKUP(AJ$18,$H$3:$K$33,4,FALSE),$B$3:$C$27,2,FALSE)*VLOOKUP($N28,$N$3:$AF$15,MATCH(VLOOKUP(AJ$18,$H$3:$K$33,3,FALSE)&amp;VLOOKUP(AJ$18,$H$3:$K$33,4,FALSE),$N$3:$AF$3,0),FALSE),AJ27)</f>
        <v>312</v>
      </c>
      <c r="AK28" s="227">
        <f>IFERROR(VLOOKUP(VLOOKUP(AK$18,$H$3:$K$33,3,FALSE)&amp;VLOOKUP(AK$18,$H$3:$K$33,4,FALSE),$B$3:$C$27,2,FALSE)*VLOOKUP($N28,$N$3:$AF$15,MATCH(VLOOKUP(AK$18,$H$3:$K$33,3,FALSE)&amp;VLOOKUP(AK$18,$H$3:$K$33,4,FALSE),$N$3:$AF$3,0),FALSE),AK27)</f>
        <v>612</v>
      </c>
      <c r="AL28" s="227">
        <f>IFERROR(VLOOKUP(VLOOKUP(AL$18,$H$3:$K$33,3,FALSE)&amp;VLOOKUP(AL$18,$H$3:$K$33,4,FALSE),$B$3:$C$27,2,FALSE)*VLOOKUP($N28,$N$3:$AF$15,MATCH(VLOOKUP(AL$18,$H$3:$K$33,3,FALSE)&amp;VLOOKUP(AL$18,$H$3:$K$33,4,FALSE),$N$3:$AF$3,0),FALSE),AL27)</f>
        <v>1260</v>
      </c>
      <c r="AM28" s="227">
        <f>IFERROR(VLOOKUP(VLOOKUP(AM$18,$H$3:$K$33,3,FALSE)&amp;VLOOKUP(AM$18,$H$3:$K$33,4,FALSE),$B$3:$C$27,2,FALSE)*VLOOKUP($N28,$N$3:$AF$15,MATCH(VLOOKUP(AM$18,$H$3:$K$33,3,FALSE)&amp;VLOOKUP(AM$18,$H$3:$K$33,4,FALSE),$N$3:$AF$3,0),FALSE),AM27)</f>
        <v>1800</v>
      </c>
      <c r="AN28" s="227">
        <f>IFERROR(VLOOKUP(VLOOKUP(AN$18,$H$3:$K$33,3,FALSE)&amp;VLOOKUP(AN$18,$H$3:$K$33,4,FALSE),$B$3:$C$27,2,FALSE)*VLOOKUP($N28,$N$3:$AF$15,MATCH(VLOOKUP(AN$18,$H$3:$K$33,3,FALSE)&amp;VLOOKUP(AN$18,$H$3:$K$33,4,FALSE),$N$3:$AF$3,0),FALSE),AN27)</f>
        <v>2280</v>
      </c>
      <c r="AO28" s="227">
        <f>IFERROR(VLOOKUP(VLOOKUP(AO$18,$H$3:$K$33,3,FALSE)&amp;VLOOKUP(AO$18,$H$3:$K$33,4,FALSE),$B$3:$C$27,2,FALSE)*VLOOKUP($N28,$N$3:$AF$15,MATCH(VLOOKUP(AO$18,$H$3:$K$33,3,FALSE)&amp;VLOOKUP(AO$18,$H$3:$K$33,4,FALSE),$N$3:$AF$3,0),FALSE),AO27)</f>
        <v>4600</v>
      </c>
      <c r="AP28" s="227">
        <f>IFERROR(VLOOKUP(VLOOKUP(AP$18,$H$3:$K$33,3,FALSE)&amp;VLOOKUP(AP$18,$H$3:$K$33,4,FALSE),$B$3:$C$27,2,FALSE)*VLOOKUP($N28,$N$3:$AF$15,MATCH(VLOOKUP(AP$18,$H$3:$K$33,3,FALSE)&amp;VLOOKUP(AP$18,$H$3:$K$33,4,FALSE),$N$3:$AF$3,0),FALSE),AP27)</f>
        <v>5750</v>
      </c>
      <c r="AQ28" s="227">
        <f>IFERROR(VLOOKUP(VLOOKUP(AQ$18,$H$3:$K$33,3,FALSE)&amp;VLOOKUP(AQ$18,$H$3:$K$33,4,FALSE),$B$3:$C$27,2,FALSE)*VLOOKUP($N28,$N$3:$AF$15,MATCH(VLOOKUP(AQ$18,$H$3:$K$33,3,FALSE)&amp;VLOOKUP(AQ$18,$H$3:$K$33,4,FALSE),$N$3:$AF$3,0),FALSE),AQ27)</f>
        <v>7130</v>
      </c>
      <c r="AR28" s="227">
        <f>IFERROR(VLOOKUP(VLOOKUP(AR$18,$H$3:$K$33,3,FALSE)&amp;VLOOKUP(AR$18,$H$3:$K$33,4,FALSE),$B$3:$C$27,2,FALSE)*VLOOKUP($N28,$N$3:$AF$15,MATCH(VLOOKUP(AR$18,$H$3:$K$33,3,FALSE)&amp;VLOOKUP(AR$18,$H$3:$K$33,4,FALSE),$N$3:$AF$3,0),FALSE),AR27)</f>
        <v>13600</v>
      </c>
    </row>
    <row r="29" spans="2:44" x14ac:dyDescent="0.35">
      <c r="B29" s="520" t="s">
        <v>2181</v>
      </c>
      <c r="C29" s="667" t="e">
        <f>坦克部件养成!G17</f>
        <v>#N/A</v>
      </c>
      <c r="D29" s="299">
        <f>D28</f>
        <v>0.05</v>
      </c>
      <c r="E29" s="159" t="e">
        <f>ROUND(C29*D29,0)</f>
        <v>#N/A</v>
      </c>
      <c r="F29" s="159" t="e">
        <f>ROUND(E29*$R$73/500,0)*500</f>
        <v>#N/A</v>
      </c>
      <c r="H29" s="219" t="s">
        <v>633</v>
      </c>
      <c r="I29" s="219" t="str">
        <f>VLOOKUP(H29,坦克个性化设定!$B$18:$E$48,3,FALSE)</f>
        <v>重坦</v>
      </c>
      <c r="J29" s="159" t="str">
        <f>VLOOKUP(H29,坦克个性化设定!$B$18:$E$48,4,FALSE)</f>
        <v>T3</v>
      </c>
      <c r="K29" s="159" t="str">
        <f>VLOOKUP(H29,坦克个性化细分!$I$3:$J$33,2,FALSE)</f>
        <v>高</v>
      </c>
      <c r="N29" s="219">
        <v>11</v>
      </c>
      <c r="O29" s="227">
        <f>IFERROR(VLOOKUP(VLOOKUP(O$18,$H$3:$K$33,3,FALSE)&amp;VLOOKUP(O$18,$H$3:$K$33,4,FALSE),$B$3:$C$27,2,FALSE)*VLOOKUP($N29,$N$3:$AF$15,MATCH(VLOOKUP(O$18,$H$3:$K$33,3,FALSE)&amp;VLOOKUP(O$18,$H$3:$K$33,4,FALSE),$N$3:$AF$3,0),FALSE),O28)</f>
        <v>120.00000000000031</v>
      </c>
      <c r="P29" s="227">
        <f>IFERROR(VLOOKUP(VLOOKUP(P$18,$H$3:$K$33,3,FALSE)&amp;VLOOKUP(P$18,$H$3:$K$33,4,FALSE),$B$3:$C$27,2,FALSE)*VLOOKUP($N29,$N$3:$AF$15,MATCH(VLOOKUP(P$18,$H$3:$K$33,3,FALSE)&amp;VLOOKUP(P$18,$H$3:$K$33,4,FALSE),$N$3:$AF$3,0),FALSE),P28)</f>
        <v>276</v>
      </c>
      <c r="Q29" s="227">
        <f>IFERROR(VLOOKUP(VLOOKUP(Q$18,$H$3:$K$33,3,FALSE)&amp;VLOOKUP(Q$18,$H$3:$K$33,4,FALSE),$B$3:$C$27,2,FALSE)*VLOOKUP($N29,$N$3:$AF$15,MATCH(VLOOKUP(Q$18,$H$3:$K$33,3,FALSE)&amp;VLOOKUP(Q$18,$H$3:$K$33,4,FALSE),$N$3:$AF$3,0),FALSE),Q28)</f>
        <v>578.00000000000091</v>
      </c>
      <c r="R29" s="227">
        <f>IFERROR(VLOOKUP(VLOOKUP(R$18,$H$3:$K$33,3,FALSE)&amp;VLOOKUP(R$18,$H$3:$K$33,4,FALSE),$B$3:$C$27,2,FALSE)*VLOOKUP($N29,$N$3:$AF$15,MATCH(VLOOKUP(R$18,$H$3:$K$33,3,FALSE)&amp;VLOOKUP(R$18,$H$3:$K$33,4,FALSE),$N$3:$AF$3,0),FALSE),R28)</f>
        <v>1152</v>
      </c>
      <c r="S29" s="227">
        <f>IFERROR(VLOOKUP(VLOOKUP(S$18,$H$3:$K$33,3,FALSE)&amp;VLOOKUP(S$18,$H$3:$K$33,4,FALSE),$B$3:$C$27,2,FALSE)*VLOOKUP($N29,$N$3:$AF$15,MATCH(VLOOKUP(S$18,$H$3:$K$33,3,FALSE)&amp;VLOOKUP(S$18,$H$3:$K$33,4,FALSE),$N$3:$AF$3,0),FALSE),S28)</f>
        <v>1710</v>
      </c>
      <c r="T29" s="227">
        <f>IFERROR(VLOOKUP(VLOOKUP(T$18,$H$3:$K$33,3,FALSE)&amp;VLOOKUP(T$18,$H$3:$K$33,4,FALSE),$B$3:$C$27,2,FALSE)*VLOOKUP($N29,$N$3:$AF$15,MATCH(VLOOKUP(T$18,$H$3:$K$33,3,FALSE)&amp;VLOOKUP(T$18,$H$3:$K$33,4,FALSE),$N$3:$AF$3,0),FALSE),T28)</f>
        <v>2166</v>
      </c>
      <c r="U29" s="227">
        <f>IFERROR(VLOOKUP(VLOOKUP(U$18,$H$3:$K$33,3,FALSE)&amp;VLOOKUP(U$18,$H$3:$K$33,4,FALSE),$B$3:$C$27,2,FALSE)*VLOOKUP($N29,$N$3:$AF$15,MATCH(VLOOKUP(U$18,$H$3:$K$33,3,FALSE)&amp;VLOOKUP(U$18,$H$3:$K$33,4,FALSE),$N$3:$AF$3,0),FALSE),U28)</f>
        <v>4400</v>
      </c>
      <c r="V29" s="227">
        <f>IFERROR(VLOOKUP(VLOOKUP(V$18,$H$3:$K$33,3,FALSE)&amp;VLOOKUP(V$18,$H$3:$K$33,4,FALSE),$B$3:$C$27,2,FALSE)*VLOOKUP($N29,$N$3:$AF$15,MATCH(VLOOKUP(V$18,$H$3:$K$33,3,FALSE)&amp;VLOOKUP(V$18,$H$3:$K$33,4,FALSE),$N$3:$AF$3,0),FALSE),V28)</f>
        <v>5500</v>
      </c>
      <c r="W29" s="227">
        <f>IFERROR(VLOOKUP(VLOOKUP(W$18,$H$3:$K$33,3,FALSE)&amp;VLOOKUP(W$18,$H$3:$K$33,4,FALSE),$B$3:$C$27,2,FALSE)*VLOOKUP($N29,$N$3:$AF$15,MATCH(VLOOKUP(W$18,$H$3:$K$33,3,FALSE)&amp;VLOOKUP(W$18,$H$3:$K$33,4,FALSE),$N$3:$AF$3,0),FALSE),W28)</f>
        <v>6820</v>
      </c>
      <c r="X29" s="227">
        <f>IFERROR(VLOOKUP(VLOOKUP(X$18,$H$3:$K$33,3,FALSE)&amp;VLOOKUP(X$18,$H$3:$K$33,4,FALSE),$B$3:$C$27,2,FALSE)*VLOOKUP($N29,$N$3:$AF$15,MATCH(VLOOKUP(X$18,$H$3:$K$33,3,FALSE)&amp;VLOOKUP(X$18,$H$3:$K$33,4,FALSE),$N$3:$AF$3,0),FALSE),X28)</f>
        <v>13328</v>
      </c>
      <c r="Y29" s="227">
        <f>IFERROR(VLOOKUP(VLOOKUP(Y$18,$H$3:$K$33,3,FALSE)&amp;VLOOKUP(Y$18,$H$3:$K$33,4,FALSE),$B$3:$C$27,2,FALSE)*VLOOKUP($N29,$N$3:$AF$15,MATCH(VLOOKUP(Y$18,$H$3:$K$33,3,FALSE)&amp;VLOOKUP(Y$18,$H$3:$K$33,4,FALSE),$N$3:$AF$3,0),FALSE),Y28)</f>
        <v>120.00000000000031</v>
      </c>
      <c r="Z29" s="227">
        <f>IFERROR(VLOOKUP(VLOOKUP(Z$18,$H$3:$K$33,3,FALSE)&amp;VLOOKUP(Z$18,$H$3:$K$33,4,FALSE),$B$3:$C$27,2,FALSE)*VLOOKUP($N29,$N$3:$AF$15,MATCH(VLOOKUP(Z$18,$H$3:$K$33,3,FALSE)&amp;VLOOKUP(Z$18,$H$3:$K$33,4,FALSE),$N$3:$AF$3,0),FALSE),Z28)</f>
        <v>276</v>
      </c>
      <c r="AA29" s="227">
        <f>IFERROR(VLOOKUP(VLOOKUP(AA$18,$H$3:$K$33,3,FALSE)&amp;VLOOKUP(AA$18,$H$3:$K$33,4,FALSE),$B$3:$C$27,2,FALSE)*VLOOKUP($N29,$N$3:$AF$15,MATCH(VLOOKUP(AA$18,$H$3:$K$33,3,FALSE)&amp;VLOOKUP(AA$18,$H$3:$K$33,4,FALSE),$N$3:$AF$3,0),FALSE),AA28)</f>
        <v>578.00000000000091</v>
      </c>
      <c r="AB29" s="227">
        <f>IFERROR(VLOOKUP(VLOOKUP(AB$18,$H$3:$K$33,3,FALSE)&amp;VLOOKUP(AB$18,$H$3:$K$33,4,FALSE),$B$3:$C$27,2,FALSE)*VLOOKUP($N29,$N$3:$AF$15,MATCH(VLOOKUP(AB$18,$H$3:$K$33,3,FALSE)&amp;VLOOKUP(AB$18,$H$3:$K$33,4,FALSE),$N$3:$AF$3,0),FALSE),AB28)</f>
        <v>1152</v>
      </c>
      <c r="AC29" s="227">
        <f>IFERROR(VLOOKUP(VLOOKUP(AC$18,$H$3:$K$33,3,FALSE)&amp;VLOOKUP(AC$18,$H$3:$K$33,4,FALSE),$B$3:$C$27,2,FALSE)*VLOOKUP($N29,$N$3:$AF$15,MATCH(VLOOKUP(AC$18,$H$3:$K$33,3,FALSE)&amp;VLOOKUP(AC$18,$H$3:$K$33,4,FALSE),$N$3:$AF$3,0),FALSE),AC28)</f>
        <v>1710</v>
      </c>
      <c r="AD29" s="227">
        <f>IFERROR(VLOOKUP(VLOOKUP(AD$18,$H$3:$K$33,3,FALSE)&amp;VLOOKUP(AD$18,$H$3:$K$33,4,FALSE),$B$3:$C$27,2,FALSE)*VLOOKUP($N29,$N$3:$AF$15,MATCH(VLOOKUP(AD$18,$H$3:$K$33,3,FALSE)&amp;VLOOKUP(AD$18,$H$3:$K$33,4,FALSE),$N$3:$AF$3,0),FALSE),AD28)</f>
        <v>2166</v>
      </c>
      <c r="AE29" s="227">
        <f>IFERROR(VLOOKUP(VLOOKUP(AE$18,$H$3:$K$33,3,FALSE)&amp;VLOOKUP(AE$18,$H$3:$K$33,4,FALSE),$B$3:$C$27,2,FALSE)*VLOOKUP($N29,$N$3:$AF$15,MATCH(VLOOKUP(AE$18,$H$3:$K$33,3,FALSE)&amp;VLOOKUP(AE$18,$H$3:$K$33,4,FALSE),$N$3:$AF$3,0),FALSE),AE28)</f>
        <v>4400</v>
      </c>
      <c r="AF29" s="227">
        <f>IFERROR(VLOOKUP(VLOOKUP(AF$18,$H$3:$K$33,3,FALSE)&amp;VLOOKUP(AF$18,$H$3:$K$33,4,FALSE),$B$3:$C$27,2,FALSE)*VLOOKUP($N29,$N$3:$AF$15,MATCH(VLOOKUP(AF$18,$H$3:$K$33,3,FALSE)&amp;VLOOKUP(AF$18,$H$3:$K$33,4,FALSE),$N$3:$AF$3,0),FALSE),AF28)</f>
        <v>5500</v>
      </c>
      <c r="AG29" s="227">
        <f>IFERROR(VLOOKUP(VLOOKUP(AG$18,$H$3:$K$33,3,FALSE)&amp;VLOOKUP(AG$18,$H$3:$K$33,4,FALSE),$B$3:$C$27,2,FALSE)*VLOOKUP($N29,$N$3:$AF$15,MATCH(VLOOKUP(AG$18,$H$3:$K$33,3,FALSE)&amp;VLOOKUP(AG$18,$H$3:$K$33,4,FALSE),$N$3:$AF$3,0),FALSE),AG28)</f>
        <v>6820</v>
      </c>
      <c r="AH29" s="227">
        <f>IFERROR(VLOOKUP(VLOOKUP(AH$18,$H$3:$K$33,3,FALSE)&amp;VLOOKUP(AH$18,$H$3:$K$33,4,FALSE),$B$3:$C$27,2,FALSE)*VLOOKUP($N29,$N$3:$AF$15,MATCH(VLOOKUP(AH$18,$H$3:$K$33,3,FALSE)&amp;VLOOKUP(AH$18,$H$3:$K$33,4,FALSE),$N$3:$AF$3,0),FALSE),AH28)</f>
        <v>13328</v>
      </c>
      <c r="AI29" s="227">
        <f>IFERROR(VLOOKUP(VLOOKUP(AI$18,$H$3:$K$33,3,FALSE)&amp;VLOOKUP(AI$18,$H$3:$K$33,4,FALSE),$B$3:$C$27,2,FALSE)*VLOOKUP($N29,$N$3:$AF$15,MATCH(VLOOKUP(AI$18,$H$3:$K$33,3,FALSE)&amp;VLOOKUP(AI$18,$H$3:$K$33,4,FALSE),$N$3:$AF$3,0),FALSE),AI28)</f>
        <v>120.00000000000031</v>
      </c>
      <c r="AJ29" s="227">
        <f>IFERROR(VLOOKUP(VLOOKUP(AJ$18,$H$3:$K$33,3,FALSE)&amp;VLOOKUP(AJ$18,$H$3:$K$33,4,FALSE),$B$3:$C$27,2,FALSE)*VLOOKUP($N29,$N$3:$AF$15,MATCH(VLOOKUP(AJ$18,$H$3:$K$33,3,FALSE)&amp;VLOOKUP(AJ$18,$H$3:$K$33,4,FALSE),$N$3:$AF$3,0),FALSE),AJ28)</f>
        <v>276</v>
      </c>
      <c r="AK29" s="227">
        <f>IFERROR(VLOOKUP(VLOOKUP(AK$18,$H$3:$K$33,3,FALSE)&amp;VLOOKUP(AK$18,$H$3:$K$33,4,FALSE),$B$3:$C$27,2,FALSE)*VLOOKUP($N29,$N$3:$AF$15,MATCH(VLOOKUP(AK$18,$H$3:$K$33,3,FALSE)&amp;VLOOKUP(AK$18,$H$3:$K$33,4,FALSE),$N$3:$AF$3,0),FALSE),AK28)</f>
        <v>578.00000000000091</v>
      </c>
      <c r="AL29" s="227">
        <f>IFERROR(VLOOKUP(VLOOKUP(AL$18,$H$3:$K$33,3,FALSE)&amp;VLOOKUP(AL$18,$H$3:$K$33,4,FALSE),$B$3:$C$27,2,FALSE)*VLOOKUP($N29,$N$3:$AF$15,MATCH(VLOOKUP(AL$18,$H$3:$K$33,3,FALSE)&amp;VLOOKUP(AL$18,$H$3:$K$33,4,FALSE),$N$3:$AF$3,0),FALSE),AL28)</f>
        <v>1152</v>
      </c>
      <c r="AM29" s="227">
        <f>IFERROR(VLOOKUP(VLOOKUP(AM$18,$H$3:$K$33,3,FALSE)&amp;VLOOKUP(AM$18,$H$3:$K$33,4,FALSE),$B$3:$C$27,2,FALSE)*VLOOKUP($N29,$N$3:$AF$15,MATCH(VLOOKUP(AM$18,$H$3:$K$33,3,FALSE)&amp;VLOOKUP(AM$18,$H$3:$K$33,4,FALSE),$N$3:$AF$3,0),FALSE),AM28)</f>
        <v>1710</v>
      </c>
      <c r="AN29" s="227">
        <f>IFERROR(VLOOKUP(VLOOKUP(AN$18,$H$3:$K$33,3,FALSE)&amp;VLOOKUP(AN$18,$H$3:$K$33,4,FALSE),$B$3:$C$27,2,FALSE)*VLOOKUP($N29,$N$3:$AF$15,MATCH(VLOOKUP(AN$18,$H$3:$K$33,3,FALSE)&amp;VLOOKUP(AN$18,$H$3:$K$33,4,FALSE),$N$3:$AF$3,0),FALSE),AN28)</f>
        <v>2166</v>
      </c>
      <c r="AO29" s="227">
        <f>IFERROR(VLOOKUP(VLOOKUP(AO$18,$H$3:$K$33,3,FALSE)&amp;VLOOKUP(AO$18,$H$3:$K$33,4,FALSE),$B$3:$C$27,2,FALSE)*VLOOKUP($N29,$N$3:$AF$15,MATCH(VLOOKUP(AO$18,$H$3:$K$33,3,FALSE)&amp;VLOOKUP(AO$18,$H$3:$K$33,4,FALSE),$N$3:$AF$3,0),FALSE),AO28)</f>
        <v>4400</v>
      </c>
      <c r="AP29" s="227">
        <f>IFERROR(VLOOKUP(VLOOKUP(AP$18,$H$3:$K$33,3,FALSE)&amp;VLOOKUP(AP$18,$H$3:$K$33,4,FALSE),$B$3:$C$27,2,FALSE)*VLOOKUP($N29,$N$3:$AF$15,MATCH(VLOOKUP(AP$18,$H$3:$K$33,3,FALSE)&amp;VLOOKUP(AP$18,$H$3:$K$33,4,FALSE),$N$3:$AF$3,0),FALSE),AP28)</f>
        <v>5500</v>
      </c>
      <c r="AQ29" s="227">
        <f>IFERROR(VLOOKUP(VLOOKUP(AQ$18,$H$3:$K$33,3,FALSE)&amp;VLOOKUP(AQ$18,$H$3:$K$33,4,FALSE),$B$3:$C$27,2,FALSE)*VLOOKUP($N29,$N$3:$AF$15,MATCH(VLOOKUP(AQ$18,$H$3:$K$33,3,FALSE)&amp;VLOOKUP(AQ$18,$H$3:$K$33,4,FALSE),$N$3:$AF$3,0),FALSE),AQ28)</f>
        <v>6820</v>
      </c>
      <c r="AR29" s="227">
        <f>IFERROR(VLOOKUP(VLOOKUP(AR$18,$H$3:$K$33,3,FALSE)&amp;VLOOKUP(AR$18,$H$3:$K$33,4,FALSE),$B$3:$C$27,2,FALSE)*VLOOKUP($N29,$N$3:$AF$15,MATCH(VLOOKUP(AR$18,$H$3:$K$33,3,FALSE)&amp;VLOOKUP(AR$18,$H$3:$K$33,4,FALSE),$N$3:$AF$3,0),FALSE),AR28)</f>
        <v>13328</v>
      </c>
    </row>
    <row r="30" spans="2:44" x14ac:dyDescent="0.35">
      <c r="B30" s="520" t="s">
        <v>2183</v>
      </c>
      <c r="C30" s="667" t="e">
        <f>坦克部件养成!G18</f>
        <v>#N/A</v>
      </c>
      <c r="D30" s="299">
        <f>D29</f>
        <v>0.05</v>
      </c>
      <c r="E30" s="159" t="e">
        <f>ROUND(C30*D30,0)</f>
        <v>#N/A</v>
      </c>
      <c r="F30" s="159" t="e">
        <f>ROUND(E30*$R$73/500,0)*500</f>
        <v>#N/A</v>
      </c>
      <c r="H30" s="219" t="s">
        <v>635</v>
      </c>
      <c r="I30" s="219" t="str">
        <f>VLOOKUP(H30,坦克个性化设定!$B$18:$E$48,3,FALSE)</f>
        <v>重坦</v>
      </c>
      <c r="J30" s="159" t="str">
        <f>VLOOKUP(H30,坦克个性化设定!$B$18:$E$48,4,FALSE)</f>
        <v>T4</v>
      </c>
      <c r="K30" s="159" t="str">
        <f>VLOOKUP(H30,坦克个性化细分!$I$3:$J$33,2,FALSE)</f>
        <v>低</v>
      </c>
      <c r="N30" s="219">
        <v>12</v>
      </c>
      <c r="O30" s="227">
        <f>IFERROR(VLOOKUP(VLOOKUP(O$18,$H$3:$K$33,3,FALSE)&amp;VLOOKUP(O$18,$H$3:$K$33,4,FALSE),$B$3:$C$27,2,FALSE)*VLOOKUP($N30,$N$3:$AF$15,MATCH(VLOOKUP(O$18,$H$3:$K$33,3,FALSE)&amp;VLOOKUP(O$18,$H$3:$K$33,4,FALSE),$N$3:$AF$3,0),FALSE),O29)</f>
        <v>102.00000000000031</v>
      </c>
      <c r="P30" s="227">
        <f>IFERROR(VLOOKUP(VLOOKUP(P$18,$H$3:$K$33,3,FALSE)&amp;VLOOKUP(P$18,$H$3:$K$33,4,FALSE),$B$3:$C$27,2,FALSE)*VLOOKUP($N30,$N$3:$AF$15,MATCH(VLOOKUP(P$18,$H$3:$K$33,3,FALSE)&amp;VLOOKUP(P$18,$H$3:$K$33,4,FALSE),$N$3:$AF$3,0),FALSE),P29)</f>
        <v>240.00000000000063</v>
      </c>
      <c r="Q30" s="227">
        <f>IFERROR(VLOOKUP(VLOOKUP(Q$18,$H$3:$K$33,3,FALSE)&amp;VLOOKUP(Q$18,$H$3:$K$33,4,FALSE),$B$3:$C$27,2,FALSE)*VLOOKUP($N30,$N$3:$AF$15,MATCH(VLOOKUP(Q$18,$H$3:$K$33,3,FALSE)&amp;VLOOKUP(Q$18,$H$3:$K$33,4,FALSE),$N$3:$AF$3,0),FALSE),Q29)</f>
        <v>544.00000000000091</v>
      </c>
      <c r="R30" s="227">
        <f>IFERROR(VLOOKUP(VLOOKUP(R$18,$H$3:$K$33,3,FALSE)&amp;VLOOKUP(R$18,$H$3:$K$33,4,FALSE),$B$3:$C$27,2,FALSE)*VLOOKUP($N30,$N$3:$AF$15,MATCH(VLOOKUP(R$18,$H$3:$K$33,3,FALSE)&amp;VLOOKUP(R$18,$H$3:$K$33,4,FALSE),$N$3:$AF$3,0),FALSE),R29)</f>
        <v>1044</v>
      </c>
      <c r="S30" s="227">
        <f>IFERROR(VLOOKUP(VLOOKUP(S$18,$H$3:$K$33,3,FALSE)&amp;VLOOKUP(S$18,$H$3:$K$33,4,FALSE),$B$3:$C$27,2,FALSE)*VLOOKUP($N30,$N$3:$AF$15,MATCH(VLOOKUP(S$18,$H$3:$K$33,3,FALSE)&amp;VLOOKUP(S$18,$H$3:$K$33,4,FALSE),$N$3:$AF$3,0),FALSE),S29)</f>
        <v>1620</v>
      </c>
      <c r="T30" s="227">
        <f>IFERROR(VLOOKUP(VLOOKUP(T$18,$H$3:$K$33,3,FALSE)&amp;VLOOKUP(T$18,$H$3:$K$33,4,FALSE),$B$3:$C$27,2,FALSE)*VLOOKUP($N30,$N$3:$AF$15,MATCH(VLOOKUP(T$18,$H$3:$K$33,3,FALSE)&amp;VLOOKUP(T$18,$H$3:$K$33,4,FALSE),$N$3:$AF$3,0),FALSE),T29)</f>
        <v>2052</v>
      </c>
      <c r="U30" s="227">
        <f>IFERROR(VLOOKUP(VLOOKUP(U$18,$H$3:$K$33,3,FALSE)&amp;VLOOKUP(U$18,$H$3:$K$33,4,FALSE),$B$3:$C$27,2,FALSE)*VLOOKUP($N30,$N$3:$AF$15,MATCH(VLOOKUP(U$18,$H$3:$K$33,3,FALSE)&amp;VLOOKUP(U$18,$H$3:$K$33,4,FALSE),$N$3:$AF$3,0),FALSE),U29)</f>
        <v>4200</v>
      </c>
      <c r="V30" s="227">
        <f>IFERROR(VLOOKUP(VLOOKUP(V$18,$H$3:$K$33,3,FALSE)&amp;VLOOKUP(V$18,$H$3:$K$33,4,FALSE),$B$3:$C$27,2,FALSE)*VLOOKUP($N30,$N$3:$AF$15,MATCH(VLOOKUP(V$18,$H$3:$K$33,3,FALSE)&amp;VLOOKUP(V$18,$H$3:$K$33,4,FALSE),$N$3:$AF$3,0),FALSE),V29)</f>
        <v>5250</v>
      </c>
      <c r="W30" s="227">
        <f>IFERROR(VLOOKUP(VLOOKUP(W$18,$H$3:$K$33,3,FALSE)&amp;VLOOKUP(W$18,$H$3:$K$33,4,FALSE),$B$3:$C$27,2,FALSE)*VLOOKUP($N30,$N$3:$AF$15,MATCH(VLOOKUP(W$18,$H$3:$K$33,3,FALSE)&amp;VLOOKUP(W$18,$H$3:$K$33,4,FALSE),$N$3:$AF$3,0),FALSE),W29)</f>
        <v>6510</v>
      </c>
      <c r="X30" s="227">
        <f>IFERROR(VLOOKUP(VLOOKUP(X$18,$H$3:$K$33,3,FALSE)&amp;VLOOKUP(X$18,$H$3:$K$33,4,FALSE),$B$3:$C$27,2,FALSE)*VLOOKUP($N30,$N$3:$AF$15,MATCH(VLOOKUP(X$18,$H$3:$K$33,3,FALSE)&amp;VLOOKUP(X$18,$H$3:$K$33,4,FALSE),$N$3:$AF$3,0),FALSE),X29)</f>
        <v>13056</v>
      </c>
      <c r="Y30" s="227">
        <f>IFERROR(VLOOKUP(VLOOKUP(Y$18,$H$3:$K$33,3,FALSE)&amp;VLOOKUP(Y$18,$H$3:$K$33,4,FALSE),$B$3:$C$27,2,FALSE)*VLOOKUP($N30,$N$3:$AF$15,MATCH(VLOOKUP(Y$18,$H$3:$K$33,3,FALSE)&amp;VLOOKUP(Y$18,$H$3:$K$33,4,FALSE),$N$3:$AF$3,0),FALSE),Y29)</f>
        <v>102.00000000000031</v>
      </c>
      <c r="Z30" s="227">
        <f>IFERROR(VLOOKUP(VLOOKUP(Z$18,$H$3:$K$33,3,FALSE)&amp;VLOOKUP(Z$18,$H$3:$K$33,4,FALSE),$B$3:$C$27,2,FALSE)*VLOOKUP($N30,$N$3:$AF$15,MATCH(VLOOKUP(Z$18,$H$3:$K$33,3,FALSE)&amp;VLOOKUP(Z$18,$H$3:$K$33,4,FALSE),$N$3:$AF$3,0),FALSE),Z29)</f>
        <v>240.00000000000063</v>
      </c>
      <c r="AA30" s="227">
        <f>IFERROR(VLOOKUP(VLOOKUP(AA$18,$H$3:$K$33,3,FALSE)&amp;VLOOKUP(AA$18,$H$3:$K$33,4,FALSE),$B$3:$C$27,2,FALSE)*VLOOKUP($N30,$N$3:$AF$15,MATCH(VLOOKUP(AA$18,$H$3:$K$33,3,FALSE)&amp;VLOOKUP(AA$18,$H$3:$K$33,4,FALSE),$N$3:$AF$3,0),FALSE),AA29)</f>
        <v>544.00000000000091</v>
      </c>
      <c r="AB30" s="227">
        <f>IFERROR(VLOOKUP(VLOOKUP(AB$18,$H$3:$K$33,3,FALSE)&amp;VLOOKUP(AB$18,$H$3:$K$33,4,FALSE),$B$3:$C$27,2,FALSE)*VLOOKUP($N30,$N$3:$AF$15,MATCH(VLOOKUP(AB$18,$H$3:$K$33,3,FALSE)&amp;VLOOKUP(AB$18,$H$3:$K$33,4,FALSE),$N$3:$AF$3,0),FALSE),AB29)</f>
        <v>1044</v>
      </c>
      <c r="AC30" s="227">
        <f>IFERROR(VLOOKUP(VLOOKUP(AC$18,$H$3:$K$33,3,FALSE)&amp;VLOOKUP(AC$18,$H$3:$K$33,4,FALSE),$B$3:$C$27,2,FALSE)*VLOOKUP($N30,$N$3:$AF$15,MATCH(VLOOKUP(AC$18,$H$3:$K$33,3,FALSE)&amp;VLOOKUP(AC$18,$H$3:$K$33,4,FALSE),$N$3:$AF$3,0),FALSE),AC29)</f>
        <v>1620</v>
      </c>
      <c r="AD30" s="227">
        <f>IFERROR(VLOOKUP(VLOOKUP(AD$18,$H$3:$K$33,3,FALSE)&amp;VLOOKUP(AD$18,$H$3:$K$33,4,FALSE),$B$3:$C$27,2,FALSE)*VLOOKUP($N30,$N$3:$AF$15,MATCH(VLOOKUP(AD$18,$H$3:$K$33,3,FALSE)&amp;VLOOKUP(AD$18,$H$3:$K$33,4,FALSE),$N$3:$AF$3,0),FALSE),AD29)</f>
        <v>2052</v>
      </c>
      <c r="AE30" s="227">
        <f>IFERROR(VLOOKUP(VLOOKUP(AE$18,$H$3:$K$33,3,FALSE)&amp;VLOOKUP(AE$18,$H$3:$K$33,4,FALSE),$B$3:$C$27,2,FALSE)*VLOOKUP($N30,$N$3:$AF$15,MATCH(VLOOKUP(AE$18,$H$3:$K$33,3,FALSE)&amp;VLOOKUP(AE$18,$H$3:$K$33,4,FALSE),$N$3:$AF$3,0),FALSE),AE29)</f>
        <v>4200</v>
      </c>
      <c r="AF30" s="227">
        <f>IFERROR(VLOOKUP(VLOOKUP(AF$18,$H$3:$K$33,3,FALSE)&amp;VLOOKUP(AF$18,$H$3:$K$33,4,FALSE),$B$3:$C$27,2,FALSE)*VLOOKUP($N30,$N$3:$AF$15,MATCH(VLOOKUP(AF$18,$H$3:$K$33,3,FALSE)&amp;VLOOKUP(AF$18,$H$3:$K$33,4,FALSE),$N$3:$AF$3,0),FALSE),AF29)</f>
        <v>5250</v>
      </c>
      <c r="AG30" s="227">
        <f>IFERROR(VLOOKUP(VLOOKUP(AG$18,$H$3:$K$33,3,FALSE)&amp;VLOOKUP(AG$18,$H$3:$K$33,4,FALSE),$B$3:$C$27,2,FALSE)*VLOOKUP($N30,$N$3:$AF$15,MATCH(VLOOKUP(AG$18,$H$3:$K$33,3,FALSE)&amp;VLOOKUP(AG$18,$H$3:$K$33,4,FALSE),$N$3:$AF$3,0),FALSE),AG29)</f>
        <v>6510</v>
      </c>
      <c r="AH30" s="227">
        <f>IFERROR(VLOOKUP(VLOOKUP(AH$18,$H$3:$K$33,3,FALSE)&amp;VLOOKUP(AH$18,$H$3:$K$33,4,FALSE),$B$3:$C$27,2,FALSE)*VLOOKUP($N30,$N$3:$AF$15,MATCH(VLOOKUP(AH$18,$H$3:$K$33,3,FALSE)&amp;VLOOKUP(AH$18,$H$3:$K$33,4,FALSE),$N$3:$AF$3,0),FALSE),AH29)</f>
        <v>13056</v>
      </c>
      <c r="AI30" s="227">
        <f>IFERROR(VLOOKUP(VLOOKUP(AI$18,$H$3:$K$33,3,FALSE)&amp;VLOOKUP(AI$18,$H$3:$K$33,4,FALSE),$B$3:$C$27,2,FALSE)*VLOOKUP($N30,$N$3:$AF$15,MATCH(VLOOKUP(AI$18,$H$3:$K$33,3,FALSE)&amp;VLOOKUP(AI$18,$H$3:$K$33,4,FALSE),$N$3:$AF$3,0),FALSE),AI29)</f>
        <v>102.00000000000031</v>
      </c>
      <c r="AJ30" s="227">
        <f>IFERROR(VLOOKUP(VLOOKUP(AJ$18,$H$3:$K$33,3,FALSE)&amp;VLOOKUP(AJ$18,$H$3:$K$33,4,FALSE),$B$3:$C$27,2,FALSE)*VLOOKUP($N30,$N$3:$AF$15,MATCH(VLOOKUP(AJ$18,$H$3:$K$33,3,FALSE)&amp;VLOOKUP(AJ$18,$H$3:$K$33,4,FALSE),$N$3:$AF$3,0),FALSE),AJ29)</f>
        <v>240.00000000000063</v>
      </c>
      <c r="AK30" s="227">
        <f>IFERROR(VLOOKUP(VLOOKUP(AK$18,$H$3:$K$33,3,FALSE)&amp;VLOOKUP(AK$18,$H$3:$K$33,4,FALSE),$B$3:$C$27,2,FALSE)*VLOOKUP($N30,$N$3:$AF$15,MATCH(VLOOKUP(AK$18,$H$3:$K$33,3,FALSE)&amp;VLOOKUP(AK$18,$H$3:$K$33,4,FALSE),$N$3:$AF$3,0),FALSE),AK29)</f>
        <v>544.00000000000091</v>
      </c>
      <c r="AL30" s="227">
        <f>IFERROR(VLOOKUP(VLOOKUP(AL$18,$H$3:$K$33,3,FALSE)&amp;VLOOKUP(AL$18,$H$3:$K$33,4,FALSE),$B$3:$C$27,2,FALSE)*VLOOKUP($N30,$N$3:$AF$15,MATCH(VLOOKUP(AL$18,$H$3:$K$33,3,FALSE)&amp;VLOOKUP(AL$18,$H$3:$K$33,4,FALSE),$N$3:$AF$3,0),FALSE),AL29)</f>
        <v>1044</v>
      </c>
      <c r="AM30" s="227">
        <f>IFERROR(VLOOKUP(VLOOKUP(AM$18,$H$3:$K$33,3,FALSE)&amp;VLOOKUP(AM$18,$H$3:$K$33,4,FALSE),$B$3:$C$27,2,FALSE)*VLOOKUP($N30,$N$3:$AF$15,MATCH(VLOOKUP(AM$18,$H$3:$K$33,3,FALSE)&amp;VLOOKUP(AM$18,$H$3:$K$33,4,FALSE),$N$3:$AF$3,0),FALSE),AM29)</f>
        <v>1620</v>
      </c>
      <c r="AN30" s="227">
        <f>IFERROR(VLOOKUP(VLOOKUP(AN$18,$H$3:$K$33,3,FALSE)&amp;VLOOKUP(AN$18,$H$3:$K$33,4,FALSE),$B$3:$C$27,2,FALSE)*VLOOKUP($N30,$N$3:$AF$15,MATCH(VLOOKUP(AN$18,$H$3:$K$33,3,FALSE)&amp;VLOOKUP(AN$18,$H$3:$K$33,4,FALSE),$N$3:$AF$3,0),FALSE),AN29)</f>
        <v>2052</v>
      </c>
      <c r="AO30" s="227">
        <f>IFERROR(VLOOKUP(VLOOKUP(AO$18,$H$3:$K$33,3,FALSE)&amp;VLOOKUP(AO$18,$H$3:$K$33,4,FALSE),$B$3:$C$27,2,FALSE)*VLOOKUP($N30,$N$3:$AF$15,MATCH(VLOOKUP(AO$18,$H$3:$K$33,3,FALSE)&amp;VLOOKUP(AO$18,$H$3:$K$33,4,FALSE),$N$3:$AF$3,0),FALSE),AO29)</f>
        <v>4200</v>
      </c>
      <c r="AP30" s="227">
        <f>IFERROR(VLOOKUP(VLOOKUP(AP$18,$H$3:$K$33,3,FALSE)&amp;VLOOKUP(AP$18,$H$3:$K$33,4,FALSE),$B$3:$C$27,2,FALSE)*VLOOKUP($N30,$N$3:$AF$15,MATCH(VLOOKUP(AP$18,$H$3:$K$33,3,FALSE)&amp;VLOOKUP(AP$18,$H$3:$K$33,4,FALSE),$N$3:$AF$3,0),FALSE),AP29)</f>
        <v>5250</v>
      </c>
      <c r="AQ30" s="227">
        <f>IFERROR(VLOOKUP(VLOOKUP(AQ$18,$H$3:$K$33,3,FALSE)&amp;VLOOKUP(AQ$18,$H$3:$K$33,4,FALSE),$B$3:$C$27,2,FALSE)*VLOOKUP($N30,$N$3:$AF$15,MATCH(VLOOKUP(AQ$18,$H$3:$K$33,3,FALSE)&amp;VLOOKUP(AQ$18,$H$3:$K$33,4,FALSE),$N$3:$AF$3,0),FALSE),AQ29)</f>
        <v>6510</v>
      </c>
      <c r="AR30" s="227">
        <f>IFERROR(VLOOKUP(VLOOKUP(AR$18,$H$3:$K$33,3,FALSE)&amp;VLOOKUP(AR$18,$H$3:$K$33,4,FALSE),$B$3:$C$27,2,FALSE)*VLOOKUP($N30,$N$3:$AF$15,MATCH(VLOOKUP(AR$18,$H$3:$K$33,3,FALSE)&amp;VLOOKUP(AR$18,$H$3:$K$33,4,FALSE),$N$3:$AF$3,0),FALSE),AR29)</f>
        <v>13056</v>
      </c>
    </row>
    <row r="31" spans="2:44" x14ac:dyDescent="0.35">
      <c r="H31" s="219" t="s">
        <v>629</v>
      </c>
      <c r="I31" s="219" t="str">
        <f>VLOOKUP(H31,坦克个性化设定!$B$18:$E$48,3,FALSE)</f>
        <v>重坦</v>
      </c>
      <c r="J31" s="159" t="str">
        <f>VLOOKUP(H31,坦克个性化设定!$B$18:$E$48,4,FALSE)</f>
        <v>T4</v>
      </c>
      <c r="K31" s="159" t="str">
        <f>VLOOKUP(H31,坦克个性化细分!$I$3:$J$33,2,FALSE)</f>
        <v>中</v>
      </c>
      <c r="N31" s="219">
        <v>13</v>
      </c>
      <c r="O31" s="227">
        <f>IFERROR(VLOOKUP(VLOOKUP(O$18,$H$3:$K$33,3,FALSE)&amp;VLOOKUP(O$18,$H$3:$K$33,4,FALSE),$B$3:$C$27,2,FALSE)*VLOOKUP($N31,$N$3:$AF$15,MATCH(VLOOKUP(O$18,$H$3:$K$33,3,FALSE)&amp;VLOOKUP(O$18,$H$3:$K$33,4,FALSE),$N$3:$AF$3,0),FALSE),O30)</f>
        <v>102.00000000000031</v>
      </c>
      <c r="P31" s="227">
        <f>IFERROR(VLOOKUP(VLOOKUP(P$18,$H$3:$K$33,3,FALSE)&amp;VLOOKUP(P$18,$H$3:$K$33,4,FALSE),$B$3:$C$27,2,FALSE)*VLOOKUP($N31,$N$3:$AF$15,MATCH(VLOOKUP(P$18,$H$3:$K$33,3,FALSE)&amp;VLOOKUP(P$18,$H$3:$K$33,4,FALSE),$N$3:$AF$3,0),FALSE),P30)</f>
        <v>240.00000000000063</v>
      </c>
      <c r="Q31" s="227">
        <f>IFERROR(VLOOKUP(VLOOKUP(Q$18,$H$3:$K$33,3,FALSE)&amp;VLOOKUP(Q$18,$H$3:$K$33,4,FALSE),$B$3:$C$27,2,FALSE)*VLOOKUP($N31,$N$3:$AF$15,MATCH(VLOOKUP(Q$18,$H$3:$K$33,3,FALSE)&amp;VLOOKUP(Q$18,$H$3:$K$33,4,FALSE),$N$3:$AF$3,0),FALSE),Q30)</f>
        <v>544.00000000000091</v>
      </c>
      <c r="R31" s="227">
        <f>IFERROR(VLOOKUP(VLOOKUP(R$18,$H$3:$K$33,3,FALSE)&amp;VLOOKUP(R$18,$H$3:$K$33,4,FALSE),$B$3:$C$27,2,FALSE)*VLOOKUP($N31,$N$3:$AF$15,MATCH(VLOOKUP(R$18,$H$3:$K$33,3,FALSE)&amp;VLOOKUP(R$18,$H$3:$K$33,4,FALSE),$N$3:$AF$3,0),FALSE),R30)</f>
        <v>1044</v>
      </c>
      <c r="S31" s="227">
        <f>IFERROR(VLOOKUP(VLOOKUP(S$18,$H$3:$K$33,3,FALSE)&amp;VLOOKUP(S$18,$H$3:$K$33,4,FALSE),$B$3:$C$27,2,FALSE)*VLOOKUP($N31,$N$3:$AF$15,MATCH(VLOOKUP(S$18,$H$3:$K$33,3,FALSE)&amp;VLOOKUP(S$18,$H$3:$K$33,4,FALSE),$N$3:$AF$3,0),FALSE),S30)</f>
        <v>1620</v>
      </c>
      <c r="T31" s="227">
        <f>IFERROR(VLOOKUP(VLOOKUP(T$18,$H$3:$K$33,3,FALSE)&amp;VLOOKUP(T$18,$H$3:$K$33,4,FALSE),$B$3:$C$27,2,FALSE)*VLOOKUP($N31,$N$3:$AF$15,MATCH(VLOOKUP(T$18,$H$3:$K$33,3,FALSE)&amp;VLOOKUP(T$18,$H$3:$K$33,4,FALSE),$N$3:$AF$3,0),FALSE),T30)</f>
        <v>2052</v>
      </c>
      <c r="U31" s="227">
        <f>IFERROR(VLOOKUP(VLOOKUP(U$18,$H$3:$K$33,3,FALSE)&amp;VLOOKUP(U$18,$H$3:$K$33,4,FALSE),$B$3:$C$27,2,FALSE)*VLOOKUP($N31,$N$3:$AF$15,MATCH(VLOOKUP(U$18,$H$3:$K$33,3,FALSE)&amp;VLOOKUP(U$18,$H$3:$K$33,4,FALSE),$N$3:$AF$3,0),FALSE),U30)</f>
        <v>4200</v>
      </c>
      <c r="V31" s="227">
        <f>IFERROR(VLOOKUP(VLOOKUP(V$18,$H$3:$K$33,3,FALSE)&amp;VLOOKUP(V$18,$H$3:$K$33,4,FALSE),$B$3:$C$27,2,FALSE)*VLOOKUP($N31,$N$3:$AF$15,MATCH(VLOOKUP(V$18,$H$3:$K$33,3,FALSE)&amp;VLOOKUP(V$18,$H$3:$K$33,4,FALSE),$N$3:$AF$3,0),FALSE),V30)</f>
        <v>5250</v>
      </c>
      <c r="W31" s="227">
        <f>IFERROR(VLOOKUP(VLOOKUP(W$18,$H$3:$K$33,3,FALSE)&amp;VLOOKUP(W$18,$H$3:$K$33,4,FALSE),$B$3:$C$27,2,FALSE)*VLOOKUP($N31,$N$3:$AF$15,MATCH(VLOOKUP(W$18,$H$3:$K$33,3,FALSE)&amp;VLOOKUP(W$18,$H$3:$K$33,4,FALSE),$N$3:$AF$3,0),FALSE),W30)</f>
        <v>6510</v>
      </c>
      <c r="X31" s="227">
        <f>IFERROR(VLOOKUP(VLOOKUP(X$18,$H$3:$K$33,3,FALSE)&amp;VLOOKUP(X$18,$H$3:$K$33,4,FALSE),$B$3:$C$27,2,FALSE)*VLOOKUP($N31,$N$3:$AF$15,MATCH(VLOOKUP(X$18,$H$3:$K$33,3,FALSE)&amp;VLOOKUP(X$18,$H$3:$K$33,4,FALSE),$N$3:$AF$3,0),FALSE),X30)</f>
        <v>13056</v>
      </c>
      <c r="Y31" s="227">
        <f>IFERROR(VLOOKUP(VLOOKUP(Y$18,$H$3:$K$33,3,FALSE)&amp;VLOOKUP(Y$18,$H$3:$K$33,4,FALSE),$B$3:$C$27,2,FALSE)*VLOOKUP($N31,$N$3:$AF$15,MATCH(VLOOKUP(Y$18,$H$3:$K$33,3,FALSE)&amp;VLOOKUP(Y$18,$H$3:$K$33,4,FALSE),$N$3:$AF$3,0),FALSE),Y30)</f>
        <v>102.00000000000031</v>
      </c>
      <c r="Z31" s="227">
        <f>IFERROR(VLOOKUP(VLOOKUP(Z$18,$H$3:$K$33,3,FALSE)&amp;VLOOKUP(Z$18,$H$3:$K$33,4,FALSE),$B$3:$C$27,2,FALSE)*VLOOKUP($N31,$N$3:$AF$15,MATCH(VLOOKUP(Z$18,$H$3:$K$33,3,FALSE)&amp;VLOOKUP(Z$18,$H$3:$K$33,4,FALSE),$N$3:$AF$3,0),FALSE),Z30)</f>
        <v>240.00000000000063</v>
      </c>
      <c r="AA31" s="227">
        <f>IFERROR(VLOOKUP(VLOOKUP(AA$18,$H$3:$K$33,3,FALSE)&amp;VLOOKUP(AA$18,$H$3:$K$33,4,FALSE),$B$3:$C$27,2,FALSE)*VLOOKUP($N31,$N$3:$AF$15,MATCH(VLOOKUP(AA$18,$H$3:$K$33,3,FALSE)&amp;VLOOKUP(AA$18,$H$3:$K$33,4,FALSE),$N$3:$AF$3,0),FALSE),AA30)</f>
        <v>544.00000000000091</v>
      </c>
      <c r="AB31" s="227">
        <f>IFERROR(VLOOKUP(VLOOKUP(AB$18,$H$3:$K$33,3,FALSE)&amp;VLOOKUP(AB$18,$H$3:$K$33,4,FALSE),$B$3:$C$27,2,FALSE)*VLOOKUP($N31,$N$3:$AF$15,MATCH(VLOOKUP(AB$18,$H$3:$K$33,3,FALSE)&amp;VLOOKUP(AB$18,$H$3:$K$33,4,FALSE),$N$3:$AF$3,0),FALSE),AB30)</f>
        <v>1044</v>
      </c>
      <c r="AC31" s="227">
        <f>IFERROR(VLOOKUP(VLOOKUP(AC$18,$H$3:$K$33,3,FALSE)&amp;VLOOKUP(AC$18,$H$3:$K$33,4,FALSE),$B$3:$C$27,2,FALSE)*VLOOKUP($N31,$N$3:$AF$15,MATCH(VLOOKUP(AC$18,$H$3:$K$33,3,FALSE)&amp;VLOOKUP(AC$18,$H$3:$K$33,4,FALSE),$N$3:$AF$3,0),FALSE),AC30)</f>
        <v>1620</v>
      </c>
      <c r="AD31" s="227">
        <f>IFERROR(VLOOKUP(VLOOKUP(AD$18,$H$3:$K$33,3,FALSE)&amp;VLOOKUP(AD$18,$H$3:$K$33,4,FALSE),$B$3:$C$27,2,FALSE)*VLOOKUP($N31,$N$3:$AF$15,MATCH(VLOOKUP(AD$18,$H$3:$K$33,3,FALSE)&amp;VLOOKUP(AD$18,$H$3:$K$33,4,FALSE),$N$3:$AF$3,0),FALSE),AD30)</f>
        <v>2052</v>
      </c>
      <c r="AE31" s="227">
        <f>IFERROR(VLOOKUP(VLOOKUP(AE$18,$H$3:$K$33,3,FALSE)&amp;VLOOKUP(AE$18,$H$3:$K$33,4,FALSE),$B$3:$C$27,2,FALSE)*VLOOKUP($N31,$N$3:$AF$15,MATCH(VLOOKUP(AE$18,$H$3:$K$33,3,FALSE)&amp;VLOOKUP(AE$18,$H$3:$K$33,4,FALSE),$N$3:$AF$3,0),FALSE),AE30)</f>
        <v>4200</v>
      </c>
      <c r="AF31" s="227">
        <f>IFERROR(VLOOKUP(VLOOKUP(AF$18,$H$3:$K$33,3,FALSE)&amp;VLOOKUP(AF$18,$H$3:$K$33,4,FALSE),$B$3:$C$27,2,FALSE)*VLOOKUP($N31,$N$3:$AF$15,MATCH(VLOOKUP(AF$18,$H$3:$K$33,3,FALSE)&amp;VLOOKUP(AF$18,$H$3:$K$33,4,FALSE),$N$3:$AF$3,0),FALSE),AF30)</f>
        <v>5250</v>
      </c>
      <c r="AG31" s="227">
        <f>IFERROR(VLOOKUP(VLOOKUP(AG$18,$H$3:$K$33,3,FALSE)&amp;VLOOKUP(AG$18,$H$3:$K$33,4,FALSE),$B$3:$C$27,2,FALSE)*VLOOKUP($N31,$N$3:$AF$15,MATCH(VLOOKUP(AG$18,$H$3:$K$33,3,FALSE)&amp;VLOOKUP(AG$18,$H$3:$K$33,4,FALSE),$N$3:$AF$3,0),FALSE),AG30)</f>
        <v>6510</v>
      </c>
      <c r="AH31" s="227">
        <f>IFERROR(VLOOKUP(VLOOKUP(AH$18,$H$3:$K$33,3,FALSE)&amp;VLOOKUP(AH$18,$H$3:$K$33,4,FALSE),$B$3:$C$27,2,FALSE)*VLOOKUP($N31,$N$3:$AF$15,MATCH(VLOOKUP(AH$18,$H$3:$K$33,3,FALSE)&amp;VLOOKUP(AH$18,$H$3:$K$33,4,FALSE),$N$3:$AF$3,0),FALSE),AH30)</f>
        <v>13056</v>
      </c>
      <c r="AI31" s="227">
        <f>IFERROR(VLOOKUP(VLOOKUP(AI$18,$H$3:$K$33,3,FALSE)&amp;VLOOKUP(AI$18,$H$3:$K$33,4,FALSE),$B$3:$C$27,2,FALSE)*VLOOKUP($N31,$N$3:$AF$15,MATCH(VLOOKUP(AI$18,$H$3:$K$33,3,FALSE)&amp;VLOOKUP(AI$18,$H$3:$K$33,4,FALSE),$N$3:$AF$3,0),FALSE),AI30)</f>
        <v>102.00000000000031</v>
      </c>
      <c r="AJ31" s="227">
        <f>IFERROR(VLOOKUP(VLOOKUP(AJ$18,$H$3:$K$33,3,FALSE)&amp;VLOOKUP(AJ$18,$H$3:$K$33,4,FALSE),$B$3:$C$27,2,FALSE)*VLOOKUP($N31,$N$3:$AF$15,MATCH(VLOOKUP(AJ$18,$H$3:$K$33,3,FALSE)&amp;VLOOKUP(AJ$18,$H$3:$K$33,4,FALSE),$N$3:$AF$3,0),FALSE),AJ30)</f>
        <v>240.00000000000063</v>
      </c>
      <c r="AK31" s="227">
        <f>IFERROR(VLOOKUP(VLOOKUP(AK$18,$H$3:$K$33,3,FALSE)&amp;VLOOKUP(AK$18,$H$3:$K$33,4,FALSE),$B$3:$C$27,2,FALSE)*VLOOKUP($N31,$N$3:$AF$15,MATCH(VLOOKUP(AK$18,$H$3:$K$33,3,FALSE)&amp;VLOOKUP(AK$18,$H$3:$K$33,4,FALSE),$N$3:$AF$3,0),FALSE),AK30)</f>
        <v>544.00000000000091</v>
      </c>
      <c r="AL31" s="227">
        <f>IFERROR(VLOOKUP(VLOOKUP(AL$18,$H$3:$K$33,3,FALSE)&amp;VLOOKUP(AL$18,$H$3:$K$33,4,FALSE),$B$3:$C$27,2,FALSE)*VLOOKUP($N31,$N$3:$AF$15,MATCH(VLOOKUP(AL$18,$H$3:$K$33,3,FALSE)&amp;VLOOKUP(AL$18,$H$3:$K$33,4,FALSE),$N$3:$AF$3,0),FALSE),AL30)</f>
        <v>1044</v>
      </c>
      <c r="AM31" s="227">
        <f>IFERROR(VLOOKUP(VLOOKUP(AM$18,$H$3:$K$33,3,FALSE)&amp;VLOOKUP(AM$18,$H$3:$K$33,4,FALSE),$B$3:$C$27,2,FALSE)*VLOOKUP($N31,$N$3:$AF$15,MATCH(VLOOKUP(AM$18,$H$3:$K$33,3,FALSE)&amp;VLOOKUP(AM$18,$H$3:$K$33,4,FALSE),$N$3:$AF$3,0),FALSE),AM30)</f>
        <v>1620</v>
      </c>
      <c r="AN31" s="227">
        <f>IFERROR(VLOOKUP(VLOOKUP(AN$18,$H$3:$K$33,3,FALSE)&amp;VLOOKUP(AN$18,$H$3:$K$33,4,FALSE),$B$3:$C$27,2,FALSE)*VLOOKUP($N31,$N$3:$AF$15,MATCH(VLOOKUP(AN$18,$H$3:$K$33,3,FALSE)&amp;VLOOKUP(AN$18,$H$3:$K$33,4,FALSE),$N$3:$AF$3,0),FALSE),AN30)</f>
        <v>2052</v>
      </c>
      <c r="AO31" s="227">
        <f>IFERROR(VLOOKUP(VLOOKUP(AO$18,$H$3:$K$33,3,FALSE)&amp;VLOOKUP(AO$18,$H$3:$K$33,4,FALSE),$B$3:$C$27,2,FALSE)*VLOOKUP($N31,$N$3:$AF$15,MATCH(VLOOKUP(AO$18,$H$3:$K$33,3,FALSE)&amp;VLOOKUP(AO$18,$H$3:$K$33,4,FALSE),$N$3:$AF$3,0),FALSE),AO30)</f>
        <v>4200</v>
      </c>
      <c r="AP31" s="227">
        <f>IFERROR(VLOOKUP(VLOOKUP(AP$18,$H$3:$K$33,3,FALSE)&amp;VLOOKUP(AP$18,$H$3:$K$33,4,FALSE),$B$3:$C$27,2,FALSE)*VLOOKUP($N31,$N$3:$AF$15,MATCH(VLOOKUP(AP$18,$H$3:$K$33,3,FALSE)&amp;VLOOKUP(AP$18,$H$3:$K$33,4,FALSE),$N$3:$AF$3,0),FALSE),AP30)</f>
        <v>5250</v>
      </c>
      <c r="AQ31" s="227">
        <f>IFERROR(VLOOKUP(VLOOKUP(AQ$18,$H$3:$K$33,3,FALSE)&amp;VLOOKUP(AQ$18,$H$3:$K$33,4,FALSE),$B$3:$C$27,2,FALSE)*VLOOKUP($N31,$N$3:$AF$15,MATCH(VLOOKUP(AQ$18,$H$3:$K$33,3,FALSE)&amp;VLOOKUP(AQ$18,$H$3:$K$33,4,FALSE),$N$3:$AF$3,0),FALSE),AQ30)</f>
        <v>6510</v>
      </c>
      <c r="AR31" s="227">
        <f>IFERROR(VLOOKUP(VLOOKUP(AR$18,$H$3:$K$33,3,FALSE)&amp;VLOOKUP(AR$18,$H$3:$K$33,4,FALSE),$B$3:$C$27,2,FALSE)*VLOOKUP($N31,$N$3:$AF$15,MATCH(VLOOKUP(AR$18,$H$3:$K$33,3,FALSE)&amp;VLOOKUP(AR$18,$H$3:$K$33,4,FALSE),$N$3:$AF$3,0),FALSE),AR30)</f>
        <v>13056</v>
      </c>
    </row>
    <row r="32" spans="2:44" x14ac:dyDescent="0.35">
      <c r="H32" s="219" t="s">
        <v>722</v>
      </c>
      <c r="I32" s="219" t="str">
        <f>VLOOKUP(H32,坦克个性化设定!$B$18:$E$48,3,FALSE)</f>
        <v>重坦</v>
      </c>
      <c r="J32" s="159" t="str">
        <f>VLOOKUP(H32,坦克个性化设定!$B$18:$E$48,4,FALSE)</f>
        <v>T4</v>
      </c>
      <c r="K32" s="159" t="str">
        <f>VLOOKUP(H32,坦克个性化细分!$I$3:$J$33,2,FALSE)</f>
        <v>高</v>
      </c>
      <c r="N32" s="219">
        <v>14</v>
      </c>
      <c r="O32" s="227">
        <f>IFERROR(VLOOKUP(VLOOKUP(O$18,$H$3:$K$33,3,FALSE)&amp;VLOOKUP(O$18,$H$3:$K$33,4,FALSE),$B$3:$C$27,2,FALSE)*VLOOKUP($N32,$N$3:$AF$15,MATCH(VLOOKUP(O$18,$H$3:$K$33,3,FALSE)&amp;VLOOKUP(O$18,$H$3:$K$33,4,FALSE),$N$3:$AF$3,0),FALSE),O31)</f>
        <v>102.00000000000031</v>
      </c>
      <c r="P32" s="227">
        <f>IFERROR(VLOOKUP(VLOOKUP(P$18,$H$3:$K$33,3,FALSE)&amp;VLOOKUP(P$18,$H$3:$K$33,4,FALSE),$B$3:$C$27,2,FALSE)*VLOOKUP($N32,$N$3:$AF$15,MATCH(VLOOKUP(P$18,$H$3:$K$33,3,FALSE)&amp;VLOOKUP(P$18,$H$3:$K$33,4,FALSE),$N$3:$AF$3,0),FALSE),P31)</f>
        <v>240.00000000000063</v>
      </c>
      <c r="Q32" s="227">
        <f>IFERROR(VLOOKUP(VLOOKUP(Q$18,$H$3:$K$33,3,FALSE)&amp;VLOOKUP(Q$18,$H$3:$K$33,4,FALSE),$B$3:$C$27,2,FALSE)*VLOOKUP($N32,$N$3:$AF$15,MATCH(VLOOKUP(Q$18,$H$3:$K$33,3,FALSE)&amp;VLOOKUP(Q$18,$H$3:$K$33,4,FALSE),$N$3:$AF$3,0),FALSE),Q31)</f>
        <v>544.00000000000091</v>
      </c>
      <c r="R32" s="227">
        <f>IFERROR(VLOOKUP(VLOOKUP(R$18,$H$3:$K$33,3,FALSE)&amp;VLOOKUP(R$18,$H$3:$K$33,4,FALSE),$B$3:$C$27,2,FALSE)*VLOOKUP($N32,$N$3:$AF$15,MATCH(VLOOKUP(R$18,$H$3:$K$33,3,FALSE)&amp;VLOOKUP(R$18,$H$3:$K$33,4,FALSE),$N$3:$AF$3,0),FALSE),R31)</f>
        <v>1044</v>
      </c>
      <c r="S32" s="227">
        <f>IFERROR(VLOOKUP(VLOOKUP(S$18,$H$3:$K$33,3,FALSE)&amp;VLOOKUP(S$18,$H$3:$K$33,4,FALSE),$B$3:$C$27,2,FALSE)*VLOOKUP($N32,$N$3:$AF$15,MATCH(VLOOKUP(S$18,$H$3:$K$33,3,FALSE)&amp;VLOOKUP(S$18,$H$3:$K$33,4,FALSE),$N$3:$AF$3,0),FALSE),S31)</f>
        <v>1620</v>
      </c>
      <c r="T32" s="227">
        <f>IFERROR(VLOOKUP(VLOOKUP(T$18,$H$3:$K$33,3,FALSE)&amp;VLOOKUP(T$18,$H$3:$K$33,4,FALSE),$B$3:$C$27,2,FALSE)*VLOOKUP($N32,$N$3:$AF$15,MATCH(VLOOKUP(T$18,$H$3:$K$33,3,FALSE)&amp;VLOOKUP(T$18,$H$3:$K$33,4,FALSE),$N$3:$AF$3,0),FALSE),T31)</f>
        <v>2052</v>
      </c>
      <c r="U32" s="227">
        <f>IFERROR(VLOOKUP(VLOOKUP(U$18,$H$3:$K$33,3,FALSE)&amp;VLOOKUP(U$18,$H$3:$K$33,4,FALSE),$B$3:$C$27,2,FALSE)*VLOOKUP($N32,$N$3:$AF$15,MATCH(VLOOKUP(U$18,$H$3:$K$33,3,FALSE)&amp;VLOOKUP(U$18,$H$3:$K$33,4,FALSE),$N$3:$AF$3,0),FALSE),U31)</f>
        <v>4200</v>
      </c>
      <c r="V32" s="227">
        <f>IFERROR(VLOOKUP(VLOOKUP(V$18,$H$3:$K$33,3,FALSE)&amp;VLOOKUP(V$18,$H$3:$K$33,4,FALSE),$B$3:$C$27,2,FALSE)*VLOOKUP($N32,$N$3:$AF$15,MATCH(VLOOKUP(V$18,$H$3:$K$33,3,FALSE)&amp;VLOOKUP(V$18,$H$3:$K$33,4,FALSE),$N$3:$AF$3,0),FALSE),V31)</f>
        <v>5250</v>
      </c>
      <c r="W32" s="227">
        <f>IFERROR(VLOOKUP(VLOOKUP(W$18,$H$3:$K$33,3,FALSE)&amp;VLOOKUP(W$18,$H$3:$K$33,4,FALSE),$B$3:$C$27,2,FALSE)*VLOOKUP($N32,$N$3:$AF$15,MATCH(VLOOKUP(W$18,$H$3:$K$33,3,FALSE)&amp;VLOOKUP(W$18,$H$3:$K$33,4,FALSE),$N$3:$AF$3,0),FALSE),W31)</f>
        <v>6510</v>
      </c>
      <c r="X32" s="227">
        <f>IFERROR(VLOOKUP(VLOOKUP(X$18,$H$3:$K$33,3,FALSE)&amp;VLOOKUP(X$18,$H$3:$K$33,4,FALSE),$B$3:$C$27,2,FALSE)*VLOOKUP($N32,$N$3:$AF$15,MATCH(VLOOKUP(X$18,$H$3:$K$33,3,FALSE)&amp;VLOOKUP(X$18,$H$3:$K$33,4,FALSE),$N$3:$AF$3,0),FALSE),X31)</f>
        <v>13056</v>
      </c>
      <c r="Y32" s="227">
        <f>IFERROR(VLOOKUP(VLOOKUP(Y$18,$H$3:$K$33,3,FALSE)&amp;VLOOKUP(Y$18,$H$3:$K$33,4,FALSE),$B$3:$C$27,2,FALSE)*VLOOKUP($N32,$N$3:$AF$15,MATCH(VLOOKUP(Y$18,$H$3:$K$33,3,FALSE)&amp;VLOOKUP(Y$18,$H$3:$K$33,4,FALSE),$N$3:$AF$3,0),FALSE),Y31)</f>
        <v>102.00000000000031</v>
      </c>
      <c r="Z32" s="227">
        <f>IFERROR(VLOOKUP(VLOOKUP(Z$18,$H$3:$K$33,3,FALSE)&amp;VLOOKUP(Z$18,$H$3:$K$33,4,FALSE),$B$3:$C$27,2,FALSE)*VLOOKUP($N32,$N$3:$AF$15,MATCH(VLOOKUP(Z$18,$H$3:$K$33,3,FALSE)&amp;VLOOKUP(Z$18,$H$3:$K$33,4,FALSE),$N$3:$AF$3,0),FALSE),Z31)</f>
        <v>240.00000000000063</v>
      </c>
      <c r="AA32" s="227">
        <f>IFERROR(VLOOKUP(VLOOKUP(AA$18,$H$3:$K$33,3,FALSE)&amp;VLOOKUP(AA$18,$H$3:$K$33,4,FALSE),$B$3:$C$27,2,FALSE)*VLOOKUP($N32,$N$3:$AF$15,MATCH(VLOOKUP(AA$18,$H$3:$K$33,3,FALSE)&amp;VLOOKUP(AA$18,$H$3:$K$33,4,FALSE),$N$3:$AF$3,0),FALSE),AA31)</f>
        <v>544.00000000000091</v>
      </c>
      <c r="AB32" s="227">
        <f>IFERROR(VLOOKUP(VLOOKUP(AB$18,$H$3:$K$33,3,FALSE)&amp;VLOOKUP(AB$18,$H$3:$K$33,4,FALSE),$B$3:$C$27,2,FALSE)*VLOOKUP($N32,$N$3:$AF$15,MATCH(VLOOKUP(AB$18,$H$3:$K$33,3,FALSE)&amp;VLOOKUP(AB$18,$H$3:$K$33,4,FALSE),$N$3:$AF$3,0),FALSE),AB31)</f>
        <v>1044</v>
      </c>
      <c r="AC32" s="227">
        <f>IFERROR(VLOOKUP(VLOOKUP(AC$18,$H$3:$K$33,3,FALSE)&amp;VLOOKUP(AC$18,$H$3:$K$33,4,FALSE),$B$3:$C$27,2,FALSE)*VLOOKUP($N32,$N$3:$AF$15,MATCH(VLOOKUP(AC$18,$H$3:$K$33,3,FALSE)&amp;VLOOKUP(AC$18,$H$3:$K$33,4,FALSE),$N$3:$AF$3,0),FALSE),AC31)</f>
        <v>1620</v>
      </c>
      <c r="AD32" s="227">
        <f>IFERROR(VLOOKUP(VLOOKUP(AD$18,$H$3:$K$33,3,FALSE)&amp;VLOOKUP(AD$18,$H$3:$K$33,4,FALSE),$B$3:$C$27,2,FALSE)*VLOOKUP($N32,$N$3:$AF$15,MATCH(VLOOKUP(AD$18,$H$3:$K$33,3,FALSE)&amp;VLOOKUP(AD$18,$H$3:$K$33,4,FALSE),$N$3:$AF$3,0),FALSE),AD31)</f>
        <v>2052</v>
      </c>
      <c r="AE32" s="227">
        <f>IFERROR(VLOOKUP(VLOOKUP(AE$18,$H$3:$K$33,3,FALSE)&amp;VLOOKUP(AE$18,$H$3:$K$33,4,FALSE),$B$3:$C$27,2,FALSE)*VLOOKUP($N32,$N$3:$AF$15,MATCH(VLOOKUP(AE$18,$H$3:$K$33,3,FALSE)&amp;VLOOKUP(AE$18,$H$3:$K$33,4,FALSE),$N$3:$AF$3,0),FALSE),AE31)</f>
        <v>4200</v>
      </c>
      <c r="AF32" s="227">
        <f>IFERROR(VLOOKUP(VLOOKUP(AF$18,$H$3:$K$33,3,FALSE)&amp;VLOOKUP(AF$18,$H$3:$K$33,4,FALSE),$B$3:$C$27,2,FALSE)*VLOOKUP($N32,$N$3:$AF$15,MATCH(VLOOKUP(AF$18,$H$3:$K$33,3,FALSE)&amp;VLOOKUP(AF$18,$H$3:$K$33,4,FALSE),$N$3:$AF$3,0),FALSE),AF31)</f>
        <v>5250</v>
      </c>
      <c r="AG32" s="227">
        <f>IFERROR(VLOOKUP(VLOOKUP(AG$18,$H$3:$K$33,3,FALSE)&amp;VLOOKUP(AG$18,$H$3:$K$33,4,FALSE),$B$3:$C$27,2,FALSE)*VLOOKUP($N32,$N$3:$AF$15,MATCH(VLOOKUP(AG$18,$H$3:$K$33,3,FALSE)&amp;VLOOKUP(AG$18,$H$3:$K$33,4,FALSE),$N$3:$AF$3,0),FALSE),AG31)</f>
        <v>6510</v>
      </c>
      <c r="AH32" s="227">
        <f>IFERROR(VLOOKUP(VLOOKUP(AH$18,$H$3:$K$33,3,FALSE)&amp;VLOOKUP(AH$18,$H$3:$K$33,4,FALSE),$B$3:$C$27,2,FALSE)*VLOOKUP($N32,$N$3:$AF$15,MATCH(VLOOKUP(AH$18,$H$3:$K$33,3,FALSE)&amp;VLOOKUP(AH$18,$H$3:$K$33,4,FALSE),$N$3:$AF$3,0),FALSE),AH31)</f>
        <v>13056</v>
      </c>
      <c r="AI32" s="227">
        <f>IFERROR(VLOOKUP(VLOOKUP(AI$18,$H$3:$K$33,3,FALSE)&amp;VLOOKUP(AI$18,$H$3:$K$33,4,FALSE),$B$3:$C$27,2,FALSE)*VLOOKUP($N32,$N$3:$AF$15,MATCH(VLOOKUP(AI$18,$H$3:$K$33,3,FALSE)&amp;VLOOKUP(AI$18,$H$3:$K$33,4,FALSE),$N$3:$AF$3,0),FALSE),AI31)</f>
        <v>102.00000000000031</v>
      </c>
      <c r="AJ32" s="227">
        <f>IFERROR(VLOOKUP(VLOOKUP(AJ$18,$H$3:$K$33,3,FALSE)&amp;VLOOKUP(AJ$18,$H$3:$K$33,4,FALSE),$B$3:$C$27,2,FALSE)*VLOOKUP($N32,$N$3:$AF$15,MATCH(VLOOKUP(AJ$18,$H$3:$K$33,3,FALSE)&amp;VLOOKUP(AJ$18,$H$3:$K$33,4,FALSE),$N$3:$AF$3,0),FALSE),AJ31)</f>
        <v>240.00000000000063</v>
      </c>
      <c r="AK32" s="227">
        <f>IFERROR(VLOOKUP(VLOOKUP(AK$18,$H$3:$K$33,3,FALSE)&amp;VLOOKUP(AK$18,$H$3:$K$33,4,FALSE),$B$3:$C$27,2,FALSE)*VLOOKUP($N32,$N$3:$AF$15,MATCH(VLOOKUP(AK$18,$H$3:$K$33,3,FALSE)&amp;VLOOKUP(AK$18,$H$3:$K$33,4,FALSE),$N$3:$AF$3,0),FALSE),AK31)</f>
        <v>544.00000000000091</v>
      </c>
      <c r="AL32" s="227">
        <f>IFERROR(VLOOKUP(VLOOKUP(AL$18,$H$3:$K$33,3,FALSE)&amp;VLOOKUP(AL$18,$H$3:$K$33,4,FALSE),$B$3:$C$27,2,FALSE)*VLOOKUP($N32,$N$3:$AF$15,MATCH(VLOOKUP(AL$18,$H$3:$K$33,3,FALSE)&amp;VLOOKUP(AL$18,$H$3:$K$33,4,FALSE),$N$3:$AF$3,0),FALSE),AL31)</f>
        <v>1044</v>
      </c>
      <c r="AM32" s="227">
        <f>IFERROR(VLOOKUP(VLOOKUP(AM$18,$H$3:$K$33,3,FALSE)&amp;VLOOKUP(AM$18,$H$3:$K$33,4,FALSE),$B$3:$C$27,2,FALSE)*VLOOKUP($N32,$N$3:$AF$15,MATCH(VLOOKUP(AM$18,$H$3:$K$33,3,FALSE)&amp;VLOOKUP(AM$18,$H$3:$K$33,4,FALSE),$N$3:$AF$3,0),FALSE),AM31)</f>
        <v>1620</v>
      </c>
      <c r="AN32" s="227">
        <f>IFERROR(VLOOKUP(VLOOKUP(AN$18,$H$3:$K$33,3,FALSE)&amp;VLOOKUP(AN$18,$H$3:$K$33,4,FALSE),$B$3:$C$27,2,FALSE)*VLOOKUP($N32,$N$3:$AF$15,MATCH(VLOOKUP(AN$18,$H$3:$K$33,3,FALSE)&amp;VLOOKUP(AN$18,$H$3:$K$33,4,FALSE),$N$3:$AF$3,0),FALSE),AN31)</f>
        <v>2052</v>
      </c>
      <c r="AO32" s="227">
        <f>IFERROR(VLOOKUP(VLOOKUP(AO$18,$H$3:$K$33,3,FALSE)&amp;VLOOKUP(AO$18,$H$3:$K$33,4,FALSE),$B$3:$C$27,2,FALSE)*VLOOKUP($N32,$N$3:$AF$15,MATCH(VLOOKUP(AO$18,$H$3:$K$33,3,FALSE)&amp;VLOOKUP(AO$18,$H$3:$K$33,4,FALSE),$N$3:$AF$3,0),FALSE),AO31)</f>
        <v>4200</v>
      </c>
      <c r="AP32" s="227">
        <f>IFERROR(VLOOKUP(VLOOKUP(AP$18,$H$3:$K$33,3,FALSE)&amp;VLOOKUP(AP$18,$H$3:$K$33,4,FALSE),$B$3:$C$27,2,FALSE)*VLOOKUP($N32,$N$3:$AF$15,MATCH(VLOOKUP(AP$18,$H$3:$K$33,3,FALSE)&amp;VLOOKUP(AP$18,$H$3:$K$33,4,FALSE),$N$3:$AF$3,0),FALSE),AP31)</f>
        <v>5250</v>
      </c>
      <c r="AQ32" s="227">
        <f>IFERROR(VLOOKUP(VLOOKUP(AQ$18,$H$3:$K$33,3,FALSE)&amp;VLOOKUP(AQ$18,$H$3:$K$33,4,FALSE),$B$3:$C$27,2,FALSE)*VLOOKUP($N32,$N$3:$AF$15,MATCH(VLOOKUP(AQ$18,$H$3:$K$33,3,FALSE)&amp;VLOOKUP(AQ$18,$H$3:$K$33,4,FALSE),$N$3:$AF$3,0),FALSE),AQ31)</f>
        <v>6510</v>
      </c>
      <c r="AR32" s="227">
        <f>IFERROR(VLOOKUP(VLOOKUP(AR$18,$H$3:$K$33,3,FALSE)&amp;VLOOKUP(AR$18,$H$3:$K$33,4,FALSE),$B$3:$C$27,2,FALSE)*VLOOKUP($N32,$N$3:$AF$15,MATCH(VLOOKUP(AR$18,$H$3:$K$33,3,FALSE)&amp;VLOOKUP(AR$18,$H$3:$K$33,4,FALSE),$N$3:$AF$3,0),FALSE),AR31)</f>
        <v>13056</v>
      </c>
    </row>
    <row r="33" spans="2:44" x14ac:dyDescent="0.35">
      <c r="B33" s="617" t="s">
        <v>903</v>
      </c>
      <c r="C33" s="630" t="s">
        <v>2462</v>
      </c>
      <c r="D33" s="630" t="s">
        <v>3009</v>
      </c>
      <c r="E33" s="630" t="s">
        <v>3010</v>
      </c>
      <c r="H33" s="219" t="s">
        <v>637</v>
      </c>
      <c r="I33" s="219" t="str">
        <f>VLOOKUP(H33,坦克个性化设定!$B$18:$E$48,3,FALSE)</f>
        <v>重坦</v>
      </c>
      <c r="J33" s="159" t="str">
        <f>VLOOKUP(H33,坦克个性化设定!$B$18:$E$48,4,FALSE)</f>
        <v>T5</v>
      </c>
      <c r="K33" s="159" t="str">
        <f>VLOOKUP(H33,坦克个性化细分!$I$3:$J$33,2,FALSE)</f>
        <v>低</v>
      </c>
      <c r="N33" s="219">
        <v>15</v>
      </c>
      <c r="O33" s="227">
        <f>IFERROR(VLOOKUP(VLOOKUP(O$18,$H$3:$K$33,3,FALSE)&amp;VLOOKUP(O$18,$H$3:$K$33,4,FALSE),$B$3:$C$27,2,FALSE)*VLOOKUP($N33,$N$3:$AF$15,MATCH(VLOOKUP(O$18,$H$3:$K$33,3,FALSE)&amp;VLOOKUP(O$18,$H$3:$K$33,4,FALSE),$N$3:$AF$3,0),FALSE),O32)</f>
        <v>102.00000000000031</v>
      </c>
      <c r="P33" s="227">
        <f>IFERROR(VLOOKUP(VLOOKUP(P$18,$H$3:$K$33,3,FALSE)&amp;VLOOKUP(P$18,$H$3:$K$33,4,FALSE),$B$3:$C$27,2,FALSE)*VLOOKUP($N33,$N$3:$AF$15,MATCH(VLOOKUP(P$18,$H$3:$K$33,3,FALSE)&amp;VLOOKUP(P$18,$H$3:$K$33,4,FALSE),$N$3:$AF$3,0),FALSE),P32)</f>
        <v>240.00000000000063</v>
      </c>
      <c r="Q33" s="227">
        <f>IFERROR(VLOOKUP(VLOOKUP(Q$18,$H$3:$K$33,3,FALSE)&amp;VLOOKUP(Q$18,$H$3:$K$33,4,FALSE),$B$3:$C$27,2,FALSE)*VLOOKUP($N33,$N$3:$AF$15,MATCH(VLOOKUP(Q$18,$H$3:$K$33,3,FALSE)&amp;VLOOKUP(Q$18,$H$3:$K$33,4,FALSE),$N$3:$AF$3,0),FALSE),Q32)</f>
        <v>544.00000000000091</v>
      </c>
      <c r="R33" s="227">
        <f>IFERROR(VLOOKUP(VLOOKUP(R$18,$H$3:$K$33,3,FALSE)&amp;VLOOKUP(R$18,$H$3:$K$33,4,FALSE),$B$3:$C$27,2,FALSE)*VLOOKUP($N33,$N$3:$AF$15,MATCH(VLOOKUP(R$18,$H$3:$K$33,3,FALSE)&amp;VLOOKUP(R$18,$H$3:$K$33,4,FALSE),$N$3:$AF$3,0),FALSE),R32)</f>
        <v>1044</v>
      </c>
      <c r="S33" s="227">
        <f>IFERROR(VLOOKUP(VLOOKUP(S$18,$H$3:$K$33,3,FALSE)&amp;VLOOKUP(S$18,$H$3:$K$33,4,FALSE),$B$3:$C$27,2,FALSE)*VLOOKUP($N33,$N$3:$AF$15,MATCH(VLOOKUP(S$18,$H$3:$K$33,3,FALSE)&amp;VLOOKUP(S$18,$H$3:$K$33,4,FALSE),$N$3:$AF$3,0),FALSE),S32)</f>
        <v>1620</v>
      </c>
      <c r="T33" s="227">
        <f>IFERROR(VLOOKUP(VLOOKUP(T$18,$H$3:$K$33,3,FALSE)&amp;VLOOKUP(T$18,$H$3:$K$33,4,FALSE),$B$3:$C$27,2,FALSE)*VLOOKUP($N33,$N$3:$AF$15,MATCH(VLOOKUP(T$18,$H$3:$K$33,3,FALSE)&amp;VLOOKUP(T$18,$H$3:$K$33,4,FALSE),$N$3:$AF$3,0),FALSE),T32)</f>
        <v>2052</v>
      </c>
      <c r="U33" s="227">
        <f>IFERROR(VLOOKUP(VLOOKUP(U$18,$H$3:$K$33,3,FALSE)&amp;VLOOKUP(U$18,$H$3:$K$33,4,FALSE),$B$3:$C$27,2,FALSE)*VLOOKUP($N33,$N$3:$AF$15,MATCH(VLOOKUP(U$18,$H$3:$K$33,3,FALSE)&amp;VLOOKUP(U$18,$H$3:$K$33,4,FALSE),$N$3:$AF$3,0),FALSE),U32)</f>
        <v>4200</v>
      </c>
      <c r="V33" s="227">
        <f>IFERROR(VLOOKUP(VLOOKUP(V$18,$H$3:$K$33,3,FALSE)&amp;VLOOKUP(V$18,$H$3:$K$33,4,FALSE),$B$3:$C$27,2,FALSE)*VLOOKUP($N33,$N$3:$AF$15,MATCH(VLOOKUP(V$18,$H$3:$K$33,3,FALSE)&amp;VLOOKUP(V$18,$H$3:$K$33,4,FALSE),$N$3:$AF$3,0),FALSE),V32)</f>
        <v>5250</v>
      </c>
      <c r="W33" s="227">
        <f>IFERROR(VLOOKUP(VLOOKUP(W$18,$H$3:$K$33,3,FALSE)&amp;VLOOKUP(W$18,$H$3:$K$33,4,FALSE),$B$3:$C$27,2,FALSE)*VLOOKUP($N33,$N$3:$AF$15,MATCH(VLOOKUP(W$18,$H$3:$K$33,3,FALSE)&amp;VLOOKUP(W$18,$H$3:$K$33,4,FALSE),$N$3:$AF$3,0),FALSE),W32)</f>
        <v>6510</v>
      </c>
      <c r="X33" s="227">
        <f>IFERROR(VLOOKUP(VLOOKUP(X$18,$H$3:$K$33,3,FALSE)&amp;VLOOKUP(X$18,$H$3:$K$33,4,FALSE),$B$3:$C$27,2,FALSE)*VLOOKUP($N33,$N$3:$AF$15,MATCH(VLOOKUP(X$18,$H$3:$K$33,3,FALSE)&amp;VLOOKUP(X$18,$H$3:$K$33,4,FALSE),$N$3:$AF$3,0),FALSE),X32)</f>
        <v>13056</v>
      </c>
      <c r="Y33" s="227">
        <f>IFERROR(VLOOKUP(VLOOKUP(Y$18,$H$3:$K$33,3,FALSE)&amp;VLOOKUP(Y$18,$H$3:$K$33,4,FALSE),$B$3:$C$27,2,FALSE)*VLOOKUP($N33,$N$3:$AF$15,MATCH(VLOOKUP(Y$18,$H$3:$K$33,3,FALSE)&amp;VLOOKUP(Y$18,$H$3:$K$33,4,FALSE),$N$3:$AF$3,0),FALSE),Y32)</f>
        <v>102.00000000000031</v>
      </c>
      <c r="Z33" s="227">
        <f>IFERROR(VLOOKUP(VLOOKUP(Z$18,$H$3:$K$33,3,FALSE)&amp;VLOOKUP(Z$18,$H$3:$K$33,4,FALSE),$B$3:$C$27,2,FALSE)*VLOOKUP($N33,$N$3:$AF$15,MATCH(VLOOKUP(Z$18,$H$3:$K$33,3,FALSE)&amp;VLOOKUP(Z$18,$H$3:$K$33,4,FALSE),$N$3:$AF$3,0),FALSE),Z32)</f>
        <v>240.00000000000063</v>
      </c>
      <c r="AA33" s="227">
        <f>IFERROR(VLOOKUP(VLOOKUP(AA$18,$H$3:$K$33,3,FALSE)&amp;VLOOKUP(AA$18,$H$3:$K$33,4,FALSE),$B$3:$C$27,2,FALSE)*VLOOKUP($N33,$N$3:$AF$15,MATCH(VLOOKUP(AA$18,$H$3:$K$33,3,FALSE)&amp;VLOOKUP(AA$18,$H$3:$K$33,4,FALSE),$N$3:$AF$3,0),FALSE),AA32)</f>
        <v>544.00000000000091</v>
      </c>
      <c r="AB33" s="227">
        <f>IFERROR(VLOOKUP(VLOOKUP(AB$18,$H$3:$K$33,3,FALSE)&amp;VLOOKUP(AB$18,$H$3:$K$33,4,FALSE),$B$3:$C$27,2,FALSE)*VLOOKUP($N33,$N$3:$AF$15,MATCH(VLOOKUP(AB$18,$H$3:$K$33,3,FALSE)&amp;VLOOKUP(AB$18,$H$3:$K$33,4,FALSE),$N$3:$AF$3,0),FALSE),AB32)</f>
        <v>1044</v>
      </c>
      <c r="AC33" s="227">
        <f>IFERROR(VLOOKUP(VLOOKUP(AC$18,$H$3:$K$33,3,FALSE)&amp;VLOOKUP(AC$18,$H$3:$K$33,4,FALSE),$B$3:$C$27,2,FALSE)*VLOOKUP($N33,$N$3:$AF$15,MATCH(VLOOKUP(AC$18,$H$3:$K$33,3,FALSE)&amp;VLOOKUP(AC$18,$H$3:$K$33,4,FALSE),$N$3:$AF$3,0),FALSE),AC32)</f>
        <v>1620</v>
      </c>
      <c r="AD33" s="227">
        <f>IFERROR(VLOOKUP(VLOOKUP(AD$18,$H$3:$K$33,3,FALSE)&amp;VLOOKUP(AD$18,$H$3:$K$33,4,FALSE),$B$3:$C$27,2,FALSE)*VLOOKUP($N33,$N$3:$AF$15,MATCH(VLOOKUP(AD$18,$H$3:$K$33,3,FALSE)&amp;VLOOKUP(AD$18,$H$3:$K$33,4,FALSE),$N$3:$AF$3,0),FALSE),AD32)</f>
        <v>2052</v>
      </c>
      <c r="AE33" s="227">
        <f>IFERROR(VLOOKUP(VLOOKUP(AE$18,$H$3:$K$33,3,FALSE)&amp;VLOOKUP(AE$18,$H$3:$K$33,4,FALSE),$B$3:$C$27,2,FALSE)*VLOOKUP($N33,$N$3:$AF$15,MATCH(VLOOKUP(AE$18,$H$3:$K$33,3,FALSE)&amp;VLOOKUP(AE$18,$H$3:$K$33,4,FALSE),$N$3:$AF$3,0),FALSE),AE32)</f>
        <v>4200</v>
      </c>
      <c r="AF33" s="227">
        <f>IFERROR(VLOOKUP(VLOOKUP(AF$18,$H$3:$K$33,3,FALSE)&amp;VLOOKUP(AF$18,$H$3:$K$33,4,FALSE),$B$3:$C$27,2,FALSE)*VLOOKUP($N33,$N$3:$AF$15,MATCH(VLOOKUP(AF$18,$H$3:$K$33,3,FALSE)&amp;VLOOKUP(AF$18,$H$3:$K$33,4,FALSE),$N$3:$AF$3,0),FALSE),AF32)</f>
        <v>5250</v>
      </c>
      <c r="AG33" s="227">
        <f>IFERROR(VLOOKUP(VLOOKUP(AG$18,$H$3:$K$33,3,FALSE)&amp;VLOOKUP(AG$18,$H$3:$K$33,4,FALSE),$B$3:$C$27,2,FALSE)*VLOOKUP($N33,$N$3:$AF$15,MATCH(VLOOKUP(AG$18,$H$3:$K$33,3,FALSE)&amp;VLOOKUP(AG$18,$H$3:$K$33,4,FALSE),$N$3:$AF$3,0),FALSE),AG32)</f>
        <v>6510</v>
      </c>
      <c r="AH33" s="227">
        <f>IFERROR(VLOOKUP(VLOOKUP(AH$18,$H$3:$K$33,3,FALSE)&amp;VLOOKUP(AH$18,$H$3:$K$33,4,FALSE),$B$3:$C$27,2,FALSE)*VLOOKUP($N33,$N$3:$AF$15,MATCH(VLOOKUP(AH$18,$H$3:$K$33,3,FALSE)&amp;VLOOKUP(AH$18,$H$3:$K$33,4,FALSE),$N$3:$AF$3,0),FALSE),AH32)</f>
        <v>13056</v>
      </c>
      <c r="AI33" s="227">
        <f>IFERROR(VLOOKUP(VLOOKUP(AI$18,$H$3:$K$33,3,FALSE)&amp;VLOOKUP(AI$18,$H$3:$K$33,4,FALSE),$B$3:$C$27,2,FALSE)*VLOOKUP($N33,$N$3:$AF$15,MATCH(VLOOKUP(AI$18,$H$3:$K$33,3,FALSE)&amp;VLOOKUP(AI$18,$H$3:$K$33,4,FALSE),$N$3:$AF$3,0),FALSE),AI32)</f>
        <v>102.00000000000031</v>
      </c>
      <c r="AJ33" s="227">
        <f>IFERROR(VLOOKUP(VLOOKUP(AJ$18,$H$3:$K$33,3,FALSE)&amp;VLOOKUP(AJ$18,$H$3:$K$33,4,FALSE),$B$3:$C$27,2,FALSE)*VLOOKUP($N33,$N$3:$AF$15,MATCH(VLOOKUP(AJ$18,$H$3:$K$33,3,FALSE)&amp;VLOOKUP(AJ$18,$H$3:$K$33,4,FALSE),$N$3:$AF$3,0),FALSE),AJ32)</f>
        <v>240.00000000000063</v>
      </c>
      <c r="AK33" s="227">
        <f>IFERROR(VLOOKUP(VLOOKUP(AK$18,$H$3:$K$33,3,FALSE)&amp;VLOOKUP(AK$18,$H$3:$K$33,4,FALSE),$B$3:$C$27,2,FALSE)*VLOOKUP($N33,$N$3:$AF$15,MATCH(VLOOKUP(AK$18,$H$3:$K$33,3,FALSE)&amp;VLOOKUP(AK$18,$H$3:$K$33,4,FALSE),$N$3:$AF$3,0),FALSE),AK32)</f>
        <v>544.00000000000091</v>
      </c>
      <c r="AL33" s="227">
        <f>IFERROR(VLOOKUP(VLOOKUP(AL$18,$H$3:$K$33,3,FALSE)&amp;VLOOKUP(AL$18,$H$3:$K$33,4,FALSE),$B$3:$C$27,2,FALSE)*VLOOKUP($N33,$N$3:$AF$15,MATCH(VLOOKUP(AL$18,$H$3:$K$33,3,FALSE)&amp;VLOOKUP(AL$18,$H$3:$K$33,4,FALSE),$N$3:$AF$3,0),FALSE),AL32)</f>
        <v>1044</v>
      </c>
      <c r="AM33" s="227">
        <f>IFERROR(VLOOKUP(VLOOKUP(AM$18,$H$3:$K$33,3,FALSE)&amp;VLOOKUP(AM$18,$H$3:$K$33,4,FALSE),$B$3:$C$27,2,FALSE)*VLOOKUP($N33,$N$3:$AF$15,MATCH(VLOOKUP(AM$18,$H$3:$K$33,3,FALSE)&amp;VLOOKUP(AM$18,$H$3:$K$33,4,FALSE),$N$3:$AF$3,0),FALSE),AM32)</f>
        <v>1620</v>
      </c>
      <c r="AN33" s="227">
        <f>IFERROR(VLOOKUP(VLOOKUP(AN$18,$H$3:$K$33,3,FALSE)&amp;VLOOKUP(AN$18,$H$3:$K$33,4,FALSE),$B$3:$C$27,2,FALSE)*VLOOKUP($N33,$N$3:$AF$15,MATCH(VLOOKUP(AN$18,$H$3:$K$33,3,FALSE)&amp;VLOOKUP(AN$18,$H$3:$K$33,4,FALSE),$N$3:$AF$3,0),FALSE),AN32)</f>
        <v>2052</v>
      </c>
      <c r="AO33" s="227">
        <f>IFERROR(VLOOKUP(VLOOKUP(AO$18,$H$3:$K$33,3,FALSE)&amp;VLOOKUP(AO$18,$H$3:$K$33,4,FALSE),$B$3:$C$27,2,FALSE)*VLOOKUP($N33,$N$3:$AF$15,MATCH(VLOOKUP(AO$18,$H$3:$K$33,3,FALSE)&amp;VLOOKUP(AO$18,$H$3:$K$33,4,FALSE),$N$3:$AF$3,0),FALSE),AO32)</f>
        <v>4200</v>
      </c>
      <c r="AP33" s="227">
        <f>IFERROR(VLOOKUP(VLOOKUP(AP$18,$H$3:$K$33,3,FALSE)&amp;VLOOKUP(AP$18,$H$3:$K$33,4,FALSE),$B$3:$C$27,2,FALSE)*VLOOKUP($N33,$N$3:$AF$15,MATCH(VLOOKUP(AP$18,$H$3:$K$33,3,FALSE)&amp;VLOOKUP(AP$18,$H$3:$K$33,4,FALSE),$N$3:$AF$3,0),FALSE),AP32)</f>
        <v>5250</v>
      </c>
      <c r="AQ33" s="227">
        <f>IFERROR(VLOOKUP(VLOOKUP(AQ$18,$H$3:$K$33,3,FALSE)&amp;VLOOKUP(AQ$18,$H$3:$K$33,4,FALSE),$B$3:$C$27,2,FALSE)*VLOOKUP($N33,$N$3:$AF$15,MATCH(VLOOKUP(AQ$18,$H$3:$K$33,3,FALSE)&amp;VLOOKUP(AQ$18,$H$3:$K$33,4,FALSE),$N$3:$AF$3,0),FALSE),AQ32)</f>
        <v>6510</v>
      </c>
      <c r="AR33" s="227">
        <f>IFERROR(VLOOKUP(VLOOKUP(AR$18,$H$3:$K$33,3,FALSE)&amp;VLOOKUP(AR$18,$H$3:$K$33,4,FALSE),$B$3:$C$27,2,FALSE)*VLOOKUP($N33,$N$3:$AF$15,MATCH(VLOOKUP(AR$18,$H$3:$K$33,3,FALSE)&amp;VLOOKUP(AR$18,$H$3:$K$33,4,FALSE),$N$3:$AF$3,0),FALSE),AR32)</f>
        <v>13056</v>
      </c>
    </row>
    <row r="34" spans="2:44" x14ac:dyDescent="0.35">
      <c r="B34" s="617" t="s">
        <v>1114</v>
      </c>
      <c r="C34" s="159">
        <f>C16</f>
        <v>60</v>
      </c>
      <c r="D34" s="707">
        <v>1.2</v>
      </c>
      <c r="E34" s="617">
        <f>MROUND(C34*D34,5)</f>
        <v>70</v>
      </c>
      <c r="G34" s="631"/>
      <c r="N34" s="219">
        <v>16</v>
      </c>
      <c r="O34" s="227">
        <f>IFERROR(VLOOKUP(VLOOKUP(O$18,$H$3:$K$33,3,FALSE)&amp;VLOOKUP(O$18,$H$3:$K$33,4,FALSE),$B$3:$C$27,2,FALSE)*VLOOKUP($N34,$N$3:$AF$15,MATCH(VLOOKUP(O$18,$H$3:$K$33,3,FALSE)&amp;VLOOKUP(O$18,$H$3:$K$33,4,FALSE),$N$3:$AF$3,0),FALSE),O33)</f>
        <v>102.00000000000031</v>
      </c>
      <c r="P34" s="227">
        <f>IFERROR(VLOOKUP(VLOOKUP(P$18,$H$3:$K$33,3,FALSE)&amp;VLOOKUP(P$18,$H$3:$K$33,4,FALSE),$B$3:$C$27,2,FALSE)*VLOOKUP($N34,$N$3:$AF$15,MATCH(VLOOKUP(P$18,$H$3:$K$33,3,FALSE)&amp;VLOOKUP(P$18,$H$3:$K$33,4,FALSE),$N$3:$AF$3,0),FALSE),P33)</f>
        <v>240.00000000000063</v>
      </c>
      <c r="Q34" s="227">
        <f>IFERROR(VLOOKUP(VLOOKUP(Q$18,$H$3:$K$33,3,FALSE)&amp;VLOOKUP(Q$18,$H$3:$K$33,4,FALSE),$B$3:$C$27,2,FALSE)*VLOOKUP($N34,$N$3:$AF$15,MATCH(VLOOKUP(Q$18,$H$3:$K$33,3,FALSE)&amp;VLOOKUP(Q$18,$H$3:$K$33,4,FALSE),$N$3:$AF$3,0),FALSE),Q33)</f>
        <v>544.00000000000091</v>
      </c>
      <c r="R34" s="227">
        <f>IFERROR(VLOOKUP(VLOOKUP(R$18,$H$3:$K$33,3,FALSE)&amp;VLOOKUP(R$18,$H$3:$K$33,4,FALSE),$B$3:$C$27,2,FALSE)*VLOOKUP($N34,$N$3:$AF$15,MATCH(VLOOKUP(R$18,$H$3:$K$33,3,FALSE)&amp;VLOOKUP(R$18,$H$3:$K$33,4,FALSE),$N$3:$AF$3,0),FALSE),R33)</f>
        <v>1044</v>
      </c>
      <c r="S34" s="227">
        <f>IFERROR(VLOOKUP(VLOOKUP(S$18,$H$3:$K$33,3,FALSE)&amp;VLOOKUP(S$18,$H$3:$K$33,4,FALSE),$B$3:$C$27,2,FALSE)*VLOOKUP($N34,$N$3:$AF$15,MATCH(VLOOKUP(S$18,$H$3:$K$33,3,FALSE)&amp;VLOOKUP(S$18,$H$3:$K$33,4,FALSE),$N$3:$AF$3,0),FALSE),S33)</f>
        <v>1620</v>
      </c>
      <c r="T34" s="227">
        <f>IFERROR(VLOOKUP(VLOOKUP(T$18,$H$3:$K$33,3,FALSE)&amp;VLOOKUP(T$18,$H$3:$K$33,4,FALSE),$B$3:$C$27,2,FALSE)*VLOOKUP($N34,$N$3:$AF$15,MATCH(VLOOKUP(T$18,$H$3:$K$33,3,FALSE)&amp;VLOOKUP(T$18,$H$3:$K$33,4,FALSE),$N$3:$AF$3,0),FALSE),T33)</f>
        <v>2052</v>
      </c>
      <c r="U34" s="227">
        <f>IFERROR(VLOOKUP(VLOOKUP(U$18,$H$3:$K$33,3,FALSE)&amp;VLOOKUP(U$18,$H$3:$K$33,4,FALSE),$B$3:$C$27,2,FALSE)*VLOOKUP($N34,$N$3:$AF$15,MATCH(VLOOKUP(U$18,$H$3:$K$33,3,FALSE)&amp;VLOOKUP(U$18,$H$3:$K$33,4,FALSE),$N$3:$AF$3,0),FALSE),U33)</f>
        <v>4200</v>
      </c>
      <c r="V34" s="227">
        <f>IFERROR(VLOOKUP(VLOOKUP(V$18,$H$3:$K$33,3,FALSE)&amp;VLOOKUP(V$18,$H$3:$K$33,4,FALSE),$B$3:$C$27,2,FALSE)*VLOOKUP($N34,$N$3:$AF$15,MATCH(VLOOKUP(V$18,$H$3:$K$33,3,FALSE)&amp;VLOOKUP(V$18,$H$3:$K$33,4,FALSE),$N$3:$AF$3,0),FALSE),V33)</f>
        <v>5250</v>
      </c>
      <c r="W34" s="227">
        <f>IFERROR(VLOOKUP(VLOOKUP(W$18,$H$3:$K$33,3,FALSE)&amp;VLOOKUP(W$18,$H$3:$K$33,4,FALSE),$B$3:$C$27,2,FALSE)*VLOOKUP($N34,$N$3:$AF$15,MATCH(VLOOKUP(W$18,$H$3:$K$33,3,FALSE)&amp;VLOOKUP(W$18,$H$3:$K$33,4,FALSE),$N$3:$AF$3,0),FALSE),W33)</f>
        <v>6510</v>
      </c>
      <c r="X34" s="227">
        <f>IFERROR(VLOOKUP(VLOOKUP(X$18,$H$3:$K$33,3,FALSE)&amp;VLOOKUP(X$18,$H$3:$K$33,4,FALSE),$B$3:$C$27,2,FALSE)*VLOOKUP($N34,$N$3:$AF$15,MATCH(VLOOKUP(X$18,$H$3:$K$33,3,FALSE)&amp;VLOOKUP(X$18,$H$3:$K$33,4,FALSE),$N$3:$AF$3,0),FALSE),X33)</f>
        <v>13056</v>
      </c>
      <c r="Y34" s="227">
        <f>IFERROR(VLOOKUP(VLOOKUP(Y$18,$H$3:$K$33,3,FALSE)&amp;VLOOKUP(Y$18,$H$3:$K$33,4,FALSE),$B$3:$C$27,2,FALSE)*VLOOKUP($N34,$N$3:$AF$15,MATCH(VLOOKUP(Y$18,$H$3:$K$33,3,FALSE)&amp;VLOOKUP(Y$18,$H$3:$K$33,4,FALSE),$N$3:$AF$3,0),FALSE),Y33)</f>
        <v>102.00000000000031</v>
      </c>
      <c r="Z34" s="227">
        <f>IFERROR(VLOOKUP(VLOOKUP(Z$18,$H$3:$K$33,3,FALSE)&amp;VLOOKUP(Z$18,$H$3:$K$33,4,FALSE),$B$3:$C$27,2,FALSE)*VLOOKUP($N34,$N$3:$AF$15,MATCH(VLOOKUP(Z$18,$H$3:$K$33,3,FALSE)&amp;VLOOKUP(Z$18,$H$3:$K$33,4,FALSE),$N$3:$AF$3,0),FALSE),Z33)</f>
        <v>240.00000000000063</v>
      </c>
      <c r="AA34" s="227">
        <f>IFERROR(VLOOKUP(VLOOKUP(AA$18,$H$3:$K$33,3,FALSE)&amp;VLOOKUP(AA$18,$H$3:$K$33,4,FALSE),$B$3:$C$27,2,FALSE)*VLOOKUP($N34,$N$3:$AF$15,MATCH(VLOOKUP(AA$18,$H$3:$K$33,3,FALSE)&amp;VLOOKUP(AA$18,$H$3:$K$33,4,FALSE),$N$3:$AF$3,0),FALSE),AA33)</f>
        <v>544.00000000000091</v>
      </c>
      <c r="AB34" s="227">
        <f>IFERROR(VLOOKUP(VLOOKUP(AB$18,$H$3:$K$33,3,FALSE)&amp;VLOOKUP(AB$18,$H$3:$K$33,4,FALSE),$B$3:$C$27,2,FALSE)*VLOOKUP($N34,$N$3:$AF$15,MATCH(VLOOKUP(AB$18,$H$3:$K$33,3,FALSE)&amp;VLOOKUP(AB$18,$H$3:$K$33,4,FALSE),$N$3:$AF$3,0),FALSE),AB33)</f>
        <v>1044</v>
      </c>
      <c r="AC34" s="227">
        <f>IFERROR(VLOOKUP(VLOOKUP(AC$18,$H$3:$K$33,3,FALSE)&amp;VLOOKUP(AC$18,$H$3:$K$33,4,FALSE),$B$3:$C$27,2,FALSE)*VLOOKUP($N34,$N$3:$AF$15,MATCH(VLOOKUP(AC$18,$H$3:$K$33,3,FALSE)&amp;VLOOKUP(AC$18,$H$3:$K$33,4,FALSE),$N$3:$AF$3,0),FALSE),AC33)</f>
        <v>1620</v>
      </c>
      <c r="AD34" s="227">
        <f>IFERROR(VLOOKUP(VLOOKUP(AD$18,$H$3:$K$33,3,FALSE)&amp;VLOOKUP(AD$18,$H$3:$K$33,4,FALSE),$B$3:$C$27,2,FALSE)*VLOOKUP($N34,$N$3:$AF$15,MATCH(VLOOKUP(AD$18,$H$3:$K$33,3,FALSE)&amp;VLOOKUP(AD$18,$H$3:$K$33,4,FALSE),$N$3:$AF$3,0),FALSE),AD33)</f>
        <v>2052</v>
      </c>
      <c r="AE34" s="227">
        <f>IFERROR(VLOOKUP(VLOOKUP(AE$18,$H$3:$K$33,3,FALSE)&amp;VLOOKUP(AE$18,$H$3:$K$33,4,FALSE),$B$3:$C$27,2,FALSE)*VLOOKUP($N34,$N$3:$AF$15,MATCH(VLOOKUP(AE$18,$H$3:$K$33,3,FALSE)&amp;VLOOKUP(AE$18,$H$3:$K$33,4,FALSE),$N$3:$AF$3,0),FALSE),AE33)</f>
        <v>4200</v>
      </c>
      <c r="AF34" s="227">
        <f>IFERROR(VLOOKUP(VLOOKUP(AF$18,$H$3:$K$33,3,FALSE)&amp;VLOOKUP(AF$18,$H$3:$K$33,4,FALSE),$B$3:$C$27,2,FALSE)*VLOOKUP($N34,$N$3:$AF$15,MATCH(VLOOKUP(AF$18,$H$3:$K$33,3,FALSE)&amp;VLOOKUP(AF$18,$H$3:$K$33,4,FALSE),$N$3:$AF$3,0),FALSE),AF33)</f>
        <v>5250</v>
      </c>
      <c r="AG34" s="227">
        <f>IFERROR(VLOOKUP(VLOOKUP(AG$18,$H$3:$K$33,3,FALSE)&amp;VLOOKUP(AG$18,$H$3:$K$33,4,FALSE),$B$3:$C$27,2,FALSE)*VLOOKUP($N34,$N$3:$AF$15,MATCH(VLOOKUP(AG$18,$H$3:$K$33,3,FALSE)&amp;VLOOKUP(AG$18,$H$3:$K$33,4,FALSE),$N$3:$AF$3,0),FALSE),AG33)</f>
        <v>6510</v>
      </c>
      <c r="AH34" s="227">
        <f>IFERROR(VLOOKUP(VLOOKUP(AH$18,$H$3:$K$33,3,FALSE)&amp;VLOOKUP(AH$18,$H$3:$K$33,4,FALSE),$B$3:$C$27,2,FALSE)*VLOOKUP($N34,$N$3:$AF$15,MATCH(VLOOKUP(AH$18,$H$3:$K$33,3,FALSE)&amp;VLOOKUP(AH$18,$H$3:$K$33,4,FALSE),$N$3:$AF$3,0),FALSE),AH33)</f>
        <v>13056</v>
      </c>
      <c r="AI34" s="227">
        <f>IFERROR(VLOOKUP(VLOOKUP(AI$18,$H$3:$K$33,3,FALSE)&amp;VLOOKUP(AI$18,$H$3:$K$33,4,FALSE),$B$3:$C$27,2,FALSE)*VLOOKUP($N34,$N$3:$AF$15,MATCH(VLOOKUP(AI$18,$H$3:$K$33,3,FALSE)&amp;VLOOKUP(AI$18,$H$3:$K$33,4,FALSE),$N$3:$AF$3,0),FALSE),AI33)</f>
        <v>102.00000000000031</v>
      </c>
      <c r="AJ34" s="227">
        <f>IFERROR(VLOOKUP(VLOOKUP(AJ$18,$H$3:$K$33,3,FALSE)&amp;VLOOKUP(AJ$18,$H$3:$K$33,4,FALSE),$B$3:$C$27,2,FALSE)*VLOOKUP($N34,$N$3:$AF$15,MATCH(VLOOKUP(AJ$18,$H$3:$K$33,3,FALSE)&amp;VLOOKUP(AJ$18,$H$3:$K$33,4,FALSE),$N$3:$AF$3,0),FALSE),AJ33)</f>
        <v>240.00000000000063</v>
      </c>
      <c r="AK34" s="227">
        <f>IFERROR(VLOOKUP(VLOOKUP(AK$18,$H$3:$K$33,3,FALSE)&amp;VLOOKUP(AK$18,$H$3:$K$33,4,FALSE),$B$3:$C$27,2,FALSE)*VLOOKUP($N34,$N$3:$AF$15,MATCH(VLOOKUP(AK$18,$H$3:$K$33,3,FALSE)&amp;VLOOKUP(AK$18,$H$3:$K$33,4,FALSE),$N$3:$AF$3,0),FALSE),AK33)</f>
        <v>544.00000000000091</v>
      </c>
      <c r="AL34" s="227">
        <f>IFERROR(VLOOKUP(VLOOKUP(AL$18,$H$3:$K$33,3,FALSE)&amp;VLOOKUP(AL$18,$H$3:$K$33,4,FALSE),$B$3:$C$27,2,FALSE)*VLOOKUP($N34,$N$3:$AF$15,MATCH(VLOOKUP(AL$18,$H$3:$K$33,3,FALSE)&amp;VLOOKUP(AL$18,$H$3:$K$33,4,FALSE),$N$3:$AF$3,0),FALSE),AL33)</f>
        <v>1044</v>
      </c>
      <c r="AM34" s="227">
        <f>IFERROR(VLOOKUP(VLOOKUP(AM$18,$H$3:$K$33,3,FALSE)&amp;VLOOKUP(AM$18,$H$3:$K$33,4,FALSE),$B$3:$C$27,2,FALSE)*VLOOKUP($N34,$N$3:$AF$15,MATCH(VLOOKUP(AM$18,$H$3:$K$33,3,FALSE)&amp;VLOOKUP(AM$18,$H$3:$K$33,4,FALSE),$N$3:$AF$3,0),FALSE),AM33)</f>
        <v>1620</v>
      </c>
      <c r="AN34" s="227">
        <f>IFERROR(VLOOKUP(VLOOKUP(AN$18,$H$3:$K$33,3,FALSE)&amp;VLOOKUP(AN$18,$H$3:$K$33,4,FALSE),$B$3:$C$27,2,FALSE)*VLOOKUP($N34,$N$3:$AF$15,MATCH(VLOOKUP(AN$18,$H$3:$K$33,3,FALSE)&amp;VLOOKUP(AN$18,$H$3:$K$33,4,FALSE),$N$3:$AF$3,0),FALSE),AN33)</f>
        <v>2052</v>
      </c>
      <c r="AO34" s="227">
        <f>IFERROR(VLOOKUP(VLOOKUP(AO$18,$H$3:$K$33,3,FALSE)&amp;VLOOKUP(AO$18,$H$3:$K$33,4,FALSE),$B$3:$C$27,2,FALSE)*VLOOKUP($N34,$N$3:$AF$15,MATCH(VLOOKUP(AO$18,$H$3:$K$33,3,FALSE)&amp;VLOOKUP(AO$18,$H$3:$K$33,4,FALSE),$N$3:$AF$3,0),FALSE),AO33)</f>
        <v>4200</v>
      </c>
      <c r="AP34" s="227">
        <f>IFERROR(VLOOKUP(VLOOKUP(AP$18,$H$3:$K$33,3,FALSE)&amp;VLOOKUP(AP$18,$H$3:$K$33,4,FALSE),$B$3:$C$27,2,FALSE)*VLOOKUP($N34,$N$3:$AF$15,MATCH(VLOOKUP(AP$18,$H$3:$K$33,3,FALSE)&amp;VLOOKUP(AP$18,$H$3:$K$33,4,FALSE),$N$3:$AF$3,0),FALSE),AP33)</f>
        <v>5250</v>
      </c>
      <c r="AQ34" s="227">
        <f>IFERROR(VLOOKUP(VLOOKUP(AQ$18,$H$3:$K$33,3,FALSE)&amp;VLOOKUP(AQ$18,$H$3:$K$33,4,FALSE),$B$3:$C$27,2,FALSE)*VLOOKUP($N34,$N$3:$AF$15,MATCH(VLOOKUP(AQ$18,$H$3:$K$33,3,FALSE)&amp;VLOOKUP(AQ$18,$H$3:$K$33,4,FALSE),$N$3:$AF$3,0),FALSE),AQ33)</f>
        <v>6510</v>
      </c>
      <c r="AR34" s="227">
        <f>IFERROR(VLOOKUP(VLOOKUP(AR$18,$H$3:$K$33,3,FALSE)&amp;VLOOKUP(AR$18,$H$3:$K$33,4,FALSE),$B$3:$C$27,2,FALSE)*VLOOKUP($N34,$N$3:$AF$15,MATCH(VLOOKUP(AR$18,$H$3:$K$33,3,FALSE)&amp;VLOOKUP(AR$18,$H$3:$K$33,4,FALSE),$N$3:$AF$3,0),FALSE),AR33)</f>
        <v>13056</v>
      </c>
    </row>
    <row r="35" spans="2:44" x14ac:dyDescent="0.35">
      <c r="B35" s="617" t="s">
        <v>1115</v>
      </c>
      <c r="C35" s="159">
        <f>C17</f>
        <v>60</v>
      </c>
      <c r="D35" s="707">
        <v>1.79</v>
      </c>
      <c r="E35" s="713">
        <f t="shared" ref="E35:E45" si="0">MROUND(C35*D35,5)</f>
        <v>105</v>
      </c>
      <c r="G35" s="631"/>
      <c r="N35" s="219">
        <v>17</v>
      </c>
      <c r="O35" s="227">
        <f>IFERROR(VLOOKUP(VLOOKUP(O$18,$H$3:$K$33,3,FALSE)&amp;VLOOKUP(O$18,$H$3:$K$33,4,FALSE),$B$3:$C$27,2,FALSE)*VLOOKUP($N35,$N$3:$AF$15,MATCH(VLOOKUP(O$18,$H$3:$K$33,3,FALSE)&amp;VLOOKUP(O$18,$H$3:$K$33,4,FALSE),$N$3:$AF$3,0),FALSE),O34)</f>
        <v>102.00000000000031</v>
      </c>
      <c r="P35" s="227">
        <f>IFERROR(VLOOKUP(VLOOKUP(P$18,$H$3:$K$33,3,FALSE)&amp;VLOOKUP(P$18,$H$3:$K$33,4,FALSE),$B$3:$C$27,2,FALSE)*VLOOKUP($N35,$N$3:$AF$15,MATCH(VLOOKUP(P$18,$H$3:$K$33,3,FALSE)&amp;VLOOKUP(P$18,$H$3:$K$33,4,FALSE),$N$3:$AF$3,0),FALSE),P34)</f>
        <v>240.00000000000063</v>
      </c>
      <c r="Q35" s="227">
        <f>IFERROR(VLOOKUP(VLOOKUP(Q$18,$H$3:$K$33,3,FALSE)&amp;VLOOKUP(Q$18,$H$3:$K$33,4,FALSE),$B$3:$C$27,2,FALSE)*VLOOKUP($N35,$N$3:$AF$15,MATCH(VLOOKUP(Q$18,$H$3:$K$33,3,FALSE)&amp;VLOOKUP(Q$18,$H$3:$K$33,4,FALSE),$N$3:$AF$3,0),FALSE),Q34)</f>
        <v>544.00000000000091</v>
      </c>
      <c r="R35" s="227">
        <f>IFERROR(VLOOKUP(VLOOKUP(R$18,$H$3:$K$33,3,FALSE)&amp;VLOOKUP(R$18,$H$3:$K$33,4,FALSE),$B$3:$C$27,2,FALSE)*VLOOKUP($N35,$N$3:$AF$15,MATCH(VLOOKUP(R$18,$H$3:$K$33,3,FALSE)&amp;VLOOKUP(R$18,$H$3:$K$33,4,FALSE),$N$3:$AF$3,0),FALSE),R34)</f>
        <v>1044</v>
      </c>
      <c r="S35" s="227">
        <f>IFERROR(VLOOKUP(VLOOKUP(S$18,$H$3:$K$33,3,FALSE)&amp;VLOOKUP(S$18,$H$3:$K$33,4,FALSE),$B$3:$C$27,2,FALSE)*VLOOKUP($N35,$N$3:$AF$15,MATCH(VLOOKUP(S$18,$H$3:$K$33,3,FALSE)&amp;VLOOKUP(S$18,$H$3:$K$33,4,FALSE),$N$3:$AF$3,0),FALSE),S34)</f>
        <v>1620</v>
      </c>
      <c r="T35" s="227">
        <f>IFERROR(VLOOKUP(VLOOKUP(T$18,$H$3:$K$33,3,FALSE)&amp;VLOOKUP(T$18,$H$3:$K$33,4,FALSE),$B$3:$C$27,2,FALSE)*VLOOKUP($N35,$N$3:$AF$15,MATCH(VLOOKUP(T$18,$H$3:$K$33,3,FALSE)&amp;VLOOKUP(T$18,$H$3:$K$33,4,FALSE),$N$3:$AF$3,0),FALSE),T34)</f>
        <v>2052</v>
      </c>
      <c r="U35" s="227">
        <f>IFERROR(VLOOKUP(VLOOKUP(U$18,$H$3:$K$33,3,FALSE)&amp;VLOOKUP(U$18,$H$3:$K$33,4,FALSE),$B$3:$C$27,2,FALSE)*VLOOKUP($N35,$N$3:$AF$15,MATCH(VLOOKUP(U$18,$H$3:$K$33,3,FALSE)&amp;VLOOKUP(U$18,$H$3:$K$33,4,FALSE),$N$3:$AF$3,0),FALSE),U34)</f>
        <v>4200</v>
      </c>
      <c r="V35" s="227">
        <f>IFERROR(VLOOKUP(VLOOKUP(V$18,$H$3:$K$33,3,FALSE)&amp;VLOOKUP(V$18,$H$3:$K$33,4,FALSE),$B$3:$C$27,2,FALSE)*VLOOKUP($N35,$N$3:$AF$15,MATCH(VLOOKUP(V$18,$H$3:$K$33,3,FALSE)&amp;VLOOKUP(V$18,$H$3:$K$33,4,FALSE),$N$3:$AF$3,0),FALSE),V34)</f>
        <v>5250</v>
      </c>
      <c r="W35" s="227">
        <f>IFERROR(VLOOKUP(VLOOKUP(W$18,$H$3:$K$33,3,FALSE)&amp;VLOOKUP(W$18,$H$3:$K$33,4,FALSE),$B$3:$C$27,2,FALSE)*VLOOKUP($N35,$N$3:$AF$15,MATCH(VLOOKUP(W$18,$H$3:$K$33,3,FALSE)&amp;VLOOKUP(W$18,$H$3:$K$33,4,FALSE),$N$3:$AF$3,0),FALSE),W34)</f>
        <v>6510</v>
      </c>
      <c r="X35" s="227">
        <f>IFERROR(VLOOKUP(VLOOKUP(X$18,$H$3:$K$33,3,FALSE)&amp;VLOOKUP(X$18,$H$3:$K$33,4,FALSE),$B$3:$C$27,2,FALSE)*VLOOKUP($N35,$N$3:$AF$15,MATCH(VLOOKUP(X$18,$H$3:$K$33,3,FALSE)&amp;VLOOKUP(X$18,$H$3:$K$33,4,FALSE),$N$3:$AF$3,0),FALSE),X34)</f>
        <v>13056</v>
      </c>
      <c r="Y35" s="227">
        <f>IFERROR(VLOOKUP(VLOOKUP(Y$18,$H$3:$K$33,3,FALSE)&amp;VLOOKUP(Y$18,$H$3:$K$33,4,FALSE),$B$3:$C$27,2,FALSE)*VLOOKUP($N35,$N$3:$AF$15,MATCH(VLOOKUP(Y$18,$H$3:$K$33,3,FALSE)&amp;VLOOKUP(Y$18,$H$3:$K$33,4,FALSE),$N$3:$AF$3,0),FALSE),Y34)</f>
        <v>102.00000000000031</v>
      </c>
      <c r="Z35" s="227">
        <f>IFERROR(VLOOKUP(VLOOKUP(Z$18,$H$3:$K$33,3,FALSE)&amp;VLOOKUP(Z$18,$H$3:$K$33,4,FALSE),$B$3:$C$27,2,FALSE)*VLOOKUP($N35,$N$3:$AF$15,MATCH(VLOOKUP(Z$18,$H$3:$K$33,3,FALSE)&amp;VLOOKUP(Z$18,$H$3:$K$33,4,FALSE),$N$3:$AF$3,0),FALSE),Z34)</f>
        <v>240.00000000000063</v>
      </c>
      <c r="AA35" s="227">
        <f>IFERROR(VLOOKUP(VLOOKUP(AA$18,$H$3:$K$33,3,FALSE)&amp;VLOOKUP(AA$18,$H$3:$K$33,4,FALSE),$B$3:$C$27,2,FALSE)*VLOOKUP($N35,$N$3:$AF$15,MATCH(VLOOKUP(AA$18,$H$3:$K$33,3,FALSE)&amp;VLOOKUP(AA$18,$H$3:$K$33,4,FALSE),$N$3:$AF$3,0),FALSE),AA34)</f>
        <v>544.00000000000091</v>
      </c>
      <c r="AB35" s="227">
        <f>IFERROR(VLOOKUP(VLOOKUP(AB$18,$H$3:$K$33,3,FALSE)&amp;VLOOKUP(AB$18,$H$3:$K$33,4,FALSE),$B$3:$C$27,2,FALSE)*VLOOKUP($N35,$N$3:$AF$15,MATCH(VLOOKUP(AB$18,$H$3:$K$33,3,FALSE)&amp;VLOOKUP(AB$18,$H$3:$K$33,4,FALSE),$N$3:$AF$3,0),FALSE),AB34)</f>
        <v>1044</v>
      </c>
      <c r="AC35" s="227">
        <f>IFERROR(VLOOKUP(VLOOKUP(AC$18,$H$3:$K$33,3,FALSE)&amp;VLOOKUP(AC$18,$H$3:$K$33,4,FALSE),$B$3:$C$27,2,FALSE)*VLOOKUP($N35,$N$3:$AF$15,MATCH(VLOOKUP(AC$18,$H$3:$K$33,3,FALSE)&amp;VLOOKUP(AC$18,$H$3:$K$33,4,FALSE),$N$3:$AF$3,0),FALSE),AC34)</f>
        <v>1620</v>
      </c>
      <c r="AD35" s="227">
        <f>IFERROR(VLOOKUP(VLOOKUP(AD$18,$H$3:$K$33,3,FALSE)&amp;VLOOKUP(AD$18,$H$3:$K$33,4,FALSE),$B$3:$C$27,2,FALSE)*VLOOKUP($N35,$N$3:$AF$15,MATCH(VLOOKUP(AD$18,$H$3:$K$33,3,FALSE)&amp;VLOOKUP(AD$18,$H$3:$K$33,4,FALSE),$N$3:$AF$3,0),FALSE),AD34)</f>
        <v>2052</v>
      </c>
      <c r="AE35" s="227">
        <f>IFERROR(VLOOKUP(VLOOKUP(AE$18,$H$3:$K$33,3,FALSE)&amp;VLOOKUP(AE$18,$H$3:$K$33,4,FALSE),$B$3:$C$27,2,FALSE)*VLOOKUP($N35,$N$3:$AF$15,MATCH(VLOOKUP(AE$18,$H$3:$K$33,3,FALSE)&amp;VLOOKUP(AE$18,$H$3:$K$33,4,FALSE),$N$3:$AF$3,0),FALSE),AE34)</f>
        <v>4200</v>
      </c>
      <c r="AF35" s="227">
        <f>IFERROR(VLOOKUP(VLOOKUP(AF$18,$H$3:$K$33,3,FALSE)&amp;VLOOKUP(AF$18,$H$3:$K$33,4,FALSE),$B$3:$C$27,2,FALSE)*VLOOKUP($N35,$N$3:$AF$15,MATCH(VLOOKUP(AF$18,$H$3:$K$33,3,FALSE)&amp;VLOOKUP(AF$18,$H$3:$K$33,4,FALSE),$N$3:$AF$3,0),FALSE),AF34)</f>
        <v>5250</v>
      </c>
      <c r="AG35" s="227">
        <f>IFERROR(VLOOKUP(VLOOKUP(AG$18,$H$3:$K$33,3,FALSE)&amp;VLOOKUP(AG$18,$H$3:$K$33,4,FALSE),$B$3:$C$27,2,FALSE)*VLOOKUP($N35,$N$3:$AF$15,MATCH(VLOOKUP(AG$18,$H$3:$K$33,3,FALSE)&amp;VLOOKUP(AG$18,$H$3:$K$33,4,FALSE),$N$3:$AF$3,0),FALSE),AG34)</f>
        <v>6510</v>
      </c>
      <c r="AH35" s="227">
        <f>IFERROR(VLOOKUP(VLOOKUP(AH$18,$H$3:$K$33,3,FALSE)&amp;VLOOKUP(AH$18,$H$3:$K$33,4,FALSE),$B$3:$C$27,2,FALSE)*VLOOKUP($N35,$N$3:$AF$15,MATCH(VLOOKUP(AH$18,$H$3:$K$33,3,FALSE)&amp;VLOOKUP(AH$18,$H$3:$K$33,4,FALSE),$N$3:$AF$3,0),FALSE),AH34)</f>
        <v>13056</v>
      </c>
      <c r="AI35" s="227">
        <f>IFERROR(VLOOKUP(VLOOKUP(AI$18,$H$3:$K$33,3,FALSE)&amp;VLOOKUP(AI$18,$H$3:$K$33,4,FALSE),$B$3:$C$27,2,FALSE)*VLOOKUP($N35,$N$3:$AF$15,MATCH(VLOOKUP(AI$18,$H$3:$K$33,3,FALSE)&amp;VLOOKUP(AI$18,$H$3:$K$33,4,FALSE),$N$3:$AF$3,0),FALSE),AI34)</f>
        <v>102.00000000000031</v>
      </c>
      <c r="AJ35" s="227">
        <f>IFERROR(VLOOKUP(VLOOKUP(AJ$18,$H$3:$K$33,3,FALSE)&amp;VLOOKUP(AJ$18,$H$3:$K$33,4,FALSE),$B$3:$C$27,2,FALSE)*VLOOKUP($N35,$N$3:$AF$15,MATCH(VLOOKUP(AJ$18,$H$3:$K$33,3,FALSE)&amp;VLOOKUP(AJ$18,$H$3:$K$33,4,FALSE),$N$3:$AF$3,0),FALSE),AJ34)</f>
        <v>240.00000000000063</v>
      </c>
      <c r="AK35" s="227">
        <f>IFERROR(VLOOKUP(VLOOKUP(AK$18,$H$3:$K$33,3,FALSE)&amp;VLOOKUP(AK$18,$H$3:$K$33,4,FALSE),$B$3:$C$27,2,FALSE)*VLOOKUP($N35,$N$3:$AF$15,MATCH(VLOOKUP(AK$18,$H$3:$K$33,3,FALSE)&amp;VLOOKUP(AK$18,$H$3:$K$33,4,FALSE),$N$3:$AF$3,0),FALSE),AK34)</f>
        <v>544.00000000000091</v>
      </c>
      <c r="AL35" s="227">
        <f>IFERROR(VLOOKUP(VLOOKUP(AL$18,$H$3:$K$33,3,FALSE)&amp;VLOOKUP(AL$18,$H$3:$K$33,4,FALSE),$B$3:$C$27,2,FALSE)*VLOOKUP($N35,$N$3:$AF$15,MATCH(VLOOKUP(AL$18,$H$3:$K$33,3,FALSE)&amp;VLOOKUP(AL$18,$H$3:$K$33,4,FALSE),$N$3:$AF$3,0),FALSE),AL34)</f>
        <v>1044</v>
      </c>
      <c r="AM35" s="227">
        <f>IFERROR(VLOOKUP(VLOOKUP(AM$18,$H$3:$K$33,3,FALSE)&amp;VLOOKUP(AM$18,$H$3:$K$33,4,FALSE),$B$3:$C$27,2,FALSE)*VLOOKUP($N35,$N$3:$AF$15,MATCH(VLOOKUP(AM$18,$H$3:$K$33,3,FALSE)&amp;VLOOKUP(AM$18,$H$3:$K$33,4,FALSE),$N$3:$AF$3,0),FALSE),AM34)</f>
        <v>1620</v>
      </c>
      <c r="AN35" s="227">
        <f>IFERROR(VLOOKUP(VLOOKUP(AN$18,$H$3:$K$33,3,FALSE)&amp;VLOOKUP(AN$18,$H$3:$K$33,4,FALSE),$B$3:$C$27,2,FALSE)*VLOOKUP($N35,$N$3:$AF$15,MATCH(VLOOKUP(AN$18,$H$3:$K$33,3,FALSE)&amp;VLOOKUP(AN$18,$H$3:$K$33,4,FALSE),$N$3:$AF$3,0),FALSE),AN34)</f>
        <v>2052</v>
      </c>
      <c r="AO35" s="227">
        <f>IFERROR(VLOOKUP(VLOOKUP(AO$18,$H$3:$K$33,3,FALSE)&amp;VLOOKUP(AO$18,$H$3:$K$33,4,FALSE),$B$3:$C$27,2,FALSE)*VLOOKUP($N35,$N$3:$AF$15,MATCH(VLOOKUP(AO$18,$H$3:$K$33,3,FALSE)&amp;VLOOKUP(AO$18,$H$3:$K$33,4,FALSE),$N$3:$AF$3,0),FALSE),AO34)</f>
        <v>4200</v>
      </c>
      <c r="AP35" s="227">
        <f>IFERROR(VLOOKUP(VLOOKUP(AP$18,$H$3:$K$33,3,FALSE)&amp;VLOOKUP(AP$18,$H$3:$K$33,4,FALSE),$B$3:$C$27,2,FALSE)*VLOOKUP($N35,$N$3:$AF$15,MATCH(VLOOKUP(AP$18,$H$3:$K$33,3,FALSE)&amp;VLOOKUP(AP$18,$H$3:$K$33,4,FALSE),$N$3:$AF$3,0),FALSE),AP34)</f>
        <v>5250</v>
      </c>
      <c r="AQ35" s="227">
        <f>IFERROR(VLOOKUP(VLOOKUP(AQ$18,$H$3:$K$33,3,FALSE)&amp;VLOOKUP(AQ$18,$H$3:$K$33,4,FALSE),$B$3:$C$27,2,FALSE)*VLOOKUP($N35,$N$3:$AF$15,MATCH(VLOOKUP(AQ$18,$H$3:$K$33,3,FALSE)&amp;VLOOKUP(AQ$18,$H$3:$K$33,4,FALSE),$N$3:$AF$3,0),FALSE),AQ34)</f>
        <v>6510</v>
      </c>
      <c r="AR35" s="227">
        <f>IFERROR(VLOOKUP(VLOOKUP(AR$18,$H$3:$K$33,3,FALSE)&amp;VLOOKUP(AR$18,$H$3:$K$33,4,FALSE),$B$3:$C$27,2,FALSE)*VLOOKUP($N35,$N$3:$AF$15,MATCH(VLOOKUP(AR$18,$H$3:$K$33,3,FALSE)&amp;VLOOKUP(AR$18,$H$3:$K$33,4,FALSE),$N$3:$AF$3,0),FALSE),AR34)</f>
        <v>13056</v>
      </c>
    </row>
    <row r="36" spans="2:44" x14ac:dyDescent="0.35">
      <c r="B36" s="617" t="s">
        <v>1116</v>
      </c>
      <c r="C36" s="159">
        <f>C18</f>
        <v>85</v>
      </c>
      <c r="D36" s="707">
        <v>1.8</v>
      </c>
      <c r="E36" s="713">
        <f t="shared" si="0"/>
        <v>155</v>
      </c>
      <c r="G36" s="631"/>
      <c r="N36" s="219">
        <v>18</v>
      </c>
      <c r="O36" s="227">
        <f>IFERROR(VLOOKUP(VLOOKUP(O$18,$H$3:$K$33,3,FALSE)&amp;VLOOKUP(O$18,$H$3:$K$33,4,FALSE),$B$3:$C$27,2,FALSE)*VLOOKUP($N36,$N$3:$AF$15,MATCH(VLOOKUP(O$18,$H$3:$K$33,3,FALSE)&amp;VLOOKUP(O$18,$H$3:$K$33,4,FALSE),$N$3:$AF$3,0),FALSE),O35)</f>
        <v>102.00000000000031</v>
      </c>
      <c r="P36" s="227">
        <f>IFERROR(VLOOKUP(VLOOKUP(P$18,$H$3:$K$33,3,FALSE)&amp;VLOOKUP(P$18,$H$3:$K$33,4,FALSE),$B$3:$C$27,2,FALSE)*VLOOKUP($N36,$N$3:$AF$15,MATCH(VLOOKUP(P$18,$H$3:$K$33,3,FALSE)&amp;VLOOKUP(P$18,$H$3:$K$33,4,FALSE),$N$3:$AF$3,0),FALSE),P35)</f>
        <v>240.00000000000063</v>
      </c>
      <c r="Q36" s="227">
        <f>IFERROR(VLOOKUP(VLOOKUP(Q$18,$H$3:$K$33,3,FALSE)&amp;VLOOKUP(Q$18,$H$3:$K$33,4,FALSE),$B$3:$C$27,2,FALSE)*VLOOKUP($N36,$N$3:$AF$15,MATCH(VLOOKUP(Q$18,$H$3:$K$33,3,FALSE)&amp;VLOOKUP(Q$18,$H$3:$K$33,4,FALSE),$N$3:$AF$3,0),FALSE),Q35)</f>
        <v>544.00000000000091</v>
      </c>
      <c r="R36" s="227">
        <f>IFERROR(VLOOKUP(VLOOKUP(R$18,$H$3:$K$33,3,FALSE)&amp;VLOOKUP(R$18,$H$3:$K$33,4,FALSE),$B$3:$C$27,2,FALSE)*VLOOKUP($N36,$N$3:$AF$15,MATCH(VLOOKUP(R$18,$H$3:$K$33,3,FALSE)&amp;VLOOKUP(R$18,$H$3:$K$33,4,FALSE),$N$3:$AF$3,0),FALSE),R35)</f>
        <v>1044</v>
      </c>
      <c r="S36" s="227">
        <f>IFERROR(VLOOKUP(VLOOKUP(S$18,$H$3:$K$33,3,FALSE)&amp;VLOOKUP(S$18,$H$3:$K$33,4,FALSE),$B$3:$C$27,2,FALSE)*VLOOKUP($N36,$N$3:$AF$15,MATCH(VLOOKUP(S$18,$H$3:$K$33,3,FALSE)&amp;VLOOKUP(S$18,$H$3:$K$33,4,FALSE),$N$3:$AF$3,0),FALSE),S35)</f>
        <v>1620</v>
      </c>
      <c r="T36" s="227">
        <f>IFERROR(VLOOKUP(VLOOKUP(T$18,$H$3:$K$33,3,FALSE)&amp;VLOOKUP(T$18,$H$3:$K$33,4,FALSE),$B$3:$C$27,2,FALSE)*VLOOKUP($N36,$N$3:$AF$15,MATCH(VLOOKUP(T$18,$H$3:$K$33,3,FALSE)&amp;VLOOKUP(T$18,$H$3:$K$33,4,FALSE),$N$3:$AF$3,0),FALSE),T35)</f>
        <v>2052</v>
      </c>
      <c r="U36" s="227">
        <f>IFERROR(VLOOKUP(VLOOKUP(U$18,$H$3:$K$33,3,FALSE)&amp;VLOOKUP(U$18,$H$3:$K$33,4,FALSE),$B$3:$C$27,2,FALSE)*VLOOKUP($N36,$N$3:$AF$15,MATCH(VLOOKUP(U$18,$H$3:$K$33,3,FALSE)&amp;VLOOKUP(U$18,$H$3:$K$33,4,FALSE),$N$3:$AF$3,0),FALSE),U35)</f>
        <v>4200</v>
      </c>
      <c r="V36" s="227">
        <f>IFERROR(VLOOKUP(VLOOKUP(V$18,$H$3:$K$33,3,FALSE)&amp;VLOOKUP(V$18,$H$3:$K$33,4,FALSE),$B$3:$C$27,2,FALSE)*VLOOKUP($N36,$N$3:$AF$15,MATCH(VLOOKUP(V$18,$H$3:$K$33,3,FALSE)&amp;VLOOKUP(V$18,$H$3:$K$33,4,FALSE),$N$3:$AF$3,0),FALSE),V35)</f>
        <v>5250</v>
      </c>
      <c r="W36" s="227">
        <f>IFERROR(VLOOKUP(VLOOKUP(W$18,$H$3:$K$33,3,FALSE)&amp;VLOOKUP(W$18,$H$3:$K$33,4,FALSE),$B$3:$C$27,2,FALSE)*VLOOKUP($N36,$N$3:$AF$15,MATCH(VLOOKUP(W$18,$H$3:$K$33,3,FALSE)&amp;VLOOKUP(W$18,$H$3:$K$33,4,FALSE),$N$3:$AF$3,0),FALSE),W35)</f>
        <v>6510</v>
      </c>
      <c r="X36" s="227">
        <f>IFERROR(VLOOKUP(VLOOKUP(X$18,$H$3:$K$33,3,FALSE)&amp;VLOOKUP(X$18,$H$3:$K$33,4,FALSE),$B$3:$C$27,2,FALSE)*VLOOKUP($N36,$N$3:$AF$15,MATCH(VLOOKUP(X$18,$H$3:$K$33,3,FALSE)&amp;VLOOKUP(X$18,$H$3:$K$33,4,FALSE),$N$3:$AF$3,0),FALSE),X35)</f>
        <v>13056</v>
      </c>
      <c r="Y36" s="227">
        <f>IFERROR(VLOOKUP(VLOOKUP(Y$18,$H$3:$K$33,3,FALSE)&amp;VLOOKUP(Y$18,$H$3:$K$33,4,FALSE),$B$3:$C$27,2,FALSE)*VLOOKUP($N36,$N$3:$AF$15,MATCH(VLOOKUP(Y$18,$H$3:$K$33,3,FALSE)&amp;VLOOKUP(Y$18,$H$3:$K$33,4,FALSE),$N$3:$AF$3,0),FALSE),Y35)</f>
        <v>102.00000000000031</v>
      </c>
      <c r="Z36" s="227">
        <f>IFERROR(VLOOKUP(VLOOKUP(Z$18,$H$3:$K$33,3,FALSE)&amp;VLOOKUP(Z$18,$H$3:$K$33,4,FALSE),$B$3:$C$27,2,FALSE)*VLOOKUP($N36,$N$3:$AF$15,MATCH(VLOOKUP(Z$18,$H$3:$K$33,3,FALSE)&amp;VLOOKUP(Z$18,$H$3:$K$33,4,FALSE),$N$3:$AF$3,0),FALSE),Z35)</f>
        <v>240.00000000000063</v>
      </c>
      <c r="AA36" s="227">
        <f>IFERROR(VLOOKUP(VLOOKUP(AA$18,$H$3:$K$33,3,FALSE)&amp;VLOOKUP(AA$18,$H$3:$K$33,4,FALSE),$B$3:$C$27,2,FALSE)*VLOOKUP($N36,$N$3:$AF$15,MATCH(VLOOKUP(AA$18,$H$3:$K$33,3,FALSE)&amp;VLOOKUP(AA$18,$H$3:$K$33,4,FALSE),$N$3:$AF$3,0),FALSE),AA35)</f>
        <v>544.00000000000091</v>
      </c>
      <c r="AB36" s="227">
        <f>IFERROR(VLOOKUP(VLOOKUP(AB$18,$H$3:$K$33,3,FALSE)&amp;VLOOKUP(AB$18,$H$3:$K$33,4,FALSE),$B$3:$C$27,2,FALSE)*VLOOKUP($N36,$N$3:$AF$15,MATCH(VLOOKUP(AB$18,$H$3:$K$33,3,FALSE)&amp;VLOOKUP(AB$18,$H$3:$K$33,4,FALSE),$N$3:$AF$3,0),FALSE),AB35)</f>
        <v>1044</v>
      </c>
      <c r="AC36" s="227">
        <f>IFERROR(VLOOKUP(VLOOKUP(AC$18,$H$3:$K$33,3,FALSE)&amp;VLOOKUP(AC$18,$H$3:$K$33,4,FALSE),$B$3:$C$27,2,FALSE)*VLOOKUP($N36,$N$3:$AF$15,MATCH(VLOOKUP(AC$18,$H$3:$K$33,3,FALSE)&amp;VLOOKUP(AC$18,$H$3:$K$33,4,FALSE),$N$3:$AF$3,0),FALSE),AC35)</f>
        <v>1620</v>
      </c>
      <c r="AD36" s="227">
        <f>IFERROR(VLOOKUP(VLOOKUP(AD$18,$H$3:$K$33,3,FALSE)&amp;VLOOKUP(AD$18,$H$3:$K$33,4,FALSE),$B$3:$C$27,2,FALSE)*VLOOKUP($N36,$N$3:$AF$15,MATCH(VLOOKUP(AD$18,$H$3:$K$33,3,FALSE)&amp;VLOOKUP(AD$18,$H$3:$K$33,4,FALSE),$N$3:$AF$3,0),FALSE),AD35)</f>
        <v>2052</v>
      </c>
      <c r="AE36" s="227">
        <f>IFERROR(VLOOKUP(VLOOKUP(AE$18,$H$3:$K$33,3,FALSE)&amp;VLOOKUP(AE$18,$H$3:$K$33,4,FALSE),$B$3:$C$27,2,FALSE)*VLOOKUP($N36,$N$3:$AF$15,MATCH(VLOOKUP(AE$18,$H$3:$K$33,3,FALSE)&amp;VLOOKUP(AE$18,$H$3:$K$33,4,FALSE),$N$3:$AF$3,0),FALSE),AE35)</f>
        <v>4200</v>
      </c>
      <c r="AF36" s="227">
        <f>IFERROR(VLOOKUP(VLOOKUP(AF$18,$H$3:$K$33,3,FALSE)&amp;VLOOKUP(AF$18,$H$3:$K$33,4,FALSE),$B$3:$C$27,2,FALSE)*VLOOKUP($N36,$N$3:$AF$15,MATCH(VLOOKUP(AF$18,$H$3:$K$33,3,FALSE)&amp;VLOOKUP(AF$18,$H$3:$K$33,4,FALSE),$N$3:$AF$3,0),FALSE),AF35)</f>
        <v>5250</v>
      </c>
      <c r="AG36" s="227">
        <f>IFERROR(VLOOKUP(VLOOKUP(AG$18,$H$3:$K$33,3,FALSE)&amp;VLOOKUP(AG$18,$H$3:$K$33,4,FALSE),$B$3:$C$27,2,FALSE)*VLOOKUP($N36,$N$3:$AF$15,MATCH(VLOOKUP(AG$18,$H$3:$K$33,3,FALSE)&amp;VLOOKUP(AG$18,$H$3:$K$33,4,FALSE),$N$3:$AF$3,0),FALSE),AG35)</f>
        <v>6510</v>
      </c>
      <c r="AH36" s="227">
        <f>IFERROR(VLOOKUP(VLOOKUP(AH$18,$H$3:$K$33,3,FALSE)&amp;VLOOKUP(AH$18,$H$3:$K$33,4,FALSE),$B$3:$C$27,2,FALSE)*VLOOKUP($N36,$N$3:$AF$15,MATCH(VLOOKUP(AH$18,$H$3:$K$33,3,FALSE)&amp;VLOOKUP(AH$18,$H$3:$K$33,4,FALSE),$N$3:$AF$3,0),FALSE),AH35)</f>
        <v>13056</v>
      </c>
      <c r="AI36" s="227">
        <f>IFERROR(VLOOKUP(VLOOKUP(AI$18,$H$3:$K$33,3,FALSE)&amp;VLOOKUP(AI$18,$H$3:$K$33,4,FALSE),$B$3:$C$27,2,FALSE)*VLOOKUP($N36,$N$3:$AF$15,MATCH(VLOOKUP(AI$18,$H$3:$K$33,3,FALSE)&amp;VLOOKUP(AI$18,$H$3:$K$33,4,FALSE),$N$3:$AF$3,0),FALSE),AI35)</f>
        <v>102.00000000000031</v>
      </c>
      <c r="AJ36" s="227">
        <f>IFERROR(VLOOKUP(VLOOKUP(AJ$18,$H$3:$K$33,3,FALSE)&amp;VLOOKUP(AJ$18,$H$3:$K$33,4,FALSE),$B$3:$C$27,2,FALSE)*VLOOKUP($N36,$N$3:$AF$15,MATCH(VLOOKUP(AJ$18,$H$3:$K$33,3,FALSE)&amp;VLOOKUP(AJ$18,$H$3:$K$33,4,FALSE),$N$3:$AF$3,0),FALSE),AJ35)</f>
        <v>240.00000000000063</v>
      </c>
      <c r="AK36" s="227">
        <f>IFERROR(VLOOKUP(VLOOKUP(AK$18,$H$3:$K$33,3,FALSE)&amp;VLOOKUP(AK$18,$H$3:$K$33,4,FALSE),$B$3:$C$27,2,FALSE)*VLOOKUP($N36,$N$3:$AF$15,MATCH(VLOOKUP(AK$18,$H$3:$K$33,3,FALSE)&amp;VLOOKUP(AK$18,$H$3:$K$33,4,FALSE),$N$3:$AF$3,0),FALSE),AK35)</f>
        <v>544.00000000000091</v>
      </c>
      <c r="AL36" s="227">
        <f>IFERROR(VLOOKUP(VLOOKUP(AL$18,$H$3:$K$33,3,FALSE)&amp;VLOOKUP(AL$18,$H$3:$K$33,4,FALSE),$B$3:$C$27,2,FALSE)*VLOOKUP($N36,$N$3:$AF$15,MATCH(VLOOKUP(AL$18,$H$3:$K$33,3,FALSE)&amp;VLOOKUP(AL$18,$H$3:$K$33,4,FALSE),$N$3:$AF$3,0),FALSE),AL35)</f>
        <v>1044</v>
      </c>
      <c r="AM36" s="227">
        <f>IFERROR(VLOOKUP(VLOOKUP(AM$18,$H$3:$K$33,3,FALSE)&amp;VLOOKUP(AM$18,$H$3:$K$33,4,FALSE),$B$3:$C$27,2,FALSE)*VLOOKUP($N36,$N$3:$AF$15,MATCH(VLOOKUP(AM$18,$H$3:$K$33,3,FALSE)&amp;VLOOKUP(AM$18,$H$3:$K$33,4,FALSE),$N$3:$AF$3,0),FALSE),AM35)</f>
        <v>1620</v>
      </c>
      <c r="AN36" s="227">
        <f>IFERROR(VLOOKUP(VLOOKUP(AN$18,$H$3:$K$33,3,FALSE)&amp;VLOOKUP(AN$18,$H$3:$K$33,4,FALSE),$B$3:$C$27,2,FALSE)*VLOOKUP($N36,$N$3:$AF$15,MATCH(VLOOKUP(AN$18,$H$3:$K$33,3,FALSE)&amp;VLOOKUP(AN$18,$H$3:$K$33,4,FALSE),$N$3:$AF$3,0),FALSE),AN35)</f>
        <v>2052</v>
      </c>
      <c r="AO36" s="227">
        <f>IFERROR(VLOOKUP(VLOOKUP(AO$18,$H$3:$K$33,3,FALSE)&amp;VLOOKUP(AO$18,$H$3:$K$33,4,FALSE),$B$3:$C$27,2,FALSE)*VLOOKUP($N36,$N$3:$AF$15,MATCH(VLOOKUP(AO$18,$H$3:$K$33,3,FALSE)&amp;VLOOKUP(AO$18,$H$3:$K$33,4,FALSE),$N$3:$AF$3,0),FALSE),AO35)</f>
        <v>4200</v>
      </c>
      <c r="AP36" s="227">
        <f>IFERROR(VLOOKUP(VLOOKUP(AP$18,$H$3:$K$33,3,FALSE)&amp;VLOOKUP(AP$18,$H$3:$K$33,4,FALSE),$B$3:$C$27,2,FALSE)*VLOOKUP($N36,$N$3:$AF$15,MATCH(VLOOKUP(AP$18,$H$3:$K$33,3,FALSE)&amp;VLOOKUP(AP$18,$H$3:$K$33,4,FALSE),$N$3:$AF$3,0),FALSE),AP35)</f>
        <v>5250</v>
      </c>
      <c r="AQ36" s="227">
        <f>IFERROR(VLOOKUP(VLOOKUP(AQ$18,$H$3:$K$33,3,FALSE)&amp;VLOOKUP(AQ$18,$H$3:$K$33,4,FALSE),$B$3:$C$27,2,FALSE)*VLOOKUP($N36,$N$3:$AF$15,MATCH(VLOOKUP(AQ$18,$H$3:$K$33,3,FALSE)&amp;VLOOKUP(AQ$18,$H$3:$K$33,4,FALSE),$N$3:$AF$3,0),FALSE),AQ35)</f>
        <v>6510</v>
      </c>
      <c r="AR36" s="227">
        <f>IFERROR(VLOOKUP(VLOOKUP(AR$18,$H$3:$K$33,3,FALSE)&amp;VLOOKUP(AR$18,$H$3:$K$33,4,FALSE),$B$3:$C$27,2,FALSE)*VLOOKUP($N36,$N$3:$AF$15,MATCH(VLOOKUP(AR$18,$H$3:$K$33,3,FALSE)&amp;VLOOKUP(AR$18,$H$3:$K$33,4,FALSE),$N$3:$AF$3,0),FALSE),AR35)</f>
        <v>13056</v>
      </c>
    </row>
    <row r="37" spans="2:44" x14ac:dyDescent="0.35">
      <c r="B37" s="617" t="s">
        <v>1117</v>
      </c>
      <c r="C37" s="159">
        <f>C19</f>
        <v>60</v>
      </c>
      <c r="D37" s="707">
        <v>2.2000000000000002</v>
      </c>
      <c r="E37" s="713">
        <f t="shared" si="0"/>
        <v>130</v>
      </c>
      <c r="G37" s="631"/>
      <c r="N37" s="219">
        <v>19</v>
      </c>
      <c r="O37" s="227">
        <f>IFERROR(VLOOKUP(VLOOKUP(O$18,$H$3:$K$33,3,FALSE)&amp;VLOOKUP(O$18,$H$3:$K$33,4,FALSE),$B$3:$C$27,2,FALSE)*VLOOKUP($N37,$N$3:$AF$15,MATCH(VLOOKUP(O$18,$H$3:$K$33,3,FALSE)&amp;VLOOKUP(O$18,$H$3:$K$33,4,FALSE),$N$3:$AF$3,0),FALSE),O36)</f>
        <v>102.00000000000031</v>
      </c>
      <c r="P37" s="227">
        <f>IFERROR(VLOOKUP(VLOOKUP(P$18,$H$3:$K$33,3,FALSE)&amp;VLOOKUP(P$18,$H$3:$K$33,4,FALSE),$B$3:$C$27,2,FALSE)*VLOOKUP($N37,$N$3:$AF$15,MATCH(VLOOKUP(P$18,$H$3:$K$33,3,FALSE)&amp;VLOOKUP(P$18,$H$3:$K$33,4,FALSE),$N$3:$AF$3,0),FALSE),P36)</f>
        <v>240.00000000000063</v>
      </c>
      <c r="Q37" s="227">
        <f>IFERROR(VLOOKUP(VLOOKUP(Q$18,$H$3:$K$33,3,FALSE)&amp;VLOOKUP(Q$18,$H$3:$K$33,4,FALSE),$B$3:$C$27,2,FALSE)*VLOOKUP($N37,$N$3:$AF$15,MATCH(VLOOKUP(Q$18,$H$3:$K$33,3,FALSE)&amp;VLOOKUP(Q$18,$H$3:$K$33,4,FALSE),$N$3:$AF$3,0),FALSE),Q36)</f>
        <v>544.00000000000091</v>
      </c>
      <c r="R37" s="227">
        <f>IFERROR(VLOOKUP(VLOOKUP(R$18,$H$3:$K$33,3,FALSE)&amp;VLOOKUP(R$18,$H$3:$K$33,4,FALSE),$B$3:$C$27,2,FALSE)*VLOOKUP($N37,$N$3:$AF$15,MATCH(VLOOKUP(R$18,$H$3:$K$33,3,FALSE)&amp;VLOOKUP(R$18,$H$3:$K$33,4,FALSE),$N$3:$AF$3,0),FALSE),R36)</f>
        <v>1044</v>
      </c>
      <c r="S37" s="227">
        <f>IFERROR(VLOOKUP(VLOOKUP(S$18,$H$3:$K$33,3,FALSE)&amp;VLOOKUP(S$18,$H$3:$K$33,4,FALSE),$B$3:$C$27,2,FALSE)*VLOOKUP($N37,$N$3:$AF$15,MATCH(VLOOKUP(S$18,$H$3:$K$33,3,FALSE)&amp;VLOOKUP(S$18,$H$3:$K$33,4,FALSE),$N$3:$AF$3,0),FALSE),S36)</f>
        <v>1620</v>
      </c>
      <c r="T37" s="227">
        <f>IFERROR(VLOOKUP(VLOOKUP(T$18,$H$3:$K$33,3,FALSE)&amp;VLOOKUP(T$18,$H$3:$K$33,4,FALSE),$B$3:$C$27,2,FALSE)*VLOOKUP($N37,$N$3:$AF$15,MATCH(VLOOKUP(T$18,$H$3:$K$33,3,FALSE)&amp;VLOOKUP(T$18,$H$3:$K$33,4,FALSE),$N$3:$AF$3,0),FALSE),T36)</f>
        <v>2052</v>
      </c>
      <c r="U37" s="227">
        <f>IFERROR(VLOOKUP(VLOOKUP(U$18,$H$3:$K$33,3,FALSE)&amp;VLOOKUP(U$18,$H$3:$K$33,4,FALSE),$B$3:$C$27,2,FALSE)*VLOOKUP($N37,$N$3:$AF$15,MATCH(VLOOKUP(U$18,$H$3:$K$33,3,FALSE)&amp;VLOOKUP(U$18,$H$3:$K$33,4,FALSE),$N$3:$AF$3,0),FALSE),U36)</f>
        <v>4200</v>
      </c>
      <c r="V37" s="227">
        <f>IFERROR(VLOOKUP(VLOOKUP(V$18,$H$3:$K$33,3,FALSE)&amp;VLOOKUP(V$18,$H$3:$K$33,4,FALSE),$B$3:$C$27,2,FALSE)*VLOOKUP($N37,$N$3:$AF$15,MATCH(VLOOKUP(V$18,$H$3:$K$33,3,FALSE)&amp;VLOOKUP(V$18,$H$3:$K$33,4,FALSE),$N$3:$AF$3,0),FALSE),V36)</f>
        <v>5250</v>
      </c>
      <c r="W37" s="227">
        <f>IFERROR(VLOOKUP(VLOOKUP(W$18,$H$3:$K$33,3,FALSE)&amp;VLOOKUP(W$18,$H$3:$K$33,4,FALSE),$B$3:$C$27,2,FALSE)*VLOOKUP($N37,$N$3:$AF$15,MATCH(VLOOKUP(W$18,$H$3:$K$33,3,FALSE)&amp;VLOOKUP(W$18,$H$3:$K$33,4,FALSE),$N$3:$AF$3,0),FALSE),W36)</f>
        <v>6510</v>
      </c>
      <c r="X37" s="227">
        <f>IFERROR(VLOOKUP(VLOOKUP(X$18,$H$3:$K$33,3,FALSE)&amp;VLOOKUP(X$18,$H$3:$K$33,4,FALSE),$B$3:$C$27,2,FALSE)*VLOOKUP($N37,$N$3:$AF$15,MATCH(VLOOKUP(X$18,$H$3:$K$33,3,FALSE)&amp;VLOOKUP(X$18,$H$3:$K$33,4,FALSE),$N$3:$AF$3,0),FALSE),X36)</f>
        <v>13056</v>
      </c>
      <c r="Y37" s="227">
        <f>IFERROR(VLOOKUP(VLOOKUP(Y$18,$H$3:$K$33,3,FALSE)&amp;VLOOKUP(Y$18,$H$3:$K$33,4,FALSE),$B$3:$C$27,2,FALSE)*VLOOKUP($N37,$N$3:$AF$15,MATCH(VLOOKUP(Y$18,$H$3:$K$33,3,FALSE)&amp;VLOOKUP(Y$18,$H$3:$K$33,4,FALSE),$N$3:$AF$3,0),FALSE),Y36)</f>
        <v>102.00000000000031</v>
      </c>
      <c r="Z37" s="227">
        <f>IFERROR(VLOOKUP(VLOOKUP(Z$18,$H$3:$K$33,3,FALSE)&amp;VLOOKUP(Z$18,$H$3:$K$33,4,FALSE),$B$3:$C$27,2,FALSE)*VLOOKUP($N37,$N$3:$AF$15,MATCH(VLOOKUP(Z$18,$H$3:$K$33,3,FALSE)&amp;VLOOKUP(Z$18,$H$3:$K$33,4,FALSE),$N$3:$AF$3,0),FALSE),Z36)</f>
        <v>240.00000000000063</v>
      </c>
      <c r="AA37" s="227">
        <f>IFERROR(VLOOKUP(VLOOKUP(AA$18,$H$3:$K$33,3,FALSE)&amp;VLOOKUP(AA$18,$H$3:$K$33,4,FALSE),$B$3:$C$27,2,FALSE)*VLOOKUP($N37,$N$3:$AF$15,MATCH(VLOOKUP(AA$18,$H$3:$K$33,3,FALSE)&amp;VLOOKUP(AA$18,$H$3:$K$33,4,FALSE),$N$3:$AF$3,0),FALSE),AA36)</f>
        <v>544.00000000000091</v>
      </c>
      <c r="AB37" s="227">
        <f>IFERROR(VLOOKUP(VLOOKUP(AB$18,$H$3:$K$33,3,FALSE)&amp;VLOOKUP(AB$18,$H$3:$K$33,4,FALSE),$B$3:$C$27,2,FALSE)*VLOOKUP($N37,$N$3:$AF$15,MATCH(VLOOKUP(AB$18,$H$3:$K$33,3,FALSE)&amp;VLOOKUP(AB$18,$H$3:$K$33,4,FALSE),$N$3:$AF$3,0),FALSE),AB36)</f>
        <v>1044</v>
      </c>
      <c r="AC37" s="227">
        <f>IFERROR(VLOOKUP(VLOOKUP(AC$18,$H$3:$K$33,3,FALSE)&amp;VLOOKUP(AC$18,$H$3:$K$33,4,FALSE),$B$3:$C$27,2,FALSE)*VLOOKUP($N37,$N$3:$AF$15,MATCH(VLOOKUP(AC$18,$H$3:$K$33,3,FALSE)&amp;VLOOKUP(AC$18,$H$3:$K$33,4,FALSE),$N$3:$AF$3,0),FALSE),AC36)</f>
        <v>1620</v>
      </c>
      <c r="AD37" s="227">
        <f>IFERROR(VLOOKUP(VLOOKUP(AD$18,$H$3:$K$33,3,FALSE)&amp;VLOOKUP(AD$18,$H$3:$K$33,4,FALSE),$B$3:$C$27,2,FALSE)*VLOOKUP($N37,$N$3:$AF$15,MATCH(VLOOKUP(AD$18,$H$3:$K$33,3,FALSE)&amp;VLOOKUP(AD$18,$H$3:$K$33,4,FALSE),$N$3:$AF$3,0),FALSE),AD36)</f>
        <v>2052</v>
      </c>
      <c r="AE37" s="227">
        <f>IFERROR(VLOOKUP(VLOOKUP(AE$18,$H$3:$K$33,3,FALSE)&amp;VLOOKUP(AE$18,$H$3:$K$33,4,FALSE),$B$3:$C$27,2,FALSE)*VLOOKUP($N37,$N$3:$AF$15,MATCH(VLOOKUP(AE$18,$H$3:$K$33,3,FALSE)&amp;VLOOKUP(AE$18,$H$3:$K$33,4,FALSE),$N$3:$AF$3,0),FALSE),AE36)</f>
        <v>4200</v>
      </c>
      <c r="AF37" s="227">
        <f>IFERROR(VLOOKUP(VLOOKUP(AF$18,$H$3:$K$33,3,FALSE)&amp;VLOOKUP(AF$18,$H$3:$K$33,4,FALSE),$B$3:$C$27,2,FALSE)*VLOOKUP($N37,$N$3:$AF$15,MATCH(VLOOKUP(AF$18,$H$3:$K$33,3,FALSE)&amp;VLOOKUP(AF$18,$H$3:$K$33,4,FALSE),$N$3:$AF$3,0),FALSE),AF36)</f>
        <v>5250</v>
      </c>
      <c r="AG37" s="227">
        <f>IFERROR(VLOOKUP(VLOOKUP(AG$18,$H$3:$K$33,3,FALSE)&amp;VLOOKUP(AG$18,$H$3:$K$33,4,FALSE),$B$3:$C$27,2,FALSE)*VLOOKUP($N37,$N$3:$AF$15,MATCH(VLOOKUP(AG$18,$H$3:$K$33,3,FALSE)&amp;VLOOKUP(AG$18,$H$3:$K$33,4,FALSE),$N$3:$AF$3,0),FALSE),AG36)</f>
        <v>6510</v>
      </c>
      <c r="AH37" s="227">
        <f>IFERROR(VLOOKUP(VLOOKUP(AH$18,$H$3:$K$33,3,FALSE)&amp;VLOOKUP(AH$18,$H$3:$K$33,4,FALSE),$B$3:$C$27,2,FALSE)*VLOOKUP($N37,$N$3:$AF$15,MATCH(VLOOKUP(AH$18,$H$3:$K$33,3,FALSE)&amp;VLOOKUP(AH$18,$H$3:$K$33,4,FALSE),$N$3:$AF$3,0),FALSE),AH36)</f>
        <v>13056</v>
      </c>
      <c r="AI37" s="227">
        <f>IFERROR(VLOOKUP(VLOOKUP(AI$18,$H$3:$K$33,3,FALSE)&amp;VLOOKUP(AI$18,$H$3:$K$33,4,FALSE),$B$3:$C$27,2,FALSE)*VLOOKUP($N37,$N$3:$AF$15,MATCH(VLOOKUP(AI$18,$H$3:$K$33,3,FALSE)&amp;VLOOKUP(AI$18,$H$3:$K$33,4,FALSE),$N$3:$AF$3,0),FALSE),AI36)</f>
        <v>102.00000000000031</v>
      </c>
      <c r="AJ37" s="227">
        <f>IFERROR(VLOOKUP(VLOOKUP(AJ$18,$H$3:$K$33,3,FALSE)&amp;VLOOKUP(AJ$18,$H$3:$K$33,4,FALSE),$B$3:$C$27,2,FALSE)*VLOOKUP($N37,$N$3:$AF$15,MATCH(VLOOKUP(AJ$18,$H$3:$K$33,3,FALSE)&amp;VLOOKUP(AJ$18,$H$3:$K$33,4,FALSE),$N$3:$AF$3,0),FALSE),AJ36)</f>
        <v>240.00000000000063</v>
      </c>
      <c r="AK37" s="227">
        <f>IFERROR(VLOOKUP(VLOOKUP(AK$18,$H$3:$K$33,3,FALSE)&amp;VLOOKUP(AK$18,$H$3:$K$33,4,FALSE),$B$3:$C$27,2,FALSE)*VLOOKUP($N37,$N$3:$AF$15,MATCH(VLOOKUP(AK$18,$H$3:$K$33,3,FALSE)&amp;VLOOKUP(AK$18,$H$3:$K$33,4,FALSE),$N$3:$AF$3,0),FALSE),AK36)</f>
        <v>544.00000000000091</v>
      </c>
      <c r="AL37" s="227">
        <f>IFERROR(VLOOKUP(VLOOKUP(AL$18,$H$3:$K$33,3,FALSE)&amp;VLOOKUP(AL$18,$H$3:$K$33,4,FALSE),$B$3:$C$27,2,FALSE)*VLOOKUP($N37,$N$3:$AF$15,MATCH(VLOOKUP(AL$18,$H$3:$K$33,3,FALSE)&amp;VLOOKUP(AL$18,$H$3:$K$33,4,FALSE),$N$3:$AF$3,0),FALSE),AL36)</f>
        <v>1044</v>
      </c>
      <c r="AM37" s="227">
        <f>IFERROR(VLOOKUP(VLOOKUP(AM$18,$H$3:$K$33,3,FALSE)&amp;VLOOKUP(AM$18,$H$3:$K$33,4,FALSE),$B$3:$C$27,2,FALSE)*VLOOKUP($N37,$N$3:$AF$15,MATCH(VLOOKUP(AM$18,$H$3:$K$33,3,FALSE)&amp;VLOOKUP(AM$18,$H$3:$K$33,4,FALSE),$N$3:$AF$3,0),FALSE),AM36)</f>
        <v>1620</v>
      </c>
      <c r="AN37" s="227">
        <f>IFERROR(VLOOKUP(VLOOKUP(AN$18,$H$3:$K$33,3,FALSE)&amp;VLOOKUP(AN$18,$H$3:$K$33,4,FALSE),$B$3:$C$27,2,FALSE)*VLOOKUP($N37,$N$3:$AF$15,MATCH(VLOOKUP(AN$18,$H$3:$K$33,3,FALSE)&amp;VLOOKUP(AN$18,$H$3:$K$33,4,FALSE),$N$3:$AF$3,0),FALSE),AN36)</f>
        <v>2052</v>
      </c>
      <c r="AO37" s="227">
        <f>IFERROR(VLOOKUP(VLOOKUP(AO$18,$H$3:$K$33,3,FALSE)&amp;VLOOKUP(AO$18,$H$3:$K$33,4,FALSE),$B$3:$C$27,2,FALSE)*VLOOKUP($N37,$N$3:$AF$15,MATCH(VLOOKUP(AO$18,$H$3:$K$33,3,FALSE)&amp;VLOOKUP(AO$18,$H$3:$K$33,4,FALSE),$N$3:$AF$3,0),FALSE),AO36)</f>
        <v>4200</v>
      </c>
      <c r="AP37" s="227">
        <f>IFERROR(VLOOKUP(VLOOKUP(AP$18,$H$3:$K$33,3,FALSE)&amp;VLOOKUP(AP$18,$H$3:$K$33,4,FALSE),$B$3:$C$27,2,FALSE)*VLOOKUP($N37,$N$3:$AF$15,MATCH(VLOOKUP(AP$18,$H$3:$K$33,3,FALSE)&amp;VLOOKUP(AP$18,$H$3:$K$33,4,FALSE),$N$3:$AF$3,0),FALSE),AP36)</f>
        <v>5250</v>
      </c>
      <c r="AQ37" s="227">
        <f>IFERROR(VLOOKUP(VLOOKUP(AQ$18,$H$3:$K$33,3,FALSE)&amp;VLOOKUP(AQ$18,$H$3:$K$33,4,FALSE),$B$3:$C$27,2,FALSE)*VLOOKUP($N37,$N$3:$AF$15,MATCH(VLOOKUP(AQ$18,$H$3:$K$33,3,FALSE)&amp;VLOOKUP(AQ$18,$H$3:$K$33,4,FALSE),$N$3:$AF$3,0),FALSE),AQ36)</f>
        <v>6510</v>
      </c>
      <c r="AR37" s="227">
        <f>IFERROR(VLOOKUP(VLOOKUP(AR$18,$H$3:$K$33,3,FALSE)&amp;VLOOKUP(AR$18,$H$3:$K$33,4,FALSE),$B$3:$C$27,2,FALSE)*VLOOKUP($N37,$N$3:$AF$15,MATCH(VLOOKUP(AR$18,$H$3:$K$33,3,FALSE)&amp;VLOOKUP(AR$18,$H$3:$K$33,4,FALSE),$N$3:$AF$3,0),FALSE),AR36)</f>
        <v>13056</v>
      </c>
    </row>
    <row r="38" spans="2:44" x14ac:dyDescent="0.35">
      <c r="B38" s="617" t="s">
        <v>1118</v>
      </c>
      <c r="C38" s="159">
        <f>C20</f>
        <v>75</v>
      </c>
      <c r="D38" s="707">
        <v>1.95</v>
      </c>
      <c r="E38" s="713">
        <f t="shared" si="0"/>
        <v>145</v>
      </c>
      <c r="G38" s="631"/>
      <c r="N38" s="219">
        <v>20</v>
      </c>
      <c r="O38" s="227">
        <f>IFERROR(VLOOKUP(VLOOKUP(O$18,$H$3:$K$33,3,FALSE)&amp;VLOOKUP(O$18,$H$3:$K$33,4,FALSE),$B$3:$C$27,2,FALSE)*VLOOKUP($N38,$N$3:$AF$15,MATCH(VLOOKUP(O$18,$H$3:$K$33,3,FALSE)&amp;VLOOKUP(O$18,$H$3:$K$33,4,FALSE),$N$3:$AF$3,0),FALSE),O37)</f>
        <v>102.00000000000031</v>
      </c>
      <c r="P38" s="227">
        <f>IFERROR(VLOOKUP(VLOOKUP(P$18,$H$3:$K$33,3,FALSE)&amp;VLOOKUP(P$18,$H$3:$K$33,4,FALSE),$B$3:$C$27,2,FALSE)*VLOOKUP($N38,$N$3:$AF$15,MATCH(VLOOKUP(P$18,$H$3:$K$33,3,FALSE)&amp;VLOOKUP(P$18,$H$3:$K$33,4,FALSE),$N$3:$AF$3,0),FALSE),P37)</f>
        <v>240.00000000000063</v>
      </c>
      <c r="Q38" s="227">
        <f>IFERROR(VLOOKUP(VLOOKUP(Q$18,$H$3:$K$33,3,FALSE)&amp;VLOOKUP(Q$18,$H$3:$K$33,4,FALSE),$B$3:$C$27,2,FALSE)*VLOOKUP($N38,$N$3:$AF$15,MATCH(VLOOKUP(Q$18,$H$3:$K$33,3,FALSE)&amp;VLOOKUP(Q$18,$H$3:$K$33,4,FALSE),$N$3:$AF$3,0),FALSE),Q37)</f>
        <v>544.00000000000091</v>
      </c>
      <c r="R38" s="227">
        <f>IFERROR(VLOOKUP(VLOOKUP(R$18,$H$3:$K$33,3,FALSE)&amp;VLOOKUP(R$18,$H$3:$K$33,4,FALSE),$B$3:$C$27,2,FALSE)*VLOOKUP($N38,$N$3:$AF$15,MATCH(VLOOKUP(R$18,$H$3:$K$33,3,FALSE)&amp;VLOOKUP(R$18,$H$3:$K$33,4,FALSE),$N$3:$AF$3,0),FALSE),R37)</f>
        <v>1044</v>
      </c>
      <c r="S38" s="227">
        <f>IFERROR(VLOOKUP(VLOOKUP(S$18,$H$3:$K$33,3,FALSE)&amp;VLOOKUP(S$18,$H$3:$K$33,4,FALSE),$B$3:$C$27,2,FALSE)*VLOOKUP($N38,$N$3:$AF$15,MATCH(VLOOKUP(S$18,$H$3:$K$33,3,FALSE)&amp;VLOOKUP(S$18,$H$3:$K$33,4,FALSE),$N$3:$AF$3,0),FALSE),S37)</f>
        <v>1620</v>
      </c>
      <c r="T38" s="227">
        <f>IFERROR(VLOOKUP(VLOOKUP(T$18,$H$3:$K$33,3,FALSE)&amp;VLOOKUP(T$18,$H$3:$K$33,4,FALSE),$B$3:$C$27,2,FALSE)*VLOOKUP($N38,$N$3:$AF$15,MATCH(VLOOKUP(T$18,$H$3:$K$33,3,FALSE)&amp;VLOOKUP(T$18,$H$3:$K$33,4,FALSE),$N$3:$AF$3,0),FALSE),T37)</f>
        <v>2052</v>
      </c>
      <c r="U38" s="227">
        <f>IFERROR(VLOOKUP(VLOOKUP(U$18,$H$3:$K$33,3,FALSE)&amp;VLOOKUP(U$18,$H$3:$K$33,4,FALSE),$B$3:$C$27,2,FALSE)*VLOOKUP($N38,$N$3:$AF$15,MATCH(VLOOKUP(U$18,$H$3:$K$33,3,FALSE)&amp;VLOOKUP(U$18,$H$3:$K$33,4,FALSE),$N$3:$AF$3,0),FALSE),U37)</f>
        <v>4200</v>
      </c>
      <c r="V38" s="227">
        <f>IFERROR(VLOOKUP(VLOOKUP(V$18,$H$3:$K$33,3,FALSE)&amp;VLOOKUP(V$18,$H$3:$K$33,4,FALSE),$B$3:$C$27,2,FALSE)*VLOOKUP($N38,$N$3:$AF$15,MATCH(VLOOKUP(V$18,$H$3:$K$33,3,FALSE)&amp;VLOOKUP(V$18,$H$3:$K$33,4,FALSE),$N$3:$AF$3,0),FALSE),V37)</f>
        <v>5250</v>
      </c>
      <c r="W38" s="227">
        <f>IFERROR(VLOOKUP(VLOOKUP(W$18,$H$3:$K$33,3,FALSE)&amp;VLOOKUP(W$18,$H$3:$K$33,4,FALSE),$B$3:$C$27,2,FALSE)*VLOOKUP($N38,$N$3:$AF$15,MATCH(VLOOKUP(W$18,$H$3:$K$33,3,FALSE)&amp;VLOOKUP(W$18,$H$3:$K$33,4,FALSE),$N$3:$AF$3,0),FALSE),W37)</f>
        <v>6510</v>
      </c>
      <c r="X38" s="227">
        <f>IFERROR(VLOOKUP(VLOOKUP(X$18,$H$3:$K$33,3,FALSE)&amp;VLOOKUP(X$18,$H$3:$K$33,4,FALSE),$B$3:$C$27,2,FALSE)*VLOOKUP($N38,$N$3:$AF$15,MATCH(VLOOKUP(X$18,$H$3:$K$33,3,FALSE)&amp;VLOOKUP(X$18,$H$3:$K$33,4,FALSE),$N$3:$AF$3,0),FALSE),X37)</f>
        <v>13056</v>
      </c>
      <c r="Y38" s="227">
        <f>IFERROR(VLOOKUP(VLOOKUP(Y$18,$H$3:$K$33,3,FALSE)&amp;VLOOKUP(Y$18,$H$3:$K$33,4,FALSE),$B$3:$C$27,2,FALSE)*VLOOKUP($N38,$N$3:$AF$15,MATCH(VLOOKUP(Y$18,$H$3:$K$33,3,FALSE)&amp;VLOOKUP(Y$18,$H$3:$K$33,4,FALSE),$N$3:$AF$3,0),FALSE),Y37)</f>
        <v>102.00000000000031</v>
      </c>
      <c r="Z38" s="227">
        <f>IFERROR(VLOOKUP(VLOOKUP(Z$18,$H$3:$K$33,3,FALSE)&amp;VLOOKUP(Z$18,$H$3:$K$33,4,FALSE),$B$3:$C$27,2,FALSE)*VLOOKUP($N38,$N$3:$AF$15,MATCH(VLOOKUP(Z$18,$H$3:$K$33,3,FALSE)&amp;VLOOKUP(Z$18,$H$3:$K$33,4,FALSE),$N$3:$AF$3,0),FALSE),Z37)</f>
        <v>240.00000000000063</v>
      </c>
      <c r="AA38" s="227">
        <f>IFERROR(VLOOKUP(VLOOKUP(AA$18,$H$3:$K$33,3,FALSE)&amp;VLOOKUP(AA$18,$H$3:$K$33,4,FALSE),$B$3:$C$27,2,FALSE)*VLOOKUP($N38,$N$3:$AF$15,MATCH(VLOOKUP(AA$18,$H$3:$K$33,3,FALSE)&amp;VLOOKUP(AA$18,$H$3:$K$33,4,FALSE),$N$3:$AF$3,0),FALSE),AA37)</f>
        <v>544.00000000000091</v>
      </c>
      <c r="AB38" s="227">
        <f>IFERROR(VLOOKUP(VLOOKUP(AB$18,$H$3:$K$33,3,FALSE)&amp;VLOOKUP(AB$18,$H$3:$K$33,4,FALSE),$B$3:$C$27,2,FALSE)*VLOOKUP($N38,$N$3:$AF$15,MATCH(VLOOKUP(AB$18,$H$3:$K$33,3,FALSE)&amp;VLOOKUP(AB$18,$H$3:$K$33,4,FALSE),$N$3:$AF$3,0),FALSE),AB37)</f>
        <v>1044</v>
      </c>
      <c r="AC38" s="227">
        <f>IFERROR(VLOOKUP(VLOOKUP(AC$18,$H$3:$K$33,3,FALSE)&amp;VLOOKUP(AC$18,$H$3:$K$33,4,FALSE),$B$3:$C$27,2,FALSE)*VLOOKUP($N38,$N$3:$AF$15,MATCH(VLOOKUP(AC$18,$H$3:$K$33,3,FALSE)&amp;VLOOKUP(AC$18,$H$3:$K$33,4,FALSE),$N$3:$AF$3,0),FALSE),AC37)</f>
        <v>1620</v>
      </c>
      <c r="AD38" s="227">
        <f>IFERROR(VLOOKUP(VLOOKUP(AD$18,$H$3:$K$33,3,FALSE)&amp;VLOOKUP(AD$18,$H$3:$K$33,4,FALSE),$B$3:$C$27,2,FALSE)*VLOOKUP($N38,$N$3:$AF$15,MATCH(VLOOKUP(AD$18,$H$3:$K$33,3,FALSE)&amp;VLOOKUP(AD$18,$H$3:$K$33,4,FALSE),$N$3:$AF$3,0),FALSE),AD37)</f>
        <v>2052</v>
      </c>
      <c r="AE38" s="227">
        <f>IFERROR(VLOOKUP(VLOOKUP(AE$18,$H$3:$K$33,3,FALSE)&amp;VLOOKUP(AE$18,$H$3:$K$33,4,FALSE),$B$3:$C$27,2,FALSE)*VLOOKUP($N38,$N$3:$AF$15,MATCH(VLOOKUP(AE$18,$H$3:$K$33,3,FALSE)&amp;VLOOKUP(AE$18,$H$3:$K$33,4,FALSE),$N$3:$AF$3,0),FALSE),AE37)</f>
        <v>4200</v>
      </c>
      <c r="AF38" s="227">
        <f>IFERROR(VLOOKUP(VLOOKUP(AF$18,$H$3:$K$33,3,FALSE)&amp;VLOOKUP(AF$18,$H$3:$K$33,4,FALSE),$B$3:$C$27,2,FALSE)*VLOOKUP($N38,$N$3:$AF$15,MATCH(VLOOKUP(AF$18,$H$3:$K$33,3,FALSE)&amp;VLOOKUP(AF$18,$H$3:$K$33,4,FALSE),$N$3:$AF$3,0),FALSE),AF37)</f>
        <v>5250</v>
      </c>
      <c r="AG38" s="227">
        <f>IFERROR(VLOOKUP(VLOOKUP(AG$18,$H$3:$K$33,3,FALSE)&amp;VLOOKUP(AG$18,$H$3:$K$33,4,FALSE),$B$3:$C$27,2,FALSE)*VLOOKUP($N38,$N$3:$AF$15,MATCH(VLOOKUP(AG$18,$H$3:$K$33,3,FALSE)&amp;VLOOKUP(AG$18,$H$3:$K$33,4,FALSE),$N$3:$AF$3,0),FALSE),AG37)</f>
        <v>6510</v>
      </c>
      <c r="AH38" s="227">
        <f>IFERROR(VLOOKUP(VLOOKUP(AH$18,$H$3:$K$33,3,FALSE)&amp;VLOOKUP(AH$18,$H$3:$K$33,4,FALSE),$B$3:$C$27,2,FALSE)*VLOOKUP($N38,$N$3:$AF$15,MATCH(VLOOKUP(AH$18,$H$3:$K$33,3,FALSE)&amp;VLOOKUP(AH$18,$H$3:$K$33,4,FALSE),$N$3:$AF$3,0),FALSE),AH37)</f>
        <v>13056</v>
      </c>
      <c r="AI38" s="227">
        <f>IFERROR(VLOOKUP(VLOOKUP(AI$18,$H$3:$K$33,3,FALSE)&amp;VLOOKUP(AI$18,$H$3:$K$33,4,FALSE),$B$3:$C$27,2,FALSE)*VLOOKUP($N38,$N$3:$AF$15,MATCH(VLOOKUP(AI$18,$H$3:$K$33,3,FALSE)&amp;VLOOKUP(AI$18,$H$3:$K$33,4,FALSE),$N$3:$AF$3,0),FALSE),AI37)</f>
        <v>102.00000000000031</v>
      </c>
      <c r="AJ38" s="227">
        <f>IFERROR(VLOOKUP(VLOOKUP(AJ$18,$H$3:$K$33,3,FALSE)&amp;VLOOKUP(AJ$18,$H$3:$K$33,4,FALSE),$B$3:$C$27,2,FALSE)*VLOOKUP($N38,$N$3:$AF$15,MATCH(VLOOKUP(AJ$18,$H$3:$K$33,3,FALSE)&amp;VLOOKUP(AJ$18,$H$3:$K$33,4,FALSE),$N$3:$AF$3,0),FALSE),AJ37)</f>
        <v>240.00000000000063</v>
      </c>
      <c r="AK38" s="227">
        <f>IFERROR(VLOOKUP(VLOOKUP(AK$18,$H$3:$K$33,3,FALSE)&amp;VLOOKUP(AK$18,$H$3:$K$33,4,FALSE),$B$3:$C$27,2,FALSE)*VLOOKUP($N38,$N$3:$AF$15,MATCH(VLOOKUP(AK$18,$H$3:$K$33,3,FALSE)&amp;VLOOKUP(AK$18,$H$3:$K$33,4,FALSE),$N$3:$AF$3,0),FALSE),AK37)</f>
        <v>544.00000000000091</v>
      </c>
      <c r="AL38" s="227">
        <f>IFERROR(VLOOKUP(VLOOKUP(AL$18,$H$3:$K$33,3,FALSE)&amp;VLOOKUP(AL$18,$H$3:$K$33,4,FALSE),$B$3:$C$27,2,FALSE)*VLOOKUP($N38,$N$3:$AF$15,MATCH(VLOOKUP(AL$18,$H$3:$K$33,3,FALSE)&amp;VLOOKUP(AL$18,$H$3:$K$33,4,FALSE),$N$3:$AF$3,0),FALSE),AL37)</f>
        <v>1044</v>
      </c>
      <c r="AM38" s="227">
        <f>IFERROR(VLOOKUP(VLOOKUP(AM$18,$H$3:$K$33,3,FALSE)&amp;VLOOKUP(AM$18,$H$3:$K$33,4,FALSE),$B$3:$C$27,2,FALSE)*VLOOKUP($N38,$N$3:$AF$15,MATCH(VLOOKUP(AM$18,$H$3:$K$33,3,FALSE)&amp;VLOOKUP(AM$18,$H$3:$K$33,4,FALSE),$N$3:$AF$3,0),FALSE),AM37)</f>
        <v>1620</v>
      </c>
      <c r="AN38" s="227">
        <f>IFERROR(VLOOKUP(VLOOKUP(AN$18,$H$3:$K$33,3,FALSE)&amp;VLOOKUP(AN$18,$H$3:$K$33,4,FALSE),$B$3:$C$27,2,FALSE)*VLOOKUP($N38,$N$3:$AF$15,MATCH(VLOOKUP(AN$18,$H$3:$K$33,3,FALSE)&amp;VLOOKUP(AN$18,$H$3:$K$33,4,FALSE),$N$3:$AF$3,0),FALSE),AN37)</f>
        <v>2052</v>
      </c>
      <c r="AO38" s="227">
        <f>IFERROR(VLOOKUP(VLOOKUP(AO$18,$H$3:$K$33,3,FALSE)&amp;VLOOKUP(AO$18,$H$3:$K$33,4,FALSE),$B$3:$C$27,2,FALSE)*VLOOKUP($N38,$N$3:$AF$15,MATCH(VLOOKUP(AO$18,$H$3:$K$33,3,FALSE)&amp;VLOOKUP(AO$18,$H$3:$K$33,4,FALSE),$N$3:$AF$3,0),FALSE),AO37)</f>
        <v>4200</v>
      </c>
      <c r="AP38" s="227">
        <f>IFERROR(VLOOKUP(VLOOKUP(AP$18,$H$3:$K$33,3,FALSE)&amp;VLOOKUP(AP$18,$H$3:$K$33,4,FALSE),$B$3:$C$27,2,FALSE)*VLOOKUP($N38,$N$3:$AF$15,MATCH(VLOOKUP(AP$18,$H$3:$K$33,3,FALSE)&amp;VLOOKUP(AP$18,$H$3:$K$33,4,FALSE),$N$3:$AF$3,0),FALSE),AP37)</f>
        <v>5250</v>
      </c>
      <c r="AQ38" s="227">
        <f>IFERROR(VLOOKUP(VLOOKUP(AQ$18,$H$3:$K$33,3,FALSE)&amp;VLOOKUP(AQ$18,$H$3:$K$33,4,FALSE),$B$3:$C$27,2,FALSE)*VLOOKUP($N38,$N$3:$AF$15,MATCH(VLOOKUP(AQ$18,$H$3:$K$33,3,FALSE)&amp;VLOOKUP(AQ$18,$H$3:$K$33,4,FALSE),$N$3:$AF$3,0),FALSE),AQ37)</f>
        <v>6510</v>
      </c>
      <c r="AR38" s="227">
        <f>IFERROR(VLOOKUP(VLOOKUP(AR$18,$H$3:$K$33,3,FALSE)&amp;VLOOKUP(AR$18,$H$3:$K$33,4,FALSE),$B$3:$C$27,2,FALSE)*VLOOKUP($N38,$N$3:$AF$15,MATCH(VLOOKUP(AR$18,$H$3:$K$33,3,FALSE)&amp;VLOOKUP(AR$18,$H$3:$K$33,4,FALSE),$N$3:$AF$3,0),FALSE),AR37)</f>
        <v>13056</v>
      </c>
    </row>
    <row r="39" spans="2:44" x14ac:dyDescent="0.35">
      <c r="B39" s="617" t="s">
        <v>1119</v>
      </c>
      <c r="C39" s="159">
        <f>C21</f>
        <v>95</v>
      </c>
      <c r="D39" s="707">
        <v>2</v>
      </c>
      <c r="E39" s="713">
        <f t="shared" si="0"/>
        <v>190</v>
      </c>
      <c r="G39" s="631"/>
      <c r="N39" s="219">
        <v>21</v>
      </c>
      <c r="O39" s="227">
        <f>IFERROR(VLOOKUP(VLOOKUP(O$18,$H$3:$K$33,3,FALSE)&amp;VLOOKUP(O$18,$H$3:$K$33,4,FALSE),$B$3:$C$27,2,FALSE)*VLOOKUP($N39,$N$3:$AF$15,MATCH(VLOOKUP(O$18,$H$3:$K$33,3,FALSE)&amp;VLOOKUP(O$18,$H$3:$K$33,4,FALSE),$N$3:$AF$3,0),FALSE),O38)</f>
        <v>102.00000000000031</v>
      </c>
      <c r="P39" s="227">
        <f>IFERROR(VLOOKUP(VLOOKUP(P$18,$H$3:$K$33,3,FALSE)&amp;VLOOKUP(P$18,$H$3:$K$33,4,FALSE),$B$3:$C$27,2,FALSE)*VLOOKUP($N39,$N$3:$AF$15,MATCH(VLOOKUP(P$18,$H$3:$K$33,3,FALSE)&amp;VLOOKUP(P$18,$H$3:$K$33,4,FALSE),$N$3:$AF$3,0),FALSE),P38)</f>
        <v>240.00000000000063</v>
      </c>
      <c r="Q39" s="227">
        <f>IFERROR(VLOOKUP(VLOOKUP(Q$18,$H$3:$K$33,3,FALSE)&amp;VLOOKUP(Q$18,$H$3:$K$33,4,FALSE),$B$3:$C$27,2,FALSE)*VLOOKUP($N39,$N$3:$AF$15,MATCH(VLOOKUP(Q$18,$H$3:$K$33,3,FALSE)&amp;VLOOKUP(Q$18,$H$3:$K$33,4,FALSE),$N$3:$AF$3,0),FALSE),Q38)</f>
        <v>544.00000000000091</v>
      </c>
      <c r="R39" s="227">
        <f>IFERROR(VLOOKUP(VLOOKUP(R$18,$H$3:$K$33,3,FALSE)&amp;VLOOKUP(R$18,$H$3:$K$33,4,FALSE),$B$3:$C$27,2,FALSE)*VLOOKUP($N39,$N$3:$AF$15,MATCH(VLOOKUP(R$18,$H$3:$K$33,3,FALSE)&amp;VLOOKUP(R$18,$H$3:$K$33,4,FALSE),$N$3:$AF$3,0),FALSE),R38)</f>
        <v>1044</v>
      </c>
      <c r="S39" s="227">
        <f>IFERROR(VLOOKUP(VLOOKUP(S$18,$H$3:$K$33,3,FALSE)&amp;VLOOKUP(S$18,$H$3:$K$33,4,FALSE),$B$3:$C$27,2,FALSE)*VLOOKUP($N39,$N$3:$AF$15,MATCH(VLOOKUP(S$18,$H$3:$K$33,3,FALSE)&amp;VLOOKUP(S$18,$H$3:$K$33,4,FALSE),$N$3:$AF$3,0),FALSE),S38)</f>
        <v>1620</v>
      </c>
      <c r="T39" s="227">
        <f>IFERROR(VLOOKUP(VLOOKUP(T$18,$H$3:$K$33,3,FALSE)&amp;VLOOKUP(T$18,$H$3:$K$33,4,FALSE),$B$3:$C$27,2,FALSE)*VLOOKUP($N39,$N$3:$AF$15,MATCH(VLOOKUP(T$18,$H$3:$K$33,3,FALSE)&amp;VLOOKUP(T$18,$H$3:$K$33,4,FALSE),$N$3:$AF$3,0),FALSE),T38)</f>
        <v>2052</v>
      </c>
      <c r="U39" s="227">
        <f>IFERROR(VLOOKUP(VLOOKUP(U$18,$H$3:$K$33,3,FALSE)&amp;VLOOKUP(U$18,$H$3:$K$33,4,FALSE),$B$3:$C$27,2,FALSE)*VLOOKUP($N39,$N$3:$AF$15,MATCH(VLOOKUP(U$18,$H$3:$K$33,3,FALSE)&amp;VLOOKUP(U$18,$H$3:$K$33,4,FALSE),$N$3:$AF$3,0),FALSE),U38)</f>
        <v>4200</v>
      </c>
      <c r="V39" s="227">
        <f>IFERROR(VLOOKUP(VLOOKUP(V$18,$H$3:$K$33,3,FALSE)&amp;VLOOKUP(V$18,$H$3:$K$33,4,FALSE),$B$3:$C$27,2,FALSE)*VLOOKUP($N39,$N$3:$AF$15,MATCH(VLOOKUP(V$18,$H$3:$K$33,3,FALSE)&amp;VLOOKUP(V$18,$H$3:$K$33,4,FALSE),$N$3:$AF$3,0),FALSE),V38)</f>
        <v>5250</v>
      </c>
      <c r="W39" s="227">
        <f>IFERROR(VLOOKUP(VLOOKUP(W$18,$H$3:$K$33,3,FALSE)&amp;VLOOKUP(W$18,$H$3:$K$33,4,FALSE),$B$3:$C$27,2,FALSE)*VLOOKUP($N39,$N$3:$AF$15,MATCH(VLOOKUP(W$18,$H$3:$K$33,3,FALSE)&amp;VLOOKUP(W$18,$H$3:$K$33,4,FALSE),$N$3:$AF$3,0),FALSE),W38)</f>
        <v>6510</v>
      </c>
      <c r="X39" s="227">
        <f>IFERROR(VLOOKUP(VLOOKUP(X$18,$H$3:$K$33,3,FALSE)&amp;VLOOKUP(X$18,$H$3:$K$33,4,FALSE),$B$3:$C$27,2,FALSE)*VLOOKUP($N39,$N$3:$AF$15,MATCH(VLOOKUP(X$18,$H$3:$K$33,3,FALSE)&amp;VLOOKUP(X$18,$H$3:$K$33,4,FALSE),$N$3:$AF$3,0),FALSE),X38)</f>
        <v>13056</v>
      </c>
      <c r="Y39" s="227">
        <f>IFERROR(VLOOKUP(VLOOKUP(Y$18,$H$3:$K$33,3,FALSE)&amp;VLOOKUP(Y$18,$H$3:$K$33,4,FALSE),$B$3:$C$27,2,FALSE)*VLOOKUP($N39,$N$3:$AF$15,MATCH(VLOOKUP(Y$18,$H$3:$K$33,3,FALSE)&amp;VLOOKUP(Y$18,$H$3:$K$33,4,FALSE),$N$3:$AF$3,0),FALSE),Y38)</f>
        <v>102.00000000000031</v>
      </c>
      <c r="Z39" s="227">
        <f>IFERROR(VLOOKUP(VLOOKUP(Z$18,$H$3:$K$33,3,FALSE)&amp;VLOOKUP(Z$18,$H$3:$K$33,4,FALSE),$B$3:$C$27,2,FALSE)*VLOOKUP($N39,$N$3:$AF$15,MATCH(VLOOKUP(Z$18,$H$3:$K$33,3,FALSE)&amp;VLOOKUP(Z$18,$H$3:$K$33,4,FALSE),$N$3:$AF$3,0),FALSE),Z38)</f>
        <v>240.00000000000063</v>
      </c>
      <c r="AA39" s="227">
        <f>IFERROR(VLOOKUP(VLOOKUP(AA$18,$H$3:$K$33,3,FALSE)&amp;VLOOKUP(AA$18,$H$3:$K$33,4,FALSE),$B$3:$C$27,2,FALSE)*VLOOKUP($N39,$N$3:$AF$15,MATCH(VLOOKUP(AA$18,$H$3:$K$33,3,FALSE)&amp;VLOOKUP(AA$18,$H$3:$K$33,4,FALSE),$N$3:$AF$3,0),FALSE),AA38)</f>
        <v>544.00000000000091</v>
      </c>
      <c r="AB39" s="227">
        <f>IFERROR(VLOOKUP(VLOOKUP(AB$18,$H$3:$K$33,3,FALSE)&amp;VLOOKUP(AB$18,$H$3:$K$33,4,FALSE),$B$3:$C$27,2,FALSE)*VLOOKUP($N39,$N$3:$AF$15,MATCH(VLOOKUP(AB$18,$H$3:$K$33,3,FALSE)&amp;VLOOKUP(AB$18,$H$3:$K$33,4,FALSE),$N$3:$AF$3,0),FALSE),AB38)</f>
        <v>1044</v>
      </c>
      <c r="AC39" s="227">
        <f>IFERROR(VLOOKUP(VLOOKUP(AC$18,$H$3:$K$33,3,FALSE)&amp;VLOOKUP(AC$18,$H$3:$K$33,4,FALSE),$B$3:$C$27,2,FALSE)*VLOOKUP($N39,$N$3:$AF$15,MATCH(VLOOKUP(AC$18,$H$3:$K$33,3,FALSE)&amp;VLOOKUP(AC$18,$H$3:$K$33,4,FALSE),$N$3:$AF$3,0),FALSE),AC38)</f>
        <v>1620</v>
      </c>
      <c r="AD39" s="227">
        <f>IFERROR(VLOOKUP(VLOOKUP(AD$18,$H$3:$K$33,3,FALSE)&amp;VLOOKUP(AD$18,$H$3:$K$33,4,FALSE),$B$3:$C$27,2,FALSE)*VLOOKUP($N39,$N$3:$AF$15,MATCH(VLOOKUP(AD$18,$H$3:$K$33,3,FALSE)&amp;VLOOKUP(AD$18,$H$3:$K$33,4,FALSE),$N$3:$AF$3,0),FALSE),AD38)</f>
        <v>2052</v>
      </c>
      <c r="AE39" s="227">
        <f>IFERROR(VLOOKUP(VLOOKUP(AE$18,$H$3:$K$33,3,FALSE)&amp;VLOOKUP(AE$18,$H$3:$K$33,4,FALSE),$B$3:$C$27,2,FALSE)*VLOOKUP($N39,$N$3:$AF$15,MATCH(VLOOKUP(AE$18,$H$3:$K$33,3,FALSE)&amp;VLOOKUP(AE$18,$H$3:$K$33,4,FALSE),$N$3:$AF$3,0),FALSE),AE38)</f>
        <v>4200</v>
      </c>
      <c r="AF39" s="227">
        <f>IFERROR(VLOOKUP(VLOOKUP(AF$18,$H$3:$K$33,3,FALSE)&amp;VLOOKUP(AF$18,$H$3:$K$33,4,FALSE),$B$3:$C$27,2,FALSE)*VLOOKUP($N39,$N$3:$AF$15,MATCH(VLOOKUP(AF$18,$H$3:$K$33,3,FALSE)&amp;VLOOKUP(AF$18,$H$3:$K$33,4,FALSE),$N$3:$AF$3,0),FALSE),AF38)</f>
        <v>5250</v>
      </c>
      <c r="AG39" s="227">
        <f>IFERROR(VLOOKUP(VLOOKUP(AG$18,$H$3:$K$33,3,FALSE)&amp;VLOOKUP(AG$18,$H$3:$K$33,4,FALSE),$B$3:$C$27,2,FALSE)*VLOOKUP($N39,$N$3:$AF$15,MATCH(VLOOKUP(AG$18,$H$3:$K$33,3,FALSE)&amp;VLOOKUP(AG$18,$H$3:$K$33,4,FALSE),$N$3:$AF$3,0),FALSE),AG38)</f>
        <v>6510</v>
      </c>
      <c r="AH39" s="227">
        <f>IFERROR(VLOOKUP(VLOOKUP(AH$18,$H$3:$K$33,3,FALSE)&amp;VLOOKUP(AH$18,$H$3:$K$33,4,FALSE),$B$3:$C$27,2,FALSE)*VLOOKUP($N39,$N$3:$AF$15,MATCH(VLOOKUP(AH$18,$H$3:$K$33,3,FALSE)&amp;VLOOKUP(AH$18,$H$3:$K$33,4,FALSE),$N$3:$AF$3,0),FALSE),AH38)</f>
        <v>13056</v>
      </c>
      <c r="AI39" s="227">
        <f>IFERROR(VLOOKUP(VLOOKUP(AI$18,$H$3:$K$33,3,FALSE)&amp;VLOOKUP(AI$18,$H$3:$K$33,4,FALSE),$B$3:$C$27,2,FALSE)*VLOOKUP($N39,$N$3:$AF$15,MATCH(VLOOKUP(AI$18,$H$3:$K$33,3,FALSE)&amp;VLOOKUP(AI$18,$H$3:$K$33,4,FALSE),$N$3:$AF$3,0),FALSE),AI38)</f>
        <v>102.00000000000031</v>
      </c>
      <c r="AJ39" s="227">
        <f>IFERROR(VLOOKUP(VLOOKUP(AJ$18,$H$3:$K$33,3,FALSE)&amp;VLOOKUP(AJ$18,$H$3:$K$33,4,FALSE),$B$3:$C$27,2,FALSE)*VLOOKUP($N39,$N$3:$AF$15,MATCH(VLOOKUP(AJ$18,$H$3:$K$33,3,FALSE)&amp;VLOOKUP(AJ$18,$H$3:$K$33,4,FALSE),$N$3:$AF$3,0),FALSE),AJ38)</f>
        <v>240.00000000000063</v>
      </c>
      <c r="AK39" s="227">
        <f>IFERROR(VLOOKUP(VLOOKUP(AK$18,$H$3:$K$33,3,FALSE)&amp;VLOOKUP(AK$18,$H$3:$K$33,4,FALSE),$B$3:$C$27,2,FALSE)*VLOOKUP($N39,$N$3:$AF$15,MATCH(VLOOKUP(AK$18,$H$3:$K$33,3,FALSE)&amp;VLOOKUP(AK$18,$H$3:$K$33,4,FALSE),$N$3:$AF$3,0),FALSE),AK38)</f>
        <v>544.00000000000091</v>
      </c>
      <c r="AL39" s="227">
        <f>IFERROR(VLOOKUP(VLOOKUP(AL$18,$H$3:$K$33,3,FALSE)&amp;VLOOKUP(AL$18,$H$3:$K$33,4,FALSE),$B$3:$C$27,2,FALSE)*VLOOKUP($N39,$N$3:$AF$15,MATCH(VLOOKUP(AL$18,$H$3:$K$33,3,FALSE)&amp;VLOOKUP(AL$18,$H$3:$K$33,4,FALSE),$N$3:$AF$3,0),FALSE),AL38)</f>
        <v>1044</v>
      </c>
      <c r="AM39" s="227">
        <f>IFERROR(VLOOKUP(VLOOKUP(AM$18,$H$3:$K$33,3,FALSE)&amp;VLOOKUP(AM$18,$H$3:$K$33,4,FALSE),$B$3:$C$27,2,FALSE)*VLOOKUP($N39,$N$3:$AF$15,MATCH(VLOOKUP(AM$18,$H$3:$K$33,3,FALSE)&amp;VLOOKUP(AM$18,$H$3:$K$33,4,FALSE),$N$3:$AF$3,0),FALSE),AM38)</f>
        <v>1620</v>
      </c>
      <c r="AN39" s="227">
        <f>IFERROR(VLOOKUP(VLOOKUP(AN$18,$H$3:$K$33,3,FALSE)&amp;VLOOKUP(AN$18,$H$3:$K$33,4,FALSE),$B$3:$C$27,2,FALSE)*VLOOKUP($N39,$N$3:$AF$15,MATCH(VLOOKUP(AN$18,$H$3:$K$33,3,FALSE)&amp;VLOOKUP(AN$18,$H$3:$K$33,4,FALSE),$N$3:$AF$3,0),FALSE),AN38)</f>
        <v>2052</v>
      </c>
      <c r="AO39" s="227">
        <f>IFERROR(VLOOKUP(VLOOKUP(AO$18,$H$3:$K$33,3,FALSE)&amp;VLOOKUP(AO$18,$H$3:$K$33,4,FALSE),$B$3:$C$27,2,FALSE)*VLOOKUP($N39,$N$3:$AF$15,MATCH(VLOOKUP(AO$18,$H$3:$K$33,3,FALSE)&amp;VLOOKUP(AO$18,$H$3:$K$33,4,FALSE),$N$3:$AF$3,0),FALSE),AO38)</f>
        <v>4200</v>
      </c>
      <c r="AP39" s="227">
        <f>IFERROR(VLOOKUP(VLOOKUP(AP$18,$H$3:$K$33,3,FALSE)&amp;VLOOKUP(AP$18,$H$3:$K$33,4,FALSE),$B$3:$C$27,2,FALSE)*VLOOKUP($N39,$N$3:$AF$15,MATCH(VLOOKUP(AP$18,$H$3:$K$33,3,FALSE)&amp;VLOOKUP(AP$18,$H$3:$K$33,4,FALSE),$N$3:$AF$3,0),FALSE),AP38)</f>
        <v>5250</v>
      </c>
      <c r="AQ39" s="227">
        <f>IFERROR(VLOOKUP(VLOOKUP(AQ$18,$H$3:$K$33,3,FALSE)&amp;VLOOKUP(AQ$18,$H$3:$K$33,4,FALSE),$B$3:$C$27,2,FALSE)*VLOOKUP($N39,$N$3:$AF$15,MATCH(VLOOKUP(AQ$18,$H$3:$K$33,3,FALSE)&amp;VLOOKUP(AQ$18,$H$3:$K$33,4,FALSE),$N$3:$AF$3,0),FALSE),AQ38)</f>
        <v>6510</v>
      </c>
      <c r="AR39" s="227">
        <f>IFERROR(VLOOKUP(VLOOKUP(AR$18,$H$3:$K$33,3,FALSE)&amp;VLOOKUP(AR$18,$H$3:$K$33,4,FALSE),$B$3:$C$27,2,FALSE)*VLOOKUP($N39,$N$3:$AF$15,MATCH(VLOOKUP(AR$18,$H$3:$K$33,3,FALSE)&amp;VLOOKUP(AR$18,$H$3:$K$33,4,FALSE),$N$3:$AF$3,0),FALSE),AR38)</f>
        <v>13056</v>
      </c>
    </row>
    <row r="40" spans="2:44" x14ac:dyDescent="0.35">
      <c r="B40" s="617" t="s">
        <v>1120</v>
      </c>
      <c r="C40" s="159">
        <f>C22</f>
        <v>100</v>
      </c>
      <c r="D40" s="707">
        <v>1.8</v>
      </c>
      <c r="E40" s="713">
        <f t="shared" si="0"/>
        <v>180</v>
      </c>
      <c r="G40" s="631"/>
      <c r="N40" s="219">
        <v>22</v>
      </c>
      <c r="O40" s="227">
        <f>IFERROR(VLOOKUP(VLOOKUP(O$18,$H$3:$K$33,3,FALSE)&amp;VLOOKUP(O$18,$H$3:$K$33,4,FALSE),$B$3:$C$27,2,FALSE)*VLOOKUP($N40,$N$3:$AF$15,MATCH(VLOOKUP(O$18,$H$3:$K$33,3,FALSE)&amp;VLOOKUP(O$18,$H$3:$K$33,4,FALSE),$N$3:$AF$3,0),FALSE),O39)</f>
        <v>102.00000000000031</v>
      </c>
      <c r="P40" s="227">
        <f>IFERROR(VLOOKUP(VLOOKUP(P$18,$H$3:$K$33,3,FALSE)&amp;VLOOKUP(P$18,$H$3:$K$33,4,FALSE),$B$3:$C$27,2,FALSE)*VLOOKUP($N40,$N$3:$AF$15,MATCH(VLOOKUP(P$18,$H$3:$K$33,3,FALSE)&amp;VLOOKUP(P$18,$H$3:$K$33,4,FALSE),$N$3:$AF$3,0),FALSE),P39)</f>
        <v>240.00000000000063</v>
      </c>
      <c r="Q40" s="227">
        <f>IFERROR(VLOOKUP(VLOOKUP(Q$18,$H$3:$K$33,3,FALSE)&amp;VLOOKUP(Q$18,$H$3:$K$33,4,FALSE),$B$3:$C$27,2,FALSE)*VLOOKUP($N40,$N$3:$AF$15,MATCH(VLOOKUP(Q$18,$H$3:$K$33,3,FALSE)&amp;VLOOKUP(Q$18,$H$3:$K$33,4,FALSE),$N$3:$AF$3,0),FALSE),Q39)</f>
        <v>544.00000000000091</v>
      </c>
      <c r="R40" s="227">
        <f>IFERROR(VLOOKUP(VLOOKUP(R$18,$H$3:$K$33,3,FALSE)&amp;VLOOKUP(R$18,$H$3:$K$33,4,FALSE),$B$3:$C$27,2,FALSE)*VLOOKUP($N40,$N$3:$AF$15,MATCH(VLOOKUP(R$18,$H$3:$K$33,3,FALSE)&amp;VLOOKUP(R$18,$H$3:$K$33,4,FALSE),$N$3:$AF$3,0),FALSE),R39)</f>
        <v>1044</v>
      </c>
      <c r="S40" s="227">
        <f>IFERROR(VLOOKUP(VLOOKUP(S$18,$H$3:$K$33,3,FALSE)&amp;VLOOKUP(S$18,$H$3:$K$33,4,FALSE),$B$3:$C$27,2,FALSE)*VLOOKUP($N40,$N$3:$AF$15,MATCH(VLOOKUP(S$18,$H$3:$K$33,3,FALSE)&amp;VLOOKUP(S$18,$H$3:$K$33,4,FALSE),$N$3:$AF$3,0),FALSE),S39)</f>
        <v>1620</v>
      </c>
      <c r="T40" s="227">
        <f>IFERROR(VLOOKUP(VLOOKUP(T$18,$H$3:$K$33,3,FALSE)&amp;VLOOKUP(T$18,$H$3:$K$33,4,FALSE),$B$3:$C$27,2,FALSE)*VLOOKUP($N40,$N$3:$AF$15,MATCH(VLOOKUP(T$18,$H$3:$K$33,3,FALSE)&amp;VLOOKUP(T$18,$H$3:$K$33,4,FALSE),$N$3:$AF$3,0),FALSE),T39)</f>
        <v>2052</v>
      </c>
      <c r="U40" s="227">
        <f>IFERROR(VLOOKUP(VLOOKUP(U$18,$H$3:$K$33,3,FALSE)&amp;VLOOKUP(U$18,$H$3:$K$33,4,FALSE),$B$3:$C$27,2,FALSE)*VLOOKUP($N40,$N$3:$AF$15,MATCH(VLOOKUP(U$18,$H$3:$K$33,3,FALSE)&amp;VLOOKUP(U$18,$H$3:$K$33,4,FALSE),$N$3:$AF$3,0),FALSE),U39)</f>
        <v>4200</v>
      </c>
      <c r="V40" s="227">
        <f>IFERROR(VLOOKUP(VLOOKUP(V$18,$H$3:$K$33,3,FALSE)&amp;VLOOKUP(V$18,$H$3:$K$33,4,FALSE),$B$3:$C$27,2,FALSE)*VLOOKUP($N40,$N$3:$AF$15,MATCH(VLOOKUP(V$18,$H$3:$K$33,3,FALSE)&amp;VLOOKUP(V$18,$H$3:$K$33,4,FALSE),$N$3:$AF$3,0),FALSE),V39)</f>
        <v>5250</v>
      </c>
      <c r="W40" s="227">
        <f>IFERROR(VLOOKUP(VLOOKUP(W$18,$H$3:$K$33,3,FALSE)&amp;VLOOKUP(W$18,$H$3:$K$33,4,FALSE),$B$3:$C$27,2,FALSE)*VLOOKUP($N40,$N$3:$AF$15,MATCH(VLOOKUP(W$18,$H$3:$K$33,3,FALSE)&amp;VLOOKUP(W$18,$H$3:$K$33,4,FALSE),$N$3:$AF$3,0),FALSE),W39)</f>
        <v>6510</v>
      </c>
      <c r="X40" s="227">
        <f>IFERROR(VLOOKUP(VLOOKUP(X$18,$H$3:$K$33,3,FALSE)&amp;VLOOKUP(X$18,$H$3:$K$33,4,FALSE),$B$3:$C$27,2,FALSE)*VLOOKUP($N40,$N$3:$AF$15,MATCH(VLOOKUP(X$18,$H$3:$K$33,3,FALSE)&amp;VLOOKUP(X$18,$H$3:$K$33,4,FALSE),$N$3:$AF$3,0),FALSE),X39)</f>
        <v>13056</v>
      </c>
      <c r="Y40" s="227">
        <f>IFERROR(VLOOKUP(VLOOKUP(Y$18,$H$3:$K$33,3,FALSE)&amp;VLOOKUP(Y$18,$H$3:$K$33,4,FALSE),$B$3:$C$27,2,FALSE)*VLOOKUP($N40,$N$3:$AF$15,MATCH(VLOOKUP(Y$18,$H$3:$K$33,3,FALSE)&amp;VLOOKUP(Y$18,$H$3:$K$33,4,FALSE),$N$3:$AF$3,0),FALSE),Y39)</f>
        <v>102.00000000000031</v>
      </c>
      <c r="Z40" s="227">
        <f>IFERROR(VLOOKUP(VLOOKUP(Z$18,$H$3:$K$33,3,FALSE)&amp;VLOOKUP(Z$18,$H$3:$K$33,4,FALSE),$B$3:$C$27,2,FALSE)*VLOOKUP($N40,$N$3:$AF$15,MATCH(VLOOKUP(Z$18,$H$3:$K$33,3,FALSE)&amp;VLOOKUP(Z$18,$H$3:$K$33,4,FALSE),$N$3:$AF$3,0),FALSE),Z39)</f>
        <v>240.00000000000063</v>
      </c>
      <c r="AA40" s="227">
        <f>IFERROR(VLOOKUP(VLOOKUP(AA$18,$H$3:$K$33,3,FALSE)&amp;VLOOKUP(AA$18,$H$3:$K$33,4,FALSE),$B$3:$C$27,2,FALSE)*VLOOKUP($N40,$N$3:$AF$15,MATCH(VLOOKUP(AA$18,$H$3:$K$33,3,FALSE)&amp;VLOOKUP(AA$18,$H$3:$K$33,4,FALSE),$N$3:$AF$3,0),FALSE),AA39)</f>
        <v>544.00000000000091</v>
      </c>
      <c r="AB40" s="227">
        <f>IFERROR(VLOOKUP(VLOOKUP(AB$18,$H$3:$K$33,3,FALSE)&amp;VLOOKUP(AB$18,$H$3:$K$33,4,FALSE),$B$3:$C$27,2,FALSE)*VLOOKUP($N40,$N$3:$AF$15,MATCH(VLOOKUP(AB$18,$H$3:$K$33,3,FALSE)&amp;VLOOKUP(AB$18,$H$3:$K$33,4,FALSE),$N$3:$AF$3,0),FALSE),AB39)</f>
        <v>1044</v>
      </c>
      <c r="AC40" s="227">
        <f>IFERROR(VLOOKUP(VLOOKUP(AC$18,$H$3:$K$33,3,FALSE)&amp;VLOOKUP(AC$18,$H$3:$K$33,4,FALSE),$B$3:$C$27,2,FALSE)*VLOOKUP($N40,$N$3:$AF$15,MATCH(VLOOKUP(AC$18,$H$3:$K$33,3,FALSE)&amp;VLOOKUP(AC$18,$H$3:$K$33,4,FALSE),$N$3:$AF$3,0),FALSE),AC39)</f>
        <v>1620</v>
      </c>
      <c r="AD40" s="227">
        <f>IFERROR(VLOOKUP(VLOOKUP(AD$18,$H$3:$K$33,3,FALSE)&amp;VLOOKUP(AD$18,$H$3:$K$33,4,FALSE),$B$3:$C$27,2,FALSE)*VLOOKUP($N40,$N$3:$AF$15,MATCH(VLOOKUP(AD$18,$H$3:$K$33,3,FALSE)&amp;VLOOKUP(AD$18,$H$3:$K$33,4,FALSE),$N$3:$AF$3,0),FALSE),AD39)</f>
        <v>2052</v>
      </c>
      <c r="AE40" s="227">
        <f>IFERROR(VLOOKUP(VLOOKUP(AE$18,$H$3:$K$33,3,FALSE)&amp;VLOOKUP(AE$18,$H$3:$K$33,4,FALSE),$B$3:$C$27,2,FALSE)*VLOOKUP($N40,$N$3:$AF$15,MATCH(VLOOKUP(AE$18,$H$3:$K$33,3,FALSE)&amp;VLOOKUP(AE$18,$H$3:$K$33,4,FALSE),$N$3:$AF$3,0),FALSE),AE39)</f>
        <v>4200</v>
      </c>
      <c r="AF40" s="227">
        <f>IFERROR(VLOOKUP(VLOOKUP(AF$18,$H$3:$K$33,3,FALSE)&amp;VLOOKUP(AF$18,$H$3:$K$33,4,FALSE),$B$3:$C$27,2,FALSE)*VLOOKUP($N40,$N$3:$AF$15,MATCH(VLOOKUP(AF$18,$H$3:$K$33,3,FALSE)&amp;VLOOKUP(AF$18,$H$3:$K$33,4,FALSE),$N$3:$AF$3,0),FALSE),AF39)</f>
        <v>5250</v>
      </c>
      <c r="AG40" s="227">
        <f>IFERROR(VLOOKUP(VLOOKUP(AG$18,$H$3:$K$33,3,FALSE)&amp;VLOOKUP(AG$18,$H$3:$K$33,4,FALSE),$B$3:$C$27,2,FALSE)*VLOOKUP($N40,$N$3:$AF$15,MATCH(VLOOKUP(AG$18,$H$3:$K$33,3,FALSE)&amp;VLOOKUP(AG$18,$H$3:$K$33,4,FALSE),$N$3:$AF$3,0),FALSE),AG39)</f>
        <v>6510</v>
      </c>
      <c r="AH40" s="227">
        <f>IFERROR(VLOOKUP(VLOOKUP(AH$18,$H$3:$K$33,3,FALSE)&amp;VLOOKUP(AH$18,$H$3:$K$33,4,FALSE),$B$3:$C$27,2,FALSE)*VLOOKUP($N40,$N$3:$AF$15,MATCH(VLOOKUP(AH$18,$H$3:$K$33,3,FALSE)&amp;VLOOKUP(AH$18,$H$3:$K$33,4,FALSE),$N$3:$AF$3,0),FALSE),AH39)</f>
        <v>13056</v>
      </c>
      <c r="AI40" s="227">
        <f>IFERROR(VLOOKUP(VLOOKUP(AI$18,$H$3:$K$33,3,FALSE)&amp;VLOOKUP(AI$18,$H$3:$K$33,4,FALSE),$B$3:$C$27,2,FALSE)*VLOOKUP($N40,$N$3:$AF$15,MATCH(VLOOKUP(AI$18,$H$3:$K$33,3,FALSE)&amp;VLOOKUP(AI$18,$H$3:$K$33,4,FALSE),$N$3:$AF$3,0),FALSE),AI39)</f>
        <v>102.00000000000031</v>
      </c>
      <c r="AJ40" s="227">
        <f>IFERROR(VLOOKUP(VLOOKUP(AJ$18,$H$3:$K$33,3,FALSE)&amp;VLOOKUP(AJ$18,$H$3:$K$33,4,FALSE),$B$3:$C$27,2,FALSE)*VLOOKUP($N40,$N$3:$AF$15,MATCH(VLOOKUP(AJ$18,$H$3:$K$33,3,FALSE)&amp;VLOOKUP(AJ$18,$H$3:$K$33,4,FALSE),$N$3:$AF$3,0),FALSE),AJ39)</f>
        <v>240.00000000000063</v>
      </c>
      <c r="AK40" s="227">
        <f>IFERROR(VLOOKUP(VLOOKUP(AK$18,$H$3:$K$33,3,FALSE)&amp;VLOOKUP(AK$18,$H$3:$K$33,4,FALSE),$B$3:$C$27,2,FALSE)*VLOOKUP($N40,$N$3:$AF$15,MATCH(VLOOKUP(AK$18,$H$3:$K$33,3,FALSE)&amp;VLOOKUP(AK$18,$H$3:$K$33,4,FALSE),$N$3:$AF$3,0),FALSE),AK39)</f>
        <v>544.00000000000091</v>
      </c>
      <c r="AL40" s="227">
        <f>IFERROR(VLOOKUP(VLOOKUP(AL$18,$H$3:$K$33,3,FALSE)&amp;VLOOKUP(AL$18,$H$3:$K$33,4,FALSE),$B$3:$C$27,2,FALSE)*VLOOKUP($N40,$N$3:$AF$15,MATCH(VLOOKUP(AL$18,$H$3:$K$33,3,FALSE)&amp;VLOOKUP(AL$18,$H$3:$K$33,4,FALSE),$N$3:$AF$3,0),FALSE),AL39)</f>
        <v>1044</v>
      </c>
      <c r="AM40" s="227">
        <f>IFERROR(VLOOKUP(VLOOKUP(AM$18,$H$3:$K$33,3,FALSE)&amp;VLOOKUP(AM$18,$H$3:$K$33,4,FALSE),$B$3:$C$27,2,FALSE)*VLOOKUP($N40,$N$3:$AF$15,MATCH(VLOOKUP(AM$18,$H$3:$K$33,3,FALSE)&amp;VLOOKUP(AM$18,$H$3:$K$33,4,FALSE),$N$3:$AF$3,0),FALSE),AM39)</f>
        <v>1620</v>
      </c>
      <c r="AN40" s="227">
        <f>IFERROR(VLOOKUP(VLOOKUP(AN$18,$H$3:$K$33,3,FALSE)&amp;VLOOKUP(AN$18,$H$3:$K$33,4,FALSE),$B$3:$C$27,2,FALSE)*VLOOKUP($N40,$N$3:$AF$15,MATCH(VLOOKUP(AN$18,$H$3:$K$33,3,FALSE)&amp;VLOOKUP(AN$18,$H$3:$K$33,4,FALSE),$N$3:$AF$3,0),FALSE),AN39)</f>
        <v>2052</v>
      </c>
      <c r="AO40" s="227">
        <f>IFERROR(VLOOKUP(VLOOKUP(AO$18,$H$3:$K$33,3,FALSE)&amp;VLOOKUP(AO$18,$H$3:$K$33,4,FALSE),$B$3:$C$27,2,FALSE)*VLOOKUP($N40,$N$3:$AF$15,MATCH(VLOOKUP(AO$18,$H$3:$K$33,3,FALSE)&amp;VLOOKUP(AO$18,$H$3:$K$33,4,FALSE),$N$3:$AF$3,0),FALSE),AO39)</f>
        <v>4200</v>
      </c>
      <c r="AP40" s="227">
        <f>IFERROR(VLOOKUP(VLOOKUP(AP$18,$H$3:$K$33,3,FALSE)&amp;VLOOKUP(AP$18,$H$3:$K$33,4,FALSE),$B$3:$C$27,2,FALSE)*VLOOKUP($N40,$N$3:$AF$15,MATCH(VLOOKUP(AP$18,$H$3:$K$33,3,FALSE)&amp;VLOOKUP(AP$18,$H$3:$K$33,4,FALSE),$N$3:$AF$3,0),FALSE),AP39)</f>
        <v>5250</v>
      </c>
      <c r="AQ40" s="227">
        <f>IFERROR(VLOOKUP(VLOOKUP(AQ$18,$H$3:$K$33,3,FALSE)&amp;VLOOKUP(AQ$18,$H$3:$K$33,4,FALSE),$B$3:$C$27,2,FALSE)*VLOOKUP($N40,$N$3:$AF$15,MATCH(VLOOKUP(AQ$18,$H$3:$K$33,3,FALSE)&amp;VLOOKUP(AQ$18,$H$3:$K$33,4,FALSE),$N$3:$AF$3,0),FALSE),AQ39)</f>
        <v>6510</v>
      </c>
      <c r="AR40" s="227">
        <f>IFERROR(VLOOKUP(VLOOKUP(AR$18,$H$3:$K$33,3,FALSE)&amp;VLOOKUP(AR$18,$H$3:$K$33,4,FALSE),$B$3:$C$27,2,FALSE)*VLOOKUP($N40,$N$3:$AF$15,MATCH(VLOOKUP(AR$18,$H$3:$K$33,3,FALSE)&amp;VLOOKUP(AR$18,$H$3:$K$33,4,FALSE),$N$3:$AF$3,0),FALSE),AR39)</f>
        <v>13056</v>
      </c>
    </row>
    <row r="41" spans="2:44" x14ac:dyDescent="0.35">
      <c r="B41" s="617" t="s">
        <v>1121</v>
      </c>
      <c r="C41" s="159">
        <f>C23</f>
        <v>125</v>
      </c>
      <c r="D41" s="707">
        <v>1.665</v>
      </c>
      <c r="E41" s="713">
        <f t="shared" si="0"/>
        <v>210</v>
      </c>
      <c r="G41" s="631"/>
      <c r="N41" s="219">
        <v>23</v>
      </c>
      <c r="O41" s="227">
        <f>IFERROR(VLOOKUP(VLOOKUP(O$18,$H$3:$K$33,3,FALSE)&amp;VLOOKUP(O$18,$H$3:$K$33,4,FALSE),$B$3:$C$27,2,FALSE)*VLOOKUP($N41,$N$3:$AF$15,MATCH(VLOOKUP(O$18,$H$3:$K$33,3,FALSE)&amp;VLOOKUP(O$18,$H$3:$K$33,4,FALSE),$N$3:$AF$3,0),FALSE),O40)</f>
        <v>102.00000000000031</v>
      </c>
      <c r="P41" s="227">
        <f>IFERROR(VLOOKUP(VLOOKUP(P$18,$H$3:$K$33,3,FALSE)&amp;VLOOKUP(P$18,$H$3:$K$33,4,FALSE),$B$3:$C$27,2,FALSE)*VLOOKUP($N41,$N$3:$AF$15,MATCH(VLOOKUP(P$18,$H$3:$K$33,3,FALSE)&amp;VLOOKUP(P$18,$H$3:$K$33,4,FALSE),$N$3:$AF$3,0),FALSE),P40)</f>
        <v>240.00000000000063</v>
      </c>
      <c r="Q41" s="227">
        <f>IFERROR(VLOOKUP(VLOOKUP(Q$18,$H$3:$K$33,3,FALSE)&amp;VLOOKUP(Q$18,$H$3:$K$33,4,FALSE),$B$3:$C$27,2,FALSE)*VLOOKUP($N41,$N$3:$AF$15,MATCH(VLOOKUP(Q$18,$H$3:$K$33,3,FALSE)&amp;VLOOKUP(Q$18,$H$3:$K$33,4,FALSE),$N$3:$AF$3,0),FALSE),Q40)</f>
        <v>544.00000000000091</v>
      </c>
      <c r="R41" s="227">
        <f>IFERROR(VLOOKUP(VLOOKUP(R$18,$H$3:$K$33,3,FALSE)&amp;VLOOKUP(R$18,$H$3:$K$33,4,FALSE),$B$3:$C$27,2,FALSE)*VLOOKUP($N41,$N$3:$AF$15,MATCH(VLOOKUP(R$18,$H$3:$K$33,3,FALSE)&amp;VLOOKUP(R$18,$H$3:$K$33,4,FALSE),$N$3:$AF$3,0),FALSE),R40)</f>
        <v>1044</v>
      </c>
      <c r="S41" s="227">
        <f>IFERROR(VLOOKUP(VLOOKUP(S$18,$H$3:$K$33,3,FALSE)&amp;VLOOKUP(S$18,$H$3:$K$33,4,FALSE),$B$3:$C$27,2,FALSE)*VLOOKUP($N41,$N$3:$AF$15,MATCH(VLOOKUP(S$18,$H$3:$K$33,3,FALSE)&amp;VLOOKUP(S$18,$H$3:$K$33,4,FALSE),$N$3:$AF$3,0),FALSE),S40)</f>
        <v>1620</v>
      </c>
      <c r="T41" s="227">
        <f>IFERROR(VLOOKUP(VLOOKUP(T$18,$H$3:$K$33,3,FALSE)&amp;VLOOKUP(T$18,$H$3:$K$33,4,FALSE),$B$3:$C$27,2,FALSE)*VLOOKUP($N41,$N$3:$AF$15,MATCH(VLOOKUP(T$18,$H$3:$K$33,3,FALSE)&amp;VLOOKUP(T$18,$H$3:$K$33,4,FALSE),$N$3:$AF$3,0),FALSE),T40)</f>
        <v>2052</v>
      </c>
      <c r="U41" s="227">
        <f>IFERROR(VLOOKUP(VLOOKUP(U$18,$H$3:$K$33,3,FALSE)&amp;VLOOKUP(U$18,$H$3:$K$33,4,FALSE),$B$3:$C$27,2,FALSE)*VLOOKUP($N41,$N$3:$AF$15,MATCH(VLOOKUP(U$18,$H$3:$K$33,3,FALSE)&amp;VLOOKUP(U$18,$H$3:$K$33,4,FALSE),$N$3:$AF$3,0),FALSE),U40)</f>
        <v>4200</v>
      </c>
      <c r="V41" s="227">
        <f>IFERROR(VLOOKUP(VLOOKUP(V$18,$H$3:$K$33,3,FALSE)&amp;VLOOKUP(V$18,$H$3:$K$33,4,FALSE),$B$3:$C$27,2,FALSE)*VLOOKUP($N41,$N$3:$AF$15,MATCH(VLOOKUP(V$18,$H$3:$K$33,3,FALSE)&amp;VLOOKUP(V$18,$H$3:$K$33,4,FALSE),$N$3:$AF$3,0),FALSE),V40)</f>
        <v>5250</v>
      </c>
      <c r="W41" s="227">
        <f>IFERROR(VLOOKUP(VLOOKUP(W$18,$H$3:$K$33,3,FALSE)&amp;VLOOKUP(W$18,$H$3:$K$33,4,FALSE),$B$3:$C$27,2,FALSE)*VLOOKUP($N41,$N$3:$AF$15,MATCH(VLOOKUP(W$18,$H$3:$K$33,3,FALSE)&amp;VLOOKUP(W$18,$H$3:$K$33,4,FALSE),$N$3:$AF$3,0),FALSE),W40)</f>
        <v>6510</v>
      </c>
      <c r="X41" s="227">
        <f>IFERROR(VLOOKUP(VLOOKUP(X$18,$H$3:$K$33,3,FALSE)&amp;VLOOKUP(X$18,$H$3:$K$33,4,FALSE),$B$3:$C$27,2,FALSE)*VLOOKUP($N41,$N$3:$AF$15,MATCH(VLOOKUP(X$18,$H$3:$K$33,3,FALSE)&amp;VLOOKUP(X$18,$H$3:$K$33,4,FALSE),$N$3:$AF$3,0),FALSE),X40)</f>
        <v>13056</v>
      </c>
      <c r="Y41" s="227">
        <f>IFERROR(VLOOKUP(VLOOKUP(Y$18,$H$3:$K$33,3,FALSE)&amp;VLOOKUP(Y$18,$H$3:$K$33,4,FALSE),$B$3:$C$27,2,FALSE)*VLOOKUP($N41,$N$3:$AF$15,MATCH(VLOOKUP(Y$18,$H$3:$K$33,3,FALSE)&amp;VLOOKUP(Y$18,$H$3:$K$33,4,FALSE),$N$3:$AF$3,0),FALSE),Y40)</f>
        <v>102.00000000000031</v>
      </c>
      <c r="Z41" s="227">
        <f>IFERROR(VLOOKUP(VLOOKUP(Z$18,$H$3:$K$33,3,FALSE)&amp;VLOOKUP(Z$18,$H$3:$K$33,4,FALSE),$B$3:$C$27,2,FALSE)*VLOOKUP($N41,$N$3:$AF$15,MATCH(VLOOKUP(Z$18,$H$3:$K$33,3,FALSE)&amp;VLOOKUP(Z$18,$H$3:$K$33,4,FALSE),$N$3:$AF$3,0),FALSE),Z40)</f>
        <v>240.00000000000063</v>
      </c>
      <c r="AA41" s="227">
        <f>IFERROR(VLOOKUP(VLOOKUP(AA$18,$H$3:$K$33,3,FALSE)&amp;VLOOKUP(AA$18,$H$3:$K$33,4,FALSE),$B$3:$C$27,2,FALSE)*VLOOKUP($N41,$N$3:$AF$15,MATCH(VLOOKUP(AA$18,$H$3:$K$33,3,FALSE)&amp;VLOOKUP(AA$18,$H$3:$K$33,4,FALSE),$N$3:$AF$3,0),FALSE),AA40)</f>
        <v>544.00000000000091</v>
      </c>
      <c r="AB41" s="227">
        <f>IFERROR(VLOOKUP(VLOOKUP(AB$18,$H$3:$K$33,3,FALSE)&amp;VLOOKUP(AB$18,$H$3:$K$33,4,FALSE),$B$3:$C$27,2,FALSE)*VLOOKUP($N41,$N$3:$AF$15,MATCH(VLOOKUP(AB$18,$H$3:$K$33,3,FALSE)&amp;VLOOKUP(AB$18,$H$3:$K$33,4,FALSE),$N$3:$AF$3,0),FALSE),AB40)</f>
        <v>1044</v>
      </c>
      <c r="AC41" s="227">
        <f>IFERROR(VLOOKUP(VLOOKUP(AC$18,$H$3:$K$33,3,FALSE)&amp;VLOOKUP(AC$18,$H$3:$K$33,4,FALSE),$B$3:$C$27,2,FALSE)*VLOOKUP($N41,$N$3:$AF$15,MATCH(VLOOKUP(AC$18,$H$3:$K$33,3,FALSE)&amp;VLOOKUP(AC$18,$H$3:$K$33,4,FALSE),$N$3:$AF$3,0),FALSE),AC40)</f>
        <v>1620</v>
      </c>
      <c r="AD41" s="227">
        <f>IFERROR(VLOOKUP(VLOOKUP(AD$18,$H$3:$K$33,3,FALSE)&amp;VLOOKUP(AD$18,$H$3:$K$33,4,FALSE),$B$3:$C$27,2,FALSE)*VLOOKUP($N41,$N$3:$AF$15,MATCH(VLOOKUP(AD$18,$H$3:$K$33,3,FALSE)&amp;VLOOKUP(AD$18,$H$3:$K$33,4,FALSE),$N$3:$AF$3,0),FALSE),AD40)</f>
        <v>2052</v>
      </c>
      <c r="AE41" s="227">
        <f>IFERROR(VLOOKUP(VLOOKUP(AE$18,$H$3:$K$33,3,FALSE)&amp;VLOOKUP(AE$18,$H$3:$K$33,4,FALSE),$B$3:$C$27,2,FALSE)*VLOOKUP($N41,$N$3:$AF$15,MATCH(VLOOKUP(AE$18,$H$3:$K$33,3,FALSE)&amp;VLOOKUP(AE$18,$H$3:$K$33,4,FALSE),$N$3:$AF$3,0),FALSE),AE40)</f>
        <v>4200</v>
      </c>
      <c r="AF41" s="227">
        <f>IFERROR(VLOOKUP(VLOOKUP(AF$18,$H$3:$K$33,3,FALSE)&amp;VLOOKUP(AF$18,$H$3:$K$33,4,FALSE),$B$3:$C$27,2,FALSE)*VLOOKUP($N41,$N$3:$AF$15,MATCH(VLOOKUP(AF$18,$H$3:$K$33,3,FALSE)&amp;VLOOKUP(AF$18,$H$3:$K$33,4,FALSE),$N$3:$AF$3,0),FALSE),AF40)</f>
        <v>5250</v>
      </c>
      <c r="AG41" s="227">
        <f>IFERROR(VLOOKUP(VLOOKUP(AG$18,$H$3:$K$33,3,FALSE)&amp;VLOOKUP(AG$18,$H$3:$K$33,4,FALSE),$B$3:$C$27,2,FALSE)*VLOOKUP($N41,$N$3:$AF$15,MATCH(VLOOKUP(AG$18,$H$3:$K$33,3,FALSE)&amp;VLOOKUP(AG$18,$H$3:$K$33,4,FALSE),$N$3:$AF$3,0),FALSE),AG40)</f>
        <v>6510</v>
      </c>
      <c r="AH41" s="227">
        <f>IFERROR(VLOOKUP(VLOOKUP(AH$18,$H$3:$K$33,3,FALSE)&amp;VLOOKUP(AH$18,$H$3:$K$33,4,FALSE),$B$3:$C$27,2,FALSE)*VLOOKUP($N41,$N$3:$AF$15,MATCH(VLOOKUP(AH$18,$H$3:$K$33,3,FALSE)&amp;VLOOKUP(AH$18,$H$3:$K$33,4,FALSE),$N$3:$AF$3,0),FALSE),AH40)</f>
        <v>13056</v>
      </c>
      <c r="AI41" s="227">
        <f>IFERROR(VLOOKUP(VLOOKUP(AI$18,$H$3:$K$33,3,FALSE)&amp;VLOOKUP(AI$18,$H$3:$K$33,4,FALSE),$B$3:$C$27,2,FALSE)*VLOOKUP($N41,$N$3:$AF$15,MATCH(VLOOKUP(AI$18,$H$3:$K$33,3,FALSE)&amp;VLOOKUP(AI$18,$H$3:$K$33,4,FALSE),$N$3:$AF$3,0),FALSE),AI40)</f>
        <v>102.00000000000031</v>
      </c>
      <c r="AJ41" s="227">
        <f>IFERROR(VLOOKUP(VLOOKUP(AJ$18,$H$3:$K$33,3,FALSE)&amp;VLOOKUP(AJ$18,$H$3:$K$33,4,FALSE),$B$3:$C$27,2,FALSE)*VLOOKUP($N41,$N$3:$AF$15,MATCH(VLOOKUP(AJ$18,$H$3:$K$33,3,FALSE)&amp;VLOOKUP(AJ$18,$H$3:$K$33,4,FALSE),$N$3:$AF$3,0),FALSE),AJ40)</f>
        <v>240.00000000000063</v>
      </c>
      <c r="AK41" s="227">
        <f>IFERROR(VLOOKUP(VLOOKUP(AK$18,$H$3:$K$33,3,FALSE)&amp;VLOOKUP(AK$18,$H$3:$K$33,4,FALSE),$B$3:$C$27,2,FALSE)*VLOOKUP($N41,$N$3:$AF$15,MATCH(VLOOKUP(AK$18,$H$3:$K$33,3,FALSE)&amp;VLOOKUP(AK$18,$H$3:$K$33,4,FALSE),$N$3:$AF$3,0),FALSE),AK40)</f>
        <v>544.00000000000091</v>
      </c>
      <c r="AL41" s="227">
        <f>IFERROR(VLOOKUP(VLOOKUP(AL$18,$H$3:$K$33,3,FALSE)&amp;VLOOKUP(AL$18,$H$3:$K$33,4,FALSE),$B$3:$C$27,2,FALSE)*VLOOKUP($N41,$N$3:$AF$15,MATCH(VLOOKUP(AL$18,$H$3:$K$33,3,FALSE)&amp;VLOOKUP(AL$18,$H$3:$K$33,4,FALSE),$N$3:$AF$3,0),FALSE),AL40)</f>
        <v>1044</v>
      </c>
      <c r="AM41" s="227">
        <f>IFERROR(VLOOKUP(VLOOKUP(AM$18,$H$3:$K$33,3,FALSE)&amp;VLOOKUP(AM$18,$H$3:$K$33,4,FALSE),$B$3:$C$27,2,FALSE)*VLOOKUP($N41,$N$3:$AF$15,MATCH(VLOOKUP(AM$18,$H$3:$K$33,3,FALSE)&amp;VLOOKUP(AM$18,$H$3:$K$33,4,FALSE),$N$3:$AF$3,0),FALSE),AM40)</f>
        <v>1620</v>
      </c>
      <c r="AN41" s="227">
        <f>IFERROR(VLOOKUP(VLOOKUP(AN$18,$H$3:$K$33,3,FALSE)&amp;VLOOKUP(AN$18,$H$3:$K$33,4,FALSE),$B$3:$C$27,2,FALSE)*VLOOKUP($N41,$N$3:$AF$15,MATCH(VLOOKUP(AN$18,$H$3:$K$33,3,FALSE)&amp;VLOOKUP(AN$18,$H$3:$K$33,4,FALSE),$N$3:$AF$3,0),FALSE),AN40)</f>
        <v>2052</v>
      </c>
      <c r="AO41" s="227">
        <f>IFERROR(VLOOKUP(VLOOKUP(AO$18,$H$3:$K$33,3,FALSE)&amp;VLOOKUP(AO$18,$H$3:$K$33,4,FALSE),$B$3:$C$27,2,FALSE)*VLOOKUP($N41,$N$3:$AF$15,MATCH(VLOOKUP(AO$18,$H$3:$K$33,3,FALSE)&amp;VLOOKUP(AO$18,$H$3:$K$33,4,FALSE),$N$3:$AF$3,0),FALSE),AO40)</f>
        <v>4200</v>
      </c>
      <c r="AP41" s="227">
        <f>IFERROR(VLOOKUP(VLOOKUP(AP$18,$H$3:$K$33,3,FALSE)&amp;VLOOKUP(AP$18,$H$3:$K$33,4,FALSE),$B$3:$C$27,2,FALSE)*VLOOKUP($N41,$N$3:$AF$15,MATCH(VLOOKUP(AP$18,$H$3:$K$33,3,FALSE)&amp;VLOOKUP(AP$18,$H$3:$K$33,4,FALSE),$N$3:$AF$3,0),FALSE),AP40)</f>
        <v>5250</v>
      </c>
      <c r="AQ41" s="227">
        <f>IFERROR(VLOOKUP(VLOOKUP(AQ$18,$H$3:$K$33,3,FALSE)&amp;VLOOKUP(AQ$18,$H$3:$K$33,4,FALSE),$B$3:$C$27,2,FALSE)*VLOOKUP($N41,$N$3:$AF$15,MATCH(VLOOKUP(AQ$18,$H$3:$K$33,3,FALSE)&amp;VLOOKUP(AQ$18,$H$3:$K$33,4,FALSE),$N$3:$AF$3,0),FALSE),AQ40)</f>
        <v>6510</v>
      </c>
      <c r="AR41" s="227">
        <f>IFERROR(VLOOKUP(VLOOKUP(AR$18,$H$3:$K$33,3,FALSE)&amp;VLOOKUP(AR$18,$H$3:$K$33,4,FALSE),$B$3:$C$27,2,FALSE)*VLOOKUP($N41,$N$3:$AF$15,MATCH(VLOOKUP(AR$18,$H$3:$K$33,3,FALSE)&amp;VLOOKUP(AR$18,$H$3:$K$33,4,FALSE),$N$3:$AF$3,0),FALSE),AR40)</f>
        <v>13056</v>
      </c>
    </row>
    <row r="42" spans="2:44" x14ac:dyDescent="0.35">
      <c r="B42" s="617" t="s">
        <v>1122</v>
      </c>
      <c r="C42" s="159">
        <f>C24</f>
        <v>155</v>
      </c>
      <c r="D42" s="707">
        <v>1.78</v>
      </c>
      <c r="E42" s="713">
        <f t="shared" si="0"/>
        <v>275</v>
      </c>
      <c r="G42" s="631"/>
      <c r="N42" s="219">
        <v>24</v>
      </c>
      <c r="O42" s="227">
        <f>IFERROR(VLOOKUP(VLOOKUP(O$18,$H$3:$K$33,3,FALSE)&amp;VLOOKUP(O$18,$H$3:$K$33,4,FALSE),$B$3:$C$27,2,FALSE)*VLOOKUP($N42,$N$3:$AF$15,MATCH(VLOOKUP(O$18,$H$3:$K$33,3,FALSE)&amp;VLOOKUP(O$18,$H$3:$K$33,4,FALSE),$N$3:$AF$3,0),FALSE),O41)</f>
        <v>102.00000000000031</v>
      </c>
      <c r="P42" s="227">
        <f>IFERROR(VLOOKUP(VLOOKUP(P$18,$H$3:$K$33,3,FALSE)&amp;VLOOKUP(P$18,$H$3:$K$33,4,FALSE),$B$3:$C$27,2,FALSE)*VLOOKUP($N42,$N$3:$AF$15,MATCH(VLOOKUP(P$18,$H$3:$K$33,3,FALSE)&amp;VLOOKUP(P$18,$H$3:$K$33,4,FALSE),$N$3:$AF$3,0),FALSE),P41)</f>
        <v>240.00000000000063</v>
      </c>
      <c r="Q42" s="227">
        <f>IFERROR(VLOOKUP(VLOOKUP(Q$18,$H$3:$K$33,3,FALSE)&amp;VLOOKUP(Q$18,$H$3:$K$33,4,FALSE),$B$3:$C$27,2,FALSE)*VLOOKUP($N42,$N$3:$AF$15,MATCH(VLOOKUP(Q$18,$H$3:$K$33,3,FALSE)&amp;VLOOKUP(Q$18,$H$3:$K$33,4,FALSE),$N$3:$AF$3,0),FALSE),Q41)</f>
        <v>544.00000000000091</v>
      </c>
      <c r="R42" s="227">
        <f>IFERROR(VLOOKUP(VLOOKUP(R$18,$H$3:$K$33,3,FALSE)&amp;VLOOKUP(R$18,$H$3:$K$33,4,FALSE),$B$3:$C$27,2,FALSE)*VLOOKUP($N42,$N$3:$AF$15,MATCH(VLOOKUP(R$18,$H$3:$K$33,3,FALSE)&amp;VLOOKUP(R$18,$H$3:$K$33,4,FALSE),$N$3:$AF$3,0),FALSE),R41)</f>
        <v>1044</v>
      </c>
      <c r="S42" s="227">
        <f>IFERROR(VLOOKUP(VLOOKUP(S$18,$H$3:$K$33,3,FALSE)&amp;VLOOKUP(S$18,$H$3:$K$33,4,FALSE),$B$3:$C$27,2,FALSE)*VLOOKUP($N42,$N$3:$AF$15,MATCH(VLOOKUP(S$18,$H$3:$K$33,3,FALSE)&amp;VLOOKUP(S$18,$H$3:$K$33,4,FALSE),$N$3:$AF$3,0),FALSE),S41)</f>
        <v>1620</v>
      </c>
      <c r="T42" s="227">
        <f>IFERROR(VLOOKUP(VLOOKUP(T$18,$H$3:$K$33,3,FALSE)&amp;VLOOKUP(T$18,$H$3:$K$33,4,FALSE),$B$3:$C$27,2,FALSE)*VLOOKUP($N42,$N$3:$AF$15,MATCH(VLOOKUP(T$18,$H$3:$K$33,3,FALSE)&amp;VLOOKUP(T$18,$H$3:$K$33,4,FALSE),$N$3:$AF$3,0),FALSE),T41)</f>
        <v>2052</v>
      </c>
      <c r="U42" s="227">
        <f>IFERROR(VLOOKUP(VLOOKUP(U$18,$H$3:$K$33,3,FALSE)&amp;VLOOKUP(U$18,$H$3:$K$33,4,FALSE),$B$3:$C$27,2,FALSE)*VLOOKUP($N42,$N$3:$AF$15,MATCH(VLOOKUP(U$18,$H$3:$K$33,3,FALSE)&amp;VLOOKUP(U$18,$H$3:$K$33,4,FALSE),$N$3:$AF$3,0),FALSE),U41)</f>
        <v>4200</v>
      </c>
      <c r="V42" s="227">
        <f>IFERROR(VLOOKUP(VLOOKUP(V$18,$H$3:$K$33,3,FALSE)&amp;VLOOKUP(V$18,$H$3:$K$33,4,FALSE),$B$3:$C$27,2,FALSE)*VLOOKUP($N42,$N$3:$AF$15,MATCH(VLOOKUP(V$18,$H$3:$K$33,3,FALSE)&amp;VLOOKUP(V$18,$H$3:$K$33,4,FALSE),$N$3:$AF$3,0),FALSE),V41)</f>
        <v>5250</v>
      </c>
      <c r="W42" s="227">
        <f>IFERROR(VLOOKUP(VLOOKUP(W$18,$H$3:$K$33,3,FALSE)&amp;VLOOKUP(W$18,$H$3:$K$33,4,FALSE),$B$3:$C$27,2,FALSE)*VLOOKUP($N42,$N$3:$AF$15,MATCH(VLOOKUP(W$18,$H$3:$K$33,3,FALSE)&amp;VLOOKUP(W$18,$H$3:$K$33,4,FALSE),$N$3:$AF$3,0),FALSE),W41)</f>
        <v>6510</v>
      </c>
      <c r="X42" s="227">
        <f>IFERROR(VLOOKUP(VLOOKUP(X$18,$H$3:$K$33,3,FALSE)&amp;VLOOKUP(X$18,$H$3:$K$33,4,FALSE),$B$3:$C$27,2,FALSE)*VLOOKUP($N42,$N$3:$AF$15,MATCH(VLOOKUP(X$18,$H$3:$K$33,3,FALSE)&amp;VLOOKUP(X$18,$H$3:$K$33,4,FALSE),$N$3:$AF$3,0),FALSE),X41)</f>
        <v>13056</v>
      </c>
      <c r="Y42" s="227">
        <f>IFERROR(VLOOKUP(VLOOKUP(Y$18,$H$3:$K$33,3,FALSE)&amp;VLOOKUP(Y$18,$H$3:$K$33,4,FALSE),$B$3:$C$27,2,FALSE)*VLOOKUP($N42,$N$3:$AF$15,MATCH(VLOOKUP(Y$18,$H$3:$K$33,3,FALSE)&amp;VLOOKUP(Y$18,$H$3:$K$33,4,FALSE),$N$3:$AF$3,0),FALSE),Y41)</f>
        <v>102.00000000000031</v>
      </c>
      <c r="Z42" s="227">
        <f>IFERROR(VLOOKUP(VLOOKUP(Z$18,$H$3:$K$33,3,FALSE)&amp;VLOOKUP(Z$18,$H$3:$K$33,4,FALSE),$B$3:$C$27,2,FALSE)*VLOOKUP($N42,$N$3:$AF$15,MATCH(VLOOKUP(Z$18,$H$3:$K$33,3,FALSE)&amp;VLOOKUP(Z$18,$H$3:$K$33,4,FALSE),$N$3:$AF$3,0),FALSE),Z41)</f>
        <v>240.00000000000063</v>
      </c>
      <c r="AA42" s="227">
        <f>IFERROR(VLOOKUP(VLOOKUP(AA$18,$H$3:$K$33,3,FALSE)&amp;VLOOKUP(AA$18,$H$3:$K$33,4,FALSE),$B$3:$C$27,2,FALSE)*VLOOKUP($N42,$N$3:$AF$15,MATCH(VLOOKUP(AA$18,$H$3:$K$33,3,FALSE)&amp;VLOOKUP(AA$18,$H$3:$K$33,4,FALSE),$N$3:$AF$3,0),FALSE),AA41)</f>
        <v>544.00000000000091</v>
      </c>
      <c r="AB42" s="227">
        <f>IFERROR(VLOOKUP(VLOOKUP(AB$18,$H$3:$K$33,3,FALSE)&amp;VLOOKUP(AB$18,$H$3:$K$33,4,FALSE),$B$3:$C$27,2,FALSE)*VLOOKUP($N42,$N$3:$AF$15,MATCH(VLOOKUP(AB$18,$H$3:$K$33,3,FALSE)&amp;VLOOKUP(AB$18,$H$3:$K$33,4,FALSE),$N$3:$AF$3,0),FALSE),AB41)</f>
        <v>1044</v>
      </c>
      <c r="AC42" s="227">
        <f>IFERROR(VLOOKUP(VLOOKUP(AC$18,$H$3:$K$33,3,FALSE)&amp;VLOOKUP(AC$18,$H$3:$K$33,4,FALSE),$B$3:$C$27,2,FALSE)*VLOOKUP($N42,$N$3:$AF$15,MATCH(VLOOKUP(AC$18,$H$3:$K$33,3,FALSE)&amp;VLOOKUP(AC$18,$H$3:$K$33,4,FALSE),$N$3:$AF$3,0),FALSE),AC41)</f>
        <v>1620</v>
      </c>
      <c r="AD42" s="227">
        <f>IFERROR(VLOOKUP(VLOOKUP(AD$18,$H$3:$K$33,3,FALSE)&amp;VLOOKUP(AD$18,$H$3:$K$33,4,FALSE),$B$3:$C$27,2,FALSE)*VLOOKUP($N42,$N$3:$AF$15,MATCH(VLOOKUP(AD$18,$H$3:$K$33,3,FALSE)&amp;VLOOKUP(AD$18,$H$3:$K$33,4,FALSE),$N$3:$AF$3,0),FALSE),AD41)</f>
        <v>2052</v>
      </c>
      <c r="AE42" s="227">
        <f>IFERROR(VLOOKUP(VLOOKUP(AE$18,$H$3:$K$33,3,FALSE)&amp;VLOOKUP(AE$18,$H$3:$K$33,4,FALSE),$B$3:$C$27,2,FALSE)*VLOOKUP($N42,$N$3:$AF$15,MATCH(VLOOKUP(AE$18,$H$3:$K$33,3,FALSE)&amp;VLOOKUP(AE$18,$H$3:$K$33,4,FALSE),$N$3:$AF$3,0),FALSE),AE41)</f>
        <v>4200</v>
      </c>
      <c r="AF42" s="227">
        <f>IFERROR(VLOOKUP(VLOOKUP(AF$18,$H$3:$K$33,3,FALSE)&amp;VLOOKUP(AF$18,$H$3:$K$33,4,FALSE),$B$3:$C$27,2,FALSE)*VLOOKUP($N42,$N$3:$AF$15,MATCH(VLOOKUP(AF$18,$H$3:$K$33,3,FALSE)&amp;VLOOKUP(AF$18,$H$3:$K$33,4,FALSE),$N$3:$AF$3,0),FALSE),AF41)</f>
        <v>5250</v>
      </c>
      <c r="AG42" s="227">
        <f>IFERROR(VLOOKUP(VLOOKUP(AG$18,$H$3:$K$33,3,FALSE)&amp;VLOOKUP(AG$18,$H$3:$K$33,4,FALSE),$B$3:$C$27,2,FALSE)*VLOOKUP($N42,$N$3:$AF$15,MATCH(VLOOKUP(AG$18,$H$3:$K$33,3,FALSE)&amp;VLOOKUP(AG$18,$H$3:$K$33,4,FALSE),$N$3:$AF$3,0),FALSE),AG41)</f>
        <v>6510</v>
      </c>
      <c r="AH42" s="227">
        <f>IFERROR(VLOOKUP(VLOOKUP(AH$18,$H$3:$K$33,3,FALSE)&amp;VLOOKUP(AH$18,$H$3:$K$33,4,FALSE),$B$3:$C$27,2,FALSE)*VLOOKUP($N42,$N$3:$AF$15,MATCH(VLOOKUP(AH$18,$H$3:$K$33,3,FALSE)&amp;VLOOKUP(AH$18,$H$3:$K$33,4,FALSE),$N$3:$AF$3,0),FALSE),AH41)</f>
        <v>13056</v>
      </c>
      <c r="AI42" s="227">
        <f>IFERROR(VLOOKUP(VLOOKUP(AI$18,$H$3:$K$33,3,FALSE)&amp;VLOOKUP(AI$18,$H$3:$K$33,4,FALSE),$B$3:$C$27,2,FALSE)*VLOOKUP($N42,$N$3:$AF$15,MATCH(VLOOKUP(AI$18,$H$3:$K$33,3,FALSE)&amp;VLOOKUP(AI$18,$H$3:$K$33,4,FALSE),$N$3:$AF$3,0),FALSE),AI41)</f>
        <v>102.00000000000031</v>
      </c>
      <c r="AJ42" s="227">
        <f>IFERROR(VLOOKUP(VLOOKUP(AJ$18,$H$3:$K$33,3,FALSE)&amp;VLOOKUP(AJ$18,$H$3:$K$33,4,FALSE),$B$3:$C$27,2,FALSE)*VLOOKUP($N42,$N$3:$AF$15,MATCH(VLOOKUP(AJ$18,$H$3:$K$33,3,FALSE)&amp;VLOOKUP(AJ$18,$H$3:$K$33,4,FALSE),$N$3:$AF$3,0),FALSE),AJ41)</f>
        <v>240.00000000000063</v>
      </c>
      <c r="AK42" s="227">
        <f>IFERROR(VLOOKUP(VLOOKUP(AK$18,$H$3:$K$33,3,FALSE)&amp;VLOOKUP(AK$18,$H$3:$K$33,4,FALSE),$B$3:$C$27,2,FALSE)*VLOOKUP($N42,$N$3:$AF$15,MATCH(VLOOKUP(AK$18,$H$3:$K$33,3,FALSE)&amp;VLOOKUP(AK$18,$H$3:$K$33,4,FALSE),$N$3:$AF$3,0),FALSE),AK41)</f>
        <v>544.00000000000091</v>
      </c>
      <c r="AL42" s="227">
        <f>IFERROR(VLOOKUP(VLOOKUP(AL$18,$H$3:$K$33,3,FALSE)&amp;VLOOKUP(AL$18,$H$3:$K$33,4,FALSE),$B$3:$C$27,2,FALSE)*VLOOKUP($N42,$N$3:$AF$15,MATCH(VLOOKUP(AL$18,$H$3:$K$33,3,FALSE)&amp;VLOOKUP(AL$18,$H$3:$K$33,4,FALSE),$N$3:$AF$3,0),FALSE),AL41)</f>
        <v>1044</v>
      </c>
      <c r="AM42" s="227">
        <f>IFERROR(VLOOKUP(VLOOKUP(AM$18,$H$3:$K$33,3,FALSE)&amp;VLOOKUP(AM$18,$H$3:$K$33,4,FALSE),$B$3:$C$27,2,FALSE)*VLOOKUP($N42,$N$3:$AF$15,MATCH(VLOOKUP(AM$18,$H$3:$K$33,3,FALSE)&amp;VLOOKUP(AM$18,$H$3:$K$33,4,FALSE),$N$3:$AF$3,0),FALSE),AM41)</f>
        <v>1620</v>
      </c>
      <c r="AN42" s="227">
        <f>IFERROR(VLOOKUP(VLOOKUP(AN$18,$H$3:$K$33,3,FALSE)&amp;VLOOKUP(AN$18,$H$3:$K$33,4,FALSE),$B$3:$C$27,2,FALSE)*VLOOKUP($N42,$N$3:$AF$15,MATCH(VLOOKUP(AN$18,$H$3:$K$33,3,FALSE)&amp;VLOOKUP(AN$18,$H$3:$K$33,4,FALSE),$N$3:$AF$3,0),FALSE),AN41)</f>
        <v>2052</v>
      </c>
      <c r="AO42" s="227">
        <f>IFERROR(VLOOKUP(VLOOKUP(AO$18,$H$3:$K$33,3,FALSE)&amp;VLOOKUP(AO$18,$H$3:$K$33,4,FALSE),$B$3:$C$27,2,FALSE)*VLOOKUP($N42,$N$3:$AF$15,MATCH(VLOOKUP(AO$18,$H$3:$K$33,3,FALSE)&amp;VLOOKUP(AO$18,$H$3:$K$33,4,FALSE),$N$3:$AF$3,0),FALSE),AO41)</f>
        <v>4200</v>
      </c>
      <c r="AP42" s="227">
        <f>IFERROR(VLOOKUP(VLOOKUP(AP$18,$H$3:$K$33,3,FALSE)&amp;VLOOKUP(AP$18,$H$3:$K$33,4,FALSE),$B$3:$C$27,2,FALSE)*VLOOKUP($N42,$N$3:$AF$15,MATCH(VLOOKUP(AP$18,$H$3:$K$33,3,FALSE)&amp;VLOOKUP(AP$18,$H$3:$K$33,4,FALSE),$N$3:$AF$3,0),FALSE),AP41)</f>
        <v>5250</v>
      </c>
      <c r="AQ42" s="227">
        <f>IFERROR(VLOOKUP(VLOOKUP(AQ$18,$H$3:$K$33,3,FALSE)&amp;VLOOKUP(AQ$18,$H$3:$K$33,4,FALSE),$B$3:$C$27,2,FALSE)*VLOOKUP($N42,$N$3:$AF$15,MATCH(VLOOKUP(AQ$18,$H$3:$K$33,3,FALSE)&amp;VLOOKUP(AQ$18,$H$3:$K$33,4,FALSE),$N$3:$AF$3,0),FALSE),AQ41)</f>
        <v>6510</v>
      </c>
      <c r="AR42" s="227">
        <f>IFERROR(VLOOKUP(VLOOKUP(AR$18,$H$3:$K$33,3,FALSE)&amp;VLOOKUP(AR$18,$H$3:$K$33,4,FALSE),$B$3:$C$27,2,FALSE)*VLOOKUP($N42,$N$3:$AF$15,MATCH(VLOOKUP(AR$18,$H$3:$K$33,3,FALSE)&amp;VLOOKUP(AR$18,$H$3:$K$33,4,FALSE),$N$3:$AF$3,0),FALSE),AR41)</f>
        <v>13056</v>
      </c>
    </row>
    <row r="43" spans="2:44" x14ac:dyDescent="0.35">
      <c r="B43" s="617" t="s">
        <v>1123</v>
      </c>
      <c r="C43" s="159">
        <f>C25</f>
        <v>170</v>
      </c>
      <c r="D43" s="707">
        <v>1.8</v>
      </c>
      <c r="E43" s="713">
        <f t="shared" si="0"/>
        <v>305</v>
      </c>
      <c r="G43" s="631"/>
    </row>
    <row r="44" spans="2:44" x14ac:dyDescent="0.35">
      <c r="B44" s="617" t="s">
        <v>1124</v>
      </c>
      <c r="C44" s="159">
        <f>C26</f>
        <v>200</v>
      </c>
      <c r="D44" s="707">
        <v>1.64</v>
      </c>
      <c r="E44" s="713">
        <f t="shared" si="0"/>
        <v>330</v>
      </c>
      <c r="G44" s="631"/>
      <c r="N44" s="765" t="s">
        <v>1173</v>
      </c>
      <c r="O44" s="744"/>
      <c r="P44" s="744"/>
      <c r="Q44" s="744"/>
      <c r="R44" s="744"/>
      <c r="S44" s="744"/>
      <c r="T44" s="744"/>
      <c r="U44" s="744"/>
      <c r="V44" s="744"/>
      <c r="W44" s="744"/>
      <c r="X44" s="744"/>
      <c r="Y44" s="744"/>
      <c r="Z44" s="744"/>
      <c r="AA44" s="744"/>
      <c r="AB44" s="744"/>
      <c r="AC44" s="744"/>
      <c r="AD44" s="744"/>
      <c r="AE44" s="744"/>
      <c r="AF44" s="744"/>
      <c r="AG44" s="744"/>
      <c r="AH44" s="744"/>
      <c r="AI44" s="744"/>
      <c r="AJ44" s="744"/>
      <c r="AK44" s="744"/>
      <c r="AL44" s="744"/>
      <c r="AM44" s="744"/>
      <c r="AN44" s="744"/>
      <c r="AO44" s="744"/>
      <c r="AP44" s="744"/>
      <c r="AQ44" s="744"/>
      <c r="AR44" s="744"/>
    </row>
    <row r="45" spans="2:44" x14ac:dyDescent="0.35">
      <c r="B45" s="617" t="s">
        <v>1125</v>
      </c>
      <c r="C45" s="159">
        <f>C27</f>
        <v>245</v>
      </c>
      <c r="D45" s="707">
        <v>1.7</v>
      </c>
      <c r="E45" s="713">
        <f t="shared" si="0"/>
        <v>415</v>
      </c>
      <c r="G45" s="631"/>
      <c r="N45" s="224" t="s">
        <v>1171</v>
      </c>
      <c r="O45" s="219" t="s">
        <v>615</v>
      </c>
      <c r="P45" s="219" t="s">
        <v>616</v>
      </c>
      <c r="Q45" s="219" t="s">
        <v>617</v>
      </c>
      <c r="R45" s="219" t="s">
        <v>618</v>
      </c>
      <c r="S45" s="219" t="s">
        <v>619</v>
      </c>
      <c r="T45" s="219" t="s">
        <v>716</v>
      </c>
      <c r="U45" s="219" t="s">
        <v>620</v>
      </c>
      <c r="V45" s="219" t="s">
        <v>717</v>
      </c>
      <c r="W45" s="219" t="s">
        <v>621</v>
      </c>
      <c r="X45" s="219" t="s">
        <v>622</v>
      </c>
      <c r="Y45" s="219" t="s">
        <v>623</v>
      </c>
      <c r="Z45" s="219" t="s">
        <v>624</v>
      </c>
      <c r="AA45" s="219" t="s">
        <v>626</v>
      </c>
      <c r="AB45" s="219" t="s">
        <v>627</v>
      </c>
      <c r="AC45" s="219" t="s">
        <v>718</v>
      </c>
      <c r="AD45" s="219" t="s">
        <v>625</v>
      </c>
      <c r="AE45" s="219" t="s">
        <v>719</v>
      </c>
      <c r="AF45" s="219" t="s">
        <v>720</v>
      </c>
      <c r="AG45" s="219" t="s">
        <v>634</v>
      </c>
      <c r="AH45" s="219" t="s">
        <v>636</v>
      </c>
      <c r="AI45" s="219" t="s">
        <v>721</v>
      </c>
      <c r="AJ45" s="219" t="s">
        <v>630</v>
      </c>
      <c r="AK45" s="219" t="s">
        <v>631</v>
      </c>
      <c r="AL45" s="219" t="s">
        <v>628</v>
      </c>
      <c r="AM45" s="219" t="s">
        <v>632</v>
      </c>
      <c r="AN45" s="219" t="s">
        <v>633</v>
      </c>
      <c r="AO45" s="219" t="s">
        <v>635</v>
      </c>
      <c r="AP45" s="219" t="s">
        <v>629</v>
      </c>
      <c r="AQ45" s="219" t="s">
        <v>722</v>
      </c>
      <c r="AR45" s="219" t="s">
        <v>637</v>
      </c>
    </row>
    <row r="46" spans="2:44" x14ac:dyDescent="0.35">
      <c r="G46" s="631"/>
      <c r="N46" s="219">
        <v>1</v>
      </c>
      <c r="O46" s="229">
        <f>IFERROR(VLOOKUP(VLOOKUP(O$18,$H$3:$K$33,3,FALSE)&amp;VLOOKUP(O$18,$H$3:$K$33,4,FALSE)&amp;"碎片",$B$3:$C$27,2,FALSE)*VLOOKUP($N46,$N$3:$AF$15,MATCH(VLOOKUP(O$18,$H$3:$K$33,3,FALSE)&amp;VLOOKUP(O$18,$H$3:$K$33,4,FALSE),$N$3:$AF$3,0),FALSE),O45)</f>
        <v>60</v>
      </c>
      <c r="P46" s="229">
        <f>IFERROR(VLOOKUP(VLOOKUP(P$18,$H$3:$K$33,3,FALSE)&amp;VLOOKUP(P$18,$H$3:$K$33,4,FALSE)&amp;"碎片",$B$3:$C$27,2,FALSE)*VLOOKUP($N46,$N$3:$AF$15,MATCH(VLOOKUP(P$18,$H$3:$K$33,3,FALSE)&amp;VLOOKUP(P$18,$H$3:$K$33,4,FALSE),$N$3:$AF$3,0),FALSE),P45)</f>
        <v>60</v>
      </c>
      <c r="Q46" s="229">
        <f>IFERROR(VLOOKUP(VLOOKUP(Q$18,$H$3:$K$33,3,FALSE)&amp;VLOOKUP(Q$18,$H$3:$K$33,4,FALSE)&amp;"碎片",$B$3:$C$27,2,FALSE)*VLOOKUP($N46,$N$3:$AF$15,MATCH(VLOOKUP(Q$18,$H$3:$K$33,3,FALSE)&amp;VLOOKUP(Q$18,$H$3:$K$33,4,FALSE),$N$3:$AF$3,0),FALSE),Q45)</f>
        <v>85</v>
      </c>
      <c r="R46" s="229">
        <f>IFERROR(VLOOKUP(VLOOKUP(R$18,$H$3:$K$33,3,FALSE)&amp;VLOOKUP(R$18,$H$3:$K$33,4,FALSE)&amp;"碎片",$B$3:$C$27,2,FALSE)*VLOOKUP($N46,$N$3:$AF$15,MATCH(VLOOKUP(R$18,$H$3:$K$33,3,FALSE)&amp;VLOOKUP(R$18,$H$3:$K$33,4,FALSE),$N$3:$AF$3,0),FALSE),R45)</f>
        <v>60</v>
      </c>
      <c r="S46" s="229">
        <f>IFERROR(VLOOKUP(VLOOKUP(S$18,$H$3:$K$33,3,FALSE)&amp;VLOOKUP(S$18,$H$3:$K$33,4,FALSE)&amp;"碎片",$B$3:$C$27,2,FALSE)*VLOOKUP($N46,$N$3:$AF$15,MATCH(VLOOKUP(S$18,$H$3:$K$33,3,FALSE)&amp;VLOOKUP(S$18,$H$3:$K$33,4,FALSE),$N$3:$AF$3,0),FALSE),S45)</f>
        <v>75</v>
      </c>
      <c r="T46" s="229">
        <f>IFERROR(VLOOKUP(VLOOKUP(T$18,$H$3:$K$33,3,FALSE)&amp;VLOOKUP(T$18,$H$3:$K$33,4,FALSE)&amp;"碎片",$B$3:$C$27,2,FALSE)*VLOOKUP($N46,$N$3:$AF$15,MATCH(VLOOKUP(T$18,$H$3:$K$33,3,FALSE)&amp;VLOOKUP(T$18,$H$3:$K$33,4,FALSE),$N$3:$AF$3,0),FALSE),T45)</f>
        <v>95</v>
      </c>
      <c r="U46" s="229">
        <f>IFERROR(VLOOKUP(VLOOKUP(U$18,$H$3:$K$33,3,FALSE)&amp;VLOOKUP(U$18,$H$3:$K$33,4,FALSE)&amp;"碎片",$B$3:$C$27,2,FALSE)*VLOOKUP($N46,$N$3:$AF$15,MATCH(VLOOKUP(U$18,$H$3:$K$33,3,FALSE)&amp;VLOOKUP(U$18,$H$3:$K$33,4,FALSE),$N$3:$AF$3,0),FALSE),U45)</f>
        <v>100</v>
      </c>
      <c r="V46" s="229">
        <f>IFERROR(VLOOKUP(VLOOKUP(V$18,$H$3:$K$33,3,FALSE)&amp;VLOOKUP(V$18,$H$3:$K$33,4,FALSE)&amp;"碎片",$B$3:$C$27,2,FALSE)*VLOOKUP($N46,$N$3:$AF$15,MATCH(VLOOKUP(V$18,$H$3:$K$33,3,FALSE)&amp;VLOOKUP(V$18,$H$3:$K$33,4,FALSE),$N$3:$AF$3,0),FALSE),V45)</f>
        <v>125</v>
      </c>
      <c r="W46" s="229">
        <f>IFERROR(VLOOKUP(VLOOKUP(W$18,$H$3:$K$33,3,FALSE)&amp;VLOOKUP(W$18,$H$3:$K$33,4,FALSE)&amp;"碎片",$B$3:$C$27,2,FALSE)*VLOOKUP($N46,$N$3:$AF$15,MATCH(VLOOKUP(W$18,$H$3:$K$33,3,FALSE)&amp;VLOOKUP(W$18,$H$3:$K$33,4,FALSE),$N$3:$AF$3,0),FALSE),W45)</f>
        <v>155</v>
      </c>
      <c r="X46" s="229">
        <f>IFERROR(VLOOKUP(VLOOKUP(X$18,$H$3:$K$33,3,FALSE)&amp;VLOOKUP(X$18,$H$3:$K$33,4,FALSE)&amp;"碎片",$B$3:$C$27,2,FALSE)*VLOOKUP($N46,$N$3:$AF$15,MATCH(VLOOKUP(X$18,$H$3:$K$33,3,FALSE)&amp;VLOOKUP(X$18,$H$3:$K$33,4,FALSE),$N$3:$AF$3,0),FALSE),X45)</f>
        <v>170</v>
      </c>
      <c r="Y46" s="229">
        <f>IFERROR(VLOOKUP(VLOOKUP(Y$18,$H$3:$K$33,3,FALSE)&amp;VLOOKUP(Y$18,$H$3:$K$33,4,FALSE)&amp;"碎片",$B$3:$C$27,2,FALSE)*VLOOKUP($N46,$N$3:$AF$15,MATCH(VLOOKUP(Y$18,$H$3:$K$33,3,FALSE)&amp;VLOOKUP(Y$18,$H$3:$K$33,4,FALSE),$N$3:$AF$3,0),FALSE),Y45)</f>
        <v>60</v>
      </c>
      <c r="Z46" s="229">
        <f>IFERROR(VLOOKUP(VLOOKUP(Z$18,$H$3:$K$33,3,FALSE)&amp;VLOOKUP(Z$18,$H$3:$K$33,4,FALSE)&amp;"碎片",$B$3:$C$27,2,FALSE)*VLOOKUP($N46,$N$3:$AF$15,MATCH(VLOOKUP(Z$18,$H$3:$K$33,3,FALSE)&amp;VLOOKUP(Z$18,$H$3:$K$33,4,FALSE),$N$3:$AF$3,0),FALSE),Z45)</f>
        <v>60</v>
      </c>
      <c r="AA46" s="229">
        <f>IFERROR(VLOOKUP(VLOOKUP(AA$18,$H$3:$K$33,3,FALSE)&amp;VLOOKUP(AA$18,$H$3:$K$33,4,FALSE)&amp;"碎片",$B$3:$C$27,2,FALSE)*VLOOKUP($N46,$N$3:$AF$15,MATCH(VLOOKUP(AA$18,$H$3:$K$33,3,FALSE)&amp;VLOOKUP(AA$18,$H$3:$K$33,4,FALSE),$N$3:$AF$3,0),FALSE),AA45)</f>
        <v>85</v>
      </c>
      <c r="AB46" s="229">
        <f>IFERROR(VLOOKUP(VLOOKUP(AB$18,$H$3:$K$33,3,FALSE)&amp;VLOOKUP(AB$18,$H$3:$K$33,4,FALSE)&amp;"碎片",$B$3:$C$27,2,FALSE)*VLOOKUP($N46,$N$3:$AF$15,MATCH(VLOOKUP(AB$18,$H$3:$K$33,3,FALSE)&amp;VLOOKUP(AB$18,$H$3:$K$33,4,FALSE),$N$3:$AF$3,0),FALSE),AB45)</f>
        <v>60</v>
      </c>
      <c r="AC46" s="229">
        <f>IFERROR(VLOOKUP(VLOOKUP(AC$18,$H$3:$K$33,3,FALSE)&amp;VLOOKUP(AC$18,$H$3:$K$33,4,FALSE)&amp;"碎片",$B$3:$C$27,2,FALSE)*VLOOKUP($N46,$N$3:$AF$15,MATCH(VLOOKUP(AC$18,$H$3:$K$33,3,FALSE)&amp;VLOOKUP(AC$18,$H$3:$K$33,4,FALSE),$N$3:$AF$3,0),FALSE),AC45)</f>
        <v>75</v>
      </c>
      <c r="AD46" s="229">
        <f>IFERROR(VLOOKUP(VLOOKUP(AD$18,$H$3:$K$33,3,FALSE)&amp;VLOOKUP(AD$18,$H$3:$K$33,4,FALSE)&amp;"碎片",$B$3:$C$27,2,FALSE)*VLOOKUP($N46,$N$3:$AF$15,MATCH(VLOOKUP(AD$18,$H$3:$K$33,3,FALSE)&amp;VLOOKUP(AD$18,$H$3:$K$33,4,FALSE),$N$3:$AF$3,0),FALSE),AD45)</f>
        <v>95</v>
      </c>
      <c r="AE46" s="229">
        <f>IFERROR(VLOOKUP(VLOOKUP(AE$18,$H$3:$K$33,3,FALSE)&amp;VLOOKUP(AE$18,$H$3:$K$33,4,FALSE)&amp;"碎片",$B$3:$C$27,2,FALSE)*VLOOKUP($N46,$N$3:$AF$15,MATCH(VLOOKUP(AE$18,$H$3:$K$33,3,FALSE)&amp;VLOOKUP(AE$18,$H$3:$K$33,4,FALSE),$N$3:$AF$3,0),FALSE),AE45)</f>
        <v>100</v>
      </c>
      <c r="AF46" s="229">
        <f>IFERROR(VLOOKUP(VLOOKUP(AF$18,$H$3:$K$33,3,FALSE)&amp;VLOOKUP(AF$18,$H$3:$K$33,4,FALSE)&amp;"碎片",$B$3:$C$27,2,FALSE)*VLOOKUP($N46,$N$3:$AF$15,MATCH(VLOOKUP(AF$18,$H$3:$K$33,3,FALSE)&amp;VLOOKUP(AF$18,$H$3:$K$33,4,FALSE),$N$3:$AF$3,0),FALSE),AF45)</f>
        <v>125</v>
      </c>
      <c r="AG46" s="229">
        <f>IFERROR(VLOOKUP(VLOOKUP(AG$18,$H$3:$K$33,3,FALSE)&amp;VLOOKUP(AG$18,$H$3:$K$33,4,FALSE)&amp;"碎片",$B$3:$C$27,2,FALSE)*VLOOKUP($N46,$N$3:$AF$15,MATCH(VLOOKUP(AG$18,$H$3:$K$33,3,FALSE)&amp;VLOOKUP(AG$18,$H$3:$K$33,4,FALSE),$N$3:$AF$3,0),FALSE),AG45)</f>
        <v>155</v>
      </c>
      <c r="AH46" s="229">
        <f>IFERROR(VLOOKUP(VLOOKUP(AH$18,$H$3:$K$33,3,FALSE)&amp;VLOOKUP(AH$18,$H$3:$K$33,4,FALSE)&amp;"碎片",$B$3:$C$27,2,FALSE)*VLOOKUP($N46,$N$3:$AF$15,MATCH(VLOOKUP(AH$18,$H$3:$K$33,3,FALSE)&amp;VLOOKUP(AH$18,$H$3:$K$33,4,FALSE),$N$3:$AF$3,0),FALSE),AH45)</f>
        <v>170</v>
      </c>
      <c r="AI46" s="229">
        <f>IFERROR(VLOOKUP(VLOOKUP(AI$18,$H$3:$K$33,3,FALSE)&amp;VLOOKUP(AI$18,$H$3:$K$33,4,FALSE)&amp;"碎片",$B$3:$C$27,2,FALSE)*VLOOKUP($N46,$N$3:$AF$15,MATCH(VLOOKUP(AI$18,$H$3:$K$33,3,FALSE)&amp;VLOOKUP(AI$18,$H$3:$K$33,4,FALSE),$N$3:$AF$3,0),FALSE),AI45)</f>
        <v>60</v>
      </c>
      <c r="AJ46" s="229">
        <f>IFERROR(VLOOKUP(VLOOKUP(AJ$18,$H$3:$K$33,3,FALSE)&amp;VLOOKUP(AJ$18,$H$3:$K$33,4,FALSE)&amp;"碎片",$B$3:$C$27,2,FALSE)*VLOOKUP($N46,$N$3:$AF$15,MATCH(VLOOKUP(AJ$18,$H$3:$K$33,3,FALSE)&amp;VLOOKUP(AJ$18,$H$3:$K$33,4,FALSE),$N$3:$AF$3,0),FALSE),AJ45)</f>
        <v>60</v>
      </c>
      <c r="AK46" s="229">
        <f>IFERROR(VLOOKUP(VLOOKUP(AK$18,$H$3:$K$33,3,FALSE)&amp;VLOOKUP(AK$18,$H$3:$K$33,4,FALSE)&amp;"碎片",$B$3:$C$27,2,FALSE)*VLOOKUP($N46,$N$3:$AF$15,MATCH(VLOOKUP(AK$18,$H$3:$K$33,3,FALSE)&amp;VLOOKUP(AK$18,$H$3:$K$33,4,FALSE),$N$3:$AF$3,0),FALSE),AK45)</f>
        <v>85</v>
      </c>
      <c r="AL46" s="229">
        <f>IFERROR(VLOOKUP(VLOOKUP(AL$18,$H$3:$K$33,3,FALSE)&amp;VLOOKUP(AL$18,$H$3:$K$33,4,FALSE)&amp;"碎片",$B$3:$C$27,2,FALSE)*VLOOKUP($N46,$N$3:$AF$15,MATCH(VLOOKUP(AL$18,$H$3:$K$33,3,FALSE)&amp;VLOOKUP(AL$18,$H$3:$K$33,4,FALSE),$N$3:$AF$3,0),FALSE),AL45)</f>
        <v>60</v>
      </c>
      <c r="AM46" s="229">
        <f>IFERROR(VLOOKUP(VLOOKUP(AM$18,$H$3:$K$33,3,FALSE)&amp;VLOOKUP(AM$18,$H$3:$K$33,4,FALSE)&amp;"碎片",$B$3:$C$27,2,FALSE)*VLOOKUP($N46,$N$3:$AF$15,MATCH(VLOOKUP(AM$18,$H$3:$K$33,3,FALSE)&amp;VLOOKUP(AM$18,$H$3:$K$33,4,FALSE),$N$3:$AF$3,0),FALSE),AM45)</f>
        <v>75</v>
      </c>
      <c r="AN46" s="229">
        <f>IFERROR(VLOOKUP(VLOOKUP(AN$18,$H$3:$K$33,3,FALSE)&amp;VLOOKUP(AN$18,$H$3:$K$33,4,FALSE)&amp;"碎片",$B$3:$C$27,2,FALSE)*VLOOKUP($N46,$N$3:$AF$15,MATCH(VLOOKUP(AN$18,$H$3:$K$33,3,FALSE)&amp;VLOOKUP(AN$18,$H$3:$K$33,4,FALSE),$N$3:$AF$3,0),FALSE),AN45)</f>
        <v>95</v>
      </c>
      <c r="AO46" s="229">
        <f>IFERROR(VLOOKUP(VLOOKUP(AO$18,$H$3:$K$33,3,FALSE)&amp;VLOOKUP(AO$18,$H$3:$K$33,4,FALSE)&amp;"碎片",$B$3:$C$27,2,FALSE)*VLOOKUP($N46,$N$3:$AF$15,MATCH(VLOOKUP(AO$18,$H$3:$K$33,3,FALSE)&amp;VLOOKUP(AO$18,$H$3:$K$33,4,FALSE),$N$3:$AF$3,0),FALSE),AO45)</f>
        <v>100</v>
      </c>
      <c r="AP46" s="229">
        <f>IFERROR(VLOOKUP(VLOOKUP(AP$18,$H$3:$K$33,3,FALSE)&amp;VLOOKUP(AP$18,$H$3:$K$33,4,FALSE)&amp;"碎片",$B$3:$C$27,2,FALSE)*VLOOKUP($N46,$N$3:$AF$15,MATCH(VLOOKUP(AP$18,$H$3:$K$33,3,FALSE)&amp;VLOOKUP(AP$18,$H$3:$K$33,4,FALSE),$N$3:$AF$3,0),FALSE),AP45)</f>
        <v>125</v>
      </c>
      <c r="AQ46" s="229">
        <f>IFERROR(VLOOKUP(VLOOKUP(AQ$18,$H$3:$K$33,3,FALSE)&amp;VLOOKUP(AQ$18,$H$3:$K$33,4,FALSE)&amp;"碎片",$B$3:$C$27,2,FALSE)*VLOOKUP($N46,$N$3:$AF$15,MATCH(VLOOKUP(AQ$18,$H$3:$K$33,3,FALSE)&amp;VLOOKUP(AQ$18,$H$3:$K$33,4,FALSE),$N$3:$AF$3,0),FALSE),AQ45)</f>
        <v>155</v>
      </c>
      <c r="AR46" s="229">
        <f>IFERROR(VLOOKUP(VLOOKUP(AR$18,$H$3:$K$33,3,FALSE)&amp;VLOOKUP(AR$18,$H$3:$K$33,4,FALSE)&amp;"碎片",$B$3:$C$27,2,FALSE)*VLOOKUP($N46,$N$3:$AF$15,MATCH(VLOOKUP(AR$18,$H$3:$K$33,3,FALSE)&amp;VLOOKUP(AR$18,$H$3:$K$33,4,FALSE),$N$3:$AF$3,0),FALSE),AR45)</f>
        <v>170</v>
      </c>
    </row>
    <row r="47" spans="2:44" x14ac:dyDescent="0.35">
      <c r="G47" s="631"/>
      <c r="N47" s="219">
        <v>2</v>
      </c>
      <c r="O47" s="229">
        <f>IFERROR(VLOOKUP(VLOOKUP(O$18,$H$3:$K$33,3,FALSE)&amp;VLOOKUP(O$18,$H$3:$K$33,4,FALSE)&amp;"碎片",$B$3:$C$27,2,FALSE)*VLOOKUP($N47,$N$3:$AF$15,MATCH(VLOOKUP(O$18,$H$3:$K$33,3,FALSE)&amp;VLOOKUP(O$18,$H$3:$K$33,4,FALSE),$N$3:$AF$3,0),FALSE),O46)</f>
        <v>56.4</v>
      </c>
      <c r="P47" s="229">
        <f>IFERROR(VLOOKUP(VLOOKUP(P$18,$H$3:$K$33,3,FALSE)&amp;VLOOKUP(P$18,$H$3:$K$33,4,FALSE)&amp;"碎片",$B$3:$C$27,2,FALSE)*VLOOKUP($N47,$N$3:$AF$15,MATCH(VLOOKUP(P$18,$H$3:$K$33,3,FALSE)&amp;VLOOKUP(P$18,$H$3:$K$33,4,FALSE),$N$3:$AF$3,0),FALSE),P46)</f>
        <v>60</v>
      </c>
      <c r="Q47" s="229">
        <f>IFERROR(VLOOKUP(VLOOKUP(Q$18,$H$3:$K$33,3,FALSE)&amp;VLOOKUP(Q$18,$H$3:$K$33,4,FALSE)&amp;"碎片",$B$3:$C$27,2,FALSE)*VLOOKUP($N47,$N$3:$AF$15,MATCH(VLOOKUP(Q$18,$H$3:$K$33,3,FALSE)&amp;VLOOKUP(Q$18,$H$3:$K$33,4,FALSE),$N$3:$AF$3,0),FALSE),Q46)</f>
        <v>85</v>
      </c>
      <c r="R47" s="229">
        <f>IFERROR(VLOOKUP(VLOOKUP(R$18,$H$3:$K$33,3,FALSE)&amp;VLOOKUP(R$18,$H$3:$K$33,4,FALSE)&amp;"碎片",$B$3:$C$27,2,FALSE)*VLOOKUP($N47,$N$3:$AF$15,MATCH(VLOOKUP(R$18,$H$3:$K$33,3,FALSE)&amp;VLOOKUP(R$18,$H$3:$K$33,4,FALSE),$N$3:$AF$3,0),FALSE),R46)</f>
        <v>60</v>
      </c>
      <c r="S47" s="229">
        <f>IFERROR(VLOOKUP(VLOOKUP(S$18,$H$3:$K$33,3,FALSE)&amp;VLOOKUP(S$18,$H$3:$K$33,4,FALSE)&amp;"碎片",$B$3:$C$27,2,FALSE)*VLOOKUP($N47,$N$3:$AF$15,MATCH(VLOOKUP(S$18,$H$3:$K$33,3,FALSE)&amp;VLOOKUP(S$18,$H$3:$K$33,4,FALSE),$N$3:$AF$3,0),FALSE),S46)</f>
        <v>75</v>
      </c>
      <c r="T47" s="229">
        <f>IFERROR(VLOOKUP(VLOOKUP(T$18,$H$3:$K$33,3,FALSE)&amp;VLOOKUP(T$18,$H$3:$K$33,4,FALSE)&amp;"碎片",$B$3:$C$27,2,FALSE)*VLOOKUP($N47,$N$3:$AF$15,MATCH(VLOOKUP(T$18,$H$3:$K$33,3,FALSE)&amp;VLOOKUP(T$18,$H$3:$K$33,4,FALSE),$N$3:$AF$3,0),FALSE),T46)</f>
        <v>95</v>
      </c>
      <c r="U47" s="229">
        <f>IFERROR(VLOOKUP(VLOOKUP(U$18,$H$3:$K$33,3,FALSE)&amp;VLOOKUP(U$18,$H$3:$K$33,4,FALSE)&amp;"碎片",$B$3:$C$27,2,FALSE)*VLOOKUP($N47,$N$3:$AF$15,MATCH(VLOOKUP(U$18,$H$3:$K$33,3,FALSE)&amp;VLOOKUP(U$18,$H$3:$K$33,4,FALSE),$N$3:$AF$3,0),FALSE),U46)</f>
        <v>100</v>
      </c>
      <c r="V47" s="229">
        <f>IFERROR(VLOOKUP(VLOOKUP(V$18,$H$3:$K$33,3,FALSE)&amp;VLOOKUP(V$18,$H$3:$K$33,4,FALSE)&amp;"碎片",$B$3:$C$27,2,FALSE)*VLOOKUP($N47,$N$3:$AF$15,MATCH(VLOOKUP(V$18,$H$3:$K$33,3,FALSE)&amp;VLOOKUP(V$18,$H$3:$K$33,4,FALSE),$N$3:$AF$3,0),FALSE),V46)</f>
        <v>125</v>
      </c>
      <c r="W47" s="229">
        <f>IFERROR(VLOOKUP(VLOOKUP(W$18,$H$3:$K$33,3,FALSE)&amp;VLOOKUP(W$18,$H$3:$K$33,4,FALSE)&amp;"碎片",$B$3:$C$27,2,FALSE)*VLOOKUP($N47,$N$3:$AF$15,MATCH(VLOOKUP(W$18,$H$3:$K$33,3,FALSE)&amp;VLOOKUP(W$18,$H$3:$K$33,4,FALSE),$N$3:$AF$3,0),FALSE),W46)</f>
        <v>155</v>
      </c>
      <c r="X47" s="229">
        <f>IFERROR(VLOOKUP(VLOOKUP(X$18,$H$3:$K$33,3,FALSE)&amp;VLOOKUP(X$18,$H$3:$K$33,4,FALSE)&amp;"碎片",$B$3:$C$27,2,FALSE)*VLOOKUP($N47,$N$3:$AF$15,MATCH(VLOOKUP(X$18,$H$3:$K$33,3,FALSE)&amp;VLOOKUP(X$18,$H$3:$K$33,4,FALSE),$N$3:$AF$3,0),FALSE),X46)</f>
        <v>170</v>
      </c>
      <c r="Y47" s="229">
        <f>IFERROR(VLOOKUP(VLOOKUP(Y$18,$H$3:$K$33,3,FALSE)&amp;VLOOKUP(Y$18,$H$3:$K$33,4,FALSE)&amp;"碎片",$B$3:$C$27,2,FALSE)*VLOOKUP($N47,$N$3:$AF$15,MATCH(VLOOKUP(Y$18,$H$3:$K$33,3,FALSE)&amp;VLOOKUP(Y$18,$H$3:$K$33,4,FALSE),$N$3:$AF$3,0),FALSE),Y46)</f>
        <v>56.4</v>
      </c>
      <c r="Z47" s="229">
        <f>IFERROR(VLOOKUP(VLOOKUP(Z$18,$H$3:$K$33,3,FALSE)&amp;VLOOKUP(Z$18,$H$3:$K$33,4,FALSE)&amp;"碎片",$B$3:$C$27,2,FALSE)*VLOOKUP($N47,$N$3:$AF$15,MATCH(VLOOKUP(Z$18,$H$3:$K$33,3,FALSE)&amp;VLOOKUP(Z$18,$H$3:$K$33,4,FALSE),$N$3:$AF$3,0),FALSE),Z46)</f>
        <v>60</v>
      </c>
      <c r="AA47" s="229">
        <f>IFERROR(VLOOKUP(VLOOKUP(AA$18,$H$3:$K$33,3,FALSE)&amp;VLOOKUP(AA$18,$H$3:$K$33,4,FALSE)&amp;"碎片",$B$3:$C$27,2,FALSE)*VLOOKUP($N47,$N$3:$AF$15,MATCH(VLOOKUP(AA$18,$H$3:$K$33,3,FALSE)&amp;VLOOKUP(AA$18,$H$3:$K$33,4,FALSE),$N$3:$AF$3,0),FALSE),AA46)</f>
        <v>85</v>
      </c>
      <c r="AB47" s="229">
        <f>IFERROR(VLOOKUP(VLOOKUP(AB$18,$H$3:$K$33,3,FALSE)&amp;VLOOKUP(AB$18,$H$3:$K$33,4,FALSE)&amp;"碎片",$B$3:$C$27,2,FALSE)*VLOOKUP($N47,$N$3:$AF$15,MATCH(VLOOKUP(AB$18,$H$3:$K$33,3,FALSE)&amp;VLOOKUP(AB$18,$H$3:$K$33,4,FALSE),$N$3:$AF$3,0),FALSE),AB46)</f>
        <v>60</v>
      </c>
      <c r="AC47" s="229">
        <f>IFERROR(VLOOKUP(VLOOKUP(AC$18,$H$3:$K$33,3,FALSE)&amp;VLOOKUP(AC$18,$H$3:$K$33,4,FALSE)&amp;"碎片",$B$3:$C$27,2,FALSE)*VLOOKUP($N47,$N$3:$AF$15,MATCH(VLOOKUP(AC$18,$H$3:$K$33,3,FALSE)&amp;VLOOKUP(AC$18,$H$3:$K$33,4,FALSE),$N$3:$AF$3,0),FALSE),AC46)</f>
        <v>75</v>
      </c>
      <c r="AD47" s="229">
        <f>IFERROR(VLOOKUP(VLOOKUP(AD$18,$H$3:$K$33,3,FALSE)&amp;VLOOKUP(AD$18,$H$3:$K$33,4,FALSE)&amp;"碎片",$B$3:$C$27,2,FALSE)*VLOOKUP($N47,$N$3:$AF$15,MATCH(VLOOKUP(AD$18,$H$3:$K$33,3,FALSE)&amp;VLOOKUP(AD$18,$H$3:$K$33,4,FALSE),$N$3:$AF$3,0),FALSE),AD46)</f>
        <v>95</v>
      </c>
      <c r="AE47" s="229">
        <f>IFERROR(VLOOKUP(VLOOKUP(AE$18,$H$3:$K$33,3,FALSE)&amp;VLOOKUP(AE$18,$H$3:$K$33,4,FALSE)&amp;"碎片",$B$3:$C$27,2,FALSE)*VLOOKUP($N47,$N$3:$AF$15,MATCH(VLOOKUP(AE$18,$H$3:$K$33,3,FALSE)&amp;VLOOKUP(AE$18,$H$3:$K$33,4,FALSE),$N$3:$AF$3,0),FALSE),AE46)</f>
        <v>100</v>
      </c>
      <c r="AF47" s="229">
        <f>IFERROR(VLOOKUP(VLOOKUP(AF$18,$H$3:$K$33,3,FALSE)&amp;VLOOKUP(AF$18,$H$3:$K$33,4,FALSE)&amp;"碎片",$B$3:$C$27,2,FALSE)*VLOOKUP($N47,$N$3:$AF$15,MATCH(VLOOKUP(AF$18,$H$3:$K$33,3,FALSE)&amp;VLOOKUP(AF$18,$H$3:$K$33,4,FALSE),$N$3:$AF$3,0),FALSE),AF46)</f>
        <v>125</v>
      </c>
      <c r="AG47" s="229">
        <f>IFERROR(VLOOKUP(VLOOKUP(AG$18,$H$3:$K$33,3,FALSE)&amp;VLOOKUP(AG$18,$H$3:$K$33,4,FALSE)&amp;"碎片",$B$3:$C$27,2,FALSE)*VLOOKUP($N47,$N$3:$AF$15,MATCH(VLOOKUP(AG$18,$H$3:$K$33,3,FALSE)&amp;VLOOKUP(AG$18,$H$3:$K$33,4,FALSE),$N$3:$AF$3,0),FALSE),AG46)</f>
        <v>155</v>
      </c>
      <c r="AH47" s="229">
        <f>IFERROR(VLOOKUP(VLOOKUP(AH$18,$H$3:$K$33,3,FALSE)&amp;VLOOKUP(AH$18,$H$3:$K$33,4,FALSE)&amp;"碎片",$B$3:$C$27,2,FALSE)*VLOOKUP($N47,$N$3:$AF$15,MATCH(VLOOKUP(AH$18,$H$3:$K$33,3,FALSE)&amp;VLOOKUP(AH$18,$H$3:$K$33,4,FALSE),$N$3:$AF$3,0),FALSE),AH46)</f>
        <v>170</v>
      </c>
      <c r="AI47" s="229">
        <f>IFERROR(VLOOKUP(VLOOKUP(AI$18,$H$3:$K$33,3,FALSE)&amp;VLOOKUP(AI$18,$H$3:$K$33,4,FALSE)&amp;"碎片",$B$3:$C$27,2,FALSE)*VLOOKUP($N47,$N$3:$AF$15,MATCH(VLOOKUP(AI$18,$H$3:$K$33,3,FALSE)&amp;VLOOKUP(AI$18,$H$3:$K$33,4,FALSE),$N$3:$AF$3,0),FALSE),AI46)</f>
        <v>56.4</v>
      </c>
      <c r="AJ47" s="229">
        <f>IFERROR(VLOOKUP(VLOOKUP(AJ$18,$H$3:$K$33,3,FALSE)&amp;VLOOKUP(AJ$18,$H$3:$K$33,4,FALSE)&amp;"碎片",$B$3:$C$27,2,FALSE)*VLOOKUP($N47,$N$3:$AF$15,MATCH(VLOOKUP(AJ$18,$H$3:$K$33,3,FALSE)&amp;VLOOKUP(AJ$18,$H$3:$K$33,4,FALSE),$N$3:$AF$3,0),FALSE),AJ46)</f>
        <v>60</v>
      </c>
      <c r="AK47" s="229">
        <f>IFERROR(VLOOKUP(VLOOKUP(AK$18,$H$3:$K$33,3,FALSE)&amp;VLOOKUP(AK$18,$H$3:$K$33,4,FALSE)&amp;"碎片",$B$3:$C$27,2,FALSE)*VLOOKUP($N47,$N$3:$AF$15,MATCH(VLOOKUP(AK$18,$H$3:$K$33,3,FALSE)&amp;VLOOKUP(AK$18,$H$3:$K$33,4,FALSE),$N$3:$AF$3,0),FALSE),AK46)</f>
        <v>85</v>
      </c>
      <c r="AL47" s="229">
        <f>IFERROR(VLOOKUP(VLOOKUP(AL$18,$H$3:$K$33,3,FALSE)&amp;VLOOKUP(AL$18,$H$3:$K$33,4,FALSE)&amp;"碎片",$B$3:$C$27,2,FALSE)*VLOOKUP($N47,$N$3:$AF$15,MATCH(VLOOKUP(AL$18,$H$3:$K$33,3,FALSE)&amp;VLOOKUP(AL$18,$H$3:$K$33,4,FALSE),$N$3:$AF$3,0),FALSE),AL46)</f>
        <v>60</v>
      </c>
      <c r="AM47" s="229">
        <f>IFERROR(VLOOKUP(VLOOKUP(AM$18,$H$3:$K$33,3,FALSE)&amp;VLOOKUP(AM$18,$H$3:$K$33,4,FALSE)&amp;"碎片",$B$3:$C$27,2,FALSE)*VLOOKUP($N47,$N$3:$AF$15,MATCH(VLOOKUP(AM$18,$H$3:$K$33,3,FALSE)&amp;VLOOKUP(AM$18,$H$3:$K$33,4,FALSE),$N$3:$AF$3,0),FALSE),AM46)</f>
        <v>75</v>
      </c>
      <c r="AN47" s="229">
        <f>IFERROR(VLOOKUP(VLOOKUP(AN$18,$H$3:$K$33,3,FALSE)&amp;VLOOKUP(AN$18,$H$3:$K$33,4,FALSE)&amp;"碎片",$B$3:$C$27,2,FALSE)*VLOOKUP($N47,$N$3:$AF$15,MATCH(VLOOKUP(AN$18,$H$3:$K$33,3,FALSE)&amp;VLOOKUP(AN$18,$H$3:$K$33,4,FALSE),$N$3:$AF$3,0),FALSE),AN46)</f>
        <v>95</v>
      </c>
      <c r="AO47" s="229">
        <f>IFERROR(VLOOKUP(VLOOKUP(AO$18,$H$3:$K$33,3,FALSE)&amp;VLOOKUP(AO$18,$H$3:$K$33,4,FALSE)&amp;"碎片",$B$3:$C$27,2,FALSE)*VLOOKUP($N47,$N$3:$AF$15,MATCH(VLOOKUP(AO$18,$H$3:$K$33,3,FALSE)&amp;VLOOKUP(AO$18,$H$3:$K$33,4,FALSE),$N$3:$AF$3,0),FALSE),AO46)</f>
        <v>100</v>
      </c>
      <c r="AP47" s="229">
        <f>IFERROR(VLOOKUP(VLOOKUP(AP$18,$H$3:$K$33,3,FALSE)&amp;VLOOKUP(AP$18,$H$3:$K$33,4,FALSE)&amp;"碎片",$B$3:$C$27,2,FALSE)*VLOOKUP($N47,$N$3:$AF$15,MATCH(VLOOKUP(AP$18,$H$3:$K$33,3,FALSE)&amp;VLOOKUP(AP$18,$H$3:$K$33,4,FALSE),$N$3:$AF$3,0),FALSE),AP46)</f>
        <v>125</v>
      </c>
      <c r="AQ47" s="229">
        <f>IFERROR(VLOOKUP(VLOOKUP(AQ$18,$H$3:$K$33,3,FALSE)&amp;VLOOKUP(AQ$18,$H$3:$K$33,4,FALSE)&amp;"碎片",$B$3:$C$27,2,FALSE)*VLOOKUP($N47,$N$3:$AF$15,MATCH(VLOOKUP(AQ$18,$H$3:$K$33,3,FALSE)&amp;VLOOKUP(AQ$18,$H$3:$K$33,4,FALSE),$N$3:$AF$3,0),FALSE),AQ46)</f>
        <v>155</v>
      </c>
      <c r="AR47" s="229">
        <f>IFERROR(VLOOKUP(VLOOKUP(AR$18,$H$3:$K$33,3,FALSE)&amp;VLOOKUP(AR$18,$H$3:$K$33,4,FALSE)&amp;"碎片",$B$3:$C$27,2,FALSE)*VLOOKUP($N47,$N$3:$AF$15,MATCH(VLOOKUP(AR$18,$H$3:$K$33,3,FALSE)&amp;VLOOKUP(AR$18,$H$3:$K$33,4,FALSE),$N$3:$AF$3,0),FALSE),AR46)</f>
        <v>170</v>
      </c>
    </row>
    <row r="48" spans="2:44" x14ac:dyDescent="0.35">
      <c r="B48" s="319" t="s">
        <v>1601</v>
      </c>
      <c r="C48" s="319" t="s">
        <v>1602</v>
      </c>
      <c r="D48" s="319" t="s">
        <v>1603</v>
      </c>
      <c r="E48" s="319" t="s">
        <v>1604</v>
      </c>
      <c r="F48" s="319" t="s">
        <v>1605</v>
      </c>
      <c r="G48" s="631"/>
      <c r="N48" s="219">
        <v>3</v>
      </c>
      <c r="O48" s="229">
        <f>IFERROR(VLOOKUP(VLOOKUP(O$18,$H$3:$K$33,3,FALSE)&amp;VLOOKUP(O$18,$H$3:$K$33,4,FALSE)&amp;"碎片",$B$3:$C$27,2,FALSE)*VLOOKUP($N48,$N$3:$AF$15,MATCH(VLOOKUP(O$18,$H$3:$K$33,3,FALSE)&amp;VLOOKUP(O$18,$H$3:$K$33,4,FALSE),$N$3:$AF$3,0),FALSE),O47)</f>
        <v>52.8</v>
      </c>
      <c r="P48" s="229">
        <f>IFERROR(VLOOKUP(VLOOKUP(P$18,$H$3:$K$33,3,FALSE)&amp;VLOOKUP(P$18,$H$3:$K$33,4,FALSE)&amp;"碎片",$B$3:$C$27,2,FALSE)*VLOOKUP($N48,$N$3:$AF$15,MATCH(VLOOKUP(P$18,$H$3:$K$33,3,FALSE)&amp;VLOOKUP(P$18,$H$3:$K$33,4,FALSE),$N$3:$AF$3,0),FALSE),P47)</f>
        <v>56.4</v>
      </c>
      <c r="Q48" s="229">
        <f>IFERROR(VLOOKUP(VLOOKUP(Q$18,$H$3:$K$33,3,FALSE)&amp;VLOOKUP(Q$18,$H$3:$K$33,4,FALSE)&amp;"碎片",$B$3:$C$27,2,FALSE)*VLOOKUP($N48,$N$3:$AF$15,MATCH(VLOOKUP(Q$18,$H$3:$K$33,3,FALSE)&amp;VLOOKUP(Q$18,$H$3:$K$33,4,FALSE),$N$3:$AF$3,0),FALSE),Q47)</f>
        <v>85</v>
      </c>
      <c r="R48" s="229">
        <f>IFERROR(VLOOKUP(VLOOKUP(R$18,$H$3:$K$33,3,FALSE)&amp;VLOOKUP(R$18,$H$3:$K$33,4,FALSE)&amp;"碎片",$B$3:$C$27,2,FALSE)*VLOOKUP($N48,$N$3:$AF$15,MATCH(VLOOKUP(R$18,$H$3:$K$33,3,FALSE)&amp;VLOOKUP(R$18,$H$3:$K$33,4,FALSE),$N$3:$AF$3,0),FALSE),R47)</f>
        <v>60</v>
      </c>
      <c r="S48" s="229">
        <f>IFERROR(VLOOKUP(VLOOKUP(S$18,$H$3:$K$33,3,FALSE)&amp;VLOOKUP(S$18,$H$3:$K$33,4,FALSE)&amp;"碎片",$B$3:$C$27,2,FALSE)*VLOOKUP($N48,$N$3:$AF$15,MATCH(VLOOKUP(S$18,$H$3:$K$33,3,FALSE)&amp;VLOOKUP(S$18,$H$3:$K$33,4,FALSE),$N$3:$AF$3,0),FALSE),S47)</f>
        <v>75</v>
      </c>
      <c r="T48" s="229">
        <f>IFERROR(VLOOKUP(VLOOKUP(T$18,$H$3:$K$33,3,FALSE)&amp;VLOOKUP(T$18,$H$3:$K$33,4,FALSE)&amp;"碎片",$B$3:$C$27,2,FALSE)*VLOOKUP($N48,$N$3:$AF$15,MATCH(VLOOKUP(T$18,$H$3:$K$33,3,FALSE)&amp;VLOOKUP(T$18,$H$3:$K$33,4,FALSE),$N$3:$AF$3,0),FALSE),T47)</f>
        <v>95</v>
      </c>
      <c r="U48" s="229">
        <f>IFERROR(VLOOKUP(VLOOKUP(U$18,$H$3:$K$33,3,FALSE)&amp;VLOOKUP(U$18,$H$3:$K$33,4,FALSE)&amp;"碎片",$B$3:$C$27,2,FALSE)*VLOOKUP($N48,$N$3:$AF$15,MATCH(VLOOKUP(U$18,$H$3:$K$33,3,FALSE)&amp;VLOOKUP(U$18,$H$3:$K$33,4,FALSE),$N$3:$AF$3,0),FALSE),U47)</f>
        <v>100</v>
      </c>
      <c r="V48" s="229">
        <f>IFERROR(VLOOKUP(VLOOKUP(V$18,$H$3:$K$33,3,FALSE)&amp;VLOOKUP(V$18,$H$3:$K$33,4,FALSE)&amp;"碎片",$B$3:$C$27,2,FALSE)*VLOOKUP($N48,$N$3:$AF$15,MATCH(VLOOKUP(V$18,$H$3:$K$33,3,FALSE)&amp;VLOOKUP(V$18,$H$3:$K$33,4,FALSE),$N$3:$AF$3,0),FALSE),V47)</f>
        <v>125</v>
      </c>
      <c r="W48" s="229">
        <f>IFERROR(VLOOKUP(VLOOKUP(W$18,$H$3:$K$33,3,FALSE)&amp;VLOOKUP(W$18,$H$3:$K$33,4,FALSE)&amp;"碎片",$B$3:$C$27,2,FALSE)*VLOOKUP($N48,$N$3:$AF$15,MATCH(VLOOKUP(W$18,$H$3:$K$33,3,FALSE)&amp;VLOOKUP(W$18,$H$3:$K$33,4,FALSE),$N$3:$AF$3,0),FALSE),W47)</f>
        <v>155</v>
      </c>
      <c r="X48" s="229">
        <f>IFERROR(VLOOKUP(VLOOKUP(X$18,$H$3:$K$33,3,FALSE)&amp;VLOOKUP(X$18,$H$3:$K$33,4,FALSE)&amp;"碎片",$B$3:$C$27,2,FALSE)*VLOOKUP($N48,$N$3:$AF$15,MATCH(VLOOKUP(X$18,$H$3:$K$33,3,FALSE)&amp;VLOOKUP(X$18,$H$3:$K$33,4,FALSE),$N$3:$AF$3,0),FALSE),X47)</f>
        <v>170</v>
      </c>
      <c r="Y48" s="229">
        <f>IFERROR(VLOOKUP(VLOOKUP(Y$18,$H$3:$K$33,3,FALSE)&amp;VLOOKUP(Y$18,$H$3:$K$33,4,FALSE)&amp;"碎片",$B$3:$C$27,2,FALSE)*VLOOKUP($N48,$N$3:$AF$15,MATCH(VLOOKUP(Y$18,$H$3:$K$33,3,FALSE)&amp;VLOOKUP(Y$18,$H$3:$K$33,4,FALSE),$N$3:$AF$3,0),FALSE),Y47)</f>
        <v>52.8</v>
      </c>
      <c r="Z48" s="229">
        <f>IFERROR(VLOOKUP(VLOOKUP(Z$18,$H$3:$K$33,3,FALSE)&amp;VLOOKUP(Z$18,$H$3:$K$33,4,FALSE)&amp;"碎片",$B$3:$C$27,2,FALSE)*VLOOKUP($N48,$N$3:$AF$15,MATCH(VLOOKUP(Z$18,$H$3:$K$33,3,FALSE)&amp;VLOOKUP(Z$18,$H$3:$K$33,4,FALSE),$N$3:$AF$3,0),FALSE),Z47)</f>
        <v>56.4</v>
      </c>
      <c r="AA48" s="229">
        <f>IFERROR(VLOOKUP(VLOOKUP(AA$18,$H$3:$K$33,3,FALSE)&amp;VLOOKUP(AA$18,$H$3:$K$33,4,FALSE)&amp;"碎片",$B$3:$C$27,2,FALSE)*VLOOKUP($N48,$N$3:$AF$15,MATCH(VLOOKUP(AA$18,$H$3:$K$33,3,FALSE)&amp;VLOOKUP(AA$18,$H$3:$K$33,4,FALSE),$N$3:$AF$3,0),FALSE),AA47)</f>
        <v>85</v>
      </c>
      <c r="AB48" s="229">
        <f>IFERROR(VLOOKUP(VLOOKUP(AB$18,$H$3:$K$33,3,FALSE)&amp;VLOOKUP(AB$18,$H$3:$K$33,4,FALSE)&amp;"碎片",$B$3:$C$27,2,FALSE)*VLOOKUP($N48,$N$3:$AF$15,MATCH(VLOOKUP(AB$18,$H$3:$K$33,3,FALSE)&amp;VLOOKUP(AB$18,$H$3:$K$33,4,FALSE),$N$3:$AF$3,0),FALSE),AB47)</f>
        <v>60</v>
      </c>
      <c r="AC48" s="229">
        <f>IFERROR(VLOOKUP(VLOOKUP(AC$18,$H$3:$K$33,3,FALSE)&amp;VLOOKUP(AC$18,$H$3:$K$33,4,FALSE)&amp;"碎片",$B$3:$C$27,2,FALSE)*VLOOKUP($N48,$N$3:$AF$15,MATCH(VLOOKUP(AC$18,$H$3:$K$33,3,FALSE)&amp;VLOOKUP(AC$18,$H$3:$K$33,4,FALSE),$N$3:$AF$3,0),FALSE),AC47)</f>
        <v>75</v>
      </c>
      <c r="AD48" s="229">
        <f>IFERROR(VLOOKUP(VLOOKUP(AD$18,$H$3:$K$33,3,FALSE)&amp;VLOOKUP(AD$18,$H$3:$K$33,4,FALSE)&amp;"碎片",$B$3:$C$27,2,FALSE)*VLOOKUP($N48,$N$3:$AF$15,MATCH(VLOOKUP(AD$18,$H$3:$K$33,3,FALSE)&amp;VLOOKUP(AD$18,$H$3:$K$33,4,FALSE),$N$3:$AF$3,0),FALSE),AD47)</f>
        <v>95</v>
      </c>
      <c r="AE48" s="229">
        <f>IFERROR(VLOOKUP(VLOOKUP(AE$18,$H$3:$K$33,3,FALSE)&amp;VLOOKUP(AE$18,$H$3:$K$33,4,FALSE)&amp;"碎片",$B$3:$C$27,2,FALSE)*VLOOKUP($N48,$N$3:$AF$15,MATCH(VLOOKUP(AE$18,$H$3:$K$33,3,FALSE)&amp;VLOOKUP(AE$18,$H$3:$K$33,4,FALSE),$N$3:$AF$3,0),FALSE),AE47)</f>
        <v>100</v>
      </c>
      <c r="AF48" s="229">
        <f>IFERROR(VLOOKUP(VLOOKUP(AF$18,$H$3:$K$33,3,FALSE)&amp;VLOOKUP(AF$18,$H$3:$K$33,4,FALSE)&amp;"碎片",$B$3:$C$27,2,FALSE)*VLOOKUP($N48,$N$3:$AF$15,MATCH(VLOOKUP(AF$18,$H$3:$K$33,3,FALSE)&amp;VLOOKUP(AF$18,$H$3:$K$33,4,FALSE),$N$3:$AF$3,0),FALSE),AF47)</f>
        <v>125</v>
      </c>
      <c r="AG48" s="229">
        <f>IFERROR(VLOOKUP(VLOOKUP(AG$18,$H$3:$K$33,3,FALSE)&amp;VLOOKUP(AG$18,$H$3:$K$33,4,FALSE)&amp;"碎片",$B$3:$C$27,2,FALSE)*VLOOKUP($N48,$N$3:$AF$15,MATCH(VLOOKUP(AG$18,$H$3:$K$33,3,FALSE)&amp;VLOOKUP(AG$18,$H$3:$K$33,4,FALSE),$N$3:$AF$3,0),FALSE),AG47)</f>
        <v>155</v>
      </c>
      <c r="AH48" s="229">
        <f>IFERROR(VLOOKUP(VLOOKUP(AH$18,$H$3:$K$33,3,FALSE)&amp;VLOOKUP(AH$18,$H$3:$K$33,4,FALSE)&amp;"碎片",$B$3:$C$27,2,FALSE)*VLOOKUP($N48,$N$3:$AF$15,MATCH(VLOOKUP(AH$18,$H$3:$K$33,3,FALSE)&amp;VLOOKUP(AH$18,$H$3:$K$33,4,FALSE),$N$3:$AF$3,0),FALSE),AH47)</f>
        <v>170</v>
      </c>
      <c r="AI48" s="229">
        <f>IFERROR(VLOOKUP(VLOOKUP(AI$18,$H$3:$K$33,3,FALSE)&amp;VLOOKUP(AI$18,$H$3:$K$33,4,FALSE)&amp;"碎片",$B$3:$C$27,2,FALSE)*VLOOKUP($N48,$N$3:$AF$15,MATCH(VLOOKUP(AI$18,$H$3:$K$33,3,FALSE)&amp;VLOOKUP(AI$18,$H$3:$K$33,4,FALSE),$N$3:$AF$3,0),FALSE),AI47)</f>
        <v>52.8</v>
      </c>
      <c r="AJ48" s="229">
        <f>IFERROR(VLOOKUP(VLOOKUP(AJ$18,$H$3:$K$33,3,FALSE)&amp;VLOOKUP(AJ$18,$H$3:$K$33,4,FALSE)&amp;"碎片",$B$3:$C$27,2,FALSE)*VLOOKUP($N48,$N$3:$AF$15,MATCH(VLOOKUP(AJ$18,$H$3:$K$33,3,FALSE)&amp;VLOOKUP(AJ$18,$H$3:$K$33,4,FALSE),$N$3:$AF$3,0),FALSE),AJ47)</f>
        <v>56.4</v>
      </c>
      <c r="AK48" s="229">
        <f>IFERROR(VLOOKUP(VLOOKUP(AK$18,$H$3:$K$33,3,FALSE)&amp;VLOOKUP(AK$18,$H$3:$K$33,4,FALSE)&amp;"碎片",$B$3:$C$27,2,FALSE)*VLOOKUP($N48,$N$3:$AF$15,MATCH(VLOOKUP(AK$18,$H$3:$K$33,3,FALSE)&amp;VLOOKUP(AK$18,$H$3:$K$33,4,FALSE),$N$3:$AF$3,0),FALSE),AK47)</f>
        <v>85</v>
      </c>
      <c r="AL48" s="229">
        <f>IFERROR(VLOOKUP(VLOOKUP(AL$18,$H$3:$K$33,3,FALSE)&amp;VLOOKUP(AL$18,$H$3:$K$33,4,FALSE)&amp;"碎片",$B$3:$C$27,2,FALSE)*VLOOKUP($N48,$N$3:$AF$15,MATCH(VLOOKUP(AL$18,$H$3:$K$33,3,FALSE)&amp;VLOOKUP(AL$18,$H$3:$K$33,4,FALSE),$N$3:$AF$3,0),FALSE),AL47)</f>
        <v>60</v>
      </c>
      <c r="AM48" s="229">
        <f>IFERROR(VLOOKUP(VLOOKUP(AM$18,$H$3:$K$33,3,FALSE)&amp;VLOOKUP(AM$18,$H$3:$K$33,4,FALSE)&amp;"碎片",$B$3:$C$27,2,FALSE)*VLOOKUP($N48,$N$3:$AF$15,MATCH(VLOOKUP(AM$18,$H$3:$K$33,3,FALSE)&amp;VLOOKUP(AM$18,$H$3:$K$33,4,FALSE),$N$3:$AF$3,0),FALSE),AM47)</f>
        <v>75</v>
      </c>
      <c r="AN48" s="229">
        <f>IFERROR(VLOOKUP(VLOOKUP(AN$18,$H$3:$K$33,3,FALSE)&amp;VLOOKUP(AN$18,$H$3:$K$33,4,FALSE)&amp;"碎片",$B$3:$C$27,2,FALSE)*VLOOKUP($N48,$N$3:$AF$15,MATCH(VLOOKUP(AN$18,$H$3:$K$33,3,FALSE)&amp;VLOOKUP(AN$18,$H$3:$K$33,4,FALSE),$N$3:$AF$3,0),FALSE),AN47)</f>
        <v>95</v>
      </c>
      <c r="AO48" s="229">
        <f>IFERROR(VLOOKUP(VLOOKUP(AO$18,$H$3:$K$33,3,FALSE)&amp;VLOOKUP(AO$18,$H$3:$K$33,4,FALSE)&amp;"碎片",$B$3:$C$27,2,FALSE)*VLOOKUP($N48,$N$3:$AF$15,MATCH(VLOOKUP(AO$18,$H$3:$K$33,3,FALSE)&amp;VLOOKUP(AO$18,$H$3:$K$33,4,FALSE),$N$3:$AF$3,0),FALSE),AO47)</f>
        <v>100</v>
      </c>
      <c r="AP48" s="229">
        <f>IFERROR(VLOOKUP(VLOOKUP(AP$18,$H$3:$K$33,3,FALSE)&amp;VLOOKUP(AP$18,$H$3:$K$33,4,FALSE)&amp;"碎片",$B$3:$C$27,2,FALSE)*VLOOKUP($N48,$N$3:$AF$15,MATCH(VLOOKUP(AP$18,$H$3:$K$33,3,FALSE)&amp;VLOOKUP(AP$18,$H$3:$K$33,4,FALSE),$N$3:$AF$3,0),FALSE),AP47)</f>
        <v>125</v>
      </c>
      <c r="AQ48" s="229">
        <f>IFERROR(VLOOKUP(VLOOKUP(AQ$18,$H$3:$K$33,3,FALSE)&amp;VLOOKUP(AQ$18,$H$3:$K$33,4,FALSE)&amp;"碎片",$B$3:$C$27,2,FALSE)*VLOOKUP($N48,$N$3:$AF$15,MATCH(VLOOKUP(AQ$18,$H$3:$K$33,3,FALSE)&amp;VLOOKUP(AQ$18,$H$3:$K$33,4,FALSE),$N$3:$AF$3,0),FALSE),AQ47)</f>
        <v>155</v>
      </c>
      <c r="AR48" s="229">
        <f>IFERROR(VLOOKUP(VLOOKUP(AR$18,$H$3:$K$33,3,FALSE)&amp;VLOOKUP(AR$18,$H$3:$K$33,4,FALSE)&amp;"碎片",$B$3:$C$27,2,FALSE)*VLOOKUP($N48,$N$3:$AF$15,MATCH(VLOOKUP(AR$18,$H$3:$K$33,3,FALSE)&amp;VLOOKUP(AR$18,$H$3:$K$33,4,FALSE),$N$3:$AF$3,0),FALSE),AR47)</f>
        <v>170</v>
      </c>
    </row>
    <row r="49" spans="2:44" x14ac:dyDescent="0.35">
      <c r="B49" s="308">
        <v>10</v>
      </c>
      <c r="C49" s="308">
        <v>0.8</v>
      </c>
      <c r="D49" s="308">
        <f>ROUND(B49*R73*C49/E49,0)*E49</f>
        <v>3200</v>
      </c>
      <c r="E49" s="308">
        <v>200</v>
      </c>
      <c r="F49" s="308">
        <f>D49/B49</f>
        <v>320</v>
      </c>
      <c r="G49" s="631"/>
      <c r="N49" s="219">
        <v>4</v>
      </c>
      <c r="O49" s="229">
        <f>IFERROR(VLOOKUP(VLOOKUP(O$18,$H$3:$K$33,3,FALSE)&amp;VLOOKUP(O$18,$H$3:$K$33,4,FALSE)&amp;"碎片",$B$3:$C$27,2,FALSE)*VLOOKUP($N49,$N$3:$AF$15,MATCH(VLOOKUP(O$18,$H$3:$K$33,3,FALSE)&amp;VLOOKUP(O$18,$H$3:$K$33,4,FALSE),$N$3:$AF$3,0),FALSE),O48)</f>
        <v>49.199999999999996</v>
      </c>
      <c r="P49" s="229">
        <f>IFERROR(VLOOKUP(VLOOKUP(P$18,$H$3:$K$33,3,FALSE)&amp;VLOOKUP(P$18,$H$3:$K$33,4,FALSE)&amp;"碎片",$B$3:$C$27,2,FALSE)*VLOOKUP($N49,$N$3:$AF$15,MATCH(VLOOKUP(P$18,$H$3:$K$33,3,FALSE)&amp;VLOOKUP(P$18,$H$3:$K$33,4,FALSE),$N$3:$AF$3,0),FALSE),P48)</f>
        <v>52.8</v>
      </c>
      <c r="Q49" s="229">
        <f>IFERROR(VLOOKUP(VLOOKUP(Q$18,$H$3:$K$33,3,FALSE)&amp;VLOOKUP(Q$18,$H$3:$K$33,4,FALSE)&amp;"碎片",$B$3:$C$27,2,FALSE)*VLOOKUP($N49,$N$3:$AF$15,MATCH(VLOOKUP(Q$18,$H$3:$K$33,3,FALSE)&amp;VLOOKUP(Q$18,$H$3:$K$33,4,FALSE),$N$3:$AF$3,0),FALSE),Q48)</f>
        <v>81.599999999999994</v>
      </c>
      <c r="R49" s="229">
        <f>IFERROR(VLOOKUP(VLOOKUP(R$18,$H$3:$K$33,3,FALSE)&amp;VLOOKUP(R$18,$H$3:$K$33,4,FALSE)&amp;"碎片",$B$3:$C$27,2,FALSE)*VLOOKUP($N49,$N$3:$AF$15,MATCH(VLOOKUP(R$18,$H$3:$K$33,3,FALSE)&amp;VLOOKUP(R$18,$H$3:$K$33,4,FALSE),$N$3:$AF$3,0),FALSE),R48)</f>
        <v>60</v>
      </c>
      <c r="S49" s="229">
        <f>IFERROR(VLOOKUP(VLOOKUP(S$18,$H$3:$K$33,3,FALSE)&amp;VLOOKUP(S$18,$H$3:$K$33,4,FALSE)&amp;"碎片",$B$3:$C$27,2,FALSE)*VLOOKUP($N49,$N$3:$AF$15,MATCH(VLOOKUP(S$18,$H$3:$K$33,3,FALSE)&amp;VLOOKUP(S$18,$H$3:$K$33,4,FALSE),$N$3:$AF$3,0),FALSE),S48)</f>
        <v>75</v>
      </c>
      <c r="T49" s="229">
        <f>IFERROR(VLOOKUP(VLOOKUP(T$18,$H$3:$K$33,3,FALSE)&amp;VLOOKUP(T$18,$H$3:$K$33,4,FALSE)&amp;"碎片",$B$3:$C$27,2,FALSE)*VLOOKUP($N49,$N$3:$AF$15,MATCH(VLOOKUP(T$18,$H$3:$K$33,3,FALSE)&amp;VLOOKUP(T$18,$H$3:$K$33,4,FALSE),$N$3:$AF$3,0),FALSE),T48)</f>
        <v>95</v>
      </c>
      <c r="U49" s="229">
        <f>IFERROR(VLOOKUP(VLOOKUP(U$18,$H$3:$K$33,3,FALSE)&amp;VLOOKUP(U$18,$H$3:$K$33,4,FALSE)&amp;"碎片",$B$3:$C$27,2,FALSE)*VLOOKUP($N49,$N$3:$AF$15,MATCH(VLOOKUP(U$18,$H$3:$K$33,3,FALSE)&amp;VLOOKUP(U$18,$H$3:$K$33,4,FALSE),$N$3:$AF$3,0),FALSE),U48)</f>
        <v>100</v>
      </c>
      <c r="V49" s="229">
        <f>IFERROR(VLOOKUP(VLOOKUP(V$18,$H$3:$K$33,3,FALSE)&amp;VLOOKUP(V$18,$H$3:$K$33,4,FALSE)&amp;"碎片",$B$3:$C$27,2,FALSE)*VLOOKUP($N49,$N$3:$AF$15,MATCH(VLOOKUP(V$18,$H$3:$K$33,3,FALSE)&amp;VLOOKUP(V$18,$H$3:$K$33,4,FALSE),$N$3:$AF$3,0),FALSE),V48)</f>
        <v>125</v>
      </c>
      <c r="W49" s="229">
        <f>IFERROR(VLOOKUP(VLOOKUP(W$18,$H$3:$K$33,3,FALSE)&amp;VLOOKUP(W$18,$H$3:$K$33,4,FALSE)&amp;"碎片",$B$3:$C$27,2,FALSE)*VLOOKUP($N49,$N$3:$AF$15,MATCH(VLOOKUP(W$18,$H$3:$K$33,3,FALSE)&amp;VLOOKUP(W$18,$H$3:$K$33,4,FALSE),$N$3:$AF$3,0),FALSE),W48)</f>
        <v>155</v>
      </c>
      <c r="X49" s="229">
        <f>IFERROR(VLOOKUP(VLOOKUP(X$18,$H$3:$K$33,3,FALSE)&amp;VLOOKUP(X$18,$H$3:$K$33,4,FALSE)&amp;"碎片",$B$3:$C$27,2,FALSE)*VLOOKUP($N49,$N$3:$AF$15,MATCH(VLOOKUP(X$18,$H$3:$K$33,3,FALSE)&amp;VLOOKUP(X$18,$H$3:$K$33,4,FALSE),$N$3:$AF$3,0),FALSE),X48)</f>
        <v>170</v>
      </c>
      <c r="Y49" s="229">
        <f>IFERROR(VLOOKUP(VLOOKUP(Y$18,$H$3:$K$33,3,FALSE)&amp;VLOOKUP(Y$18,$H$3:$K$33,4,FALSE)&amp;"碎片",$B$3:$C$27,2,FALSE)*VLOOKUP($N49,$N$3:$AF$15,MATCH(VLOOKUP(Y$18,$H$3:$K$33,3,FALSE)&amp;VLOOKUP(Y$18,$H$3:$K$33,4,FALSE),$N$3:$AF$3,0),FALSE),Y48)</f>
        <v>49.199999999999996</v>
      </c>
      <c r="Z49" s="229">
        <f>IFERROR(VLOOKUP(VLOOKUP(Z$18,$H$3:$K$33,3,FALSE)&amp;VLOOKUP(Z$18,$H$3:$K$33,4,FALSE)&amp;"碎片",$B$3:$C$27,2,FALSE)*VLOOKUP($N49,$N$3:$AF$15,MATCH(VLOOKUP(Z$18,$H$3:$K$33,3,FALSE)&amp;VLOOKUP(Z$18,$H$3:$K$33,4,FALSE),$N$3:$AF$3,0),FALSE),Z48)</f>
        <v>52.8</v>
      </c>
      <c r="AA49" s="229">
        <f>IFERROR(VLOOKUP(VLOOKUP(AA$18,$H$3:$K$33,3,FALSE)&amp;VLOOKUP(AA$18,$H$3:$K$33,4,FALSE)&amp;"碎片",$B$3:$C$27,2,FALSE)*VLOOKUP($N49,$N$3:$AF$15,MATCH(VLOOKUP(AA$18,$H$3:$K$33,3,FALSE)&amp;VLOOKUP(AA$18,$H$3:$K$33,4,FALSE),$N$3:$AF$3,0),FALSE),AA48)</f>
        <v>81.599999999999994</v>
      </c>
      <c r="AB49" s="229">
        <f>IFERROR(VLOOKUP(VLOOKUP(AB$18,$H$3:$K$33,3,FALSE)&amp;VLOOKUP(AB$18,$H$3:$K$33,4,FALSE)&amp;"碎片",$B$3:$C$27,2,FALSE)*VLOOKUP($N49,$N$3:$AF$15,MATCH(VLOOKUP(AB$18,$H$3:$K$33,3,FALSE)&amp;VLOOKUP(AB$18,$H$3:$K$33,4,FALSE),$N$3:$AF$3,0),FALSE),AB48)</f>
        <v>60</v>
      </c>
      <c r="AC49" s="229">
        <f>IFERROR(VLOOKUP(VLOOKUP(AC$18,$H$3:$K$33,3,FALSE)&amp;VLOOKUP(AC$18,$H$3:$K$33,4,FALSE)&amp;"碎片",$B$3:$C$27,2,FALSE)*VLOOKUP($N49,$N$3:$AF$15,MATCH(VLOOKUP(AC$18,$H$3:$K$33,3,FALSE)&amp;VLOOKUP(AC$18,$H$3:$K$33,4,FALSE),$N$3:$AF$3,0),FALSE),AC48)</f>
        <v>75</v>
      </c>
      <c r="AD49" s="229">
        <f>IFERROR(VLOOKUP(VLOOKUP(AD$18,$H$3:$K$33,3,FALSE)&amp;VLOOKUP(AD$18,$H$3:$K$33,4,FALSE)&amp;"碎片",$B$3:$C$27,2,FALSE)*VLOOKUP($N49,$N$3:$AF$15,MATCH(VLOOKUP(AD$18,$H$3:$K$33,3,FALSE)&amp;VLOOKUP(AD$18,$H$3:$K$33,4,FALSE),$N$3:$AF$3,0),FALSE),AD48)</f>
        <v>95</v>
      </c>
      <c r="AE49" s="229">
        <f>IFERROR(VLOOKUP(VLOOKUP(AE$18,$H$3:$K$33,3,FALSE)&amp;VLOOKUP(AE$18,$H$3:$K$33,4,FALSE)&amp;"碎片",$B$3:$C$27,2,FALSE)*VLOOKUP($N49,$N$3:$AF$15,MATCH(VLOOKUP(AE$18,$H$3:$K$33,3,FALSE)&amp;VLOOKUP(AE$18,$H$3:$K$33,4,FALSE),$N$3:$AF$3,0),FALSE),AE48)</f>
        <v>100</v>
      </c>
      <c r="AF49" s="229">
        <f>IFERROR(VLOOKUP(VLOOKUP(AF$18,$H$3:$K$33,3,FALSE)&amp;VLOOKUP(AF$18,$H$3:$K$33,4,FALSE)&amp;"碎片",$B$3:$C$27,2,FALSE)*VLOOKUP($N49,$N$3:$AF$15,MATCH(VLOOKUP(AF$18,$H$3:$K$33,3,FALSE)&amp;VLOOKUP(AF$18,$H$3:$K$33,4,FALSE),$N$3:$AF$3,0),FALSE),AF48)</f>
        <v>125</v>
      </c>
      <c r="AG49" s="229">
        <f>IFERROR(VLOOKUP(VLOOKUP(AG$18,$H$3:$K$33,3,FALSE)&amp;VLOOKUP(AG$18,$H$3:$K$33,4,FALSE)&amp;"碎片",$B$3:$C$27,2,FALSE)*VLOOKUP($N49,$N$3:$AF$15,MATCH(VLOOKUP(AG$18,$H$3:$K$33,3,FALSE)&amp;VLOOKUP(AG$18,$H$3:$K$33,4,FALSE),$N$3:$AF$3,0),FALSE),AG48)</f>
        <v>155</v>
      </c>
      <c r="AH49" s="229">
        <f>IFERROR(VLOOKUP(VLOOKUP(AH$18,$H$3:$K$33,3,FALSE)&amp;VLOOKUP(AH$18,$H$3:$K$33,4,FALSE)&amp;"碎片",$B$3:$C$27,2,FALSE)*VLOOKUP($N49,$N$3:$AF$15,MATCH(VLOOKUP(AH$18,$H$3:$K$33,3,FALSE)&amp;VLOOKUP(AH$18,$H$3:$K$33,4,FALSE),$N$3:$AF$3,0),FALSE),AH48)</f>
        <v>170</v>
      </c>
      <c r="AI49" s="229">
        <f>IFERROR(VLOOKUP(VLOOKUP(AI$18,$H$3:$K$33,3,FALSE)&amp;VLOOKUP(AI$18,$H$3:$K$33,4,FALSE)&amp;"碎片",$B$3:$C$27,2,FALSE)*VLOOKUP($N49,$N$3:$AF$15,MATCH(VLOOKUP(AI$18,$H$3:$K$33,3,FALSE)&amp;VLOOKUP(AI$18,$H$3:$K$33,4,FALSE),$N$3:$AF$3,0),FALSE),AI48)</f>
        <v>49.199999999999996</v>
      </c>
      <c r="AJ49" s="229">
        <f>IFERROR(VLOOKUP(VLOOKUP(AJ$18,$H$3:$K$33,3,FALSE)&amp;VLOOKUP(AJ$18,$H$3:$K$33,4,FALSE)&amp;"碎片",$B$3:$C$27,2,FALSE)*VLOOKUP($N49,$N$3:$AF$15,MATCH(VLOOKUP(AJ$18,$H$3:$K$33,3,FALSE)&amp;VLOOKUP(AJ$18,$H$3:$K$33,4,FALSE),$N$3:$AF$3,0),FALSE),AJ48)</f>
        <v>52.8</v>
      </c>
      <c r="AK49" s="229">
        <f>IFERROR(VLOOKUP(VLOOKUP(AK$18,$H$3:$K$33,3,FALSE)&amp;VLOOKUP(AK$18,$H$3:$K$33,4,FALSE)&amp;"碎片",$B$3:$C$27,2,FALSE)*VLOOKUP($N49,$N$3:$AF$15,MATCH(VLOOKUP(AK$18,$H$3:$K$33,3,FALSE)&amp;VLOOKUP(AK$18,$H$3:$K$33,4,FALSE),$N$3:$AF$3,0),FALSE),AK48)</f>
        <v>81.599999999999994</v>
      </c>
      <c r="AL49" s="229">
        <f>IFERROR(VLOOKUP(VLOOKUP(AL$18,$H$3:$K$33,3,FALSE)&amp;VLOOKUP(AL$18,$H$3:$K$33,4,FALSE)&amp;"碎片",$B$3:$C$27,2,FALSE)*VLOOKUP($N49,$N$3:$AF$15,MATCH(VLOOKUP(AL$18,$H$3:$K$33,3,FALSE)&amp;VLOOKUP(AL$18,$H$3:$K$33,4,FALSE),$N$3:$AF$3,0),FALSE),AL48)</f>
        <v>60</v>
      </c>
      <c r="AM49" s="229">
        <f>IFERROR(VLOOKUP(VLOOKUP(AM$18,$H$3:$K$33,3,FALSE)&amp;VLOOKUP(AM$18,$H$3:$K$33,4,FALSE)&amp;"碎片",$B$3:$C$27,2,FALSE)*VLOOKUP($N49,$N$3:$AF$15,MATCH(VLOOKUP(AM$18,$H$3:$K$33,3,FALSE)&amp;VLOOKUP(AM$18,$H$3:$K$33,4,FALSE),$N$3:$AF$3,0),FALSE),AM48)</f>
        <v>75</v>
      </c>
      <c r="AN49" s="229">
        <f>IFERROR(VLOOKUP(VLOOKUP(AN$18,$H$3:$K$33,3,FALSE)&amp;VLOOKUP(AN$18,$H$3:$K$33,4,FALSE)&amp;"碎片",$B$3:$C$27,2,FALSE)*VLOOKUP($N49,$N$3:$AF$15,MATCH(VLOOKUP(AN$18,$H$3:$K$33,3,FALSE)&amp;VLOOKUP(AN$18,$H$3:$K$33,4,FALSE),$N$3:$AF$3,0),FALSE),AN48)</f>
        <v>95</v>
      </c>
      <c r="AO49" s="229">
        <f>IFERROR(VLOOKUP(VLOOKUP(AO$18,$H$3:$K$33,3,FALSE)&amp;VLOOKUP(AO$18,$H$3:$K$33,4,FALSE)&amp;"碎片",$B$3:$C$27,2,FALSE)*VLOOKUP($N49,$N$3:$AF$15,MATCH(VLOOKUP(AO$18,$H$3:$K$33,3,FALSE)&amp;VLOOKUP(AO$18,$H$3:$K$33,4,FALSE),$N$3:$AF$3,0),FALSE),AO48)</f>
        <v>100</v>
      </c>
      <c r="AP49" s="229">
        <f>IFERROR(VLOOKUP(VLOOKUP(AP$18,$H$3:$K$33,3,FALSE)&amp;VLOOKUP(AP$18,$H$3:$K$33,4,FALSE)&amp;"碎片",$B$3:$C$27,2,FALSE)*VLOOKUP($N49,$N$3:$AF$15,MATCH(VLOOKUP(AP$18,$H$3:$K$33,3,FALSE)&amp;VLOOKUP(AP$18,$H$3:$K$33,4,FALSE),$N$3:$AF$3,0),FALSE),AP48)</f>
        <v>125</v>
      </c>
      <c r="AQ49" s="229">
        <f>IFERROR(VLOOKUP(VLOOKUP(AQ$18,$H$3:$K$33,3,FALSE)&amp;VLOOKUP(AQ$18,$H$3:$K$33,4,FALSE)&amp;"碎片",$B$3:$C$27,2,FALSE)*VLOOKUP($N49,$N$3:$AF$15,MATCH(VLOOKUP(AQ$18,$H$3:$K$33,3,FALSE)&amp;VLOOKUP(AQ$18,$H$3:$K$33,4,FALSE),$N$3:$AF$3,0),FALSE),AQ48)</f>
        <v>155</v>
      </c>
      <c r="AR49" s="229">
        <f>IFERROR(VLOOKUP(VLOOKUP(AR$18,$H$3:$K$33,3,FALSE)&amp;VLOOKUP(AR$18,$H$3:$K$33,4,FALSE)&amp;"碎片",$B$3:$C$27,2,FALSE)*VLOOKUP($N49,$N$3:$AF$15,MATCH(VLOOKUP(AR$18,$H$3:$K$33,3,FALSE)&amp;VLOOKUP(AR$18,$H$3:$K$33,4,FALSE),$N$3:$AF$3,0),FALSE),AR48)</f>
        <v>170</v>
      </c>
    </row>
    <row r="50" spans="2:44" x14ac:dyDescent="0.35">
      <c r="B50" s="308">
        <v>50</v>
      </c>
      <c r="C50" s="308">
        <v>0.88</v>
      </c>
      <c r="D50" s="308">
        <f>ROUND(B50*R74*C50/E50,0)*E50</f>
        <v>18000</v>
      </c>
      <c r="E50" s="308">
        <v>1000</v>
      </c>
      <c r="F50" s="308">
        <f>D50/B50</f>
        <v>360</v>
      </c>
      <c r="G50" s="631"/>
      <c r="N50" s="219">
        <v>5</v>
      </c>
      <c r="O50" s="229">
        <f>IFERROR(VLOOKUP(VLOOKUP(O$18,$H$3:$K$33,3,FALSE)&amp;VLOOKUP(O$18,$H$3:$K$33,4,FALSE)&amp;"碎片",$B$3:$C$27,2,FALSE)*VLOOKUP($N50,$N$3:$AF$15,MATCH(VLOOKUP(O$18,$H$3:$K$33,3,FALSE)&amp;VLOOKUP(O$18,$H$3:$K$33,4,FALSE),$N$3:$AF$3,0),FALSE),O49)</f>
        <v>45.6</v>
      </c>
      <c r="P50" s="229">
        <f>IFERROR(VLOOKUP(VLOOKUP(P$18,$H$3:$K$33,3,FALSE)&amp;VLOOKUP(P$18,$H$3:$K$33,4,FALSE)&amp;"碎片",$B$3:$C$27,2,FALSE)*VLOOKUP($N50,$N$3:$AF$15,MATCH(VLOOKUP(P$18,$H$3:$K$33,3,FALSE)&amp;VLOOKUP(P$18,$H$3:$K$33,4,FALSE),$N$3:$AF$3,0),FALSE),P49)</f>
        <v>49.199999999999996</v>
      </c>
      <c r="Q50" s="229">
        <f>IFERROR(VLOOKUP(VLOOKUP(Q$18,$H$3:$K$33,3,FALSE)&amp;VLOOKUP(Q$18,$H$3:$K$33,4,FALSE)&amp;"碎片",$B$3:$C$27,2,FALSE)*VLOOKUP($N50,$N$3:$AF$15,MATCH(VLOOKUP(Q$18,$H$3:$K$33,3,FALSE)&amp;VLOOKUP(Q$18,$H$3:$K$33,4,FALSE),$N$3:$AF$3,0),FALSE),Q49)</f>
        <v>78.2</v>
      </c>
      <c r="R50" s="229">
        <f>IFERROR(VLOOKUP(VLOOKUP(R$18,$H$3:$K$33,3,FALSE)&amp;VLOOKUP(R$18,$H$3:$K$33,4,FALSE)&amp;"碎片",$B$3:$C$27,2,FALSE)*VLOOKUP($N50,$N$3:$AF$15,MATCH(VLOOKUP(R$18,$H$3:$K$33,3,FALSE)&amp;VLOOKUP(R$18,$H$3:$K$33,4,FALSE),$N$3:$AF$3,0),FALSE),R49)</f>
        <v>60</v>
      </c>
      <c r="S50" s="229">
        <f>IFERROR(VLOOKUP(VLOOKUP(S$18,$H$3:$K$33,3,FALSE)&amp;VLOOKUP(S$18,$H$3:$K$33,4,FALSE)&amp;"碎片",$B$3:$C$27,2,FALSE)*VLOOKUP($N50,$N$3:$AF$15,MATCH(VLOOKUP(S$18,$H$3:$K$33,3,FALSE)&amp;VLOOKUP(S$18,$H$3:$K$33,4,FALSE),$N$3:$AF$3,0),FALSE),S49)</f>
        <v>75</v>
      </c>
      <c r="T50" s="229">
        <f>IFERROR(VLOOKUP(VLOOKUP(T$18,$H$3:$K$33,3,FALSE)&amp;VLOOKUP(T$18,$H$3:$K$33,4,FALSE)&amp;"碎片",$B$3:$C$27,2,FALSE)*VLOOKUP($N50,$N$3:$AF$15,MATCH(VLOOKUP(T$18,$H$3:$K$33,3,FALSE)&amp;VLOOKUP(T$18,$H$3:$K$33,4,FALSE),$N$3:$AF$3,0),FALSE),T49)</f>
        <v>95</v>
      </c>
      <c r="U50" s="229">
        <f>IFERROR(VLOOKUP(VLOOKUP(U$18,$H$3:$K$33,3,FALSE)&amp;VLOOKUP(U$18,$H$3:$K$33,4,FALSE)&amp;"碎片",$B$3:$C$27,2,FALSE)*VLOOKUP($N50,$N$3:$AF$15,MATCH(VLOOKUP(U$18,$H$3:$K$33,3,FALSE)&amp;VLOOKUP(U$18,$H$3:$K$33,4,FALSE),$N$3:$AF$3,0),FALSE),U49)</f>
        <v>100</v>
      </c>
      <c r="V50" s="229">
        <f>IFERROR(VLOOKUP(VLOOKUP(V$18,$H$3:$K$33,3,FALSE)&amp;VLOOKUP(V$18,$H$3:$K$33,4,FALSE)&amp;"碎片",$B$3:$C$27,2,FALSE)*VLOOKUP($N50,$N$3:$AF$15,MATCH(VLOOKUP(V$18,$H$3:$K$33,3,FALSE)&amp;VLOOKUP(V$18,$H$3:$K$33,4,FALSE),$N$3:$AF$3,0),FALSE),V49)</f>
        <v>125</v>
      </c>
      <c r="W50" s="229">
        <f>IFERROR(VLOOKUP(VLOOKUP(W$18,$H$3:$K$33,3,FALSE)&amp;VLOOKUP(W$18,$H$3:$K$33,4,FALSE)&amp;"碎片",$B$3:$C$27,2,FALSE)*VLOOKUP($N50,$N$3:$AF$15,MATCH(VLOOKUP(W$18,$H$3:$K$33,3,FALSE)&amp;VLOOKUP(W$18,$H$3:$K$33,4,FALSE),$N$3:$AF$3,0),FALSE),W49)</f>
        <v>155</v>
      </c>
      <c r="X50" s="229">
        <f>IFERROR(VLOOKUP(VLOOKUP(X$18,$H$3:$K$33,3,FALSE)&amp;VLOOKUP(X$18,$H$3:$K$33,4,FALSE)&amp;"碎片",$B$3:$C$27,2,FALSE)*VLOOKUP($N50,$N$3:$AF$15,MATCH(VLOOKUP(X$18,$H$3:$K$33,3,FALSE)&amp;VLOOKUP(X$18,$H$3:$K$33,4,FALSE),$N$3:$AF$3,0),FALSE),X49)</f>
        <v>170</v>
      </c>
      <c r="Y50" s="229">
        <f>IFERROR(VLOOKUP(VLOOKUP(Y$18,$H$3:$K$33,3,FALSE)&amp;VLOOKUP(Y$18,$H$3:$K$33,4,FALSE)&amp;"碎片",$B$3:$C$27,2,FALSE)*VLOOKUP($N50,$N$3:$AF$15,MATCH(VLOOKUP(Y$18,$H$3:$K$33,3,FALSE)&amp;VLOOKUP(Y$18,$H$3:$K$33,4,FALSE),$N$3:$AF$3,0),FALSE),Y49)</f>
        <v>45.6</v>
      </c>
      <c r="Z50" s="229">
        <f>IFERROR(VLOOKUP(VLOOKUP(Z$18,$H$3:$K$33,3,FALSE)&amp;VLOOKUP(Z$18,$H$3:$K$33,4,FALSE)&amp;"碎片",$B$3:$C$27,2,FALSE)*VLOOKUP($N50,$N$3:$AF$15,MATCH(VLOOKUP(Z$18,$H$3:$K$33,3,FALSE)&amp;VLOOKUP(Z$18,$H$3:$K$33,4,FALSE),$N$3:$AF$3,0),FALSE),Z49)</f>
        <v>49.199999999999996</v>
      </c>
      <c r="AA50" s="229">
        <f>IFERROR(VLOOKUP(VLOOKUP(AA$18,$H$3:$K$33,3,FALSE)&amp;VLOOKUP(AA$18,$H$3:$K$33,4,FALSE)&amp;"碎片",$B$3:$C$27,2,FALSE)*VLOOKUP($N50,$N$3:$AF$15,MATCH(VLOOKUP(AA$18,$H$3:$K$33,3,FALSE)&amp;VLOOKUP(AA$18,$H$3:$K$33,4,FALSE),$N$3:$AF$3,0),FALSE),AA49)</f>
        <v>78.2</v>
      </c>
      <c r="AB50" s="229">
        <f>IFERROR(VLOOKUP(VLOOKUP(AB$18,$H$3:$K$33,3,FALSE)&amp;VLOOKUP(AB$18,$H$3:$K$33,4,FALSE)&amp;"碎片",$B$3:$C$27,2,FALSE)*VLOOKUP($N50,$N$3:$AF$15,MATCH(VLOOKUP(AB$18,$H$3:$K$33,3,FALSE)&amp;VLOOKUP(AB$18,$H$3:$K$33,4,FALSE),$N$3:$AF$3,0),FALSE),AB49)</f>
        <v>60</v>
      </c>
      <c r="AC50" s="229">
        <f>IFERROR(VLOOKUP(VLOOKUP(AC$18,$H$3:$K$33,3,FALSE)&amp;VLOOKUP(AC$18,$H$3:$K$33,4,FALSE)&amp;"碎片",$B$3:$C$27,2,FALSE)*VLOOKUP($N50,$N$3:$AF$15,MATCH(VLOOKUP(AC$18,$H$3:$K$33,3,FALSE)&amp;VLOOKUP(AC$18,$H$3:$K$33,4,FALSE),$N$3:$AF$3,0),FALSE),AC49)</f>
        <v>75</v>
      </c>
      <c r="AD50" s="229">
        <f>IFERROR(VLOOKUP(VLOOKUP(AD$18,$H$3:$K$33,3,FALSE)&amp;VLOOKUP(AD$18,$H$3:$K$33,4,FALSE)&amp;"碎片",$B$3:$C$27,2,FALSE)*VLOOKUP($N50,$N$3:$AF$15,MATCH(VLOOKUP(AD$18,$H$3:$K$33,3,FALSE)&amp;VLOOKUP(AD$18,$H$3:$K$33,4,FALSE),$N$3:$AF$3,0),FALSE),AD49)</f>
        <v>95</v>
      </c>
      <c r="AE50" s="229">
        <f>IFERROR(VLOOKUP(VLOOKUP(AE$18,$H$3:$K$33,3,FALSE)&amp;VLOOKUP(AE$18,$H$3:$K$33,4,FALSE)&amp;"碎片",$B$3:$C$27,2,FALSE)*VLOOKUP($N50,$N$3:$AF$15,MATCH(VLOOKUP(AE$18,$H$3:$K$33,3,FALSE)&amp;VLOOKUP(AE$18,$H$3:$K$33,4,FALSE),$N$3:$AF$3,0),FALSE),AE49)</f>
        <v>100</v>
      </c>
      <c r="AF50" s="229">
        <f>IFERROR(VLOOKUP(VLOOKUP(AF$18,$H$3:$K$33,3,FALSE)&amp;VLOOKUP(AF$18,$H$3:$K$33,4,FALSE)&amp;"碎片",$B$3:$C$27,2,FALSE)*VLOOKUP($N50,$N$3:$AF$15,MATCH(VLOOKUP(AF$18,$H$3:$K$33,3,FALSE)&amp;VLOOKUP(AF$18,$H$3:$K$33,4,FALSE),$N$3:$AF$3,0),FALSE),AF49)</f>
        <v>125</v>
      </c>
      <c r="AG50" s="229">
        <f>IFERROR(VLOOKUP(VLOOKUP(AG$18,$H$3:$K$33,3,FALSE)&amp;VLOOKUP(AG$18,$H$3:$K$33,4,FALSE)&amp;"碎片",$B$3:$C$27,2,FALSE)*VLOOKUP($N50,$N$3:$AF$15,MATCH(VLOOKUP(AG$18,$H$3:$K$33,3,FALSE)&amp;VLOOKUP(AG$18,$H$3:$K$33,4,FALSE),$N$3:$AF$3,0),FALSE),AG49)</f>
        <v>155</v>
      </c>
      <c r="AH50" s="229">
        <f>IFERROR(VLOOKUP(VLOOKUP(AH$18,$H$3:$K$33,3,FALSE)&amp;VLOOKUP(AH$18,$H$3:$K$33,4,FALSE)&amp;"碎片",$B$3:$C$27,2,FALSE)*VLOOKUP($N50,$N$3:$AF$15,MATCH(VLOOKUP(AH$18,$H$3:$K$33,3,FALSE)&amp;VLOOKUP(AH$18,$H$3:$K$33,4,FALSE),$N$3:$AF$3,0),FALSE),AH49)</f>
        <v>170</v>
      </c>
      <c r="AI50" s="229">
        <f>IFERROR(VLOOKUP(VLOOKUP(AI$18,$H$3:$K$33,3,FALSE)&amp;VLOOKUP(AI$18,$H$3:$K$33,4,FALSE)&amp;"碎片",$B$3:$C$27,2,FALSE)*VLOOKUP($N50,$N$3:$AF$15,MATCH(VLOOKUP(AI$18,$H$3:$K$33,3,FALSE)&amp;VLOOKUP(AI$18,$H$3:$K$33,4,FALSE),$N$3:$AF$3,0),FALSE),AI49)</f>
        <v>45.6</v>
      </c>
      <c r="AJ50" s="229">
        <f>IFERROR(VLOOKUP(VLOOKUP(AJ$18,$H$3:$K$33,3,FALSE)&amp;VLOOKUP(AJ$18,$H$3:$K$33,4,FALSE)&amp;"碎片",$B$3:$C$27,2,FALSE)*VLOOKUP($N50,$N$3:$AF$15,MATCH(VLOOKUP(AJ$18,$H$3:$K$33,3,FALSE)&amp;VLOOKUP(AJ$18,$H$3:$K$33,4,FALSE),$N$3:$AF$3,0),FALSE),AJ49)</f>
        <v>49.199999999999996</v>
      </c>
      <c r="AK50" s="229">
        <f>IFERROR(VLOOKUP(VLOOKUP(AK$18,$H$3:$K$33,3,FALSE)&amp;VLOOKUP(AK$18,$H$3:$K$33,4,FALSE)&amp;"碎片",$B$3:$C$27,2,FALSE)*VLOOKUP($N50,$N$3:$AF$15,MATCH(VLOOKUP(AK$18,$H$3:$K$33,3,FALSE)&amp;VLOOKUP(AK$18,$H$3:$K$33,4,FALSE),$N$3:$AF$3,0),FALSE),AK49)</f>
        <v>78.2</v>
      </c>
      <c r="AL50" s="229">
        <f>IFERROR(VLOOKUP(VLOOKUP(AL$18,$H$3:$K$33,3,FALSE)&amp;VLOOKUP(AL$18,$H$3:$K$33,4,FALSE)&amp;"碎片",$B$3:$C$27,2,FALSE)*VLOOKUP($N50,$N$3:$AF$15,MATCH(VLOOKUP(AL$18,$H$3:$K$33,3,FALSE)&amp;VLOOKUP(AL$18,$H$3:$K$33,4,FALSE),$N$3:$AF$3,0),FALSE),AL49)</f>
        <v>60</v>
      </c>
      <c r="AM50" s="229">
        <f>IFERROR(VLOOKUP(VLOOKUP(AM$18,$H$3:$K$33,3,FALSE)&amp;VLOOKUP(AM$18,$H$3:$K$33,4,FALSE)&amp;"碎片",$B$3:$C$27,2,FALSE)*VLOOKUP($N50,$N$3:$AF$15,MATCH(VLOOKUP(AM$18,$H$3:$K$33,3,FALSE)&amp;VLOOKUP(AM$18,$H$3:$K$33,4,FALSE),$N$3:$AF$3,0),FALSE),AM49)</f>
        <v>75</v>
      </c>
      <c r="AN50" s="229">
        <f>IFERROR(VLOOKUP(VLOOKUP(AN$18,$H$3:$K$33,3,FALSE)&amp;VLOOKUP(AN$18,$H$3:$K$33,4,FALSE)&amp;"碎片",$B$3:$C$27,2,FALSE)*VLOOKUP($N50,$N$3:$AF$15,MATCH(VLOOKUP(AN$18,$H$3:$K$33,3,FALSE)&amp;VLOOKUP(AN$18,$H$3:$K$33,4,FALSE),$N$3:$AF$3,0),FALSE),AN49)</f>
        <v>95</v>
      </c>
      <c r="AO50" s="229">
        <f>IFERROR(VLOOKUP(VLOOKUP(AO$18,$H$3:$K$33,3,FALSE)&amp;VLOOKUP(AO$18,$H$3:$K$33,4,FALSE)&amp;"碎片",$B$3:$C$27,2,FALSE)*VLOOKUP($N50,$N$3:$AF$15,MATCH(VLOOKUP(AO$18,$H$3:$K$33,3,FALSE)&amp;VLOOKUP(AO$18,$H$3:$K$33,4,FALSE),$N$3:$AF$3,0),FALSE),AO49)</f>
        <v>100</v>
      </c>
      <c r="AP50" s="229">
        <f>IFERROR(VLOOKUP(VLOOKUP(AP$18,$H$3:$K$33,3,FALSE)&amp;VLOOKUP(AP$18,$H$3:$K$33,4,FALSE)&amp;"碎片",$B$3:$C$27,2,FALSE)*VLOOKUP($N50,$N$3:$AF$15,MATCH(VLOOKUP(AP$18,$H$3:$K$33,3,FALSE)&amp;VLOOKUP(AP$18,$H$3:$K$33,4,FALSE),$N$3:$AF$3,0),FALSE),AP49)</f>
        <v>125</v>
      </c>
      <c r="AQ50" s="229">
        <f>IFERROR(VLOOKUP(VLOOKUP(AQ$18,$H$3:$K$33,3,FALSE)&amp;VLOOKUP(AQ$18,$H$3:$K$33,4,FALSE)&amp;"碎片",$B$3:$C$27,2,FALSE)*VLOOKUP($N50,$N$3:$AF$15,MATCH(VLOOKUP(AQ$18,$H$3:$K$33,3,FALSE)&amp;VLOOKUP(AQ$18,$H$3:$K$33,4,FALSE),$N$3:$AF$3,0),FALSE),AQ49)</f>
        <v>155</v>
      </c>
      <c r="AR50" s="229">
        <f>IFERROR(VLOOKUP(VLOOKUP(AR$18,$H$3:$K$33,3,FALSE)&amp;VLOOKUP(AR$18,$H$3:$K$33,4,FALSE)&amp;"碎片",$B$3:$C$27,2,FALSE)*VLOOKUP($N50,$N$3:$AF$15,MATCH(VLOOKUP(AR$18,$H$3:$K$33,3,FALSE)&amp;VLOOKUP(AR$18,$H$3:$K$33,4,FALSE),$N$3:$AF$3,0),FALSE),AR49)</f>
        <v>170</v>
      </c>
    </row>
    <row r="51" spans="2:44" x14ac:dyDescent="0.35">
      <c r="B51" s="308">
        <v>100</v>
      </c>
      <c r="C51" s="605">
        <v>0.94</v>
      </c>
      <c r="D51" s="308">
        <f>ROUND(B51*R75*C51/E51,0)*E51</f>
        <v>36000</v>
      </c>
      <c r="E51" s="308">
        <v>4000</v>
      </c>
      <c r="F51" s="308">
        <f>D51/B51</f>
        <v>360</v>
      </c>
      <c r="G51" s="631"/>
      <c r="N51" s="219">
        <v>6</v>
      </c>
      <c r="O51" s="229">
        <f>IFERROR(VLOOKUP(VLOOKUP(O$18,$H$3:$K$33,3,FALSE)&amp;VLOOKUP(O$18,$H$3:$K$33,4,FALSE)&amp;"碎片",$B$3:$C$27,2,FALSE)*VLOOKUP($N51,$N$3:$AF$15,MATCH(VLOOKUP(O$18,$H$3:$K$33,3,FALSE)&amp;VLOOKUP(O$18,$H$3:$K$33,4,FALSE),$N$3:$AF$3,0),FALSE),O50)</f>
        <v>42</v>
      </c>
      <c r="P51" s="229">
        <f>IFERROR(VLOOKUP(VLOOKUP(P$18,$H$3:$K$33,3,FALSE)&amp;VLOOKUP(P$18,$H$3:$K$33,4,FALSE)&amp;"碎片",$B$3:$C$27,2,FALSE)*VLOOKUP($N51,$N$3:$AF$15,MATCH(VLOOKUP(P$18,$H$3:$K$33,3,FALSE)&amp;VLOOKUP(P$18,$H$3:$K$33,4,FALSE),$N$3:$AF$3,0),FALSE),P50)</f>
        <v>45.6</v>
      </c>
      <c r="Q51" s="229">
        <f>IFERROR(VLOOKUP(VLOOKUP(Q$18,$H$3:$K$33,3,FALSE)&amp;VLOOKUP(Q$18,$H$3:$K$33,4,FALSE)&amp;"碎片",$B$3:$C$27,2,FALSE)*VLOOKUP($N51,$N$3:$AF$15,MATCH(VLOOKUP(Q$18,$H$3:$K$33,3,FALSE)&amp;VLOOKUP(Q$18,$H$3:$K$33,4,FALSE),$N$3:$AF$3,0),FALSE),Q50)</f>
        <v>74.8</v>
      </c>
      <c r="R51" s="229">
        <f>IFERROR(VLOOKUP(VLOOKUP(R$18,$H$3:$K$33,3,FALSE)&amp;VLOOKUP(R$18,$H$3:$K$33,4,FALSE)&amp;"碎片",$B$3:$C$27,2,FALSE)*VLOOKUP($N51,$N$3:$AF$15,MATCH(VLOOKUP(R$18,$H$3:$K$33,3,FALSE)&amp;VLOOKUP(R$18,$H$3:$K$33,4,FALSE),$N$3:$AF$3,0),FALSE),R50)</f>
        <v>56.4</v>
      </c>
      <c r="S51" s="229">
        <f>IFERROR(VLOOKUP(VLOOKUP(S$18,$H$3:$K$33,3,FALSE)&amp;VLOOKUP(S$18,$H$3:$K$33,4,FALSE)&amp;"碎片",$B$3:$C$27,2,FALSE)*VLOOKUP($N51,$N$3:$AF$15,MATCH(VLOOKUP(S$18,$H$3:$K$33,3,FALSE)&amp;VLOOKUP(S$18,$H$3:$K$33,4,FALSE),$N$3:$AF$3,0),FALSE),S50)</f>
        <v>72</v>
      </c>
      <c r="T51" s="229">
        <f>IFERROR(VLOOKUP(VLOOKUP(T$18,$H$3:$K$33,3,FALSE)&amp;VLOOKUP(T$18,$H$3:$K$33,4,FALSE)&amp;"碎片",$B$3:$C$27,2,FALSE)*VLOOKUP($N51,$N$3:$AF$15,MATCH(VLOOKUP(T$18,$H$3:$K$33,3,FALSE)&amp;VLOOKUP(T$18,$H$3:$K$33,4,FALSE),$N$3:$AF$3,0),FALSE),T50)</f>
        <v>91.2</v>
      </c>
      <c r="U51" s="229">
        <f>IFERROR(VLOOKUP(VLOOKUP(U$18,$H$3:$K$33,3,FALSE)&amp;VLOOKUP(U$18,$H$3:$K$33,4,FALSE)&amp;"碎片",$B$3:$C$27,2,FALSE)*VLOOKUP($N51,$N$3:$AF$15,MATCH(VLOOKUP(U$18,$H$3:$K$33,3,FALSE)&amp;VLOOKUP(U$18,$H$3:$K$33,4,FALSE),$N$3:$AF$3,0),FALSE),U50)</f>
        <v>100</v>
      </c>
      <c r="V51" s="229">
        <f>IFERROR(VLOOKUP(VLOOKUP(V$18,$H$3:$K$33,3,FALSE)&amp;VLOOKUP(V$18,$H$3:$K$33,4,FALSE)&amp;"碎片",$B$3:$C$27,2,FALSE)*VLOOKUP($N51,$N$3:$AF$15,MATCH(VLOOKUP(V$18,$H$3:$K$33,3,FALSE)&amp;VLOOKUP(V$18,$H$3:$K$33,4,FALSE),$N$3:$AF$3,0),FALSE),V50)</f>
        <v>125</v>
      </c>
      <c r="W51" s="229">
        <f>IFERROR(VLOOKUP(VLOOKUP(W$18,$H$3:$K$33,3,FALSE)&amp;VLOOKUP(W$18,$H$3:$K$33,4,FALSE)&amp;"碎片",$B$3:$C$27,2,FALSE)*VLOOKUP($N51,$N$3:$AF$15,MATCH(VLOOKUP(W$18,$H$3:$K$33,3,FALSE)&amp;VLOOKUP(W$18,$H$3:$K$33,4,FALSE),$N$3:$AF$3,0),FALSE),W50)</f>
        <v>155</v>
      </c>
      <c r="X51" s="229">
        <f>IFERROR(VLOOKUP(VLOOKUP(X$18,$H$3:$K$33,3,FALSE)&amp;VLOOKUP(X$18,$H$3:$K$33,4,FALSE)&amp;"碎片",$B$3:$C$27,2,FALSE)*VLOOKUP($N51,$N$3:$AF$15,MATCH(VLOOKUP(X$18,$H$3:$K$33,3,FALSE)&amp;VLOOKUP(X$18,$H$3:$K$33,4,FALSE),$N$3:$AF$3,0),FALSE),X50)</f>
        <v>170</v>
      </c>
      <c r="Y51" s="229">
        <f>IFERROR(VLOOKUP(VLOOKUP(Y$18,$H$3:$K$33,3,FALSE)&amp;VLOOKUP(Y$18,$H$3:$K$33,4,FALSE)&amp;"碎片",$B$3:$C$27,2,FALSE)*VLOOKUP($N51,$N$3:$AF$15,MATCH(VLOOKUP(Y$18,$H$3:$K$33,3,FALSE)&amp;VLOOKUP(Y$18,$H$3:$K$33,4,FALSE),$N$3:$AF$3,0),FALSE),Y50)</f>
        <v>42</v>
      </c>
      <c r="Z51" s="229">
        <f>IFERROR(VLOOKUP(VLOOKUP(Z$18,$H$3:$K$33,3,FALSE)&amp;VLOOKUP(Z$18,$H$3:$K$33,4,FALSE)&amp;"碎片",$B$3:$C$27,2,FALSE)*VLOOKUP($N51,$N$3:$AF$15,MATCH(VLOOKUP(Z$18,$H$3:$K$33,3,FALSE)&amp;VLOOKUP(Z$18,$H$3:$K$33,4,FALSE),$N$3:$AF$3,0),FALSE),Z50)</f>
        <v>45.6</v>
      </c>
      <c r="AA51" s="229">
        <f>IFERROR(VLOOKUP(VLOOKUP(AA$18,$H$3:$K$33,3,FALSE)&amp;VLOOKUP(AA$18,$H$3:$K$33,4,FALSE)&amp;"碎片",$B$3:$C$27,2,FALSE)*VLOOKUP($N51,$N$3:$AF$15,MATCH(VLOOKUP(AA$18,$H$3:$K$33,3,FALSE)&amp;VLOOKUP(AA$18,$H$3:$K$33,4,FALSE),$N$3:$AF$3,0),FALSE),AA50)</f>
        <v>74.8</v>
      </c>
      <c r="AB51" s="229">
        <f>IFERROR(VLOOKUP(VLOOKUP(AB$18,$H$3:$K$33,3,FALSE)&amp;VLOOKUP(AB$18,$H$3:$K$33,4,FALSE)&amp;"碎片",$B$3:$C$27,2,FALSE)*VLOOKUP($N51,$N$3:$AF$15,MATCH(VLOOKUP(AB$18,$H$3:$K$33,3,FALSE)&amp;VLOOKUP(AB$18,$H$3:$K$33,4,FALSE),$N$3:$AF$3,0),FALSE),AB50)</f>
        <v>56.4</v>
      </c>
      <c r="AC51" s="229">
        <f>IFERROR(VLOOKUP(VLOOKUP(AC$18,$H$3:$K$33,3,FALSE)&amp;VLOOKUP(AC$18,$H$3:$K$33,4,FALSE)&amp;"碎片",$B$3:$C$27,2,FALSE)*VLOOKUP($N51,$N$3:$AF$15,MATCH(VLOOKUP(AC$18,$H$3:$K$33,3,FALSE)&amp;VLOOKUP(AC$18,$H$3:$K$33,4,FALSE),$N$3:$AF$3,0),FALSE),AC50)</f>
        <v>72</v>
      </c>
      <c r="AD51" s="229">
        <f>IFERROR(VLOOKUP(VLOOKUP(AD$18,$H$3:$K$33,3,FALSE)&amp;VLOOKUP(AD$18,$H$3:$K$33,4,FALSE)&amp;"碎片",$B$3:$C$27,2,FALSE)*VLOOKUP($N51,$N$3:$AF$15,MATCH(VLOOKUP(AD$18,$H$3:$K$33,3,FALSE)&amp;VLOOKUP(AD$18,$H$3:$K$33,4,FALSE),$N$3:$AF$3,0),FALSE),AD50)</f>
        <v>91.2</v>
      </c>
      <c r="AE51" s="229">
        <f>IFERROR(VLOOKUP(VLOOKUP(AE$18,$H$3:$K$33,3,FALSE)&amp;VLOOKUP(AE$18,$H$3:$K$33,4,FALSE)&amp;"碎片",$B$3:$C$27,2,FALSE)*VLOOKUP($N51,$N$3:$AF$15,MATCH(VLOOKUP(AE$18,$H$3:$K$33,3,FALSE)&amp;VLOOKUP(AE$18,$H$3:$K$33,4,FALSE),$N$3:$AF$3,0),FALSE),AE50)</f>
        <v>100</v>
      </c>
      <c r="AF51" s="229">
        <f>IFERROR(VLOOKUP(VLOOKUP(AF$18,$H$3:$K$33,3,FALSE)&amp;VLOOKUP(AF$18,$H$3:$K$33,4,FALSE)&amp;"碎片",$B$3:$C$27,2,FALSE)*VLOOKUP($N51,$N$3:$AF$15,MATCH(VLOOKUP(AF$18,$H$3:$K$33,3,FALSE)&amp;VLOOKUP(AF$18,$H$3:$K$33,4,FALSE),$N$3:$AF$3,0),FALSE),AF50)</f>
        <v>125</v>
      </c>
      <c r="AG51" s="229">
        <f>IFERROR(VLOOKUP(VLOOKUP(AG$18,$H$3:$K$33,3,FALSE)&amp;VLOOKUP(AG$18,$H$3:$K$33,4,FALSE)&amp;"碎片",$B$3:$C$27,2,FALSE)*VLOOKUP($N51,$N$3:$AF$15,MATCH(VLOOKUP(AG$18,$H$3:$K$33,3,FALSE)&amp;VLOOKUP(AG$18,$H$3:$K$33,4,FALSE),$N$3:$AF$3,0),FALSE),AG50)</f>
        <v>155</v>
      </c>
      <c r="AH51" s="229">
        <f>IFERROR(VLOOKUP(VLOOKUP(AH$18,$H$3:$K$33,3,FALSE)&amp;VLOOKUP(AH$18,$H$3:$K$33,4,FALSE)&amp;"碎片",$B$3:$C$27,2,FALSE)*VLOOKUP($N51,$N$3:$AF$15,MATCH(VLOOKUP(AH$18,$H$3:$K$33,3,FALSE)&amp;VLOOKUP(AH$18,$H$3:$K$33,4,FALSE),$N$3:$AF$3,0),FALSE),AH50)</f>
        <v>170</v>
      </c>
      <c r="AI51" s="229">
        <f>IFERROR(VLOOKUP(VLOOKUP(AI$18,$H$3:$K$33,3,FALSE)&amp;VLOOKUP(AI$18,$H$3:$K$33,4,FALSE)&amp;"碎片",$B$3:$C$27,2,FALSE)*VLOOKUP($N51,$N$3:$AF$15,MATCH(VLOOKUP(AI$18,$H$3:$K$33,3,FALSE)&amp;VLOOKUP(AI$18,$H$3:$K$33,4,FALSE),$N$3:$AF$3,0),FALSE),AI50)</f>
        <v>42</v>
      </c>
      <c r="AJ51" s="229">
        <f>IFERROR(VLOOKUP(VLOOKUP(AJ$18,$H$3:$K$33,3,FALSE)&amp;VLOOKUP(AJ$18,$H$3:$K$33,4,FALSE)&amp;"碎片",$B$3:$C$27,2,FALSE)*VLOOKUP($N51,$N$3:$AF$15,MATCH(VLOOKUP(AJ$18,$H$3:$K$33,3,FALSE)&amp;VLOOKUP(AJ$18,$H$3:$K$33,4,FALSE),$N$3:$AF$3,0),FALSE),AJ50)</f>
        <v>45.6</v>
      </c>
      <c r="AK51" s="229">
        <f>IFERROR(VLOOKUP(VLOOKUP(AK$18,$H$3:$K$33,3,FALSE)&amp;VLOOKUP(AK$18,$H$3:$K$33,4,FALSE)&amp;"碎片",$B$3:$C$27,2,FALSE)*VLOOKUP($N51,$N$3:$AF$15,MATCH(VLOOKUP(AK$18,$H$3:$K$33,3,FALSE)&amp;VLOOKUP(AK$18,$H$3:$K$33,4,FALSE),$N$3:$AF$3,0),FALSE),AK50)</f>
        <v>74.8</v>
      </c>
      <c r="AL51" s="229">
        <f>IFERROR(VLOOKUP(VLOOKUP(AL$18,$H$3:$K$33,3,FALSE)&amp;VLOOKUP(AL$18,$H$3:$K$33,4,FALSE)&amp;"碎片",$B$3:$C$27,2,FALSE)*VLOOKUP($N51,$N$3:$AF$15,MATCH(VLOOKUP(AL$18,$H$3:$K$33,3,FALSE)&amp;VLOOKUP(AL$18,$H$3:$K$33,4,FALSE),$N$3:$AF$3,0),FALSE),AL50)</f>
        <v>56.4</v>
      </c>
      <c r="AM51" s="229">
        <f>IFERROR(VLOOKUP(VLOOKUP(AM$18,$H$3:$K$33,3,FALSE)&amp;VLOOKUP(AM$18,$H$3:$K$33,4,FALSE)&amp;"碎片",$B$3:$C$27,2,FALSE)*VLOOKUP($N51,$N$3:$AF$15,MATCH(VLOOKUP(AM$18,$H$3:$K$33,3,FALSE)&amp;VLOOKUP(AM$18,$H$3:$K$33,4,FALSE),$N$3:$AF$3,0),FALSE),AM50)</f>
        <v>72</v>
      </c>
      <c r="AN51" s="229">
        <f>IFERROR(VLOOKUP(VLOOKUP(AN$18,$H$3:$K$33,3,FALSE)&amp;VLOOKUP(AN$18,$H$3:$K$33,4,FALSE)&amp;"碎片",$B$3:$C$27,2,FALSE)*VLOOKUP($N51,$N$3:$AF$15,MATCH(VLOOKUP(AN$18,$H$3:$K$33,3,FALSE)&amp;VLOOKUP(AN$18,$H$3:$K$33,4,FALSE),$N$3:$AF$3,0),FALSE),AN50)</f>
        <v>91.2</v>
      </c>
      <c r="AO51" s="229">
        <f>IFERROR(VLOOKUP(VLOOKUP(AO$18,$H$3:$K$33,3,FALSE)&amp;VLOOKUP(AO$18,$H$3:$K$33,4,FALSE)&amp;"碎片",$B$3:$C$27,2,FALSE)*VLOOKUP($N51,$N$3:$AF$15,MATCH(VLOOKUP(AO$18,$H$3:$K$33,3,FALSE)&amp;VLOOKUP(AO$18,$H$3:$K$33,4,FALSE),$N$3:$AF$3,0),FALSE),AO50)</f>
        <v>100</v>
      </c>
      <c r="AP51" s="229">
        <f>IFERROR(VLOOKUP(VLOOKUP(AP$18,$H$3:$K$33,3,FALSE)&amp;VLOOKUP(AP$18,$H$3:$K$33,4,FALSE)&amp;"碎片",$B$3:$C$27,2,FALSE)*VLOOKUP($N51,$N$3:$AF$15,MATCH(VLOOKUP(AP$18,$H$3:$K$33,3,FALSE)&amp;VLOOKUP(AP$18,$H$3:$K$33,4,FALSE),$N$3:$AF$3,0),FALSE),AP50)</f>
        <v>125</v>
      </c>
      <c r="AQ51" s="229">
        <f>IFERROR(VLOOKUP(VLOOKUP(AQ$18,$H$3:$K$33,3,FALSE)&amp;VLOOKUP(AQ$18,$H$3:$K$33,4,FALSE)&amp;"碎片",$B$3:$C$27,2,FALSE)*VLOOKUP($N51,$N$3:$AF$15,MATCH(VLOOKUP(AQ$18,$H$3:$K$33,3,FALSE)&amp;VLOOKUP(AQ$18,$H$3:$K$33,4,FALSE),$N$3:$AF$3,0),FALSE),AQ50)</f>
        <v>155</v>
      </c>
      <c r="AR51" s="229">
        <f>IFERROR(VLOOKUP(VLOOKUP(AR$18,$H$3:$K$33,3,FALSE)&amp;VLOOKUP(AR$18,$H$3:$K$33,4,FALSE)&amp;"碎片",$B$3:$C$27,2,FALSE)*VLOOKUP($N51,$N$3:$AF$15,MATCH(VLOOKUP(AR$18,$H$3:$K$33,3,FALSE)&amp;VLOOKUP(AR$18,$H$3:$K$33,4,FALSE),$N$3:$AF$3,0),FALSE),AR50)</f>
        <v>170</v>
      </c>
    </row>
    <row r="52" spans="2:44" x14ac:dyDescent="0.35">
      <c r="B52" s="308">
        <v>500</v>
      </c>
      <c r="C52" s="308">
        <v>0.97</v>
      </c>
      <c r="D52" s="308">
        <f>ROUND(B52*R76*C52/E52,0)*E52</f>
        <v>195000</v>
      </c>
      <c r="E52" s="308">
        <v>5000</v>
      </c>
      <c r="F52" s="308">
        <f>D52/B52</f>
        <v>390</v>
      </c>
      <c r="G52" s="631"/>
      <c r="N52" s="219">
        <v>7</v>
      </c>
      <c r="O52" s="229">
        <f>IFERROR(VLOOKUP(VLOOKUP(O$18,$H$3:$K$33,3,FALSE)&amp;VLOOKUP(O$18,$H$3:$K$33,4,FALSE)&amp;"碎片",$B$3:$C$27,2,FALSE)*VLOOKUP($N52,$N$3:$AF$15,MATCH(VLOOKUP(O$18,$H$3:$K$33,3,FALSE)&amp;VLOOKUP(O$18,$H$3:$K$33,4,FALSE),$N$3:$AF$3,0),FALSE),O51)</f>
        <v>38.4</v>
      </c>
      <c r="P52" s="229">
        <f>IFERROR(VLOOKUP(VLOOKUP(P$18,$H$3:$K$33,3,FALSE)&amp;VLOOKUP(P$18,$H$3:$K$33,4,FALSE)&amp;"碎片",$B$3:$C$27,2,FALSE)*VLOOKUP($N52,$N$3:$AF$15,MATCH(VLOOKUP(P$18,$H$3:$K$33,3,FALSE)&amp;VLOOKUP(P$18,$H$3:$K$33,4,FALSE),$N$3:$AF$3,0),FALSE),P51)</f>
        <v>42</v>
      </c>
      <c r="Q52" s="229">
        <f>IFERROR(VLOOKUP(VLOOKUP(Q$18,$H$3:$K$33,3,FALSE)&amp;VLOOKUP(Q$18,$H$3:$K$33,4,FALSE)&amp;"碎片",$B$3:$C$27,2,FALSE)*VLOOKUP($N52,$N$3:$AF$15,MATCH(VLOOKUP(Q$18,$H$3:$K$33,3,FALSE)&amp;VLOOKUP(Q$18,$H$3:$K$33,4,FALSE),$N$3:$AF$3,0),FALSE),Q51)</f>
        <v>71.399999999999991</v>
      </c>
      <c r="R52" s="229">
        <f>IFERROR(VLOOKUP(VLOOKUP(R$18,$H$3:$K$33,3,FALSE)&amp;VLOOKUP(R$18,$H$3:$K$33,4,FALSE)&amp;"碎片",$B$3:$C$27,2,FALSE)*VLOOKUP($N52,$N$3:$AF$15,MATCH(VLOOKUP(R$18,$H$3:$K$33,3,FALSE)&amp;VLOOKUP(R$18,$H$3:$K$33,4,FALSE),$N$3:$AF$3,0),FALSE),R51)</f>
        <v>52.8</v>
      </c>
      <c r="S52" s="229">
        <f>IFERROR(VLOOKUP(VLOOKUP(S$18,$H$3:$K$33,3,FALSE)&amp;VLOOKUP(S$18,$H$3:$K$33,4,FALSE)&amp;"碎片",$B$3:$C$27,2,FALSE)*VLOOKUP($N52,$N$3:$AF$15,MATCH(VLOOKUP(S$18,$H$3:$K$33,3,FALSE)&amp;VLOOKUP(S$18,$H$3:$K$33,4,FALSE),$N$3:$AF$3,0),FALSE),S51)</f>
        <v>69</v>
      </c>
      <c r="T52" s="229">
        <f>IFERROR(VLOOKUP(VLOOKUP(T$18,$H$3:$K$33,3,FALSE)&amp;VLOOKUP(T$18,$H$3:$K$33,4,FALSE)&amp;"碎片",$B$3:$C$27,2,FALSE)*VLOOKUP($N52,$N$3:$AF$15,MATCH(VLOOKUP(T$18,$H$3:$K$33,3,FALSE)&amp;VLOOKUP(T$18,$H$3:$K$33,4,FALSE),$N$3:$AF$3,0),FALSE),T51)</f>
        <v>87.4</v>
      </c>
      <c r="U52" s="229">
        <f>IFERROR(VLOOKUP(VLOOKUP(U$18,$H$3:$K$33,3,FALSE)&amp;VLOOKUP(U$18,$H$3:$K$33,4,FALSE)&amp;"碎片",$B$3:$C$27,2,FALSE)*VLOOKUP($N52,$N$3:$AF$15,MATCH(VLOOKUP(U$18,$H$3:$K$33,3,FALSE)&amp;VLOOKUP(U$18,$H$3:$K$33,4,FALSE),$N$3:$AF$3,0),FALSE),U51)</f>
        <v>100</v>
      </c>
      <c r="V52" s="229">
        <f>IFERROR(VLOOKUP(VLOOKUP(V$18,$H$3:$K$33,3,FALSE)&amp;VLOOKUP(V$18,$H$3:$K$33,4,FALSE)&amp;"碎片",$B$3:$C$27,2,FALSE)*VLOOKUP($N52,$N$3:$AF$15,MATCH(VLOOKUP(V$18,$H$3:$K$33,3,FALSE)&amp;VLOOKUP(V$18,$H$3:$K$33,4,FALSE),$N$3:$AF$3,0),FALSE),V51)</f>
        <v>125</v>
      </c>
      <c r="W52" s="229">
        <f>IFERROR(VLOOKUP(VLOOKUP(W$18,$H$3:$K$33,3,FALSE)&amp;VLOOKUP(W$18,$H$3:$K$33,4,FALSE)&amp;"碎片",$B$3:$C$27,2,FALSE)*VLOOKUP($N52,$N$3:$AF$15,MATCH(VLOOKUP(W$18,$H$3:$K$33,3,FALSE)&amp;VLOOKUP(W$18,$H$3:$K$33,4,FALSE),$N$3:$AF$3,0),FALSE),W51)</f>
        <v>155</v>
      </c>
      <c r="X52" s="229">
        <f>IFERROR(VLOOKUP(VLOOKUP(X$18,$H$3:$K$33,3,FALSE)&amp;VLOOKUP(X$18,$H$3:$K$33,4,FALSE)&amp;"碎片",$B$3:$C$27,2,FALSE)*VLOOKUP($N52,$N$3:$AF$15,MATCH(VLOOKUP(X$18,$H$3:$K$33,3,FALSE)&amp;VLOOKUP(X$18,$H$3:$K$33,4,FALSE),$N$3:$AF$3,0),FALSE),X51)</f>
        <v>170</v>
      </c>
      <c r="Y52" s="229">
        <f>IFERROR(VLOOKUP(VLOOKUP(Y$18,$H$3:$K$33,3,FALSE)&amp;VLOOKUP(Y$18,$H$3:$K$33,4,FALSE)&amp;"碎片",$B$3:$C$27,2,FALSE)*VLOOKUP($N52,$N$3:$AF$15,MATCH(VLOOKUP(Y$18,$H$3:$K$33,3,FALSE)&amp;VLOOKUP(Y$18,$H$3:$K$33,4,FALSE),$N$3:$AF$3,0),FALSE),Y51)</f>
        <v>38.4</v>
      </c>
      <c r="Z52" s="229">
        <f>IFERROR(VLOOKUP(VLOOKUP(Z$18,$H$3:$K$33,3,FALSE)&amp;VLOOKUP(Z$18,$H$3:$K$33,4,FALSE)&amp;"碎片",$B$3:$C$27,2,FALSE)*VLOOKUP($N52,$N$3:$AF$15,MATCH(VLOOKUP(Z$18,$H$3:$K$33,3,FALSE)&amp;VLOOKUP(Z$18,$H$3:$K$33,4,FALSE),$N$3:$AF$3,0),FALSE),Z51)</f>
        <v>42</v>
      </c>
      <c r="AA52" s="229">
        <f>IFERROR(VLOOKUP(VLOOKUP(AA$18,$H$3:$K$33,3,FALSE)&amp;VLOOKUP(AA$18,$H$3:$K$33,4,FALSE)&amp;"碎片",$B$3:$C$27,2,FALSE)*VLOOKUP($N52,$N$3:$AF$15,MATCH(VLOOKUP(AA$18,$H$3:$K$33,3,FALSE)&amp;VLOOKUP(AA$18,$H$3:$K$33,4,FALSE),$N$3:$AF$3,0),FALSE),AA51)</f>
        <v>71.399999999999991</v>
      </c>
      <c r="AB52" s="229">
        <f>IFERROR(VLOOKUP(VLOOKUP(AB$18,$H$3:$K$33,3,FALSE)&amp;VLOOKUP(AB$18,$H$3:$K$33,4,FALSE)&amp;"碎片",$B$3:$C$27,2,FALSE)*VLOOKUP($N52,$N$3:$AF$15,MATCH(VLOOKUP(AB$18,$H$3:$K$33,3,FALSE)&amp;VLOOKUP(AB$18,$H$3:$K$33,4,FALSE),$N$3:$AF$3,0),FALSE),AB51)</f>
        <v>52.8</v>
      </c>
      <c r="AC52" s="229">
        <f>IFERROR(VLOOKUP(VLOOKUP(AC$18,$H$3:$K$33,3,FALSE)&amp;VLOOKUP(AC$18,$H$3:$K$33,4,FALSE)&amp;"碎片",$B$3:$C$27,2,FALSE)*VLOOKUP($N52,$N$3:$AF$15,MATCH(VLOOKUP(AC$18,$H$3:$K$33,3,FALSE)&amp;VLOOKUP(AC$18,$H$3:$K$33,4,FALSE),$N$3:$AF$3,0),FALSE),AC51)</f>
        <v>69</v>
      </c>
      <c r="AD52" s="229">
        <f>IFERROR(VLOOKUP(VLOOKUP(AD$18,$H$3:$K$33,3,FALSE)&amp;VLOOKUP(AD$18,$H$3:$K$33,4,FALSE)&amp;"碎片",$B$3:$C$27,2,FALSE)*VLOOKUP($N52,$N$3:$AF$15,MATCH(VLOOKUP(AD$18,$H$3:$K$33,3,FALSE)&amp;VLOOKUP(AD$18,$H$3:$K$33,4,FALSE),$N$3:$AF$3,0),FALSE),AD51)</f>
        <v>87.4</v>
      </c>
      <c r="AE52" s="229">
        <f>IFERROR(VLOOKUP(VLOOKUP(AE$18,$H$3:$K$33,3,FALSE)&amp;VLOOKUP(AE$18,$H$3:$K$33,4,FALSE)&amp;"碎片",$B$3:$C$27,2,FALSE)*VLOOKUP($N52,$N$3:$AF$15,MATCH(VLOOKUP(AE$18,$H$3:$K$33,3,FALSE)&amp;VLOOKUP(AE$18,$H$3:$K$33,4,FALSE),$N$3:$AF$3,0),FALSE),AE51)</f>
        <v>100</v>
      </c>
      <c r="AF52" s="229">
        <f>IFERROR(VLOOKUP(VLOOKUP(AF$18,$H$3:$K$33,3,FALSE)&amp;VLOOKUP(AF$18,$H$3:$K$33,4,FALSE)&amp;"碎片",$B$3:$C$27,2,FALSE)*VLOOKUP($N52,$N$3:$AF$15,MATCH(VLOOKUP(AF$18,$H$3:$K$33,3,FALSE)&amp;VLOOKUP(AF$18,$H$3:$K$33,4,FALSE),$N$3:$AF$3,0),FALSE),AF51)</f>
        <v>125</v>
      </c>
      <c r="AG52" s="229">
        <f>IFERROR(VLOOKUP(VLOOKUP(AG$18,$H$3:$K$33,3,FALSE)&amp;VLOOKUP(AG$18,$H$3:$K$33,4,FALSE)&amp;"碎片",$B$3:$C$27,2,FALSE)*VLOOKUP($N52,$N$3:$AF$15,MATCH(VLOOKUP(AG$18,$H$3:$K$33,3,FALSE)&amp;VLOOKUP(AG$18,$H$3:$K$33,4,FALSE),$N$3:$AF$3,0),FALSE),AG51)</f>
        <v>155</v>
      </c>
      <c r="AH52" s="229">
        <f>IFERROR(VLOOKUP(VLOOKUP(AH$18,$H$3:$K$33,3,FALSE)&amp;VLOOKUP(AH$18,$H$3:$K$33,4,FALSE)&amp;"碎片",$B$3:$C$27,2,FALSE)*VLOOKUP($N52,$N$3:$AF$15,MATCH(VLOOKUP(AH$18,$H$3:$K$33,3,FALSE)&amp;VLOOKUP(AH$18,$H$3:$K$33,4,FALSE),$N$3:$AF$3,0),FALSE),AH51)</f>
        <v>170</v>
      </c>
      <c r="AI52" s="229">
        <f>IFERROR(VLOOKUP(VLOOKUP(AI$18,$H$3:$K$33,3,FALSE)&amp;VLOOKUP(AI$18,$H$3:$K$33,4,FALSE)&amp;"碎片",$B$3:$C$27,2,FALSE)*VLOOKUP($N52,$N$3:$AF$15,MATCH(VLOOKUP(AI$18,$H$3:$K$33,3,FALSE)&amp;VLOOKUP(AI$18,$H$3:$K$33,4,FALSE),$N$3:$AF$3,0),FALSE),AI51)</f>
        <v>38.4</v>
      </c>
      <c r="AJ52" s="229">
        <f>IFERROR(VLOOKUP(VLOOKUP(AJ$18,$H$3:$K$33,3,FALSE)&amp;VLOOKUP(AJ$18,$H$3:$K$33,4,FALSE)&amp;"碎片",$B$3:$C$27,2,FALSE)*VLOOKUP($N52,$N$3:$AF$15,MATCH(VLOOKUP(AJ$18,$H$3:$K$33,3,FALSE)&amp;VLOOKUP(AJ$18,$H$3:$K$33,4,FALSE),$N$3:$AF$3,0),FALSE),AJ51)</f>
        <v>42</v>
      </c>
      <c r="AK52" s="229">
        <f>IFERROR(VLOOKUP(VLOOKUP(AK$18,$H$3:$K$33,3,FALSE)&amp;VLOOKUP(AK$18,$H$3:$K$33,4,FALSE)&amp;"碎片",$B$3:$C$27,2,FALSE)*VLOOKUP($N52,$N$3:$AF$15,MATCH(VLOOKUP(AK$18,$H$3:$K$33,3,FALSE)&amp;VLOOKUP(AK$18,$H$3:$K$33,4,FALSE),$N$3:$AF$3,0),FALSE),AK51)</f>
        <v>71.399999999999991</v>
      </c>
      <c r="AL52" s="229">
        <f>IFERROR(VLOOKUP(VLOOKUP(AL$18,$H$3:$K$33,3,FALSE)&amp;VLOOKUP(AL$18,$H$3:$K$33,4,FALSE)&amp;"碎片",$B$3:$C$27,2,FALSE)*VLOOKUP($N52,$N$3:$AF$15,MATCH(VLOOKUP(AL$18,$H$3:$K$33,3,FALSE)&amp;VLOOKUP(AL$18,$H$3:$K$33,4,FALSE),$N$3:$AF$3,0),FALSE),AL51)</f>
        <v>52.8</v>
      </c>
      <c r="AM52" s="229">
        <f>IFERROR(VLOOKUP(VLOOKUP(AM$18,$H$3:$K$33,3,FALSE)&amp;VLOOKUP(AM$18,$H$3:$K$33,4,FALSE)&amp;"碎片",$B$3:$C$27,2,FALSE)*VLOOKUP($N52,$N$3:$AF$15,MATCH(VLOOKUP(AM$18,$H$3:$K$33,3,FALSE)&amp;VLOOKUP(AM$18,$H$3:$K$33,4,FALSE),$N$3:$AF$3,0),FALSE),AM51)</f>
        <v>69</v>
      </c>
      <c r="AN52" s="229">
        <f>IFERROR(VLOOKUP(VLOOKUP(AN$18,$H$3:$K$33,3,FALSE)&amp;VLOOKUP(AN$18,$H$3:$K$33,4,FALSE)&amp;"碎片",$B$3:$C$27,2,FALSE)*VLOOKUP($N52,$N$3:$AF$15,MATCH(VLOOKUP(AN$18,$H$3:$K$33,3,FALSE)&amp;VLOOKUP(AN$18,$H$3:$K$33,4,FALSE),$N$3:$AF$3,0),FALSE),AN51)</f>
        <v>87.4</v>
      </c>
      <c r="AO52" s="229">
        <f>IFERROR(VLOOKUP(VLOOKUP(AO$18,$H$3:$K$33,3,FALSE)&amp;VLOOKUP(AO$18,$H$3:$K$33,4,FALSE)&amp;"碎片",$B$3:$C$27,2,FALSE)*VLOOKUP($N52,$N$3:$AF$15,MATCH(VLOOKUP(AO$18,$H$3:$K$33,3,FALSE)&amp;VLOOKUP(AO$18,$H$3:$K$33,4,FALSE),$N$3:$AF$3,0),FALSE),AO51)</f>
        <v>100</v>
      </c>
      <c r="AP52" s="229">
        <f>IFERROR(VLOOKUP(VLOOKUP(AP$18,$H$3:$K$33,3,FALSE)&amp;VLOOKUP(AP$18,$H$3:$K$33,4,FALSE)&amp;"碎片",$B$3:$C$27,2,FALSE)*VLOOKUP($N52,$N$3:$AF$15,MATCH(VLOOKUP(AP$18,$H$3:$K$33,3,FALSE)&amp;VLOOKUP(AP$18,$H$3:$K$33,4,FALSE),$N$3:$AF$3,0),FALSE),AP51)</f>
        <v>125</v>
      </c>
      <c r="AQ52" s="229">
        <f>IFERROR(VLOOKUP(VLOOKUP(AQ$18,$H$3:$K$33,3,FALSE)&amp;VLOOKUP(AQ$18,$H$3:$K$33,4,FALSE)&amp;"碎片",$B$3:$C$27,2,FALSE)*VLOOKUP($N52,$N$3:$AF$15,MATCH(VLOOKUP(AQ$18,$H$3:$K$33,3,FALSE)&amp;VLOOKUP(AQ$18,$H$3:$K$33,4,FALSE),$N$3:$AF$3,0),FALSE),AQ51)</f>
        <v>155</v>
      </c>
      <c r="AR52" s="229">
        <f>IFERROR(VLOOKUP(VLOOKUP(AR$18,$H$3:$K$33,3,FALSE)&amp;VLOOKUP(AR$18,$H$3:$K$33,4,FALSE)&amp;"碎片",$B$3:$C$27,2,FALSE)*VLOOKUP($N52,$N$3:$AF$15,MATCH(VLOOKUP(AR$18,$H$3:$K$33,3,FALSE)&amp;VLOOKUP(AR$18,$H$3:$K$33,4,FALSE),$N$3:$AF$3,0),FALSE),AR51)</f>
        <v>170</v>
      </c>
    </row>
    <row r="53" spans="2:44" x14ac:dyDescent="0.35">
      <c r="B53" s="308">
        <v>1000</v>
      </c>
      <c r="C53" s="308">
        <v>1.01</v>
      </c>
      <c r="D53" s="308">
        <f>ROUND(B53*R77*C53/E53,0)*E53</f>
        <v>400000</v>
      </c>
      <c r="E53" s="308">
        <v>10000</v>
      </c>
      <c r="F53" s="308">
        <f>D53/B53</f>
        <v>400</v>
      </c>
      <c r="G53" s="631"/>
      <c r="N53" s="219">
        <v>8</v>
      </c>
      <c r="O53" s="229">
        <f>IFERROR(VLOOKUP(VLOOKUP(O$18,$H$3:$K$33,3,FALSE)&amp;VLOOKUP(O$18,$H$3:$K$33,4,FALSE)&amp;"碎片",$B$3:$C$27,2,FALSE)*VLOOKUP($N53,$N$3:$AF$15,MATCH(VLOOKUP(O$18,$H$3:$K$33,3,FALSE)&amp;VLOOKUP(O$18,$H$3:$K$33,4,FALSE),$N$3:$AF$3,0),FALSE),O52)</f>
        <v>34.799999999999997</v>
      </c>
      <c r="P53" s="229">
        <f>IFERROR(VLOOKUP(VLOOKUP(P$18,$H$3:$K$33,3,FALSE)&amp;VLOOKUP(P$18,$H$3:$K$33,4,FALSE)&amp;"碎片",$B$3:$C$27,2,FALSE)*VLOOKUP($N53,$N$3:$AF$15,MATCH(VLOOKUP(P$18,$H$3:$K$33,3,FALSE)&amp;VLOOKUP(P$18,$H$3:$K$33,4,FALSE),$N$3:$AF$3,0),FALSE),P52)</f>
        <v>38.4</v>
      </c>
      <c r="Q53" s="229">
        <f>IFERROR(VLOOKUP(VLOOKUP(Q$18,$H$3:$K$33,3,FALSE)&amp;VLOOKUP(Q$18,$H$3:$K$33,4,FALSE)&amp;"碎片",$B$3:$C$27,2,FALSE)*VLOOKUP($N53,$N$3:$AF$15,MATCH(VLOOKUP(Q$18,$H$3:$K$33,3,FALSE)&amp;VLOOKUP(Q$18,$H$3:$K$33,4,FALSE),$N$3:$AF$3,0),FALSE),Q52)</f>
        <v>68</v>
      </c>
      <c r="R53" s="229">
        <f>IFERROR(VLOOKUP(VLOOKUP(R$18,$H$3:$K$33,3,FALSE)&amp;VLOOKUP(R$18,$H$3:$K$33,4,FALSE)&amp;"碎片",$B$3:$C$27,2,FALSE)*VLOOKUP($N53,$N$3:$AF$15,MATCH(VLOOKUP(R$18,$H$3:$K$33,3,FALSE)&amp;VLOOKUP(R$18,$H$3:$K$33,4,FALSE),$N$3:$AF$3,0),FALSE),R52)</f>
        <v>49.199999999999996</v>
      </c>
      <c r="S53" s="229">
        <f>IFERROR(VLOOKUP(VLOOKUP(S$18,$H$3:$K$33,3,FALSE)&amp;VLOOKUP(S$18,$H$3:$K$33,4,FALSE)&amp;"碎片",$B$3:$C$27,2,FALSE)*VLOOKUP($N53,$N$3:$AF$15,MATCH(VLOOKUP(S$18,$H$3:$K$33,3,FALSE)&amp;VLOOKUP(S$18,$H$3:$K$33,4,FALSE),$N$3:$AF$3,0),FALSE),S52)</f>
        <v>66</v>
      </c>
      <c r="T53" s="229">
        <f>IFERROR(VLOOKUP(VLOOKUP(T$18,$H$3:$K$33,3,FALSE)&amp;VLOOKUP(T$18,$H$3:$K$33,4,FALSE)&amp;"碎片",$B$3:$C$27,2,FALSE)*VLOOKUP($N53,$N$3:$AF$15,MATCH(VLOOKUP(T$18,$H$3:$K$33,3,FALSE)&amp;VLOOKUP(T$18,$H$3:$K$33,4,FALSE),$N$3:$AF$3,0),FALSE),T52)</f>
        <v>83.6</v>
      </c>
      <c r="U53" s="229">
        <f>IFERROR(VLOOKUP(VLOOKUP(U$18,$H$3:$K$33,3,FALSE)&amp;VLOOKUP(U$18,$H$3:$K$33,4,FALSE)&amp;"碎片",$B$3:$C$27,2,FALSE)*VLOOKUP($N53,$N$3:$AF$15,MATCH(VLOOKUP(U$18,$H$3:$K$33,3,FALSE)&amp;VLOOKUP(U$18,$H$3:$K$33,4,FALSE),$N$3:$AF$3,0),FALSE),U52)</f>
        <v>100</v>
      </c>
      <c r="V53" s="229">
        <f>IFERROR(VLOOKUP(VLOOKUP(V$18,$H$3:$K$33,3,FALSE)&amp;VLOOKUP(V$18,$H$3:$K$33,4,FALSE)&amp;"碎片",$B$3:$C$27,2,FALSE)*VLOOKUP($N53,$N$3:$AF$15,MATCH(VLOOKUP(V$18,$H$3:$K$33,3,FALSE)&amp;VLOOKUP(V$18,$H$3:$K$33,4,FALSE),$N$3:$AF$3,0),FALSE),V52)</f>
        <v>125</v>
      </c>
      <c r="W53" s="229">
        <f>IFERROR(VLOOKUP(VLOOKUP(W$18,$H$3:$K$33,3,FALSE)&amp;VLOOKUP(W$18,$H$3:$K$33,4,FALSE)&amp;"碎片",$B$3:$C$27,2,FALSE)*VLOOKUP($N53,$N$3:$AF$15,MATCH(VLOOKUP(W$18,$H$3:$K$33,3,FALSE)&amp;VLOOKUP(W$18,$H$3:$K$33,4,FALSE),$N$3:$AF$3,0),FALSE),W52)</f>
        <v>155</v>
      </c>
      <c r="X53" s="229">
        <f>IFERROR(VLOOKUP(VLOOKUP(X$18,$H$3:$K$33,3,FALSE)&amp;VLOOKUP(X$18,$H$3:$K$33,4,FALSE)&amp;"碎片",$B$3:$C$27,2,FALSE)*VLOOKUP($N53,$N$3:$AF$15,MATCH(VLOOKUP(X$18,$H$3:$K$33,3,FALSE)&amp;VLOOKUP(X$18,$H$3:$K$33,4,FALSE),$N$3:$AF$3,0),FALSE),X52)</f>
        <v>170</v>
      </c>
      <c r="Y53" s="229">
        <f>IFERROR(VLOOKUP(VLOOKUP(Y$18,$H$3:$K$33,3,FALSE)&amp;VLOOKUP(Y$18,$H$3:$K$33,4,FALSE)&amp;"碎片",$B$3:$C$27,2,FALSE)*VLOOKUP($N53,$N$3:$AF$15,MATCH(VLOOKUP(Y$18,$H$3:$K$33,3,FALSE)&amp;VLOOKUP(Y$18,$H$3:$K$33,4,FALSE),$N$3:$AF$3,0),FALSE),Y52)</f>
        <v>34.799999999999997</v>
      </c>
      <c r="Z53" s="229">
        <f>IFERROR(VLOOKUP(VLOOKUP(Z$18,$H$3:$K$33,3,FALSE)&amp;VLOOKUP(Z$18,$H$3:$K$33,4,FALSE)&amp;"碎片",$B$3:$C$27,2,FALSE)*VLOOKUP($N53,$N$3:$AF$15,MATCH(VLOOKUP(Z$18,$H$3:$K$33,3,FALSE)&amp;VLOOKUP(Z$18,$H$3:$K$33,4,FALSE),$N$3:$AF$3,0),FALSE),Z52)</f>
        <v>38.4</v>
      </c>
      <c r="AA53" s="229">
        <f>IFERROR(VLOOKUP(VLOOKUP(AA$18,$H$3:$K$33,3,FALSE)&amp;VLOOKUP(AA$18,$H$3:$K$33,4,FALSE)&amp;"碎片",$B$3:$C$27,2,FALSE)*VLOOKUP($N53,$N$3:$AF$15,MATCH(VLOOKUP(AA$18,$H$3:$K$33,3,FALSE)&amp;VLOOKUP(AA$18,$H$3:$K$33,4,FALSE),$N$3:$AF$3,0),FALSE),AA52)</f>
        <v>68</v>
      </c>
      <c r="AB53" s="229">
        <f>IFERROR(VLOOKUP(VLOOKUP(AB$18,$H$3:$K$33,3,FALSE)&amp;VLOOKUP(AB$18,$H$3:$K$33,4,FALSE)&amp;"碎片",$B$3:$C$27,2,FALSE)*VLOOKUP($N53,$N$3:$AF$15,MATCH(VLOOKUP(AB$18,$H$3:$K$33,3,FALSE)&amp;VLOOKUP(AB$18,$H$3:$K$33,4,FALSE),$N$3:$AF$3,0),FALSE),AB52)</f>
        <v>49.199999999999996</v>
      </c>
      <c r="AC53" s="229">
        <f>IFERROR(VLOOKUP(VLOOKUP(AC$18,$H$3:$K$33,3,FALSE)&amp;VLOOKUP(AC$18,$H$3:$K$33,4,FALSE)&amp;"碎片",$B$3:$C$27,2,FALSE)*VLOOKUP($N53,$N$3:$AF$15,MATCH(VLOOKUP(AC$18,$H$3:$K$33,3,FALSE)&amp;VLOOKUP(AC$18,$H$3:$K$33,4,FALSE),$N$3:$AF$3,0),FALSE),AC52)</f>
        <v>66</v>
      </c>
      <c r="AD53" s="229">
        <f>IFERROR(VLOOKUP(VLOOKUP(AD$18,$H$3:$K$33,3,FALSE)&amp;VLOOKUP(AD$18,$H$3:$K$33,4,FALSE)&amp;"碎片",$B$3:$C$27,2,FALSE)*VLOOKUP($N53,$N$3:$AF$15,MATCH(VLOOKUP(AD$18,$H$3:$K$33,3,FALSE)&amp;VLOOKUP(AD$18,$H$3:$K$33,4,FALSE),$N$3:$AF$3,0),FALSE),AD52)</f>
        <v>83.6</v>
      </c>
      <c r="AE53" s="229">
        <f>IFERROR(VLOOKUP(VLOOKUP(AE$18,$H$3:$K$33,3,FALSE)&amp;VLOOKUP(AE$18,$H$3:$K$33,4,FALSE)&amp;"碎片",$B$3:$C$27,2,FALSE)*VLOOKUP($N53,$N$3:$AF$15,MATCH(VLOOKUP(AE$18,$H$3:$K$33,3,FALSE)&amp;VLOOKUP(AE$18,$H$3:$K$33,4,FALSE),$N$3:$AF$3,0),FALSE),AE52)</f>
        <v>100</v>
      </c>
      <c r="AF53" s="229">
        <f>IFERROR(VLOOKUP(VLOOKUP(AF$18,$H$3:$K$33,3,FALSE)&amp;VLOOKUP(AF$18,$H$3:$K$33,4,FALSE)&amp;"碎片",$B$3:$C$27,2,FALSE)*VLOOKUP($N53,$N$3:$AF$15,MATCH(VLOOKUP(AF$18,$H$3:$K$33,3,FALSE)&amp;VLOOKUP(AF$18,$H$3:$K$33,4,FALSE),$N$3:$AF$3,0),FALSE),AF52)</f>
        <v>125</v>
      </c>
      <c r="AG53" s="229">
        <f>IFERROR(VLOOKUP(VLOOKUP(AG$18,$H$3:$K$33,3,FALSE)&amp;VLOOKUP(AG$18,$H$3:$K$33,4,FALSE)&amp;"碎片",$B$3:$C$27,2,FALSE)*VLOOKUP($N53,$N$3:$AF$15,MATCH(VLOOKUP(AG$18,$H$3:$K$33,3,FALSE)&amp;VLOOKUP(AG$18,$H$3:$K$33,4,FALSE),$N$3:$AF$3,0),FALSE),AG52)</f>
        <v>155</v>
      </c>
      <c r="AH53" s="229">
        <f>IFERROR(VLOOKUP(VLOOKUP(AH$18,$H$3:$K$33,3,FALSE)&amp;VLOOKUP(AH$18,$H$3:$K$33,4,FALSE)&amp;"碎片",$B$3:$C$27,2,FALSE)*VLOOKUP($N53,$N$3:$AF$15,MATCH(VLOOKUP(AH$18,$H$3:$K$33,3,FALSE)&amp;VLOOKUP(AH$18,$H$3:$K$33,4,FALSE),$N$3:$AF$3,0),FALSE),AH52)</f>
        <v>170</v>
      </c>
      <c r="AI53" s="229">
        <f>IFERROR(VLOOKUP(VLOOKUP(AI$18,$H$3:$K$33,3,FALSE)&amp;VLOOKUP(AI$18,$H$3:$K$33,4,FALSE)&amp;"碎片",$B$3:$C$27,2,FALSE)*VLOOKUP($N53,$N$3:$AF$15,MATCH(VLOOKUP(AI$18,$H$3:$K$33,3,FALSE)&amp;VLOOKUP(AI$18,$H$3:$K$33,4,FALSE),$N$3:$AF$3,0),FALSE),AI52)</f>
        <v>34.799999999999997</v>
      </c>
      <c r="AJ53" s="229">
        <f>IFERROR(VLOOKUP(VLOOKUP(AJ$18,$H$3:$K$33,3,FALSE)&amp;VLOOKUP(AJ$18,$H$3:$K$33,4,FALSE)&amp;"碎片",$B$3:$C$27,2,FALSE)*VLOOKUP($N53,$N$3:$AF$15,MATCH(VLOOKUP(AJ$18,$H$3:$K$33,3,FALSE)&amp;VLOOKUP(AJ$18,$H$3:$K$33,4,FALSE),$N$3:$AF$3,0),FALSE),AJ52)</f>
        <v>38.4</v>
      </c>
      <c r="AK53" s="229">
        <f>IFERROR(VLOOKUP(VLOOKUP(AK$18,$H$3:$K$33,3,FALSE)&amp;VLOOKUP(AK$18,$H$3:$K$33,4,FALSE)&amp;"碎片",$B$3:$C$27,2,FALSE)*VLOOKUP($N53,$N$3:$AF$15,MATCH(VLOOKUP(AK$18,$H$3:$K$33,3,FALSE)&amp;VLOOKUP(AK$18,$H$3:$K$33,4,FALSE),$N$3:$AF$3,0),FALSE),AK52)</f>
        <v>68</v>
      </c>
      <c r="AL53" s="229">
        <f>IFERROR(VLOOKUP(VLOOKUP(AL$18,$H$3:$K$33,3,FALSE)&amp;VLOOKUP(AL$18,$H$3:$K$33,4,FALSE)&amp;"碎片",$B$3:$C$27,2,FALSE)*VLOOKUP($N53,$N$3:$AF$15,MATCH(VLOOKUP(AL$18,$H$3:$K$33,3,FALSE)&amp;VLOOKUP(AL$18,$H$3:$K$33,4,FALSE),$N$3:$AF$3,0),FALSE),AL52)</f>
        <v>49.199999999999996</v>
      </c>
      <c r="AM53" s="229">
        <f>IFERROR(VLOOKUP(VLOOKUP(AM$18,$H$3:$K$33,3,FALSE)&amp;VLOOKUP(AM$18,$H$3:$K$33,4,FALSE)&amp;"碎片",$B$3:$C$27,2,FALSE)*VLOOKUP($N53,$N$3:$AF$15,MATCH(VLOOKUP(AM$18,$H$3:$K$33,3,FALSE)&amp;VLOOKUP(AM$18,$H$3:$K$33,4,FALSE),$N$3:$AF$3,0),FALSE),AM52)</f>
        <v>66</v>
      </c>
      <c r="AN53" s="229">
        <f>IFERROR(VLOOKUP(VLOOKUP(AN$18,$H$3:$K$33,3,FALSE)&amp;VLOOKUP(AN$18,$H$3:$K$33,4,FALSE)&amp;"碎片",$B$3:$C$27,2,FALSE)*VLOOKUP($N53,$N$3:$AF$15,MATCH(VLOOKUP(AN$18,$H$3:$K$33,3,FALSE)&amp;VLOOKUP(AN$18,$H$3:$K$33,4,FALSE),$N$3:$AF$3,0),FALSE),AN52)</f>
        <v>83.6</v>
      </c>
      <c r="AO53" s="229">
        <f>IFERROR(VLOOKUP(VLOOKUP(AO$18,$H$3:$K$33,3,FALSE)&amp;VLOOKUP(AO$18,$H$3:$K$33,4,FALSE)&amp;"碎片",$B$3:$C$27,2,FALSE)*VLOOKUP($N53,$N$3:$AF$15,MATCH(VLOOKUP(AO$18,$H$3:$K$33,3,FALSE)&amp;VLOOKUP(AO$18,$H$3:$K$33,4,FALSE),$N$3:$AF$3,0),FALSE),AO52)</f>
        <v>100</v>
      </c>
      <c r="AP53" s="229">
        <f>IFERROR(VLOOKUP(VLOOKUP(AP$18,$H$3:$K$33,3,FALSE)&amp;VLOOKUP(AP$18,$H$3:$K$33,4,FALSE)&amp;"碎片",$B$3:$C$27,2,FALSE)*VLOOKUP($N53,$N$3:$AF$15,MATCH(VLOOKUP(AP$18,$H$3:$K$33,3,FALSE)&amp;VLOOKUP(AP$18,$H$3:$K$33,4,FALSE),$N$3:$AF$3,0),FALSE),AP52)</f>
        <v>125</v>
      </c>
      <c r="AQ53" s="229">
        <f>IFERROR(VLOOKUP(VLOOKUP(AQ$18,$H$3:$K$33,3,FALSE)&amp;VLOOKUP(AQ$18,$H$3:$K$33,4,FALSE)&amp;"碎片",$B$3:$C$27,2,FALSE)*VLOOKUP($N53,$N$3:$AF$15,MATCH(VLOOKUP(AQ$18,$H$3:$K$33,3,FALSE)&amp;VLOOKUP(AQ$18,$H$3:$K$33,4,FALSE),$N$3:$AF$3,0),FALSE),AQ52)</f>
        <v>155</v>
      </c>
      <c r="AR53" s="229">
        <f>IFERROR(VLOOKUP(VLOOKUP(AR$18,$H$3:$K$33,3,FALSE)&amp;VLOOKUP(AR$18,$H$3:$K$33,4,FALSE)&amp;"碎片",$B$3:$C$27,2,FALSE)*VLOOKUP($N53,$N$3:$AF$15,MATCH(VLOOKUP(AR$18,$H$3:$K$33,3,FALSE)&amp;VLOOKUP(AR$18,$H$3:$K$33,4,FALSE),$N$3:$AF$3,0),FALSE),AR52)</f>
        <v>170</v>
      </c>
    </row>
    <row r="54" spans="2:44" x14ac:dyDescent="0.35">
      <c r="G54" s="631"/>
      <c r="N54" s="219">
        <v>9</v>
      </c>
      <c r="O54" s="229">
        <f>IFERROR(VLOOKUP(VLOOKUP(O$18,$H$3:$K$33,3,FALSE)&amp;VLOOKUP(O$18,$H$3:$K$33,4,FALSE)&amp;"碎片",$B$3:$C$27,2,FALSE)*VLOOKUP($N54,$N$3:$AF$15,MATCH(VLOOKUP(O$18,$H$3:$K$33,3,FALSE)&amp;VLOOKUP(O$18,$H$3:$K$33,4,FALSE),$N$3:$AF$3,0),FALSE),O53)</f>
        <v>31.200000000000003</v>
      </c>
      <c r="P54" s="229">
        <f>IFERROR(VLOOKUP(VLOOKUP(P$18,$H$3:$K$33,3,FALSE)&amp;VLOOKUP(P$18,$H$3:$K$33,4,FALSE)&amp;"碎片",$B$3:$C$27,2,FALSE)*VLOOKUP($N54,$N$3:$AF$15,MATCH(VLOOKUP(P$18,$H$3:$K$33,3,FALSE)&amp;VLOOKUP(P$18,$H$3:$K$33,4,FALSE),$N$3:$AF$3,0),FALSE),P53)</f>
        <v>34.799999999999997</v>
      </c>
      <c r="Q54" s="229">
        <f>IFERROR(VLOOKUP(VLOOKUP(Q$18,$H$3:$K$33,3,FALSE)&amp;VLOOKUP(Q$18,$H$3:$K$33,4,FALSE)&amp;"碎片",$B$3:$C$27,2,FALSE)*VLOOKUP($N54,$N$3:$AF$15,MATCH(VLOOKUP(Q$18,$H$3:$K$33,3,FALSE)&amp;VLOOKUP(Q$18,$H$3:$K$33,4,FALSE),$N$3:$AF$3,0),FALSE),Q53)</f>
        <v>64.599999999999994</v>
      </c>
      <c r="R54" s="229">
        <f>IFERROR(VLOOKUP(VLOOKUP(R$18,$H$3:$K$33,3,FALSE)&amp;VLOOKUP(R$18,$H$3:$K$33,4,FALSE)&amp;"碎片",$B$3:$C$27,2,FALSE)*VLOOKUP($N54,$N$3:$AF$15,MATCH(VLOOKUP(R$18,$H$3:$K$33,3,FALSE)&amp;VLOOKUP(R$18,$H$3:$K$33,4,FALSE),$N$3:$AF$3,0),FALSE),R53)</f>
        <v>45.6</v>
      </c>
      <c r="S54" s="229">
        <f>IFERROR(VLOOKUP(VLOOKUP(S$18,$H$3:$K$33,3,FALSE)&amp;VLOOKUP(S$18,$H$3:$K$33,4,FALSE)&amp;"碎片",$B$3:$C$27,2,FALSE)*VLOOKUP($N54,$N$3:$AF$15,MATCH(VLOOKUP(S$18,$H$3:$K$33,3,FALSE)&amp;VLOOKUP(S$18,$H$3:$K$33,4,FALSE),$N$3:$AF$3,0),FALSE),S53)</f>
        <v>63</v>
      </c>
      <c r="T54" s="229">
        <f>IFERROR(VLOOKUP(VLOOKUP(T$18,$H$3:$K$33,3,FALSE)&amp;VLOOKUP(T$18,$H$3:$K$33,4,FALSE)&amp;"碎片",$B$3:$C$27,2,FALSE)*VLOOKUP($N54,$N$3:$AF$15,MATCH(VLOOKUP(T$18,$H$3:$K$33,3,FALSE)&amp;VLOOKUP(T$18,$H$3:$K$33,4,FALSE),$N$3:$AF$3,0),FALSE),T53)</f>
        <v>79.8</v>
      </c>
      <c r="U54" s="229">
        <f>IFERROR(VLOOKUP(VLOOKUP(U$18,$H$3:$K$33,3,FALSE)&amp;VLOOKUP(U$18,$H$3:$K$33,4,FALSE)&amp;"碎片",$B$3:$C$27,2,FALSE)*VLOOKUP($N54,$N$3:$AF$15,MATCH(VLOOKUP(U$18,$H$3:$K$33,3,FALSE)&amp;VLOOKUP(U$18,$H$3:$K$33,4,FALSE),$N$3:$AF$3,0),FALSE),U53)</f>
        <v>96</v>
      </c>
      <c r="V54" s="229">
        <f>IFERROR(VLOOKUP(VLOOKUP(V$18,$H$3:$K$33,3,FALSE)&amp;VLOOKUP(V$18,$H$3:$K$33,4,FALSE)&amp;"碎片",$B$3:$C$27,2,FALSE)*VLOOKUP($N54,$N$3:$AF$15,MATCH(VLOOKUP(V$18,$H$3:$K$33,3,FALSE)&amp;VLOOKUP(V$18,$H$3:$K$33,4,FALSE),$N$3:$AF$3,0),FALSE),V53)</f>
        <v>120</v>
      </c>
      <c r="W54" s="229">
        <f>IFERROR(VLOOKUP(VLOOKUP(W$18,$H$3:$K$33,3,FALSE)&amp;VLOOKUP(W$18,$H$3:$K$33,4,FALSE)&amp;"碎片",$B$3:$C$27,2,FALSE)*VLOOKUP($N54,$N$3:$AF$15,MATCH(VLOOKUP(W$18,$H$3:$K$33,3,FALSE)&amp;VLOOKUP(W$18,$H$3:$K$33,4,FALSE),$N$3:$AF$3,0),FALSE),W53)</f>
        <v>148.79999999999998</v>
      </c>
      <c r="X54" s="229">
        <f>IFERROR(VLOOKUP(VLOOKUP(X$18,$H$3:$K$33,3,FALSE)&amp;VLOOKUP(X$18,$H$3:$K$33,4,FALSE)&amp;"碎片",$B$3:$C$27,2,FALSE)*VLOOKUP($N54,$N$3:$AF$15,MATCH(VLOOKUP(X$18,$H$3:$K$33,3,FALSE)&amp;VLOOKUP(X$18,$H$3:$K$33,4,FALSE),$N$3:$AF$3,0),FALSE),X53)</f>
        <v>170</v>
      </c>
      <c r="Y54" s="229">
        <f>IFERROR(VLOOKUP(VLOOKUP(Y$18,$H$3:$K$33,3,FALSE)&amp;VLOOKUP(Y$18,$H$3:$K$33,4,FALSE)&amp;"碎片",$B$3:$C$27,2,FALSE)*VLOOKUP($N54,$N$3:$AF$15,MATCH(VLOOKUP(Y$18,$H$3:$K$33,3,FALSE)&amp;VLOOKUP(Y$18,$H$3:$K$33,4,FALSE),$N$3:$AF$3,0),FALSE),Y53)</f>
        <v>31.200000000000003</v>
      </c>
      <c r="Z54" s="229">
        <f>IFERROR(VLOOKUP(VLOOKUP(Z$18,$H$3:$K$33,3,FALSE)&amp;VLOOKUP(Z$18,$H$3:$K$33,4,FALSE)&amp;"碎片",$B$3:$C$27,2,FALSE)*VLOOKUP($N54,$N$3:$AF$15,MATCH(VLOOKUP(Z$18,$H$3:$K$33,3,FALSE)&amp;VLOOKUP(Z$18,$H$3:$K$33,4,FALSE),$N$3:$AF$3,0),FALSE),Z53)</f>
        <v>34.799999999999997</v>
      </c>
      <c r="AA54" s="229">
        <f>IFERROR(VLOOKUP(VLOOKUP(AA$18,$H$3:$K$33,3,FALSE)&amp;VLOOKUP(AA$18,$H$3:$K$33,4,FALSE)&amp;"碎片",$B$3:$C$27,2,FALSE)*VLOOKUP($N54,$N$3:$AF$15,MATCH(VLOOKUP(AA$18,$H$3:$K$33,3,FALSE)&amp;VLOOKUP(AA$18,$H$3:$K$33,4,FALSE),$N$3:$AF$3,0),FALSE),AA53)</f>
        <v>64.599999999999994</v>
      </c>
      <c r="AB54" s="229">
        <f>IFERROR(VLOOKUP(VLOOKUP(AB$18,$H$3:$K$33,3,FALSE)&amp;VLOOKUP(AB$18,$H$3:$K$33,4,FALSE)&amp;"碎片",$B$3:$C$27,2,FALSE)*VLOOKUP($N54,$N$3:$AF$15,MATCH(VLOOKUP(AB$18,$H$3:$K$33,3,FALSE)&amp;VLOOKUP(AB$18,$H$3:$K$33,4,FALSE),$N$3:$AF$3,0),FALSE),AB53)</f>
        <v>45.6</v>
      </c>
      <c r="AC54" s="229">
        <f>IFERROR(VLOOKUP(VLOOKUP(AC$18,$H$3:$K$33,3,FALSE)&amp;VLOOKUP(AC$18,$H$3:$K$33,4,FALSE)&amp;"碎片",$B$3:$C$27,2,FALSE)*VLOOKUP($N54,$N$3:$AF$15,MATCH(VLOOKUP(AC$18,$H$3:$K$33,3,FALSE)&amp;VLOOKUP(AC$18,$H$3:$K$33,4,FALSE),$N$3:$AF$3,0),FALSE),AC53)</f>
        <v>63</v>
      </c>
      <c r="AD54" s="229">
        <f>IFERROR(VLOOKUP(VLOOKUP(AD$18,$H$3:$K$33,3,FALSE)&amp;VLOOKUP(AD$18,$H$3:$K$33,4,FALSE)&amp;"碎片",$B$3:$C$27,2,FALSE)*VLOOKUP($N54,$N$3:$AF$15,MATCH(VLOOKUP(AD$18,$H$3:$K$33,3,FALSE)&amp;VLOOKUP(AD$18,$H$3:$K$33,4,FALSE),$N$3:$AF$3,0),FALSE),AD53)</f>
        <v>79.8</v>
      </c>
      <c r="AE54" s="229">
        <f>IFERROR(VLOOKUP(VLOOKUP(AE$18,$H$3:$K$33,3,FALSE)&amp;VLOOKUP(AE$18,$H$3:$K$33,4,FALSE)&amp;"碎片",$B$3:$C$27,2,FALSE)*VLOOKUP($N54,$N$3:$AF$15,MATCH(VLOOKUP(AE$18,$H$3:$K$33,3,FALSE)&amp;VLOOKUP(AE$18,$H$3:$K$33,4,FALSE),$N$3:$AF$3,0),FALSE),AE53)</f>
        <v>96</v>
      </c>
      <c r="AF54" s="229">
        <f>IFERROR(VLOOKUP(VLOOKUP(AF$18,$H$3:$K$33,3,FALSE)&amp;VLOOKUP(AF$18,$H$3:$K$33,4,FALSE)&amp;"碎片",$B$3:$C$27,2,FALSE)*VLOOKUP($N54,$N$3:$AF$15,MATCH(VLOOKUP(AF$18,$H$3:$K$33,3,FALSE)&amp;VLOOKUP(AF$18,$H$3:$K$33,4,FALSE),$N$3:$AF$3,0),FALSE),AF53)</f>
        <v>120</v>
      </c>
      <c r="AG54" s="229">
        <f>IFERROR(VLOOKUP(VLOOKUP(AG$18,$H$3:$K$33,3,FALSE)&amp;VLOOKUP(AG$18,$H$3:$K$33,4,FALSE)&amp;"碎片",$B$3:$C$27,2,FALSE)*VLOOKUP($N54,$N$3:$AF$15,MATCH(VLOOKUP(AG$18,$H$3:$K$33,3,FALSE)&amp;VLOOKUP(AG$18,$H$3:$K$33,4,FALSE),$N$3:$AF$3,0),FALSE),AG53)</f>
        <v>148.79999999999998</v>
      </c>
      <c r="AH54" s="229">
        <f>IFERROR(VLOOKUP(VLOOKUP(AH$18,$H$3:$K$33,3,FALSE)&amp;VLOOKUP(AH$18,$H$3:$K$33,4,FALSE)&amp;"碎片",$B$3:$C$27,2,FALSE)*VLOOKUP($N54,$N$3:$AF$15,MATCH(VLOOKUP(AH$18,$H$3:$K$33,3,FALSE)&amp;VLOOKUP(AH$18,$H$3:$K$33,4,FALSE),$N$3:$AF$3,0),FALSE),AH53)</f>
        <v>170</v>
      </c>
      <c r="AI54" s="229">
        <f>IFERROR(VLOOKUP(VLOOKUP(AI$18,$H$3:$K$33,3,FALSE)&amp;VLOOKUP(AI$18,$H$3:$K$33,4,FALSE)&amp;"碎片",$B$3:$C$27,2,FALSE)*VLOOKUP($N54,$N$3:$AF$15,MATCH(VLOOKUP(AI$18,$H$3:$K$33,3,FALSE)&amp;VLOOKUP(AI$18,$H$3:$K$33,4,FALSE),$N$3:$AF$3,0),FALSE),AI53)</f>
        <v>31.200000000000003</v>
      </c>
      <c r="AJ54" s="229">
        <f>IFERROR(VLOOKUP(VLOOKUP(AJ$18,$H$3:$K$33,3,FALSE)&amp;VLOOKUP(AJ$18,$H$3:$K$33,4,FALSE)&amp;"碎片",$B$3:$C$27,2,FALSE)*VLOOKUP($N54,$N$3:$AF$15,MATCH(VLOOKUP(AJ$18,$H$3:$K$33,3,FALSE)&amp;VLOOKUP(AJ$18,$H$3:$K$33,4,FALSE),$N$3:$AF$3,0),FALSE),AJ53)</f>
        <v>34.799999999999997</v>
      </c>
      <c r="AK54" s="229">
        <f>IFERROR(VLOOKUP(VLOOKUP(AK$18,$H$3:$K$33,3,FALSE)&amp;VLOOKUP(AK$18,$H$3:$K$33,4,FALSE)&amp;"碎片",$B$3:$C$27,2,FALSE)*VLOOKUP($N54,$N$3:$AF$15,MATCH(VLOOKUP(AK$18,$H$3:$K$33,3,FALSE)&amp;VLOOKUP(AK$18,$H$3:$K$33,4,FALSE),$N$3:$AF$3,0),FALSE),AK53)</f>
        <v>64.599999999999994</v>
      </c>
      <c r="AL54" s="229">
        <f>IFERROR(VLOOKUP(VLOOKUP(AL$18,$H$3:$K$33,3,FALSE)&amp;VLOOKUP(AL$18,$H$3:$K$33,4,FALSE)&amp;"碎片",$B$3:$C$27,2,FALSE)*VLOOKUP($N54,$N$3:$AF$15,MATCH(VLOOKUP(AL$18,$H$3:$K$33,3,FALSE)&amp;VLOOKUP(AL$18,$H$3:$K$33,4,FALSE),$N$3:$AF$3,0),FALSE),AL53)</f>
        <v>45.6</v>
      </c>
      <c r="AM54" s="229">
        <f>IFERROR(VLOOKUP(VLOOKUP(AM$18,$H$3:$K$33,3,FALSE)&amp;VLOOKUP(AM$18,$H$3:$K$33,4,FALSE)&amp;"碎片",$B$3:$C$27,2,FALSE)*VLOOKUP($N54,$N$3:$AF$15,MATCH(VLOOKUP(AM$18,$H$3:$K$33,3,FALSE)&amp;VLOOKUP(AM$18,$H$3:$K$33,4,FALSE),$N$3:$AF$3,0),FALSE),AM53)</f>
        <v>63</v>
      </c>
      <c r="AN54" s="229">
        <f>IFERROR(VLOOKUP(VLOOKUP(AN$18,$H$3:$K$33,3,FALSE)&amp;VLOOKUP(AN$18,$H$3:$K$33,4,FALSE)&amp;"碎片",$B$3:$C$27,2,FALSE)*VLOOKUP($N54,$N$3:$AF$15,MATCH(VLOOKUP(AN$18,$H$3:$K$33,3,FALSE)&amp;VLOOKUP(AN$18,$H$3:$K$33,4,FALSE),$N$3:$AF$3,0),FALSE),AN53)</f>
        <v>79.8</v>
      </c>
      <c r="AO54" s="229">
        <f>IFERROR(VLOOKUP(VLOOKUP(AO$18,$H$3:$K$33,3,FALSE)&amp;VLOOKUP(AO$18,$H$3:$K$33,4,FALSE)&amp;"碎片",$B$3:$C$27,2,FALSE)*VLOOKUP($N54,$N$3:$AF$15,MATCH(VLOOKUP(AO$18,$H$3:$K$33,3,FALSE)&amp;VLOOKUP(AO$18,$H$3:$K$33,4,FALSE),$N$3:$AF$3,0),FALSE),AO53)</f>
        <v>96</v>
      </c>
      <c r="AP54" s="229">
        <f>IFERROR(VLOOKUP(VLOOKUP(AP$18,$H$3:$K$33,3,FALSE)&amp;VLOOKUP(AP$18,$H$3:$K$33,4,FALSE)&amp;"碎片",$B$3:$C$27,2,FALSE)*VLOOKUP($N54,$N$3:$AF$15,MATCH(VLOOKUP(AP$18,$H$3:$K$33,3,FALSE)&amp;VLOOKUP(AP$18,$H$3:$K$33,4,FALSE),$N$3:$AF$3,0),FALSE),AP53)</f>
        <v>120</v>
      </c>
      <c r="AQ54" s="229">
        <f>IFERROR(VLOOKUP(VLOOKUP(AQ$18,$H$3:$K$33,3,FALSE)&amp;VLOOKUP(AQ$18,$H$3:$K$33,4,FALSE)&amp;"碎片",$B$3:$C$27,2,FALSE)*VLOOKUP($N54,$N$3:$AF$15,MATCH(VLOOKUP(AQ$18,$H$3:$K$33,3,FALSE)&amp;VLOOKUP(AQ$18,$H$3:$K$33,4,FALSE),$N$3:$AF$3,0),FALSE),AQ53)</f>
        <v>148.79999999999998</v>
      </c>
      <c r="AR54" s="229">
        <f>IFERROR(VLOOKUP(VLOOKUP(AR$18,$H$3:$K$33,3,FALSE)&amp;VLOOKUP(AR$18,$H$3:$K$33,4,FALSE)&amp;"碎片",$B$3:$C$27,2,FALSE)*VLOOKUP($N54,$N$3:$AF$15,MATCH(VLOOKUP(AR$18,$H$3:$K$33,3,FALSE)&amp;VLOOKUP(AR$18,$H$3:$K$33,4,FALSE),$N$3:$AF$3,0),FALSE),AR53)</f>
        <v>170</v>
      </c>
    </row>
    <row r="55" spans="2:44" x14ac:dyDescent="0.35">
      <c r="G55" s="631"/>
      <c r="N55" s="219">
        <v>10</v>
      </c>
      <c r="O55" s="229">
        <f>IFERROR(VLOOKUP(VLOOKUP(O$18,$H$3:$K$33,3,FALSE)&amp;VLOOKUP(O$18,$H$3:$K$33,4,FALSE)&amp;"碎片",$B$3:$C$27,2,FALSE)*VLOOKUP($N55,$N$3:$AF$15,MATCH(VLOOKUP(O$18,$H$3:$K$33,3,FALSE)&amp;VLOOKUP(O$18,$H$3:$K$33,4,FALSE),$N$3:$AF$3,0),FALSE),O54)</f>
        <v>27.6</v>
      </c>
      <c r="P55" s="229">
        <f>IFERROR(VLOOKUP(VLOOKUP(P$18,$H$3:$K$33,3,FALSE)&amp;VLOOKUP(P$18,$H$3:$K$33,4,FALSE)&amp;"碎片",$B$3:$C$27,2,FALSE)*VLOOKUP($N55,$N$3:$AF$15,MATCH(VLOOKUP(P$18,$H$3:$K$33,3,FALSE)&amp;VLOOKUP(P$18,$H$3:$K$33,4,FALSE),$N$3:$AF$3,0),FALSE),P54)</f>
        <v>31.200000000000003</v>
      </c>
      <c r="Q55" s="229">
        <f>IFERROR(VLOOKUP(VLOOKUP(Q$18,$H$3:$K$33,3,FALSE)&amp;VLOOKUP(Q$18,$H$3:$K$33,4,FALSE)&amp;"碎片",$B$3:$C$27,2,FALSE)*VLOOKUP($N55,$N$3:$AF$15,MATCH(VLOOKUP(Q$18,$H$3:$K$33,3,FALSE)&amp;VLOOKUP(Q$18,$H$3:$K$33,4,FALSE),$N$3:$AF$3,0),FALSE),Q54)</f>
        <v>61.199999999999996</v>
      </c>
      <c r="R55" s="229">
        <f>IFERROR(VLOOKUP(VLOOKUP(R$18,$H$3:$K$33,3,FALSE)&amp;VLOOKUP(R$18,$H$3:$K$33,4,FALSE)&amp;"碎片",$B$3:$C$27,2,FALSE)*VLOOKUP($N55,$N$3:$AF$15,MATCH(VLOOKUP(R$18,$H$3:$K$33,3,FALSE)&amp;VLOOKUP(R$18,$H$3:$K$33,4,FALSE),$N$3:$AF$3,0),FALSE),R54)</f>
        <v>42</v>
      </c>
      <c r="S55" s="229">
        <f>IFERROR(VLOOKUP(VLOOKUP(S$18,$H$3:$K$33,3,FALSE)&amp;VLOOKUP(S$18,$H$3:$K$33,4,FALSE)&amp;"碎片",$B$3:$C$27,2,FALSE)*VLOOKUP($N55,$N$3:$AF$15,MATCH(VLOOKUP(S$18,$H$3:$K$33,3,FALSE)&amp;VLOOKUP(S$18,$H$3:$K$33,4,FALSE),$N$3:$AF$3,0),FALSE),S54)</f>
        <v>60</v>
      </c>
      <c r="T55" s="229">
        <f>IFERROR(VLOOKUP(VLOOKUP(T$18,$H$3:$K$33,3,FALSE)&amp;VLOOKUP(T$18,$H$3:$K$33,4,FALSE)&amp;"碎片",$B$3:$C$27,2,FALSE)*VLOOKUP($N55,$N$3:$AF$15,MATCH(VLOOKUP(T$18,$H$3:$K$33,3,FALSE)&amp;VLOOKUP(T$18,$H$3:$K$33,4,FALSE),$N$3:$AF$3,0),FALSE),T54)</f>
        <v>76</v>
      </c>
      <c r="U55" s="229">
        <f>IFERROR(VLOOKUP(VLOOKUP(U$18,$H$3:$K$33,3,FALSE)&amp;VLOOKUP(U$18,$H$3:$K$33,4,FALSE)&amp;"碎片",$B$3:$C$27,2,FALSE)*VLOOKUP($N55,$N$3:$AF$15,MATCH(VLOOKUP(U$18,$H$3:$K$33,3,FALSE)&amp;VLOOKUP(U$18,$H$3:$K$33,4,FALSE),$N$3:$AF$3,0),FALSE),U54)</f>
        <v>92</v>
      </c>
      <c r="V55" s="229">
        <f>IFERROR(VLOOKUP(VLOOKUP(V$18,$H$3:$K$33,3,FALSE)&amp;VLOOKUP(V$18,$H$3:$K$33,4,FALSE)&amp;"碎片",$B$3:$C$27,2,FALSE)*VLOOKUP($N55,$N$3:$AF$15,MATCH(VLOOKUP(V$18,$H$3:$K$33,3,FALSE)&amp;VLOOKUP(V$18,$H$3:$K$33,4,FALSE),$N$3:$AF$3,0),FALSE),V54)</f>
        <v>115</v>
      </c>
      <c r="W55" s="229">
        <f>IFERROR(VLOOKUP(VLOOKUP(W$18,$H$3:$K$33,3,FALSE)&amp;VLOOKUP(W$18,$H$3:$K$33,4,FALSE)&amp;"碎片",$B$3:$C$27,2,FALSE)*VLOOKUP($N55,$N$3:$AF$15,MATCH(VLOOKUP(W$18,$H$3:$K$33,3,FALSE)&amp;VLOOKUP(W$18,$H$3:$K$33,4,FALSE),$N$3:$AF$3,0),FALSE),W54)</f>
        <v>142.6</v>
      </c>
      <c r="X55" s="229">
        <f>IFERROR(VLOOKUP(VLOOKUP(X$18,$H$3:$K$33,3,FALSE)&amp;VLOOKUP(X$18,$H$3:$K$33,4,FALSE)&amp;"碎片",$B$3:$C$27,2,FALSE)*VLOOKUP($N55,$N$3:$AF$15,MATCH(VLOOKUP(X$18,$H$3:$K$33,3,FALSE)&amp;VLOOKUP(X$18,$H$3:$K$33,4,FALSE),$N$3:$AF$3,0),FALSE),X54)</f>
        <v>170</v>
      </c>
      <c r="Y55" s="229">
        <f>IFERROR(VLOOKUP(VLOOKUP(Y$18,$H$3:$K$33,3,FALSE)&amp;VLOOKUP(Y$18,$H$3:$K$33,4,FALSE)&amp;"碎片",$B$3:$C$27,2,FALSE)*VLOOKUP($N55,$N$3:$AF$15,MATCH(VLOOKUP(Y$18,$H$3:$K$33,3,FALSE)&amp;VLOOKUP(Y$18,$H$3:$K$33,4,FALSE),$N$3:$AF$3,0),FALSE),Y54)</f>
        <v>27.6</v>
      </c>
      <c r="Z55" s="229">
        <f>IFERROR(VLOOKUP(VLOOKUP(Z$18,$H$3:$K$33,3,FALSE)&amp;VLOOKUP(Z$18,$H$3:$K$33,4,FALSE)&amp;"碎片",$B$3:$C$27,2,FALSE)*VLOOKUP($N55,$N$3:$AF$15,MATCH(VLOOKUP(Z$18,$H$3:$K$33,3,FALSE)&amp;VLOOKUP(Z$18,$H$3:$K$33,4,FALSE),$N$3:$AF$3,0),FALSE),Z54)</f>
        <v>31.200000000000003</v>
      </c>
      <c r="AA55" s="229">
        <f>IFERROR(VLOOKUP(VLOOKUP(AA$18,$H$3:$K$33,3,FALSE)&amp;VLOOKUP(AA$18,$H$3:$K$33,4,FALSE)&amp;"碎片",$B$3:$C$27,2,FALSE)*VLOOKUP($N55,$N$3:$AF$15,MATCH(VLOOKUP(AA$18,$H$3:$K$33,3,FALSE)&amp;VLOOKUP(AA$18,$H$3:$K$33,4,FALSE),$N$3:$AF$3,0),FALSE),AA54)</f>
        <v>61.199999999999996</v>
      </c>
      <c r="AB55" s="229">
        <f>IFERROR(VLOOKUP(VLOOKUP(AB$18,$H$3:$K$33,3,FALSE)&amp;VLOOKUP(AB$18,$H$3:$K$33,4,FALSE)&amp;"碎片",$B$3:$C$27,2,FALSE)*VLOOKUP($N55,$N$3:$AF$15,MATCH(VLOOKUP(AB$18,$H$3:$K$33,3,FALSE)&amp;VLOOKUP(AB$18,$H$3:$K$33,4,FALSE),$N$3:$AF$3,0),FALSE),AB54)</f>
        <v>42</v>
      </c>
      <c r="AC55" s="229">
        <f>IFERROR(VLOOKUP(VLOOKUP(AC$18,$H$3:$K$33,3,FALSE)&amp;VLOOKUP(AC$18,$H$3:$K$33,4,FALSE)&amp;"碎片",$B$3:$C$27,2,FALSE)*VLOOKUP($N55,$N$3:$AF$15,MATCH(VLOOKUP(AC$18,$H$3:$K$33,3,FALSE)&amp;VLOOKUP(AC$18,$H$3:$K$33,4,FALSE),$N$3:$AF$3,0),FALSE),AC54)</f>
        <v>60</v>
      </c>
      <c r="AD55" s="229">
        <f>IFERROR(VLOOKUP(VLOOKUP(AD$18,$H$3:$K$33,3,FALSE)&amp;VLOOKUP(AD$18,$H$3:$K$33,4,FALSE)&amp;"碎片",$B$3:$C$27,2,FALSE)*VLOOKUP($N55,$N$3:$AF$15,MATCH(VLOOKUP(AD$18,$H$3:$K$33,3,FALSE)&amp;VLOOKUP(AD$18,$H$3:$K$33,4,FALSE),$N$3:$AF$3,0),FALSE),AD54)</f>
        <v>76</v>
      </c>
      <c r="AE55" s="229">
        <f>IFERROR(VLOOKUP(VLOOKUP(AE$18,$H$3:$K$33,3,FALSE)&amp;VLOOKUP(AE$18,$H$3:$K$33,4,FALSE)&amp;"碎片",$B$3:$C$27,2,FALSE)*VLOOKUP($N55,$N$3:$AF$15,MATCH(VLOOKUP(AE$18,$H$3:$K$33,3,FALSE)&amp;VLOOKUP(AE$18,$H$3:$K$33,4,FALSE),$N$3:$AF$3,0),FALSE),AE54)</f>
        <v>92</v>
      </c>
      <c r="AF55" s="229">
        <f>IFERROR(VLOOKUP(VLOOKUP(AF$18,$H$3:$K$33,3,FALSE)&amp;VLOOKUP(AF$18,$H$3:$K$33,4,FALSE)&amp;"碎片",$B$3:$C$27,2,FALSE)*VLOOKUP($N55,$N$3:$AF$15,MATCH(VLOOKUP(AF$18,$H$3:$K$33,3,FALSE)&amp;VLOOKUP(AF$18,$H$3:$K$33,4,FALSE),$N$3:$AF$3,0),FALSE),AF54)</f>
        <v>115</v>
      </c>
      <c r="AG55" s="229">
        <f>IFERROR(VLOOKUP(VLOOKUP(AG$18,$H$3:$K$33,3,FALSE)&amp;VLOOKUP(AG$18,$H$3:$K$33,4,FALSE)&amp;"碎片",$B$3:$C$27,2,FALSE)*VLOOKUP($N55,$N$3:$AF$15,MATCH(VLOOKUP(AG$18,$H$3:$K$33,3,FALSE)&amp;VLOOKUP(AG$18,$H$3:$K$33,4,FALSE),$N$3:$AF$3,0),FALSE),AG54)</f>
        <v>142.6</v>
      </c>
      <c r="AH55" s="229">
        <f>IFERROR(VLOOKUP(VLOOKUP(AH$18,$H$3:$K$33,3,FALSE)&amp;VLOOKUP(AH$18,$H$3:$K$33,4,FALSE)&amp;"碎片",$B$3:$C$27,2,FALSE)*VLOOKUP($N55,$N$3:$AF$15,MATCH(VLOOKUP(AH$18,$H$3:$K$33,3,FALSE)&amp;VLOOKUP(AH$18,$H$3:$K$33,4,FALSE),$N$3:$AF$3,0),FALSE),AH54)</f>
        <v>170</v>
      </c>
      <c r="AI55" s="229">
        <f>IFERROR(VLOOKUP(VLOOKUP(AI$18,$H$3:$K$33,3,FALSE)&amp;VLOOKUP(AI$18,$H$3:$K$33,4,FALSE)&amp;"碎片",$B$3:$C$27,2,FALSE)*VLOOKUP($N55,$N$3:$AF$15,MATCH(VLOOKUP(AI$18,$H$3:$K$33,3,FALSE)&amp;VLOOKUP(AI$18,$H$3:$K$33,4,FALSE),$N$3:$AF$3,0),FALSE),AI54)</f>
        <v>27.6</v>
      </c>
      <c r="AJ55" s="229">
        <f>IFERROR(VLOOKUP(VLOOKUP(AJ$18,$H$3:$K$33,3,FALSE)&amp;VLOOKUP(AJ$18,$H$3:$K$33,4,FALSE)&amp;"碎片",$B$3:$C$27,2,FALSE)*VLOOKUP($N55,$N$3:$AF$15,MATCH(VLOOKUP(AJ$18,$H$3:$K$33,3,FALSE)&amp;VLOOKUP(AJ$18,$H$3:$K$33,4,FALSE),$N$3:$AF$3,0),FALSE),AJ54)</f>
        <v>31.200000000000003</v>
      </c>
      <c r="AK55" s="229">
        <f>IFERROR(VLOOKUP(VLOOKUP(AK$18,$H$3:$K$33,3,FALSE)&amp;VLOOKUP(AK$18,$H$3:$K$33,4,FALSE)&amp;"碎片",$B$3:$C$27,2,FALSE)*VLOOKUP($N55,$N$3:$AF$15,MATCH(VLOOKUP(AK$18,$H$3:$K$33,3,FALSE)&amp;VLOOKUP(AK$18,$H$3:$K$33,4,FALSE),$N$3:$AF$3,0),FALSE),AK54)</f>
        <v>61.199999999999996</v>
      </c>
      <c r="AL55" s="229">
        <f>IFERROR(VLOOKUP(VLOOKUP(AL$18,$H$3:$K$33,3,FALSE)&amp;VLOOKUP(AL$18,$H$3:$K$33,4,FALSE)&amp;"碎片",$B$3:$C$27,2,FALSE)*VLOOKUP($N55,$N$3:$AF$15,MATCH(VLOOKUP(AL$18,$H$3:$K$33,3,FALSE)&amp;VLOOKUP(AL$18,$H$3:$K$33,4,FALSE),$N$3:$AF$3,0),FALSE),AL54)</f>
        <v>42</v>
      </c>
      <c r="AM55" s="229">
        <f>IFERROR(VLOOKUP(VLOOKUP(AM$18,$H$3:$K$33,3,FALSE)&amp;VLOOKUP(AM$18,$H$3:$K$33,4,FALSE)&amp;"碎片",$B$3:$C$27,2,FALSE)*VLOOKUP($N55,$N$3:$AF$15,MATCH(VLOOKUP(AM$18,$H$3:$K$33,3,FALSE)&amp;VLOOKUP(AM$18,$H$3:$K$33,4,FALSE),$N$3:$AF$3,0),FALSE),AM54)</f>
        <v>60</v>
      </c>
      <c r="AN55" s="229">
        <f>IFERROR(VLOOKUP(VLOOKUP(AN$18,$H$3:$K$33,3,FALSE)&amp;VLOOKUP(AN$18,$H$3:$K$33,4,FALSE)&amp;"碎片",$B$3:$C$27,2,FALSE)*VLOOKUP($N55,$N$3:$AF$15,MATCH(VLOOKUP(AN$18,$H$3:$K$33,3,FALSE)&amp;VLOOKUP(AN$18,$H$3:$K$33,4,FALSE),$N$3:$AF$3,0),FALSE),AN54)</f>
        <v>76</v>
      </c>
      <c r="AO55" s="229">
        <f>IFERROR(VLOOKUP(VLOOKUP(AO$18,$H$3:$K$33,3,FALSE)&amp;VLOOKUP(AO$18,$H$3:$K$33,4,FALSE)&amp;"碎片",$B$3:$C$27,2,FALSE)*VLOOKUP($N55,$N$3:$AF$15,MATCH(VLOOKUP(AO$18,$H$3:$K$33,3,FALSE)&amp;VLOOKUP(AO$18,$H$3:$K$33,4,FALSE),$N$3:$AF$3,0),FALSE),AO54)</f>
        <v>92</v>
      </c>
      <c r="AP55" s="229">
        <f>IFERROR(VLOOKUP(VLOOKUP(AP$18,$H$3:$K$33,3,FALSE)&amp;VLOOKUP(AP$18,$H$3:$K$33,4,FALSE)&amp;"碎片",$B$3:$C$27,2,FALSE)*VLOOKUP($N55,$N$3:$AF$15,MATCH(VLOOKUP(AP$18,$H$3:$K$33,3,FALSE)&amp;VLOOKUP(AP$18,$H$3:$K$33,4,FALSE),$N$3:$AF$3,0),FALSE),AP54)</f>
        <v>115</v>
      </c>
      <c r="AQ55" s="229">
        <f>IFERROR(VLOOKUP(VLOOKUP(AQ$18,$H$3:$K$33,3,FALSE)&amp;VLOOKUP(AQ$18,$H$3:$K$33,4,FALSE)&amp;"碎片",$B$3:$C$27,2,FALSE)*VLOOKUP($N55,$N$3:$AF$15,MATCH(VLOOKUP(AQ$18,$H$3:$K$33,3,FALSE)&amp;VLOOKUP(AQ$18,$H$3:$K$33,4,FALSE),$N$3:$AF$3,0),FALSE),AQ54)</f>
        <v>142.6</v>
      </c>
      <c r="AR55" s="229">
        <f>IFERROR(VLOOKUP(VLOOKUP(AR$18,$H$3:$K$33,3,FALSE)&amp;VLOOKUP(AR$18,$H$3:$K$33,4,FALSE)&amp;"碎片",$B$3:$C$27,2,FALSE)*VLOOKUP($N55,$N$3:$AF$15,MATCH(VLOOKUP(AR$18,$H$3:$K$33,3,FALSE)&amp;VLOOKUP(AR$18,$H$3:$K$33,4,FALSE),$N$3:$AF$3,0),FALSE),AR54)</f>
        <v>170</v>
      </c>
    </row>
    <row r="56" spans="2:44" x14ac:dyDescent="0.35">
      <c r="B56" s="588" t="s">
        <v>2689</v>
      </c>
      <c r="C56" s="588" t="s">
        <v>2690</v>
      </c>
      <c r="D56" s="588" t="s">
        <v>2688</v>
      </c>
      <c r="E56" s="588" t="s">
        <v>2691</v>
      </c>
      <c r="F56" s="588" t="s">
        <v>2692</v>
      </c>
      <c r="G56" s="631"/>
      <c r="N56" s="219">
        <v>11</v>
      </c>
      <c r="O56" s="229">
        <f>IFERROR(VLOOKUP(VLOOKUP(O$18,$H$3:$K$33,3,FALSE)&amp;VLOOKUP(O$18,$H$3:$K$33,4,FALSE)&amp;"碎片",$B$3:$C$27,2,FALSE)*VLOOKUP($N56,$N$3:$AF$15,MATCH(VLOOKUP(O$18,$H$3:$K$33,3,FALSE)&amp;VLOOKUP(O$18,$H$3:$K$33,4,FALSE),$N$3:$AF$3,0),FALSE),O55)</f>
        <v>24.00000000000006</v>
      </c>
      <c r="P56" s="229">
        <f>IFERROR(VLOOKUP(VLOOKUP(P$18,$H$3:$K$33,3,FALSE)&amp;VLOOKUP(P$18,$H$3:$K$33,4,FALSE)&amp;"碎片",$B$3:$C$27,2,FALSE)*VLOOKUP($N56,$N$3:$AF$15,MATCH(VLOOKUP(P$18,$H$3:$K$33,3,FALSE)&amp;VLOOKUP(P$18,$H$3:$K$33,4,FALSE),$N$3:$AF$3,0),FALSE),P55)</f>
        <v>27.6</v>
      </c>
      <c r="Q56" s="229">
        <f>IFERROR(VLOOKUP(VLOOKUP(Q$18,$H$3:$K$33,3,FALSE)&amp;VLOOKUP(Q$18,$H$3:$K$33,4,FALSE)&amp;"碎片",$B$3:$C$27,2,FALSE)*VLOOKUP($N56,$N$3:$AF$15,MATCH(VLOOKUP(Q$18,$H$3:$K$33,3,FALSE)&amp;VLOOKUP(Q$18,$H$3:$K$33,4,FALSE),$N$3:$AF$3,0),FALSE),Q55)</f>
        <v>57.80000000000009</v>
      </c>
      <c r="R56" s="229">
        <f>IFERROR(VLOOKUP(VLOOKUP(R$18,$H$3:$K$33,3,FALSE)&amp;VLOOKUP(R$18,$H$3:$K$33,4,FALSE)&amp;"碎片",$B$3:$C$27,2,FALSE)*VLOOKUP($N56,$N$3:$AF$15,MATCH(VLOOKUP(R$18,$H$3:$K$33,3,FALSE)&amp;VLOOKUP(R$18,$H$3:$K$33,4,FALSE),$N$3:$AF$3,0),FALSE),R55)</f>
        <v>38.4</v>
      </c>
      <c r="S56" s="229">
        <f>IFERROR(VLOOKUP(VLOOKUP(S$18,$H$3:$K$33,3,FALSE)&amp;VLOOKUP(S$18,$H$3:$K$33,4,FALSE)&amp;"碎片",$B$3:$C$27,2,FALSE)*VLOOKUP($N56,$N$3:$AF$15,MATCH(VLOOKUP(S$18,$H$3:$K$33,3,FALSE)&amp;VLOOKUP(S$18,$H$3:$K$33,4,FALSE),$N$3:$AF$3,0),FALSE),S55)</f>
        <v>57</v>
      </c>
      <c r="T56" s="229">
        <f>IFERROR(VLOOKUP(VLOOKUP(T$18,$H$3:$K$33,3,FALSE)&amp;VLOOKUP(T$18,$H$3:$K$33,4,FALSE)&amp;"碎片",$B$3:$C$27,2,FALSE)*VLOOKUP($N56,$N$3:$AF$15,MATCH(VLOOKUP(T$18,$H$3:$K$33,3,FALSE)&amp;VLOOKUP(T$18,$H$3:$K$33,4,FALSE),$N$3:$AF$3,0),FALSE),T55)</f>
        <v>72.2</v>
      </c>
      <c r="U56" s="229">
        <f>IFERROR(VLOOKUP(VLOOKUP(U$18,$H$3:$K$33,3,FALSE)&amp;VLOOKUP(U$18,$H$3:$K$33,4,FALSE)&amp;"碎片",$B$3:$C$27,2,FALSE)*VLOOKUP($N56,$N$3:$AF$15,MATCH(VLOOKUP(U$18,$H$3:$K$33,3,FALSE)&amp;VLOOKUP(U$18,$H$3:$K$33,4,FALSE),$N$3:$AF$3,0),FALSE),U55)</f>
        <v>88</v>
      </c>
      <c r="V56" s="229">
        <f>IFERROR(VLOOKUP(VLOOKUP(V$18,$H$3:$K$33,3,FALSE)&amp;VLOOKUP(V$18,$H$3:$K$33,4,FALSE)&amp;"碎片",$B$3:$C$27,2,FALSE)*VLOOKUP($N56,$N$3:$AF$15,MATCH(VLOOKUP(V$18,$H$3:$K$33,3,FALSE)&amp;VLOOKUP(V$18,$H$3:$K$33,4,FALSE),$N$3:$AF$3,0),FALSE),V55)</f>
        <v>110</v>
      </c>
      <c r="W56" s="229">
        <f>IFERROR(VLOOKUP(VLOOKUP(W$18,$H$3:$K$33,3,FALSE)&amp;VLOOKUP(W$18,$H$3:$K$33,4,FALSE)&amp;"碎片",$B$3:$C$27,2,FALSE)*VLOOKUP($N56,$N$3:$AF$15,MATCH(VLOOKUP(W$18,$H$3:$K$33,3,FALSE)&amp;VLOOKUP(W$18,$H$3:$K$33,4,FALSE),$N$3:$AF$3,0),FALSE),W55)</f>
        <v>136.4</v>
      </c>
      <c r="X56" s="229">
        <f>IFERROR(VLOOKUP(VLOOKUP(X$18,$H$3:$K$33,3,FALSE)&amp;VLOOKUP(X$18,$H$3:$K$33,4,FALSE)&amp;"碎片",$B$3:$C$27,2,FALSE)*VLOOKUP($N56,$N$3:$AF$15,MATCH(VLOOKUP(X$18,$H$3:$K$33,3,FALSE)&amp;VLOOKUP(X$18,$H$3:$K$33,4,FALSE),$N$3:$AF$3,0),FALSE),X55)</f>
        <v>166.6</v>
      </c>
      <c r="Y56" s="229">
        <f>IFERROR(VLOOKUP(VLOOKUP(Y$18,$H$3:$K$33,3,FALSE)&amp;VLOOKUP(Y$18,$H$3:$K$33,4,FALSE)&amp;"碎片",$B$3:$C$27,2,FALSE)*VLOOKUP($N56,$N$3:$AF$15,MATCH(VLOOKUP(Y$18,$H$3:$K$33,3,FALSE)&amp;VLOOKUP(Y$18,$H$3:$K$33,4,FALSE),$N$3:$AF$3,0),FALSE),Y55)</f>
        <v>24.00000000000006</v>
      </c>
      <c r="Z56" s="229">
        <f>IFERROR(VLOOKUP(VLOOKUP(Z$18,$H$3:$K$33,3,FALSE)&amp;VLOOKUP(Z$18,$H$3:$K$33,4,FALSE)&amp;"碎片",$B$3:$C$27,2,FALSE)*VLOOKUP($N56,$N$3:$AF$15,MATCH(VLOOKUP(Z$18,$H$3:$K$33,3,FALSE)&amp;VLOOKUP(Z$18,$H$3:$K$33,4,FALSE),$N$3:$AF$3,0),FALSE),Z55)</f>
        <v>27.6</v>
      </c>
      <c r="AA56" s="229">
        <f>IFERROR(VLOOKUP(VLOOKUP(AA$18,$H$3:$K$33,3,FALSE)&amp;VLOOKUP(AA$18,$H$3:$K$33,4,FALSE)&amp;"碎片",$B$3:$C$27,2,FALSE)*VLOOKUP($N56,$N$3:$AF$15,MATCH(VLOOKUP(AA$18,$H$3:$K$33,3,FALSE)&amp;VLOOKUP(AA$18,$H$3:$K$33,4,FALSE),$N$3:$AF$3,0),FALSE),AA55)</f>
        <v>57.80000000000009</v>
      </c>
      <c r="AB56" s="229">
        <f>IFERROR(VLOOKUP(VLOOKUP(AB$18,$H$3:$K$33,3,FALSE)&amp;VLOOKUP(AB$18,$H$3:$K$33,4,FALSE)&amp;"碎片",$B$3:$C$27,2,FALSE)*VLOOKUP($N56,$N$3:$AF$15,MATCH(VLOOKUP(AB$18,$H$3:$K$33,3,FALSE)&amp;VLOOKUP(AB$18,$H$3:$K$33,4,FALSE),$N$3:$AF$3,0),FALSE),AB55)</f>
        <v>38.4</v>
      </c>
      <c r="AC56" s="229">
        <f>IFERROR(VLOOKUP(VLOOKUP(AC$18,$H$3:$K$33,3,FALSE)&amp;VLOOKUP(AC$18,$H$3:$K$33,4,FALSE)&amp;"碎片",$B$3:$C$27,2,FALSE)*VLOOKUP($N56,$N$3:$AF$15,MATCH(VLOOKUP(AC$18,$H$3:$K$33,3,FALSE)&amp;VLOOKUP(AC$18,$H$3:$K$33,4,FALSE),$N$3:$AF$3,0),FALSE),AC55)</f>
        <v>57</v>
      </c>
      <c r="AD56" s="229">
        <f>IFERROR(VLOOKUP(VLOOKUP(AD$18,$H$3:$K$33,3,FALSE)&amp;VLOOKUP(AD$18,$H$3:$K$33,4,FALSE)&amp;"碎片",$B$3:$C$27,2,FALSE)*VLOOKUP($N56,$N$3:$AF$15,MATCH(VLOOKUP(AD$18,$H$3:$K$33,3,FALSE)&amp;VLOOKUP(AD$18,$H$3:$K$33,4,FALSE),$N$3:$AF$3,0),FALSE),AD55)</f>
        <v>72.2</v>
      </c>
      <c r="AE56" s="229">
        <f>IFERROR(VLOOKUP(VLOOKUP(AE$18,$H$3:$K$33,3,FALSE)&amp;VLOOKUP(AE$18,$H$3:$K$33,4,FALSE)&amp;"碎片",$B$3:$C$27,2,FALSE)*VLOOKUP($N56,$N$3:$AF$15,MATCH(VLOOKUP(AE$18,$H$3:$K$33,3,FALSE)&amp;VLOOKUP(AE$18,$H$3:$K$33,4,FALSE),$N$3:$AF$3,0),FALSE),AE55)</f>
        <v>88</v>
      </c>
      <c r="AF56" s="229">
        <f>IFERROR(VLOOKUP(VLOOKUP(AF$18,$H$3:$K$33,3,FALSE)&amp;VLOOKUP(AF$18,$H$3:$K$33,4,FALSE)&amp;"碎片",$B$3:$C$27,2,FALSE)*VLOOKUP($N56,$N$3:$AF$15,MATCH(VLOOKUP(AF$18,$H$3:$K$33,3,FALSE)&amp;VLOOKUP(AF$18,$H$3:$K$33,4,FALSE),$N$3:$AF$3,0),FALSE),AF55)</f>
        <v>110</v>
      </c>
      <c r="AG56" s="229">
        <f>IFERROR(VLOOKUP(VLOOKUP(AG$18,$H$3:$K$33,3,FALSE)&amp;VLOOKUP(AG$18,$H$3:$K$33,4,FALSE)&amp;"碎片",$B$3:$C$27,2,FALSE)*VLOOKUP($N56,$N$3:$AF$15,MATCH(VLOOKUP(AG$18,$H$3:$K$33,3,FALSE)&amp;VLOOKUP(AG$18,$H$3:$K$33,4,FALSE),$N$3:$AF$3,0),FALSE),AG55)</f>
        <v>136.4</v>
      </c>
      <c r="AH56" s="229">
        <f>IFERROR(VLOOKUP(VLOOKUP(AH$18,$H$3:$K$33,3,FALSE)&amp;VLOOKUP(AH$18,$H$3:$K$33,4,FALSE)&amp;"碎片",$B$3:$C$27,2,FALSE)*VLOOKUP($N56,$N$3:$AF$15,MATCH(VLOOKUP(AH$18,$H$3:$K$33,3,FALSE)&amp;VLOOKUP(AH$18,$H$3:$K$33,4,FALSE),$N$3:$AF$3,0),FALSE),AH55)</f>
        <v>166.6</v>
      </c>
      <c r="AI56" s="229">
        <f>IFERROR(VLOOKUP(VLOOKUP(AI$18,$H$3:$K$33,3,FALSE)&amp;VLOOKUP(AI$18,$H$3:$K$33,4,FALSE)&amp;"碎片",$B$3:$C$27,2,FALSE)*VLOOKUP($N56,$N$3:$AF$15,MATCH(VLOOKUP(AI$18,$H$3:$K$33,3,FALSE)&amp;VLOOKUP(AI$18,$H$3:$K$33,4,FALSE),$N$3:$AF$3,0),FALSE),AI55)</f>
        <v>24.00000000000006</v>
      </c>
      <c r="AJ56" s="229">
        <f>IFERROR(VLOOKUP(VLOOKUP(AJ$18,$H$3:$K$33,3,FALSE)&amp;VLOOKUP(AJ$18,$H$3:$K$33,4,FALSE)&amp;"碎片",$B$3:$C$27,2,FALSE)*VLOOKUP($N56,$N$3:$AF$15,MATCH(VLOOKUP(AJ$18,$H$3:$K$33,3,FALSE)&amp;VLOOKUP(AJ$18,$H$3:$K$33,4,FALSE),$N$3:$AF$3,0),FALSE),AJ55)</f>
        <v>27.6</v>
      </c>
      <c r="AK56" s="229">
        <f>IFERROR(VLOOKUP(VLOOKUP(AK$18,$H$3:$K$33,3,FALSE)&amp;VLOOKUP(AK$18,$H$3:$K$33,4,FALSE)&amp;"碎片",$B$3:$C$27,2,FALSE)*VLOOKUP($N56,$N$3:$AF$15,MATCH(VLOOKUP(AK$18,$H$3:$K$33,3,FALSE)&amp;VLOOKUP(AK$18,$H$3:$K$33,4,FALSE),$N$3:$AF$3,0),FALSE),AK55)</f>
        <v>57.80000000000009</v>
      </c>
      <c r="AL56" s="229">
        <f>IFERROR(VLOOKUP(VLOOKUP(AL$18,$H$3:$K$33,3,FALSE)&amp;VLOOKUP(AL$18,$H$3:$K$33,4,FALSE)&amp;"碎片",$B$3:$C$27,2,FALSE)*VLOOKUP($N56,$N$3:$AF$15,MATCH(VLOOKUP(AL$18,$H$3:$K$33,3,FALSE)&amp;VLOOKUP(AL$18,$H$3:$K$33,4,FALSE),$N$3:$AF$3,0),FALSE),AL55)</f>
        <v>38.4</v>
      </c>
      <c r="AM56" s="229">
        <f>IFERROR(VLOOKUP(VLOOKUP(AM$18,$H$3:$K$33,3,FALSE)&amp;VLOOKUP(AM$18,$H$3:$K$33,4,FALSE)&amp;"碎片",$B$3:$C$27,2,FALSE)*VLOOKUP($N56,$N$3:$AF$15,MATCH(VLOOKUP(AM$18,$H$3:$K$33,3,FALSE)&amp;VLOOKUP(AM$18,$H$3:$K$33,4,FALSE),$N$3:$AF$3,0),FALSE),AM55)</f>
        <v>57</v>
      </c>
      <c r="AN56" s="229">
        <f>IFERROR(VLOOKUP(VLOOKUP(AN$18,$H$3:$K$33,3,FALSE)&amp;VLOOKUP(AN$18,$H$3:$K$33,4,FALSE)&amp;"碎片",$B$3:$C$27,2,FALSE)*VLOOKUP($N56,$N$3:$AF$15,MATCH(VLOOKUP(AN$18,$H$3:$K$33,3,FALSE)&amp;VLOOKUP(AN$18,$H$3:$K$33,4,FALSE),$N$3:$AF$3,0),FALSE),AN55)</f>
        <v>72.2</v>
      </c>
      <c r="AO56" s="229">
        <f>IFERROR(VLOOKUP(VLOOKUP(AO$18,$H$3:$K$33,3,FALSE)&amp;VLOOKUP(AO$18,$H$3:$K$33,4,FALSE)&amp;"碎片",$B$3:$C$27,2,FALSE)*VLOOKUP($N56,$N$3:$AF$15,MATCH(VLOOKUP(AO$18,$H$3:$K$33,3,FALSE)&amp;VLOOKUP(AO$18,$H$3:$K$33,4,FALSE),$N$3:$AF$3,0),FALSE),AO55)</f>
        <v>88</v>
      </c>
      <c r="AP56" s="229">
        <f>IFERROR(VLOOKUP(VLOOKUP(AP$18,$H$3:$K$33,3,FALSE)&amp;VLOOKUP(AP$18,$H$3:$K$33,4,FALSE)&amp;"碎片",$B$3:$C$27,2,FALSE)*VLOOKUP($N56,$N$3:$AF$15,MATCH(VLOOKUP(AP$18,$H$3:$K$33,3,FALSE)&amp;VLOOKUP(AP$18,$H$3:$K$33,4,FALSE),$N$3:$AF$3,0),FALSE),AP55)</f>
        <v>110</v>
      </c>
      <c r="AQ56" s="229">
        <f>IFERROR(VLOOKUP(VLOOKUP(AQ$18,$H$3:$K$33,3,FALSE)&amp;VLOOKUP(AQ$18,$H$3:$K$33,4,FALSE)&amp;"碎片",$B$3:$C$27,2,FALSE)*VLOOKUP($N56,$N$3:$AF$15,MATCH(VLOOKUP(AQ$18,$H$3:$K$33,3,FALSE)&amp;VLOOKUP(AQ$18,$H$3:$K$33,4,FALSE),$N$3:$AF$3,0),FALSE),AQ55)</f>
        <v>136.4</v>
      </c>
      <c r="AR56" s="229">
        <f>IFERROR(VLOOKUP(VLOOKUP(AR$18,$H$3:$K$33,3,FALSE)&amp;VLOOKUP(AR$18,$H$3:$K$33,4,FALSE)&amp;"碎片",$B$3:$C$27,2,FALSE)*VLOOKUP($N56,$N$3:$AF$15,MATCH(VLOOKUP(AR$18,$H$3:$K$33,3,FALSE)&amp;VLOOKUP(AR$18,$H$3:$K$33,4,FALSE),$N$3:$AF$3,0),FALSE),AR55)</f>
        <v>166.6</v>
      </c>
    </row>
    <row r="57" spans="2:44" x14ac:dyDescent="0.35">
      <c r="B57" s="583">
        <v>0.5</v>
      </c>
      <c r="C57" s="583">
        <f>B57*基础经济系数!$C$9</f>
        <v>100</v>
      </c>
      <c r="D57" s="583">
        <f>C57*$T$73</f>
        <v>75</v>
      </c>
      <c r="E57" s="8">
        <v>1.2</v>
      </c>
      <c r="F57" s="583">
        <f>ROUND(E57*D57/5,0)*5</f>
        <v>90</v>
      </c>
      <c r="G57" s="631"/>
      <c r="N57" s="219">
        <v>12</v>
      </c>
      <c r="O57" s="229">
        <f>IFERROR(VLOOKUP(VLOOKUP(O$18,$H$3:$K$33,3,FALSE)&amp;VLOOKUP(O$18,$H$3:$K$33,4,FALSE)&amp;"碎片",$B$3:$C$27,2,FALSE)*VLOOKUP($N57,$N$3:$AF$15,MATCH(VLOOKUP(O$18,$H$3:$K$33,3,FALSE)&amp;VLOOKUP(O$18,$H$3:$K$33,4,FALSE),$N$3:$AF$3,0),FALSE),O56)</f>
        <v>20.400000000000063</v>
      </c>
      <c r="P57" s="229">
        <f>IFERROR(VLOOKUP(VLOOKUP(P$18,$H$3:$K$33,3,FALSE)&amp;VLOOKUP(P$18,$H$3:$K$33,4,FALSE)&amp;"碎片",$B$3:$C$27,2,FALSE)*VLOOKUP($N57,$N$3:$AF$15,MATCH(VLOOKUP(P$18,$H$3:$K$33,3,FALSE)&amp;VLOOKUP(P$18,$H$3:$K$33,4,FALSE),$N$3:$AF$3,0),FALSE),P56)</f>
        <v>24.00000000000006</v>
      </c>
      <c r="Q57" s="229">
        <f>IFERROR(VLOOKUP(VLOOKUP(Q$18,$H$3:$K$33,3,FALSE)&amp;VLOOKUP(Q$18,$H$3:$K$33,4,FALSE)&amp;"碎片",$B$3:$C$27,2,FALSE)*VLOOKUP($N57,$N$3:$AF$15,MATCH(VLOOKUP(Q$18,$H$3:$K$33,3,FALSE)&amp;VLOOKUP(Q$18,$H$3:$K$33,4,FALSE),$N$3:$AF$3,0),FALSE),Q56)</f>
        <v>54.400000000000084</v>
      </c>
      <c r="R57" s="229">
        <f>IFERROR(VLOOKUP(VLOOKUP(R$18,$H$3:$K$33,3,FALSE)&amp;VLOOKUP(R$18,$H$3:$K$33,4,FALSE)&amp;"碎片",$B$3:$C$27,2,FALSE)*VLOOKUP($N57,$N$3:$AF$15,MATCH(VLOOKUP(R$18,$H$3:$K$33,3,FALSE)&amp;VLOOKUP(R$18,$H$3:$K$33,4,FALSE),$N$3:$AF$3,0),FALSE),R56)</f>
        <v>34.799999999999997</v>
      </c>
      <c r="S57" s="229">
        <f>IFERROR(VLOOKUP(VLOOKUP(S$18,$H$3:$K$33,3,FALSE)&amp;VLOOKUP(S$18,$H$3:$K$33,4,FALSE)&amp;"碎片",$B$3:$C$27,2,FALSE)*VLOOKUP($N57,$N$3:$AF$15,MATCH(VLOOKUP(S$18,$H$3:$K$33,3,FALSE)&amp;VLOOKUP(S$18,$H$3:$K$33,4,FALSE),$N$3:$AF$3,0),FALSE),S56)</f>
        <v>54</v>
      </c>
      <c r="T57" s="229">
        <f>IFERROR(VLOOKUP(VLOOKUP(T$18,$H$3:$K$33,3,FALSE)&amp;VLOOKUP(T$18,$H$3:$K$33,4,FALSE)&amp;"碎片",$B$3:$C$27,2,FALSE)*VLOOKUP($N57,$N$3:$AF$15,MATCH(VLOOKUP(T$18,$H$3:$K$33,3,FALSE)&amp;VLOOKUP(T$18,$H$3:$K$33,4,FALSE),$N$3:$AF$3,0),FALSE),T56)</f>
        <v>68.399999999999991</v>
      </c>
      <c r="U57" s="229">
        <f>IFERROR(VLOOKUP(VLOOKUP(U$18,$H$3:$K$33,3,FALSE)&amp;VLOOKUP(U$18,$H$3:$K$33,4,FALSE)&amp;"碎片",$B$3:$C$27,2,FALSE)*VLOOKUP($N57,$N$3:$AF$15,MATCH(VLOOKUP(U$18,$H$3:$K$33,3,FALSE)&amp;VLOOKUP(U$18,$H$3:$K$33,4,FALSE),$N$3:$AF$3,0),FALSE),U56)</f>
        <v>84</v>
      </c>
      <c r="V57" s="229">
        <f>IFERROR(VLOOKUP(VLOOKUP(V$18,$H$3:$K$33,3,FALSE)&amp;VLOOKUP(V$18,$H$3:$K$33,4,FALSE)&amp;"碎片",$B$3:$C$27,2,FALSE)*VLOOKUP($N57,$N$3:$AF$15,MATCH(VLOOKUP(V$18,$H$3:$K$33,3,FALSE)&amp;VLOOKUP(V$18,$H$3:$K$33,4,FALSE),$N$3:$AF$3,0),FALSE),V56)</f>
        <v>105</v>
      </c>
      <c r="W57" s="229">
        <f>IFERROR(VLOOKUP(VLOOKUP(W$18,$H$3:$K$33,3,FALSE)&amp;VLOOKUP(W$18,$H$3:$K$33,4,FALSE)&amp;"碎片",$B$3:$C$27,2,FALSE)*VLOOKUP($N57,$N$3:$AF$15,MATCH(VLOOKUP(W$18,$H$3:$K$33,3,FALSE)&amp;VLOOKUP(W$18,$H$3:$K$33,4,FALSE),$N$3:$AF$3,0),FALSE),W56)</f>
        <v>130.19999999999999</v>
      </c>
      <c r="X57" s="229">
        <f>IFERROR(VLOOKUP(VLOOKUP(X$18,$H$3:$K$33,3,FALSE)&amp;VLOOKUP(X$18,$H$3:$K$33,4,FALSE)&amp;"碎片",$B$3:$C$27,2,FALSE)*VLOOKUP($N57,$N$3:$AF$15,MATCH(VLOOKUP(X$18,$H$3:$K$33,3,FALSE)&amp;VLOOKUP(X$18,$H$3:$K$33,4,FALSE),$N$3:$AF$3,0),FALSE),X56)</f>
        <v>163.19999999999999</v>
      </c>
      <c r="Y57" s="229">
        <f>IFERROR(VLOOKUP(VLOOKUP(Y$18,$H$3:$K$33,3,FALSE)&amp;VLOOKUP(Y$18,$H$3:$K$33,4,FALSE)&amp;"碎片",$B$3:$C$27,2,FALSE)*VLOOKUP($N57,$N$3:$AF$15,MATCH(VLOOKUP(Y$18,$H$3:$K$33,3,FALSE)&amp;VLOOKUP(Y$18,$H$3:$K$33,4,FALSE),$N$3:$AF$3,0),FALSE),Y56)</f>
        <v>20.400000000000063</v>
      </c>
      <c r="Z57" s="229">
        <f>IFERROR(VLOOKUP(VLOOKUP(Z$18,$H$3:$K$33,3,FALSE)&amp;VLOOKUP(Z$18,$H$3:$K$33,4,FALSE)&amp;"碎片",$B$3:$C$27,2,FALSE)*VLOOKUP($N57,$N$3:$AF$15,MATCH(VLOOKUP(Z$18,$H$3:$K$33,3,FALSE)&amp;VLOOKUP(Z$18,$H$3:$K$33,4,FALSE),$N$3:$AF$3,0),FALSE),Z56)</f>
        <v>24.00000000000006</v>
      </c>
      <c r="AA57" s="229">
        <f>IFERROR(VLOOKUP(VLOOKUP(AA$18,$H$3:$K$33,3,FALSE)&amp;VLOOKUP(AA$18,$H$3:$K$33,4,FALSE)&amp;"碎片",$B$3:$C$27,2,FALSE)*VLOOKUP($N57,$N$3:$AF$15,MATCH(VLOOKUP(AA$18,$H$3:$K$33,3,FALSE)&amp;VLOOKUP(AA$18,$H$3:$K$33,4,FALSE),$N$3:$AF$3,0),FALSE),AA56)</f>
        <v>54.400000000000084</v>
      </c>
      <c r="AB57" s="229">
        <f>IFERROR(VLOOKUP(VLOOKUP(AB$18,$H$3:$K$33,3,FALSE)&amp;VLOOKUP(AB$18,$H$3:$K$33,4,FALSE)&amp;"碎片",$B$3:$C$27,2,FALSE)*VLOOKUP($N57,$N$3:$AF$15,MATCH(VLOOKUP(AB$18,$H$3:$K$33,3,FALSE)&amp;VLOOKUP(AB$18,$H$3:$K$33,4,FALSE),$N$3:$AF$3,0),FALSE),AB56)</f>
        <v>34.799999999999997</v>
      </c>
      <c r="AC57" s="229">
        <f>IFERROR(VLOOKUP(VLOOKUP(AC$18,$H$3:$K$33,3,FALSE)&amp;VLOOKUP(AC$18,$H$3:$K$33,4,FALSE)&amp;"碎片",$B$3:$C$27,2,FALSE)*VLOOKUP($N57,$N$3:$AF$15,MATCH(VLOOKUP(AC$18,$H$3:$K$33,3,FALSE)&amp;VLOOKUP(AC$18,$H$3:$K$33,4,FALSE),$N$3:$AF$3,0),FALSE),AC56)</f>
        <v>54</v>
      </c>
      <c r="AD57" s="229">
        <f>IFERROR(VLOOKUP(VLOOKUP(AD$18,$H$3:$K$33,3,FALSE)&amp;VLOOKUP(AD$18,$H$3:$K$33,4,FALSE)&amp;"碎片",$B$3:$C$27,2,FALSE)*VLOOKUP($N57,$N$3:$AF$15,MATCH(VLOOKUP(AD$18,$H$3:$K$33,3,FALSE)&amp;VLOOKUP(AD$18,$H$3:$K$33,4,FALSE),$N$3:$AF$3,0),FALSE),AD56)</f>
        <v>68.399999999999991</v>
      </c>
      <c r="AE57" s="229">
        <f>IFERROR(VLOOKUP(VLOOKUP(AE$18,$H$3:$K$33,3,FALSE)&amp;VLOOKUP(AE$18,$H$3:$K$33,4,FALSE)&amp;"碎片",$B$3:$C$27,2,FALSE)*VLOOKUP($N57,$N$3:$AF$15,MATCH(VLOOKUP(AE$18,$H$3:$K$33,3,FALSE)&amp;VLOOKUP(AE$18,$H$3:$K$33,4,FALSE),$N$3:$AF$3,0),FALSE),AE56)</f>
        <v>84</v>
      </c>
      <c r="AF57" s="229">
        <f>IFERROR(VLOOKUP(VLOOKUP(AF$18,$H$3:$K$33,3,FALSE)&amp;VLOOKUP(AF$18,$H$3:$K$33,4,FALSE)&amp;"碎片",$B$3:$C$27,2,FALSE)*VLOOKUP($N57,$N$3:$AF$15,MATCH(VLOOKUP(AF$18,$H$3:$K$33,3,FALSE)&amp;VLOOKUP(AF$18,$H$3:$K$33,4,FALSE),$N$3:$AF$3,0),FALSE),AF56)</f>
        <v>105</v>
      </c>
      <c r="AG57" s="229">
        <f>IFERROR(VLOOKUP(VLOOKUP(AG$18,$H$3:$K$33,3,FALSE)&amp;VLOOKUP(AG$18,$H$3:$K$33,4,FALSE)&amp;"碎片",$B$3:$C$27,2,FALSE)*VLOOKUP($N57,$N$3:$AF$15,MATCH(VLOOKUP(AG$18,$H$3:$K$33,3,FALSE)&amp;VLOOKUP(AG$18,$H$3:$K$33,4,FALSE),$N$3:$AF$3,0),FALSE),AG56)</f>
        <v>130.19999999999999</v>
      </c>
      <c r="AH57" s="229">
        <f>IFERROR(VLOOKUP(VLOOKUP(AH$18,$H$3:$K$33,3,FALSE)&amp;VLOOKUP(AH$18,$H$3:$K$33,4,FALSE)&amp;"碎片",$B$3:$C$27,2,FALSE)*VLOOKUP($N57,$N$3:$AF$15,MATCH(VLOOKUP(AH$18,$H$3:$K$33,3,FALSE)&amp;VLOOKUP(AH$18,$H$3:$K$33,4,FALSE),$N$3:$AF$3,0),FALSE),AH56)</f>
        <v>163.19999999999999</v>
      </c>
      <c r="AI57" s="229">
        <f>IFERROR(VLOOKUP(VLOOKUP(AI$18,$H$3:$K$33,3,FALSE)&amp;VLOOKUP(AI$18,$H$3:$K$33,4,FALSE)&amp;"碎片",$B$3:$C$27,2,FALSE)*VLOOKUP($N57,$N$3:$AF$15,MATCH(VLOOKUP(AI$18,$H$3:$K$33,3,FALSE)&amp;VLOOKUP(AI$18,$H$3:$K$33,4,FALSE),$N$3:$AF$3,0),FALSE),AI56)</f>
        <v>20.400000000000063</v>
      </c>
      <c r="AJ57" s="229">
        <f>IFERROR(VLOOKUP(VLOOKUP(AJ$18,$H$3:$K$33,3,FALSE)&amp;VLOOKUP(AJ$18,$H$3:$K$33,4,FALSE)&amp;"碎片",$B$3:$C$27,2,FALSE)*VLOOKUP($N57,$N$3:$AF$15,MATCH(VLOOKUP(AJ$18,$H$3:$K$33,3,FALSE)&amp;VLOOKUP(AJ$18,$H$3:$K$33,4,FALSE),$N$3:$AF$3,0),FALSE),AJ56)</f>
        <v>24.00000000000006</v>
      </c>
      <c r="AK57" s="229">
        <f>IFERROR(VLOOKUP(VLOOKUP(AK$18,$H$3:$K$33,3,FALSE)&amp;VLOOKUP(AK$18,$H$3:$K$33,4,FALSE)&amp;"碎片",$B$3:$C$27,2,FALSE)*VLOOKUP($N57,$N$3:$AF$15,MATCH(VLOOKUP(AK$18,$H$3:$K$33,3,FALSE)&amp;VLOOKUP(AK$18,$H$3:$K$33,4,FALSE),$N$3:$AF$3,0),FALSE),AK56)</f>
        <v>54.400000000000084</v>
      </c>
      <c r="AL57" s="229">
        <f>IFERROR(VLOOKUP(VLOOKUP(AL$18,$H$3:$K$33,3,FALSE)&amp;VLOOKUP(AL$18,$H$3:$K$33,4,FALSE)&amp;"碎片",$B$3:$C$27,2,FALSE)*VLOOKUP($N57,$N$3:$AF$15,MATCH(VLOOKUP(AL$18,$H$3:$K$33,3,FALSE)&amp;VLOOKUP(AL$18,$H$3:$K$33,4,FALSE),$N$3:$AF$3,0),FALSE),AL56)</f>
        <v>34.799999999999997</v>
      </c>
      <c r="AM57" s="229">
        <f>IFERROR(VLOOKUP(VLOOKUP(AM$18,$H$3:$K$33,3,FALSE)&amp;VLOOKUP(AM$18,$H$3:$K$33,4,FALSE)&amp;"碎片",$B$3:$C$27,2,FALSE)*VLOOKUP($N57,$N$3:$AF$15,MATCH(VLOOKUP(AM$18,$H$3:$K$33,3,FALSE)&amp;VLOOKUP(AM$18,$H$3:$K$33,4,FALSE),$N$3:$AF$3,0),FALSE),AM56)</f>
        <v>54</v>
      </c>
      <c r="AN57" s="229">
        <f>IFERROR(VLOOKUP(VLOOKUP(AN$18,$H$3:$K$33,3,FALSE)&amp;VLOOKUP(AN$18,$H$3:$K$33,4,FALSE)&amp;"碎片",$B$3:$C$27,2,FALSE)*VLOOKUP($N57,$N$3:$AF$15,MATCH(VLOOKUP(AN$18,$H$3:$K$33,3,FALSE)&amp;VLOOKUP(AN$18,$H$3:$K$33,4,FALSE),$N$3:$AF$3,0),FALSE),AN56)</f>
        <v>68.399999999999991</v>
      </c>
      <c r="AO57" s="229">
        <f>IFERROR(VLOOKUP(VLOOKUP(AO$18,$H$3:$K$33,3,FALSE)&amp;VLOOKUP(AO$18,$H$3:$K$33,4,FALSE)&amp;"碎片",$B$3:$C$27,2,FALSE)*VLOOKUP($N57,$N$3:$AF$15,MATCH(VLOOKUP(AO$18,$H$3:$K$33,3,FALSE)&amp;VLOOKUP(AO$18,$H$3:$K$33,4,FALSE),$N$3:$AF$3,0),FALSE),AO56)</f>
        <v>84</v>
      </c>
      <c r="AP57" s="229">
        <f>IFERROR(VLOOKUP(VLOOKUP(AP$18,$H$3:$K$33,3,FALSE)&amp;VLOOKUP(AP$18,$H$3:$K$33,4,FALSE)&amp;"碎片",$B$3:$C$27,2,FALSE)*VLOOKUP($N57,$N$3:$AF$15,MATCH(VLOOKUP(AP$18,$H$3:$K$33,3,FALSE)&amp;VLOOKUP(AP$18,$H$3:$K$33,4,FALSE),$N$3:$AF$3,0),FALSE),AP56)</f>
        <v>105</v>
      </c>
      <c r="AQ57" s="229">
        <f>IFERROR(VLOOKUP(VLOOKUP(AQ$18,$H$3:$K$33,3,FALSE)&amp;VLOOKUP(AQ$18,$H$3:$K$33,4,FALSE)&amp;"碎片",$B$3:$C$27,2,FALSE)*VLOOKUP($N57,$N$3:$AF$15,MATCH(VLOOKUP(AQ$18,$H$3:$K$33,3,FALSE)&amp;VLOOKUP(AQ$18,$H$3:$K$33,4,FALSE),$N$3:$AF$3,0),FALSE),AQ56)</f>
        <v>130.19999999999999</v>
      </c>
      <c r="AR57" s="229">
        <f>IFERROR(VLOOKUP(VLOOKUP(AR$18,$H$3:$K$33,3,FALSE)&amp;VLOOKUP(AR$18,$H$3:$K$33,4,FALSE)&amp;"碎片",$B$3:$C$27,2,FALSE)*VLOOKUP($N57,$N$3:$AF$15,MATCH(VLOOKUP(AR$18,$H$3:$K$33,3,FALSE)&amp;VLOOKUP(AR$18,$H$3:$K$33,4,FALSE),$N$3:$AF$3,0),FALSE),AR56)</f>
        <v>163.19999999999999</v>
      </c>
    </row>
    <row r="58" spans="2:44" x14ac:dyDescent="0.35">
      <c r="B58" s="583">
        <v>1.5</v>
      </c>
      <c r="C58" s="583">
        <f>B58*基础经济系数!$C$9</f>
        <v>300</v>
      </c>
      <c r="D58" s="583">
        <f>C58*$T$73</f>
        <v>225</v>
      </c>
      <c r="E58" s="8">
        <v>1</v>
      </c>
      <c r="F58" s="625">
        <f>ROUND(E58*D58/5,0)*5</f>
        <v>225</v>
      </c>
      <c r="N58" s="219">
        <v>13</v>
      </c>
      <c r="O58" s="229">
        <f>IFERROR(VLOOKUP(VLOOKUP(O$18,$H$3:$K$33,3,FALSE)&amp;VLOOKUP(O$18,$H$3:$K$33,4,FALSE)&amp;"碎片",$B$3:$C$27,2,FALSE)*VLOOKUP($N58,$N$3:$AF$15,MATCH(VLOOKUP(O$18,$H$3:$K$33,3,FALSE)&amp;VLOOKUP(O$18,$H$3:$K$33,4,FALSE),$N$3:$AF$3,0),FALSE),O57)</f>
        <v>20.400000000000063</v>
      </c>
      <c r="P58" s="229">
        <f>IFERROR(VLOOKUP(VLOOKUP(P$18,$H$3:$K$33,3,FALSE)&amp;VLOOKUP(P$18,$H$3:$K$33,4,FALSE)&amp;"碎片",$B$3:$C$27,2,FALSE)*VLOOKUP($N58,$N$3:$AF$15,MATCH(VLOOKUP(P$18,$H$3:$K$33,3,FALSE)&amp;VLOOKUP(P$18,$H$3:$K$33,4,FALSE),$N$3:$AF$3,0),FALSE),P57)</f>
        <v>24.00000000000006</v>
      </c>
      <c r="Q58" s="229">
        <f>IFERROR(VLOOKUP(VLOOKUP(Q$18,$H$3:$K$33,3,FALSE)&amp;VLOOKUP(Q$18,$H$3:$K$33,4,FALSE)&amp;"碎片",$B$3:$C$27,2,FALSE)*VLOOKUP($N58,$N$3:$AF$15,MATCH(VLOOKUP(Q$18,$H$3:$K$33,3,FALSE)&amp;VLOOKUP(Q$18,$H$3:$K$33,4,FALSE),$N$3:$AF$3,0),FALSE),Q57)</f>
        <v>54.400000000000084</v>
      </c>
      <c r="R58" s="229">
        <f>IFERROR(VLOOKUP(VLOOKUP(R$18,$H$3:$K$33,3,FALSE)&amp;VLOOKUP(R$18,$H$3:$K$33,4,FALSE)&amp;"碎片",$B$3:$C$27,2,FALSE)*VLOOKUP($N58,$N$3:$AF$15,MATCH(VLOOKUP(R$18,$H$3:$K$33,3,FALSE)&amp;VLOOKUP(R$18,$H$3:$K$33,4,FALSE),$N$3:$AF$3,0),FALSE),R57)</f>
        <v>34.799999999999997</v>
      </c>
      <c r="S58" s="229">
        <f>IFERROR(VLOOKUP(VLOOKUP(S$18,$H$3:$K$33,3,FALSE)&amp;VLOOKUP(S$18,$H$3:$K$33,4,FALSE)&amp;"碎片",$B$3:$C$27,2,FALSE)*VLOOKUP($N58,$N$3:$AF$15,MATCH(VLOOKUP(S$18,$H$3:$K$33,3,FALSE)&amp;VLOOKUP(S$18,$H$3:$K$33,4,FALSE),$N$3:$AF$3,0),FALSE),S57)</f>
        <v>54</v>
      </c>
      <c r="T58" s="229">
        <f>IFERROR(VLOOKUP(VLOOKUP(T$18,$H$3:$K$33,3,FALSE)&amp;VLOOKUP(T$18,$H$3:$K$33,4,FALSE)&amp;"碎片",$B$3:$C$27,2,FALSE)*VLOOKUP($N58,$N$3:$AF$15,MATCH(VLOOKUP(T$18,$H$3:$K$33,3,FALSE)&amp;VLOOKUP(T$18,$H$3:$K$33,4,FALSE),$N$3:$AF$3,0),FALSE),T57)</f>
        <v>68.399999999999991</v>
      </c>
      <c r="U58" s="229">
        <f>IFERROR(VLOOKUP(VLOOKUP(U$18,$H$3:$K$33,3,FALSE)&amp;VLOOKUP(U$18,$H$3:$K$33,4,FALSE)&amp;"碎片",$B$3:$C$27,2,FALSE)*VLOOKUP($N58,$N$3:$AF$15,MATCH(VLOOKUP(U$18,$H$3:$K$33,3,FALSE)&amp;VLOOKUP(U$18,$H$3:$K$33,4,FALSE),$N$3:$AF$3,0),FALSE),U57)</f>
        <v>84</v>
      </c>
      <c r="V58" s="229">
        <f>IFERROR(VLOOKUP(VLOOKUP(V$18,$H$3:$K$33,3,FALSE)&amp;VLOOKUP(V$18,$H$3:$K$33,4,FALSE)&amp;"碎片",$B$3:$C$27,2,FALSE)*VLOOKUP($N58,$N$3:$AF$15,MATCH(VLOOKUP(V$18,$H$3:$K$33,3,FALSE)&amp;VLOOKUP(V$18,$H$3:$K$33,4,FALSE),$N$3:$AF$3,0),FALSE),V57)</f>
        <v>105</v>
      </c>
      <c r="W58" s="229">
        <f>IFERROR(VLOOKUP(VLOOKUP(W$18,$H$3:$K$33,3,FALSE)&amp;VLOOKUP(W$18,$H$3:$K$33,4,FALSE)&amp;"碎片",$B$3:$C$27,2,FALSE)*VLOOKUP($N58,$N$3:$AF$15,MATCH(VLOOKUP(W$18,$H$3:$K$33,3,FALSE)&amp;VLOOKUP(W$18,$H$3:$K$33,4,FALSE),$N$3:$AF$3,0),FALSE),W57)</f>
        <v>130.19999999999999</v>
      </c>
      <c r="X58" s="229">
        <f>IFERROR(VLOOKUP(VLOOKUP(X$18,$H$3:$K$33,3,FALSE)&amp;VLOOKUP(X$18,$H$3:$K$33,4,FALSE)&amp;"碎片",$B$3:$C$27,2,FALSE)*VLOOKUP($N58,$N$3:$AF$15,MATCH(VLOOKUP(X$18,$H$3:$K$33,3,FALSE)&amp;VLOOKUP(X$18,$H$3:$K$33,4,FALSE),$N$3:$AF$3,0),FALSE),X57)</f>
        <v>163.19999999999999</v>
      </c>
      <c r="Y58" s="229">
        <f>IFERROR(VLOOKUP(VLOOKUP(Y$18,$H$3:$K$33,3,FALSE)&amp;VLOOKUP(Y$18,$H$3:$K$33,4,FALSE)&amp;"碎片",$B$3:$C$27,2,FALSE)*VLOOKUP($N58,$N$3:$AF$15,MATCH(VLOOKUP(Y$18,$H$3:$K$33,3,FALSE)&amp;VLOOKUP(Y$18,$H$3:$K$33,4,FALSE),$N$3:$AF$3,0),FALSE),Y57)</f>
        <v>20.400000000000063</v>
      </c>
      <c r="Z58" s="229">
        <f>IFERROR(VLOOKUP(VLOOKUP(Z$18,$H$3:$K$33,3,FALSE)&amp;VLOOKUP(Z$18,$H$3:$K$33,4,FALSE)&amp;"碎片",$B$3:$C$27,2,FALSE)*VLOOKUP($N58,$N$3:$AF$15,MATCH(VLOOKUP(Z$18,$H$3:$K$33,3,FALSE)&amp;VLOOKUP(Z$18,$H$3:$K$33,4,FALSE),$N$3:$AF$3,0),FALSE),Z57)</f>
        <v>24.00000000000006</v>
      </c>
      <c r="AA58" s="229">
        <f>IFERROR(VLOOKUP(VLOOKUP(AA$18,$H$3:$K$33,3,FALSE)&amp;VLOOKUP(AA$18,$H$3:$K$33,4,FALSE)&amp;"碎片",$B$3:$C$27,2,FALSE)*VLOOKUP($N58,$N$3:$AF$15,MATCH(VLOOKUP(AA$18,$H$3:$K$33,3,FALSE)&amp;VLOOKUP(AA$18,$H$3:$K$33,4,FALSE),$N$3:$AF$3,0),FALSE),AA57)</f>
        <v>54.400000000000084</v>
      </c>
      <c r="AB58" s="229">
        <f>IFERROR(VLOOKUP(VLOOKUP(AB$18,$H$3:$K$33,3,FALSE)&amp;VLOOKUP(AB$18,$H$3:$K$33,4,FALSE)&amp;"碎片",$B$3:$C$27,2,FALSE)*VLOOKUP($N58,$N$3:$AF$15,MATCH(VLOOKUP(AB$18,$H$3:$K$33,3,FALSE)&amp;VLOOKUP(AB$18,$H$3:$K$33,4,FALSE),$N$3:$AF$3,0),FALSE),AB57)</f>
        <v>34.799999999999997</v>
      </c>
      <c r="AC58" s="229">
        <f>IFERROR(VLOOKUP(VLOOKUP(AC$18,$H$3:$K$33,3,FALSE)&amp;VLOOKUP(AC$18,$H$3:$K$33,4,FALSE)&amp;"碎片",$B$3:$C$27,2,FALSE)*VLOOKUP($N58,$N$3:$AF$15,MATCH(VLOOKUP(AC$18,$H$3:$K$33,3,FALSE)&amp;VLOOKUP(AC$18,$H$3:$K$33,4,FALSE),$N$3:$AF$3,0),FALSE),AC57)</f>
        <v>54</v>
      </c>
      <c r="AD58" s="229">
        <f>IFERROR(VLOOKUP(VLOOKUP(AD$18,$H$3:$K$33,3,FALSE)&amp;VLOOKUP(AD$18,$H$3:$K$33,4,FALSE)&amp;"碎片",$B$3:$C$27,2,FALSE)*VLOOKUP($N58,$N$3:$AF$15,MATCH(VLOOKUP(AD$18,$H$3:$K$33,3,FALSE)&amp;VLOOKUP(AD$18,$H$3:$K$33,4,FALSE),$N$3:$AF$3,0),FALSE),AD57)</f>
        <v>68.399999999999991</v>
      </c>
      <c r="AE58" s="229">
        <f>IFERROR(VLOOKUP(VLOOKUP(AE$18,$H$3:$K$33,3,FALSE)&amp;VLOOKUP(AE$18,$H$3:$K$33,4,FALSE)&amp;"碎片",$B$3:$C$27,2,FALSE)*VLOOKUP($N58,$N$3:$AF$15,MATCH(VLOOKUP(AE$18,$H$3:$K$33,3,FALSE)&amp;VLOOKUP(AE$18,$H$3:$K$33,4,FALSE),$N$3:$AF$3,0),FALSE),AE57)</f>
        <v>84</v>
      </c>
      <c r="AF58" s="229">
        <f>IFERROR(VLOOKUP(VLOOKUP(AF$18,$H$3:$K$33,3,FALSE)&amp;VLOOKUP(AF$18,$H$3:$K$33,4,FALSE)&amp;"碎片",$B$3:$C$27,2,FALSE)*VLOOKUP($N58,$N$3:$AF$15,MATCH(VLOOKUP(AF$18,$H$3:$K$33,3,FALSE)&amp;VLOOKUP(AF$18,$H$3:$K$33,4,FALSE),$N$3:$AF$3,0),FALSE),AF57)</f>
        <v>105</v>
      </c>
      <c r="AG58" s="229">
        <f>IFERROR(VLOOKUP(VLOOKUP(AG$18,$H$3:$K$33,3,FALSE)&amp;VLOOKUP(AG$18,$H$3:$K$33,4,FALSE)&amp;"碎片",$B$3:$C$27,2,FALSE)*VLOOKUP($N58,$N$3:$AF$15,MATCH(VLOOKUP(AG$18,$H$3:$K$33,3,FALSE)&amp;VLOOKUP(AG$18,$H$3:$K$33,4,FALSE),$N$3:$AF$3,0),FALSE),AG57)</f>
        <v>130.19999999999999</v>
      </c>
      <c r="AH58" s="229">
        <f>IFERROR(VLOOKUP(VLOOKUP(AH$18,$H$3:$K$33,3,FALSE)&amp;VLOOKUP(AH$18,$H$3:$K$33,4,FALSE)&amp;"碎片",$B$3:$C$27,2,FALSE)*VLOOKUP($N58,$N$3:$AF$15,MATCH(VLOOKUP(AH$18,$H$3:$K$33,3,FALSE)&amp;VLOOKUP(AH$18,$H$3:$K$33,4,FALSE),$N$3:$AF$3,0),FALSE),AH57)</f>
        <v>163.19999999999999</v>
      </c>
      <c r="AI58" s="229">
        <f>IFERROR(VLOOKUP(VLOOKUP(AI$18,$H$3:$K$33,3,FALSE)&amp;VLOOKUP(AI$18,$H$3:$K$33,4,FALSE)&amp;"碎片",$B$3:$C$27,2,FALSE)*VLOOKUP($N58,$N$3:$AF$15,MATCH(VLOOKUP(AI$18,$H$3:$K$33,3,FALSE)&amp;VLOOKUP(AI$18,$H$3:$K$33,4,FALSE),$N$3:$AF$3,0),FALSE),AI57)</f>
        <v>20.400000000000063</v>
      </c>
      <c r="AJ58" s="229">
        <f>IFERROR(VLOOKUP(VLOOKUP(AJ$18,$H$3:$K$33,3,FALSE)&amp;VLOOKUP(AJ$18,$H$3:$K$33,4,FALSE)&amp;"碎片",$B$3:$C$27,2,FALSE)*VLOOKUP($N58,$N$3:$AF$15,MATCH(VLOOKUP(AJ$18,$H$3:$K$33,3,FALSE)&amp;VLOOKUP(AJ$18,$H$3:$K$33,4,FALSE),$N$3:$AF$3,0),FALSE),AJ57)</f>
        <v>24.00000000000006</v>
      </c>
      <c r="AK58" s="229">
        <f>IFERROR(VLOOKUP(VLOOKUP(AK$18,$H$3:$K$33,3,FALSE)&amp;VLOOKUP(AK$18,$H$3:$K$33,4,FALSE)&amp;"碎片",$B$3:$C$27,2,FALSE)*VLOOKUP($N58,$N$3:$AF$15,MATCH(VLOOKUP(AK$18,$H$3:$K$33,3,FALSE)&amp;VLOOKUP(AK$18,$H$3:$K$33,4,FALSE),$N$3:$AF$3,0),FALSE),AK57)</f>
        <v>54.400000000000084</v>
      </c>
      <c r="AL58" s="229">
        <f>IFERROR(VLOOKUP(VLOOKUP(AL$18,$H$3:$K$33,3,FALSE)&amp;VLOOKUP(AL$18,$H$3:$K$33,4,FALSE)&amp;"碎片",$B$3:$C$27,2,FALSE)*VLOOKUP($N58,$N$3:$AF$15,MATCH(VLOOKUP(AL$18,$H$3:$K$33,3,FALSE)&amp;VLOOKUP(AL$18,$H$3:$K$33,4,FALSE),$N$3:$AF$3,0),FALSE),AL57)</f>
        <v>34.799999999999997</v>
      </c>
      <c r="AM58" s="229">
        <f>IFERROR(VLOOKUP(VLOOKUP(AM$18,$H$3:$K$33,3,FALSE)&amp;VLOOKUP(AM$18,$H$3:$K$33,4,FALSE)&amp;"碎片",$B$3:$C$27,2,FALSE)*VLOOKUP($N58,$N$3:$AF$15,MATCH(VLOOKUP(AM$18,$H$3:$K$33,3,FALSE)&amp;VLOOKUP(AM$18,$H$3:$K$33,4,FALSE),$N$3:$AF$3,0),FALSE),AM57)</f>
        <v>54</v>
      </c>
      <c r="AN58" s="229">
        <f>IFERROR(VLOOKUP(VLOOKUP(AN$18,$H$3:$K$33,3,FALSE)&amp;VLOOKUP(AN$18,$H$3:$K$33,4,FALSE)&amp;"碎片",$B$3:$C$27,2,FALSE)*VLOOKUP($N58,$N$3:$AF$15,MATCH(VLOOKUP(AN$18,$H$3:$K$33,3,FALSE)&amp;VLOOKUP(AN$18,$H$3:$K$33,4,FALSE),$N$3:$AF$3,0),FALSE),AN57)</f>
        <v>68.399999999999991</v>
      </c>
      <c r="AO58" s="229">
        <f>IFERROR(VLOOKUP(VLOOKUP(AO$18,$H$3:$K$33,3,FALSE)&amp;VLOOKUP(AO$18,$H$3:$K$33,4,FALSE)&amp;"碎片",$B$3:$C$27,2,FALSE)*VLOOKUP($N58,$N$3:$AF$15,MATCH(VLOOKUP(AO$18,$H$3:$K$33,3,FALSE)&amp;VLOOKUP(AO$18,$H$3:$K$33,4,FALSE),$N$3:$AF$3,0),FALSE),AO57)</f>
        <v>84</v>
      </c>
      <c r="AP58" s="229">
        <f>IFERROR(VLOOKUP(VLOOKUP(AP$18,$H$3:$K$33,3,FALSE)&amp;VLOOKUP(AP$18,$H$3:$K$33,4,FALSE)&amp;"碎片",$B$3:$C$27,2,FALSE)*VLOOKUP($N58,$N$3:$AF$15,MATCH(VLOOKUP(AP$18,$H$3:$K$33,3,FALSE)&amp;VLOOKUP(AP$18,$H$3:$K$33,4,FALSE),$N$3:$AF$3,0),FALSE),AP57)</f>
        <v>105</v>
      </c>
      <c r="AQ58" s="229">
        <f>IFERROR(VLOOKUP(VLOOKUP(AQ$18,$H$3:$K$33,3,FALSE)&amp;VLOOKUP(AQ$18,$H$3:$K$33,4,FALSE)&amp;"碎片",$B$3:$C$27,2,FALSE)*VLOOKUP($N58,$N$3:$AF$15,MATCH(VLOOKUP(AQ$18,$H$3:$K$33,3,FALSE)&amp;VLOOKUP(AQ$18,$H$3:$K$33,4,FALSE),$N$3:$AF$3,0),FALSE),AQ57)</f>
        <v>130.19999999999999</v>
      </c>
      <c r="AR58" s="229">
        <f>IFERROR(VLOOKUP(VLOOKUP(AR$18,$H$3:$K$33,3,FALSE)&amp;VLOOKUP(AR$18,$H$3:$K$33,4,FALSE)&amp;"碎片",$B$3:$C$27,2,FALSE)*VLOOKUP($N58,$N$3:$AF$15,MATCH(VLOOKUP(AR$18,$H$3:$K$33,3,FALSE)&amp;VLOOKUP(AR$18,$H$3:$K$33,4,FALSE),$N$3:$AF$3,0),FALSE),AR57)</f>
        <v>163.19999999999999</v>
      </c>
    </row>
    <row r="59" spans="2:44" x14ac:dyDescent="0.35">
      <c r="B59" s="583">
        <v>3</v>
      </c>
      <c r="C59" s="583">
        <f>B59*基础经济系数!$C$9</f>
        <v>600</v>
      </c>
      <c r="D59" s="583">
        <f>C59*$T$73</f>
        <v>450</v>
      </c>
      <c r="E59" s="8">
        <v>0.89</v>
      </c>
      <c r="F59" s="625">
        <f>ROUND(E59*D59/5,0)*5</f>
        <v>400</v>
      </c>
      <c r="N59" s="219">
        <v>14</v>
      </c>
      <c r="O59" s="229">
        <f>IFERROR(VLOOKUP(VLOOKUP(O$18,$H$3:$K$33,3,FALSE)&amp;VLOOKUP(O$18,$H$3:$K$33,4,FALSE)&amp;"碎片",$B$3:$C$27,2,FALSE)*VLOOKUP($N59,$N$3:$AF$15,MATCH(VLOOKUP(O$18,$H$3:$K$33,3,FALSE)&amp;VLOOKUP(O$18,$H$3:$K$33,4,FALSE),$N$3:$AF$3,0),FALSE),O58)</f>
        <v>20.400000000000063</v>
      </c>
      <c r="P59" s="229">
        <f>IFERROR(VLOOKUP(VLOOKUP(P$18,$H$3:$K$33,3,FALSE)&amp;VLOOKUP(P$18,$H$3:$K$33,4,FALSE)&amp;"碎片",$B$3:$C$27,2,FALSE)*VLOOKUP($N59,$N$3:$AF$15,MATCH(VLOOKUP(P$18,$H$3:$K$33,3,FALSE)&amp;VLOOKUP(P$18,$H$3:$K$33,4,FALSE),$N$3:$AF$3,0),FALSE),P58)</f>
        <v>24.00000000000006</v>
      </c>
      <c r="Q59" s="229">
        <f>IFERROR(VLOOKUP(VLOOKUP(Q$18,$H$3:$K$33,3,FALSE)&amp;VLOOKUP(Q$18,$H$3:$K$33,4,FALSE)&amp;"碎片",$B$3:$C$27,2,FALSE)*VLOOKUP($N59,$N$3:$AF$15,MATCH(VLOOKUP(Q$18,$H$3:$K$33,3,FALSE)&amp;VLOOKUP(Q$18,$H$3:$K$33,4,FALSE),$N$3:$AF$3,0),FALSE),Q58)</f>
        <v>54.400000000000084</v>
      </c>
      <c r="R59" s="229">
        <f>IFERROR(VLOOKUP(VLOOKUP(R$18,$H$3:$K$33,3,FALSE)&amp;VLOOKUP(R$18,$H$3:$K$33,4,FALSE)&amp;"碎片",$B$3:$C$27,2,FALSE)*VLOOKUP($N59,$N$3:$AF$15,MATCH(VLOOKUP(R$18,$H$3:$K$33,3,FALSE)&amp;VLOOKUP(R$18,$H$3:$K$33,4,FALSE),$N$3:$AF$3,0),FALSE),R58)</f>
        <v>34.799999999999997</v>
      </c>
      <c r="S59" s="229">
        <f>IFERROR(VLOOKUP(VLOOKUP(S$18,$H$3:$K$33,3,FALSE)&amp;VLOOKUP(S$18,$H$3:$K$33,4,FALSE)&amp;"碎片",$B$3:$C$27,2,FALSE)*VLOOKUP($N59,$N$3:$AF$15,MATCH(VLOOKUP(S$18,$H$3:$K$33,3,FALSE)&amp;VLOOKUP(S$18,$H$3:$K$33,4,FALSE),$N$3:$AF$3,0),FALSE),S58)</f>
        <v>54</v>
      </c>
      <c r="T59" s="229">
        <f>IFERROR(VLOOKUP(VLOOKUP(T$18,$H$3:$K$33,3,FALSE)&amp;VLOOKUP(T$18,$H$3:$K$33,4,FALSE)&amp;"碎片",$B$3:$C$27,2,FALSE)*VLOOKUP($N59,$N$3:$AF$15,MATCH(VLOOKUP(T$18,$H$3:$K$33,3,FALSE)&amp;VLOOKUP(T$18,$H$3:$K$33,4,FALSE),$N$3:$AF$3,0),FALSE),T58)</f>
        <v>68.399999999999991</v>
      </c>
      <c r="U59" s="229">
        <f>IFERROR(VLOOKUP(VLOOKUP(U$18,$H$3:$K$33,3,FALSE)&amp;VLOOKUP(U$18,$H$3:$K$33,4,FALSE)&amp;"碎片",$B$3:$C$27,2,FALSE)*VLOOKUP($N59,$N$3:$AF$15,MATCH(VLOOKUP(U$18,$H$3:$K$33,3,FALSE)&amp;VLOOKUP(U$18,$H$3:$K$33,4,FALSE),$N$3:$AF$3,0),FALSE),U58)</f>
        <v>84</v>
      </c>
      <c r="V59" s="229">
        <f>IFERROR(VLOOKUP(VLOOKUP(V$18,$H$3:$K$33,3,FALSE)&amp;VLOOKUP(V$18,$H$3:$K$33,4,FALSE)&amp;"碎片",$B$3:$C$27,2,FALSE)*VLOOKUP($N59,$N$3:$AF$15,MATCH(VLOOKUP(V$18,$H$3:$K$33,3,FALSE)&amp;VLOOKUP(V$18,$H$3:$K$33,4,FALSE),$N$3:$AF$3,0),FALSE),V58)</f>
        <v>105</v>
      </c>
      <c r="W59" s="229">
        <f>IFERROR(VLOOKUP(VLOOKUP(W$18,$H$3:$K$33,3,FALSE)&amp;VLOOKUP(W$18,$H$3:$K$33,4,FALSE)&amp;"碎片",$B$3:$C$27,2,FALSE)*VLOOKUP($N59,$N$3:$AF$15,MATCH(VLOOKUP(W$18,$H$3:$K$33,3,FALSE)&amp;VLOOKUP(W$18,$H$3:$K$33,4,FALSE),$N$3:$AF$3,0),FALSE),W58)</f>
        <v>130.19999999999999</v>
      </c>
      <c r="X59" s="229">
        <f>IFERROR(VLOOKUP(VLOOKUP(X$18,$H$3:$K$33,3,FALSE)&amp;VLOOKUP(X$18,$H$3:$K$33,4,FALSE)&amp;"碎片",$B$3:$C$27,2,FALSE)*VLOOKUP($N59,$N$3:$AF$15,MATCH(VLOOKUP(X$18,$H$3:$K$33,3,FALSE)&amp;VLOOKUP(X$18,$H$3:$K$33,4,FALSE),$N$3:$AF$3,0),FALSE),X58)</f>
        <v>163.19999999999999</v>
      </c>
      <c r="Y59" s="229">
        <f>IFERROR(VLOOKUP(VLOOKUP(Y$18,$H$3:$K$33,3,FALSE)&amp;VLOOKUP(Y$18,$H$3:$K$33,4,FALSE)&amp;"碎片",$B$3:$C$27,2,FALSE)*VLOOKUP($N59,$N$3:$AF$15,MATCH(VLOOKUP(Y$18,$H$3:$K$33,3,FALSE)&amp;VLOOKUP(Y$18,$H$3:$K$33,4,FALSE),$N$3:$AF$3,0),FALSE),Y58)</f>
        <v>20.400000000000063</v>
      </c>
      <c r="Z59" s="229">
        <f>IFERROR(VLOOKUP(VLOOKUP(Z$18,$H$3:$K$33,3,FALSE)&amp;VLOOKUP(Z$18,$H$3:$K$33,4,FALSE)&amp;"碎片",$B$3:$C$27,2,FALSE)*VLOOKUP($N59,$N$3:$AF$15,MATCH(VLOOKUP(Z$18,$H$3:$K$33,3,FALSE)&amp;VLOOKUP(Z$18,$H$3:$K$33,4,FALSE),$N$3:$AF$3,0),FALSE),Z58)</f>
        <v>24.00000000000006</v>
      </c>
      <c r="AA59" s="229">
        <f>IFERROR(VLOOKUP(VLOOKUP(AA$18,$H$3:$K$33,3,FALSE)&amp;VLOOKUP(AA$18,$H$3:$K$33,4,FALSE)&amp;"碎片",$B$3:$C$27,2,FALSE)*VLOOKUP($N59,$N$3:$AF$15,MATCH(VLOOKUP(AA$18,$H$3:$K$33,3,FALSE)&amp;VLOOKUP(AA$18,$H$3:$K$33,4,FALSE),$N$3:$AF$3,0),FALSE),AA58)</f>
        <v>54.400000000000084</v>
      </c>
      <c r="AB59" s="229">
        <f>IFERROR(VLOOKUP(VLOOKUP(AB$18,$H$3:$K$33,3,FALSE)&amp;VLOOKUP(AB$18,$H$3:$K$33,4,FALSE)&amp;"碎片",$B$3:$C$27,2,FALSE)*VLOOKUP($N59,$N$3:$AF$15,MATCH(VLOOKUP(AB$18,$H$3:$K$33,3,FALSE)&amp;VLOOKUP(AB$18,$H$3:$K$33,4,FALSE),$N$3:$AF$3,0),FALSE),AB58)</f>
        <v>34.799999999999997</v>
      </c>
      <c r="AC59" s="229">
        <f>IFERROR(VLOOKUP(VLOOKUP(AC$18,$H$3:$K$33,3,FALSE)&amp;VLOOKUP(AC$18,$H$3:$K$33,4,FALSE)&amp;"碎片",$B$3:$C$27,2,FALSE)*VLOOKUP($N59,$N$3:$AF$15,MATCH(VLOOKUP(AC$18,$H$3:$K$33,3,FALSE)&amp;VLOOKUP(AC$18,$H$3:$K$33,4,FALSE),$N$3:$AF$3,0),FALSE),AC58)</f>
        <v>54</v>
      </c>
      <c r="AD59" s="229">
        <f>IFERROR(VLOOKUP(VLOOKUP(AD$18,$H$3:$K$33,3,FALSE)&amp;VLOOKUP(AD$18,$H$3:$K$33,4,FALSE)&amp;"碎片",$B$3:$C$27,2,FALSE)*VLOOKUP($N59,$N$3:$AF$15,MATCH(VLOOKUP(AD$18,$H$3:$K$33,3,FALSE)&amp;VLOOKUP(AD$18,$H$3:$K$33,4,FALSE),$N$3:$AF$3,0),FALSE),AD58)</f>
        <v>68.399999999999991</v>
      </c>
      <c r="AE59" s="229">
        <f>IFERROR(VLOOKUP(VLOOKUP(AE$18,$H$3:$K$33,3,FALSE)&amp;VLOOKUP(AE$18,$H$3:$K$33,4,FALSE)&amp;"碎片",$B$3:$C$27,2,FALSE)*VLOOKUP($N59,$N$3:$AF$15,MATCH(VLOOKUP(AE$18,$H$3:$K$33,3,FALSE)&amp;VLOOKUP(AE$18,$H$3:$K$33,4,FALSE),$N$3:$AF$3,0),FALSE),AE58)</f>
        <v>84</v>
      </c>
      <c r="AF59" s="229">
        <f>IFERROR(VLOOKUP(VLOOKUP(AF$18,$H$3:$K$33,3,FALSE)&amp;VLOOKUP(AF$18,$H$3:$K$33,4,FALSE)&amp;"碎片",$B$3:$C$27,2,FALSE)*VLOOKUP($N59,$N$3:$AF$15,MATCH(VLOOKUP(AF$18,$H$3:$K$33,3,FALSE)&amp;VLOOKUP(AF$18,$H$3:$K$33,4,FALSE),$N$3:$AF$3,0),FALSE),AF58)</f>
        <v>105</v>
      </c>
      <c r="AG59" s="229">
        <f>IFERROR(VLOOKUP(VLOOKUP(AG$18,$H$3:$K$33,3,FALSE)&amp;VLOOKUP(AG$18,$H$3:$K$33,4,FALSE)&amp;"碎片",$B$3:$C$27,2,FALSE)*VLOOKUP($N59,$N$3:$AF$15,MATCH(VLOOKUP(AG$18,$H$3:$K$33,3,FALSE)&amp;VLOOKUP(AG$18,$H$3:$K$33,4,FALSE),$N$3:$AF$3,0),FALSE),AG58)</f>
        <v>130.19999999999999</v>
      </c>
      <c r="AH59" s="229">
        <f>IFERROR(VLOOKUP(VLOOKUP(AH$18,$H$3:$K$33,3,FALSE)&amp;VLOOKUP(AH$18,$H$3:$K$33,4,FALSE)&amp;"碎片",$B$3:$C$27,2,FALSE)*VLOOKUP($N59,$N$3:$AF$15,MATCH(VLOOKUP(AH$18,$H$3:$K$33,3,FALSE)&amp;VLOOKUP(AH$18,$H$3:$K$33,4,FALSE),$N$3:$AF$3,0),FALSE),AH58)</f>
        <v>163.19999999999999</v>
      </c>
      <c r="AI59" s="229">
        <f>IFERROR(VLOOKUP(VLOOKUP(AI$18,$H$3:$K$33,3,FALSE)&amp;VLOOKUP(AI$18,$H$3:$K$33,4,FALSE)&amp;"碎片",$B$3:$C$27,2,FALSE)*VLOOKUP($N59,$N$3:$AF$15,MATCH(VLOOKUP(AI$18,$H$3:$K$33,3,FALSE)&amp;VLOOKUP(AI$18,$H$3:$K$33,4,FALSE),$N$3:$AF$3,0),FALSE),AI58)</f>
        <v>20.400000000000063</v>
      </c>
      <c r="AJ59" s="229">
        <f>IFERROR(VLOOKUP(VLOOKUP(AJ$18,$H$3:$K$33,3,FALSE)&amp;VLOOKUP(AJ$18,$H$3:$K$33,4,FALSE)&amp;"碎片",$B$3:$C$27,2,FALSE)*VLOOKUP($N59,$N$3:$AF$15,MATCH(VLOOKUP(AJ$18,$H$3:$K$33,3,FALSE)&amp;VLOOKUP(AJ$18,$H$3:$K$33,4,FALSE),$N$3:$AF$3,0),FALSE),AJ58)</f>
        <v>24.00000000000006</v>
      </c>
      <c r="AK59" s="229">
        <f>IFERROR(VLOOKUP(VLOOKUP(AK$18,$H$3:$K$33,3,FALSE)&amp;VLOOKUP(AK$18,$H$3:$K$33,4,FALSE)&amp;"碎片",$B$3:$C$27,2,FALSE)*VLOOKUP($N59,$N$3:$AF$15,MATCH(VLOOKUP(AK$18,$H$3:$K$33,3,FALSE)&amp;VLOOKUP(AK$18,$H$3:$K$33,4,FALSE),$N$3:$AF$3,0),FALSE),AK58)</f>
        <v>54.400000000000084</v>
      </c>
      <c r="AL59" s="229">
        <f>IFERROR(VLOOKUP(VLOOKUP(AL$18,$H$3:$K$33,3,FALSE)&amp;VLOOKUP(AL$18,$H$3:$K$33,4,FALSE)&amp;"碎片",$B$3:$C$27,2,FALSE)*VLOOKUP($N59,$N$3:$AF$15,MATCH(VLOOKUP(AL$18,$H$3:$K$33,3,FALSE)&amp;VLOOKUP(AL$18,$H$3:$K$33,4,FALSE),$N$3:$AF$3,0),FALSE),AL58)</f>
        <v>34.799999999999997</v>
      </c>
      <c r="AM59" s="229">
        <f>IFERROR(VLOOKUP(VLOOKUP(AM$18,$H$3:$K$33,3,FALSE)&amp;VLOOKUP(AM$18,$H$3:$K$33,4,FALSE)&amp;"碎片",$B$3:$C$27,2,FALSE)*VLOOKUP($N59,$N$3:$AF$15,MATCH(VLOOKUP(AM$18,$H$3:$K$33,3,FALSE)&amp;VLOOKUP(AM$18,$H$3:$K$33,4,FALSE),$N$3:$AF$3,0),FALSE),AM58)</f>
        <v>54</v>
      </c>
      <c r="AN59" s="229">
        <f>IFERROR(VLOOKUP(VLOOKUP(AN$18,$H$3:$K$33,3,FALSE)&amp;VLOOKUP(AN$18,$H$3:$K$33,4,FALSE)&amp;"碎片",$B$3:$C$27,2,FALSE)*VLOOKUP($N59,$N$3:$AF$15,MATCH(VLOOKUP(AN$18,$H$3:$K$33,3,FALSE)&amp;VLOOKUP(AN$18,$H$3:$K$33,4,FALSE),$N$3:$AF$3,0),FALSE),AN58)</f>
        <v>68.399999999999991</v>
      </c>
      <c r="AO59" s="229">
        <f>IFERROR(VLOOKUP(VLOOKUP(AO$18,$H$3:$K$33,3,FALSE)&amp;VLOOKUP(AO$18,$H$3:$K$33,4,FALSE)&amp;"碎片",$B$3:$C$27,2,FALSE)*VLOOKUP($N59,$N$3:$AF$15,MATCH(VLOOKUP(AO$18,$H$3:$K$33,3,FALSE)&amp;VLOOKUP(AO$18,$H$3:$K$33,4,FALSE),$N$3:$AF$3,0),FALSE),AO58)</f>
        <v>84</v>
      </c>
      <c r="AP59" s="229">
        <f>IFERROR(VLOOKUP(VLOOKUP(AP$18,$H$3:$K$33,3,FALSE)&amp;VLOOKUP(AP$18,$H$3:$K$33,4,FALSE)&amp;"碎片",$B$3:$C$27,2,FALSE)*VLOOKUP($N59,$N$3:$AF$15,MATCH(VLOOKUP(AP$18,$H$3:$K$33,3,FALSE)&amp;VLOOKUP(AP$18,$H$3:$K$33,4,FALSE),$N$3:$AF$3,0),FALSE),AP58)</f>
        <v>105</v>
      </c>
      <c r="AQ59" s="229">
        <f>IFERROR(VLOOKUP(VLOOKUP(AQ$18,$H$3:$K$33,3,FALSE)&amp;VLOOKUP(AQ$18,$H$3:$K$33,4,FALSE)&amp;"碎片",$B$3:$C$27,2,FALSE)*VLOOKUP($N59,$N$3:$AF$15,MATCH(VLOOKUP(AQ$18,$H$3:$K$33,3,FALSE)&amp;VLOOKUP(AQ$18,$H$3:$K$33,4,FALSE),$N$3:$AF$3,0),FALSE),AQ58)</f>
        <v>130.19999999999999</v>
      </c>
      <c r="AR59" s="229">
        <f>IFERROR(VLOOKUP(VLOOKUP(AR$18,$H$3:$K$33,3,FALSE)&amp;VLOOKUP(AR$18,$H$3:$K$33,4,FALSE)&amp;"碎片",$B$3:$C$27,2,FALSE)*VLOOKUP($N59,$N$3:$AF$15,MATCH(VLOOKUP(AR$18,$H$3:$K$33,3,FALSE)&amp;VLOOKUP(AR$18,$H$3:$K$33,4,FALSE),$N$3:$AF$3,0),FALSE),AR58)</f>
        <v>163.19999999999999</v>
      </c>
    </row>
    <row r="60" spans="2:44" x14ac:dyDescent="0.35">
      <c r="B60" s="583">
        <v>5</v>
      </c>
      <c r="C60" s="583">
        <f>B60*基础经济系数!$C$9</f>
        <v>1000</v>
      </c>
      <c r="D60" s="583">
        <f>C60*$T$73</f>
        <v>750</v>
      </c>
      <c r="E60" s="8">
        <v>0.8</v>
      </c>
      <c r="F60" s="625">
        <f>ROUND(E60*D60/5,0)*5</f>
        <v>600</v>
      </c>
      <c r="N60" s="219">
        <v>15</v>
      </c>
      <c r="O60" s="229">
        <f>IFERROR(VLOOKUP(VLOOKUP(O$18,$H$3:$K$33,3,FALSE)&amp;VLOOKUP(O$18,$H$3:$K$33,4,FALSE)&amp;"碎片",$B$3:$C$27,2,FALSE)*VLOOKUP($N60,$N$3:$AF$15,MATCH(VLOOKUP(O$18,$H$3:$K$33,3,FALSE)&amp;VLOOKUP(O$18,$H$3:$K$33,4,FALSE),$N$3:$AF$3,0),FALSE),O59)</f>
        <v>20.400000000000063</v>
      </c>
      <c r="P60" s="229">
        <f>IFERROR(VLOOKUP(VLOOKUP(P$18,$H$3:$K$33,3,FALSE)&amp;VLOOKUP(P$18,$H$3:$K$33,4,FALSE)&amp;"碎片",$B$3:$C$27,2,FALSE)*VLOOKUP($N60,$N$3:$AF$15,MATCH(VLOOKUP(P$18,$H$3:$K$33,3,FALSE)&amp;VLOOKUP(P$18,$H$3:$K$33,4,FALSE),$N$3:$AF$3,0),FALSE),P59)</f>
        <v>24.00000000000006</v>
      </c>
      <c r="Q60" s="229">
        <f>IFERROR(VLOOKUP(VLOOKUP(Q$18,$H$3:$K$33,3,FALSE)&amp;VLOOKUP(Q$18,$H$3:$K$33,4,FALSE)&amp;"碎片",$B$3:$C$27,2,FALSE)*VLOOKUP($N60,$N$3:$AF$15,MATCH(VLOOKUP(Q$18,$H$3:$K$33,3,FALSE)&amp;VLOOKUP(Q$18,$H$3:$K$33,4,FALSE),$N$3:$AF$3,0),FALSE),Q59)</f>
        <v>54.400000000000084</v>
      </c>
      <c r="R60" s="229">
        <f>IFERROR(VLOOKUP(VLOOKUP(R$18,$H$3:$K$33,3,FALSE)&amp;VLOOKUP(R$18,$H$3:$K$33,4,FALSE)&amp;"碎片",$B$3:$C$27,2,FALSE)*VLOOKUP($N60,$N$3:$AF$15,MATCH(VLOOKUP(R$18,$H$3:$K$33,3,FALSE)&amp;VLOOKUP(R$18,$H$3:$K$33,4,FALSE),$N$3:$AF$3,0),FALSE),R59)</f>
        <v>34.799999999999997</v>
      </c>
      <c r="S60" s="229">
        <f>IFERROR(VLOOKUP(VLOOKUP(S$18,$H$3:$K$33,3,FALSE)&amp;VLOOKUP(S$18,$H$3:$K$33,4,FALSE)&amp;"碎片",$B$3:$C$27,2,FALSE)*VLOOKUP($N60,$N$3:$AF$15,MATCH(VLOOKUP(S$18,$H$3:$K$33,3,FALSE)&amp;VLOOKUP(S$18,$H$3:$K$33,4,FALSE),$N$3:$AF$3,0),FALSE),S59)</f>
        <v>54</v>
      </c>
      <c r="T60" s="229">
        <f>IFERROR(VLOOKUP(VLOOKUP(T$18,$H$3:$K$33,3,FALSE)&amp;VLOOKUP(T$18,$H$3:$K$33,4,FALSE)&amp;"碎片",$B$3:$C$27,2,FALSE)*VLOOKUP($N60,$N$3:$AF$15,MATCH(VLOOKUP(T$18,$H$3:$K$33,3,FALSE)&amp;VLOOKUP(T$18,$H$3:$K$33,4,FALSE),$N$3:$AF$3,0),FALSE),T59)</f>
        <v>68.399999999999991</v>
      </c>
      <c r="U60" s="229">
        <f>IFERROR(VLOOKUP(VLOOKUP(U$18,$H$3:$K$33,3,FALSE)&amp;VLOOKUP(U$18,$H$3:$K$33,4,FALSE)&amp;"碎片",$B$3:$C$27,2,FALSE)*VLOOKUP($N60,$N$3:$AF$15,MATCH(VLOOKUP(U$18,$H$3:$K$33,3,FALSE)&amp;VLOOKUP(U$18,$H$3:$K$33,4,FALSE),$N$3:$AF$3,0),FALSE),U59)</f>
        <v>84</v>
      </c>
      <c r="V60" s="229">
        <f>IFERROR(VLOOKUP(VLOOKUP(V$18,$H$3:$K$33,3,FALSE)&amp;VLOOKUP(V$18,$H$3:$K$33,4,FALSE)&amp;"碎片",$B$3:$C$27,2,FALSE)*VLOOKUP($N60,$N$3:$AF$15,MATCH(VLOOKUP(V$18,$H$3:$K$33,3,FALSE)&amp;VLOOKUP(V$18,$H$3:$K$33,4,FALSE),$N$3:$AF$3,0),FALSE),V59)</f>
        <v>105</v>
      </c>
      <c r="W60" s="229">
        <f>IFERROR(VLOOKUP(VLOOKUP(W$18,$H$3:$K$33,3,FALSE)&amp;VLOOKUP(W$18,$H$3:$K$33,4,FALSE)&amp;"碎片",$B$3:$C$27,2,FALSE)*VLOOKUP($N60,$N$3:$AF$15,MATCH(VLOOKUP(W$18,$H$3:$K$33,3,FALSE)&amp;VLOOKUP(W$18,$H$3:$K$33,4,FALSE),$N$3:$AF$3,0),FALSE),W59)</f>
        <v>130.19999999999999</v>
      </c>
      <c r="X60" s="229">
        <f>IFERROR(VLOOKUP(VLOOKUP(X$18,$H$3:$K$33,3,FALSE)&amp;VLOOKUP(X$18,$H$3:$K$33,4,FALSE)&amp;"碎片",$B$3:$C$27,2,FALSE)*VLOOKUP($N60,$N$3:$AF$15,MATCH(VLOOKUP(X$18,$H$3:$K$33,3,FALSE)&amp;VLOOKUP(X$18,$H$3:$K$33,4,FALSE),$N$3:$AF$3,0),FALSE),X59)</f>
        <v>163.19999999999999</v>
      </c>
      <c r="Y60" s="229">
        <f>IFERROR(VLOOKUP(VLOOKUP(Y$18,$H$3:$K$33,3,FALSE)&amp;VLOOKUP(Y$18,$H$3:$K$33,4,FALSE)&amp;"碎片",$B$3:$C$27,2,FALSE)*VLOOKUP($N60,$N$3:$AF$15,MATCH(VLOOKUP(Y$18,$H$3:$K$33,3,FALSE)&amp;VLOOKUP(Y$18,$H$3:$K$33,4,FALSE),$N$3:$AF$3,0),FALSE),Y59)</f>
        <v>20.400000000000063</v>
      </c>
      <c r="Z60" s="229">
        <f>IFERROR(VLOOKUP(VLOOKUP(Z$18,$H$3:$K$33,3,FALSE)&amp;VLOOKUP(Z$18,$H$3:$K$33,4,FALSE)&amp;"碎片",$B$3:$C$27,2,FALSE)*VLOOKUP($N60,$N$3:$AF$15,MATCH(VLOOKUP(Z$18,$H$3:$K$33,3,FALSE)&amp;VLOOKUP(Z$18,$H$3:$K$33,4,FALSE),$N$3:$AF$3,0),FALSE),Z59)</f>
        <v>24.00000000000006</v>
      </c>
      <c r="AA60" s="229">
        <f>IFERROR(VLOOKUP(VLOOKUP(AA$18,$H$3:$K$33,3,FALSE)&amp;VLOOKUP(AA$18,$H$3:$K$33,4,FALSE)&amp;"碎片",$B$3:$C$27,2,FALSE)*VLOOKUP($N60,$N$3:$AF$15,MATCH(VLOOKUP(AA$18,$H$3:$K$33,3,FALSE)&amp;VLOOKUP(AA$18,$H$3:$K$33,4,FALSE),$N$3:$AF$3,0),FALSE),AA59)</f>
        <v>54.400000000000084</v>
      </c>
      <c r="AB60" s="229">
        <f>IFERROR(VLOOKUP(VLOOKUP(AB$18,$H$3:$K$33,3,FALSE)&amp;VLOOKUP(AB$18,$H$3:$K$33,4,FALSE)&amp;"碎片",$B$3:$C$27,2,FALSE)*VLOOKUP($N60,$N$3:$AF$15,MATCH(VLOOKUP(AB$18,$H$3:$K$33,3,FALSE)&amp;VLOOKUP(AB$18,$H$3:$K$33,4,FALSE),$N$3:$AF$3,0),FALSE),AB59)</f>
        <v>34.799999999999997</v>
      </c>
      <c r="AC60" s="229">
        <f>IFERROR(VLOOKUP(VLOOKUP(AC$18,$H$3:$K$33,3,FALSE)&amp;VLOOKUP(AC$18,$H$3:$K$33,4,FALSE)&amp;"碎片",$B$3:$C$27,2,FALSE)*VLOOKUP($N60,$N$3:$AF$15,MATCH(VLOOKUP(AC$18,$H$3:$K$33,3,FALSE)&amp;VLOOKUP(AC$18,$H$3:$K$33,4,FALSE),$N$3:$AF$3,0),FALSE),AC59)</f>
        <v>54</v>
      </c>
      <c r="AD60" s="229">
        <f>IFERROR(VLOOKUP(VLOOKUP(AD$18,$H$3:$K$33,3,FALSE)&amp;VLOOKUP(AD$18,$H$3:$K$33,4,FALSE)&amp;"碎片",$B$3:$C$27,2,FALSE)*VLOOKUP($N60,$N$3:$AF$15,MATCH(VLOOKUP(AD$18,$H$3:$K$33,3,FALSE)&amp;VLOOKUP(AD$18,$H$3:$K$33,4,FALSE),$N$3:$AF$3,0),FALSE),AD59)</f>
        <v>68.399999999999991</v>
      </c>
      <c r="AE60" s="229">
        <f>IFERROR(VLOOKUP(VLOOKUP(AE$18,$H$3:$K$33,3,FALSE)&amp;VLOOKUP(AE$18,$H$3:$K$33,4,FALSE)&amp;"碎片",$B$3:$C$27,2,FALSE)*VLOOKUP($N60,$N$3:$AF$15,MATCH(VLOOKUP(AE$18,$H$3:$K$33,3,FALSE)&amp;VLOOKUP(AE$18,$H$3:$K$33,4,FALSE),$N$3:$AF$3,0),FALSE),AE59)</f>
        <v>84</v>
      </c>
      <c r="AF60" s="229">
        <f>IFERROR(VLOOKUP(VLOOKUP(AF$18,$H$3:$K$33,3,FALSE)&amp;VLOOKUP(AF$18,$H$3:$K$33,4,FALSE)&amp;"碎片",$B$3:$C$27,2,FALSE)*VLOOKUP($N60,$N$3:$AF$15,MATCH(VLOOKUP(AF$18,$H$3:$K$33,3,FALSE)&amp;VLOOKUP(AF$18,$H$3:$K$33,4,FALSE),$N$3:$AF$3,0),FALSE),AF59)</f>
        <v>105</v>
      </c>
      <c r="AG60" s="229">
        <f>IFERROR(VLOOKUP(VLOOKUP(AG$18,$H$3:$K$33,3,FALSE)&amp;VLOOKUP(AG$18,$H$3:$K$33,4,FALSE)&amp;"碎片",$B$3:$C$27,2,FALSE)*VLOOKUP($N60,$N$3:$AF$15,MATCH(VLOOKUP(AG$18,$H$3:$K$33,3,FALSE)&amp;VLOOKUP(AG$18,$H$3:$K$33,4,FALSE),$N$3:$AF$3,0),FALSE),AG59)</f>
        <v>130.19999999999999</v>
      </c>
      <c r="AH60" s="229">
        <f>IFERROR(VLOOKUP(VLOOKUP(AH$18,$H$3:$K$33,3,FALSE)&amp;VLOOKUP(AH$18,$H$3:$K$33,4,FALSE)&amp;"碎片",$B$3:$C$27,2,FALSE)*VLOOKUP($N60,$N$3:$AF$15,MATCH(VLOOKUP(AH$18,$H$3:$K$33,3,FALSE)&amp;VLOOKUP(AH$18,$H$3:$K$33,4,FALSE),$N$3:$AF$3,0),FALSE),AH59)</f>
        <v>163.19999999999999</v>
      </c>
      <c r="AI60" s="229">
        <f>IFERROR(VLOOKUP(VLOOKUP(AI$18,$H$3:$K$33,3,FALSE)&amp;VLOOKUP(AI$18,$H$3:$K$33,4,FALSE)&amp;"碎片",$B$3:$C$27,2,FALSE)*VLOOKUP($N60,$N$3:$AF$15,MATCH(VLOOKUP(AI$18,$H$3:$K$33,3,FALSE)&amp;VLOOKUP(AI$18,$H$3:$K$33,4,FALSE),$N$3:$AF$3,0),FALSE),AI59)</f>
        <v>20.400000000000063</v>
      </c>
      <c r="AJ60" s="229">
        <f>IFERROR(VLOOKUP(VLOOKUP(AJ$18,$H$3:$K$33,3,FALSE)&amp;VLOOKUP(AJ$18,$H$3:$K$33,4,FALSE)&amp;"碎片",$B$3:$C$27,2,FALSE)*VLOOKUP($N60,$N$3:$AF$15,MATCH(VLOOKUP(AJ$18,$H$3:$K$33,3,FALSE)&amp;VLOOKUP(AJ$18,$H$3:$K$33,4,FALSE),$N$3:$AF$3,0),FALSE),AJ59)</f>
        <v>24.00000000000006</v>
      </c>
      <c r="AK60" s="229">
        <f>IFERROR(VLOOKUP(VLOOKUP(AK$18,$H$3:$K$33,3,FALSE)&amp;VLOOKUP(AK$18,$H$3:$K$33,4,FALSE)&amp;"碎片",$B$3:$C$27,2,FALSE)*VLOOKUP($N60,$N$3:$AF$15,MATCH(VLOOKUP(AK$18,$H$3:$K$33,3,FALSE)&amp;VLOOKUP(AK$18,$H$3:$K$33,4,FALSE),$N$3:$AF$3,0),FALSE),AK59)</f>
        <v>54.400000000000084</v>
      </c>
      <c r="AL60" s="229">
        <f>IFERROR(VLOOKUP(VLOOKUP(AL$18,$H$3:$K$33,3,FALSE)&amp;VLOOKUP(AL$18,$H$3:$K$33,4,FALSE)&amp;"碎片",$B$3:$C$27,2,FALSE)*VLOOKUP($N60,$N$3:$AF$15,MATCH(VLOOKUP(AL$18,$H$3:$K$33,3,FALSE)&amp;VLOOKUP(AL$18,$H$3:$K$33,4,FALSE),$N$3:$AF$3,0),FALSE),AL59)</f>
        <v>34.799999999999997</v>
      </c>
      <c r="AM60" s="229">
        <f>IFERROR(VLOOKUP(VLOOKUP(AM$18,$H$3:$K$33,3,FALSE)&amp;VLOOKUP(AM$18,$H$3:$K$33,4,FALSE)&amp;"碎片",$B$3:$C$27,2,FALSE)*VLOOKUP($N60,$N$3:$AF$15,MATCH(VLOOKUP(AM$18,$H$3:$K$33,3,FALSE)&amp;VLOOKUP(AM$18,$H$3:$K$33,4,FALSE),$N$3:$AF$3,0),FALSE),AM59)</f>
        <v>54</v>
      </c>
      <c r="AN60" s="229">
        <f>IFERROR(VLOOKUP(VLOOKUP(AN$18,$H$3:$K$33,3,FALSE)&amp;VLOOKUP(AN$18,$H$3:$K$33,4,FALSE)&amp;"碎片",$B$3:$C$27,2,FALSE)*VLOOKUP($N60,$N$3:$AF$15,MATCH(VLOOKUP(AN$18,$H$3:$K$33,3,FALSE)&amp;VLOOKUP(AN$18,$H$3:$K$33,4,FALSE),$N$3:$AF$3,0),FALSE),AN59)</f>
        <v>68.399999999999991</v>
      </c>
      <c r="AO60" s="229">
        <f>IFERROR(VLOOKUP(VLOOKUP(AO$18,$H$3:$K$33,3,FALSE)&amp;VLOOKUP(AO$18,$H$3:$K$33,4,FALSE)&amp;"碎片",$B$3:$C$27,2,FALSE)*VLOOKUP($N60,$N$3:$AF$15,MATCH(VLOOKUP(AO$18,$H$3:$K$33,3,FALSE)&amp;VLOOKUP(AO$18,$H$3:$K$33,4,FALSE),$N$3:$AF$3,0),FALSE),AO59)</f>
        <v>84</v>
      </c>
      <c r="AP60" s="229">
        <f>IFERROR(VLOOKUP(VLOOKUP(AP$18,$H$3:$K$33,3,FALSE)&amp;VLOOKUP(AP$18,$H$3:$K$33,4,FALSE)&amp;"碎片",$B$3:$C$27,2,FALSE)*VLOOKUP($N60,$N$3:$AF$15,MATCH(VLOOKUP(AP$18,$H$3:$K$33,3,FALSE)&amp;VLOOKUP(AP$18,$H$3:$K$33,4,FALSE),$N$3:$AF$3,0),FALSE),AP59)</f>
        <v>105</v>
      </c>
      <c r="AQ60" s="229">
        <f>IFERROR(VLOOKUP(VLOOKUP(AQ$18,$H$3:$K$33,3,FALSE)&amp;VLOOKUP(AQ$18,$H$3:$K$33,4,FALSE)&amp;"碎片",$B$3:$C$27,2,FALSE)*VLOOKUP($N60,$N$3:$AF$15,MATCH(VLOOKUP(AQ$18,$H$3:$K$33,3,FALSE)&amp;VLOOKUP(AQ$18,$H$3:$K$33,4,FALSE),$N$3:$AF$3,0),FALSE),AQ59)</f>
        <v>130.19999999999999</v>
      </c>
      <c r="AR60" s="229">
        <f>IFERROR(VLOOKUP(VLOOKUP(AR$18,$H$3:$K$33,3,FALSE)&amp;VLOOKUP(AR$18,$H$3:$K$33,4,FALSE)&amp;"碎片",$B$3:$C$27,2,FALSE)*VLOOKUP($N60,$N$3:$AF$15,MATCH(VLOOKUP(AR$18,$H$3:$K$33,3,FALSE)&amp;VLOOKUP(AR$18,$H$3:$K$33,4,FALSE),$N$3:$AF$3,0),FALSE),AR59)</f>
        <v>163.19999999999999</v>
      </c>
    </row>
    <row r="61" spans="2:44" x14ac:dyDescent="0.35">
      <c r="N61" s="219">
        <v>16</v>
      </c>
      <c r="O61" s="229">
        <f>IFERROR(VLOOKUP(VLOOKUP(O$18,$H$3:$K$33,3,FALSE)&amp;VLOOKUP(O$18,$H$3:$K$33,4,FALSE)&amp;"碎片",$B$3:$C$27,2,FALSE)*VLOOKUP($N61,$N$3:$AF$15,MATCH(VLOOKUP(O$18,$H$3:$K$33,3,FALSE)&amp;VLOOKUP(O$18,$H$3:$K$33,4,FALSE),$N$3:$AF$3,0),FALSE),O60)</f>
        <v>20.400000000000063</v>
      </c>
      <c r="P61" s="229">
        <f>IFERROR(VLOOKUP(VLOOKUP(P$18,$H$3:$K$33,3,FALSE)&amp;VLOOKUP(P$18,$H$3:$K$33,4,FALSE)&amp;"碎片",$B$3:$C$27,2,FALSE)*VLOOKUP($N61,$N$3:$AF$15,MATCH(VLOOKUP(P$18,$H$3:$K$33,3,FALSE)&amp;VLOOKUP(P$18,$H$3:$K$33,4,FALSE),$N$3:$AF$3,0),FALSE),P60)</f>
        <v>24.00000000000006</v>
      </c>
      <c r="Q61" s="229">
        <f>IFERROR(VLOOKUP(VLOOKUP(Q$18,$H$3:$K$33,3,FALSE)&amp;VLOOKUP(Q$18,$H$3:$K$33,4,FALSE)&amp;"碎片",$B$3:$C$27,2,FALSE)*VLOOKUP($N61,$N$3:$AF$15,MATCH(VLOOKUP(Q$18,$H$3:$K$33,3,FALSE)&amp;VLOOKUP(Q$18,$H$3:$K$33,4,FALSE),$N$3:$AF$3,0),FALSE),Q60)</f>
        <v>54.400000000000084</v>
      </c>
      <c r="R61" s="229">
        <f>IFERROR(VLOOKUP(VLOOKUP(R$18,$H$3:$K$33,3,FALSE)&amp;VLOOKUP(R$18,$H$3:$K$33,4,FALSE)&amp;"碎片",$B$3:$C$27,2,FALSE)*VLOOKUP($N61,$N$3:$AF$15,MATCH(VLOOKUP(R$18,$H$3:$K$33,3,FALSE)&amp;VLOOKUP(R$18,$H$3:$K$33,4,FALSE),$N$3:$AF$3,0),FALSE),R60)</f>
        <v>34.799999999999997</v>
      </c>
      <c r="S61" s="229">
        <f>IFERROR(VLOOKUP(VLOOKUP(S$18,$H$3:$K$33,3,FALSE)&amp;VLOOKUP(S$18,$H$3:$K$33,4,FALSE)&amp;"碎片",$B$3:$C$27,2,FALSE)*VLOOKUP($N61,$N$3:$AF$15,MATCH(VLOOKUP(S$18,$H$3:$K$33,3,FALSE)&amp;VLOOKUP(S$18,$H$3:$K$33,4,FALSE),$N$3:$AF$3,0),FALSE),S60)</f>
        <v>54</v>
      </c>
      <c r="T61" s="229">
        <f>IFERROR(VLOOKUP(VLOOKUP(T$18,$H$3:$K$33,3,FALSE)&amp;VLOOKUP(T$18,$H$3:$K$33,4,FALSE)&amp;"碎片",$B$3:$C$27,2,FALSE)*VLOOKUP($N61,$N$3:$AF$15,MATCH(VLOOKUP(T$18,$H$3:$K$33,3,FALSE)&amp;VLOOKUP(T$18,$H$3:$K$33,4,FALSE),$N$3:$AF$3,0),FALSE),T60)</f>
        <v>68.399999999999991</v>
      </c>
      <c r="U61" s="229">
        <f>IFERROR(VLOOKUP(VLOOKUP(U$18,$H$3:$K$33,3,FALSE)&amp;VLOOKUP(U$18,$H$3:$K$33,4,FALSE)&amp;"碎片",$B$3:$C$27,2,FALSE)*VLOOKUP($N61,$N$3:$AF$15,MATCH(VLOOKUP(U$18,$H$3:$K$33,3,FALSE)&amp;VLOOKUP(U$18,$H$3:$K$33,4,FALSE),$N$3:$AF$3,0),FALSE),U60)</f>
        <v>84</v>
      </c>
      <c r="V61" s="229">
        <f>IFERROR(VLOOKUP(VLOOKUP(V$18,$H$3:$K$33,3,FALSE)&amp;VLOOKUP(V$18,$H$3:$K$33,4,FALSE)&amp;"碎片",$B$3:$C$27,2,FALSE)*VLOOKUP($N61,$N$3:$AF$15,MATCH(VLOOKUP(V$18,$H$3:$K$33,3,FALSE)&amp;VLOOKUP(V$18,$H$3:$K$33,4,FALSE),$N$3:$AF$3,0),FALSE),V60)</f>
        <v>105</v>
      </c>
      <c r="W61" s="229">
        <f>IFERROR(VLOOKUP(VLOOKUP(W$18,$H$3:$K$33,3,FALSE)&amp;VLOOKUP(W$18,$H$3:$K$33,4,FALSE)&amp;"碎片",$B$3:$C$27,2,FALSE)*VLOOKUP($N61,$N$3:$AF$15,MATCH(VLOOKUP(W$18,$H$3:$K$33,3,FALSE)&amp;VLOOKUP(W$18,$H$3:$K$33,4,FALSE),$N$3:$AF$3,0),FALSE),W60)</f>
        <v>130.19999999999999</v>
      </c>
      <c r="X61" s="229">
        <f>IFERROR(VLOOKUP(VLOOKUP(X$18,$H$3:$K$33,3,FALSE)&amp;VLOOKUP(X$18,$H$3:$K$33,4,FALSE)&amp;"碎片",$B$3:$C$27,2,FALSE)*VLOOKUP($N61,$N$3:$AF$15,MATCH(VLOOKUP(X$18,$H$3:$K$33,3,FALSE)&amp;VLOOKUP(X$18,$H$3:$K$33,4,FALSE),$N$3:$AF$3,0),FALSE),X60)</f>
        <v>163.19999999999999</v>
      </c>
      <c r="Y61" s="229">
        <f>IFERROR(VLOOKUP(VLOOKUP(Y$18,$H$3:$K$33,3,FALSE)&amp;VLOOKUP(Y$18,$H$3:$K$33,4,FALSE)&amp;"碎片",$B$3:$C$27,2,FALSE)*VLOOKUP($N61,$N$3:$AF$15,MATCH(VLOOKUP(Y$18,$H$3:$K$33,3,FALSE)&amp;VLOOKUP(Y$18,$H$3:$K$33,4,FALSE),$N$3:$AF$3,0),FALSE),Y60)</f>
        <v>20.400000000000063</v>
      </c>
      <c r="Z61" s="229">
        <f>IFERROR(VLOOKUP(VLOOKUP(Z$18,$H$3:$K$33,3,FALSE)&amp;VLOOKUP(Z$18,$H$3:$K$33,4,FALSE)&amp;"碎片",$B$3:$C$27,2,FALSE)*VLOOKUP($N61,$N$3:$AF$15,MATCH(VLOOKUP(Z$18,$H$3:$K$33,3,FALSE)&amp;VLOOKUP(Z$18,$H$3:$K$33,4,FALSE),$N$3:$AF$3,0),FALSE),Z60)</f>
        <v>24.00000000000006</v>
      </c>
      <c r="AA61" s="229">
        <f>IFERROR(VLOOKUP(VLOOKUP(AA$18,$H$3:$K$33,3,FALSE)&amp;VLOOKUP(AA$18,$H$3:$K$33,4,FALSE)&amp;"碎片",$B$3:$C$27,2,FALSE)*VLOOKUP($N61,$N$3:$AF$15,MATCH(VLOOKUP(AA$18,$H$3:$K$33,3,FALSE)&amp;VLOOKUP(AA$18,$H$3:$K$33,4,FALSE),$N$3:$AF$3,0),FALSE),AA60)</f>
        <v>54.400000000000084</v>
      </c>
      <c r="AB61" s="229">
        <f>IFERROR(VLOOKUP(VLOOKUP(AB$18,$H$3:$K$33,3,FALSE)&amp;VLOOKUP(AB$18,$H$3:$K$33,4,FALSE)&amp;"碎片",$B$3:$C$27,2,FALSE)*VLOOKUP($N61,$N$3:$AF$15,MATCH(VLOOKUP(AB$18,$H$3:$K$33,3,FALSE)&amp;VLOOKUP(AB$18,$H$3:$K$33,4,FALSE),$N$3:$AF$3,0),FALSE),AB60)</f>
        <v>34.799999999999997</v>
      </c>
      <c r="AC61" s="229">
        <f>IFERROR(VLOOKUP(VLOOKUP(AC$18,$H$3:$K$33,3,FALSE)&amp;VLOOKUP(AC$18,$H$3:$K$33,4,FALSE)&amp;"碎片",$B$3:$C$27,2,FALSE)*VLOOKUP($N61,$N$3:$AF$15,MATCH(VLOOKUP(AC$18,$H$3:$K$33,3,FALSE)&amp;VLOOKUP(AC$18,$H$3:$K$33,4,FALSE),$N$3:$AF$3,0),FALSE),AC60)</f>
        <v>54</v>
      </c>
      <c r="AD61" s="229">
        <f>IFERROR(VLOOKUP(VLOOKUP(AD$18,$H$3:$K$33,3,FALSE)&amp;VLOOKUP(AD$18,$H$3:$K$33,4,FALSE)&amp;"碎片",$B$3:$C$27,2,FALSE)*VLOOKUP($N61,$N$3:$AF$15,MATCH(VLOOKUP(AD$18,$H$3:$K$33,3,FALSE)&amp;VLOOKUP(AD$18,$H$3:$K$33,4,FALSE),$N$3:$AF$3,0),FALSE),AD60)</f>
        <v>68.399999999999991</v>
      </c>
      <c r="AE61" s="229">
        <f>IFERROR(VLOOKUP(VLOOKUP(AE$18,$H$3:$K$33,3,FALSE)&amp;VLOOKUP(AE$18,$H$3:$K$33,4,FALSE)&amp;"碎片",$B$3:$C$27,2,FALSE)*VLOOKUP($N61,$N$3:$AF$15,MATCH(VLOOKUP(AE$18,$H$3:$K$33,3,FALSE)&amp;VLOOKUP(AE$18,$H$3:$K$33,4,FALSE),$N$3:$AF$3,0),FALSE),AE60)</f>
        <v>84</v>
      </c>
      <c r="AF61" s="229">
        <f>IFERROR(VLOOKUP(VLOOKUP(AF$18,$H$3:$K$33,3,FALSE)&amp;VLOOKUP(AF$18,$H$3:$K$33,4,FALSE)&amp;"碎片",$B$3:$C$27,2,FALSE)*VLOOKUP($N61,$N$3:$AF$15,MATCH(VLOOKUP(AF$18,$H$3:$K$33,3,FALSE)&amp;VLOOKUP(AF$18,$H$3:$K$33,4,FALSE),$N$3:$AF$3,0),FALSE),AF60)</f>
        <v>105</v>
      </c>
      <c r="AG61" s="229">
        <f>IFERROR(VLOOKUP(VLOOKUP(AG$18,$H$3:$K$33,3,FALSE)&amp;VLOOKUP(AG$18,$H$3:$K$33,4,FALSE)&amp;"碎片",$B$3:$C$27,2,FALSE)*VLOOKUP($N61,$N$3:$AF$15,MATCH(VLOOKUP(AG$18,$H$3:$K$33,3,FALSE)&amp;VLOOKUP(AG$18,$H$3:$K$33,4,FALSE),$N$3:$AF$3,0),FALSE),AG60)</f>
        <v>130.19999999999999</v>
      </c>
      <c r="AH61" s="229">
        <f>IFERROR(VLOOKUP(VLOOKUP(AH$18,$H$3:$K$33,3,FALSE)&amp;VLOOKUP(AH$18,$H$3:$K$33,4,FALSE)&amp;"碎片",$B$3:$C$27,2,FALSE)*VLOOKUP($N61,$N$3:$AF$15,MATCH(VLOOKUP(AH$18,$H$3:$K$33,3,FALSE)&amp;VLOOKUP(AH$18,$H$3:$K$33,4,FALSE),$N$3:$AF$3,0),FALSE),AH60)</f>
        <v>163.19999999999999</v>
      </c>
      <c r="AI61" s="229">
        <f>IFERROR(VLOOKUP(VLOOKUP(AI$18,$H$3:$K$33,3,FALSE)&amp;VLOOKUP(AI$18,$H$3:$K$33,4,FALSE)&amp;"碎片",$B$3:$C$27,2,FALSE)*VLOOKUP($N61,$N$3:$AF$15,MATCH(VLOOKUP(AI$18,$H$3:$K$33,3,FALSE)&amp;VLOOKUP(AI$18,$H$3:$K$33,4,FALSE),$N$3:$AF$3,0),FALSE),AI60)</f>
        <v>20.400000000000063</v>
      </c>
      <c r="AJ61" s="229">
        <f>IFERROR(VLOOKUP(VLOOKUP(AJ$18,$H$3:$K$33,3,FALSE)&amp;VLOOKUP(AJ$18,$H$3:$K$33,4,FALSE)&amp;"碎片",$B$3:$C$27,2,FALSE)*VLOOKUP($N61,$N$3:$AF$15,MATCH(VLOOKUP(AJ$18,$H$3:$K$33,3,FALSE)&amp;VLOOKUP(AJ$18,$H$3:$K$33,4,FALSE),$N$3:$AF$3,0),FALSE),AJ60)</f>
        <v>24.00000000000006</v>
      </c>
      <c r="AK61" s="229">
        <f>IFERROR(VLOOKUP(VLOOKUP(AK$18,$H$3:$K$33,3,FALSE)&amp;VLOOKUP(AK$18,$H$3:$K$33,4,FALSE)&amp;"碎片",$B$3:$C$27,2,FALSE)*VLOOKUP($N61,$N$3:$AF$15,MATCH(VLOOKUP(AK$18,$H$3:$K$33,3,FALSE)&amp;VLOOKUP(AK$18,$H$3:$K$33,4,FALSE),$N$3:$AF$3,0),FALSE),AK60)</f>
        <v>54.400000000000084</v>
      </c>
      <c r="AL61" s="229">
        <f>IFERROR(VLOOKUP(VLOOKUP(AL$18,$H$3:$K$33,3,FALSE)&amp;VLOOKUP(AL$18,$H$3:$K$33,4,FALSE)&amp;"碎片",$B$3:$C$27,2,FALSE)*VLOOKUP($N61,$N$3:$AF$15,MATCH(VLOOKUP(AL$18,$H$3:$K$33,3,FALSE)&amp;VLOOKUP(AL$18,$H$3:$K$33,4,FALSE),$N$3:$AF$3,0),FALSE),AL60)</f>
        <v>34.799999999999997</v>
      </c>
      <c r="AM61" s="229">
        <f>IFERROR(VLOOKUP(VLOOKUP(AM$18,$H$3:$K$33,3,FALSE)&amp;VLOOKUP(AM$18,$H$3:$K$33,4,FALSE)&amp;"碎片",$B$3:$C$27,2,FALSE)*VLOOKUP($N61,$N$3:$AF$15,MATCH(VLOOKUP(AM$18,$H$3:$K$33,3,FALSE)&amp;VLOOKUP(AM$18,$H$3:$K$33,4,FALSE),$N$3:$AF$3,0),FALSE),AM60)</f>
        <v>54</v>
      </c>
      <c r="AN61" s="229">
        <f>IFERROR(VLOOKUP(VLOOKUP(AN$18,$H$3:$K$33,3,FALSE)&amp;VLOOKUP(AN$18,$H$3:$K$33,4,FALSE)&amp;"碎片",$B$3:$C$27,2,FALSE)*VLOOKUP($N61,$N$3:$AF$15,MATCH(VLOOKUP(AN$18,$H$3:$K$33,3,FALSE)&amp;VLOOKUP(AN$18,$H$3:$K$33,4,FALSE),$N$3:$AF$3,0),FALSE),AN60)</f>
        <v>68.399999999999991</v>
      </c>
      <c r="AO61" s="229">
        <f>IFERROR(VLOOKUP(VLOOKUP(AO$18,$H$3:$K$33,3,FALSE)&amp;VLOOKUP(AO$18,$H$3:$K$33,4,FALSE)&amp;"碎片",$B$3:$C$27,2,FALSE)*VLOOKUP($N61,$N$3:$AF$15,MATCH(VLOOKUP(AO$18,$H$3:$K$33,3,FALSE)&amp;VLOOKUP(AO$18,$H$3:$K$33,4,FALSE),$N$3:$AF$3,0),FALSE),AO60)</f>
        <v>84</v>
      </c>
      <c r="AP61" s="229">
        <f>IFERROR(VLOOKUP(VLOOKUP(AP$18,$H$3:$K$33,3,FALSE)&amp;VLOOKUP(AP$18,$H$3:$K$33,4,FALSE)&amp;"碎片",$B$3:$C$27,2,FALSE)*VLOOKUP($N61,$N$3:$AF$15,MATCH(VLOOKUP(AP$18,$H$3:$K$33,3,FALSE)&amp;VLOOKUP(AP$18,$H$3:$K$33,4,FALSE),$N$3:$AF$3,0),FALSE),AP60)</f>
        <v>105</v>
      </c>
      <c r="AQ61" s="229">
        <f>IFERROR(VLOOKUP(VLOOKUP(AQ$18,$H$3:$K$33,3,FALSE)&amp;VLOOKUP(AQ$18,$H$3:$K$33,4,FALSE)&amp;"碎片",$B$3:$C$27,2,FALSE)*VLOOKUP($N61,$N$3:$AF$15,MATCH(VLOOKUP(AQ$18,$H$3:$K$33,3,FALSE)&amp;VLOOKUP(AQ$18,$H$3:$K$33,4,FALSE),$N$3:$AF$3,0),FALSE),AQ60)</f>
        <v>130.19999999999999</v>
      </c>
      <c r="AR61" s="229">
        <f>IFERROR(VLOOKUP(VLOOKUP(AR$18,$H$3:$K$33,3,FALSE)&amp;VLOOKUP(AR$18,$H$3:$K$33,4,FALSE)&amp;"碎片",$B$3:$C$27,2,FALSE)*VLOOKUP($N61,$N$3:$AF$15,MATCH(VLOOKUP(AR$18,$H$3:$K$33,3,FALSE)&amp;VLOOKUP(AR$18,$H$3:$K$33,4,FALSE),$N$3:$AF$3,0),FALSE),AR60)</f>
        <v>163.19999999999999</v>
      </c>
    </row>
    <row r="62" spans="2:44" x14ac:dyDescent="0.35">
      <c r="B62" s="761" t="s">
        <v>2145</v>
      </c>
      <c r="C62" s="761"/>
      <c r="D62" s="761"/>
      <c r="E62" s="761"/>
      <c r="F62" s="761"/>
      <c r="N62" s="219">
        <v>17</v>
      </c>
      <c r="O62" s="229">
        <f>IFERROR(VLOOKUP(VLOOKUP(O$18,$H$3:$K$33,3,FALSE)&amp;VLOOKUP(O$18,$H$3:$K$33,4,FALSE)&amp;"碎片",$B$3:$C$27,2,FALSE)*VLOOKUP($N62,$N$3:$AF$15,MATCH(VLOOKUP(O$18,$H$3:$K$33,3,FALSE)&amp;VLOOKUP(O$18,$H$3:$K$33,4,FALSE),$N$3:$AF$3,0),FALSE),O61)</f>
        <v>20.400000000000063</v>
      </c>
      <c r="P62" s="229">
        <f>IFERROR(VLOOKUP(VLOOKUP(P$18,$H$3:$K$33,3,FALSE)&amp;VLOOKUP(P$18,$H$3:$K$33,4,FALSE)&amp;"碎片",$B$3:$C$27,2,FALSE)*VLOOKUP($N62,$N$3:$AF$15,MATCH(VLOOKUP(P$18,$H$3:$K$33,3,FALSE)&amp;VLOOKUP(P$18,$H$3:$K$33,4,FALSE),$N$3:$AF$3,0),FALSE),P61)</f>
        <v>24.00000000000006</v>
      </c>
      <c r="Q62" s="229">
        <f>IFERROR(VLOOKUP(VLOOKUP(Q$18,$H$3:$K$33,3,FALSE)&amp;VLOOKUP(Q$18,$H$3:$K$33,4,FALSE)&amp;"碎片",$B$3:$C$27,2,FALSE)*VLOOKUP($N62,$N$3:$AF$15,MATCH(VLOOKUP(Q$18,$H$3:$K$33,3,FALSE)&amp;VLOOKUP(Q$18,$H$3:$K$33,4,FALSE),$N$3:$AF$3,0),FALSE),Q61)</f>
        <v>54.400000000000084</v>
      </c>
      <c r="R62" s="229">
        <f>IFERROR(VLOOKUP(VLOOKUP(R$18,$H$3:$K$33,3,FALSE)&amp;VLOOKUP(R$18,$H$3:$K$33,4,FALSE)&amp;"碎片",$B$3:$C$27,2,FALSE)*VLOOKUP($N62,$N$3:$AF$15,MATCH(VLOOKUP(R$18,$H$3:$K$33,3,FALSE)&amp;VLOOKUP(R$18,$H$3:$K$33,4,FALSE),$N$3:$AF$3,0),FALSE),R61)</f>
        <v>34.799999999999997</v>
      </c>
      <c r="S62" s="229">
        <f>IFERROR(VLOOKUP(VLOOKUP(S$18,$H$3:$K$33,3,FALSE)&amp;VLOOKUP(S$18,$H$3:$K$33,4,FALSE)&amp;"碎片",$B$3:$C$27,2,FALSE)*VLOOKUP($N62,$N$3:$AF$15,MATCH(VLOOKUP(S$18,$H$3:$K$33,3,FALSE)&amp;VLOOKUP(S$18,$H$3:$K$33,4,FALSE),$N$3:$AF$3,0),FALSE),S61)</f>
        <v>54</v>
      </c>
      <c r="T62" s="229">
        <f>IFERROR(VLOOKUP(VLOOKUP(T$18,$H$3:$K$33,3,FALSE)&amp;VLOOKUP(T$18,$H$3:$K$33,4,FALSE)&amp;"碎片",$B$3:$C$27,2,FALSE)*VLOOKUP($N62,$N$3:$AF$15,MATCH(VLOOKUP(T$18,$H$3:$K$33,3,FALSE)&amp;VLOOKUP(T$18,$H$3:$K$33,4,FALSE),$N$3:$AF$3,0),FALSE),T61)</f>
        <v>68.399999999999991</v>
      </c>
      <c r="U62" s="229">
        <f>IFERROR(VLOOKUP(VLOOKUP(U$18,$H$3:$K$33,3,FALSE)&amp;VLOOKUP(U$18,$H$3:$K$33,4,FALSE)&amp;"碎片",$B$3:$C$27,2,FALSE)*VLOOKUP($N62,$N$3:$AF$15,MATCH(VLOOKUP(U$18,$H$3:$K$33,3,FALSE)&amp;VLOOKUP(U$18,$H$3:$K$33,4,FALSE),$N$3:$AF$3,0),FALSE),U61)</f>
        <v>84</v>
      </c>
      <c r="V62" s="229">
        <f>IFERROR(VLOOKUP(VLOOKUP(V$18,$H$3:$K$33,3,FALSE)&amp;VLOOKUP(V$18,$H$3:$K$33,4,FALSE)&amp;"碎片",$B$3:$C$27,2,FALSE)*VLOOKUP($N62,$N$3:$AF$15,MATCH(VLOOKUP(V$18,$H$3:$K$33,3,FALSE)&amp;VLOOKUP(V$18,$H$3:$K$33,4,FALSE),$N$3:$AF$3,0),FALSE),V61)</f>
        <v>105</v>
      </c>
      <c r="W62" s="229">
        <f>IFERROR(VLOOKUP(VLOOKUP(W$18,$H$3:$K$33,3,FALSE)&amp;VLOOKUP(W$18,$H$3:$K$33,4,FALSE)&amp;"碎片",$B$3:$C$27,2,FALSE)*VLOOKUP($N62,$N$3:$AF$15,MATCH(VLOOKUP(W$18,$H$3:$K$33,3,FALSE)&amp;VLOOKUP(W$18,$H$3:$K$33,4,FALSE),$N$3:$AF$3,0),FALSE),W61)</f>
        <v>130.19999999999999</v>
      </c>
      <c r="X62" s="229">
        <f>IFERROR(VLOOKUP(VLOOKUP(X$18,$H$3:$K$33,3,FALSE)&amp;VLOOKUP(X$18,$H$3:$K$33,4,FALSE)&amp;"碎片",$B$3:$C$27,2,FALSE)*VLOOKUP($N62,$N$3:$AF$15,MATCH(VLOOKUP(X$18,$H$3:$K$33,3,FALSE)&amp;VLOOKUP(X$18,$H$3:$K$33,4,FALSE),$N$3:$AF$3,0),FALSE),X61)</f>
        <v>163.19999999999999</v>
      </c>
      <c r="Y62" s="229">
        <f>IFERROR(VLOOKUP(VLOOKUP(Y$18,$H$3:$K$33,3,FALSE)&amp;VLOOKUP(Y$18,$H$3:$K$33,4,FALSE)&amp;"碎片",$B$3:$C$27,2,FALSE)*VLOOKUP($N62,$N$3:$AF$15,MATCH(VLOOKUP(Y$18,$H$3:$K$33,3,FALSE)&amp;VLOOKUP(Y$18,$H$3:$K$33,4,FALSE),$N$3:$AF$3,0),FALSE),Y61)</f>
        <v>20.400000000000063</v>
      </c>
      <c r="Z62" s="229">
        <f>IFERROR(VLOOKUP(VLOOKUP(Z$18,$H$3:$K$33,3,FALSE)&amp;VLOOKUP(Z$18,$H$3:$K$33,4,FALSE)&amp;"碎片",$B$3:$C$27,2,FALSE)*VLOOKUP($N62,$N$3:$AF$15,MATCH(VLOOKUP(Z$18,$H$3:$K$33,3,FALSE)&amp;VLOOKUP(Z$18,$H$3:$K$33,4,FALSE),$N$3:$AF$3,0),FALSE),Z61)</f>
        <v>24.00000000000006</v>
      </c>
      <c r="AA62" s="229">
        <f>IFERROR(VLOOKUP(VLOOKUP(AA$18,$H$3:$K$33,3,FALSE)&amp;VLOOKUP(AA$18,$H$3:$K$33,4,FALSE)&amp;"碎片",$B$3:$C$27,2,FALSE)*VLOOKUP($N62,$N$3:$AF$15,MATCH(VLOOKUP(AA$18,$H$3:$K$33,3,FALSE)&amp;VLOOKUP(AA$18,$H$3:$K$33,4,FALSE),$N$3:$AF$3,0),FALSE),AA61)</f>
        <v>54.400000000000084</v>
      </c>
      <c r="AB62" s="229">
        <f>IFERROR(VLOOKUP(VLOOKUP(AB$18,$H$3:$K$33,3,FALSE)&amp;VLOOKUP(AB$18,$H$3:$K$33,4,FALSE)&amp;"碎片",$B$3:$C$27,2,FALSE)*VLOOKUP($N62,$N$3:$AF$15,MATCH(VLOOKUP(AB$18,$H$3:$K$33,3,FALSE)&amp;VLOOKUP(AB$18,$H$3:$K$33,4,FALSE),$N$3:$AF$3,0),FALSE),AB61)</f>
        <v>34.799999999999997</v>
      </c>
      <c r="AC62" s="229">
        <f>IFERROR(VLOOKUP(VLOOKUP(AC$18,$H$3:$K$33,3,FALSE)&amp;VLOOKUP(AC$18,$H$3:$K$33,4,FALSE)&amp;"碎片",$B$3:$C$27,2,FALSE)*VLOOKUP($N62,$N$3:$AF$15,MATCH(VLOOKUP(AC$18,$H$3:$K$33,3,FALSE)&amp;VLOOKUP(AC$18,$H$3:$K$33,4,FALSE),$N$3:$AF$3,0),FALSE),AC61)</f>
        <v>54</v>
      </c>
      <c r="AD62" s="229">
        <f>IFERROR(VLOOKUP(VLOOKUP(AD$18,$H$3:$K$33,3,FALSE)&amp;VLOOKUP(AD$18,$H$3:$K$33,4,FALSE)&amp;"碎片",$B$3:$C$27,2,FALSE)*VLOOKUP($N62,$N$3:$AF$15,MATCH(VLOOKUP(AD$18,$H$3:$K$33,3,FALSE)&amp;VLOOKUP(AD$18,$H$3:$K$33,4,FALSE),$N$3:$AF$3,0),FALSE),AD61)</f>
        <v>68.399999999999991</v>
      </c>
      <c r="AE62" s="229">
        <f>IFERROR(VLOOKUP(VLOOKUP(AE$18,$H$3:$K$33,3,FALSE)&amp;VLOOKUP(AE$18,$H$3:$K$33,4,FALSE)&amp;"碎片",$B$3:$C$27,2,FALSE)*VLOOKUP($N62,$N$3:$AF$15,MATCH(VLOOKUP(AE$18,$H$3:$K$33,3,FALSE)&amp;VLOOKUP(AE$18,$H$3:$K$33,4,FALSE),$N$3:$AF$3,0),FALSE),AE61)</f>
        <v>84</v>
      </c>
      <c r="AF62" s="229">
        <f>IFERROR(VLOOKUP(VLOOKUP(AF$18,$H$3:$K$33,3,FALSE)&amp;VLOOKUP(AF$18,$H$3:$K$33,4,FALSE)&amp;"碎片",$B$3:$C$27,2,FALSE)*VLOOKUP($N62,$N$3:$AF$15,MATCH(VLOOKUP(AF$18,$H$3:$K$33,3,FALSE)&amp;VLOOKUP(AF$18,$H$3:$K$33,4,FALSE),$N$3:$AF$3,0),FALSE),AF61)</f>
        <v>105</v>
      </c>
      <c r="AG62" s="229">
        <f>IFERROR(VLOOKUP(VLOOKUP(AG$18,$H$3:$K$33,3,FALSE)&amp;VLOOKUP(AG$18,$H$3:$K$33,4,FALSE)&amp;"碎片",$B$3:$C$27,2,FALSE)*VLOOKUP($N62,$N$3:$AF$15,MATCH(VLOOKUP(AG$18,$H$3:$K$33,3,FALSE)&amp;VLOOKUP(AG$18,$H$3:$K$33,4,FALSE),$N$3:$AF$3,0),FALSE),AG61)</f>
        <v>130.19999999999999</v>
      </c>
      <c r="AH62" s="229">
        <f>IFERROR(VLOOKUP(VLOOKUP(AH$18,$H$3:$K$33,3,FALSE)&amp;VLOOKUP(AH$18,$H$3:$K$33,4,FALSE)&amp;"碎片",$B$3:$C$27,2,FALSE)*VLOOKUP($N62,$N$3:$AF$15,MATCH(VLOOKUP(AH$18,$H$3:$K$33,3,FALSE)&amp;VLOOKUP(AH$18,$H$3:$K$33,4,FALSE),$N$3:$AF$3,0),FALSE),AH61)</f>
        <v>163.19999999999999</v>
      </c>
      <c r="AI62" s="229">
        <f>IFERROR(VLOOKUP(VLOOKUP(AI$18,$H$3:$K$33,3,FALSE)&amp;VLOOKUP(AI$18,$H$3:$K$33,4,FALSE)&amp;"碎片",$B$3:$C$27,2,FALSE)*VLOOKUP($N62,$N$3:$AF$15,MATCH(VLOOKUP(AI$18,$H$3:$K$33,3,FALSE)&amp;VLOOKUP(AI$18,$H$3:$K$33,4,FALSE),$N$3:$AF$3,0),FALSE),AI61)</f>
        <v>20.400000000000063</v>
      </c>
      <c r="AJ62" s="229">
        <f>IFERROR(VLOOKUP(VLOOKUP(AJ$18,$H$3:$K$33,3,FALSE)&amp;VLOOKUP(AJ$18,$H$3:$K$33,4,FALSE)&amp;"碎片",$B$3:$C$27,2,FALSE)*VLOOKUP($N62,$N$3:$AF$15,MATCH(VLOOKUP(AJ$18,$H$3:$K$33,3,FALSE)&amp;VLOOKUP(AJ$18,$H$3:$K$33,4,FALSE),$N$3:$AF$3,0),FALSE),AJ61)</f>
        <v>24.00000000000006</v>
      </c>
      <c r="AK62" s="229">
        <f>IFERROR(VLOOKUP(VLOOKUP(AK$18,$H$3:$K$33,3,FALSE)&amp;VLOOKUP(AK$18,$H$3:$K$33,4,FALSE)&amp;"碎片",$B$3:$C$27,2,FALSE)*VLOOKUP($N62,$N$3:$AF$15,MATCH(VLOOKUP(AK$18,$H$3:$K$33,3,FALSE)&amp;VLOOKUP(AK$18,$H$3:$K$33,4,FALSE),$N$3:$AF$3,0),FALSE),AK61)</f>
        <v>54.400000000000084</v>
      </c>
      <c r="AL62" s="229">
        <f>IFERROR(VLOOKUP(VLOOKUP(AL$18,$H$3:$K$33,3,FALSE)&amp;VLOOKUP(AL$18,$H$3:$K$33,4,FALSE)&amp;"碎片",$B$3:$C$27,2,FALSE)*VLOOKUP($N62,$N$3:$AF$15,MATCH(VLOOKUP(AL$18,$H$3:$K$33,3,FALSE)&amp;VLOOKUP(AL$18,$H$3:$K$33,4,FALSE),$N$3:$AF$3,0),FALSE),AL61)</f>
        <v>34.799999999999997</v>
      </c>
      <c r="AM62" s="229">
        <f>IFERROR(VLOOKUP(VLOOKUP(AM$18,$H$3:$K$33,3,FALSE)&amp;VLOOKUP(AM$18,$H$3:$K$33,4,FALSE)&amp;"碎片",$B$3:$C$27,2,FALSE)*VLOOKUP($N62,$N$3:$AF$15,MATCH(VLOOKUP(AM$18,$H$3:$K$33,3,FALSE)&amp;VLOOKUP(AM$18,$H$3:$K$33,4,FALSE),$N$3:$AF$3,0),FALSE),AM61)</f>
        <v>54</v>
      </c>
      <c r="AN62" s="229">
        <f>IFERROR(VLOOKUP(VLOOKUP(AN$18,$H$3:$K$33,3,FALSE)&amp;VLOOKUP(AN$18,$H$3:$K$33,4,FALSE)&amp;"碎片",$B$3:$C$27,2,FALSE)*VLOOKUP($N62,$N$3:$AF$15,MATCH(VLOOKUP(AN$18,$H$3:$K$33,3,FALSE)&amp;VLOOKUP(AN$18,$H$3:$K$33,4,FALSE),$N$3:$AF$3,0),FALSE),AN61)</f>
        <v>68.399999999999991</v>
      </c>
      <c r="AO62" s="229">
        <f>IFERROR(VLOOKUP(VLOOKUP(AO$18,$H$3:$K$33,3,FALSE)&amp;VLOOKUP(AO$18,$H$3:$K$33,4,FALSE)&amp;"碎片",$B$3:$C$27,2,FALSE)*VLOOKUP($N62,$N$3:$AF$15,MATCH(VLOOKUP(AO$18,$H$3:$K$33,3,FALSE)&amp;VLOOKUP(AO$18,$H$3:$K$33,4,FALSE),$N$3:$AF$3,0),FALSE),AO61)</f>
        <v>84</v>
      </c>
      <c r="AP62" s="229">
        <f>IFERROR(VLOOKUP(VLOOKUP(AP$18,$H$3:$K$33,3,FALSE)&amp;VLOOKUP(AP$18,$H$3:$K$33,4,FALSE)&amp;"碎片",$B$3:$C$27,2,FALSE)*VLOOKUP($N62,$N$3:$AF$15,MATCH(VLOOKUP(AP$18,$H$3:$K$33,3,FALSE)&amp;VLOOKUP(AP$18,$H$3:$K$33,4,FALSE),$N$3:$AF$3,0),FALSE),AP61)</f>
        <v>105</v>
      </c>
      <c r="AQ62" s="229">
        <f>IFERROR(VLOOKUP(VLOOKUP(AQ$18,$H$3:$K$33,3,FALSE)&amp;VLOOKUP(AQ$18,$H$3:$K$33,4,FALSE)&amp;"碎片",$B$3:$C$27,2,FALSE)*VLOOKUP($N62,$N$3:$AF$15,MATCH(VLOOKUP(AQ$18,$H$3:$K$33,3,FALSE)&amp;VLOOKUP(AQ$18,$H$3:$K$33,4,FALSE),$N$3:$AF$3,0),FALSE),AQ61)</f>
        <v>130.19999999999999</v>
      </c>
      <c r="AR62" s="229">
        <f>IFERROR(VLOOKUP(VLOOKUP(AR$18,$H$3:$K$33,3,FALSE)&amp;VLOOKUP(AR$18,$H$3:$K$33,4,FALSE)&amp;"碎片",$B$3:$C$27,2,FALSE)*VLOOKUP($N62,$N$3:$AF$15,MATCH(VLOOKUP(AR$18,$H$3:$K$33,3,FALSE)&amp;VLOOKUP(AR$18,$H$3:$K$33,4,FALSE),$N$3:$AF$3,0),FALSE),AR61)</f>
        <v>163.19999999999999</v>
      </c>
    </row>
    <row r="63" spans="2:44" x14ac:dyDescent="0.35">
      <c r="B63" s="584" t="str">
        <f>坦克部件养成!B21</f>
        <v>时间戳(分)</v>
      </c>
      <c r="C63" s="584" t="str">
        <f>坦克部件养成!C21</f>
        <v>时间戳(秒)</v>
      </c>
      <c r="D63" s="584" t="str">
        <f>坦克部件养成!D21</f>
        <v>1钻时长(秒)</v>
      </c>
      <c r="E63" s="584" t="str">
        <f>坦克部件养成!E21</f>
        <v>消耗钻石</v>
      </c>
      <c r="F63" s="584" t="str">
        <f>坦克部件养成!F21</f>
        <v>时间/钻</v>
      </c>
      <c r="H63" s="588" t="s">
        <v>2695</v>
      </c>
      <c r="I63" s="588" t="s">
        <v>2696</v>
      </c>
      <c r="K63" s="588" t="s">
        <v>2697</v>
      </c>
      <c r="L63" s="588" t="s">
        <v>2698</v>
      </c>
      <c r="N63" s="219">
        <v>18</v>
      </c>
      <c r="O63" s="229">
        <f>IFERROR(VLOOKUP(VLOOKUP(O$18,$H$3:$K$33,3,FALSE)&amp;VLOOKUP(O$18,$H$3:$K$33,4,FALSE)&amp;"碎片",$B$3:$C$27,2,FALSE)*VLOOKUP($N63,$N$3:$AF$15,MATCH(VLOOKUP(O$18,$H$3:$K$33,3,FALSE)&amp;VLOOKUP(O$18,$H$3:$K$33,4,FALSE),$N$3:$AF$3,0),FALSE),O62)</f>
        <v>20.400000000000063</v>
      </c>
      <c r="P63" s="229">
        <f>IFERROR(VLOOKUP(VLOOKUP(P$18,$H$3:$K$33,3,FALSE)&amp;VLOOKUP(P$18,$H$3:$K$33,4,FALSE)&amp;"碎片",$B$3:$C$27,2,FALSE)*VLOOKUP($N63,$N$3:$AF$15,MATCH(VLOOKUP(P$18,$H$3:$K$33,3,FALSE)&amp;VLOOKUP(P$18,$H$3:$K$33,4,FALSE),$N$3:$AF$3,0),FALSE),P62)</f>
        <v>24.00000000000006</v>
      </c>
      <c r="Q63" s="229">
        <f>IFERROR(VLOOKUP(VLOOKUP(Q$18,$H$3:$K$33,3,FALSE)&amp;VLOOKUP(Q$18,$H$3:$K$33,4,FALSE)&amp;"碎片",$B$3:$C$27,2,FALSE)*VLOOKUP($N63,$N$3:$AF$15,MATCH(VLOOKUP(Q$18,$H$3:$K$33,3,FALSE)&amp;VLOOKUP(Q$18,$H$3:$K$33,4,FALSE),$N$3:$AF$3,0),FALSE),Q62)</f>
        <v>54.400000000000084</v>
      </c>
      <c r="R63" s="229">
        <f>IFERROR(VLOOKUP(VLOOKUP(R$18,$H$3:$K$33,3,FALSE)&amp;VLOOKUP(R$18,$H$3:$K$33,4,FALSE)&amp;"碎片",$B$3:$C$27,2,FALSE)*VLOOKUP($N63,$N$3:$AF$15,MATCH(VLOOKUP(R$18,$H$3:$K$33,3,FALSE)&amp;VLOOKUP(R$18,$H$3:$K$33,4,FALSE),$N$3:$AF$3,0),FALSE),R62)</f>
        <v>34.799999999999997</v>
      </c>
      <c r="S63" s="229">
        <f>IFERROR(VLOOKUP(VLOOKUP(S$18,$H$3:$K$33,3,FALSE)&amp;VLOOKUP(S$18,$H$3:$K$33,4,FALSE)&amp;"碎片",$B$3:$C$27,2,FALSE)*VLOOKUP($N63,$N$3:$AF$15,MATCH(VLOOKUP(S$18,$H$3:$K$33,3,FALSE)&amp;VLOOKUP(S$18,$H$3:$K$33,4,FALSE),$N$3:$AF$3,0),FALSE),S62)</f>
        <v>54</v>
      </c>
      <c r="T63" s="229">
        <f>IFERROR(VLOOKUP(VLOOKUP(T$18,$H$3:$K$33,3,FALSE)&amp;VLOOKUP(T$18,$H$3:$K$33,4,FALSE)&amp;"碎片",$B$3:$C$27,2,FALSE)*VLOOKUP($N63,$N$3:$AF$15,MATCH(VLOOKUP(T$18,$H$3:$K$33,3,FALSE)&amp;VLOOKUP(T$18,$H$3:$K$33,4,FALSE),$N$3:$AF$3,0),FALSE),T62)</f>
        <v>68.399999999999991</v>
      </c>
      <c r="U63" s="229">
        <f>IFERROR(VLOOKUP(VLOOKUP(U$18,$H$3:$K$33,3,FALSE)&amp;VLOOKUP(U$18,$H$3:$K$33,4,FALSE)&amp;"碎片",$B$3:$C$27,2,FALSE)*VLOOKUP($N63,$N$3:$AF$15,MATCH(VLOOKUP(U$18,$H$3:$K$33,3,FALSE)&amp;VLOOKUP(U$18,$H$3:$K$33,4,FALSE),$N$3:$AF$3,0),FALSE),U62)</f>
        <v>84</v>
      </c>
      <c r="V63" s="229">
        <f>IFERROR(VLOOKUP(VLOOKUP(V$18,$H$3:$K$33,3,FALSE)&amp;VLOOKUP(V$18,$H$3:$K$33,4,FALSE)&amp;"碎片",$B$3:$C$27,2,FALSE)*VLOOKUP($N63,$N$3:$AF$15,MATCH(VLOOKUP(V$18,$H$3:$K$33,3,FALSE)&amp;VLOOKUP(V$18,$H$3:$K$33,4,FALSE),$N$3:$AF$3,0),FALSE),V62)</f>
        <v>105</v>
      </c>
      <c r="W63" s="229">
        <f>IFERROR(VLOOKUP(VLOOKUP(W$18,$H$3:$K$33,3,FALSE)&amp;VLOOKUP(W$18,$H$3:$K$33,4,FALSE)&amp;"碎片",$B$3:$C$27,2,FALSE)*VLOOKUP($N63,$N$3:$AF$15,MATCH(VLOOKUP(W$18,$H$3:$K$33,3,FALSE)&amp;VLOOKUP(W$18,$H$3:$K$33,4,FALSE),$N$3:$AF$3,0),FALSE),W62)</f>
        <v>130.19999999999999</v>
      </c>
      <c r="X63" s="229">
        <f>IFERROR(VLOOKUP(VLOOKUP(X$18,$H$3:$K$33,3,FALSE)&amp;VLOOKUP(X$18,$H$3:$K$33,4,FALSE)&amp;"碎片",$B$3:$C$27,2,FALSE)*VLOOKUP($N63,$N$3:$AF$15,MATCH(VLOOKUP(X$18,$H$3:$K$33,3,FALSE)&amp;VLOOKUP(X$18,$H$3:$K$33,4,FALSE),$N$3:$AF$3,0),FALSE),X62)</f>
        <v>163.19999999999999</v>
      </c>
      <c r="Y63" s="229">
        <f>IFERROR(VLOOKUP(VLOOKUP(Y$18,$H$3:$K$33,3,FALSE)&amp;VLOOKUP(Y$18,$H$3:$K$33,4,FALSE)&amp;"碎片",$B$3:$C$27,2,FALSE)*VLOOKUP($N63,$N$3:$AF$15,MATCH(VLOOKUP(Y$18,$H$3:$K$33,3,FALSE)&amp;VLOOKUP(Y$18,$H$3:$K$33,4,FALSE),$N$3:$AF$3,0),FALSE),Y62)</f>
        <v>20.400000000000063</v>
      </c>
      <c r="Z63" s="229">
        <f>IFERROR(VLOOKUP(VLOOKUP(Z$18,$H$3:$K$33,3,FALSE)&amp;VLOOKUP(Z$18,$H$3:$K$33,4,FALSE)&amp;"碎片",$B$3:$C$27,2,FALSE)*VLOOKUP($N63,$N$3:$AF$15,MATCH(VLOOKUP(Z$18,$H$3:$K$33,3,FALSE)&amp;VLOOKUP(Z$18,$H$3:$K$33,4,FALSE),$N$3:$AF$3,0),FALSE),Z62)</f>
        <v>24.00000000000006</v>
      </c>
      <c r="AA63" s="229">
        <f>IFERROR(VLOOKUP(VLOOKUP(AA$18,$H$3:$K$33,3,FALSE)&amp;VLOOKUP(AA$18,$H$3:$K$33,4,FALSE)&amp;"碎片",$B$3:$C$27,2,FALSE)*VLOOKUP($N63,$N$3:$AF$15,MATCH(VLOOKUP(AA$18,$H$3:$K$33,3,FALSE)&amp;VLOOKUP(AA$18,$H$3:$K$33,4,FALSE),$N$3:$AF$3,0),FALSE),AA62)</f>
        <v>54.400000000000084</v>
      </c>
      <c r="AB63" s="229">
        <f>IFERROR(VLOOKUP(VLOOKUP(AB$18,$H$3:$K$33,3,FALSE)&amp;VLOOKUP(AB$18,$H$3:$K$33,4,FALSE)&amp;"碎片",$B$3:$C$27,2,FALSE)*VLOOKUP($N63,$N$3:$AF$15,MATCH(VLOOKUP(AB$18,$H$3:$K$33,3,FALSE)&amp;VLOOKUP(AB$18,$H$3:$K$33,4,FALSE),$N$3:$AF$3,0),FALSE),AB62)</f>
        <v>34.799999999999997</v>
      </c>
      <c r="AC63" s="229">
        <f>IFERROR(VLOOKUP(VLOOKUP(AC$18,$H$3:$K$33,3,FALSE)&amp;VLOOKUP(AC$18,$H$3:$K$33,4,FALSE)&amp;"碎片",$B$3:$C$27,2,FALSE)*VLOOKUP($N63,$N$3:$AF$15,MATCH(VLOOKUP(AC$18,$H$3:$K$33,3,FALSE)&amp;VLOOKUP(AC$18,$H$3:$K$33,4,FALSE),$N$3:$AF$3,0),FALSE),AC62)</f>
        <v>54</v>
      </c>
      <c r="AD63" s="229">
        <f>IFERROR(VLOOKUP(VLOOKUP(AD$18,$H$3:$K$33,3,FALSE)&amp;VLOOKUP(AD$18,$H$3:$K$33,4,FALSE)&amp;"碎片",$B$3:$C$27,2,FALSE)*VLOOKUP($N63,$N$3:$AF$15,MATCH(VLOOKUP(AD$18,$H$3:$K$33,3,FALSE)&amp;VLOOKUP(AD$18,$H$3:$K$33,4,FALSE),$N$3:$AF$3,0),FALSE),AD62)</f>
        <v>68.399999999999991</v>
      </c>
      <c r="AE63" s="229">
        <f>IFERROR(VLOOKUP(VLOOKUP(AE$18,$H$3:$K$33,3,FALSE)&amp;VLOOKUP(AE$18,$H$3:$K$33,4,FALSE)&amp;"碎片",$B$3:$C$27,2,FALSE)*VLOOKUP($N63,$N$3:$AF$15,MATCH(VLOOKUP(AE$18,$H$3:$K$33,3,FALSE)&amp;VLOOKUP(AE$18,$H$3:$K$33,4,FALSE),$N$3:$AF$3,0),FALSE),AE62)</f>
        <v>84</v>
      </c>
      <c r="AF63" s="229">
        <f>IFERROR(VLOOKUP(VLOOKUP(AF$18,$H$3:$K$33,3,FALSE)&amp;VLOOKUP(AF$18,$H$3:$K$33,4,FALSE)&amp;"碎片",$B$3:$C$27,2,FALSE)*VLOOKUP($N63,$N$3:$AF$15,MATCH(VLOOKUP(AF$18,$H$3:$K$33,3,FALSE)&amp;VLOOKUP(AF$18,$H$3:$K$33,4,FALSE),$N$3:$AF$3,0),FALSE),AF62)</f>
        <v>105</v>
      </c>
      <c r="AG63" s="229">
        <f>IFERROR(VLOOKUP(VLOOKUP(AG$18,$H$3:$K$33,3,FALSE)&amp;VLOOKUP(AG$18,$H$3:$K$33,4,FALSE)&amp;"碎片",$B$3:$C$27,2,FALSE)*VLOOKUP($N63,$N$3:$AF$15,MATCH(VLOOKUP(AG$18,$H$3:$K$33,3,FALSE)&amp;VLOOKUP(AG$18,$H$3:$K$33,4,FALSE),$N$3:$AF$3,0),FALSE),AG62)</f>
        <v>130.19999999999999</v>
      </c>
      <c r="AH63" s="229">
        <f>IFERROR(VLOOKUP(VLOOKUP(AH$18,$H$3:$K$33,3,FALSE)&amp;VLOOKUP(AH$18,$H$3:$K$33,4,FALSE)&amp;"碎片",$B$3:$C$27,2,FALSE)*VLOOKUP($N63,$N$3:$AF$15,MATCH(VLOOKUP(AH$18,$H$3:$K$33,3,FALSE)&amp;VLOOKUP(AH$18,$H$3:$K$33,4,FALSE),$N$3:$AF$3,0),FALSE),AH62)</f>
        <v>163.19999999999999</v>
      </c>
      <c r="AI63" s="229">
        <f>IFERROR(VLOOKUP(VLOOKUP(AI$18,$H$3:$K$33,3,FALSE)&amp;VLOOKUP(AI$18,$H$3:$K$33,4,FALSE)&amp;"碎片",$B$3:$C$27,2,FALSE)*VLOOKUP($N63,$N$3:$AF$15,MATCH(VLOOKUP(AI$18,$H$3:$K$33,3,FALSE)&amp;VLOOKUP(AI$18,$H$3:$K$33,4,FALSE),$N$3:$AF$3,0),FALSE),AI62)</f>
        <v>20.400000000000063</v>
      </c>
      <c r="AJ63" s="229">
        <f>IFERROR(VLOOKUP(VLOOKUP(AJ$18,$H$3:$K$33,3,FALSE)&amp;VLOOKUP(AJ$18,$H$3:$K$33,4,FALSE)&amp;"碎片",$B$3:$C$27,2,FALSE)*VLOOKUP($N63,$N$3:$AF$15,MATCH(VLOOKUP(AJ$18,$H$3:$K$33,3,FALSE)&amp;VLOOKUP(AJ$18,$H$3:$K$33,4,FALSE),$N$3:$AF$3,0),FALSE),AJ62)</f>
        <v>24.00000000000006</v>
      </c>
      <c r="AK63" s="229">
        <f>IFERROR(VLOOKUP(VLOOKUP(AK$18,$H$3:$K$33,3,FALSE)&amp;VLOOKUP(AK$18,$H$3:$K$33,4,FALSE)&amp;"碎片",$B$3:$C$27,2,FALSE)*VLOOKUP($N63,$N$3:$AF$15,MATCH(VLOOKUP(AK$18,$H$3:$K$33,3,FALSE)&amp;VLOOKUP(AK$18,$H$3:$K$33,4,FALSE),$N$3:$AF$3,0),FALSE),AK62)</f>
        <v>54.400000000000084</v>
      </c>
      <c r="AL63" s="229">
        <f>IFERROR(VLOOKUP(VLOOKUP(AL$18,$H$3:$K$33,3,FALSE)&amp;VLOOKUP(AL$18,$H$3:$K$33,4,FALSE)&amp;"碎片",$B$3:$C$27,2,FALSE)*VLOOKUP($N63,$N$3:$AF$15,MATCH(VLOOKUP(AL$18,$H$3:$K$33,3,FALSE)&amp;VLOOKUP(AL$18,$H$3:$K$33,4,FALSE),$N$3:$AF$3,0),FALSE),AL62)</f>
        <v>34.799999999999997</v>
      </c>
      <c r="AM63" s="229">
        <f>IFERROR(VLOOKUP(VLOOKUP(AM$18,$H$3:$K$33,3,FALSE)&amp;VLOOKUP(AM$18,$H$3:$K$33,4,FALSE)&amp;"碎片",$B$3:$C$27,2,FALSE)*VLOOKUP($N63,$N$3:$AF$15,MATCH(VLOOKUP(AM$18,$H$3:$K$33,3,FALSE)&amp;VLOOKUP(AM$18,$H$3:$K$33,4,FALSE),$N$3:$AF$3,0),FALSE),AM62)</f>
        <v>54</v>
      </c>
      <c r="AN63" s="229">
        <f>IFERROR(VLOOKUP(VLOOKUP(AN$18,$H$3:$K$33,3,FALSE)&amp;VLOOKUP(AN$18,$H$3:$K$33,4,FALSE)&amp;"碎片",$B$3:$C$27,2,FALSE)*VLOOKUP($N63,$N$3:$AF$15,MATCH(VLOOKUP(AN$18,$H$3:$K$33,3,FALSE)&amp;VLOOKUP(AN$18,$H$3:$K$33,4,FALSE),$N$3:$AF$3,0),FALSE),AN62)</f>
        <v>68.399999999999991</v>
      </c>
      <c r="AO63" s="229">
        <f>IFERROR(VLOOKUP(VLOOKUP(AO$18,$H$3:$K$33,3,FALSE)&amp;VLOOKUP(AO$18,$H$3:$K$33,4,FALSE)&amp;"碎片",$B$3:$C$27,2,FALSE)*VLOOKUP($N63,$N$3:$AF$15,MATCH(VLOOKUP(AO$18,$H$3:$K$33,3,FALSE)&amp;VLOOKUP(AO$18,$H$3:$K$33,4,FALSE),$N$3:$AF$3,0),FALSE),AO62)</f>
        <v>84</v>
      </c>
      <c r="AP63" s="229">
        <f>IFERROR(VLOOKUP(VLOOKUP(AP$18,$H$3:$K$33,3,FALSE)&amp;VLOOKUP(AP$18,$H$3:$K$33,4,FALSE)&amp;"碎片",$B$3:$C$27,2,FALSE)*VLOOKUP($N63,$N$3:$AF$15,MATCH(VLOOKUP(AP$18,$H$3:$K$33,3,FALSE)&amp;VLOOKUP(AP$18,$H$3:$K$33,4,FALSE),$N$3:$AF$3,0),FALSE),AP62)</f>
        <v>105</v>
      </c>
      <c r="AQ63" s="229">
        <f>IFERROR(VLOOKUP(VLOOKUP(AQ$18,$H$3:$K$33,3,FALSE)&amp;VLOOKUP(AQ$18,$H$3:$K$33,4,FALSE)&amp;"碎片",$B$3:$C$27,2,FALSE)*VLOOKUP($N63,$N$3:$AF$15,MATCH(VLOOKUP(AQ$18,$H$3:$K$33,3,FALSE)&amp;VLOOKUP(AQ$18,$H$3:$K$33,4,FALSE),$N$3:$AF$3,0),FALSE),AQ62)</f>
        <v>130.19999999999999</v>
      </c>
      <c r="AR63" s="229">
        <f>IFERROR(VLOOKUP(VLOOKUP(AR$18,$H$3:$K$33,3,FALSE)&amp;VLOOKUP(AR$18,$H$3:$K$33,4,FALSE)&amp;"碎片",$B$3:$C$27,2,FALSE)*VLOOKUP($N63,$N$3:$AF$15,MATCH(VLOOKUP(AR$18,$H$3:$K$33,3,FALSE)&amp;VLOOKUP(AR$18,$H$3:$K$33,4,FALSE),$N$3:$AF$3,0),FALSE),AR62)</f>
        <v>163.19999999999999</v>
      </c>
    </row>
    <row r="64" spans="2:44" x14ac:dyDescent="0.35">
      <c r="B64" s="584">
        <f>坦克部件养成!B22</f>
        <v>0</v>
      </c>
      <c r="C64" s="584">
        <f>坦克部件养成!C22</f>
        <v>0</v>
      </c>
      <c r="D64" s="584">
        <f>坦克部件养成!D22</f>
        <v>60</v>
      </c>
      <c r="E64" s="584">
        <f>坦克部件养成!E22</f>
        <v>0</v>
      </c>
      <c r="F64" s="592">
        <f>坦克部件养成!F22</f>
        <v>60</v>
      </c>
      <c r="H64" s="583">
        <v>30</v>
      </c>
      <c r="I64" s="583">
        <v>1.05</v>
      </c>
      <c r="K64" s="583">
        <v>3</v>
      </c>
      <c r="L64" s="583">
        <v>0.8</v>
      </c>
      <c r="N64" s="219">
        <v>19</v>
      </c>
      <c r="O64" s="229">
        <f>IFERROR(VLOOKUP(VLOOKUP(O$18,$H$3:$K$33,3,FALSE)&amp;VLOOKUP(O$18,$H$3:$K$33,4,FALSE)&amp;"碎片",$B$3:$C$27,2,FALSE)*VLOOKUP($N64,$N$3:$AF$15,MATCH(VLOOKUP(O$18,$H$3:$K$33,3,FALSE)&amp;VLOOKUP(O$18,$H$3:$K$33,4,FALSE),$N$3:$AF$3,0),FALSE),O63)</f>
        <v>20.400000000000063</v>
      </c>
      <c r="P64" s="229">
        <f>IFERROR(VLOOKUP(VLOOKUP(P$18,$H$3:$K$33,3,FALSE)&amp;VLOOKUP(P$18,$H$3:$K$33,4,FALSE)&amp;"碎片",$B$3:$C$27,2,FALSE)*VLOOKUP($N64,$N$3:$AF$15,MATCH(VLOOKUP(P$18,$H$3:$K$33,3,FALSE)&amp;VLOOKUP(P$18,$H$3:$K$33,4,FALSE),$N$3:$AF$3,0),FALSE),P63)</f>
        <v>24.00000000000006</v>
      </c>
      <c r="Q64" s="229">
        <f>IFERROR(VLOOKUP(VLOOKUP(Q$18,$H$3:$K$33,3,FALSE)&amp;VLOOKUP(Q$18,$H$3:$K$33,4,FALSE)&amp;"碎片",$B$3:$C$27,2,FALSE)*VLOOKUP($N64,$N$3:$AF$15,MATCH(VLOOKUP(Q$18,$H$3:$K$33,3,FALSE)&amp;VLOOKUP(Q$18,$H$3:$K$33,4,FALSE),$N$3:$AF$3,0),FALSE),Q63)</f>
        <v>54.400000000000084</v>
      </c>
      <c r="R64" s="229">
        <f>IFERROR(VLOOKUP(VLOOKUP(R$18,$H$3:$K$33,3,FALSE)&amp;VLOOKUP(R$18,$H$3:$K$33,4,FALSE)&amp;"碎片",$B$3:$C$27,2,FALSE)*VLOOKUP($N64,$N$3:$AF$15,MATCH(VLOOKUP(R$18,$H$3:$K$33,3,FALSE)&amp;VLOOKUP(R$18,$H$3:$K$33,4,FALSE),$N$3:$AF$3,0),FALSE),R63)</f>
        <v>34.799999999999997</v>
      </c>
      <c r="S64" s="229">
        <f>IFERROR(VLOOKUP(VLOOKUP(S$18,$H$3:$K$33,3,FALSE)&amp;VLOOKUP(S$18,$H$3:$K$33,4,FALSE)&amp;"碎片",$B$3:$C$27,2,FALSE)*VLOOKUP($N64,$N$3:$AF$15,MATCH(VLOOKUP(S$18,$H$3:$K$33,3,FALSE)&amp;VLOOKUP(S$18,$H$3:$K$33,4,FALSE),$N$3:$AF$3,0),FALSE),S63)</f>
        <v>54</v>
      </c>
      <c r="T64" s="229">
        <f>IFERROR(VLOOKUP(VLOOKUP(T$18,$H$3:$K$33,3,FALSE)&amp;VLOOKUP(T$18,$H$3:$K$33,4,FALSE)&amp;"碎片",$B$3:$C$27,2,FALSE)*VLOOKUP($N64,$N$3:$AF$15,MATCH(VLOOKUP(T$18,$H$3:$K$33,3,FALSE)&amp;VLOOKUP(T$18,$H$3:$K$33,4,FALSE),$N$3:$AF$3,0),FALSE),T63)</f>
        <v>68.399999999999991</v>
      </c>
      <c r="U64" s="229">
        <f>IFERROR(VLOOKUP(VLOOKUP(U$18,$H$3:$K$33,3,FALSE)&amp;VLOOKUP(U$18,$H$3:$K$33,4,FALSE)&amp;"碎片",$B$3:$C$27,2,FALSE)*VLOOKUP($N64,$N$3:$AF$15,MATCH(VLOOKUP(U$18,$H$3:$K$33,3,FALSE)&amp;VLOOKUP(U$18,$H$3:$K$33,4,FALSE),$N$3:$AF$3,0),FALSE),U63)</f>
        <v>84</v>
      </c>
      <c r="V64" s="229">
        <f>IFERROR(VLOOKUP(VLOOKUP(V$18,$H$3:$K$33,3,FALSE)&amp;VLOOKUP(V$18,$H$3:$K$33,4,FALSE)&amp;"碎片",$B$3:$C$27,2,FALSE)*VLOOKUP($N64,$N$3:$AF$15,MATCH(VLOOKUP(V$18,$H$3:$K$33,3,FALSE)&amp;VLOOKUP(V$18,$H$3:$K$33,4,FALSE),$N$3:$AF$3,0),FALSE),V63)</f>
        <v>105</v>
      </c>
      <c r="W64" s="229">
        <f>IFERROR(VLOOKUP(VLOOKUP(W$18,$H$3:$K$33,3,FALSE)&amp;VLOOKUP(W$18,$H$3:$K$33,4,FALSE)&amp;"碎片",$B$3:$C$27,2,FALSE)*VLOOKUP($N64,$N$3:$AF$15,MATCH(VLOOKUP(W$18,$H$3:$K$33,3,FALSE)&amp;VLOOKUP(W$18,$H$3:$K$33,4,FALSE),$N$3:$AF$3,0),FALSE),W63)</f>
        <v>130.19999999999999</v>
      </c>
      <c r="X64" s="229">
        <f>IFERROR(VLOOKUP(VLOOKUP(X$18,$H$3:$K$33,3,FALSE)&amp;VLOOKUP(X$18,$H$3:$K$33,4,FALSE)&amp;"碎片",$B$3:$C$27,2,FALSE)*VLOOKUP($N64,$N$3:$AF$15,MATCH(VLOOKUP(X$18,$H$3:$K$33,3,FALSE)&amp;VLOOKUP(X$18,$H$3:$K$33,4,FALSE),$N$3:$AF$3,0),FALSE),X63)</f>
        <v>163.19999999999999</v>
      </c>
      <c r="Y64" s="229">
        <f>IFERROR(VLOOKUP(VLOOKUP(Y$18,$H$3:$K$33,3,FALSE)&amp;VLOOKUP(Y$18,$H$3:$K$33,4,FALSE)&amp;"碎片",$B$3:$C$27,2,FALSE)*VLOOKUP($N64,$N$3:$AF$15,MATCH(VLOOKUP(Y$18,$H$3:$K$33,3,FALSE)&amp;VLOOKUP(Y$18,$H$3:$K$33,4,FALSE),$N$3:$AF$3,0),FALSE),Y63)</f>
        <v>20.400000000000063</v>
      </c>
      <c r="Z64" s="229">
        <f>IFERROR(VLOOKUP(VLOOKUP(Z$18,$H$3:$K$33,3,FALSE)&amp;VLOOKUP(Z$18,$H$3:$K$33,4,FALSE)&amp;"碎片",$B$3:$C$27,2,FALSE)*VLOOKUP($N64,$N$3:$AF$15,MATCH(VLOOKUP(Z$18,$H$3:$K$33,3,FALSE)&amp;VLOOKUP(Z$18,$H$3:$K$33,4,FALSE),$N$3:$AF$3,0),FALSE),Z63)</f>
        <v>24.00000000000006</v>
      </c>
      <c r="AA64" s="229">
        <f>IFERROR(VLOOKUP(VLOOKUP(AA$18,$H$3:$K$33,3,FALSE)&amp;VLOOKUP(AA$18,$H$3:$K$33,4,FALSE)&amp;"碎片",$B$3:$C$27,2,FALSE)*VLOOKUP($N64,$N$3:$AF$15,MATCH(VLOOKUP(AA$18,$H$3:$K$33,3,FALSE)&amp;VLOOKUP(AA$18,$H$3:$K$33,4,FALSE),$N$3:$AF$3,0),FALSE),AA63)</f>
        <v>54.400000000000084</v>
      </c>
      <c r="AB64" s="229">
        <f>IFERROR(VLOOKUP(VLOOKUP(AB$18,$H$3:$K$33,3,FALSE)&amp;VLOOKUP(AB$18,$H$3:$K$33,4,FALSE)&amp;"碎片",$B$3:$C$27,2,FALSE)*VLOOKUP($N64,$N$3:$AF$15,MATCH(VLOOKUP(AB$18,$H$3:$K$33,3,FALSE)&amp;VLOOKUP(AB$18,$H$3:$K$33,4,FALSE),$N$3:$AF$3,0),FALSE),AB63)</f>
        <v>34.799999999999997</v>
      </c>
      <c r="AC64" s="229">
        <f>IFERROR(VLOOKUP(VLOOKUP(AC$18,$H$3:$K$33,3,FALSE)&amp;VLOOKUP(AC$18,$H$3:$K$33,4,FALSE)&amp;"碎片",$B$3:$C$27,2,FALSE)*VLOOKUP($N64,$N$3:$AF$15,MATCH(VLOOKUP(AC$18,$H$3:$K$33,3,FALSE)&amp;VLOOKUP(AC$18,$H$3:$K$33,4,FALSE),$N$3:$AF$3,0),FALSE),AC63)</f>
        <v>54</v>
      </c>
      <c r="AD64" s="229">
        <f>IFERROR(VLOOKUP(VLOOKUP(AD$18,$H$3:$K$33,3,FALSE)&amp;VLOOKUP(AD$18,$H$3:$K$33,4,FALSE)&amp;"碎片",$B$3:$C$27,2,FALSE)*VLOOKUP($N64,$N$3:$AF$15,MATCH(VLOOKUP(AD$18,$H$3:$K$33,3,FALSE)&amp;VLOOKUP(AD$18,$H$3:$K$33,4,FALSE),$N$3:$AF$3,0),FALSE),AD63)</f>
        <v>68.399999999999991</v>
      </c>
      <c r="AE64" s="229">
        <f>IFERROR(VLOOKUP(VLOOKUP(AE$18,$H$3:$K$33,3,FALSE)&amp;VLOOKUP(AE$18,$H$3:$K$33,4,FALSE)&amp;"碎片",$B$3:$C$27,2,FALSE)*VLOOKUP($N64,$N$3:$AF$15,MATCH(VLOOKUP(AE$18,$H$3:$K$33,3,FALSE)&amp;VLOOKUP(AE$18,$H$3:$K$33,4,FALSE),$N$3:$AF$3,0),FALSE),AE63)</f>
        <v>84</v>
      </c>
      <c r="AF64" s="229">
        <f>IFERROR(VLOOKUP(VLOOKUP(AF$18,$H$3:$K$33,3,FALSE)&amp;VLOOKUP(AF$18,$H$3:$K$33,4,FALSE)&amp;"碎片",$B$3:$C$27,2,FALSE)*VLOOKUP($N64,$N$3:$AF$15,MATCH(VLOOKUP(AF$18,$H$3:$K$33,3,FALSE)&amp;VLOOKUP(AF$18,$H$3:$K$33,4,FALSE),$N$3:$AF$3,0),FALSE),AF63)</f>
        <v>105</v>
      </c>
      <c r="AG64" s="229">
        <f>IFERROR(VLOOKUP(VLOOKUP(AG$18,$H$3:$K$33,3,FALSE)&amp;VLOOKUP(AG$18,$H$3:$K$33,4,FALSE)&amp;"碎片",$B$3:$C$27,2,FALSE)*VLOOKUP($N64,$N$3:$AF$15,MATCH(VLOOKUP(AG$18,$H$3:$K$33,3,FALSE)&amp;VLOOKUP(AG$18,$H$3:$K$33,4,FALSE),$N$3:$AF$3,0),FALSE),AG63)</f>
        <v>130.19999999999999</v>
      </c>
      <c r="AH64" s="229">
        <f>IFERROR(VLOOKUP(VLOOKUP(AH$18,$H$3:$K$33,3,FALSE)&amp;VLOOKUP(AH$18,$H$3:$K$33,4,FALSE)&amp;"碎片",$B$3:$C$27,2,FALSE)*VLOOKUP($N64,$N$3:$AF$15,MATCH(VLOOKUP(AH$18,$H$3:$K$33,3,FALSE)&amp;VLOOKUP(AH$18,$H$3:$K$33,4,FALSE),$N$3:$AF$3,0),FALSE),AH63)</f>
        <v>163.19999999999999</v>
      </c>
      <c r="AI64" s="229">
        <f>IFERROR(VLOOKUP(VLOOKUP(AI$18,$H$3:$K$33,3,FALSE)&amp;VLOOKUP(AI$18,$H$3:$K$33,4,FALSE)&amp;"碎片",$B$3:$C$27,2,FALSE)*VLOOKUP($N64,$N$3:$AF$15,MATCH(VLOOKUP(AI$18,$H$3:$K$33,3,FALSE)&amp;VLOOKUP(AI$18,$H$3:$K$33,4,FALSE),$N$3:$AF$3,0),FALSE),AI63)</f>
        <v>20.400000000000063</v>
      </c>
      <c r="AJ64" s="229">
        <f>IFERROR(VLOOKUP(VLOOKUP(AJ$18,$H$3:$K$33,3,FALSE)&amp;VLOOKUP(AJ$18,$H$3:$K$33,4,FALSE)&amp;"碎片",$B$3:$C$27,2,FALSE)*VLOOKUP($N64,$N$3:$AF$15,MATCH(VLOOKUP(AJ$18,$H$3:$K$33,3,FALSE)&amp;VLOOKUP(AJ$18,$H$3:$K$33,4,FALSE),$N$3:$AF$3,0),FALSE),AJ63)</f>
        <v>24.00000000000006</v>
      </c>
      <c r="AK64" s="229">
        <f>IFERROR(VLOOKUP(VLOOKUP(AK$18,$H$3:$K$33,3,FALSE)&amp;VLOOKUP(AK$18,$H$3:$K$33,4,FALSE)&amp;"碎片",$B$3:$C$27,2,FALSE)*VLOOKUP($N64,$N$3:$AF$15,MATCH(VLOOKUP(AK$18,$H$3:$K$33,3,FALSE)&amp;VLOOKUP(AK$18,$H$3:$K$33,4,FALSE),$N$3:$AF$3,0),FALSE),AK63)</f>
        <v>54.400000000000084</v>
      </c>
      <c r="AL64" s="229">
        <f>IFERROR(VLOOKUP(VLOOKUP(AL$18,$H$3:$K$33,3,FALSE)&amp;VLOOKUP(AL$18,$H$3:$K$33,4,FALSE)&amp;"碎片",$B$3:$C$27,2,FALSE)*VLOOKUP($N64,$N$3:$AF$15,MATCH(VLOOKUP(AL$18,$H$3:$K$33,3,FALSE)&amp;VLOOKUP(AL$18,$H$3:$K$33,4,FALSE),$N$3:$AF$3,0),FALSE),AL63)</f>
        <v>34.799999999999997</v>
      </c>
      <c r="AM64" s="229">
        <f>IFERROR(VLOOKUP(VLOOKUP(AM$18,$H$3:$K$33,3,FALSE)&amp;VLOOKUP(AM$18,$H$3:$K$33,4,FALSE)&amp;"碎片",$B$3:$C$27,2,FALSE)*VLOOKUP($N64,$N$3:$AF$15,MATCH(VLOOKUP(AM$18,$H$3:$K$33,3,FALSE)&amp;VLOOKUP(AM$18,$H$3:$K$33,4,FALSE),$N$3:$AF$3,0),FALSE),AM63)</f>
        <v>54</v>
      </c>
      <c r="AN64" s="229">
        <f>IFERROR(VLOOKUP(VLOOKUP(AN$18,$H$3:$K$33,3,FALSE)&amp;VLOOKUP(AN$18,$H$3:$K$33,4,FALSE)&amp;"碎片",$B$3:$C$27,2,FALSE)*VLOOKUP($N64,$N$3:$AF$15,MATCH(VLOOKUP(AN$18,$H$3:$K$33,3,FALSE)&amp;VLOOKUP(AN$18,$H$3:$K$33,4,FALSE),$N$3:$AF$3,0),FALSE),AN63)</f>
        <v>68.399999999999991</v>
      </c>
      <c r="AO64" s="229">
        <f>IFERROR(VLOOKUP(VLOOKUP(AO$18,$H$3:$K$33,3,FALSE)&amp;VLOOKUP(AO$18,$H$3:$K$33,4,FALSE)&amp;"碎片",$B$3:$C$27,2,FALSE)*VLOOKUP($N64,$N$3:$AF$15,MATCH(VLOOKUP(AO$18,$H$3:$K$33,3,FALSE)&amp;VLOOKUP(AO$18,$H$3:$K$33,4,FALSE),$N$3:$AF$3,0),FALSE),AO63)</f>
        <v>84</v>
      </c>
      <c r="AP64" s="229">
        <f>IFERROR(VLOOKUP(VLOOKUP(AP$18,$H$3:$K$33,3,FALSE)&amp;VLOOKUP(AP$18,$H$3:$K$33,4,FALSE)&amp;"碎片",$B$3:$C$27,2,FALSE)*VLOOKUP($N64,$N$3:$AF$15,MATCH(VLOOKUP(AP$18,$H$3:$K$33,3,FALSE)&amp;VLOOKUP(AP$18,$H$3:$K$33,4,FALSE),$N$3:$AF$3,0),FALSE),AP63)</f>
        <v>105</v>
      </c>
      <c r="AQ64" s="229">
        <f>IFERROR(VLOOKUP(VLOOKUP(AQ$18,$H$3:$K$33,3,FALSE)&amp;VLOOKUP(AQ$18,$H$3:$K$33,4,FALSE)&amp;"碎片",$B$3:$C$27,2,FALSE)*VLOOKUP($N64,$N$3:$AF$15,MATCH(VLOOKUP(AQ$18,$H$3:$K$33,3,FALSE)&amp;VLOOKUP(AQ$18,$H$3:$K$33,4,FALSE),$N$3:$AF$3,0),FALSE),AQ63)</f>
        <v>130.19999999999999</v>
      </c>
      <c r="AR64" s="229">
        <f>IFERROR(VLOOKUP(VLOOKUP(AR$18,$H$3:$K$33,3,FALSE)&amp;VLOOKUP(AR$18,$H$3:$K$33,4,FALSE)&amp;"碎片",$B$3:$C$27,2,FALSE)*VLOOKUP($N64,$N$3:$AF$15,MATCH(VLOOKUP(AR$18,$H$3:$K$33,3,FALSE)&amp;VLOOKUP(AR$18,$H$3:$K$33,4,FALSE),$N$3:$AF$3,0),FALSE),AR63)</f>
        <v>163.19999999999999</v>
      </c>
    </row>
    <row r="65" spans="2:44" x14ac:dyDescent="0.35">
      <c r="B65" s="584">
        <f>坦克部件养成!B23</f>
        <v>10</v>
      </c>
      <c r="C65" s="584">
        <f>坦克部件养成!C23</f>
        <v>600</v>
      </c>
      <c r="D65" s="584">
        <f>坦克部件养成!D23</f>
        <v>80</v>
      </c>
      <c r="E65" s="584">
        <f>坦克部件养成!E23</f>
        <v>10</v>
      </c>
      <c r="F65" s="592">
        <f>坦克部件养成!F23</f>
        <v>75</v>
      </c>
      <c r="H65" s="583">
        <v>60</v>
      </c>
      <c r="I65" s="583">
        <v>1</v>
      </c>
      <c r="K65" s="583">
        <v>5</v>
      </c>
      <c r="L65" s="583">
        <v>0.9</v>
      </c>
      <c r="N65" s="219">
        <v>20</v>
      </c>
      <c r="O65" s="229">
        <f>IFERROR(VLOOKUP(VLOOKUP(O$18,$H$3:$K$33,3,FALSE)&amp;VLOOKUP(O$18,$H$3:$K$33,4,FALSE)&amp;"碎片",$B$3:$C$27,2,FALSE)*VLOOKUP($N65,$N$3:$AF$15,MATCH(VLOOKUP(O$18,$H$3:$K$33,3,FALSE)&amp;VLOOKUP(O$18,$H$3:$K$33,4,FALSE),$N$3:$AF$3,0),FALSE),O64)</f>
        <v>20.400000000000063</v>
      </c>
      <c r="P65" s="229">
        <f>IFERROR(VLOOKUP(VLOOKUP(P$18,$H$3:$K$33,3,FALSE)&amp;VLOOKUP(P$18,$H$3:$K$33,4,FALSE)&amp;"碎片",$B$3:$C$27,2,FALSE)*VLOOKUP($N65,$N$3:$AF$15,MATCH(VLOOKUP(P$18,$H$3:$K$33,3,FALSE)&amp;VLOOKUP(P$18,$H$3:$K$33,4,FALSE),$N$3:$AF$3,0),FALSE),P64)</f>
        <v>24.00000000000006</v>
      </c>
      <c r="Q65" s="229">
        <f>IFERROR(VLOOKUP(VLOOKUP(Q$18,$H$3:$K$33,3,FALSE)&amp;VLOOKUP(Q$18,$H$3:$K$33,4,FALSE)&amp;"碎片",$B$3:$C$27,2,FALSE)*VLOOKUP($N65,$N$3:$AF$15,MATCH(VLOOKUP(Q$18,$H$3:$K$33,3,FALSE)&amp;VLOOKUP(Q$18,$H$3:$K$33,4,FALSE),$N$3:$AF$3,0),FALSE),Q64)</f>
        <v>54.400000000000084</v>
      </c>
      <c r="R65" s="229">
        <f>IFERROR(VLOOKUP(VLOOKUP(R$18,$H$3:$K$33,3,FALSE)&amp;VLOOKUP(R$18,$H$3:$K$33,4,FALSE)&amp;"碎片",$B$3:$C$27,2,FALSE)*VLOOKUP($N65,$N$3:$AF$15,MATCH(VLOOKUP(R$18,$H$3:$K$33,3,FALSE)&amp;VLOOKUP(R$18,$H$3:$K$33,4,FALSE),$N$3:$AF$3,0),FALSE),R64)</f>
        <v>34.799999999999997</v>
      </c>
      <c r="S65" s="229">
        <f>IFERROR(VLOOKUP(VLOOKUP(S$18,$H$3:$K$33,3,FALSE)&amp;VLOOKUP(S$18,$H$3:$K$33,4,FALSE)&amp;"碎片",$B$3:$C$27,2,FALSE)*VLOOKUP($N65,$N$3:$AF$15,MATCH(VLOOKUP(S$18,$H$3:$K$33,3,FALSE)&amp;VLOOKUP(S$18,$H$3:$K$33,4,FALSE),$N$3:$AF$3,0),FALSE),S64)</f>
        <v>54</v>
      </c>
      <c r="T65" s="229">
        <f>IFERROR(VLOOKUP(VLOOKUP(T$18,$H$3:$K$33,3,FALSE)&amp;VLOOKUP(T$18,$H$3:$K$33,4,FALSE)&amp;"碎片",$B$3:$C$27,2,FALSE)*VLOOKUP($N65,$N$3:$AF$15,MATCH(VLOOKUP(T$18,$H$3:$K$33,3,FALSE)&amp;VLOOKUP(T$18,$H$3:$K$33,4,FALSE),$N$3:$AF$3,0),FALSE),T64)</f>
        <v>68.399999999999991</v>
      </c>
      <c r="U65" s="229">
        <f>IFERROR(VLOOKUP(VLOOKUP(U$18,$H$3:$K$33,3,FALSE)&amp;VLOOKUP(U$18,$H$3:$K$33,4,FALSE)&amp;"碎片",$B$3:$C$27,2,FALSE)*VLOOKUP($N65,$N$3:$AF$15,MATCH(VLOOKUP(U$18,$H$3:$K$33,3,FALSE)&amp;VLOOKUP(U$18,$H$3:$K$33,4,FALSE),$N$3:$AF$3,0),FALSE),U64)</f>
        <v>84</v>
      </c>
      <c r="V65" s="229">
        <f>IFERROR(VLOOKUP(VLOOKUP(V$18,$H$3:$K$33,3,FALSE)&amp;VLOOKUP(V$18,$H$3:$K$33,4,FALSE)&amp;"碎片",$B$3:$C$27,2,FALSE)*VLOOKUP($N65,$N$3:$AF$15,MATCH(VLOOKUP(V$18,$H$3:$K$33,3,FALSE)&amp;VLOOKUP(V$18,$H$3:$K$33,4,FALSE),$N$3:$AF$3,0),FALSE),V64)</f>
        <v>105</v>
      </c>
      <c r="W65" s="229">
        <f>IFERROR(VLOOKUP(VLOOKUP(W$18,$H$3:$K$33,3,FALSE)&amp;VLOOKUP(W$18,$H$3:$K$33,4,FALSE)&amp;"碎片",$B$3:$C$27,2,FALSE)*VLOOKUP($N65,$N$3:$AF$15,MATCH(VLOOKUP(W$18,$H$3:$K$33,3,FALSE)&amp;VLOOKUP(W$18,$H$3:$K$33,4,FALSE),$N$3:$AF$3,0),FALSE),W64)</f>
        <v>130.19999999999999</v>
      </c>
      <c r="X65" s="229">
        <f>IFERROR(VLOOKUP(VLOOKUP(X$18,$H$3:$K$33,3,FALSE)&amp;VLOOKUP(X$18,$H$3:$K$33,4,FALSE)&amp;"碎片",$B$3:$C$27,2,FALSE)*VLOOKUP($N65,$N$3:$AF$15,MATCH(VLOOKUP(X$18,$H$3:$K$33,3,FALSE)&amp;VLOOKUP(X$18,$H$3:$K$33,4,FALSE),$N$3:$AF$3,0),FALSE),X64)</f>
        <v>163.19999999999999</v>
      </c>
      <c r="Y65" s="229">
        <f>IFERROR(VLOOKUP(VLOOKUP(Y$18,$H$3:$K$33,3,FALSE)&amp;VLOOKUP(Y$18,$H$3:$K$33,4,FALSE)&amp;"碎片",$B$3:$C$27,2,FALSE)*VLOOKUP($N65,$N$3:$AF$15,MATCH(VLOOKUP(Y$18,$H$3:$K$33,3,FALSE)&amp;VLOOKUP(Y$18,$H$3:$K$33,4,FALSE),$N$3:$AF$3,0),FALSE),Y64)</f>
        <v>20.400000000000063</v>
      </c>
      <c r="Z65" s="229">
        <f>IFERROR(VLOOKUP(VLOOKUP(Z$18,$H$3:$K$33,3,FALSE)&amp;VLOOKUP(Z$18,$H$3:$K$33,4,FALSE)&amp;"碎片",$B$3:$C$27,2,FALSE)*VLOOKUP($N65,$N$3:$AF$15,MATCH(VLOOKUP(Z$18,$H$3:$K$33,3,FALSE)&amp;VLOOKUP(Z$18,$H$3:$K$33,4,FALSE),$N$3:$AF$3,0),FALSE),Z64)</f>
        <v>24.00000000000006</v>
      </c>
      <c r="AA65" s="229">
        <f>IFERROR(VLOOKUP(VLOOKUP(AA$18,$H$3:$K$33,3,FALSE)&amp;VLOOKUP(AA$18,$H$3:$K$33,4,FALSE)&amp;"碎片",$B$3:$C$27,2,FALSE)*VLOOKUP($N65,$N$3:$AF$15,MATCH(VLOOKUP(AA$18,$H$3:$K$33,3,FALSE)&amp;VLOOKUP(AA$18,$H$3:$K$33,4,FALSE),$N$3:$AF$3,0),FALSE),AA64)</f>
        <v>54.400000000000084</v>
      </c>
      <c r="AB65" s="229">
        <f>IFERROR(VLOOKUP(VLOOKUP(AB$18,$H$3:$K$33,3,FALSE)&amp;VLOOKUP(AB$18,$H$3:$K$33,4,FALSE)&amp;"碎片",$B$3:$C$27,2,FALSE)*VLOOKUP($N65,$N$3:$AF$15,MATCH(VLOOKUP(AB$18,$H$3:$K$33,3,FALSE)&amp;VLOOKUP(AB$18,$H$3:$K$33,4,FALSE),$N$3:$AF$3,0),FALSE),AB64)</f>
        <v>34.799999999999997</v>
      </c>
      <c r="AC65" s="229">
        <f>IFERROR(VLOOKUP(VLOOKUP(AC$18,$H$3:$K$33,3,FALSE)&amp;VLOOKUP(AC$18,$H$3:$K$33,4,FALSE)&amp;"碎片",$B$3:$C$27,2,FALSE)*VLOOKUP($N65,$N$3:$AF$15,MATCH(VLOOKUP(AC$18,$H$3:$K$33,3,FALSE)&amp;VLOOKUP(AC$18,$H$3:$K$33,4,FALSE),$N$3:$AF$3,0),FALSE),AC64)</f>
        <v>54</v>
      </c>
      <c r="AD65" s="229">
        <f>IFERROR(VLOOKUP(VLOOKUP(AD$18,$H$3:$K$33,3,FALSE)&amp;VLOOKUP(AD$18,$H$3:$K$33,4,FALSE)&amp;"碎片",$B$3:$C$27,2,FALSE)*VLOOKUP($N65,$N$3:$AF$15,MATCH(VLOOKUP(AD$18,$H$3:$K$33,3,FALSE)&amp;VLOOKUP(AD$18,$H$3:$K$33,4,FALSE),$N$3:$AF$3,0),FALSE),AD64)</f>
        <v>68.399999999999991</v>
      </c>
      <c r="AE65" s="229">
        <f>IFERROR(VLOOKUP(VLOOKUP(AE$18,$H$3:$K$33,3,FALSE)&amp;VLOOKUP(AE$18,$H$3:$K$33,4,FALSE)&amp;"碎片",$B$3:$C$27,2,FALSE)*VLOOKUP($N65,$N$3:$AF$15,MATCH(VLOOKUP(AE$18,$H$3:$K$33,3,FALSE)&amp;VLOOKUP(AE$18,$H$3:$K$33,4,FALSE),$N$3:$AF$3,0),FALSE),AE64)</f>
        <v>84</v>
      </c>
      <c r="AF65" s="229">
        <f>IFERROR(VLOOKUP(VLOOKUP(AF$18,$H$3:$K$33,3,FALSE)&amp;VLOOKUP(AF$18,$H$3:$K$33,4,FALSE)&amp;"碎片",$B$3:$C$27,2,FALSE)*VLOOKUP($N65,$N$3:$AF$15,MATCH(VLOOKUP(AF$18,$H$3:$K$33,3,FALSE)&amp;VLOOKUP(AF$18,$H$3:$K$33,4,FALSE),$N$3:$AF$3,0),FALSE),AF64)</f>
        <v>105</v>
      </c>
      <c r="AG65" s="229">
        <f>IFERROR(VLOOKUP(VLOOKUP(AG$18,$H$3:$K$33,3,FALSE)&amp;VLOOKUP(AG$18,$H$3:$K$33,4,FALSE)&amp;"碎片",$B$3:$C$27,2,FALSE)*VLOOKUP($N65,$N$3:$AF$15,MATCH(VLOOKUP(AG$18,$H$3:$K$33,3,FALSE)&amp;VLOOKUP(AG$18,$H$3:$K$33,4,FALSE),$N$3:$AF$3,0),FALSE),AG64)</f>
        <v>130.19999999999999</v>
      </c>
      <c r="AH65" s="229">
        <f>IFERROR(VLOOKUP(VLOOKUP(AH$18,$H$3:$K$33,3,FALSE)&amp;VLOOKUP(AH$18,$H$3:$K$33,4,FALSE)&amp;"碎片",$B$3:$C$27,2,FALSE)*VLOOKUP($N65,$N$3:$AF$15,MATCH(VLOOKUP(AH$18,$H$3:$K$33,3,FALSE)&amp;VLOOKUP(AH$18,$H$3:$K$33,4,FALSE),$N$3:$AF$3,0),FALSE),AH64)</f>
        <v>163.19999999999999</v>
      </c>
      <c r="AI65" s="229">
        <f>IFERROR(VLOOKUP(VLOOKUP(AI$18,$H$3:$K$33,3,FALSE)&amp;VLOOKUP(AI$18,$H$3:$K$33,4,FALSE)&amp;"碎片",$B$3:$C$27,2,FALSE)*VLOOKUP($N65,$N$3:$AF$15,MATCH(VLOOKUP(AI$18,$H$3:$K$33,3,FALSE)&amp;VLOOKUP(AI$18,$H$3:$K$33,4,FALSE),$N$3:$AF$3,0),FALSE),AI64)</f>
        <v>20.400000000000063</v>
      </c>
      <c r="AJ65" s="229">
        <f>IFERROR(VLOOKUP(VLOOKUP(AJ$18,$H$3:$K$33,3,FALSE)&amp;VLOOKUP(AJ$18,$H$3:$K$33,4,FALSE)&amp;"碎片",$B$3:$C$27,2,FALSE)*VLOOKUP($N65,$N$3:$AF$15,MATCH(VLOOKUP(AJ$18,$H$3:$K$33,3,FALSE)&amp;VLOOKUP(AJ$18,$H$3:$K$33,4,FALSE),$N$3:$AF$3,0),FALSE),AJ64)</f>
        <v>24.00000000000006</v>
      </c>
      <c r="AK65" s="229">
        <f>IFERROR(VLOOKUP(VLOOKUP(AK$18,$H$3:$K$33,3,FALSE)&amp;VLOOKUP(AK$18,$H$3:$K$33,4,FALSE)&amp;"碎片",$B$3:$C$27,2,FALSE)*VLOOKUP($N65,$N$3:$AF$15,MATCH(VLOOKUP(AK$18,$H$3:$K$33,3,FALSE)&amp;VLOOKUP(AK$18,$H$3:$K$33,4,FALSE),$N$3:$AF$3,0),FALSE),AK64)</f>
        <v>54.400000000000084</v>
      </c>
      <c r="AL65" s="229">
        <f>IFERROR(VLOOKUP(VLOOKUP(AL$18,$H$3:$K$33,3,FALSE)&amp;VLOOKUP(AL$18,$H$3:$K$33,4,FALSE)&amp;"碎片",$B$3:$C$27,2,FALSE)*VLOOKUP($N65,$N$3:$AF$15,MATCH(VLOOKUP(AL$18,$H$3:$K$33,3,FALSE)&amp;VLOOKUP(AL$18,$H$3:$K$33,4,FALSE),$N$3:$AF$3,0),FALSE),AL64)</f>
        <v>34.799999999999997</v>
      </c>
      <c r="AM65" s="229">
        <f>IFERROR(VLOOKUP(VLOOKUP(AM$18,$H$3:$K$33,3,FALSE)&amp;VLOOKUP(AM$18,$H$3:$K$33,4,FALSE)&amp;"碎片",$B$3:$C$27,2,FALSE)*VLOOKUP($N65,$N$3:$AF$15,MATCH(VLOOKUP(AM$18,$H$3:$K$33,3,FALSE)&amp;VLOOKUP(AM$18,$H$3:$K$33,4,FALSE),$N$3:$AF$3,0),FALSE),AM64)</f>
        <v>54</v>
      </c>
      <c r="AN65" s="229">
        <f>IFERROR(VLOOKUP(VLOOKUP(AN$18,$H$3:$K$33,3,FALSE)&amp;VLOOKUP(AN$18,$H$3:$K$33,4,FALSE)&amp;"碎片",$B$3:$C$27,2,FALSE)*VLOOKUP($N65,$N$3:$AF$15,MATCH(VLOOKUP(AN$18,$H$3:$K$33,3,FALSE)&amp;VLOOKUP(AN$18,$H$3:$K$33,4,FALSE),$N$3:$AF$3,0),FALSE),AN64)</f>
        <v>68.399999999999991</v>
      </c>
      <c r="AO65" s="229">
        <f>IFERROR(VLOOKUP(VLOOKUP(AO$18,$H$3:$K$33,3,FALSE)&amp;VLOOKUP(AO$18,$H$3:$K$33,4,FALSE)&amp;"碎片",$B$3:$C$27,2,FALSE)*VLOOKUP($N65,$N$3:$AF$15,MATCH(VLOOKUP(AO$18,$H$3:$K$33,3,FALSE)&amp;VLOOKUP(AO$18,$H$3:$K$33,4,FALSE),$N$3:$AF$3,0),FALSE),AO64)</f>
        <v>84</v>
      </c>
      <c r="AP65" s="229">
        <f>IFERROR(VLOOKUP(VLOOKUP(AP$18,$H$3:$K$33,3,FALSE)&amp;VLOOKUP(AP$18,$H$3:$K$33,4,FALSE)&amp;"碎片",$B$3:$C$27,2,FALSE)*VLOOKUP($N65,$N$3:$AF$15,MATCH(VLOOKUP(AP$18,$H$3:$K$33,3,FALSE)&amp;VLOOKUP(AP$18,$H$3:$K$33,4,FALSE),$N$3:$AF$3,0),FALSE),AP64)</f>
        <v>105</v>
      </c>
      <c r="AQ65" s="229">
        <f>IFERROR(VLOOKUP(VLOOKUP(AQ$18,$H$3:$K$33,3,FALSE)&amp;VLOOKUP(AQ$18,$H$3:$K$33,4,FALSE)&amp;"碎片",$B$3:$C$27,2,FALSE)*VLOOKUP($N65,$N$3:$AF$15,MATCH(VLOOKUP(AQ$18,$H$3:$K$33,3,FALSE)&amp;VLOOKUP(AQ$18,$H$3:$K$33,4,FALSE),$N$3:$AF$3,0),FALSE),AQ64)</f>
        <v>130.19999999999999</v>
      </c>
      <c r="AR65" s="229">
        <f>IFERROR(VLOOKUP(VLOOKUP(AR$18,$H$3:$K$33,3,FALSE)&amp;VLOOKUP(AR$18,$H$3:$K$33,4,FALSE)&amp;"碎片",$B$3:$C$27,2,FALSE)*VLOOKUP($N65,$N$3:$AF$15,MATCH(VLOOKUP(AR$18,$H$3:$K$33,3,FALSE)&amp;VLOOKUP(AR$18,$H$3:$K$33,4,FALSE),$N$3:$AF$3,0),FALSE),AR64)</f>
        <v>163.19999999999999</v>
      </c>
    </row>
    <row r="66" spans="2:44" x14ac:dyDescent="0.35">
      <c r="B66" s="584">
        <f>坦克部件养成!B24</f>
        <v>60</v>
      </c>
      <c r="C66" s="584">
        <f>坦克部件养成!C24</f>
        <v>3600</v>
      </c>
      <c r="D66" s="584">
        <f>坦克部件养成!D24</f>
        <v>100</v>
      </c>
      <c r="E66" s="584">
        <f>坦克部件养成!E24</f>
        <v>48</v>
      </c>
      <c r="F66" s="592">
        <f>坦克部件养成!F24</f>
        <v>90</v>
      </c>
      <c r="H66" s="583">
        <v>120</v>
      </c>
      <c r="I66" s="583">
        <v>0.95</v>
      </c>
      <c r="K66" s="583">
        <v>8</v>
      </c>
      <c r="L66" s="583">
        <v>1</v>
      </c>
      <c r="N66" s="219">
        <v>21</v>
      </c>
      <c r="O66" s="229">
        <f>IFERROR(VLOOKUP(VLOOKUP(O$18,$H$3:$K$33,3,FALSE)&amp;VLOOKUP(O$18,$H$3:$K$33,4,FALSE)&amp;"碎片",$B$3:$C$27,2,FALSE)*VLOOKUP($N66,$N$3:$AF$15,MATCH(VLOOKUP(O$18,$H$3:$K$33,3,FALSE)&amp;VLOOKUP(O$18,$H$3:$K$33,4,FALSE),$N$3:$AF$3,0),FALSE),O65)</f>
        <v>20.400000000000063</v>
      </c>
      <c r="P66" s="229">
        <f>IFERROR(VLOOKUP(VLOOKUP(P$18,$H$3:$K$33,3,FALSE)&amp;VLOOKUP(P$18,$H$3:$K$33,4,FALSE)&amp;"碎片",$B$3:$C$27,2,FALSE)*VLOOKUP($N66,$N$3:$AF$15,MATCH(VLOOKUP(P$18,$H$3:$K$33,3,FALSE)&amp;VLOOKUP(P$18,$H$3:$K$33,4,FALSE),$N$3:$AF$3,0),FALSE),P65)</f>
        <v>24.00000000000006</v>
      </c>
      <c r="Q66" s="229">
        <f>IFERROR(VLOOKUP(VLOOKUP(Q$18,$H$3:$K$33,3,FALSE)&amp;VLOOKUP(Q$18,$H$3:$K$33,4,FALSE)&amp;"碎片",$B$3:$C$27,2,FALSE)*VLOOKUP($N66,$N$3:$AF$15,MATCH(VLOOKUP(Q$18,$H$3:$K$33,3,FALSE)&amp;VLOOKUP(Q$18,$H$3:$K$33,4,FALSE),$N$3:$AF$3,0),FALSE),Q65)</f>
        <v>54.400000000000084</v>
      </c>
      <c r="R66" s="229">
        <f>IFERROR(VLOOKUP(VLOOKUP(R$18,$H$3:$K$33,3,FALSE)&amp;VLOOKUP(R$18,$H$3:$K$33,4,FALSE)&amp;"碎片",$B$3:$C$27,2,FALSE)*VLOOKUP($N66,$N$3:$AF$15,MATCH(VLOOKUP(R$18,$H$3:$K$33,3,FALSE)&amp;VLOOKUP(R$18,$H$3:$K$33,4,FALSE),$N$3:$AF$3,0),FALSE),R65)</f>
        <v>34.799999999999997</v>
      </c>
      <c r="S66" s="229">
        <f>IFERROR(VLOOKUP(VLOOKUP(S$18,$H$3:$K$33,3,FALSE)&amp;VLOOKUP(S$18,$H$3:$K$33,4,FALSE)&amp;"碎片",$B$3:$C$27,2,FALSE)*VLOOKUP($N66,$N$3:$AF$15,MATCH(VLOOKUP(S$18,$H$3:$K$33,3,FALSE)&amp;VLOOKUP(S$18,$H$3:$K$33,4,FALSE),$N$3:$AF$3,0),FALSE),S65)</f>
        <v>54</v>
      </c>
      <c r="T66" s="229">
        <f>IFERROR(VLOOKUP(VLOOKUP(T$18,$H$3:$K$33,3,FALSE)&amp;VLOOKUP(T$18,$H$3:$K$33,4,FALSE)&amp;"碎片",$B$3:$C$27,2,FALSE)*VLOOKUP($N66,$N$3:$AF$15,MATCH(VLOOKUP(T$18,$H$3:$K$33,3,FALSE)&amp;VLOOKUP(T$18,$H$3:$K$33,4,FALSE),$N$3:$AF$3,0),FALSE),T65)</f>
        <v>68.399999999999991</v>
      </c>
      <c r="U66" s="229">
        <f>IFERROR(VLOOKUP(VLOOKUP(U$18,$H$3:$K$33,3,FALSE)&amp;VLOOKUP(U$18,$H$3:$K$33,4,FALSE)&amp;"碎片",$B$3:$C$27,2,FALSE)*VLOOKUP($N66,$N$3:$AF$15,MATCH(VLOOKUP(U$18,$H$3:$K$33,3,FALSE)&amp;VLOOKUP(U$18,$H$3:$K$33,4,FALSE),$N$3:$AF$3,0),FALSE),U65)</f>
        <v>84</v>
      </c>
      <c r="V66" s="229">
        <f>IFERROR(VLOOKUP(VLOOKUP(V$18,$H$3:$K$33,3,FALSE)&amp;VLOOKUP(V$18,$H$3:$K$33,4,FALSE)&amp;"碎片",$B$3:$C$27,2,FALSE)*VLOOKUP($N66,$N$3:$AF$15,MATCH(VLOOKUP(V$18,$H$3:$K$33,3,FALSE)&amp;VLOOKUP(V$18,$H$3:$K$33,4,FALSE),$N$3:$AF$3,0),FALSE),V65)</f>
        <v>105</v>
      </c>
      <c r="W66" s="229">
        <f>IFERROR(VLOOKUP(VLOOKUP(W$18,$H$3:$K$33,3,FALSE)&amp;VLOOKUP(W$18,$H$3:$K$33,4,FALSE)&amp;"碎片",$B$3:$C$27,2,FALSE)*VLOOKUP($N66,$N$3:$AF$15,MATCH(VLOOKUP(W$18,$H$3:$K$33,3,FALSE)&amp;VLOOKUP(W$18,$H$3:$K$33,4,FALSE),$N$3:$AF$3,0),FALSE),W65)</f>
        <v>130.19999999999999</v>
      </c>
      <c r="X66" s="229">
        <f>IFERROR(VLOOKUP(VLOOKUP(X$18,$H$3:$K$33,3,FALSE)&amp;VLOOKUP(X$18,$H$3:$K$33,4,FALSE)&amp;"碎片",$B$3:$C$27,2,FALSE)*VLOOKUP($N66,$N$3:$AF$15,MATCH(VLOOKUP(X$18,$H$3:$K$33,3,FALSE)&amp;VLOOKUP(X$18,$H$3:$K$33,4,FALSE),$N$3:$AF$3,0),FALSE),X65)</f>
        <v>163.19999999999999</v>
      </c>
      <c r="Y66" s="229">
        <f>IFERROR(VLOOKUP(VLOOKUP(Y$18,$H$3:$K$33,3,FALSE)&amp;VLOOKUP(Y$18,$H$3:$K$33,4,FALSE)&amp;"碎片",$B$3:$C$27,2,FALSE)*VLOOKUP($N66,$N$3:$AF$15,MATCH(VLOOKUP(Y$18,$H$3:$K$33,3,FALSE)&amp;VLOOKUP(Y$18,$H$3:$K$33,4,FALSE),$N$3:$AF$3,0),FALSE),Y65)</f>
        <v>20.400000000000063</v>
      </c>
      <c r="Z66" s="229">
        <f>IFERROR(VLOOKUP(VLOOKUP(Z$18,$H$3:$K$33,3,FALSE)&amp;VLOOKUP(Z$18,$H$3:$K$33,4,FALSE)&amp;"碎片",$B$3:$C$27,2,FALSE)*VLOOKUP($N66,$N$3:$AF$15,MATCH(VLOOKUP(Z$18,$H$3:$K$33,3,FALSE)&amp;VLOOKUP(Z$18,$H$3:$K$33,4,FALSE),$N$3:$AF$3,0),FALSE),Z65)</f>
        <v>24.00000000000006</v>
      </c>
      <c r="AA66" s="229">
        <f>IFERROR(VLOOKUP(VLOOKUP(AA$18,$H$3:$K$33,3,FALSE)&amp;VLOOKUP(AA$18,$H$3:$K$33,4,FALSE)&amp;"碎片",$B$3:$C$27,2,FALSE)*VLOOKUP($N66,$N$3:$AF$15,MATCH(VLOOKUP(AA$18,$H$3:$K$33,3,FALSE)&amp;VLOOKUP(AA$18,$H$3:$K$33,4,FALSE),$N$3:$AF$3,0),FALSE),AA65)</f>
        <v>54.400000000000084</v>
      </c>
      <c r="AB66" s="229">
        <f>IFERROR(VLOOKUP(VLOOKUP(AB$18,$H$3:$K$33,3,FALSE)&amp;VLOOKUP(AB$18,$H$3:$K$33,4,FALSE)&amp;"碎片",$B$3:$C$27,2,FALSE)*VLOOKUP($N66,$N$3:$AF$15,MATCH(VLOOKUP(AB$18,$H$3:$K$33,3,FALSE)&amp;VLOOKUP(AB$18,$H$3:$K$33,4,FALSE),$N$3:$AF$3,0),FALSE),AB65)</f>
        <v>34.799999999999997</v>
      </c>
      <c r="AC66" s="229">
        <f>IFERROR(VLOOKUP(VLOOKUP(AC$18,$H$3:$K$33,3,FALSE)&amp;VLOOKUP(AC$18,$H$3:$K$33,4,FALSE)&amp;"碎片",$B$3:$C$27,2,FALSE)*VLOOKUP($N66,$N$3:$AF$15,MATCH(VLOOKUP(AC$18,$H$3:$K$33,3,FALSE)&amp;VLOOKUP(AC$18,$H$3:$K$33,4,FALSE),$N$3:$AF$3,0),FALSE),AC65)</f>
        <v>54</v>
      </c>
      <c r="AD66" s="229">
        <f>IFERROR(VLOOKUP(VLOOKUP(AD$18,$H$3:$K$33,3,FALSE)&amp;VLOOKUP(AD$18,$H$3:$K$33,4,FALSE)&amp;"碎片",$B$3:$C$27,2,FALSE)*VLOOKUP($N66,$N$3:$AF$15,MATCH(VLOOKUP(AD$18,$H$3:$K$33,3,FALSE)&amp;VLOOKUP(AD$18,$H$3:$K$33,4,FALSE),$N$3:$AF$3,0),FALSE),AD65)</f>
        <v>68.399999999999991</v>
      </c>
      <c r="AE66" s="229">
        <f>IFERROR(VLOOKUP(VLOOKUP(AE$18,$H$3:$K$33,3,FALSE)&amp;VLOOKUP(AE$18,$H$3:$K$33,4,FALSE)&amp;"碎片",$B$3:$C$27,2,FALSE)*VLOOKUP($N66,$N$3:$AF$15,MATCH(VLOOKUP(AE$18,$H$3:$K$33,3,FALSE)&amp;VLOOKUP(AE$18,$H$3:$K$33,4,FALSE),$N$3:$AF$3,0),FALSE),AE65)</f>
        <v>84</v>
      </c>
      <c r="AF66" s="229">
        <f>IFERROR(VLOOKUP(VLOOKUP(AF$18,$H$3:$K$33,3,FALSE)&amp;VLOOKUP(AF$18,$H$3:$K$33,4,FALSE)&amp;"碎片",$B$3:$C$27,2,FALSE)*VLOOKUP($N66,$N$3:$AF$15,MATCH(VLOOKUP(AF$18,$H$3:$K$33,3,FALSE)&amp;VLOOKUP(AF$18,$H$3:$K$33,4,FALSE),$N$3:$AF$3,0),FALSE),AF65)</f>
        <v>105</v>
      </c>
      <c r="AG66" s="229">
        <f>IFERROR(VLOOKUP(VLOOKUP(AG$18,$H$3:$K$33,3,FALSE)&amp;VLOOKUP(AG$18,$H$3:$K$33,4,FALSE)&amp;"碎片",$B$3:$C$27,2,FALSE)*VLOOKUP($N66,$N$3:$AF$15,MATCH(VLOOKUP(AG$18,$H$3:$K$33,3,FALSE)&amp;VLOOKUP(AG$18,$H$3:$K$33,4,FALSE),$N$3:$AF$3,0),FALSE),AG65)</f>
        <v>130.19999999999999</v>
      </c>
      <c r="AH66" s="229">
        <f>IFERROR(VLOOKUP(VLOOKUP(AH$18,$H$3:$K$33,3,FALSE)&amp;VLOOKUP(AH$18,$H$3:$K$33,4,FALSE)&amp;"碎片",$B$3:$C$27,2,FALSE)*VLOOKUP($N66,$N$3:$AF$15,MATCH(VLOOKUP(AH$18,$H$3:$K$33,3,FALSE)&amp;VLOOKUP(AH$18,$H$3:$K$33,4,FALSE),$N$3:$AF$3,0),FALSE),AH65)</f>
        <v>163.19999999999999</v>
      </c>
      <c r="AI66" s="229">
        <f>IFERROR(VLOOKUP(VLOOKUP(AI$18,$H$3:$K$33,3,FALSE)&amp;VLOOKUP(AI$18,$H$3:$K$33,4,FALSE)&amp;"碎片",$B$3:$C$27,2,FALSE)*VLOOKUP($N66,$N$3:$AF$15,MATCH(VLOOKUP(AI$18,$H$3:$K$33,3,FALSE)&amp;VLOOKUP(AI$18,$H$3:$K$33,4,FALSE),$N$3:$AF$3,0),FALSE),AI65)</f>
        <v>20.400000000000063</v>
      </c>
      <c r="AJ66" s="229">
        <f>IFERROR(VLOOKUP(VLOOKUP(AJ$18,$H$3:$K$33,3,FALSE)&amp;VLOOKUP(AJ$18,$H$3:$K$33,4,FALSE)&amp;"碎片",$B$3:$C$27,2,FALSE)*VLOOKUP($N66,$N$3:$AF$15,MATCH(VLOOKUP(AJ$18,$H$3:$K$33,3,FALSE)&amp;VLOOKUP(AJ$18,$H$3:$K$33,4,FALSE),$N$3:$AF$3,0),FALSE),AJ65)</f>
        <v>24.00000000000006</v>
      </c>
      <c r="AK66" s="229">
        <f>IFERROR(VLOOKUP(VLOOKUP(AK$18,$H$3:$K$33,3,FALSE)&amp;VLOOKUP(AK$18,$H$3:$K$33,4,FALSE)&amp;"碎片",$B$3:$C$27,2,FALSE)*VLOOKUP($N66,$N$3:$AF$15,MATCH(VLOOKUP(AK$18,$H$3:$K$33,3,FALSE)&amp;VLOOKUP(AK$18,$H$3:$K$33,4,FALSE),$N$3:$AF$3,0),FALSE),AK65)</f>
        <v>54.400000000000084</v>
      </c>
      <c r="AL66" s="229">
        <f>IFERROR(VLOOKUP(VLOOKUP(AL$18,$H$3:$K$33,3,FALSE)&amp;VLOOKUP(AL$18,$H$3:$K$33,4,FALSE)&amp;"碎片",$B$3:$C$27,2,FALSE)*VLOOKUP($N66,$N$3:$AF$15,MATCH(VLOOKUP(AL$18,$H$3:$K$33,3,FALSE)&amp;VLOOKUP(AL$18,$H$3:$K$33,4,FALSE),$N$3:$AF$3,0),FALSE),AL65)</f>
        <v>34.799999999999997</v>
      </c>
      <c r="AM66" s="229">
        <f>IFERROR(VLOOKUP(VLOOKUP(AM$18,$H$3:$K$33,3,FALSE)&amp;VLOOKUP(AM$18,$H$3:$K$33,4,FALSE)&amp;"碎片",$B$3:$C$27,2,FALSE)*VLOOKUP($N66,$N$3:$AF$15,MATCH(VLOOKUP(AM$18,$H$3:$K$33,3,FALSE)&amp;VLOOKUP(AM$18,$H$3:$K$33,4,FALSE),$N$3:$AF$3,0),FALSE),AM65)</f>
        <v>54</v>
      </c>
      <c r="AN66" s="229">
        <f>IFERROR(VLOOKUP(VLOOKUP(AN$18,$H$3:$K$33,3,FALSE)&amp;VLOOKUP(AN$18,$H$3:$K$33,4,FALSE)&amp;"碎片",$B$3:$C$27,2,FALSE)*VLOOKUP($N66,$N$3:$AF$15,MATCH(VLOOKUP(AN$18,$H$3:$K$33,3,FALSE)&amp;VLOOKUP(AN$18,$H$3:$K$33,4,FALSE),$N$3:$AF$3,0),FALSE),AN65)</f>
        <v>68.399999999999991</v>
      </c>
      <c r="AO66" s="229">
        <f>IFERROR(VLOOKUP(VLOOKUP(AO$18,$H$3:$K$33,3,FALSE)&amp;VLOOKUP(AO$18,$H$3:$K$33,4,FALSE)&amp;"碎片",$B$3:$C$27,2,FALSE)*VLOOKUP($N66,$N$3:$AF$15,MATCH(VLOOKUP(AO$18,$H$3:$K$33,3,FALSE)&amp;VLOOKUP(AO$18,$H$3:$K$33,4,FALSE),$N$3:$AF$3,0),FALSE),AO65)</f>
        <v>84</v>
      </c>
      <c r="AP66" s="229">
        <f>IFERROR(VLOOKUP(VLOOKUP(AP$18,$H$3:$K$33,3,FALSE)&amp;VLOOKUP(AP$18,$H$3:$K$33,4,FALSE)&amp;"碎片",$B$3:$C$27,2,FALSE)*VLOOKUP($N66,$N$3:$AF$15,MATCH(VLOOKUP(AP$18,$H$3:$K$33,3,FALSE)&amp;VLOOKUP(AP$18,$H$3:$K$33,4,FALSE),$N$3:$AF$3,0),FALSE),AP65)</f>
        <v>105</v>
      </c>
      <c r="AQ66" s="229">
        <f>IFERROR(VLOOKUP(VLOOKUP(AQ$18,$H$3:$K$33,3,FALSE)&amp;VLOOKUP(AQ$18,$H$3:$K$33,4,FALSE)&amp;"碎片",$B$3:$C$27,2,FALSE)*VLOOKUP($N66,$N$3:$AF$15,MATCH(VLOOKUP(AQ$18,$H$3:$K$33,3,FALSE)&amp;VLOOKUP(AQ$18,$H$3:$K$33,4,FALSE),$N$3:$AF$3,0),FALSE),AQ65)</f>
        <v>130.19999999999999</v>
      </c>
      <c r="AR66" s="229">
        <f>IFERROR(VLOOKUP(VLOOKUP(AR$18,$H$3:$K$33,3,FALSE)&amp;VLOOKUP(AR$18,$H$3:$K$33,4,FALSE)&amp;"碎片",$B$3:$C$27,2,FALSE)*VLOOKUP($N66,$N$3:$AF$15,MATCH(VLOOKUP(AR$18,$H$3:$K$33,3,FALSE)&amp;VLOOKUP(AR$18,$H$3:$K$33,4,FALSE),$N$3:$AF$3,0),FALSE),AR65)</f>
        <v>163.19999999999999</v>
      </c>
    </row>
    <row r="67" spans="2:44" x14ac:dyDescent="0.35">
      <c r="B67" s="584">
        <f>坦克部件养成!B25</f>
        <v>180</v>
      </c>
      <c r="C67" s="584">
        <f>坦克部件养成!C25</f>
        <v>10800</v>
      </c>
      <c r="D67" s="584">
        <f>坦克部件养成!D25</f>
        <v>120</v>
      </c>
      <c r="E67" s="584">
        <f>坦克部件养成!E25</f>
        <v>120</v>
      </c>
      <c r="F67" s="592">
        <f>坦克部件养成!F25</f>
        <v>110.76923076923077</v>
      </c>
      <c r="H67" s="583">
        <v>480</v>
      </c>
      <c r="I67" s="583">
        <v>0.9</v>
      </c>
      <c r="N67" s="219">
        <v>22</v>
      </c>
      <c r="O67" s="229">
        <f>IFERROR(VLOOKUP(VLOOKUP(O$18,$H$3:$K$33,3,FALSE)&amp;VLOOKUP(O$18,$H$3:$K$33,4,FALSE)&amp;"碎片",$B$3:$C$27,2,FALSE)*VLOOKUP($N67,$N$3:$AF$15,MATCH(VLOOKUP(O$18,$H$3:$K$33,3,FALSE)&amp;VLOOKUP(O$18,$H$3:$K$33,4,FALSE),$N$3:$AF$3,0),FALSE),O66)</f>
        <v>20.400000000000063</v>
      </c>
      <c r="P67" s="229">
        <f>IFERROR(VLOOKUP(VLOOKUP(P$18,$H$3:$K$33,3,FALSE)&amp;VLOOKUP(P$18,$H$3:$K$33,4,FALSE)&amp;"碎片",$B$3:$C$27,2,FALSE)*VLOOKUP($N67,$N$3:$AF$15,MATCH(VLOOKUP(P$18,$H$3:$K$33,3,FALSE)&amp;VLOOKUP(P$18,$H$3:$K$33,4,FALSE),$N$3:$AF$3,0),FALSE),P66)</f>
        <v>24.00000000000006</v>
      </c>
      <c r="Q67" s="229">
        <f>IFERROR(VLOOKUP(VLOOKUP(Q$18,$H$3:$K$33,3,FALSE)&amp;VLOOKUP(Q$18,$H$3:$K$33,4,FALSE)&amp;"碎片",$B$3:$C$27,2,FALSE)*VLOOKUP($N67,$N$3:$AF$15,MATCH(VLOOKUP(Q$18,$H$3:$K$33,3,FALSE)&amp;VLOOKUP(Q$18,$H$3:$K$33,4,FALSE),$N$3:$AF$3,0),FALSE),Q66)</f>
        <v>54.400000000000084</v>
      </c>
      <c r="R67" s="229">
        <f>IFERROR(VLOOKUP(VLOOKUP(R$18,$H$3:$K$33,3,FALSE)&amp;VLOOKUP(R$18,$H$3:$K$33,4,FALSE)&amp;"碎片",$B$3:$C$27,2,FALSE)*VLOOKUP($N67,$N$3:$AF$15,MATCH(VLOOKUP(R$18,$H$3:$K$33,3,FALSE)&amp;VLOOKUP(R$18,$H$3:$K$33,4,FALSE),$N$3:$AF$3,0),FALSE),R66)</f>
        <v>34.799999999999997</v>
      </c>
      <c r="S67" s="229">
        <f>IFERROR(VLOOKUP(VLOOKUP(S$18,$H$3:$K$33,3,FALSE)&amp;VLOOKUP(S$18,$H$3:$K$33,4,FALSE)&amp;"碎片",$B$3:$C$27,2,FALSE)*VLOOKUP($N67,$N$3:$AF$15,MATCH(VLOOKUP(S$18,$H$3:$K$33,3,FALSE)&amp;VLOOKUP(S$18,$H$3:$K$33,4,FALSE),$N$3:$AF$3,0),FALSE),S66)</f>
        <v>54</v>
      </c>
      <c r="T67" s="229">
        <f>IFERROR(VLOOKUP(VLOOKUP(T$18,$H$3:$K$33,3,FALSE)&amp;VLOOKUP(T$18,$H$3:$K$33,4,FALSE)&amp;"碎片",$B$3:$C$27,2,FALSE)*VLOOKUP($N67,$N$3:$AF$15,MATCH(VLOOKUP(T$18,$H$3:$K$33,3,FALSE)&amp;VLOOKUP(T$18,$H$3:$K$33,4,FALSE),$N$3:$AF$3,0),FALSE),T66)</f>
        <v>68.399999999999991</v>
      </c>
      <c r="U67" s="229">
        <f>IFERROR(VLOOKUP(VLOOKUP(U$18,$H$3:$K$33,3,FALSE)&amp;VLOOKUP(U$18,$H$3:$K$33,4,FALSE)&amp;"碎片",$B$3:$C$27,2,FALSE)*VLOOKUP($N67,$N$3:$AF$15,MATCH(VLOOKUP(U$18,$H$3:$K$33,3,FALSE)&amp;VLOOKUP(U$18,$H$3:$K$33,4,FALSE),$N$3:$AF$3,0),FALSE),U66)</f>
        <v>84</v>
      </c>
      <c r="V67" s="229">
        <f>IFERROR(VLOOKUP(VLOOKUP(V$18,$H$3:$K$33,3,FALSE)&amp;VLOOKUP(V$18,$H$3:$K$33,4,FALSE)&amp;"碎片",$B$3:$C$27,2,FALSE)*VLOOKUP($N67,$N$3:$AF$15,MATCH(VLOOKUP(V$18,$H$3:$K$33,3,FALSE)&amp;VLOOKUP(V$18,$H$3:$K$33,4,FALSE),$N$3:$AF$3,0),FALSE),V66)</f>
        <v>105</v>
      </c>
      <c r="W67" s="229">
        <f>IFERROR(VLOOKUP(VLOOKUP(W$18,$H$3:$K$33,3,FALSE)&amp;VLOOKUP(W$18,$H$3:$K$33,4,FALSE)&amp;"碎片",$B$3:$C$27,2,FALSE)*VLOOKUP($N67,$N$3:$AF$15,MATCH(VLOOKUP(W$18,$H$3:$K$33,3,FALSE)&amp;VLOOKUP(W$18,$H$3:$K$33,4,FALSE),$N$3:$AF$3,0),FALSE),W66)</f>
        <v>130.19999999999999</v>
      </c>
      <c r="X67" s="229">
        <f>IFERROR(VLOOKUP(VLOOKUP(X$18,$H$3:$K$33,3,FALSE)&amp;VLOOKUP(X$18,$H$3:$K$33,4,FALSE)&amp;"碎片",$B$3:$C$27,2,FALSE)*VLOOKUP($N67,$N$3:$AF$15,MATCH(VLOOKUP(X$18,$H$3:$K$33,3,FALSE)&amp;VLOOKUP(X$18,$H$3:$K$33,4,FALSE),$N$3:$AF$3,0),FALSE),X66)</f>
        <v>163.19999999999999</v>
      </c>
      <c r="Y67" s="229">
        <f>IFERROR(VLOOKUP(VLOOKUP(Y$18,$H$3:$K$33,3,FALSE)&amp;VLOOKUP(Y$18,$H$3:$K$33,4,FALSE)&amp;"碎片",$B$3:$C$27,2,FALSE)*VLOOKUP($N67,$N$3:$AF$15,MATCH(VLOOKUP(Y$18,$H$3:$K$33,3,FALSE)&amp;VLOOKUP(Y$18,$H$3:$K$33,4,FALSE),$N$3:$AF$3,0),FALSE),Y66)</f>
        <v>20.400000000000063</v>
      </c>
      <c r="Z67" s="229">
        <f>IFERROR(VLOOKUP(VLOOKUP(Z$18,$H$3:$K$33,3,FALSE)&amp;VLOOKUP(Z$18,$H$3:$K$33,4,FALSE)&amp;"碎片",$B$3:$C$27,2,FALSE)*VLOOKUP($N67,$N$3:$AF$15,MATCH(VLOOKUP(Z$18,$H$3:$K$33,3,FALSE)&amp;VLOOKUP(Z$18,$H$3:$K$33,4,FALSE),$N$3:$AF$3,0),FALSE),Z66)</f>
        <v>24.00000000000006</v>
      </c>
      <c r="AA67" s="229">
        <f>IFERROR(VLOOKUP(VLOOKUP(AA$18,$H$3:$K$33,3,FALSE)&amp;VLOOKUP(AA$18,$H$3:$K$33,4,FALSE)&amp;"碎片",$B$3:$C$27,2,FALSE)*VLOOKUP($N67,$N$3:$AF$15,MATCH(VLOOKUP(AA$18,$H$3:$K$33,3,FALSE)&amp;VLOOKUP(AA$18,$H$3:$K$33,4,FALSE),$N$3:$AF$3,0),FALSE),AA66)</f>
        <v>54.400000000000084</v>
      </c>
      <c r="AB67" s="229">
        <f>IFERROR(VLOOKUP(VLOOKUP(AB$18,$H$3:$K$33,3,FALSE)&amp;VLOOKUP(AB$18,$H$3:$K$33,4,FALSE)&amp;"碎片",$B$3:$C$27,2,FALSE)*VLOOKUP($N67,$N$3:$AF$15,MATCH(VLOOKUP(AB$18,$H$3:$K$33,3,FALSE)&amp;VLOOKUP(AB$18,$H$3:$K$33,4,FALSE),$N$3:$AF$3,0),FALSE),AB66)</f>
        <v>34.799999999999997</v>
      </c>
      <c r="AC67" s="229">
        <f>IFERROR(VLOOKUP(VLOOKUP(AC$18,$H$3:$K$33,3,FALSE)&amp;VLOOKUP(AC$18,$H$3:$K$33,4,FALSE)&amp;"碎片",$B$3:$C$27,2,FALSE)*VLOOKUP($N67,$N$3:$AF$15,MATCH(VLOOKUP(AC$18,$H$3:$K$33,3,FALSE)&amp;VLOOKUP(AC$18,$H$3:$K$33,4,FALSE),$N$3:$AF$3,0),FALSE),AC66)</f>
        <v>54</v>
      </c>
      <c r="AD67" s="229">
        <f>IFERROR(VLOOKUP(VLOOKUP(AD$18,$H$3:$K$33,3,FALSE)&amp;VLOOKUP(AD$18,$H$3:$K$33,4,FALSE)&amp;"碎片",$B$3:$C$27,2,FALSE)*VLOOKUP($N67,$N$3:$AF$15,MATCH(VLOOKUP(AD$18,$H$3:$K$33,3,FALSE)&amp;VLOOKUP(AD$18,$H$3:$K$33,4,FALSE),$N$3:$AF$3,0),FALSE),AD66)</f>
        <v>68.399999999999991</v>
      </c>
      <c r="AE67" s="229">
        <f>IFERROR(VLOOKUP(VLOOKUP(AE$18,$H$3:$K$33,3,FALSE)&amp;VLOOKUP(AE$18,$H$3:$K$33,4,FALSE)&amp;"碎片",$B$3:$C$27,2,FALSE)*VLOOKUP($N67,$N$3:$AF$15,MATCH(VLOOKUP(AE$18,$H$3:$K$33,3,FALSE)&amp;VLOOKUP(AE$18,$H$3:$K$33,4,FALSE),$N$3:$AF$3,0),FALSE),AE66)</f>
        <v>84</v>
      </c>
      <c r="AF67" s="229">
        <f>IFERROR(VLOOKUP(VLOOKUP(AF$18,$H$3:$K$33,3,FALSE)&amp;VLOOKUP(AF$18,$H$3:$K$33,4,FALSE)&amp;"碎片",$B$3:$C$27,2,FALSE)*VLOOKUP($N67,$N$3:$AF$15,MATCH(VLOOKUP(AF$18,$H$3:$K$33,3,FALSE)&amp;VLOOKUP(AF$18,$H$3:$K$33,4,FALSE),$N$3:$AF$3,0),FALSE),AF66)</f>
        <v>105</v>
      </c>
      <c r="AG67" s="229">
        <f>IFERROR(VLOOKUP(VLOOKUP(AG$18,$H$3:$K$33,3,FALSE)&amp;VLOOKUP(AG$18,$H$3:$K$33,4,FALSE)&amp;"碎片",$B$3:$C$27,2,FALSE)*VLOOKUP($N67,$N$3:$AF$15,MATCH(VLOOKUP(AG$18,$H$3:$K$33,3,FALSE)&amp;VLOOKUP(AG$18,$H$3:$K$33,4,FALSE),$N$3:$AF$3,0),FALSE),AG66)</f>
        <v>130.19999999999999</v>
      </c>
      <c r="AH67" s="229">
        <f>IFERROR(VLOOKUP(VLOOKUP(AH$18,$H$3:$K$33,3,FALSE)&amp;VLOOKUP(AH$18,$H$3:$K$33,4,FALSE)&amp;"碎片",$B$3:$C$27,2,FALSE)*VLOOKUP($N67,$N$3:$AF$15,MATCH(VLOOKUP(AH$18,$H$3:$K$33,3,FALSE)&amp;VLOOKUP(AH$18,$H$3:$K$33,4,FALSE),$N$3:$AF$3,0),FALSE),AH66)</f>
        <v>163.19999999999999</v>
      </c>
      <c r="AI67" s="229">
        <f>IFERROR(VLOOKUP(VLOOKUP(AI$18,$H$3:$K$33,3,FALSE)&amp;VLOOKUP(AI$18,$H$3:$K$33,4,FALSE)&amp;"碎片",$B$3:$C$27,2,FALSE)*VLOOKUP($N67,$N$3:$AF$15,MATCH(VLOOKUP(AI$18,$H$3:$K$33,3,FALSE)&amp;VLOOKUP(AI$18,$H$3:$K$33,4,FALSE),$N$3:$AF$3,0),FALSE),AI66)</f>
        <v>20.400000000000063</v>
      </c>
      <c r="AJ67" s="229">
        <f>IFERROR(VLOOKUP(VLOOKUP(AJ$18,$H$3:$K$33,3,FALSE)&amp;VLOOKUP(AJ$18,$H$3:$K$33,4,FALSE)&amp;"碎片",$B$3:$C$27,2,FALSE)*VLOOKUP($N67,$N$3:$AF$15,MATCH(VLOOKUP(AJ$18,$H$3:$K$33,3,FALSE)&amp;VLOOKUP(AJ$18,$H$3:$K$33,4,FALSE),$N$3:$AF$3,0),FALSE),AJ66)</f>
        <v>24.00000000000006</v>
      </c>
      <c r="AK67" s="229">
        <f>IFERROR(VLOOKUP(VLOOKUP(AK$18,$H$3:$K$33,3,FALSE)&amp;VLOOKUP(AK$18,$H$3:$K$33,4,FALSE)&amp;"碎片",$B$3:$C$27,2,FALSE)*VLOOKUP($N67,$N$3:$AF$15,MATCH(VLOOKUP(AK$18,$H$3:$K$33,3,FALSE)&amp;VLOOKUP(AK$18,$H$3:$K$33,4,FALSE),$N$3:$AF$3,0),FALSE),AK66)</f>
        <v>54.400000000000084</v>
      </c>
      <c r="AL67" s="229">
        <f>IFERROR(VLOOKUP(VLOOKUP(AL$18,$H$3:$K$33,3,FALSE)&amp;VLOOKUP(AL$18,$H$3:$K$33,4,FALSE)&amp;"碎片",$B$3:$C$27,2,FALSE)*VLOOKUP($N67,$N$3:$AF$15,MATCH(VLOOKUP(AL$18,$H$3:$K$33,3,FALSE)&amp;VLOOKUP(AL$18,$H$3:$K$33,4,FALSE),$N$3:$AF$3,0),FALSE),AL66)</f>
        <v>34.799999999999997</v>
      </c>
      <c r="AM67" s="229">
        <f>IFERROR(VLOOKUP(VLOOKUP(AM$18,$H$3:$K$33,3,FALSE)&amp;VLOOKUP(AM$18,$H$3:$K$33,4,FALSE)&amp;"碎片",$B$3:$C$27,2,FALSE)*VLOOKUP($N67,$N$3:$AF$15,MATCH(VLOOKUP(AM$18,$H$3:$K$33,3,FALSE)&amp;VLOOKUP(AM$18,$H$3:$K$33,4,FALSE),$N$3:$AF$3,0),FALSE),AM66)</f>
        <v>54</v>
      </c>
      <c r="AN67" s="229">
        <f>IFERROR(VLOOKUP(VLOOKUP(AN$18,$H$3:$K$33,3,FALSE)&amp;VLOOKUP(AN$18,$H$3:$K$33,4,FALSE)&amp;"碎片",$B$3:$C$27,2,FALSE)*VLOOKUP($N67,$N$3:$AF$15,MATCH(VLOOKUP(AN$18,$H$3:$K$33,3,FALSE)&amp;VLOOKUP(AN$18,$H$3:$K$33,4,FALSE),$N$3:$AF$3,0),FALSE),AN66)</f>
        <v>68.399999999999991</v>
      </c>
      <c r="AO67" s="229">
        <f>IFERROR(VLOOKUP(VLOOKUP(AO$18,$H$3:$K$33,3,FALSE)&amp;VLOOKUP(AO$18,$H$3:$K$33,4,FALSE)&amp;"碎片",$B$3:$C$27,2,FALSE)*VLOOKUP($N67,$N$3:$AF$15,MATCH(VLOOKUP(AO$18,$H$3:$K$33,3,FALSE)&amp;VLOOKUP(AO$18,$H$3:$K$33,4,FALSE),$N$3:$AF$3,0),FALSE),AO66)</f>
        <v>84</v>
      </c>
      <c r="AP67" s="229">
        <f>IFERROR(VLOOKUP(VLOOKUP(AP$18,$H$3:$K$33,3,FALSE)&amp;VLOOKUP(AP$18,$H$3:$K$33,4,FALSE)&amp;"碎片",$B$3:$C$27,2,FALSE)*VLOOKUP($N67,$N$3:$AF$15,MATCH(VLOOKUP(AP$18,$H$3:$K$33,3,FALSE)&amp;VLOOKUP(AP$18,$H$3:$K$33,4,FALSE),$N$3:$AF$3,0),FALSE),AP66)</f>
        <v>105</v>
      </c>
      <c r="AQ67" s="229">
        <f>IFERROR(VLOOKUP(VLOOKUP(AQ$18,$H$3:$K$33,3,FALSE)&amp;VLOOKUP(AQ$18,$H$3:$K$33,4,FALSE)&amp;"碎片",$B$3:$C$27,2,FALSE)*VLOOKUP($N67,$N$3:$AF$15,MATCH(VLOOKUP(AQ$18,$H$3:$K$33,3,FALSE)&amp;VLOOKUP(AQ$18,$H$3:$K$33,4,FALSE),$N$3:$AF$3,0),FALSE),AQ66)</f>
        <v>130.19999999999999</v>
      </c>
      <c r="AR67" s="229">
        <f>IFERROR(VLOOKUP(VLOOKUP(AR$18,$H$3:$K$33,3,FALSE)&amp;VLOOKUP(AR$18,$H$3:$K$33,4,FALSE)&amp;"碎片",$B$3:$C$27,2,FALSE)*VLOOKUP($N67,$N$3:$AF$15,MATCH(VLOOKUP(AR$18,$H$3:$K$33,3,FALSE)&amp;VLOOKUP(AR$18,$H$3:$K$33,4,FALSE),$N$3:$AF$3,0),FALSE),AR66)</f>
        <v>163.19999999999999</v>
      </c>
    </row>
    <row r="68" spans="2:44" x14ac:dyDescent="0.35">
      <c r="B68" s="584">
        <f>坦克部件养成!B26</f>
        <v>720</v>
      </c>
      <c r="C68" s="584">
        <f>坦克部件养成!C26</f>
        <v>43200</v>
      </c>
      <c r="D68" s="584">
        <f>坦克部件养成!D26</f>
        <v>140</v>
      </c>
      <c r="E68" s="584">
        <f>坦克部件养成!E26</f>
        <v>390</v>
      </c>
      <c r="F68" s="592">
        <f>坦克部件养成!F26</f>
        <v>123.60515021459227</v>
      </c>
      <c r="N68" s="219">
        <v>23</v>
      </c>
      <c r="O68" s="229">
        <f>IFERROR(VLOOKUP(VLOOKUP(O$18,$H$3:$K$33,3,FALSE)&amp;VLOOKUP(O$18,$H$3:$K$33,4,FALSE)&amp;"碎片",$B$3:$C$27,2,FALSE)*VLOOKUP($N68,$N$3:$AF$15,MATCH(VLOOKUP(O$18,$H$3:$K$33,3,FALSE)&amp;VLOOKUP(O$18,$H$3:$K$33,4,FALSE),$N$3:$AF$3,0),FALSE),O67)</f>
        <v>20.400000000000063</v>
      </c>
      <c r="P68" s="229">
        <f>IFERROR(VLOOKUP(VLOOKUP(P$18,$H$3:$K$33,3,FALSE)&amp;VLOOKUP(P$18,$H$3:$K$33,4,FALSE)&amp;"碎片",$B$3:$C$27,2,FALSE)*VLOOKUP($N68,$N$3:$AF$15,MATCH(VLOOKUP(P$18,$H$3:$K$33,3,FALSE)&amp;VLOOKUP(P$18,$H$3:$K$33,4,FALSE),$N$3:$AF$3,0),FALSE),P67)</f>
        <v>24.00000000000006</v>
      </c>
      <c r="Q68" s="229">
        <f>IFERROR(VLOOKUP(VLOOKUP(Q$18,$H$3:$K$33,3,FALSE)&amp;VLOOKUP(Q$18,$H$3:$K$33,4,FALSE)&amp;"碎片",$B$3:$C$27,2,FALSE)*VLOOKUP($N68,$N$3:$AF$15,MATCH(VLOOKUP(Q$18,$H$3:$K$33,3,FALSE)&amp;VLOOKUP(Q$18,$H$3:$K$33,4,FALSE),$N$3:$AF$3,0),FALSE),Q67)</f>
        <v>54.400000000000084</v>
      </c>
      <c r="R68" s="229">
        <f>IFERROR(VLOOKUP(VLOOKUP(R$18,$H$3:$K$33,3,FALSE)&amp;VLOOKUP(R$18,$H$3:$K$33,4,FALSE)&amp;"碎片",$B$3:$C$27,2,FALSE)*VLOOKUP($N68,$N$3:$AF$15,MATCH(VLOOKUP(R$18,$H$3:$K$33,3,FALSE)&amp;VLOOKUP(R$18,$H$3:$K$33,4,FALSE),$N$3:$AF$3,0),FALSE),R67)</f>
        <v>34.799999999999997</v>
      </c>
      <c r="S68" s="229">
        <f>IFERROR(VLOOKUP(VLOOKUP(S$18,$H$3:$K$33,3,FALSE)&amp;VLOOKUP(S$18,$H$3:$K$33,4,FALSE)&amp;"碎片",$B$3:$C$27,2,FALSE)*VLOOKUP($N68,$N$3:$AF$15,MATCH(VLOOKUP(S$18,$H$3:$K$33,3,FALSE)&amp;VLOOKUP(S$18,$H$3:$K$33,4,FALSE),$N$3:$AF$3,0),FALSE),S67)</f>
        <v>54</v>
      </c>
      <c r="T68" s="229">
        <f>IFERROR(VLOOKUP(VLOOKUP(T$18,$H$3:$K$33,3,FALSE)&amp;VLOOKUP(T$18,$H$3:$K$33,4,FALSE)&amp;"碎片",$B$3:$C$27,2,FALSE)*VLOOKUP($N68,$N$3:$AF$15,MATCH(VLOOKUP(T$18,$H$3:$K$33,3,FALSE)&amp;VLOOKUP(T$18,$H$3:$K$33,4,FALSE),$N$3:$AF$3,0),FALSE),T67)</f>
        <v>68.399999999999991</v>
      </c>
      <c r="U68" s="229">
        <f>IFERROR(VLOOKUP(VLOOKUP(U$18,$H$3:$K$33,3,FALSE)&amp;VLOOKUP(U$18,$H$3:$K$33,4,FALSE)&amp;"碎片",$B$3:$C$27,2,FALSE)*VLOOKUP($N68,$N$3:$AF$15,MATCH(VLOOKUP(U$18,$H$3:$K$33,3,FALSE)&amp;VLOOKUP(U$18,$H$3:$K$33,4,FALSE),$N$3:$AF$3,0),FALSE),U67)</f>
        <v>84</v>
      </c>
      <c r="V68" s="229">
        <f>IFERROR(VLOOKUP(VLOOKUP(V$18,$H$3:$K$33,3,FALSE)&amp;VLOOKUP(V$18,$H$3:$K$33,4,FALSE)&amp;"碎片",$B$3:$C$27,2,FALSE)*VLOOKUP($N68,$N$3:$AF$15,MATCH(VLOOKUP(V$18,$H$3:$K$33,3,FALSE)&amp;VLOOKUP(V$18,$H$3:$K$33,4,FALSE),$N$3:$AF$3,0),FALSE),V67)</f>
        <v>105</v>
      </c>
      <c r="W68" s="229">
        <f>IFERROR(VLOOKUP(VLOOKUP(W$18,$H$3:$K$33,3,FALSE)&amp;VLOOKUP(W$18,$H$3:$K$33,4,FALSE)&amp;"碎片",$B$3:$C$27,2,FALSE)*VLOOKUP($N68,$N$3:$AF$15,MATCH(VLOOKUP(W$18,$H$3:$K$33,3,FALSE)&amp;VLOOKUP(W$18,$H$3:$K$33,4,FALSE),$N$3:$AF$3,0),FALSE),W67)</f>
        <v>130.19999999999999</v>
      </c>
      <c r="X68" s="229">
        <f>IFERROR(VLOOKUP(VLOOKUP(X$18,$H$3:$K$33,3,FALSE)&amp;VLOOKUP(X$18,$H$3:$K$33,4,FALSE)&amp;"碎片",$B$3:$C$27,2,FALSE)*VLOOKUP($N68,$N$3:$AF$15,MATCH(VLOOKUP(X$18,$H$3:$K$33,3,FALSE)&amp;VLOOKUP(X$18,$H$3:$K$33,4,FALSE),$N$3:$AF$3,0),FALSE),X67)</f>
        <v>163.19999999999999</v>
      </c>
      <c r="Y68" s="229">
        <f>IFERROR(VLOOKUP(VLOOKUP(Y$18,$H$3:$K$33,3,FALSE)&amp;VLOOKUP(Y$18,$H$3:$K$33,4,FALSE)&amp;"碎片",$B$3:$C$27,2,FALSE)*VLOOKUP($N68,$N$3:$AF$15,MATCH(VLOOKUP(Y$18,$H$3:$K$33,3,FALSE)&amp;VLOOKUP(Y$18,$H$3:$K$33,4,FALSE),$N$3:$AF$3,0),FALSE),Y67)</f>
        <v>20.400000000000063</v>
      </c>
      <c r="Z68" s="229">
        <f>IFERROR(VLOOKUP(VLOOKUP(Z$18,$H$3:$K$33,3,FALSE)&amp;VLOOKUP(Z$18,$H$3:$K$33,4,FALSE)&amp;"碎片",$B$3:$C$27,2,FALSE)*VLOOKUP($N68,$N$3:$AF$15,MATCH(VLOOKUP(Z$18,$H$3:$K$33,3,FALSE)&amp;VLOOKUP(Z$18,$H$3:$K$33,4,FALSE),$N$3:$AF$3,0),FALSE),Z67)</f>
        <v>24.00000000000006</v>
      </c>
      <c r="AA68" s="229">
        <f>IFERROR(VLOOKUP(VLOOKUP(AA$18,$H$3:$K$33,3,FALSE)&amp;VLOOKUP(AA$18,$H$3:$K$33,4,FALSE)&amp;"碎片",$B$3:$C$27,2,FALSE)*VLOOKUP($N68,$N$3:$AF$15,MATCH(VLOOKUP(AA$18,$H$3:$K$33,3,FALSE)&amp;VLOOKUP(AA$18,$H$3:$K$33,4,FALSE),$N$3:$AF$3,0),FALSE),AA67)</f>
        <v>54.400000000000084</v>
      </c>
      <c r="AB68" s="229">
        <f>IFERROR(VLOOKUP(VLOOKUP(AB$18,$H$3:$K$33,3,FALSE)&amp;VLOOKUP(AB$18,$H$3:$K$33,4,FALSE)&amp;"碎片",$B$3:$C$27,2,FALSE)*VLOOKUP($N68,$N$3:$AF$15,MATCH(VLOOKUP(AB$18,$H$3:$K$33,3,FALSE)&amp;VLOOKUP(AB$18,$H$3:$K$33,4,FALSE),$N$3:$AF$3,0),FALSE),AB67)</f>
        <v>34.799999999999997</v>
      </c>
      <c r="AC68" s="229">
        <f>IFERROR(VLOOKUP(VLOOKUP(AC$18,$H$3:$K$33,3,FALSE)&amp;VLOOKUP(AC$18,$H$3:$K$33,4,FALSE)&amp;"碎片",$B$3:$C$27,2,FALSE)*VLOOKUP($N68,$N$3:$AF$15,MATCH(VLOOKUP(AC$18,$H$3:$K$33,3,FALSE)&amp;VLOOKUP(AC$18,$H$3:$K$33,4,FALSE),$N$3:$AF$3,0),FALSE),AC67)</f>
        <v>54</v>
      </c>
      <c r="AD68" s="229">
        <f>IFERROR(VLOOKUP(VLOOKUP(AD$18,$H$3:$K$33,3,FALSE)&amp;VLOOKUP(AD$18,$H$3:$K$33,4,FALSE)&amp;"碎片",$B$3:$C$27,2,FALSE)*VLOOKUP($N68,$N$3:$AF$15,MATCH(VLOOKUP(AD$18,$H$3:$K$33,3,FALSE)&amp;VLOOKUP(AD$18,$H$3:$K$33,4,FALSE),$N$3:$AF$3,0),FALSE),AD67)</f>
        <v>68.399999999999991</v>
      </c>
      <c r="AE68" s="229">
        <f>IFERROR(VLOOKUP(VLOOKUP(AE$18,$H$3:$K$33,3,FALSE)&amp;VLOOKUP(AE$18,$H$3:$K$33,4,FALSE)&amp;"碎片",$B$3:$C$27,2,FALSE)*VLOOKUP($N68,$N$3:$AF$15,MATCH(VLOOKUP(AE$18,$H$3:$K$33,3,FALSE)&amp;VLOOKUP(AE$18,$H$3:$K$33,4,FALSE),$N$3:$AF$3,0),FALSE),AE67)</f>
        <v>84</v>
      </c>
      <c r="AF68" s="229">
        <f>IFERROR(VLOOKUP(VLOOKUP(AF$18,$H$3:$K$33,3,FALSE)&amp;VLOOKUP(AF$18,$H$3:$K$33,4,FALSE)&amp;"碎片",$B$3:$C$27,2,FALSE)*VLOOKUP($N68,$N$3:$AF$15,MATCH(VLOOKUP(AF$18,$H$3:$K$33,3,FALSE)&amp;VLOOKUP(AF$18,$H$3:$K$33,4,FALSE),$N$3:$AF$3,0),FALSE),AF67)</f>
        <v>105</v>
      </c>
      <c r="AG68" s="229">
        <f>IFERROR(VLOOKUP(VLOOKUP(AG$18,$H$3:$K$33,3,FALSE)&amp;VLOOKUP(AG$18,$H$3:$K$33,4,FALSE)&amp;"碎片",$B$3:$C$27,2,FALSE)*VLOOKUP($N68,$N$3:$AF$15,MATCH(VLOOKUP(AG$18,$H$3:$K$33,3,FALSE)&amp;VLOOKUP(AG$18,$H$3:$K$33,4,FALSE),$N$3:$AF$3,0),FALSE),AG67)</f>
        <v>130.19999999999999</v>
      </c>
      <c r="AH68" s="229">
        <f>IFERROR(VLOOKUP(VLOOKUP(AH$18,$H$3:$K$33,3,FALSE)&amp;VLOOKUP(AH$18,$H$3:$K$33,4,FALSE)&amp;"碎片",$B$3:$C$27,2,FALSE)*VLOOKUP($N68,$N$3:$AF$15,MATCH(VLOOKUP(AH$18,$H$3:$K$33,3,FALSE)&amp;VLOOKUP(AH$18,$H$3:$K$33,4,FALSE),$N$3:$AF$3,0),FALSE),AH67)</f>
        <v>163.19999999999999</v>
      </c>
      <c r="AI68" s="229">
        <f>IFERROR(VLOOKUP(VLOOKUP(AI$18,$H$3:$K$33,3,FALSE)&amp;VLOOKUP(AI$18,$H$3:$K$33,4,FALSE)&amp;"碎片",$B$3:$C$27,2,FALSE)*VLOOKUP($N68,$N$3:$AF$15,MATCH(VLOOKUP(AI$18,$H$3:$K$33,3,FALSE)&amp;VLOOKUP(AI$18,$H$3:$K$33,4,FALSE),$N$3:$AF$3,0),FALSE),AI67)</f>
        <v>20.400000000000063</v>
      </c>
      <c r="AJ68" s="229">
        <f>IFERROR(VLOOKUP(VLOOKUP(AJ$18,$H$3:$K$33,3,FALSE)&amp;VLOOKUP(AJ$18,$H$3:$K$33,4,FALSE)&amp;"碎片",$B$3:$C$27,2,FALSE)*VLOOKUP($N68,$N$3:$AF$15,MATCH(VLOOKUP(AJ$18,$H$3:$K$33,3,FALSE)&amp;VLOOKUP(AJ$18,$H$3:$K$33,4,FALSE),$N$3:$AF$3,0),FALSE),AJ67)</f>
        <v>24.00000000000006</v>
      </c>
      <c r="AK68" s="229">
        <f>IFERROR(VLOOKUP(VLOOKUP(AK$18,$H$3:$K$33,3,FALSE)&amp;VLOOKUP(AK$18,$H$3:$K$33,4,FALSE)&amp;"碎片",$B$3:$C$27,2,FALSE)*VLOOKUP($N68,$N$3:$AF$15,MATCH(VLOOKUP(AK$18,$H$3:$K$33,3,FALSE)&amp;VLOOKUP(AK$18,$H$3:$K$33,4,FALSE),$N$3:$AF$3,0),FALSE),AK67)</f>
        <v>54.400000000000084</v>
      </c>
      <c r="AL68" s="229">
        <f>IFERROR(VLOOKUP(VLOOKUP(AL$18,$H$3:$K$33,3,FALSE)&amp;VLOOKUP(AL$18,$H$3:$K$33,4,FALSE)&amp;"碎片",$B$3:$C$27,2,FALSE)*VLOOKUP($N68,$N$3:$AF$15,MATCH(VLOOKUP(AL$18,$H$3:$K$33,3,FALSE)&amp;VLOOKUP(AL$18,$H$3:$K$33,4,FALSE),$N$3:$AF$3,0),FALSE),AL67)</f>
        <v>34.799999999999997</v>
      </c>
      <c r="AM68" s="229">
        <f>IFERROR(VLOOKUP(VLOOKUP(AM$18,$H$3:$K$33,3,FALSE)&amp;VLOOKUP(AM$18,$H$3:$K$33,4,FALSE)&amp;"碎片",$B$3:$C$27,2,FALSE)*VLOOKUP($N68,$N$3:$AF$15,MATCH(VLOOKUP(AM$18,$H$3:$K$33,3,FALSE)&amp;VLOOKUP(AM$18,$H$3:$K$33,4,FALSE),$N$3:$AF$3,0),FALSE),AM67)</f>
        <v>54</v>
      </c>
      <c r="AN68" s="229">
        <f>IFERROR(VLOOKUP(VLOOKUP(AN$18,$H$3:$K$33,3,FALSE)&amp;VLOOKUP(AN$18,$H$3:$K$33,4,FALSE)&amp;"碎片",$B$3:$C$27,2,FALSE)*VLOOKUP($N68,$N$3:$AF$15,MATCH(VLOOKUP(AN$18,$H$3:$K$33,3,FALSE)&amp;VLOOKUP(AN$18,$H$3:$K$33,4,FALSE),$N$3:$AF$3,0),FALSE),AN67)</f>
        <v>68.399999999999991</v>
      </c>
      <c r="AO68" s="229">
        <f>IFERROR(VLOOKUP(VLOOKUP(AO$18,$H$3:$K$33,3,FALSE)&amp;VLOOKUP(AO$18,$H$3:$K$33,4,FALSE)&amp;"碎片",$B$3:$C$27,2,FALSE)*VLOOKUP($N68,$N$3:$AF$15,MATCH(VLOOKUP(AO$18,$H$3:$K$33,3,FALSE)&amp;VLOOKUP(AO$18,$H$3:$K$33,4,FALSE),$N$3:$AF$3,0),FALSE),AO67)</f>
        <v>84</v>
      </c>
      <c r="AP68" s="229">
        <f>IFERROR(VLOOKUP(VLOOKUP(AP$18,$H$3:$K$33,3,FALSE)&amp;VLOOKUP(AP$18,$H$3:$K$33,4,FALSE)&amp;"碎片",$B$3:$C$27,2,FALSE)*VLOOKUP($N68,$N$3:$AF$15,MATCH(VLOOKUP(AP$18,$H$3:$K$33,3,FALSE)&amp;VLOOKUP(AP$18,$H$3:$K$33,4,FALSE),$N$3:$AF$3,0),FALSE),AP67)</f>
        <v>105</v>
      </c>
      <c r="AQ68" s="229">
        <f>IFERROR(VLOOKUP(VLOOKUP(AQ$18,$H$3:$K$33,3,FALSE)&amp;VLOOKUP(AQ$18,$H$3:$K$33,4,FALSE)&amp;"碎片",$B$3:$C$27,2,FALSE)*VLOOKUP($N68,$N$3:$AF$15,MATCH(VLOOKUP(AQ$18,$H$3:$K$33,3,FALSE)&amp;VLOOKUP(AQ$18,$H$3:$K$33,4,FALSE),$N$3:$AF$3,0),FALSE),AQ67)</f>
        <v>130.19999999999999</v>
      </c>
      <c r="AR68" s="229">
        <f>IFERROR(VLOOKUP(VLOOKUP(AR$18,$H$3:$K$33,3,FALSE)&amp;VLOOKUP(AR$18,$H$3:$K$33,4,FALSE)&amp;"碎片",$B$3:$C$27,2,FALSE)*VLOOKUP($N68,$N$3:$AF$15,MATCH(VLOOKUP(AR$18,$H$3:$K$33,3,FALSE)&amp;VLOOKUP(AR$18,$H$3:$K$33,4,FALSE),$N$3:$AF$3,0),FALSE),AR67)</f>
        <v>163.19999999999999</v>
      </c>
    </row>
    <row r="69" spans="2:44" x14ac:dyDescent="0.35">
      <c r="B69" s="584">
        <f>坦克部件养成!B27</f>
        <v>1440</v>
      </c>
      <c r="C69" s="584">
        <f>坦克部件养成!C27</f>
        <v>86400</v>
      </c>
      <c r="D69" s="584">
        <f>坦克部件养成!D27</f>
        <v>160</v>
      </c>
      <c r="E69" s="584">
        <f>坦克部件养成!E27</f>
        <v>699</v>
      </c>
      <c r="F69" s="592">
        <f>坦克部件养成!F27</f>
        <v>139.46731234866829</v>
      </c>
      <c r="N69" s="219">
        <v>24</v>
      </c>
      <c r="O69" s="229">
        <f>IFERROR(VLOOKUP(VLOOKUP(O$18,$H$3:$K$33,3,FALSE)&amp;VLOOKUP(O$18,$H$3:$K$33,4,FALSE)&amp;"碎片",$B$3:$C$27,2,FALSE)*VLOOKUP($N69,$N$3:$AF$15,MATCH(VLOOKUP(O$18,$H$3:$K$33,3,FALSE)&amp;VLOOKUP(O$18,$H$3:$K$33,4,FALSE),$N$3:$AF$3,0),FALSE),O68)</f>
        <v>20.400000000000063</v>
      </c>
      <c r="P69" s="229">
        <f>IFERROR(VLOOKUP(VLOOKUP(P$18,$H$3:$K$33,3,FALSE)&amp;VLOOKUP(P$18,$H$3:$K$33,4,FALSE)&amp;"碎片",$B$3:$C$27,2,FALSE)*VLOOKUP($N69,$N$3:$AF$15,MATCH(VLOOKUP(P$18,$H$3:$K$33,3,FALSE)&amp;VLOOKUP(P$18,$H$3:$K$33,4,FALSE),$N$3:$AF$3,0),FALSE),P68)</f>
        <v>24.00000000000006</v>
      </c>
      <c r="Q69" s="229">
        <f>IFERROR(VLOOKUP(VLOOKUP(Q$18,$H$3:$K$33,3,FALSE)&amp;VLOOKUP(Q$18,$H$3:$K$33,4,FALSE)&amp;"碎片",$B$3:$C$27,2,FALSE)*VLOOKUP($N69,$N$3:$AF$15,MATCH(VLOOKUP(Q$18,$H$3:$K$33,3,FALSE)&amp;VLOOKUP(Q$18,$H$3:$K$33,4,FALSE),$N$3:$AF$3,0),FALSE),Q68)</f>
        <v>54.400000000000084</v>
      </c>
      <c r="R69" s="229">
        <f>IFERROR(VLOOKUP(VLOOKUP(R$18,$H$3:$K$33,3,FALSE)&amp;VLOOKUP(R$18,$H$3:$K$33,4,FALSE)&amp;"碎片",$B$3:$C$27,2,FALSE)*VLOOKUP($N69,$N$3:$AF$15,MATCH(VLOOKUP(R$18,$H$3:$K$33,3,FALSE)&amp;VLOOKUP(R$18,$H$3:$K$33,4,FALSE),$N$3:$AF$3,0),FALSE),R68)</f>
        <v>34.799999999999997</v>
      </c>
      <c r="S69" s="229">
        <f>IFERROR(VLOOKUP(VLOOKUP(S$18,$H$3:$K$33,3,FALSE)&amp;VLOOKUP(S$18,$H$3:$K$33,4,FALSE)&amp;"碎片",$B$3:$C$27,2,FALSE)*VLOOKUP($N69,$N$3:$AF$15,MATCH(VLOOKUP(S$18,$H$3:$K$33,3,FALSE)&amp;VLOOKUP(S$18,$H$3:$K$33,4,FALSE),$N$3:$AF$3,0),FALSE),S68)</f>
        <v>54</v>
      </c>
      <c r="T69" s="229">
        <f>IFERROR(VLOOKUP(VLOOKUP(T$18,$H$3:$K$33,3,FALSE)&amp;VLOOKUP(T$18,$H$3:$K$33,4,FALSE)&amp;"碎片",$B$3:$C$27,2,FALSE)*VLOOKUP($N69,$N$3:$AF$15,MATCH(VLOOKUP(T$18,$H$3:$K$33,3,FALSE)&amp;VLOOKUP(T$18,$H$3:$K$33,4,FALSE),$N$3:$AF$3,0),FALSE),T68)</f>
        <v>68.399999999999991</v>
      </c>
      <c r="U69" s="229">
        <f>IFERROR(VLOOKUP(VLOOKUP(U$18,$H$3:$K$33,3,FALSE)&amp;VLOOKUP(U$18,$H$3:$K$33,4,FALSE)&amp;"碎片",$B$3:$C$27,2,FALSE)*VLOOKUP($N69,$N$3:$AF$15,MATCH(VLOOKUP(U$18,$H$3:$K$33,3,FALSE)&amp;VLOOKUP(U$18,$H$3:$K$33,4,FALSE),$N$3:$AF$3,0),FALSE),U68)</f>
        <v>84</v>
      </c>
      <c r="V69" s="229">
        <f>IFERROR(VLOOKUP(VLOOKUP(V$18,$H$3:$K$33,3,FALSE)&amp;VLOOKUP(V$18,$H$3:$K$33,4,FALSE)&amp;"碎片",$B$3:$C$27,2,FALSE)*VLOOKUP($N69,$N$3:$AF$15,MATCH(VLOOKUP(V$18,$H$3:$K$33,3,FALSE)&amp;VLOOKUP(V$18,$H$3:$K$33,4,FALSE),$N$3:$AF$3,0),FALSE),V68)</f>
        <v>105</v>
      </c>
      <c r="W69" s="229">
        <f>IFERROR(VLOOKUP(VLOOKUP(W$18,$H$3:$K$33,3,FALSE)&amp;VLOOKUP(W$18,$H$3:$K$33,4,FALSE)&amp;"碎片",$B$3:$C$27,2,FALSE)*VLOOKUP($N69,$N$3:$AF$15,MATCH(VLOOKUP(W$18,$H$3:$K$33,3,FALSE)&amp;VLOOKUP(W$18,$H$3:$K$33,4,FALSE),$N$3:$AF$3,0),FALSE),W68)</f>
        <v>130.19999999999999</v>
      </c>
      <c r="X69" s="229">
        <f>IFERROR(VLOOKUP(VLOOKUP(X$18,$H$3:$K$33,3,FALSE)&amp;VLOOKUP(X$18,$H$3:$K$33,4,FALSE)&amp;"碎片",$B$3:$C$27,2,FALSE)*VLOOKUP($N69,$N$3:$AF$15,MATCH(VLOOKUP(X$18,$H$3:$K$33,3,FALSE)&amp;VLOOKUP(X$18,$H$3:$K$33,4,FALSE),$N$3:$AF$3,0),FALSE),X68)</f>
        <v>163.19999999999999</v>
      </c>
      <c r="Y69" s="229">
        <f>IFERROR(VLOOKUP(VLOOKUP(Y$18,$H$3:$K$33,3,FALSE)&amp;VLOOKUP(Y$18,$H$3:$K$33,4,FALSE)&amp;"碎片",$B$3:$C$27,2,FALSE)*VLOOKUP($N69,$N$3:$AF$15,MATCH(VLOOKUP(Y$18,$H$3:$K$33,3,FALSE)&amp;VLOOKUP(Y$18,$H$3:$K$33,4,FALSE),$N$3:$AF$3,0),FALSE),Y68)</f>
        <v>20.400000000000063</v>
      </c>
      <c r="Z69" s="229">
        <f>IFERROR(VLOOKUP(VLOOKUP(Z$18,$H$3:$K$33,3,FALSE)&amp;VLOOKUP(Z$18,$H$3:$K$33,4,FALSE)&amp;"碎片",$B$3:$C$27,2,FALSE)*VLOOKUP($N69,$N$3:$AF$15,MATCH(VLOOKUP(Z$18,$H$3:$K$33,3,FALSE)&amp;VLOOKUP(Z$18,$H$3:$K$33,4,FALSE),$N$3:$AF$3,0),FALSE),Z68)</f>
        <v>24.00000000000006</v>
      </c>
      <c r="AA69" s="229">
        <f>IFERROR(VLOOKUP(VLOOKUP(AA$18,$H$3:$K$33,3,FALSE)&amp;VLOOKUP(AA$18,$H$3:$K$33,4,FALSE)&amp;"碎片",$B$3:$C$27,2,FALSE)*VLOOKUP($N69,$N$3:$AF$15,MATCH(VLOOKUP(AA$18,$H$3:$K$33,3,FALSE)&amp;VLOOKUP(AA$18,$H$3:$K$33,4,FALSE),$N$3:$AF$3,0),FALSE),AA68)</f>
        <v>54.400000000000084</v>
      </c>
      <c r="AB69" s="229">
        <f>IFERROR(VLOOKUP(VLOOKUP(AB$18,$H$3:$K$33,3,FALSE)&amp;VLOOKUP(AB$18,$H$3:$K$33,4,FALSE)&amp;"碎片",$B$3:$C$27,2,FALSE)*VLOOKUP($N69,$N$3:$AF$15,MATCH(VLOOKUP(AB$18,$H$3:$K$33,3,FALSE)&amp;VLOOKUP(AB$18,$H$3:$K$33,4,FALSE),$N$3:$AF$3,0),FALSE),AB68)</f>
        <v>34.799999999999997</v>
      </c>
      <c r="AC69" s="229">
        <f>IFERROR(VLOOKUP(VLOOKUP(AC$18,$H$3:$K$33,3,FALSE)&amp;VLOOKUP(AC$18,$H$3:$K$33,4,FALSE)&amp;"碎片",$B$3:$C$27,2,FALSE)*VLOOKUP($N69,$N$3:$AF$15,MATCH(VLOOKUP(AC$18,$H$3:$K$33,3,FALSE)&amp;VLOOKUP(AC$18,$H$3:$K$33,4,FALSE),$N$3:$AF$3,0),FALSE),AC68)</f>
        <v>54</v>
      </c>
      <c r="AD69" s="229">
        <f>IFERROR(VLOOKUP(VLOOKUP(AD$18,$H$3:$K$33,3,FALSE)&amp;VLOOKUP(AD$18,$H$3:$K$33,4,FALSE)&amp;"碎片",$B$3:$C$27,2,FALSE)*VLOOKUP($N69,$N$3:$AF$15,MATCH(VLOOKUP(AD$18,$H$3:$K$33,3,FALSE)&amp;VLOOKUP(AD$18,$H$3:$K$33,4,FALSE),$N$3:$AF$3,0),FALSE),AD68)</f>
        <v>68.399999999999991</v>
      </c>
      <c r="AE69" s="229">
        <f>IFERROR(VLOOKUP(VLOOKUP(AE$18,$H$3:$K$33,3,FALSE)&amp;VLOOKUP(AE$18,$H$3:$K$33,4,FALSE)&amp;"碎片",$B$3:$C$27,2,FALSE)*VLOOKUP($N69,$N$3:$AF$15,MATCH(VLOOKUP(AE$18,$H$3:$K$33,3,FALSE)&amp;VLOOKUP(AE$18,$H$3:$K$33,4,FALSE),$N$3:$AF$3,0),FALSE),AE68)</f>
        <v>84</v>
      </c>
      <c r="AF69" s="229">
        <f>IFERROR(VLOOKUP(VLOOKUP(AF$18,$H$3:$K$33,3,FALSE)&amp;VLOOKUP(AF$18,$H$3:$K$33,4,FALSE)&amp;"碎片",$B$3:$C$27,2,FALSE)*VLOOKUP($N69,$N$3:$AF$15,MATCH(VLOOKUP(AF$18,$H$3:$K$33,3,FALSE)&amp;VLOOKUP(AF$18,$H$3:$K$33,4,FALSE),$N$3:$AF$3,0),FALSE),AF68)</f>
        <v>105</v>
      </c>
      <c r="AG69" s="229">
        <f>IFERROR(VLOOKUP(VLOOKUP(AG$18,$H$3:$K$33,3,FALSE)&amp;VLOOKUP(AG$18,$H$3:$K$33,4,FALSE)&amp;"碎片",$B$3:$C$27,2,FALSE)*VLOOKUP($N69,$N$3:$AF$15,MATCH(VLOOKUP(AG$18,$H$3:$K$33,3,FALSE)&amp;VLOOKUP(AG$18,$H$3:$K$33,4,FALSE),$N$3:$AF$3,0),FALSE),AG68)</f>
        <v>130.19999999999999</v>
      </c>
      <c r="AH69" s="229">
        <f>IFERROR(VLOOKUP(VLOOKUP(AH$18,$H$3:$K$33,3,FALSE)&amp;VLOOKUP(AH$18,$H$3:$K$33,4,FALSE)&amp;"碎片",$B$3:$C$27,2,FALSE)*VLOOKUP($N69,$N$3:$AF$15,MATCH(VLOOKUP(AH$18,$H$3:$K$33,3,FALSE)&amp;VLOOKUP(AH$18,$H$3:$K$33,4,FALSE),$N$3:$AF$3,0),FALSE),AH68)</f>
        <v>163.19999999999999</v>
      </c>
      <c r="AI69" s="229">
        <f>IFERROR(VLOOKUP(VLOOKUP(AI$18,$H$3:$K$33,3,FALSE)&amp;VLOOKUP(AI$18,$H$3:$K$33,4,FALSE)&amp;"碎片",$B$3:$C$27,2,FALSE)*VLOOKUP($N69,$N$3:$AF$15,MATCH(VLOOKUP(AI$18,$H$3:$K$33,3,FALSE)&amp;VLOOKUP(AI$18,$H$3:$K$33,4,FALSE),$N$3:$AF$3,0),FALSE),AI68)</f>
        <v>20.400000000000063</v>
      </c>
      <c r="AJ69" s="229">
        <f>IFERROR(VLOOKUP(VLOOKUP(AJ$18,$H$3:$K$33,3,FALSE)&amp;VLOOKUP(AJ$18,$H$3:$K$33,4,FALSE)&amp;"碎片",$B$3:$C$27,2,FALSE)*VLOOKUP($N69,$N$3:$AF$15,MATCH(VLOOKUP(AJ$18,$H$3:$K$33,3,FALSE)&amp;VLOOKUP(AJ$18,$H$3:$K$33,4,FALSE),$N$3:$AF$3,0),FALSE),AJ68)</f>
        <v>24.00000000000006</v>
      </c>
      <c r="AK69" s="229">
        <f>IFERROR(VLOOKUP(VLOOKUP(AK$18,$H$3:$K$33,3,FALSE)&amp;VLOOKUP(AK$18,$H$3:$K$33,4,FALSE)&amp;"碎片",$B$3:$C$27,2,FALSE)*VLOOKUP($N69,$N$3:$AF$15,MATCH(VLOOKUP(AK$18,$H$3:$K$33,3,FALSE)&amp;VLOOKUP(AK$18,$H$3:$K$33,4,FALSE),$N$3:$AF$3,0),FALSE),AK68)</f>
        <v>54.400000000000084</v>
      </c>
      <c r="AL69" s="229">
        <f>IFERROR(VLOOKUP(VLOOKUP(AL$18,$H$3:$K$33,3,FALSE)&amp;VLOOKUP(AL$18,$H$3:$K$33,4,FALSE)&amp;"碎片",$B$3:$C$27,2,FALSE)*VLOOKUP($N69,$N$3:$AF$15,MATCH(VLOOKUP(AL$18,$H$3:$K$33,3,FALSE)&amp;VLOOKUP(AL$18,$H$3:$K$33,4,FALSE),$N$3:$AF$3,0),FALSE),AL68)</f>
        <v>34.799999999999997</v>
      </c>
      <c r="AM69" s="229">
        <f>IFERROR(VLOOKUP(VLOOKUP(AM$18,$H$3:$K$33,3,FALSE)&amp;VLOOKUP(AM$18,$H$3:$K$33,4,FALSE)&amp;"碎片",$B$3:$C$27,2,FALSE)*VLOOKUP($N69,$N$3:$AF$15,MATCH(VLOOKUP(AM$18,$H$3:$K$33,3,FALSE)&amp;VLOOKUP(AM$18,$H$3:$K$33,4,FALSE),$N$3:$AF$3,0),FALSE),AM68)</f>
        <v>54</v>
      </c>
      <c r="AN69" s="229">
        <f>IFERROR(VLOOKUP(VLOOKUP(AN$18,$H$3:$K$33,3,FALSE)&amp;VLOOKUP(AN$18,$H$3:$K$33,4,FALSE)&amp;"碎片",$B$3:$C$27,2,FALSE)*VLOOKUP($N69,$N$3:$AF$15,MATCH(VLOOKUP(AN$18,$H$3:$K$33,3,FALSE)&amp;VLOOKUP(AN$18,$H$3:$K$33,4,FALSE),$N$3:$AF$3,0),FALSE),AN68)</f>
        <v>68.399999999999991</v>
      </c>
      <c r="AO69" s="229">
        <f>IFERROR(VLOOKUP(VLOOKUP(AO$18,$H$3:$K$33,3,FALSE)&amp;VLOOKUP(AO$18,$H$3:$K$33,4,FALSE)&amp;"碎片",$B$3:$C$27,2,FALSE)*VLOOKUP($N69,$N$3:$AF$15,MATCH(VLOOKUP(AO$18,$H$3:$K$33,3,FALSE)&amp;VLOOKUP(AO$18,$H$3:$K$33,4,FALSE),$N$3:$AF$3,0),FALSE),AO68)</f>
        <v>84</v>
      </c>
      <c r="AP69" s="229">
        <f>IFERROR(VLOOKUP(VLOOKUP(AP$18,$H$3:$K$33,3,FALSE)&amp;VLOOKUP(AP$18,$H$3:$K$33,4,FALSE)&amp;"碎片",$B$3:$C$27,2,FALSE)*VLOOKUP($N69,$N$3:$AF$15,MATCH(VLOOKUP(AP$18,$H$3:$K$33,3,FALSE)&amp;VLOOKUP(AP$18,$H$3:$K$33,4,FALSE),$N$3:$AF$3,0),FALSE),AP68)</f>
        <v>105</v>
      </c>
      <c r="AQ69" s="229">
        <f>IFERROR(VLOOKUP(VLOOKUP(AQ$18,$H$3:$K$33,3,FALSE)&amp;VLOOKUP(AQ$18,$H$3:$K$33,4,FALSE)&amp;"碎片",$B$3:$C$27,2,FALSE)*VLOOKUP($N69,$N$3:$AF$15,MATCH(VLOOKUP(AQ$18,$H$3:$K$33,3,FALSE)&amp;VLOOKUP(AQ$18,$H$3:$K$33,4,FALSE),$N$3:$AF$3,0),FALSE),AQ68)</f>
        <v>130.19999999999999</v>
      </c>
      <c r="AR69" s="229">
        <f>IFERROR(VLOOKUP(VLOOKUP(AR$18,$H$3:$K$33,3,FALSE)&amp;VLOOKUP(AR$18,$H$3:$K$33,4,FALSE)&amp;"碎片",$B$3:$C$27,2,FALSE)*VLOOKUP($N69,$N$3:$AF$15,MATCH(VLOOKUP(AR$18,$H$3:$K$33,3,FALSE)&amp;VLOOKUP(AR$18,$H$3:$K$33,4,FALSE),$N$3:$AF$3,0),FALSE),AR68)</f>
        <v>163.19999999999999</v>
      </c>
    </row>
    <row r="70" spans="2:44" x14ac:dyDescent="0.35">
      <c r="B70" s="584">
        <f>坦克部件养成!B28</f>
        <v>2880</v>
      </c>
      <c r="C70" s="584">
        <f>坦克部件养成!C28</f>
        <v>172800</v>
      </c>
      <c r="D70" s="584">
        <f>坦克部件养成!D28</f>
        <v>180</v>
      </c>
      <c r="E70" s="584">
        <f>坦克部件养成!E28</f>
        <v>1239</v>
      </c>
      <c r="F70" s="592">
        <f>坦克部件养成!F28</f>
        <v>157.16234652114596</v>
      </c>
      <c r="H70" s="588" t="s">
        <v>2705</v>
      </c>
      <c r="I70" s="8">
        <v>0.5</v>
      </c>
    </row>
    <row r="71" spans="2:44" x14ac:dyDescent="0.35">
      <c r="B71" s="584">
        <f>坦克部件养成!B29</f>
        <v>5760</v>
      </c>
      <c r="C71" s="584">
        <f>坦克部件养成!C29</f>
        <v>345600</v>
      </c>
      <c r="D71" s="584">
        <f>坦克部件养成!D29</f>
        <v>200</v>
      </c>
      <c r="E71" s="584">
        <f>坦克部件养成!E29</f>
        <v>2199</v>
      </c>
      <c r="F71" s="592">
        <f>坦克部件养成!F29</f>
        <v>176.01222307104661</v>
      </c>
      <c r="N71" s="766" t="s">
        <v>1176</v>
      </c>
      <c r="O71" s="767"/>
      <c r="P71" s="767"/>
      <c r="Q71" s="767"/>
      <c r="R71" s="767"/>
      <c r="S71" s="767"/>
      <c r="T71" s="768"/>
    </row>
    <row r="72" spans="2:44" x14ac:dyDescent="0.35">
      <c r="B72" s="584">
        <f>坦克部件养成!B30</f>
        <v>11520</v>
      </c>
      <c r="C72" s="584">
        <f>坦克部件养成!C30</f>
        <v>691200</v>
      </c>
      <c r="D72" s="584">
        <f>坦克部件养成!D30</f>
        <v>220</v>
      </c>
      <c r="E72" s="584">
        <f>坦克部件养成!E30</f>
        <v>3927</v>
      </c>
      <c r="F72" s="592">
        <f>坦克部件养成!F30</f>
        <v>176.01222307104661</v>
      </c>
      <c r="N72" s="224" t="s">
        <v>1171</v>
      </c>
      <c r="O72" s="224" t="s">
        <v>1174</v>
      </c>
      <c r="P72" s="558" t="s">
        <v>2396</v>
      </c>
      <c r="Q72" s="588" t="s">
        <v>2686</v>
      </c>
      <c r="R72" s="224" t="s">
        <v>1175</v>
      </c>
      <c r="S72" s="558" t="s">
        <v>2563</v>
      </c>
      <c r="T72" s="588" t="s">
        <v>2687</v>
      </c>
    </row>
    <row r="73" spans="2:44" x14ac:dyDescent="0.35">
      <c r="N73" s="219">
        <v>1</v>
      </c>
      <c r="O73" s="159">
        <f>基础经济系数!G83</f>
        <v>225</v>
      </c>
      <c r="P73" s="298">
        <f>基础经济系数!$C$7</f>
        <v>1.25</v>
      </c>
      <c r="Q73" s="583">
        <f>P73*0.6</f>
        <v>0.75</v>
      </c>
      <c r="R73" s="159">
        <f>MROUND(AVERAGE($O$73:$O$96),100)</f>
        <v>400</v>
      </c>
      <c r="S73" s="298">
        <f>P73*2.1</f>
        <v>2.625</v>
      </c>
      <c r="T73" s="583">
        <f>Q73</f>
        <v>0.75</v>
      </c>
    </row>
    <row r="74" spans="2:44" x14ac:dyDescent="0.35">
      <c r="N74" s="219">
        <v>2</v>
      </c>
      <c r="O74" s="159">
        <f>基础经济系数!G84</f>
        <v>245</v>
      </c>
      <c r="P74" s="298">
        <f>基础经济系数!$C$7</f>
        <v>1.25</v>
      </c>
      <c r="Q74" s="625">
        <f>P74*0.6</f>
        <v>0.75</v>
      </c>
      <c r="R74" s="159">
        <f>MROUND(AVERAGE($O$73:$O$96),100)</f>
        <v>400</v>
      </c>
      <c r="S74" s="298">
        <f>P74*2.1</f>
        <v>2.625</v>
      </c>
      <c r="T74" s="583">
        <f>Q74</f>
        <v>0.75</v>
      </c>
    </row>
    <row r="75" spans="2:44" x14ac:dyDescent="0.35">
      <c r="B75" s="599" t="s">
        <v>2716</v>
      </c>
      <c r="C75" s="588" t="s">
        <v>2699</v>
      </c>
      <c r="D75" s="588" t="s">
        <v>2700</v>
      </c>
      <c r="E75" s="588" t="s">
        <v>2696</v>
      </c>
      <c r="F75" s="588" t="s">
        <v>2701</v>
      </c>
      <c r="G75" s="588" t="s">
        <v>2702</v>
      </c>
      <c r="H75" s="588" t="s">
        <v>2703</v>
      </c>
      <c r="I75" s="588" t="s">
        <v>2704</v>
      </c>
      <c r="J75" s="601" t="s">
        <v>2877</v>
      </c>
      <c r="K75" s="689" t="s">
        <v>3306</v>
      </c>
      <c r="N75" s="219">
        <v>3</v>
      </c>
      <c r="O75" s="159">
        <f>基础经济系数!G85</f>
        <v>265</v>
      </c>
      <c r="P75" s="298">
        <f>基础经济系数!$C$7</f>
        <v>1.25</v>
      </c>
      <c r="Q75" s="625">
        <f>P75*0.6</f>
        <v>0.75</v>
      </c>
      <c r="R75" s="159">
        <f>MROUND(AVERAGE($O$73:$O$96),100)</f>
        <v>400</v>
      </c>
      <c r="S75" s="298">
        <f>P75*2.1</f>
        <v>2.625</v>
      </c>
      <c r="T75" s="583">
        <f>Q75</f>
        <v>0.75</v>
      </c>
    </row>
    <row r="76" spans="2:44" x14ac:dyDescent="0.35">
      <c r="B76" s="599" t="s">
        <v>2717</v>
      </c>
      <c r="C76" s="583">
        <v>30</v>
      </c>
      <c r="D76" s="583">
        <v>3</v>
      </c>
      <c r="E76" s="583">
        <f>VLOOKUP(C76,$H$63:$I$67,2,FALSE)*VLOOKUP(D76,$K$63:$L$66,2,FALSE)</f>
        <v>0.84000000000000008</v>
      </c>
      <c r="F76" s="583">
        <f>C76*(D76-1)</f>
        <v>60</v>
      </c>
      <c r="G76" s="583">
        <f>C76</f>
        <v>30</v>
      </c>
      <c r="H76" s="583">
        <f>ROUNDUP((F76*60-VLOOKUP(F76*60,$C$63:$E$72,1,TRUE))/VLOOKUP(F76*60,$C$63:$E$72,2,TRUE),0)+VLOOKUP(F76*60,$C$63:$E$72,3,TRUE)</f>
        <v>48</v>
      </c>
      <c r="I76" s="583">
        <f>(ROUNDUP((G76*60-VLOOKUP(G76*60,$C$63:$E$72,1,TRUE))/VLOOKUP(G76*60,$C$63:$E$72,2,TRUE),0)+VLOOKUP(G76*60,$C$63:$E$72,3,TRUE))*$I$70</f>
        <v>12.5</v>
      </c>
      <c r="J76" s="583">
        <f>ROUND((H76-I76)/5,0)*5</f>
        <v>35</v>
      </c>
      <c r="K76" s="662">
        <f>ROUND((H76-I76)*3/5,0)*5</f>
        <v>105</v>
      </c>
      <c r="N76" s="219">
        <v>4</v>
      </c>
      <c r="O76" s="159">
        <f>基础经济系数!G86</f>
        <v>280</v>
      </c>
      <c r="P76" s="298">
        <f>基础经济系数!$C$7</f>
        <v>1.25</v>
      </c>
      <c r="Q76" s="625">
        <f>P76*0.6</f>
        <v>0.75</v>
      </c>
      <c r="R76" s="159">
        <f>MROUND(AVERAGE($O$73:$O$96),100)</f>
        <v>400</v>
      </c>
      <c r="S76" s="298">
        <f>P76*2.1</f>
        <v>2.625</v>
      </c>
      <c r="T76" s="583">
        <f>Q76</f>
        <v>0.75</v>
      </c>
    </row>
    <row r="77" spans="2:44" x14ac:dyDescent="0.35">
      <c r="B77" s="599" t="s">
        <v>2720</v>
      </c>
      <c r="C77" s="583">
        <v>60</v>
      </c>
      <c r="D77" s="583">
        <v>3</v>
      </c>
      <c r="E77" s="583">
        <f>VLOOKUP(C77,$H$63:$I$67,2,FALSE)*VLOOKUP(D77,$K$63:$L$66,2,FALSE)</f>
        <v>0.8</v>
      </c>
      <c r="F77" s="583">
        <f t="shared" ref="F77:F83" si="1">C77*(D77-1)</f>
        <v>120</v>
      </c>
      <c r="G77" s="583">
        <f t="shared" ref="G77:G83" si="2">C77</f>
        <v>60</v>
      </c>
      <c r="H77" s="583">
        <f>ROUNDUP((F77*60-VLOOKUP(F77*60,$C$63:$E$72,1,TRUE))/VLOOKUP(F77*60,$C$63:$E$72,2,TRUE),0)+VLOOKUP(F77*60,$C$63:$E$72,3,TRUE)</f>
        <v>84</v>
      </c>
      <c r="I77" s="583">
        <f>(ROUNDUP((G77*60-VLOOKUP(G77*60,$C$63:$E$72,1,TRUE))/VLOOKUP(G77*60,$C$63:$E$72,2,TRUE),0)+VLOOKUP(G77*60,$C$63:$E$72,3,TRUE))*$I$70</f>
        <v>24</v>
      </c>
      <c r="J77" s="583">
        <f t="shared" ref="J77:J83" si="3">ROUND((H77-I77)/5,0)*5</f>
        <v>60</v>
      </c>
      <c r="K77" s="662">
        <f t="shared" ref="K77:K83" si="4">ROUND((H77-I77)*3/5,0)*5</f>
        <v>180</v>
      </c>
      <c r="N77" s="219">
        <v>5</v>
      </c>
      <c r="O77" s="159">
        <f>基础经济系数!G87</f>
        <v>300</v>
      </c>
      <c r="P77" s="298">
        <f>基础经济系数!$C$7</f>
        <v>1.25</v>
      </c>
      <c r="Q77" s="625">
        <f>P77*0.6</f>
        <v>0.75</v>
      </c>
      <c r="R77" s="159">
        <f>MROUND(AVERAGE($O$73:$O$96),100)</f>
        <v>400</v>
      </c>
      <c r="S77" s="298">
        <f>P77*2.1</f>
        <v>2.625</v>
      </c>
      <c r="T77" s="583">
        <f>Q77</f>
        <v>0.75</v>
      </c>
    </row>
    <row r="78" spans="2:44" x14ac:dyDescent="0.35">
      <c r="B78" s="641" t="s">
        <v>2721</v>
      </c>
      <c r="C78" s="641">
        <v>30</v>
      </c>
      <c r="D78" s="641">
        <v>5</v>
      </c>
      <c r="E78" s="641">
        <f>VLOOKUP(C78,$H$63:$I$67,2,FALSE)*VLOOKUP(D78,$K$63:$L$66,2,FALSE)</f>
        <v>0.94500000000000006</v>
      </c>
      <c r="F78" s="641">
        <f t="shared" si="1"/>
        <v>120</v>
      </c>
      <c r="G78" s="641">
        <f t="shared" si="2"/>
        <v>30</v>
      </c>
      <c r="H78" s="641">
        <f>ROUNDUP((F78*60-VLOOKUP(F78*60,$C$63:$E$72,1,TRUE))/VLOOKUP(F78*60,$C$63:$E$72,2,TRUE),0)+VLOOKUP(F78*60,$C$63:$E$72,3,TRUE)</f>
        <v>84</v>
      </c>
      <c r="I78" s="641">
        <f>(ROUNDUP((G78*60-VLOOKUP(G78*60,$C$63:$E$72,1,TRUE))/VLOOKUP(G78*60,$C$63:$E$72,2,TRUE),0)+VLOOKUP(G78*60,$C$63:$E$72,3,TRUE))*$I$70</f>
        <v>12.5</v>
      </c>
      <c r="J78" s="641">
        <f t="shared" si="3"/>
        <v>70</v>
      </c>
      <c r="K78" s="662">
        <f t="shared" si="4"/>
        <v>215</v>
      </c>
      <c r="N78" s="219">
        <v>6</v>
      </c>
      <c r="O78" s="159">
        <f>基础经济系数!G88</f>
        <v>320</v>
      </c>
      <c r="P78" s="298">
        <f>基础经济系数!$C$7</f>
        <v>1.25</v>
      </c>
      <c r="Q78" s="625">
        <f>P78*0.6</f>
        <v>0.75</v>
      </c>
      <c r="R78" s="159">
        <f>MROUND(AVERAGE($O$73:$O$96),100)</f>
        <v>400</v>
      </c>
      <c r="S78" s="298">
        <f>P78*2.1</f>
        <v>2.625</v>
      </c>
      <c r="T78" s="583">
        <f>Q78</f>
        <v>0.75</v>
      </c>
    </row>
    <row r="79" spans="2:44" x14ac:dyDescent="0.35">
      <c r="B79" s="599" t="s">
        <v>2718</v>
      </c>
      <c r="C79" s="583">
        <v>60</v>
      </c>
      <c r="D79" s="583">
        <v>5</v>
      </c>
      <c r="E79" s="583">
        <f>VLOOKUP(C79,$H$63:$I$67,2,FALSE)*VLOOKUP(D79,$K$63:$L$66,2,FALSE)</f>
        <v>0.9</v>
      </c>
      <c r="F79" s="583">
        <f t="shared" si="1"/>
        <v>240</v>
      </c>
      <c r="G79" s="583">
        <f t="shared" si="2"/>
        <v>60</v>
      </c>
      <c r="H79" s="583">
        <f>ROUNDUP((F79*60-VLOOKUP(F79*60,$C$63:$E$72,1,TRUE))/VLOOKUP(F79*60,$C$63:$E$72,2,TRUE),0)+VLOOKUP(F79*60,$C$63:$E$72,3,TRUE)</f>
        <v>150</v>
      </c>
      <c r="I79" s="583">
        <f>(ROUNDUP((G79*60-VLOOKUP(G79*60,$C$63:$E$72,1,TRUE))/VLOOKUP(G79*60,$C$63:$E$72,2,TRUE),0)+VLOOKUP(G79*60,$C$63:$E$72,3,TRUE))*$I$70</f>
        <v>24</v>
      </c>
      <c r="J79" s="583">
        <f t="shared" si="3"/>
        <v>125</v>
      </c>
      <c r="K79" s="662">
        <f t="shared" si="4"/>
        <v>380</v>
      </c>
      <c r="N79" s="219">
        <v>7</v>
      </c>
      <c r="O79" s="159">
        <f>基础经济系数!G89</f>
        <v>340</v>
      </c>
      <c r="P79" s="298">
        <f>基础经济系数!$C$7</f>
        <v>1.25</v>
      </c>
      <c r="Q79" s="625">
        <f>P79*0.6</f>
        <v>0.75</v>
      </c>
      <c r="R79" s="159">
        <f>MROUND(AVERAGE($O$73:$O$96),100)</f>
        <v>400</v>
      </c>
      <c r="S79" s="298">
        <f>P79*2.1</f>
        <v>2.625</v>
      </c>
      <c r="T79" s="583">
        <f>Q79</f>
        <v>0.75</v>
      </c>
    </row>
    <row r="80" spans="2:44" x14ac:dyDescent="0.35">
      <c r="B80" s="599" t="s">
        <v>2722</v>
      </c>
      <c r="C80" s="583">
        <v>120</v>
      </c>
      <c r="D80" s="583">
        <v>5</v>
      </c>
      <c r="E80" s="583">
        <f>VLOOKUP(C80,$H$63:$I$67,2,FALSE)*VLOOKUP(D80,$K$63:$L$66,2,FALSE)</f>
        <v>0.85499999999999998</v>
      </c>
      <c r="F80" s="583">
        <f t="shared" si="1"/>
        <v>480</v>
      </c>
      <c r="G80" s="583">
        <f t="shared" si="2"/>
        <v>120</v>
      </c>
      <c r="H80" s="583">
        <f>ROUNDUP((F80*60-VLOOKUP(F80*60,$C$63:$E$72,1,TRUE))/VLOOKUP(F80*60,$C$63:$E$72,2,TRUE),0)+VLOOKUP(F80*60,$C$63:$E$72,3,TRUE)</f>
        <v>270</v>
      </c>
      <c r="I80" s="583">
        <f>(ROUNDUP((G80*60-VLOOKUP(G80*60,$C$63:$E$72,1,TRUE))/VLOOKUP(G80*60,$C$63:$E$72,2,TRUE),0)+VLOOKUP(G80*60,$C$63:$E$72,3,TRUE))*$I$70</f>
        <v>42</v>
      </c>
      <c r="J80" s="583">
        <f t="shared" si="3"/>
        <v>230</v>
      </c>
      <c r="K80" s="662">
        <f t="shared" si="4"/>
        <v>685</v>
      </c>
      <c r="N80" s="219">
        <v>8</v>
      </c>
      <c r="O80" s="159">
        <f>基础经济系数!G90</f>
        <v>355</v>
      </c>
      <c r="P80" s="298">
        <f>基础经济系数!$C$7</f>
        <v>1.25</v>
      </c>
      <c r="Q80" s="625">
        <f>P80*0.6</f>
        <v>0.75</v>
      </c>
      <c r="R80" s="159">
        <f>MROUND(AVERAGE($O$73:$O$96),100)</f>
        <v>400</v>
      </c>
      <c r="S80" s="298">
        <f>P80*2.1</f>
        <v>2.625</v>
      </c>
      <c r="T80" s="583">
        <f>Q80</f>
        <v>0.75</v>
      </c>
    </row>
    <row r="81" spans="2:20" x14ac:dyDescent="0.35">
      <c r="B81" s="639" t="s">
        <v>2723</v>
      </c>
      <c r="C81" s="640">
        <v>60</v>
      </c>
      <c r="D81" s="640">
        <v>8</v>
      </c>
      <c r="E81" s="640">
        <f>VLOOKUP(C81,$H$63:$I$67,2,FALSE)*VLOOKUP(D81,$K$63:$L$66,2,FALSE)</f>
        <v>1</v>
      </c>
      <c r="F81" s="640">
        <f t="shared" si="1"/>
        <v>420</v>
      </c>
      <c r="G81" s="640">
        <f t="shared" si="2"/>
        <v>60</v>
      </c>
      <c r="H81" s="640">
        <f>ROUNDUP((F81*60-VLOOKUP(F81*60,$C$63:$E$72,1,TRUE))/VLOOKUP(F81*60,$C$63:$E$72,2,TRUE),0)+VLOOKUP(F81*60,$C$63:$E$72,3,TRUE)</f>
        <v>240</v>
      </c>
      <c r="I81" s="640">
        <f>(ROUNDUP((G81*60-VLOOKUP(G81*60,$C$63:$E$72,1,TRUE))/VLOOKUP(G81*60,$C$63:$E$72,2,TRUE),0)+VLOOKUP(G81*60,$C$63:$E$72,3,TRUE))*$I$70</f>
        <v>24</v>
      </c>
      <c r="J81" s="640">
        <f t="shared" si="3"/>
        <v>215</v>
      </c>
      <c r="K81" s="662">
        <f t="shared" si="4"/>
        <v>650</v>
      </c>
      <c r="N81" s="219">
        <v>9</v>
      </c>
      <c r="O81" s="159">
        <f>基础经济系数!G91</f>
        <v>375</v>
      </c>
      <c r="P81" s="298">
        <f>基础经济系数!$C$7</f>
        <v>1.25</v>
      </c>
      <c r="Q81" s="625">
        <f>P81*0.6</f>
        <v>0.75</v>
      </c>
      <c r="R81" s="159">
        <f>MROUND(AVERAGE($O$73:$O$96),100)</f>
        <v>400</v>
      </c>
      <c r="S81" s="298">
        <f>P81*2.1</f>
        <v>2.625</v>
      </c>
      <c r="T81" s="583">
        <f>Q81</f>
        <v>0.75</v>
      </c>
    </row>
    <row r="82" spans="2:20" x14ac:dyDescent="0.35">
      <c r="B82" s="599" t="s">
        <v>2719</v>
      </c>
      <c r="C82" s="583">
        <v>120</v>
      </c>
      <c r="D82" s="583">
        <v>8</v>
      </c>
      <c r="E82" s="583">
        <f>VLOOKUP(C82,$H$63:$I$67,2,FALSE)*VLOOKUP(D82,$K$63:$L$66,2,FALSE)</f>
        <v>0.95</v>
      </c>
      <c r="F82" s="583">
        <f t="shared" si="1"/>
        <v>840</v>
      </c>
      <c r="G82" s="583">
        <f t="shared" si="2"/>
        <v>120</v>
      </c>
      <c r="H82" s="583">
        <f>ROUNDUP((F82*60-VLOOKUP(F82*60,$C$63:$E$72,1,TRUE))/VLOOKUP(F82*60,$C$63:$E$72,2,TRUE),0)+VLOOKUP(F82*60,$C$63:$E$72,3,TRUE)</f>
        <v>442</v>
      </c>
      <c r="I82" s="583">
        <f>(ROUNDUP((G82*60-VLOOKUP(G82*60,$C$63:$E$72,1,TRUE))/VLOOKUP(G82*60,$C$63:$E$72,2,TRUE),0)+VLOOKUP(G82*60,$C$63:$E$72,3,TRUE))*$I$70</f>
        <v>42</v>
      </c>
      <c r="J82" s="583">
        <f t="shared" si="3"/>
        <v>400</v>
      </c>
      <c r="K82" s="662">
        <f t="shared" si="4"/>
        <v>1200</v>
      </c>
      <c r="N82" s="219">
        <v>10</v>
      </c>
      <c r="O82" s="159">
        <f>基础经济系数!G92</f>
        <v>395</v>
      </c>
      <c r="P82" s="298">
        <f>基础经济系数!$C$7</f>
        <v>1.25</v>
      </c>
      <c r="Q82" s="625">
        <f>P82*0.6</f>
        <v>0.75</v>
      </c>
      <c r="R82" s="159">
        <f>MROUND(AVERAGE($O$73:$O$96),100)</f>
        <v>400</v>
      </c>
      <c r="S82" s="298">
        <f>P82*2.1</f>
        <v>2.625</v>
      </c>
      <c r="T82" s="583">
        <f>Q82</f>
        <v>0.75</v>
      </c>
    </row>
    <row r="83" spans="2:20" x14ac:dyDescent="0.35">
      <c r="B83" s="599" t="s">
        <v>2724</v>
      </c>
      <c r="C83" s="583">
        <v>480</v>
      </c>
      <c r="D83" s="583">
        <v>8</v>
      </c>
      <c r="E83" s="583">
        <f>VLOOKUP(C83,$H$63:$I$67,2,FALSE)*VLOOKUP(D83,$K$63:$L$66,2,FALSE)</f>
        <v>0.9</v>
      </c>
      <c r="F83" s="583">
        <f t="shared" si="1"/>
        <v>3360</v>
      </c>
      <c r="G83" s="583">
        <f t="shared" si="2"/>
        <v>480</v>
      </c>
      <c r="H83" s="583">
        <f>ROUNDUP((F83*60-VLOOKUP(F83*60,$C$63:$E$72,1,TRUE))/VLOOKUP(F83*60,$C$63:$E$72,2,TRUE),0)+VLOOKUP(F83*60,$C$63:$E$72,3,TRUE)</f>
        <v>1399</v>
      </c>
      <c r="I83" s="583">
        <f>(ROUNDUP((G83*60-VLOOKUP(G83*60,$C$63:$E$72,1,TRUE))/VLOOKUP(G83*60,$C$63:$E$72,2,TRUE),0)+VLOOKUP(G83*60,$C$63:$E$72,3,TRUE))*$I$70</f>
        <v>135</v>
      </c>
      <c r="J83" s="583">
        <f t="shared" si="3"/>
        <v>1265</v>
      </c>
      <c r="K83" s="662">
        <f t="shared" si="4"/>
        <v>3790</v>
      </c>
      <c r="N83" s="219">
        <v>11</v>
      </c>
      <c r="O83" s="159">
        <f>基础经济系数!G93</f>
        <v>415</v>
      </c>
      <c r="P83" s="298">
        <f>基础经济系数!$C$7</f>
        <v>1.25</v>
      </c>
      <c r="Q83" s="625">
        <f>P83*0.6</f>
        <v>0.75</v>
      </c>
      <c r="R83" s="159">
        <f>MROUND(AVERAGE($O$73:$O$96),100)</f>
        <v>400</v>
      </c>
      <c r="S83" s="298">
        <f>P83*2.1</f>
        <v>2.625</v>
      </c>
      <c r="T83" s="583">
        <f>Q83</f>
        <v>0.75</v>
      </c>
    </row>
    <row r="84" spans="2:20" x14ac:dyDescent="0.35">
      <c r="N84" s="219">
        <v>12</v>
      </c>
      <c r="O84" s="159">
        <f>基础经济系数!G94</f>
        <v>430</v>
      </c>
      <c r="P84" s="298">
        <f>基础经济系数!$C$7</f>
        <v>1.25</v>
      </c>
      <c r="Q84" s="625">
        <f>P84*0.6</f>
        <v>0.75</v>
      </c>
      <c r="R84" s="159">
        <f>MROUND(AVERAGE($O$73:$O$96),100)</f>
        <v>400</v>
      </c>
      <c r="S84" s="298">
        <f>P84*2.1</f>
        <v>2.625</v>
      </c>
      <c r="T84" s="583">
        <f>Q84</f>
        <v>0.75</v>
      </c>
    </row>
    <row r="85" spans="2:20" x14ac:dyDescent="0.35">
      <c r="N85" s="219">
        <v>13</v>
      </c>
      <c r="O85" s="159">
        <f>基础经济系数!G95</f>
        <v>450</v>
      </c>
      <c r="P85" s="298">
        <f>基础经济系数!$C$7</f>
        <v>1.25</v>
      </c>
      <c r="Q85" s="625">
        <f>P85*0.6</f>
        <v>0.75</v>
      </c>
      <c r="R85" s="159">
        <f>MROUND(AVERAGE($O$73:$O$96),100)</f>
        <v>400</v>
      </c>
      <c r="S85" s="298">
        <f>P85*2.1</f>
        <v>2.625</v>
      </c>
      <c r="T85" s="583">
        <f>Q85</f>
        <v>0.75</v>
      </c>
    </row>
    <row r="86" spans="2:20" x14ac:dyDescent="0.35">
      <c r="N86" s="219">
        <v>14</v>
      </c>
      <c r="O86" s="159">
        <f>基础经济系数!G96</f>
        <v>470</v>
      </c>
      <c r="P86" s="298">
        <f>基础经济系数!$C$7</f>
        <v>1.25</v>
      </c>
      <c r="Q86" s="625">
        <f>P86*0.6</f>
        <v>0.75</v>
      </c>
      <c r="R86" s="159">
        <f>MROUND(AVERAGE($O$73:$O$96),100)</f>
        <v>400</v>
      </c>
      <c r="S86" s="298">
        <f>P86*2.1</f>
        <v>2.625</v>
      </c>
      <c r="T86" s="583">
        <f>Q86</f>
        <v>0.75</v>
      </c>
    </row>
    <row r="87" spans="2:20" x14ac:dyDescent="0.35">
      <c r="N87" s="219">
        <v>15</v>
      </c>
      <c r="O87" s="159">
        <f>基础经济系数!G97</f>
        <v>490</v>
      </c>
      <c r="P87" s="298">
        <f>基础经济系数!$C$7</f>
        <v>1.25</v>
      </c>
      <c r="Q87" s="625">
        <f>P87*0.6</f>
        <v>0.75</v>
      </c>
      <c r="R87" s="159">
        <f>MROUND(AVERAGE($O$73:$O$96),100)</f>
        <v>400</v>
      </c>
      <c r="S87" s="298">
        <f>P87*2.1</f>
        <v>2.625</v>
      </c>
      <c r="T87" s="583">
        <f>Q87</f>
        <v>0.75</v>
      </c>
    </row>
    <row r="88" spans="2:20" x14ac:dyDescent="0.35">
      <c r="N88" s="219">
        <v>16</v>
      </c>
      <c r="O88" s="159">
        <f>基础经济系数!G98</f>
        <v>505</v>
      </c>
      <c r="P88" s="298">
        <f>基础经济系数!$C$7</f>
        <v>1.25</v>
      </c>
      <c r="Q88" s="625">
        <f>P88*0.6</f>
        <v>0.75</v>
      </c>
      <c r="R88" s="159">
        <f>MROUND(AVERAGE($O$73:$O$96),100)</f>
        <v>400</v>
      </c>
      <c r="S88" s="298">
        <f>P88*2.1</f>
        <v>2.625</v>
      </c>
      <c r="T88" s="583">
        <f>Q88</f>
        <v>0.75</v>
      </c>
    </row>
    <row r="89" spans="2:20" x14ac:dyDescent="0.35">
      <c r="N89" s="219">
        <v>17</v>
      </c>
      <c r="O89" s="159">
        <f>基础经济系数!G99</f>
        <v>525</v>
      </c>
      <c r="P89" s="298">
        <f>基础经济系数!$C$7</f>
        <v>1.25</v>
      </c>
      <c r="Q89" s="625">
        <f>P89*0.6</f>
        <v>0.75</v>
      </c>
      <c r="R89" s="159">
        <f>MROUND(AVERAGE($O$73:$O$96),100)</f>
        <v>400</v>
      </c>
      <c r="S89" s="298">
        <f>P89*2.1</f>
        <v>2.625</v>
      </c>
      <c r="T89" s="583">
        <f>Q89</f>
        <v>0.75</v>
      </c>
    </row>
    <row r="90" spans="2:20" x14ac:dyDescent="0.35">
      <c r="N90" s="219">
        <v>18</v>
      </c>
      <c r="O90" s="159">
        <f>基础经济系数!G100</f>
        <v>545</v>
      </c>
      <c r="P90" s="298">
        <f>基础经济系数!$C$7</f>
        <v>1.25</v>
      </c>
      <c r="Q90" s="625">
        <f>P90*0.6</f>
        <v>0.75</v>
      </c>
      <c r="R90" s="159">
        <f>MROUND(AVERAGE($O$73:$O$96),100)</f>
        <v>400</v>
      </c>
      <c r="S90" s="298">
        <f>P90*2.1</f>
        <v>2.625</v>
      </c>
      <c r="T90" s="583">
        <f>Q90</f>
        <v>0.75</v>
      </c>
    </row>
    <row r="91" spans="2:20" x14ac:dyDescent="0.35">
      <c r="N91" s="219">
        <v>19</v>
      </c>
      <c r="O91" s="159">
        <f>基础经济系数!G101</f>
        <v>565</v>
      </c>
      <c r="P91" s="298">
        <f>基础经济系数!$C$7</f>
        <v>1.25</v>
      </c>
      <c r="Q91" s="625">
        <f>P91*0.6</f>
        <v>0.75</v>
      </c>
      <c r="R91" s="159">
        <f>MROUND(AVERAGE($O$73:$O$96),100)</f>
        <v>400</v>
      </c>
      <c r="S91" s="298">
        <f>P91*2.1</f>
        <v>2.625</v>
      </c>
      <c r="T91" s="583">
        <f>Q91</f>
        <v>0.75</v>
      </c>
    </row>
    <row r="92" spans="2:20" x14ac:dyDescent="0.35">
      <c r="N92" s="219">
        <v>20</v>
      </c>
      <c r="O92" s="159">
        <f>基础经济系数!G102</f>
        <v>580</v>
      </c>
      <c r="P92" s="298">
        <f>基础经济系数!$C$7</f>
        <v>1.25</v>
      </c>
      <c r="Q92" s="625">
        <f>P92*0.6</f>
        <v>0.75</v>
      </c>
      <c r="R92" s="159">
        <f>MROUND(AVERAGE($O$73:$O$96),100)</f>
        <v>400</v>
      </c>
      <c r="S92" s="298">
        <f>P92*2.1</f>
        <v>2.625</v>
      </c>
      <c r="T92" s="583">
        <f>Q92</f>
        <v>0.75</v>
      </c>
    </row>
    <row r="93" spans="2:20" x14ac:dyDescent="0.35">
      <c r="N93" s="219">
        <v>21</v>
      </c>
      <c r="O93" s="159">
        <f>基础经济系数!G103</f>
        <v>600</v>
      </c>
      <c r="P93" s="298">
        <f>基础经济系数!$C$7</f>
        <v>1.25</v>
      </c>
      <c r="Q93" s="625">
        <f>P93*0.6</f>
        <v>0.75</v>
      </c>
      <c r="R93" s="159">
        <f>MROUND(AVERAGE($O$73:$O$96),100)</f>
        <v>400</v>
      </c>
      <c r="S93" s="298">
        <f>P93*2.1</f>
        <v>2.625</v>
      </c>
      <c r="T93" s="583">
        <f>Q93</f>
        <v>0.75</v>
      </c>
    </row>
    <row r="94" spans="2:20" x14ac:dyDescent="0.35">
      <c r="N94" s="219">
        <v>22</v>
      </c>
      <c r="O94" s="159">
        <f>基础经济系数!G104</f>
        <v>620</v>
      </c>
      <c r="P94" s="298">
        <f>基础经济系数!$C$7</f>
        <v>1.25</v>
      </c>
      <c r="Q94" s="625">
        <f>P94*0.6</f>
        <v>0.75</v>
      </c>
      <c r="R94" s="159">
        <f>MROUND(AVERAGE($O$73:$O$96),100)</f>
        <v>400</v>
      </c>
      <c r="S94" s="298">
        <f>P94*2.1</f>
        <v>2.625</v>
      </c>
      <c r="T94" s="583">
        <f>Q94</f>
        <v>0.75</v>
      </c>
    </row>
    <row r="95" spans="2:20" x14ac:dyDescent="0.35">
      <c r="N95" s="219">
        <v>23</v>
      </c>
      <c r="O95" s="159">
        <f>基础经济系数!G105</f>
        <v>640</v>
      </c>
      <c r="P95" s="298">
        <f>基础经济系数!$C$7</f>
        <v>1.25</v>
      </c>
      <c r="Q95" s="625">
        <f>P95*0.6</f>
        <v>0.75</v>
      </c>
      <c r="R95" s="159">
        <f>MROUND(AVERAGE($O$73:$O$96),100)</f>
        <v>400</v>
      </c>
      <c r="S95" s="298">
        <f>P95*2.1</f>
        <v>2.625</v>
      </c>
      <c r="T95" s="583">
        <f>Q95</f>
        <v>0.75</v>
      </c>
    </row>
    <row r="96" spans="2:20" x14ac:dyDescent="0.35">
      <c r="N96" s="219">
        <v>24</v>
      </c>
      <c r="O96" s="159">
        <f>基础经济系数!G106</f>
        <v>655</v>
      </c>
      <c r="P96" s="298">
        <f>基础经济系数!$C$7</f>
        <v>1.25</v>
      </c>
      <c r="Q96" s="625">
        <f>P96*0.6</f>
        <v>0.75</v>
      </c>
      <c r="R96" s="159">
        <f>MROUND(AVERAGE($O$73:$O$96),100)</f>
        <v>400</v>
      </c>
      <c r="S96" s="298">
        <f>P96*2.1</f>
        <v>2.625</v>
      </c>
      <c r="T96" s="583">
        <f>Q96</f>
        <v>0.75</v>
      </c>
    </row>
    <row r="98" spans="14:24" x14ac:dyDescent="0.35">
      <c r="N98" s="752" t="s">
        <v>2415</v>
      </c>
      <c r="O98" s="769"/>
      <c r="P98" s="769"/>
      <c r="Q98" s="770"/>
      <c r="U98" s="550" t="s">
        <v>2461</v>
      </c>
      <c r="V98" s="550" t="s">
        <v>2462</v>
      </c>
      <c r="W98" s="550" t="s">
        <v>2463</v>
      </c>
      <c r="X98" s="550" t="s">
        <v>2464</v>
      </c>
    </row>
    <row r="99" spans="14:24" x14ac:dyDescent="0.35">
      <c r="N99" s="691" t="s">
        <v>1171</v>
      </c>
      <c r="O99" s="692" t="s">
        <v>2180</v>
      </c>
      <c r="P99" s="692" t="s">
        <v>2182</v>
      </c>
      <c r="Q99" s="692" t="s">
        <v>2183</v>
      </c>
      <c r="U99" s="542" t="s">
        <v>2180</v>
      </c>
      <c r="V99" s="540">
        <f>C28</f>
        <v>13.5</v>
      </c>
      <c r="W99" s="8">
        <v>1.3333333333333333</v>
      </c>
      <c r="X99" s="540">
        <f>W99*V99</f>
        <v>18</v>
      </c>
    </row>
    <row r="100" spans="14:24" x14ac:dyDescent="0.35">
      <c r="N100" s="219">
        <v>1</v>
      </c>
      <c r="O100" s="219">
        <f>IFERROR(VLOOKUP(O$99,$B$3:$C$30,2,FALSE)*VLOOKUP($N100,$N$3:$AK$15,MATCH(O$99,$N$3:$AK$3,0),FALSE),O99)</f>
        <v>13.5</v>
      </c>
      <c r="P100" s="487" t="str">
        <f>IFERROR(VLOOKUP(P$99,$B$3:$C$30,2,FALSE)*VLOOKUP($N100,$N$3:$AK$15,MATCH(P$99,$N$3:$AK$3,0),FALSE),P99)</f>
        <v>T2部件</v>
      </c>
      <c r="Q100" s="487" t="str">
        <f>IFERROR(VLOOKUP(Q$99,$B$3:$C$30,2,FALSE)*VLOOKUP($N100,$N$3:$AK$15,MATCH(Q$99,$N$3:$AK$3,0),FALSE),Q99)</f>
        <v>T3部件</v>
      </c>
      <c r="R100" s="158" t="e">
        <f>P100/O100</f>
        <v>#VALUE!</v>
      </c>
      <c r="S100" s="158" t="e">
        <f>Q100/P100</f>
        <v>#VALUE!</v>
      </c>
      <c r="U100" s="542" t="s">
        <v>2182</v>
      </c>
      <c r="V100" s="540" t="e">
        <f>C29</f>
        <v>#N/A</v>
      </c>
      <c r="W100" s="8">
        <v>1.3333333333333333</v>
      </c>
      <c r="X100" s="540" t="e">
        <f>W100*V100</f>
        <v>#N/A</v>
      </c>
    </row>
    <row r="101" spans="14:24" x14ac:dyDescent="0.35">
      <c r="N101" s="219">
        <v>2</v>
      </c>
      <c r="O101" s="487">
        <f>IFERROR(VLOOKUP(O$99,$B$3:$C$30,2,FALSE)*VLOOKUP($N101,$N$3:$AK$15,MATCH(O$99,$N$3:$AK$3,0),FALSE),O100)</f>
        <v>12.824999999999999</v>
      </c>
      <c r="P101" s="487" t="str">
        <f>IFERROR(VLOOKUP(P$99,$B$3:$C$30,2,FALSE)*VLOOKUP($N101,$N$3:$AK$15,MATCH(P$99,$N$3:$AK$3,0),FALSE),P100)</f>
        <v>T2部件</v>
      </c>
      <c r="Q101" s="487" t="str">
        <f>IFERROR(VLOOKUP(Q$99,$B$3:$C$30,2,FALSE)*VLOOKUP($N101,$N$3:$AK$15,MATCH(Q$99,$N$3:$AK$3,0),FALSE),Q100)</f>
        <v>T3部件</v>
      </c>
      <c r="R101" s="158" t="e">
        <f>P101/O101</f>
        <v>#VALUE!</v>
      </c>
      <c r="S101" s="158" t="e">
        <f>Q101/P101</f>
        <v>#VALUE!</v>
      </c>
      <c r="U101" s="542" t="s">
        <v>2183</v>
      </c>
      <c r="V101" s="540" t="e">
        <f>C30</f>
        <v>#N/A</v>
      </c>
      <c r="W101" s="8">
        <v>1.3333333333333333</v>
      </c>
      <c r="X101" s="540" t="e">
        <f>W101*V101</f>
        <v>#N/A</v>
      </c>
    </row>
    <row r="102" spans="14:24" x14ac:dyDescent="0.35">
      <c r="N102" s="219">
        <v>3</v>
      </c>
      <c r="O102" s="487">
        <f>IFERROR(VLOOKUP(O$99,$B$3:$C$30,2,FALSE)*VLOOKUP($N102,$N$3:$AK$15,MATCH(O$99,$N$3:$AK$3,0),FALSE),O101)</f>
        <v>12.15</v>
      </c>
      <c r="P102" s="487" t="str">
        <f>IFERROR(VLOOKUP(P$99,$B$3:$C$30,2,FALSE)*VLOOKUP($N102,$N$3:$AK$15,MATCH(P$99,$N$3:$AK$3,0),FALSE),P101)</f>
        <v>T2部件</v>
      </c>
      <c r="Q102" s="487" t="str">
        <f>IFERROR(VLOOKUP(Q$99,$B$3:$C$30,2,FALSE)*VLOOKUP($N102,$N$3:$AK$15,MATCH(Q$99,$N$3:$AK$3,0),FALSE),Q101)</f>
        <v>T3部件</v>
      </c>
      <c r="R102" s="158" t="e">
        <f>P102/O102</f>
        <v>#VALUE!</v>
      </c>
      <c r="S102" s="158" t="e">
        <f>Q102/P102</f>
        <v>#VALUE!</v>
      </c>
    </row>
    <row r="103" spans="14:24" x14ac:dyDescent="0.35">
      <c r="N103" s="219">
        <v>4</v>
      </c>
      <c r="O103" s="487">
        <f>IFERROR(VLOOKUP(O$99,$B$3:$C$30,2,FALSE)*VLOOKUP($N103,$N$3:$AK$15,MATCH(O$99,$N$3:$AK$3,0),FALSE),O102)</f>
        <v>11.475</v>
      </c>
      <c r="P103" s="487" t="str">
        <f>IFERROR(VLOOKUP(P$99,$B$3:$C$30,2,FALSE)*VLOOKUP($N103,$N$3:$AK$15,MATCH(P$99,$N$3:$AK$3,0),FALSE),P102)</f>
        <v>T2部件</v>
      </c>
      <c r="Q103" s="487" t="str">
        <f>IFERROR(VLOOKUP(Q$99,$B$3:$C$30,2,FALSE)*VLOOKUP($N103,$N$3:$AK$15,MATCH(Q$99,$N$3:$AK$3,0),FALSE),Q102)</f>
        <v>T3部件</v>
      </c>
      <c r="R103" s="158" t="e">
        <f>P103/O103</f>
        <v>#VALUE!</v>
      </c>
      <c r="S103" s="158" t="e">
        <f>Q103/P103</f>
        <v>#VALUE!</v>
      </c>
    </row>
    <row r="104" spans="14:24" x14ac:dyDescent="0.35">
      <c r="N104" s="219">
        <v>5</v>
      </c>
      <c r="O104" s="487">
        <f>IFERROR(VLOOKUP(O$99,$B$3:$C$30,2,FALSE)*VLOOKUP($N104,$N$3:$AK$15,MATCH(O$99,$N$3:$AK$3,0),FALSE),O103)</f>
        <v>10.8</v>
      </c>
      <c r="P104" s="487" t="str">
        <f>IFERROR(VLOOKUP(P$99,$B$3:$C$30,2,FALSE)*VLOOKUP($N104,$N$3:$AK$15,MATCH(P$99,$N$3:$AK$3,0),FALSE),P103)</f>
        <v>T2部件</v>
      </c>
      <c r="Q104" s="487" t="str">
        <f>IFERROR(VLOOKUP(Q$99,$B$3:$C$30,2,FALSE)*VLOOKUP($N104,$N$3:$AK$15,MATCH(Q$99,$N$3:$AK$3,0),FALSE),Q103)</f>
        <v>T3部件</v>
      </c>
      <c r="R104" s="158" t="e">
        <f>P104/O104</f>
        <v>#VALUE!</v>
      </c>
      <c r="S104" s="158" t="e">
        <f>Q104/P104</f>
        <v>#VALUE!</v>
      </c>
    </row>
    <row r="105" spans="14:24" x14ac:dyDescent="0.35">
      <c r="N105" s="219">
        <v>6</v>
      </c>
      <c r="O105" s="487">
        <f>IFERROR(VLOOKUP(O$99,$B$3:$C$30,2,FALSE)*VLOOKUP($N105,$N$3:$AK$15,MATCH(O$99,$N$3:$AK$3,0),FALSE),O104)</f>
        <v>10.125</v>
      </c>
      <c r="P105" s="487" t="str">
        <f>IFERROR(VLOOKUP(P$99,$B$3:$C$30,2,FALSE)*VLOOKUP($N105,$N$3:$AK$15,MATCH(P$99,$N$3:$AK$3,0),FALSE),P104)</f>
        <v>T2部件</v>
      </c>
      <c r="Q105" s="487" t="str">
        <f>IFERROR(VLOOKUP(Q$99,$B$3:$C$30,2,FALSE)*VLOOKUP($N105,$N$3:$AK$15,MATCH(Q$99,$N$3:$AK$3,0),FALSE),Q104)</f>
        <v>T3部件</v>
      </c>
      <c r="R105" s="158" t="e">
        <f>P105/O105</f>
        <v>#VALUE!</v>
      </c>
      <c r="S105" s="158" t="e">
        <f>Q105/P105</f>
        <v>#VALUE!</v>
      </c>
    </row>
    <row r="106" spans="14:24" x14ac:dyDescent="0.35">
      <c r="N106" s="219">
        <v>7</v>
      </c>
      <c r="O106" s="487">
        <f>IFERROR(VLOOKUP(O$99,$B$3:$C$30,2,FALSE)*VLOOKUP($N106,$N$3:$AK$15,MATCH(O$99,$N$3:$AK$3,0),FALSE),O105)</f>
        <v>9.4499999999999993</v>
      </c>
      <c r="P106" s="487" t="str">
        <f>IFERROR(VLOOKUP(P$99,$B$3:$C$30,2,FALSE)*VLOOKUP($N106,$N$3:$AK$15,MATCH(P$99,$N$3:$AK$3,0),FALSE),P105)</f>
        <v>T2部件</v>
      </c>
      <c r="Q106" s="487" t="str">
        <f>IFERROR(VLOOKUP(Q$99,$B$3:$C$30,2,FALSE)*VLOOKUP($N106,$N$3:$AK$15,MATCH(Q$99,$N$3:$AK$3,0),FALSE),Q105)</f>
        <v>T3部件</v>
      </c>
      <c r="R106" s="158" t="e">
        <f>P106/O106</f>
        <v>#VALUE!</v>
      </c>
      <c r="S106" s="158" t="e">
        <f>Q106/P106</f>
        <v>#VALUE!</v>
      </c>
    </row>
    <row r="107" spans="14:24" x14ac:dyDescent="0.35">
      <c r="N107" s="219">
        <v>8</v>
      </c>
      <c r="O107" s="487">
        <f>IFERROR(VLOOKUP(O$99,$B$3:$C$30,2,FALSE)*VLOOKUP($N107,$N$3:$AK$15,MATCH(O$99,$N$3:$AK$3,0),FALSE),O106)</f>
        <v>8.7750000000000004</v>
      </c>
      <c r="P107" s="487" t="str">
        <f>IFERROR(VLOOKUP(P$99,$B$3:$C$30,2,FALSE)*VLOOKUP($N107,$N$3:$AK$15,MATCH(P$99,$N$3:$AK$3,0),FALSE),P106)</f>
        <v>T2部件</v>
      </c>
      <c r="Q107" s="487" t="str">
        <f>IFERROR(VLOOKUP(Q$99,$B$3:$C$30,2,FALSE)*VLOOKUP($N107,$N$3:$AK$15,MATCH(Q$99,$N$3:$AK$3,0),FALSE),Q106)</f>
        <v>T3部件</v>
      </c>
      <c r="R107" s="158" t="e">
        <f>P107/O107</f>
        <v>#VALUE!</v>
      </c>
      <c r="S107" s="158" t="e">
        <f>Q107/P107</f>
        <v>#VALUE!</v>
      </c>
    </row>
    <row r="108" spans="14:24" x14ac:dyDescent="0.35">
      <c r="N108" s="219">
        <v>9</v>
      </c>
      <c r="O108" s="487">
        <f>IFERROR(VLOOKUP(O$99,$B$3:$C$30,2,FALSE)*VLOOKUP($N108,$N$3:$AK$15,MATCH(O$99,$N$3:$AK$3,0),FALSE),O107)</f>
        <v>8.1</v>
      </c>
      <c r="P108" s="487" t="str">
        <f>IFERROR(VLOOKUP(P$99,$B$3:$C$30,2,FALSE)*VLOOKUP($N108,$N$3:$AK$15,MATCH(P$99,$N$3:$AK$3,0),FALSE),P107)</f>
        <v>T2部件</v>
      </c>
      <c r="Q108" s="487" t="str">
        <f>IFERROR(VLOOKUP(Q$99,$B$3:$C$30,2,FALSE)*VLOOKUP($N108,$N$3:$AK$15,MATCH(Q$99,$N$3:$AK$3,0),FALSE),Q107)</f>
        <v>T3部件</v>
      </c>
      <c r="R108" s="158" t="e">
        <f>P108/O108</f>
        <v>#VALUE!</v>
      </c>
      <c r="S108" s="158" t="e">
        <f>Q108/P108</f>
        <v>#VALUE!</v>
      </c>
    </row>
    <row r="109" spans="14:24" x14ac:dyDescent="0.35">
      <c r="N109" s="219">
        <v>10</v>
      </c>
      <c r="O109" s="487">
        <f>IFERROR(VLOOKUP(O$99,$B$3:$C$30,2,FALSE)*VLOOKUP($N109,$N$3:$AK$15,MATCH(O$99,$N$3:$AK$3,0),FALSE),O108)</f>
        <v>7.4250000000000007</v>
      </c>
      <c r="P109" s="487" t="str">
        <f>IFERROR(VLOOKUP(P$99,$B$3:$C$30,2,FALSE)*VLOOKUP($N109,$N$3:$AK$15,MATCH(P$99,$N$3:$AK$3,0),FALSE),P108)</f>
        <v>T2部件</v>
      </c>
      <c r="Q109" s="487" t="str">
        <f>IFERROR(VLOOKUP(Q$99,$B$3:$C$30,2,FALSE)*VLOOKUP($N109,$N$3:$AK$15,MATCH(Q$99,$N$3:$AK$3,0),FALSE),Q108)</f>
        <v>T3部件</v>
      </c>
      <c r="R109" s="158" t="e">
        <f>P109/O109</f>
        <v>#VALUE!</v>
      </c>
      <c r="S109" s="158" t="e">
        <f>Q109/P109</f>
        <v>#VALUE!</v>
      </c>
    </row>
    <row r="110" spans="14:24" x14ac:dyDescent="0.35">
      <c r="N110" s="219">
        <v>11</v>
      </c>
      <c r="O110" s="487">
        <f>IFERROR(VLOOKUP(O$99,$B$3:$C$30,2,FALSE)*VLOOKUP($N110,$N$3:$AK$15,MATCH(O$99,$N$3:$AK$3,0),FALSE),O109)</f>
        <v>6.75</v>
      </c>
      <c r="P110" s="487" t="str">
        <f>IFERROR(VLOOKUP(P$99,$B$3:$C$30,2,FALSE)*VLOOKUP($N110,$N$3:$AK$15,MATCH(P$99,$N$3:$AK$3,0),FALSE),P109)</f>
        <v>T2部件</v>
      </c>
      <c r="Q110" s="487" t="str">
        <f>IFERROR(VLOOKUP(Q$99,$B$3:$C$30,2,FALSE)*VLOOKUP($N110,$N$3:$AK$15,MATCH(Q$99,$N$3:$AK$3,0),FALSE),Q109)</f>
        <v>T3部件</v>
      </c>
      <c r="R110" s="158" t="e">
        <f>P110/O110</f>
        <v>#VALUE!</v>
      </c>
      <c r="S110" s="158" t="e">
        <f>Q110/P110</f>
        <v>#VALUE!</v>
      </c>
    </row>
    <row r="111" spans="14:24" x14ac:dyDescent="0.35">
      <c r="N111" s="219">
        <v>12</v>
      </c>
      <c r="O111" s="487">
        <f>IFERROR(VLOOKUP(O$99,$B$3:$C$30,2,FALSE)*VLOOKUP($N111,$N$3:$AK$15,MATCH(O$99,$N$3:$AK$3,0),FALSE),O110)</f>
        <v>6.0750000000000002</v>
      </c>
      <c r="P111" s="487" t="str">
        <f>IFERROR(VLOOKUP(P$99,$B$3:$C$30,2,FALSE)*VLOOKUP($N111,$N$3:$AK$15,MATCH(P$99,$N$3:$AK$3,0),FALSE),P110)</f>
        <v>T2部件</v>
      </c>
      <c r="Q111" s="487" t="str">
        <f>IFERROR(VLOOKUP(Q$99,$B$3:$C$30,2,FALSE)*VLOOKUP($N111,$N$3:$AK$15,MATCH(Q$99,$N$3:$AK$3,0),FALSE),Q110)</f>
        <v>T3部件</v>
      </c>
      <c r="R111" s="158" t="e">
        <f>P111/O111</f>
        <v>#VALUE!</v>
      </c>
      <c r="S111" s="158" t="e">
        <f>Q111/P111</f>
        <v>#VALUE!</v>
      </c>
    </row>
    <row r="112" spans="14:24" x14ac:dyDescent="0.35">
      <c r="N112" s="219">
        <v>13</v>
      </c>
      <c r="O112" s="487">
        <f>IFERROR(VLOOKUP(O$99,$B$3:$C$30,2,FALSE)*VLOOKUP($N112,$N$3:$AK$15,MATCH(O$99,$N$3:$AK$3,0),FALSE),O111)</f>
        <v>6.0750000000000002</v>
      </c>
      <c r="P112" s="487" t="str">
        <f>IFERROR(VLOOKUP(P$99,$B$3:$C$30,2,FALSE)*VLOOKUP($N112,$N$3:$AK$15,MATCH(P$99,$N$3:$AK$3,0),FALSE),P111)</f>
        <v>T2部件</v>
      </c>
      <c r="Q112" s="487" t="str">
        <f>IFERROR(VLOOKUP(Q$99,$B$3:$C$30,2,FALSE)*VLOOKUP($N112,$N$3:$AK$15,MATCH(Q$99,$N$3:$AK$3,0),FALSE),Q111)</f>
        <v>T3部件</v>
      </c>
      <c r="R112" s="158" t="e">
        <f>P112/O112</f>
        <v>#VALUE!</v>
      </c>
      <c r="S112" s="158" t="e">
        <f>Q112/P112</f>
        <v>#VALUE!</v>
      </c>
    </row>
    <row r="113" spans="5:19" x14ac:dyDescent="0.35">
      <c r="E113" s="158">
        <v>0</v>
      </c>
      <c r="N113" s="219">
        <v>14</v>
      </c>
      <c r="O113" s="487">
        <f>IFERROR(VLOOKUP(O$99,$B$3:$C$30,2,FALSE)*VLOOKUP($N113,$N$3:$AK$15,MATCH(O$99,$N$3:$AK$3,0),FALSE),O112)</f>
        <v>6.0750000000000002</v>
      </c>
      <c r="P113" s="487" t="str">
        <f>IFERROR(VLOOKUP(P$99,$B$3:$C$30,2,FALSE)*VLOOKUP($N113,$N$3:$AK$15,MATCH(P$99,$N$3:$AK$3,0),FALSE),P112)</f>
        <v>T2部件</v>
      </c>
      <c r="Q113" s="487" t="str">
        <f>IFERROR(VLOOKUP(Q$99,$B$3:$C$30,2,FALSE)*VLOOKUP($N113,$N$3:$AK$15,MATCH(Q$99,$N$3:$AK$3,0),FALSE),Q112)</f>
        <v>T3部件</v>
      </c>
      <c r="R113" s="158" t="e">
        <f>P113/O113</f>
        <v>#VALUE!</v>
      </c>
      <c r="S113" s="158" t="e">
        <f>Q113/P113</f>
        <v>#VALUE!</v>
      </c>
    </row>
    <row r="114" spans="5:19" x14ac:dyDescent="0.35">
      <c r="N114" s="219">
        <v>15</v>
      </c>
      <c r="O114" s="487">
        <f>IFERROR(VLOOKUP(O$99,$B$3:$C$30,2,FALSE)*VLOOKUP($N114,$N$3:$AK$15,MATCH(O$99,$N$3:$AK$3,0),FALSE),O113)</f>
        <v>6.0750000000000002</v>
      </c>
      <c r="P114" s="487" t="str">
        <f>IFERROR(VLOOKUP(P$99,$B$3:$C$30,2,FALSE)*VLOOKUP($N114,$N$3:$AK$15,MATCH(P$99,$N$3:$AK$3,0),FALSE),P113)</f>
        <v>T2部件</v>
      </c>
      <c r="Q114" s="487" t="str">
        <f>IFERROR(VLOOKUP(Q$99,$B$3:$C$30,2,FALSE)*VLOOKUP($N114,$N$3:$AK$15,MATCH(Q$99,$N$3:$AK$3,0),FALSE),Q113)</f>
        <v>T3部件</v>
      </c>
      <c r="R114" s="158" t="e">
        <f>P114/O114</f>
        <v>#VALUE!</v>
      </c>
      <c r="S114" s="158" t="e">
        <f>Q114/P114</f>
        <v>#VALUE!</v>
      </c>
    </row>
    <row r="115" spans="5:19" x14ac:dyDescent="0.35">
      <c r="N115" s="219">
        <v>16</v>
      </c>
      <c r="O115" s="487">
        <f>IFERROR(VLOOKUP(O$99,$B$3:$C$30,2,FALSE)*VLOOKUP($N115,$N$3:$AK$15,MATCH(O$99,$N$3:$AK$3,0),FALSE),O114)</f>
        <v>6.0750000000000002</v>
      </c>
      <c r="P115" s="487" t="str">
        <f>IFERROR(VLOOKUP(P$99,$B$3:$C$30,2,FALSE)*VLOOKUP($N115,$N$3:$AK$15,MATCH(P$99,$N$3:$AK$3,0),FALSE),P114)</f>
        <v>T2部件</v>
      </c>
      <c r="Q115" s="487" t="str">
        <f>IFERROR(VLOOKUP(Q$99,$B$3:$C$30,2,FALSE)*VLOOKUP($N115,$N$3:$AK$15,MATCH(Q$99,$N$3:$AK$3,0),FALSE),Q114)</f>
        <v>T3部件</v>
      </c>
      <c r="R115" s="158" t="e">
        <f>P115/O115</f>
        <v>#VALUE!</v>
      </c>
      <c r="S115" s="158" t="e">
        <f>Q115/P115</f>
        <v>#VALUE!</v>
      </c>
    </row>
    <row r="116" spans="5:19" x14ac:dyDescent="0.35">
      <c r="N116" s="219">
        <v>17</v>
      </c>
      <c r="O116" s="487">
        <f>IFERROR(VLOOKUP(O$99,$B$3:$C$30,2,FALSE)*VLOOKUP($N116,$N$3:$AK$15,MATCH(O$99,$N$3:$AK$3,0),FALSE),O115)</f>
        <v>6.0750000000000002</v>
      </c>
      <c r="P116" s="487" t="str">
        <f>IFERROR(VLOOKUP(P$99,$B$3:$C$30,2,FALSE)*VLOOKUP($N116,$N$3:$AK$15,MATCH(P$99,$N$3:$AK$3,0),FALSE),P115)</f>
        <v>T2部件</v>
      </c>
      <c r="Q116" s="487" t="str">
        <f>IFERROR(VLOOKUP(Q$99,$B$3:$C$30,2,FALSE)*VLOOKUP($N116,$N$3:$AK$15,MATCH(Q$99,$N$3:$AK$3,0),FALSE),Q115)</f>
        <v>T3部件</v>
      </c>
      <c r="R116" s="158" t="e">
        <f>P116/O116</f>
        <v>#VALUE!</v>
      </c>
      <c r="S116" s="158" t="e">
        <f>Q116/P116</f>
        <v>#VALUE!</v>
      </c>
    </row>
    <row r="117" spans="5:19" x14ac:dyDescent="0.35">
      <c r="N117" s="219">
        <v>18</v>
      </c>
      <c r="O117" s="487">
        <f>IFERROR(VLOOKUP(O$99,$B$3:$C$30,2,FALSE)*VLOOKUP($N117,$N$3:$AK$15,MATCH(O$99,$N$3:$AK$3,0),FALSE),O116)</f>
        <v>6.0750000000000002</v>
      </c>
      <c r="P117" s="487" t="str">
        <f>IFERROR(VLOOKUP(P$99,$B$3:$C$30,2,FALSE)*VLOOKUP($N117,$N$3:$AK$15,MATCH(P$99,$N$3:$AK$3,0),FALSE),P116)</f>
        <v>T2部件</v>
      </c>
      <c r="Q117" s="487" t="str">
        <f>IFERROR(VLOOKUP(Q$99,$B$3:$C$30,2,FALSE)*VLOOKUP($N117,$N$3:$AK$15,MATCH(Q$99,$N$3:$AK$3,0),FALSE),Q116)</f>
        <v>T3部件</v>
      </c>
      <c r="R117" s="158" t="e">
        <f>P117/O117</f>
        <v>#VALUE!</v>
      </c>
      <c r="S117" s="158" t="e">
        <f>Q117/P117</f>
        <v>#VALUE!</v>
      </c>
    </row>
    <row r="118" spans="5:19" x14ac:dyDescent="0.35">
      <c r="N118" s="219">
        <v>19</v>
      </c>
      <c r="O118" s="487">
        <f>IFERROR(VLOOKUP(O$99,$B$3:$C$30,2,FALSE)*VLOOKUP($N118,$N$3:$AK$15,MATCH(O$99,$N$3:$AK$3,0),FALSE),O117)</f>
        <v>6.0750000000000002</v>
      </c>
      <c r="P118" s="487" t="str">
        <f>IFERROR(VLOOKUP(P$99,$B$3:$C$30,2,FALSE)*VLOOKUP($N118,$N$3:$AK$15,MATCH(P$99,$N$3:$AK$3,0),FALSE),P117)</f>
        <v>T2部件</v>
      </c>
      <c r="Q118" s="487" t="str">
        <f>IFERROR(VLOOKUP(Q$99,$B$3:$C$30,2,FALSE)*VLOOKUP($N118,$N$3:$AK$15,MATCH(Q$99,$N$3:$AK$3,0),FALSE),Q117)</f>
        <v>T3部件</v>
      </c>
      <c r="R118" s="158" t="e">
        <f>P118/O118</f>
        <v>#VALUE!</v>
      </c>
      <c r="S118" s="158" t="e">
        <f>Q118/P118</f>
        <v>#VALUE!</v>
      </c>
    </row>
    <row r="119" spans="5:19" x14ac:dyDescent="0.35">
      <c r="N119" s="219">
        <v>20</v>
      </c>
      <c r="O119" s="487">
        <f>IFERROR(VLOOKUP(O$99,$B$3:$C$30,2,FALSE)*VLOOKUP($N119,$N$3:$AK$15,MATCH(O$99,$N$3:$AK$3,0),FALSE),O118)</f>
        <v>6.0750000000000002</v>
      </c>
      <c r="P119" s="487" t="str">
        <f>IFERROR(VLOOKUP(P$99,$B$3:$C$30,2,FALSE)*VLOOKUP($N119,$N$3:$AK$15,MATCH(P$99,$N$3:$AK$3,0),FALSE),P118)</f>
        <v>T2部件</v>
      </c>
      <c r="Q119" s="487" t="str">
        <f>IFERROR(VLOOKUP(Q$99,$B$3:$C$30,2,FALSE)*VLOOKUP($N119,$N$3:$AK$15,MATCH(Q$99,$N$3:$AK$3,0),FALSE),Q118)</f>
        <v>T3部件</v>
      </c>
      <c r="R119" s="158" t="e">
        <f>P119/O119</f>
        <v>#VALUE!</v>
      </c>
      <c r="S119" s="158" t="e">
        <f>Q119/P119</f>
        <v>#VALUE!</v>
      </c>
    </row>
    <row r="120" spans="5:19" x14ac:dyDescent="0.35">
      <c r="N120" s="219">
        <v>21</v>
      </c>
      <c r="O120" s="487">
        <f>IFERROR(VLOOKUP(O$99,$B$3:$C$30,2,FALSE)*VLOOKUP($N120,$N$3:$AK$15,MATCH(O$99,$N$3:$AK$3,0),FALSE),O119)</f>
        <v>6.0750000000000002</v>
      </c>
      <c r="P120" s="487" t="str">
        <f>IFERROR(VLOOKUP(P$99,$B$3:$C$30,2,FALSE)*VLOOKUP($N120,$N$3:$AK$15,MATCH(P$99,$N$3:$AK$3,0),FALSE),P119)</f>
        <v>T2部件</v>
      </c>
      <c r="Q120" s="487" t="str">
        <f>IFERROR(VLOOKUP(Q$99,$B$3:$C$30,2,FALSE)*VLOOKUP($N120,$N$3:$AK$15,MATCH(Q$99,$N$3:$AK$3,0),FALSE),Q119)</f>
        <v>T3部件</v>
      </c>
      <c r="R120" s="158" t="e">
        <f>P120/O120</f>
        <v>#VALUE!</v>
      </c>
      <c r="S120" s="158" t="e">
        <f>Q120/P120</f>
        <v>#VALUE!</v>
      </c>
    </row>
    <row r="121" spans="5:19" x14ac:dyDescent="0.35">
      <c r="N121" s="219">
        <v>22</v>
      </c>
      <c r="O121" s="487">
        <f>IFERROR(VLOOKUP(O$99,$B$3:$C$30,2,FALSE)*VLOOKUP($N121,$N$3:$AK$15,MATCH(O$99,$N$3:$AK$3,0),FALSE),O120)</f>
        <v>6.0750000000000002</v>
      </c>
      <c r="P121" s="487" t="str">
        <f>IFERROR(VLOOKUP(P$99,$B$3:$C$30,2,FALSE)*VLOOKUP($N121,$N$3:$AK$15,MATCH(P$99,$N$3:$AK$3,0),FALSE),P120)</f>
        <v>T2部件</v>
      </c>
      <c r="Q121" s="487" t="str">
        <f>IFERROR(VLOOKUP(Q$99,$B$3:$C$30,2,FALSE)*VLOOKUP($N121,$N$3:$AK$15,MATCH(Q$99,$N$3:$AK$3,0),FALSE),Q120)</f>
        <v>T3部件</v>
      </c>
      <c r="R121" s="158" t="e">
        <f>P121/O121</f>
        <v>#VALUE!</v>
      </c>
      <c r="S121" s="158" t="e">
        <f>Q121/P121</f>
        <v>#VALUE!</v>
      </c>
    </row>
    <row r="122" spans="5:19" x14ac:dyDescent="0.35">
      <c r="N122" s="219">
        <v>23</v>
      </c>
      <c r="O122" s="487">
        <f>IFERROR(VLOOKUP(O$99,$B$3:$C$30,2,FALSE)*VLOOKUP($N122,$N$3:$AK$15,MATCH(O$99,$N$3:$AK$3,0),FALSE),O121)</f>
        <v>6.0750000000000002</v>
      </c>
      <c r="P122" s="487" t="str">
        <f>IFERROR(VLOOKUP(P$99,$B$3:$C$30,2,FALSE)*VLOOKUP($N122,$N$3:$AK$15,MATCH(P$99,$N$3:$AK$3,0),FALSE),P121)</f>
        <v>T2部件</v>
      </c>
      <c r="Q122" s="487" t="str">
        <f>IFERROR(VLOOKUP(Q$99,$B$3:$C$30,2,FALSE)*VLOOKUP($N122,$N$3:$AK$15,MATCH(Q$99,$N$3:$AK$3,0),FALSE),Q121)</f>
        <v>T3部件</v>
      </c>
      <c r="R122" s="158" t="e">
        <f>P122/O122</f>
        <v>#VALUE!</v>
      </c>
      <c r="S122" s="158" t="e">
        <f>Q122/P122</f>
        <v>#VALUE!</v>
      </c>
    </row>
    <row r="123" spans="5:19" x14ac:dyDescent="0.35">
      <c r="N123" s="219">
        <v>24</v>
      </c>
      <c r="O123" s="487">
        <f>IFERROR(VLOOKUP(O$99,$B$3:$C$30,2,FALSE)*VLOOKUP($N123,$N$3:$AK$15,MATCH(O$99,$N$3:$AK$3,0),FALSE),O122)</f>
        <v>6.0750000000000002</v>
      </c>
      <c r="P123" s="487" t="str">
        <f>IFERROR(VLOOKUP(P$99,$B$3:$C$30,2,FALSE)*VLOOKUP($N123,$N$3:$AK$15,MATCH(P$99,$N$3:$AK$3,0),FALSE),P122)</f>
        <v>T2部件</v>
      </c>
      <c r="Q123" s="487" t="str">
        <f>IFERROR(VLOOKUP(Q$99,$B$3:$C$30,2,FALSE)*VLOOKUP($N123,$N$3:$AK$15,MATCH(Q$99,$N$3:$AK$3,0),FALSE),Q122)</f>
        <v>T3部件</v>
      </c>
      <c r="R123" s="158" t="e">
        <f>P123/O123</f>
        <v>#VALUE!</v>
      </c>
      <c r="S123" s="158" t="e">
        <f>Q123/P123</f>
        <v>#VALUE!</v>
      </c>
    </row>
  </sheetData>
  <mergeCells count="8">
    <mergeCell ref="B62:F62"/>
    <mergeCell ref="B2:F2"/>
    <mergeCell ref="H2:K2"/>
    <mergeCell ref="N17:AR17"/>
    <mergeCell ref="N44:AR44"/>
    <mergeCell ref="N2:AK2"/>
    <mergeCell ref="N71:T71"/>
    <mergeCell ref="N98:Q98"/>
  </mergeCells>
  <phoneticPr fontId="101"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B2:Q509"/>
  <sheetViews>
    <sheetView workbookViewId="0">
      <selection activeCell="U65" sqref="U65"/>
    </sheetView>
  </sheetViews>
  <sheetFormatPr defaultColWidth="9" defaultRowHeight="13" x14ac:dyDescent="0.35"/>
  <cols>
    <col min="1" max="1" width="9" style="309"/>
    <col min="2" max="2" width="10.81640625" style="309" bestFit="1" customWidth="1"/>
    <col min="3" max="11" width="9" style="309"/>
    <col min="12" max="12" width="10.81640625" style="309" bestFit="1" customWidth="1"/>
    <col min="13" max="16384" width="9" style="309"/>
  </cols>
  <sheetData>
    <row r="2" spans="2:14" x14ac:dyDescent="0.35">
      <c r="B2" s="311" t="s">
        <v>1475</v>
      </c>
      <c r="C2" s="311" t="s">
        <v>1476</v>
      </c>
      <c r="L2" s="311" t="s">
        <v>1475</v>
      </c>
      <c r="M2" s="311" t="s">
        <v>1476</v>
      </c>
      <c r="N2" s="601" t="s">
        <v>2876</v>
      </c>
    </row>
    <row r="3" spans="2:14" x14ac:dyDescent="0.35">
      <c r="B3" s="311" t="s">
        <v>1463</v>
      </c>
      <c r="C3" s="311">
        <v>101</v>
      </c>
      <c r="L3" s="311" t="s">
        <v>1463</v>
      </c>
      <c r="M3" s="311">
        <v>101</v>
      </c>
      <c r="N3" s="311" t="s">
        <v>2785</v>
      </c>
    </row>
    <row r="4" spans="2:14" x14ac:dyDescent="0.35">
      <c r="B4" s="311" t="s">
        <v>1464</v>
      </c>
      <c r="C4" s="311">
        <v>102</v>
      </c>
      <c r="L4" s="311" t="s">
        <v>1464</v>
      </c>
      <c r="M4" s="311">
        <v>102</v>
      </c>
      <c r="N4" s="311" t="s">
        <v>2786</v>
      </c>
    </row>
    <row r="5" spans="2:14" x14ac:dyDescent="0.35">
      <c r="B5" s="311" t="s">
        <v>1465</v>
      </c>
      <c r="C5" s="311">
        <v>103</v>
      </c>
      <c r="L5" s="311" t="s">
        <v>1465</v>
      </c>
      <c r="M5" s="311">
        <v>103</v>
      </c>
      <c r="N5" s="311" t="s">
        <v>2787</v>
      </c>
    </row>
    <row r="6" spans="2:14" x14ac:dyDescent="0.35">
      <c r="B6" s="311" t="s">
        <v>1466</v>
      </c>
      <c r="C6" s="311">
        <v>104</v>
      </c>
      <c r="L6" s="311" t="s">
        <v>1466</v>
      </c>
      <c r="M6" s="311">
        <v>104</v>
      </c>
      <c r="N6" s="311" t="s">
        <v>2788</v>
      </c>
    </row>
    <row r="7" spans="2:14" x14ac:dyDescent="0.35">
      <c r="B7" s="311" t="s">
        <v>1467</v>
      </c>
      <c r="C7" s="311">
        <v>105</v>
      </c>
      <c r="L7" s="311" t="s">
        <v>1467</v>
      </c>
      <c r="M7" s="311">
        <v>105</v>
      </c>
      <c r="N7" s="311" t="s">
        <v>2789</v>
      </c>
    </row>
    <row r="8" spans="2:14" x14ac:dyDescent="0.35">
      <c r="B8" s="311" t="s">
        <v>1468</v>
      </c>
      <c r="C8" s="311">
        <v>106</v>
      </c>
      <c r="L8" s="311" t="s">
        <v>1468</v>
      </c>
      <c r="M8" s="311">
        <v>106</v>
      </c>
      <c r="N8" s="311" t="s">
        <v>2790</v>
      </c>
    </row>
    <row r="9" spans="2:14" x14ac:dyDescent="0.35">
      <c r="B9" s="311" t="s">
        <v>1469</v>
      </c>
      <c r="C9" s="311">
        <v>107</v>
      </c>
      <c r="L9" s="311" t="s">
        <v>1469</v>
      </c>
      <c r="M9" s="311">
        <v>107</v>
      </c>
      <c r="N9" s="311" t="s">
        <v>2791</v>
      </c>
    </row>
    <row r="10" spans="2:14" x14ac:dyDescent="0.35">
      <c r="B10" s="311" t="s">
        <v>1470</v>
      </c>
      <c r="C10" s="311">
        <v>108</v>
      </c>
      <c r="L10" s="311" t="s">
        <v>1470</v>
      </c>
      <c r="M10" s="311">
        <v>108</v>
      </c>
      <c r="N10" s="311" t="s">
        <v>2792</v>
      </c>
    </row>
    <row r="11" spans="2:14" x14ac:dyDescent="0.35">
      <c r="B11" s="550" t="s">
        <v>2529</v>
      </c>
      <c r="C11" s="311">
        <v>109</v>
      </c>
      <c r="L11" s="596" t="s">
        <v>2529</v>
      </c>
      <c r="M11" s="311">
        <v>109</v>
      </c>
      <c r="N11" s="311" t="s">
        <v>2789</v>
      </c>
    </row>
    <row r="12" spans="2:14" x14ac:dyDescent="0.35">
      <c r="B12" s="586" t="s">
        <v>2678</v>
      </c>
      <c r="C12" s="311">
        <v>110</v>
      </c>
      <c r="L12" s="586" t="s">
        <v>2678</v>
      </c>
      <c r="M12" s="311">
        <v>110</v>
      </c>
      <c r="N12" s="311" t="s">
        <v>2787</v>
      </c>
    </row>
    <row r="13" spans="2:14" x14ac:dyDescent="0.35">
      <c r="B13" s="586" t="s">
        <v>2679</v>
      </c>
      <c r="C13" s="311">
        <v>111</v>
      </c>
      <c r="L13" s="586" t="s">
        <v>2671</v>
      </c>
      <c r="M13" s="311">
        <v>111</v>
      </c>
      <c r="N13" s="311" t="s">
        <v>2793</v>
      </c>
    </row>
    <row r="14" spans="2:14" x14ac:dyDescent="0.35">
      <c r="L14" s="602"/>
      <c r="M14" s="603"/>
    </row>
    <row r="15" spans="2:14" x14ac:dyDescent="0.35">
      <c r="B15" s="311" t="s">
        <v>1471</v>
      </c>
      <c r="C15" s="311" t="s">
        <v>802</v>
      </c>
      <c r="D15" s="311" t="s">
        <v>1472</v>
      </c>
      <c r="E15" s="311" t="s">
        <v>1473</v>
      </c>
      <c r="F15" s="311" t="s">
        <v>1474</v>
      </c>
      <c r="L15" s="601" t="s">
        <v>2780</v>
      </c>
      <c r="M15" s="601" t="s">
        <v>2781</v>
      </c>
      <c r="N15" s="601" t="s">
        <v>2876</v>
      </c>
    </row>
    <row r="16" spans="2:14" x14ac:dyDescent="0.35">
      <c r="B16" s="119" t="s">
        <v>615</v>
      </c>
      <c r="C16" s="311">
        <v>1111</v>
      </c>
      <c r="D16" s="311">
        <f>C16+10000</f>
        <v>11111</v>
      </c>
      <c r="E16" s="311">
        <f>C16+50000</f>
        <v>51111</v>
      </c>
      <c r="F16" s="311">
        <f>C16+30000</f>
        <v>31111</v>
      </c>
      <c r="L16" s="586" t="s">
        <v>2782</v>
      </c>
      <c r="M16" s="311">
        <v>100301</v>
      </c>
      <c r="N16" s="311" t="s">
        <v>2875</v>
      </c>
    </row>
    <row r="17" spans="2:14" x14ac:dyDescent="0.35">
      <c r="B17" s="303" t="s">
        <v>616</v>
      </c>
      <c r="C17" s="311">
        <v>1211</v>
      </c>
      <c r="D17" s="311">
        <f t="shared" ref="D17:D45" si="0">C17+10000</f>
        <v>11211</v>
      </c>
      <c r="E17" s="311">
        <f t="shared" ref="E17:E45" si="1">C17+50000</f>
        <v>51211</v>
      </c>
      <c r="F17" s="311">
        <f t="shared" ref="F17:F45" si="2">C17+30000</f>
        <v>31211</v>
      </c>
      <c r="L17" s="586" t="s">
        <v>2783</v>
      </c>
      <c r="M17" s="311">
        <v>100302</v>
      </c>
      <c r="N17" s="311" t="s">
        <v>2875</v>
      </c>
    </row>
    <row r="18" spans="2:14" x14ac:dyDescent="0.35">
      <c r="B18" s="303" t="s">
        <v>617</v>
      </c>
      <c r="C18" s="311">
        <v>1221</v>
      </c>
      <c r="D18" s="311">
        <f t="shared" si="0"/>
        <v>11221</v>
      </c>
      <c r="E18" s="311">
        <f t="shared" si="1"/>
        <v>51221</v>
      </c>
      <c r="F18" s="311">
        <f t="shared" si="2"/>
        <v>31221</v>
      </c>
      <c r="L18" s="586" t="s">
        <v>2749</v>
      </c>
      <c r="M18" s="311">
        <v>100501</v>
      </c>
      <c r="N18" s="311" t="s">
        <v>2875</v>
      </c>
    </row>
    <row r="19" spans="2:14" x14ac:dyDescent="0.35">
      <c r="B19" s="303" t="s">
        <v>618</v>
      </c>
      <c r="C19" s="311">
        <v>1311</v>
      </c>
      <c r="D19" s="311">
        <f t="shared" si="0"/>
        <v>11311</v>
      </c>
      <c r="E19" s="311">
        <f t="shared" si="1"/>
        <v>51311</v>
      </c>
      <c r="F19" s="311">
        <f t="shared" si="2"/>
        <v>31311</v>
      </c>
      <c r="L19" s="586" t="s">
        <v>2718</v>
      </c>
      <c r="M19" s="311">
        <v>100502</v>
      </c>
      <c r="N19" s="311" t="s">
        <v>2875</v>
      </c>
    </row>
    <row r="20" spans="2:14" x14ac:dyDescent="0.35">
      <c r="B20" s="303" t="s">
        <v>619</v>
      </c>
      <c r="C20" s="311">
        <v>1321</v>
      </c>
      <c r="D20" s="311">
        <f t="shared" si="0"/>
        <v>11321</v>
      </c>
      <c r="E20" s="311">
        <f t="shared" si="1"/>
        <v>51321</v>
      </c>
      <c r="F20" s="311">
        <f t="shared" si="2"/>
        <v>31321</v>
      </c>
      <c r="L20" s="586" t="s">
        <v>2722</v>
      </c>
      <c r="M20" s="311">
        <v>100503</v>
      </c>
      <c r="N20" s="311" t="s">
        <v>2875</v>
      </c>
    </row>
    <row r="21" spans="2:14" x14ac:dyDescent="0.35">
      <c r="B21" s="303" t="s">
        <v>716</v>
      </c>
      <c r="C21" s="311">
        <v>1331</v>
      </c>
      <c r="D21" s="311">
        <f t="shared" si="0"/>
        <v>11331</v>
      </c>
      <c r="E21" s="311">
        <f t="shared" si="1"/>
        <v>51331</v>
      </c>
      <c r="F21" s="311">
        <f t="shared" si="2"/>
        <v>31331</v>
      </c>
      <c r="L21" s="586" t="s">
        <v>2784</v>
      </c>
      <c r="M21" s="311">
        <v>100801</v>
      </c>
      <c r="N21" s="311" t="s">
        <v>2875</v>
      </c>
    </row>
    <row r="22" spans="2:14" x14ac:dyDescent="0.35">
      <c r="B22" s="303" t="s">
        <v>620</v>
      </c>
      <c r="C22" s="311">
        <v>1411</v>
      </c>
      <c r="D22" s="311">
        <f t="shared" si="0"/>
        <v>11411</v>
      </c>
      <c r="E22" s="311">
        <f t="shared" si="1"/>
        <v>51411</v>
      </c>
      <c r="F22" s="311">
        <f t="shared" si="2"/>
        <v>31411</v>
      </c>
      <c r="L22" s="586" t="s">
        <v>2719</v>
      </c>
      <c r="M22" s="311">
        <v>100802</v>
      </c>
      <c r="N22" s="311" t="s">
        <v>2875</v>
      </c>
    </row>
    <row r="23" spans="2:14" x14ac:dyDescent="0.35">
      <c r="B23" s="303" t="s">
        <v>717</v>
      </c>
      <c r="C23" s="311">
        <v>1421</v>
      </c>
      <c r="D23" s="311">
        <f t="shared" si="0"/>
        <v>11421</v>
      </c>
      <c r="E23" s="311">
        <f t="shared" si="1"/>
        <v>51421</v>
      </c>
      <c r="F23" s="311">
        <f t="shared" si="2"/>
        <v>31421</v>
      </c>
      <c r="L23" s="586" t="s">
        <v>2724</v>
      </c>
      <c r="M23" s="311">
        <v>100803</v>
      </c>
      <c r="N23" s="311" t="s">
        <v>2875</v>
      </c>
    </row>
    <row r="24" spans="2:14" x14ac:dyDescent="0.35">
      <c r="B24" s="303" t="s">
        <v>621</v>
      </c>
      <c r="C24" s="311">
        <v>1431</v>
      </c>
      <c r="D24" s="311">
        <f t="shared" si="0"/>
        <v>11431</v>
      </c>
      <c r="E24" s="311">
        <f t="shared" si="1"/>
        <v>51431</v>
      </c>
      <c r="F24" s="311">
        <f t="shared" si="2"/>
        <v>31431</v>
      </c>
    </row>
    <row r="25" spans="2:14" x14ac:dyDescent="0.35">
      <c r="B25" s="303" t="s">
        <v>622</v>
      </c>
      <c r="C25" s="311">
        <v>1511</v>
      </c>
      <c r="D25" s="311">
        <f t="shared" si="0"/>
        <v>11511</v>
      </c>
      <c r="E25" s="311">
        <f t="shared" si="1"/>
        <v>51511</v>
      </c>
      <c r="F25" s="311">
        <f t="shared" si="2"/>
        <v>31511</v>
      </c>
      <c r="L25" s="311" t="s">
        <v>1471</v>
      </c>
      <c r="M25" s="311" t="s">
        <v>1742</v>
      </c>
      <c r="N25" s="601" t="s">
        <v>2876</v>
      </c>
    </row>
    <row r="26" spans="2:14" x14ac:dyDescent="0.35">
      <c r="B26" s="303" t="s">
        <v>623</v>
      </c>
      <c r="C26" s="311">
        <v>2111</v>
      </c>
      <c r="D26" s="311">
        <f t="shared" si="0"/>
        <v>12111</v>
      </c>
      <c r="E26" s="311">
        <f t="shared" si="1"/>
        <v>52111</v>
      </c>
      <c r="F26" s="311">
        <f t="shared" si="2"/>
        <v>32111</v>
      </c>
      <c r="L26" s="119" t="s">
        <v>615</v>
      </c>
      <c r="M26" s="311">
        <v>11111</v>
      </c>
      <c r="N26" s="311" t="s">
        <v>543</v>
      </c>
    </row>
    <row r="27" spans="2:14" x14ac:dyDescent="0.35">
      <c r="B27" s="303" t="s">
        <v>624</v>
      </c>
      <c r="C27" s="311">
        <v>2211</v>
      </c>
      <c r="D27" s="311">
        <f t="shared" si="0"/>
        <v>12211</v>
      </c>
      <c r="E27" s="311">
        <f t="shared" si="1"/>
        <v>52211</v>
      </c>
      <c r="F27" s="311">
        <f t="shared" si="2"/>
        <v>32211</v>
      </c>
      <c r="L27" s="597" t="s">
        <v>616</v>
      </c>
      <c r="M27" s="311">
        <v>11211</v>
      </c>
      <c r="N27" s="311" t="s">
        <v>544</v>
      </c>
    </row>
    <row r="28" spans="2:14" x14ac:dyDescent="0.35">
      <c r="B28" s="303" t="s">
        <v>626</v>
      </c>
      <c r="C28" s="311">
        <v>2221</v>
      </c>
      <c r="D28" s="311">
        <f t="shared" si="0"/>
        <v>12221</v>
      </c>
      <c r="E28" s="311">
        <f t="shared" si="1"/>
        <v>52221</v>
      </c>
      <c r="F28" s="311">
        <f t="shared" si="2"/>
        <v>32221</v>
      </c>
      <c r="L28" s="597" t="s">
        <v>617</v>
      </c>
      <c r="M28" s="311">
        <v>11221</v>
      </c>
      <c r="N28" s="609" t="s">
        <v>2883</v>
      </c>
    </row>
    <row r="29" spans="2:14" x14ac:dyDescent="0.35">
      <c r="B29" s="303" t="s">
        <v>627</v>
      </c>
      <c r="C29" s="311">
        <v>2311</v>
      </c>
      <c r="D29" s="311">
        <f t="shared" si="0"/>
        <v>12311</v>
      </c>
      <c r="E29" s="311">
        <f t="shared" si="1"/>
        <v>52311</v>
      </c>
      <c r="F29" s="311">
        <f t="shared" si="2"/>
        <v>32311</v>
      </c>
      <c r="L29" s="597" t="s">
        <v>618</v>
      </c>
      <c r="M29" s="311">
        <v>11311</v>
      </c>
      <c r="N29" s="311" t="s">
        <v>545</v>
      </c>
    </row>
    <row r="30" spans="2:14" x14ac:dyDescent="0.35">
      <c r="B30" s="303" t="s">
        <v>718</v>
      </c>
      <c r="C30" s="311">
        <v>2321</v>
      </c>
      <c r="D30" s="311">
        <f t="shared" si="0"/>
        <v>12321</v>
      </c>
      <c r="E30" s="311">
        <f t="shared" si="1"/>
        <v>52321</v>
      </c>
      <c r="F30" s="311">
        <f t="shared" si="2"/>
        <v>32321</v>
      </c>
      <c r="L30" s="597" t="s">
        <v>619</v>
      </c>
      <c r="M30" s="311">
        <v>11321</v>
      </c>
      <c r="N30" s="311" t="s">
        <v>639</v>
      </c>
    </row>
    <row r="31" spans="2:14" x14ac:dyDescent="0.35">
      <c r="B31" s="303" t="s">
        <v>625</v>
      </c>
      <c r="C31" s="311">
        <v>2331</v>
      </c>
      <c r="D31" s="311">
        <f t="shared" si="0"/>
        <v>12331</v>
      </c>
      <c r="E31" s="311">
        <f t="shared" si="1"/>
        <v>52331</v>
      </c>
      <c r="F31" s="311">
        <f t="shared" si="2"/>
        <v>32331</v>
      </c>
      <c r="L31" s="597" t="s">
        <v>716</v>
      </c>
      <c r="M31" s="311">
        <v>11331</v>
      </c>
      <c r="N31" s="311" t="s">
        <v>549</v>
      </c>
    </row>
    <row r="32" spans="2:14" x14ac:dyDescent="0.35">
      <c r="B32" s="303" t="s">
        <v>719</v>
      </c>
      <c r="C32" s="311">
        <v>2411</v>
      </c>
      <c r="D32" s="311">
        <f t="shared" si="0"/>
        <v>12411</v>
      </c>
      <c r="E32" s="311">
        <f t="shared" si="1"/>
        <v>52411</v>
      </c>
      <c r="F32" s="311">
        <f t="shared" si="2"/>
        <v>32411</v>
      </c>
      <c r="L32" s="597" t="s">
        <v>620</v>
      </c>
      <c r="M32" s="311">
        <v>11411</v>
      </c>
      <c r="N32" s="311" t="s">
        <v>548</v>
      </c>
    </row>
    <row r="33" spans="2:17" x14ac:dyDescent="0.35">
      <c r="B33" s="303" t="s">
        <v>720</v>
      </c>
      <c r="C33" s="311">
        <v>2421</v>
      </c>
      <c r="D33" s="311">
        <f t="shared" si="0"/>
        <v>12421</v>
      </c>
      <c r="E33" s="311">
        <f t="shared" si="1"/>
        <v>52421</v>
      </c>
      <c r="F33" s="311">
        <f t="shared" si="2"/>
        <v>32421</v>
      </c>
      <c r="L33" s="597" t="s">
        <v>717</v>
      </c>
      <c r="M33" s="311">
        <v>11421</v>
      </c>
      <c r="N33" s="311" t="s">
        <v>550</v>
      </c>
    </row>
    <row r="34" spans="2:17" x14ac:dyDescent="0.35">
      <c r="B34" s="303" t="s">
        <v>634</v>
      </c>
      <c r="C34" s="311">
        <v>2431</v>
      </c>
      <c r="D34" s="311">
        <f t="shared" si="0"/>
        <v>12431</v>
      </c>
      <c r="E34" s="311">
        <f t="shared" si="1"/>
        <v>52431</v>
      </c>
      <c r="F34" s="311">
        <f t="shared" si="2"/>
        <v>32431</v>
      </c>
      <c r="L34" s="597" t="s">
        <v>621</v>
      </c>
      <c r="M34" s="311">
        <v>11431</v>
      </c>
      <c r="N34" s="311" t="s">
        <v>551</v>
      </c>
    </row>
    <row r="35" spans="2:17" x14ac:dyDescent="0.35">
      <c r="B35" s="303" t="s">
        <v>636</v>
      </c>
      <c r="C35" s="311">
        <v>2511</v>
      </c>
      <c r="D35" s="311">
        <f t="shared" si="0"/>
        <v>12511</v>
      </c>
      <c r="E35" s="311">
        <f t="shared" si="1"/>
        <v>52511</v>
      </c>
      <c r="F35" s="311">
        <f t="shared" si="2"/>
        <v>32511</v>
      </c>
      <c r="L35" s="597" t="s">
        <v>622</v>
      </c>
      <c r="M35" s="311">
        <v>11511</v>
      </c>
      <c r="N35" s="311">
        <v>59</v>
      </c>
    </row>
    <row r="36" spans="2:17" x14ac:dyDescent="0.35">
      <c r="B36" s="303" t="s">
        <v>721</v>
      </c>
      <c r="C36" s="311">
        <v>3111</v>
      </c>
      <c r="D36" s="311">
        <f t="shared" si="0"/>
        <v>13111</v>
      </c>
      <c r="E36" s="311">
        <f t="shared" si="1"/>
        <v>53111</v>
      </c>
      <c r="F36" s="311">
        <f t="shared" si="2"/>
        <v>33111</v>
      </c>
      <c r="L36" s="597" t="s">
        <v>623</v>
      </c>
      <c r="M36" s="311">
        <v>12111</v>
      </c>
      <c r="N36" s="311" t="s">
        <v>546</v>
      </c>
    </row>
    <row r="37" spans="2:17" x14ac:dyDescent="0.35">
      <c r="B37" s="303" t="s">
        <v>630</v>
      </c>
      <c r="C37" s="311">
        <v>3211</v>
      </c>
      <c r="D37" s="311">
        <f t="shared" si="0"/>
        <v>13211</v>
      </c>
      <c r="E37" s="311">
        <f t="shared" si="1"/>
        <v>53211</v>
      </c>
      <c r="F37" s="311">
        <f t="shared" si="2"/>
        <v>33211</v>
      </c>
      <c r="L37" s="597" t="s">
        <v>624</v>
      </c>
      <c r="M37" s="311">
        <v>12211</v>
      </c>
      <c r="N37" s="311" t="s">
        <v>555</v>
      </c>
    </row>
    <row r="38" spans="2:17" x14ac:dyDescent="0.35">
      <c r="B38" s="303" t="s">
        <v>631</v>
      </c>
      <c r="C38" s="311">
        <v>3221</v>
      </c>
      <c r="D38" s="311">
        <f t="shared" si="0"/>
        <v>13221</v>
      </c>
      <c r="E38" s="311">
        <f t="shared" si="1"/>
        <v>53221</v>
      </c>
      <c r="F38" s="311">
        <f t="shared" si="2"/>
        <v>33221</v>
      </c>
      <c r="L38" s="597" t="s">
        <v>626</v>
      </c>
      <c r="M38" s="311">
        <v>12221</v>
      </c>
      <c r="N38" s="311" t="s">
        <v>554</v>
      </c>
    </row>
    <row r="39" spans="2:17" x14ac:dyDescent="0.35">
      <c r="B39" s="303" t="s">
        <v>628</v>
      </c>
      <c r="C39" s="311">
        <v>3311</v>
      </c>
      <c r="D39" s="311">
        <f t="shared" si="0"/>
        <v>13311</v>
      </c>
      <c r="E39" s="311">
        <f t="shared" si="1"/>
        <v>53311</v>
      </c>
      <c r="F39" s="311">
        <f t="shared" si="2"/>
        <v>33311</v>
      </c>
      <c r="L39" s="597" t="s">
        <v>627</v>
      </c>
      <c r="M39" s="311">
        <v>12311</v>
      </c>
      <c r="N39" s="311" t="s">
        <v>552</v>
      </c>
    </row>
    <row r="40" spans="2:17" x14ac:dyDescent="0.35">
      <c r="B40" s="303" t="s">
        <v>632</v>
      </c>
      <c r="C40" s="311">
        <v>3321</v>
      </c>
      <c r="D40" s="311">
        <f t="shared" si="0"/>
        <v>13321</v>
      </c>
      <c r="E40" s="311">
        <f t="shared" si="1"/>
        <v>53321</v>
      </c>
      <c r="F40" s="311">
        <f t="shared" si="2"/>
        <v>33321</v>
      </c>
      <c r="L40" s="597" t="s">
        <v>718</v>
      </c>
      <c r="M40" s="311">
        <v>12321</v>
      </c>
      <c r="N40" s="311" t="s">
        <v>553</v>
      </c>
    </row>
    <row r="41" spans="2:17" x14ac:dyDescent="0.35">
      <c r="B41" s="303" t="s">
        <v>633</v>
      </c>
      <c r="C41" s="311">
        <v>3331</v>
      </c>
      <c r="D41" s="311">
        <f t="shared" si="0"/>
        <v>13331</v>
      </c>
      <c r="E41" s="311">
        <f t="shared" si="1"/>
        <v>53331</v>
      </c>
      <c r="F41" s="311">
        <f t="shared" si="2"/>
        <v>33331</v>
      </c>
      <c r="L41" s="597" t="s">
        <v>625</v>
      </c>
      <c r="M41" s="311">
        <v>12331</v>
      </c>
      <c r="N41" s="311" t="s">
        <v>557</v>
      </c>
    </row>
    <row r="42" spans="2:17" x14ac:dyDescent="0.35">
      <c r="B42" s="303" t="s">
        <v>635</v>
      </c>
      <c r="C42" s="311">
        <v>3411</v>
      </c>
      <c r="D42" s="311">
        <f t="shared" si="0"/>
        <v>13411</v>
      </c>
      <c r="E42" s="311">
        <f t="shared" si="1"/>
        <v>53411</v>
      </c>
      <c r="F42" s="311">
        <f t="shared" si="2"/>
        <v>33411</v>
      </c>
      <c r="L42" s="597" t="s">
        <v>719</v>
      </c>
      <c r="M42" s="311">
        <v>12411</v>
      </c>
      <c r="N42" s="311" t="s">
        <v>560</v>
      </c>
    </row>
    <row r="43" spans="2:17" x14ac:dyDescent="0.35">
      <c r="B43" s="303" t="s">
        <v>629</v>
      </c>
      <c r="C43" s="311">
        <v>3421</v>
      </c>
      <c r="D43" s="311">
        <f t="shared" si="0"/>
        <v>13421</v>
      </c>
      <c r="E43" s="311">
        <f t="shared" si="1"/>
        <v>53421</v>
      </c>
      <c r="F43" s="311">
        <f t="shared" si="2"/>
        <v>33421</v>
      </c>
      <c r="L43" s="597" t="s">
        <v>720</v>
      </c>
      <c r="M43" s="311">
        <v>12421</v>
      </c>
      <c r="N43" s="311" t="s">
        <v>558</v>
      </c>
    </row>
    <row r="44" spans="2:17" x14ac:dyDescent="0.35">
      <c r="B44" s="303" t="s">
        <v>722</v>
      </c>
      <c r="C44" s="311">
        <v>3431</v>
      </c>
      <c r="D44" s="311">
        <f t="shared" si="0"/>
        <v>13431</v>
      </c>
      <c r="E44" s="311">
        <f t="shared" si="1"/>
        <v>53431</v>
      </c>
      <c r="F44" s="311">
        <f t="shared" si="2"/>
        <v>33431</v>
      </c>
      <c r="L44" s="597" t="s">
        <v>634</v>
      </c>
      <c r="M44" s="311">
        <v>12431</v>
      </c>
      <c r="N44" s="311" t="s">
        <v>559</v>
      </c>
    </row>
    <row r="45" spans="2:17" x14ac:dyDescent="0.35">
      <c r="B45" s="303" t="s">
        <v>637</v>
      </c>
      <c r="C45" s="311">
        <v>3511</v>
      </c>
      <c r="D45" s="311">
        <f t="shared" si="0"/>
        <v>13511</v>
      </c>
      <c r="E45" s="311">
        <f t="shared" si="1"/>
        <v>53511</v>
      </c>
      <c r="F45" s="311">
        <f t="shared" si="2"/>
        <v>33511</v>
      </c>
      <c r="L45" s="597" t="s">
        <v>636</v>
      </c>
      <c r="M45" s="311">
        <v>12511</v>
      </c>
      <c r="N45" s="311" t="s">
        <v>568</v>
      </c>
    </row>
    <row r="46" spans="2:17" x14ac:dyDescent="0.35">
      <c r="L46" s="597" t="s">
        <v>721</v>
      </c>
      <c r="M46" s="311">
        <v>13111</v>
      </c>
      <c r="N46" s="311" t="s">
        <v>562</v>
      </c>
    </row>
    <row r="47" spans="2:17" x14ac:dyDescent="0.35">
      <c r="B47" s="311" t="s">
        <v>1514</v>
      </c>
      <c r="C47" s="311" t="s">
        <v>1551</v>
      </c>
      <c r="D47" s="311" t="s">
        <v>1552</v>
      </c>
      <c r="L47" s="597" t="s">
        <v>630</v>
      </c>
      <c r="M47" s="311">
        <v>13211</v>
      </c>
      <c r="N47" s="311" t="s">
        <v>561</v>
      </c>
      <c r="P47" s="409"/>
      <c r="Q47" s="409"/>
    </row>
    <row r="48" spans="2:17" x14ac:dyDescent="0.35">
      <c r="B48" s="311" t="s">
        <v>1244</v>
      </c>
      <c r="C48" s="311" t="s">
        <v>1856</v>
      </c>
      <c r="D48" s="311">
        <v>80101</v>
      </c>
      <c r="L48" s="597" t="s">
        <v>631</v>
      </c>
      <c r="M48" s="311">
        <v>13221</v>
      </c>
      <c r="N48" s="311" t="s">
        <v>563</v>
      </c>
    </row>
    <row r="49" spans="2:14" x14ac:dyDescent="0.35">
      <c r="B49" s="311" t="s">
        <v>1245</v>
      </c>
      <c r="C49" s="311" t="s">
        <v>1857</v>
      </c>
      <c r="D49" s="311">
        <v>81901</v>
      </c>
      <c r="L49" s="597" t="s">
        <v>628</v>
      </c>
      <c r="M49" s="311">
        <v>13311</v>
      </c>
      <c r="N49" s="311" t="s">
        <v>556</v>
      </c>
    </row>
    <row r="50" spans="2:14" x14ac:dyDescent="0.35">
      <c r="B50" s="311" t="s">
        <v>1246</v>
      </c>
      <c r="C50" s="311" t="s">
        <v>1858</v>
      </c>
      <c r="D50" s="311">
        <v>83701</v>
      </c>
      <c r="L50" s="597" t="s">
        <v>632</v>
      </c>
      <c r="M50" s="311">
        <v>13321</v>
      </c>
      <c r="N50" s="311" t="s">
        <v>565</v>
      </c>
    </row>
    <row r="51" spans="2:14" x14ac:dyDescent="0.35">
      <c r="B51" s="311" t="s">
        <v>1484</v>
      </c>
      <c r="C51" s="311" t="s">
        <v>1859</v>
      </c>
      <c r="D51" s="311">
        <v>80102</v>
      </c>
      <c r="L51" s="597" t="s">
        <v>633</v>
      </c>
      <c r="M51" s="311">
        <v>13331</v>
      </c>
      <c r="N51" s="311" t="s">
        <v>564</v>
      </c>
    </row>
    <row r="52" spans="2:14" x14ac:dyDescent="0.35">
      <c r="B52" s="311" t="s">
        <v>1485</v>
      </c>
      <c r="C52" s="311" t="s">
        <v>1860</v>
      </c>
      <c r="D52" s="311">
        <v>81902</v>
      </c>
      <c r="L52" s="597" t="s">
        <v>635</v>
      </c>
      <c r="M52" s="311">
        <v>13411</v>
      </c>
      <c r="N52" s="311" t="s">
        <v>567</v>
      </c>
    </row>
    <row r="53" spans="2:14" x14ac:dyDescent="0.35">
      <c r="B53" s="311" t="s">
        <v>1486</v>
      </c>
      <c r="C53" s="311" t="s">
        <v>1861</v>
      </c>
      <c r="D53" s="311">
        <v>83702</v>
      </c>
      <c r="L53" s="597" t="s">
        <v>629</v>
      </c>
      <c r="M53" s="311">
        <v>13421</v>
      </c>
      <c r="N53" s="311" t="s">
        <v>566</v>
      </c>
    </row>
    <row r="54" spans="2:14" x14ac:dyDescent="0.35">
      <c r="B54" s="311" t="s">
        <v>1247</v>
      </c>
      <c r="C54" s="311" t="s">
        <v>1862</v>
      </c>
      <c r="D54" s="311">
        <v>80301</v>
      </c>
      <c r="L54" s="597" t="s">
        <v>722</v>
      </c>
      <c r="M54" s="311">
        <v>13431</v>
      </c>
      <c r="N54" s="311" t="s">
        <v>2794</v>
      </c>
    </row>
    <row r="55" spans="2:14" x14ac:dyDescent="0.35">
      <c r="B55" s="311" t="s">
        <v>1248</v>
      </c>
      <c r="C55" s="311" t="s">
        <v>1863</v>
      </c>
      <c r="D55" s="311">
        <v>82101</v>
      </c>
      <c r="L55" s="597" t="s">
        <v>637</v>
      </c>
      <c r="M55" s="311">
        <v>13511</v>
      </c>
      <c r="N55" s="311" t="s">
        <v>569</v>
      </c>
    </row>
    <row r="56" spans="2:14" x14ac:dyDescent="0.35">
      <c r="B56" s="311" t="s">
        <v>1249</v>
      </c>
      <c r="C56" s="311" t="s">
        <v>1864</v>
      </c>
      <c r="D56" s="311">
        <v>83901</v>
      </c>
      <c r="L56" s="119" t="s">
        <v>2750</v>
      </c>
      <c r="M56" s="311">
        <v>51111</v>
      </c>
      <c r="N56" s="311" t="s">
        <v>1811</v>
      </c>
    </row>
    <row r="57" spans="2:14" x14ac:dyDescent="0.35">
      <c r="B57" s="311" t="s">
        <v>1487</v>
      </c>
      <c r="C57" s="311" t="s">
        <v>1865</v>
      </c>
      <c r="D57" s="311">
        <v>80302</v>
      </c>
      <c r="L57" s="597" t="s">
        <v>2751</v>
      </c>
      <c r="M57" s="311">
        <v>51211</v>
      </c>
      <c r="N57" s="311" t="s">
        <v>1812</v>
      </c>
    </row>
    <row r="58" spans="2:14" x14ac:dyDescent="0.35">
      <c r="B58" s="311" t="s">
        <v>1488</v>
      </c>
      <c r="C58" s="311" t="s">
        <v>1866</v>
      </c>
      <c r="D58" s="311">
        <v>82102</v>
      </c>
      <c r="L58" s="597" t="s">
        <v>2752</v>
      </c>
      <c r="M58" s="311">
        <v>51221</v>
      </c>
      <c r="N58" s="311" t="s">
        <v>1813</v>
      </c>
    </row>
    <row r="59" spans="2:14" x14ac:dyDescent="0.35">
      <c r="B59" s="311" t="s">
        <v>1489</v>
      </c>
      <c r="C59" s="311" t="s">
        <v>1867</v>
      </c>
      <c r="D59" s="311">
        <v>83902</v>
      </c>
      <c r="L59" s="597" t="s">
        <v>2753</v>
      </c>
      <c r="M59" s="311">
        <v>51311</v>
      </c>
      <c r="N59" s="311" t="s">
        <v>1814</v>
      </c>
    </row>
    <row r="60" spans="2:14" x14ac:dyDescent="0.35">
      <c r="B60" s="311" t="s">
        <v>1515</v>
      </c>
      <c r="C60" s="311" t="s">
        <v>1868</v>
      </c>
      <c r="D60" s="311">
        <v>80201</v>
      </c>
      <c r="L60" s="597" t="s">
        <v>2754</v>
      </c>
      <c r="M60" s="311">
        <v>51321</v>
      </c>
      <c r="N60" s="311" t="s">
        <v>1815</v>
      </c>
    </row>
    <row r="61" spans="2:14" x14ac:dyDescent="0.35">
      <c r="B61" s="311" t="s">
        <v>1516</v>
      </c>
      <c r="C61" s="311" t="s">
        <v>1869</v>
      </c>
      <c r="D61" s="311">
        <v>82001</v>
      </c>
      <c r="L61" s="597" t="s">
        <v>2755</v>
      </c>
      <c r="M61" s="311">
        <v>51331</v>
      </c>
      <c r="N61" s="311" t="s">
        <v>1816</v>
      </c>
    </row>
    <row r="62" spans="2:14" x14ac:dyDescent="0.35">
      <c r="B62" s="311" t="s">
        <v>1517</v>
      </c>
      <c r="C62" s="311" t="s">
        <v>1870</v>
      </c>
      <c r="D62" s="311">
        <v>83801</v>
      </c>
      <c r="L62" s="597" t="s">
        <v>2756</v>
      </c>
      <c r="M62" s="311">
        <v>51411</v>
      </c>
      <c r="N62" s="311" t="s">
        <v>1817</v>
      </c>
    </row>
    <row r="63" spans="2:14" x14ac:dyDescent="0.35">
      <c r="B63" s="311" t="s">
        <v>1518</v>
      </c>
      <c r="C63" s="311" t="s">
        <v>1871</v>
      </c>
      <c r="D63" s="311">
        <v>80202</v>
      </c>
      <c r="L63" s="597" t="s">
        <v>2757</v>
      </c>
      <c r="M63" s="311">
        <v>51421</v>
      </c>
      <c r="N63" s="311" t="s">
        <v>1818</v>
      </c>
    </row>
    <row r="64" spans="2:14" x14ac:dyDescent="0.35">
      <c r="B64" s="311" t="s">
        <v>1519</v>
      </c>
      <c r="C64" s="311" t="s">
        <v>1872</v>
      </c>
      <c r="D64" s="311">
        <v>82002</v>
      </c>
      <c r="L64" s="597" t="s">
        <v>2758</v>
      </c>
      <c r="M64" s="311">
        <v>51431</v>
      </c>
      <c r="N64" s="311" t="s">
        <v>1819</v>
      </c>
    </row>
    <row r="65" spans="2:14" x14ac:dyDescent="0.35">
      <c r="B65" s="311" t="s">
        <v>1520</v>
      </c>
      <c r="C65" s="311" t="s">
        <v>1873</v>
      </c>
      <c r="D65" s="311">
        <v>83802</v>
      </c>
      <c r="L65" s="597" t="s">
        <v>2759</v>
      </c>
      <c r="M65" s="311">
        <v>51511</v>
      </c>
      <c r="N65" s="311" t="s">
        <v>1820</v>
      </c>
    </row>
    <row r="66" spans="2:14" x14ac:dyDescent="0.35">
      <c r="B66" s="311" t="s">
        <v>1521</v>
      </c>
      <c r="C66" s="311" t="s">
        <v>1874</v>
      </c>
      <c r="D66" s="311">
        <v>80401</v>
      </c>
      <c r="L66" s="597" t="s">
        <v>2760</v>
      </c>
      <c r="M66" s="311">
        <v>52111</v>
      </c>
      <c r="N66" s="311" t="s">
        <v>1821</v>
      </c>
    </row>
    <row r="67" spans="2:14" x14ac:dyDescent="0.35">
      <c r="B67" s="311" t="s">
        <v>1522</v>
      </c>
      <c r="C67" s="311" t="s">
        <v>1875</v>
      </c>
      <c r="D67" s="311">
        <v>82201</v>
      </c>
      <c r="L67" s="597" t="s">
        <v>2761</v>
      </c>
      <c r="M67" s="311">
        <v>52211</v>
      </c>
      <c r="N67" s="311" t="s">
        <v>1822</v>
      </c>
    </row>
    <row r="68" spans="2:14" x14ac:dyDescent="0.35">
      <c r="B68" s="311" t="s">
        <v>1523</v>
      </c>
      <c r="C68" s="311" t="s">
        <v>1876</v>
      </c>
      <c r="D68" s="311">
        <v>84001</v>
      </c>
      <c r="L68" s="597" t="s">
        <v>2762</v>
      </c>
      <c r="M68" s="311">
        <v>52221</v>
      </c>
      <c r="N68" s="311" t="s">
        <v>1823</v>
      </c>
    </row>
    <row r="69" spans="2:14" x14ac:dyDescent="0.35">
      <c r="B69" s="311" t="s">
        <v>1524</v>
      </c>
      <c r="C69" s="311" t="s">
        <v>1877</v>
      </c>
      <c r="D69" s="311">
        <v>80402</v>
      </c>
      <c r="L69" s="597" t="s">
        <v>2763</v>
      </c>
      <c r="M69" s="311">
        <v>52311</v>
      </c>
      <c r="N69" s="311" t="s">
        <v>1824</v>
      </c>
    </row>
    <row r="70" spans="2:14" x14ac:dyDescent="0.35">
      <c r="B70" s="311" t="s">
        <v>1525</v>
      </c>
      <c r="C70" s="311" t="s">
        <v>1878</v>
      </c>
      <c r="D70" s="311">
        <v>82202</v>
      </c>
      <c r="L70" s="597" t="s">
        <v>2764</v>
      </c>
      <c r="M70" s="311">
        <v>52321</v>
      </c>
      <c r="N70" s="311" t="s">
        <v>1825</v>
      </c>
    </row>
    <row r="71" spans="2:14" x14ac:dyDescent="0.35">
      <c r="B71" s="311" t="s">
        <v>1526</v>
      </c>
      <c r="C71" s="311" t="s">
        <v>1879</v>
      </c>
      <c r="D71" s="311">
        <v>84002</v>
      </c>
      <c r="L71" s="597" t="s">
        <v>2765</v>
      </c>
      <c r="M71" s="311">
        <v>52331</v>
      </c>
      <c r="N71" s="311" t="s">
        <v>1826</v>
      </c>
    </row>
    <row r="72" spans="2:14" x14ac:dyDescent="0.35">
      <c r="B72" s="311" t="s">
        <v>1250</v>
      </c>
      <c r="C72" s="311" t="s">
        <v>1880</v>
      </c>
      <c r="D72" s="311">
        <v>80501</v>
      </c>
      <c r="L72" s="597" t="s">
        <v>2766</v>
      </c>
      <c r="M72" s="311">
        <v>52411</v>
      </c>
      <c r="N72" s="311" t="s">
        <v>1827</v>
      </c>
    </row>
    <row r="73" spans="2:14" x14ac:dyDescent="0.35">
      <c r="B73" s="311" t="s">
        <v>1251</v>
      </c>
      <c r="C73" s="311" t="s">
        <v>1881</v>
      </c>
      <c r="D73" s="311">
        <v>82301</v>
      </c>
      <c r="L73" s="597" t="s">
        <v>2767</v>
      </c>
      <c r="M73" s="311">
        <v>52421</v>
      </c>
      <c r="N73" s="311" t="s">
        <v>1828</v>
      </c>
    </row>
    <row r="74" spans="2:14" x14ac:dyDescent="0.35">
      <c r="B74" s="311" t="s">
        <v>1252</v>
      </c>
      <c r="C74" s="311" t="s">
        <v>1882</v>
      </c>
      <c r="D74" s="311">
        <v>84101</v>
      </c>
      <c r="L74" s="597" t="s">
        <v>2768</v>
      </c>
      <c r="M74" s="311">
        <v>52431</v>
      </c>
      <c r="N74" s="311" t="s">
        <v>1829</v>
      </c>
    </row>
    <row r="75" spans="2:14" x14ac:dyDescent="0.35">
      <c r="B75" s="311" t="s">
        <v>1329</v>
      </c>
      <c r="C75" s="311" t="s">
        <v>1883</v>
      </c>
      <c r="D75" s="311">
        <v>80502</v>
      </c>
      <c r="L75" s="597" t="s">
        <v>2769</v>
      </c>
      <c r="M75" s="311">
        <v>52511</v>
      </c>
      <c r="N75" s="311" t="s">
        <v>1830</v>
      </c>
    </row>
    <row r="76" spans="2:14" x14ac:dyDescent="0.35">
      <c r="B76" s="311" t="s">
        <v>1330</v>
      </c>
      <c r="C76" s="311" t="s">
        <v>1884</v>
      </c>
      <c r="D76" s="311">
        <v>82302</v>
      </c>
      <c r="L76" s="597" t="s">
        <v>2770</v>
      </c>
      <c r="M76" s="311">
        <v>53111</v>
      </c>
      <c r="N76" s="311" t="s">
        <v>1832</v>
      </c>
    </row>
    <row r="77" spans="2:14" x14ac:dyDescent="0.35">
      <c r="B77" s="311" t="s">
        <v>1331</v>
      </c>
      <c r="C77" s="311" t="s">
        <v>1885</v>
      </c>
      <c r="D77" s="311">
        <v>84102</v>
      </c>
      <c r="L77" s="597" t="s">
        <v>2771</v>
      </c>
      <c r="M77" s="311">
        <v>53211</v>
      </c>
      <c r="N77" s="311" t="s">
        <v>1831</v>
      </c>
    </row>
    <row r="78" spans="2:14" x14ac:dyDescent="0.35">
      <c r="B78" s="311" t="s">
        <v>1490</v>
      </c>
      <c r="C78" s="311" t="s">
        <v>1886</v>
      </c>
      <c r="D78" s="311">
        <v>80503</v>
      </c>
      <c r="L78" s="597" t="s">
        <v>2772</v>
      </c>
      <c r="M78" s="311">
        <v>53221</v>
      </c>
      <c r="N78" s="311" t="s">
        <v>1833</v>
      </c>
    </row>
    <row r="79" spans="2:14" x14ac:dyDescent="0.35">
      <c r="B79" s="311" t="s">
        <v>1491</v>
      </c>
      <c r="C79" s="311" t="s">
        <v>1887</v>
      </c>
      <c r="D79" s="311">
        <v>82303</v>
      </c>
      <c r="L79" s="597" t="s">
        <v>2773</v>
      </c>
      <c r="M79" s="311">
        <v>53311</v>
      </c>
      <c r="N79" s="311" t="s">
        <v>1834</v>
      </c>
    </row>
    <row r="80" spans="2:14" x14ac:dyDescent="0.35">
      <c r="B80" s="311" t="s">
        <v>1492</v>
      </c>
      <c r="C80" s="311" t="s">
        <v>1888</v>
      </c>
      <c r="D80" s="311">
        <v>84103</v>
      </c>
      <c r="L80" s="597" t="s">
        <v>2774</v>
      </c>
      <c r="M80" s="311">
        <v>53321</v>
      </c>
      <c r="N80" s="311" t="s">
        <v>1835</v>
      </c>
    </row>
    <row r="81" spans="2:14" x14ac:dyDescent="0.35">
      <c r="B81" s="311" t="s">
        <v>1253</v>
      </c>
      <c r="C81" s="311" t="s">
        <v>1889</v>
      </c>
      <c r="D81" s="311">
        <v>80601</v>
      </c>
      <c r="L81" s="597" t="s">
        <v>2775</v>
      </c>
      <c r="M81" s="311">
        <v>53331</v>
      </c>
      <c r="N81" s="311" t="s">
        <v>1836</v>
      </c>
    </row>
    <row r="82" spans="2:14" x14ac:dyDescent="0.35">
      <c r="B82" s="311" t="s">
        <v>1254</v>
      </c>
      <c r="C82" s="311" t="s">
        <v>1890</v>
      </c>
      <c r="D82" s="311">
        <v>82401</v>
      </c>
      <c r="L82" s="597" t="s">
        <v>2776</v>
      </c>
      <c r="M82" s="311">
        <v>53411</v>
      </c>
      <c r="N82" s="311" t="s">
        <v>1837</v>
      </c>
    </row>
    <row r="83" spans="2:14" x14ac:dyDescent="0.35">
      <c r="B83" s="311" t="s">
        <v>1255</v>
      </c>
      <c r="C83" s="311" t="s">
        <v>1891</v>
      </c>
      <c r="D83" s="311">
        <v>84201</v>
      </c>
      <c r="L83" s="597" t="s">
        <v>2777</v>
      </c>
      <c r="M83" s="311">
        <v>53421</v>
      </c>
      <c r="N83" s="311" t="s">
        <v>1838</v>
      </c>
    </row>
    <row r="84" spans="2:14" x14ac:dyDescent="0.35">
      <c r="B84" s="311" t="s">
        <v>1332</v>
      </c>
      <c r="C84" s="311" t="s">
        <v>1892</v>
      </c>
      <c r="D84" s="311">
        <v>80602</v>
      </c>
      <c r="L84" s="597" t="s">
        <v>2778</v>
      </c>
      <c r="M84" s="311">
        <v>53431</v>
      </c>
      <c r="N84" s="311" t="s">
        <v>1839</v>
      </c>
    </row>
    <row r="85" spans="2:14" x14ac:dyDescent="0.35">
      <c r="B85" s="311" t="s">
        <v>1333</v>
      </c>
      <c r="C85" s="311" t="s">
        <v>1893</v>
      </c>
      <c r="D85" s="311">
        <v>82402</v>
      </c>
      <c r="L85" s="597" t="s">
        <v>2779</v>
      </c>
      <c r="M85" s="311">
        <v>53511</v>
      </c>
      <c r="N85" s="311" t="s">
        <v>1840</v>
      </c>
    </row>
    <row r="86" spans="2:14" x14ac:dyDescent="0.35">
      <c r="B86" s="311" t="s">
        <v>1334</v>
      </c>
      <c r="C86" s="311" t="s">
        <v>1894</v>
      </c>
      <c r="D86" s="311">
        <v>84202</v>
      </c>
    </row>
    <row r="87" spans="2:14" x14ac:dyDescent="0.35">
      <c r="B87" s="311" t="s">
        <v>1493</v>
      </c>
      <c r="C87" s="311" t="s">
        <v>1895</v>
      </c>
      <c r="D87" s="311">
        <v>80603</v>
      </c>
      <c r="L87" s="311" t="s">
        <v>1514</v>
      </c>
      <c r="M87" s="311" t="s">
        <v>1552</v>
      </c>
      <c r="N87" s="601" t="s">
        <v>2876</v>
      </c>
    </row>
    <row r="88" spans="2:14" x14ac:dyDescent="0.35">
      <c r="B88" s="311" t="s">
        <v>1494</v>
      </c>
      <c r="C88" s="311" t="s">
        <v>1896</v>
      </c>
      <c r="D88" s="311">
        <v>82403</v>
      </c>
      <c r="L88" s="311" t="s">
        <v>1244</v>
      </c>
      <c r="M88" s="311">
        <v>80101</v>
      </c>
      <c r="N88" s="311" t="s">
        <v>2803</v>
      </c>
    </row>
    <row r="89" spans="2:14" x14ac:dyDescent="0.35">
      <c r="B89" s="311" t="s">
        <v>1495</v>
      </c>
      <c r="C89" s="311" t="s">
        <v>1897</v>
      </c>
      <c r="D89" s="311">
        <v>84203</v>
      </c>
      <c r="L89" s="311" t="s">
        <v>1245</v>
      </c>
      <c r="M89" s="311">
        <v>81901</v>
      </c>
      <c r="N89" s="311" t="s">
        <v>2821</v>
      </c>
    </row>
    <row r="90" spans="2:14" x14ac:dyDescent="0.35">
      <c r="B90" s="311" t="s">
        <v>1256</v>
      </c>
      <c r="C90" s="311" t="s">
        <v>1898</v>
      </c>
      <c r="D90" s="311">
        <v>80701</v>
      </c>
      <c r="L90" s="311" t="s">
        <v>1246</v>
      </c>
      <c r="M90" s="311">
        <v>83701</v>
      </c>
      <c r="N90" s="311" t="s">
        <v>2839</v>
      </c>
    </row>
    <row r="91" spans="2:14" x14ac:dyDescent="0.35">
      <c r="B91" s="311" t="s">
        <v>1257</v>
      </c>
      <c r="C91" s="311" t="s">
        <v>1899</v>
      </c>
      <c r="D91" s="311">
        <v>82501</v>
      </c>
      <c r="L91" s="311" t="s">
        <v>1484</v>
      </c>
      <c r="M91" s="311">
        <v>80102</v>
      </c>
      <c r="N91" s="311" t="s">
        <v>2803</v>
      </c>
    </row>
    <row r="92" spans="2:14" x14ac:dyDescent="0.35">
      <c r="B92" s="311" t="s">
        <v>1258</v>
      </c>
      <c r="C92" s="311" t="s">
        <v>1900</v>
      </c>
      <c r="D92" s="311">
        <v>84301</v>
      </c>
      <c r="L92" s="311" t="s">
        <v>1485</v>
      </c>
      <c r="M92" s="311">
        <v>81902</v>
      </c>
      <c r="N92" s="311" t="s">
        <v>2821</v>
      </c>
    </row>
    <row r="93" spans="2:14" x14ac:dyDescent="0.35">
      <c r="B93" s="311" t="s">
        <v>1335</v>
      </c>
      <c r="C93" s="311" t="s">
        <v>1901</v>
      </c>
      <c r="D93" s="311">
        <v>80702</v>
      </c>
      <c r="L93" s="311" t="s">
        <v>1486</v>
      </c>
      <c r="M93" s="311">
        <v>83702</v>
      </c>
      <c r="N93" s="311" t="s">
        <v>2839</v>
      </c>
    </row>
    <row r="94" spans="2:14" x14ac:dyDescent="0.35">
      <c r="B94" s="311" t="s">
        <v>1336</v>
      </c>
      <c r="C94" s="311" t="s">
        <v>1902</v>
      </c>
      <c r="D94" s="311">
        <v>82502</v>
      </c>
      <c r="L94" s="311" t="s">
        <v>1247</v>
      </c>
      <c r="M94" s="311">
        <v>80301</v>
      </c>
      <c r="N94" s="311" t="s">
        <v>2805</v>
      </c>
    </row>
    <row r="95" spans="2:14" x14ac:dyDescent="0.35">
      <c r="B95" s="311" t="s">
        <v>1337</v>
      </c>
      <c r="C95" s="311" t="s">
        <v>1903</v>
      </c>
      <c r="D95" s="311">
        <v>84302</v>
      </c>
      <c r="L95" s="311" t="s">
        <v>1248</v>
      </c>
      <c r="M95" s="311">
        <v>82101</v>
      </c>
      <c r="N95" s="311" t="s">
        <v>2823</v>
      </c>
    </row>
    <row r="96" spans="2:14" x14ac:dyDescent="0.35">
      <c r="B96" s="311" t="s">
        <v>1496</v>
      </c>
      <c r="C96" s="311" t="s">
        <v>1904</v>
      </c>
      <c r="D96" s="311">
        <v>80703</v>
      </c>
      <c r="L96" s="311" t="s">
        <v>1249</v>
      </c>
      <c r="M96" s="311">
        <v>83901</v>
      </c>
      <c r="N96" s="311" t="s">
        <v>2841</v>
      </c>
    </row>
    <row r="97" spans="2:14" x14ac:dyDescent="0.35">
      <c r="B97" s="311" t="s">
        <v>1497</v>
      </c>
      <c r="C97" s="311" t="s">
        <v>1905</v>
      </c>
      <c r="D97" s="311">
        <v>82503</v>
      </c>
      <c r="L97" s="311" t="s">
        <v>1487</v>
      </c>
      <c r="M97" s="311">
        <v>80302</v>
      </c>
      <c r="N97" s="311" t="s">
        <v>2805</v>
      </c>
    </row>
    <row r="98" spans="2:14" x14ac:dyDescent="0.35">
      <c r="B98" s="311" t="s">
        <v>1498</v>
      </c>
      <c r="C98" s="311" t="s">
        <v>1906</v>
      </c>
      <c r="D98" s="311">
        <v>84303</v>
      </c>
      <c r="L98" s="311" t="s">
        <v>1488</v>
      </c>
      <c r="M98" s="311">
        <v>82102</v>
      </c>
      <c r="N98" s="311" t="s">
        <v>2823</v>
      </c>
    </row>
    <row r="99" spans="2:14" x14ac:dyDescent="0.35">
      <c r="B99" s="311" t="s">
        <v>1259</v>
      </c>
      <c r="C99" s="311" t="s">
        <v>1907</v>
      </c>
      <c r="D99" s="311">
        <v>80801</v>
      </c>
      <c r="L99" s="311" t="s">
        <v>1489</v>
      </c>
      <c r="M99" s="311">
        <v>83902</v>
      </c>
      <c r="N99" s="311" t="s">
        <v>2841</v>
      </c>
    </row>
    <row r="100" spans="2:14" x14ac:dyDescent="0.35">
      <c r="B100" s="311" t="s">
        <v>1260</v>
      </c>
      <c r="C100" s="311" t="s">
        <v>1908</v>
      </c>
      <c r="D100" s="311">
        <v>82601</v>
      </c>
      <c r="L100" s="311" t="s">
        <v>1515</v>
      </c>
      <c r="M100" s="311">
        <v>80201</v>
      </c>
      <c r="N100" s="311" t="s">
        <v>2804</v>
      </c>
    </row>
    <row r="101" spans="2:14" x14ac:dyDescent="0.35">
      <c r="B101" s="311" t="s">
        <v>1261</v>
      </c>
      <c r="C101" s="311" t="s">
        <v>1909</v>
      </c>
      <c r="D101" s="311">
        <v>84401</v>
      </c>
      <c r="L101" s="311" t="s">
        <v>1516</v>
      </c>
      <c r="M101" s="311">
        <v>82001</v>
      </c>
      <c r="N101" s="311" t="s">
        <v>2822</v>
      </c>
    </row>
    <row r="102" spans="2:14" x14ac:dyDescent="0.35">
      <c r="B102" s="311" t="s">
        <v>1338</v>
      </c>
      <c r="C102" s="311" t="s">
        <v>1910</v>
      </c>
      <c r="D102" s="311">
        <v>80802</v>
      </c>
      <c r="L102" s="311" t="s">
        <v>1517</v>
      </c>
      <c r="M102" s="311">
        <v>83801</v>
      </c>
      <c r="N102" s="311" t="s">
        <v>2840</v>
      </c>
    </row>
    <row r="103" spans="2:14" x14ac:dyDescent="0.35">
      <c r="B103" s="311" t="s">
        <v>1339</v>
      </c>
      <c r="C103" s="311" t="s">
        <v>1911</v>
      </c>
      <c r="D103" s="311">
        <v>82602</v>
      </c>
      <c r="L103" s="311" t="s">
        <v>1518</v>
      </c>
      <c r="M103" s="311">
        <v>80202</v>
      </c>
      <c r="N103" s="311" t="s">
        <v>2804</v>
      </c>
    </row>
    <row r="104" spans="2:14" x14ac:dyDescent="0.35">
      <c r="B104" s="311" t="s">
        <v>1340</v>
      </c>
      <c r="C104" s="311" t="s">
        <v>1912</v>
      </c>
      <c r="D104" s="311">
        <v>84402</v>
      </c>
      <c r="L104" s="311" t="s">
        <v>1519</v>
      </c>
      <c r="M104" s="311">
        <v>82002</v>
      </c>
      <c r="N104" s="311" t="s">
        <v>2822</v>
      </c>
    </row>
    <row r="105" spans="2:14" x14ac:dyDescent="0.35">
      <c r="B105" s="311" t="s">
        <v>1499</v>
      </c>
      <c r="C105" s="311" t="s">
        <v>1913</v>
      </c>
      <c r="D105" s="311">
        <v>80803</v>
      </c>
      <c r="L105" s="311" t="s">
        <v>1520</v>
      </c>
      <c r="M105" s="311">
        <v>83802</v>
      </c>
      <c r="N105" s="311" t="s">
        <v>2840</v>
      </c>
    </row>
    <row r="106" spans="2:14" x14ac:dyDescent="0.35">
      <c r="B106" s="311" t="s">
        <v>1500</v>
      </c>
      <c r="C106" s="311" t="s">
        <v>1914</v>
      </c>
      <c r="D106" s="311">
        <v>82603</v>
      </c>
      <c r="L106" s="311" t="s">
        <v>1521</v>
      </c>
      <c r="M106" s="311">
        <v>80401</v>
      </c>
      <c r="N106" s="311" t="s">
        <v>2806</v>
      </c>
    </row>
    <row r="107" spans="2:14" x14ac:dyDescent="0.35">
      <c r="B107" s="311" t="s">
        <v>1501</v>
      </c>
      <c r="C107" s="311" t="s">
        <v>1915</v>
      </c>
      <c r="D107" s="311">
        <v>84403</v>
      </c>
      <c r="L107" s="311" t="s">
        <v>1522</v>
      </c>
      <c r="M107" s="311">
        <v>82201</v>
      </c>
      <c r="N107" s="311" t="s">
        <v>2824</v>
      </c>
    </row>
    <row r="108" spans="2:14" x14ac:dyDescent="0.35">
      <c r="B108" s="311" t="s">
        <v>1262</v>
      </c>
      <c r="C108" s="311" t="s">
        <v>1916</v>
      </c>
      <c r="D108" s="311">
        <v>80901</v>
      </c>
      <c r="L108" s="311" t="s">
        <v>1523</v>
      </c>
      <c r="M108" s="311">
        <v>84001</v>
      </c>
      <c r="N108" s="311" t="s">
        <v>2842</v>
      </c>
    </row>
    <row r="109" spans="2:14" x14ac:dyDescent="0.35">
      <c r="B109" s="311" t="s">
        <v>1263</v>
      </c>
      <c r="C109" s="311" t="s">
        <v>1917</v>
      </c>
      <c r="D109" s="311">
        <v>82701</v>
      </c>
      <c r="L109" s="311" t="s">
        <v>1524</v>
      </c>
      <c r="M109" s="311">
        <v>80402</v>
      </c>
      <c r="N109" s="311" t="s">
        <v>2806</v>
      </c>
    </row>
    <row r="110" spans="2:14" x14ac:dyDescent="0.35">
      <c r="B110" s="311" t="s">
        <v>1264</v>
      </c>
      <c r="C110" s="311" t="s">
        <v>1918</v>
      </c>
      <c r="D110" s="311">
        <v>84501</v>
      </c>
      <c r="L110" s="311" t="s">
        <v>1525</v>
      </c>
      <c r="M110" s="311">
        <v>82202</v>
      </c>
      <c r="N110" s="311" t="s">
        <v>2824</v>
      </c>
    </row>
    <row r="111" spans="2:14" x14ac:dyDescent="0.35">
      <c r="B111" s="311" t="s">
        <v>1342</v>
      </c>
      <c r="C111" s="311" t="s">
        <v>1919</v>
      </c>
      <c r="D111" s="311">
        <v>80902</v>
      </c>
      <c r="L111" s="311" t="s">
        <v>1526</v>
      </c>
      <c r="M111" s="311">
        <v>84002</v>
      </c>
      <c r="N111" s="311" t="s">
        <v>2842</v>
      </c>
    </row>
    <row r="112" spans="2:14" x14ac:dyDescent="0.35">
      <c r="B112" s="311" t="s">
        <v>1343</v>
      </c>
      <c r="C112" s="311" t="s">
        <v>1920</v>
      </c>
      <c r="D112" s="311">
        <v>82702</v>
      </c>
      <c r="L112" s="311" t="s">
        <v>1250</v>
      </c>
      <c r="M112" s="311">
        <v>80501</v>
      </c>
      <c r="N112" s="311" t="s">
        <v>2807</v>
      </c>
    </row>
    <row r="113" spans="2:14" x14ac:dyDescent="0.35">
      <c r="B113" s="311" t="s">
        <v>1344</v>
      </c>
      <c r="C113" s="311" t="s">
        <v>1921</v>
      </c>
      <c r="D113" s="311">
        <v>84502</v>
      </c>
      <c r="L113" s="311" t="s">
        <v>1251</v>
      </c>
      <c r="M113" s="311">
        <v>82301</v>
      </c>
      <c r="N113" s="311" t="s">
        <v>2825</v>
      </c>
    </row>
    <row r="114" spans="2:14" x14ac:dyDescent="0.35">
      <c r="B114" s="311" t="s">
        <v>1502</v>
      </c>
      <c r="C114" s="311" t="s">
        <v>1922</v>
      </c>
      <c r="D114" s="311">
        <v>80903</v>
      </c>
      <c r="L114" s="311" t="s">
        <v>1252</v>
      </c>
      <c r="M114" s="311">
        <v>84101</v>
      </c>
      <c r="N114" s="311" t="s">
        <v>2843</v>
      </c>
    </row>
    <row r="115" spans="2:14" x14ac:dyDescent="0.35">
      <c r="B115" s="311" t="s">
        <v>1503</v>
      </c>
      <c r="C115" s="311" t="s">
        <v>1923</v>
      </c>
      <c r="D115" s="311">
        <v>82703</v>
      </c>
      <c r="L115" s="311" t="s">
        <v>1329</v>
      </c>
      <c r="M115" s="311">
        <v>80502</v>
      </c>
      <c r="N115" s="311" t="s">
        <v>2807</v>
      </c>
    </row>
    <row r="116" spans="2:14" x14ac:dyDescent="0.35">
      <c r="B116" s="311" t="s">
        <v>1504</v>
      </c>
      <c r="C116" s="311" t="s">
        <v>1924</v>
      </c>
      <c r="D116" s="311">
        <v>84503</v>
      </c>
      <c r="L116" s="311" t="s">
        <v>1330</v>
      </c>
      <c r="M116" s="311">
        <v>82302</v>
      </c>
      <c r="N116" s="311" t="s">
        <v>2825</v>
      </c>
    </row>
    <row r="117" spans="2:14" x14ac:dyDescent="0.35">
      <c r="B117" s="311" t="s">
        <v>1265</v>
      </c>
      <c r="C117" s="311" t="s">
        <v>1925</v>
      </c>
      <c r="D117" s="311">
        <v>81001</v>
      </c>
      <c r="L117" s="311" t="s">
        <v>1331</v>
      </c>
      <c r="M117" s="311">
        <v>84102</v>
      </c>
      <c r="N117" s="311" t="s">
        <v>2843</v>
      </c>
    </row>
    <row r="118" spans="2:14" x14ac:dyDescent="0.35">
      <c r="B118" s="311" t="s">
        <v>1266</v>
      </c>
      <c r="C118" s="311" t="s">
        <v>1926</v>
      </c>
      <c r="D118" s="311">
        <v>82801</v>
      </c>
      <c r="L118" s="311" t="s">
        <v>1490</v>
      </c>
      <c r="M118" s="311">
        <v>80503</v>
      </c>
      <c r="N118" s="311" t="s">
        <v>2807</v>
      </c>
    </row>
    <row r="119" spans="2:14" x14ac:dyDescent="0.35">
      <c r="B119" s="311" t="s">
        <v>1267</v>
      </c>
      <c r="C119" s="311" t="s">
        <v>1927</v>
      </c>
      <c r="D119" s="311">
        <v>84601</v>
      </c>
      <c r="L119" s="311" t="s">
        <v>1491</v>
      </c>
      <c r="M119" s="311">
        <v>82303</v>
      </c>
      <c r="N119" s="311" t="s">
        <v>2825</v>
      </c>
    </row>
    <row r="120" spans="2:14" x14ac:dyDescent="0.35">
      <c r="B120" s="311" t="s">
        <v>1345</v>
      </c>
      <c r="C120" s="311" t="s">
        <v>1928</v>
      </c>
      <c r="D120" s="311">
        <v>81002</v>
      </c>
      <c r="L120" s="311" t="s">
        <v>1492</v>
      </c>
      <c r="M120" s="311">
        <v>84103</v>
      </c>
      <c r="N120" s="311" t="s">
        <v>2843</v>
      </c>
    </row>
    <row r="121" spans="2:14" x14ac:dyDescent="0.35">
      <c r="B121" s="311" t="s">
        <v>1346</v>
      </c>
      <c r="C121" s="311" t="s">
        <v>1929</v>
      </c>
      <c r="D121" s="311">
        <v>82802</v>
      </c>
      <c r="L121" s="311" t="s">
        <v>1253</v>
      </c>
      <c r="M121" s="311">
        <v>80601</v>
      </c>
      <c r="N121" s="311" t="s">
        <v>2808</v>
      </c>
    </row>
    <row r="122" spans="2:14" x14ac:dyDescent="0.35">
      <c r="B122" s="311" t="s">
        <v>1347</v>
      </c>
      <c r="C122" s="311" t="s">
        <v>1930</v>
      </c>
      <c r="D122" s="311">
        <v>84602</v>
      </c>
      <c r="L122" s="311" t="s">
        <v>1254</v>
      </c>
      <c r="M122" s="311">
        <v>82401</v>
      </c>
      <c r="N122" s="311" t="s">
        <v>2826</v>
      </c>
    </row>
    <row r="123" spans="2:14" x14ac:dyDescent="0.35">
      <c r="B123" s="311" t="s">
        <v>1505</v>
      </c>
      <c r="C123" s="311" t="s">
        <v>1931</v>
      </c>
      <c r="D123" s="311">
        <v>81003</v>
      </c>
      <c r="L123" s="311" t="s">
        <v>1255</v>
      </c>
      <c r="M123" s="311">
        <v>84201</v>
      </c>
      <c r="N123" s="311" t="s">
        <v>2844</v>
      </c>
    </row>
    <row r="124" spans="2:14" x14ac:dyDescent="0.35">
      <c r="B124" s="311" t="s">
        <v>1506</v>
      </c>
      <c r="C124" s="311" t="s">
        <v>1932</v>
      </c>
      <c r="D124" s="311">
        <v>82803</v>
      </c>
      <c r="L124" s="311" t="s">
        <v>1332</v>
      </c>
      <c r="M124" s="311">
        <v>80602</v>
      </c>
      <c r="N124" s="311" t="s">
        <v>2808</v>
      </c>
    </row>
    <row r="125" spans="2:14" x14ac:dyDescent="0.35">
      <c r="B125" s="311" t="s">
        <v>1507</v>
      </c>
      <c r="C125" s="311" t="s">
        <v>1933</v>
      </c>
      <c r="D125" s="311">
        <v>84603</v>
      </c>
      <c r="L125" s="311" t="s">
        <v>1333</v>
      </c>
      <c r="M125" s="311">
        <v>82402</v>
      </c>
      <c r="N125" s="311" t="s">
        <v>2826</v>
      </c>
    </row>
    <row r="126" spans="2:14" x14ac:dyDescent="0.35">
      <c r="B126" s="311" t="s">
        <v>1268</v>
      </c>
      <c r="C126" s="311" t="s">
        <v>1934</v>
      </c>
      <c r="D126" s="311">
        <v>81101</v>
      </c>
      <c r="L126" s="311" t="s">
        <v>1334</v>
      </c>
      <c r="M126" s="311">
        <v>84202</v>
      </c>
      <c r="N126" s="311" t="s">
        <v>2844</v>
      </c>
    </row>
    <row r="127" spans="2:14" x14ac:dyDescent="0.35">
      <c r="B127" s="311" t="s">
        <v>1269</v>
      </c>
      <c r="C127" s="311" t="s">
        <v>1935</v>
      </c>
      <c r="D127" s="311">
        <v>82901</v>
      </c>
      <c r="L127" s="311" t="s">
        <v>1493</v>
      </c>
      <c r="M127" s="311">
        <v>80603</v>
      </c>
      <c r="N127" s="311" t="s">
        <v>2808</v>
      </c>
    </row>
    <row r="128" spans="2:14" x14ac:dyDescent="0.35">
      <c r="B128" s="311" t="s">
        <v>1270</v>
      </c>
      <c r="C128" s="311" t="s">
        <v>1936</v>
      </c>
      <c r="D128" s="311">
        <v>84701</v>
      </c>
      <c r="L128" s="311" t="s">
        <v>1494</v>
      </c>
      <c r="M128" s="311">
        <v>82403</v>
      </c>
      <c r="N128" s="311" t="s">
        <v>2826</v>
      </c>
    </row>
    <row r="129" spans="2:14" x14ac:dyDescent="0.35">
      <c r="B129" s="311" t="s">
        <v>1348</v>
      </c>
      <c r="C129" s="311" t="s">
        <v>1937</v>
      </c>
      <c r="D129" s="311">
        <v>81102</v>
      </c>
      <c r="L129" s="311" t="s">
        <v>1495</v>
      </c>
      <c r="M129" s="311">
        <v>84203</v>
      </c>
      <c r="N129" s="311" t="s">
        <v>2844</v>
      </c>
    </row>
    <row r="130" spans="2:14" x14ac:dyDescent="0.35">
      <c r="B130" s="311" t="s">
        <v>1349</v>
      </c>
      <c r="C130" s="311" t="s">
        <v>1938</v>
      </c>
      <c r="D130" s="311">
        <v>82902</v>
      </c>
      <c r="L130" s="311" t="s">
        <v>1256</v>
      </c>
      <c r="M130" s="311">
        <v>80701</v>
      </c>
      <c r="N130" s="311" t="s">
        <v>2809</v>
      </c>
    </row>
    <row r="131" spans="2:14" x14ac:dyDescent="0.35">
      <c r="B131" s="311" t="s">
        <v>1350</v>
      </c>
      <c r="C131" s="311" t="s">
        <v>1939</v>
      </c>
      <c r="D131" s="311">
        <v>84702</v>
      </c>
      <c r="L131" s="311" t="s">
        <v>1257</v>
      </c>
      <c r="M131" s="311">
        <v>82501</v>
      </c>
      <c r="N131" s="311" t="s">
        <v>2827</v>
      </c>
    </row>
    <row r="132" spans="2:14" x14ac:dyDescent="0.35">
      <c r="B132" s="311" t="s">
        <v>1508</v>
      </c>
      <c r="C132" s="311" t="s">
        <v>1940</v>
      </c>
      <c r="D132" s="311">
        <v>81103</v>
      </c>
      <c r="L132" s="311" t="s">
        <v>1258</v>
      </c>
      <c r="M132" s="311">
        <v>84301</v>
      </c>
      <c r="N132" s="311" t="s">
        <v>2845</v>
      </c>
    </row>
    <row r="133" spans="2:14" x14ac:dyDescent="0.35">
      <c r="B133" s="311" t="s">
        <v>1509</v>
      </c>
      <c r="C133" s="311" t="s">
        <v>1941</v>
      </c>
      <c r="D133" s="311">
        <v>82903</v>
      </c>
      <c r="L133" s="311" t="s">
        <v>1335</v>
      </c>
      <c r="M133" s="311">
        <v>80702</v>
      </c>
      <c r="N133" s="311" t="s">
        <v>2809</v>
      </c>
    </row>
    <row r="134" spans="2:14" x14ac:dyDescent="0.35">
      <c r="B134" s="311" t="s">
        <v>1510</v>
      </c>
      <c r="C134" s="311" t="s">
        <v>1942</v>
      </c>
      <c r="D134" s="311">
        <v>84703</v>
      </c>
      <c r="L134" s="311" t="s">
        <v>1336</v>
      </c>
      <c r="M134" s="311">
        <v>82502</v>
      </c>
      <c r="N134" s="311" t="s">
        <v>2827</v>
      </c>
    </row>
    <row r="135" spans="2:14" x14ac:dyDescent="0.35">
      <c r="B135" s="311" t="s">
        <v>1271</v>
      </c>
      <c r="C135" s="311" t="s">
        <v>1943</v>
      </c>
      <c r="D135" s="311">
        <v>81201</v>
      </c>
      <c r="L135" s="311" t="s">
        <v>1337</v>
      </c>
      <c r="M135" s="311">
        <v>84302</v>
      </c>
      <c r="N135" s="311" t="s">
        <v>2845</v>
      </c>
    </row>
    <row r="136" spans="2:14" x14ac:dyDescent="0.35">
      <c r="B136" s="311" t="s">
        <v>1272</v>
      </c>
      <c r="C136" s="311" t="s">
        <v>1944</v>
      </c>
      <c r="D136" s="311">
        <v>83001</v>
      </c>
      <c r="L136" s="311" t="s">
        <v>1496</v>
      </c>
      <c r="M136" s="311">
        <v>80703</v>
      </c>
      <c r="N136" s="311" t="s">
        <v>2809</v>
      </c>
    </row>
    <row r="137" spans="2:14" x14ac:dyDescent="0.35">
      <c r="B137" s="311" t="s">
        <v>1273</v>
      </c>
      <c r="C137" s="311" t="s">
        <v>1945</v>
      </c>
      <c r="D137" s="311">
        <v>84801</v>
      </c>
      <c r="L137" s="311" t="s">
        <v>1497</v>
      </c>
      <c r="M137" s="311">
        <v>82503</v>
      </c>
      <c r="N137" s="311" t="s">
        <v>2827</v>
      </c>
    </row>
    <row r="138" spans="2:14" x14ac:dyDescent="0.35">
      <c r="B138" s="311" t="s">
        <v>1351</v>
      </c>
      <c r="C138" s="311" t="s">
        <v>1946</v>
      </c>
      <c r="D138" s="311">
        <v>81202</v>
      </c>
      <c r="L138" s="311" t="s">
        <v>1498</v>
      </c>
      <c r="M138" s="311">
        <v>84303</v>
      </c>
      <c r="N138" s="311" t="s">
        <v>2845</v>
      </c>
    </row>
    <row r="139" spans="2:14" x14ac:dyDescent="0.35">
      <c r="B139" s="311" t="s">
        <v>1352</v>
      </c>
      <c r="C139" s="311" t="s">
        <v>1947</v>
      </c>
      <c r="D139" s="311">
        <v>83002</v>
      </c>
      <c r="L139" s="311" t="s">
        <v>1259</v>
      </c>
      <c r="M139" s="311">
        <v>80801</v>
      </c>
      <c r="N139" s="311" t="s">
        <v>2810</v>
      </c>
    </row>
    <row r="140" spans="2:14" x14ac:dyDescent="0.35">
      <c r="B140" s="311" t="s">
        <v>1353</v>
      </c>
      <c r="C140" s="311" t="s">
        <v>1948</v>
      </c>
      <c r="D140" s="311">
        <v>84802</v>
      </c>
      <c r="L140" s="311" t="s">
        <v>1260</v>
      </c>
      <c r="M140" s="311">
        <v>82601</v>
      </c>
      <c r="N140" s="311" t="s">
        <v>2828</v>
      </c>
    </row>
    <row r="141" spans="2:14" x14ac:dyDescent="0.35">
      <c r="B141" s="311" t="s">
        <v>1511</v>
      </c>
      <c r="C141" s="311" t="s">
        <v>1949</v>
      </c>
      <c r="D141" s="311">
        <v>81203</v>
      </c>
      <c r="L141" s="311" t="s">
        <v>1261</v>
      </c>
      <c r="M141" s="311">
        <v>84401</v>
      </c>
      <c r="N141" s="311" t="s">
        <v>2846</v>
      </c>
    </row>
    <row r="142" spans="2:14" x14ac:dyDescent="0.35">
      <c r="B142" s="311" t="s">
        <v>1512</v>
      </c>
      <c r="C142" s="311" t="s">
        <v>1950</v>
      </c>
      <c r="D142" s="311">
        <v>83003</v>
      </c>
      <c r="L142" s="311" t="s">
        <v>1338</v>
      </c>
      <c r="M142" s="311">
        <v>80802</v>
      </c>
      <c r="N142" s="311" t="s">
        <v>2810</v>
      </c>
    </row>
    <row r="143" spans="2:14" x14ac:dyDescent="0.35">
      <c r="B143" s="311" t="s">
        <v>1513</v>
      </c>
      <c r="C143" s="311" t="s">
        <v>1951</v>
      </c>
      <c r="D143" s="311">
        <v>84803</v>
      </c>
      <c r="L143" s="311" t="s">
        <v>1339</v>
      </c>
      <c r="M143" s="311">
        <v>82602</v>
      </c>
      <c r="N143" s="311" t="s">
        <v>2828</v>
      </c>
    </row>
    <row r="144" spans="2:14" x14ac:dyDescent="0.35">
      <c r="B144" s="311" t="s">
        <v>1274</v>
      </c>
      <c r="C144" s="311" t="s">
        <v>1952</v>
      </c>
      <c r="D144" s="311">
        <v>81301</v>
      </c>
      <c r="L144" s="311" t="s">
        <v>1340</v>
      </c>
      <c r="M144" s="311">
        <v>84402</v>
      </c>
      <c r="N144" s="311" t="s">
        <v>2846</v>
      </c>
    </row>
    <row r="145" spans="2:14" x14ac:dyDescent="0.35">
      <c r="B145" s="311" t="s">
        <v>1275</v>
      </c>
      <c r="C145" s="311" t="s">
        <v>1953</v>
      </c>
      <c r="D145" s="311">
        <v>83101</v>
      </c>
      <c r="L145" s="311" t="s">
        <v>1499</v>
      </c>
      <c r="M145" s="311">
        <v>80803</v>
      </c>
      <c r="N145" s="311" t="s">
        <v>2810</v>
      </c>
    </row>
    <row r="146" spans="2:14" x14ac:dyDescent="0.35">
      <c r="B146" s="311" t="s">
        <v>1276</v>
      </c>
      <c r="C146" s="311" t="s">
        <v>1954</v>
      </c>
      <c r="D146" s="311">
        <v>84901</v>
      </c>
      <c r="L146" s="311" t="s">
        <v>1500</v>
      </c>
      <c r="M146" s="311">
        <v>82603</v>
      </c>
      <c r="N146" s="311" t="s">
        <v>2828</v>
      </c>
    </row>
    <row r="147" spans="2:14" x14ac:dyDescent="0.35">
      <c r="B147" s="311" t="s">
        <v>1354</v>
      </c>
      <c r="C147" s="311" t="s">
        <v>1955</v>
      </c>
      <c r="D147" s="311">
        <v>81302</v>
      </c>
      <c r="L147" s="311" t="s">
        <v>1501</v>
      </c>
      <c r="M147" s="311">
        <v>84403</v>
      </c>
      <c r="N147" s="311" t="s">
        <v>2846</v>
      </c>
    </row>
    <row r="148" spans="2:14" x14ac:dyDescent="0.35">
      <c r="B148" s="311" t="s">
        <v>1355</v>
      </c>
      <c r="C148" s="311" t="s">
        <v>1956</v>
      </c>
      <c r="D148" s="311">
        <v>83102</v>
      </c>
      <c r="L148" s="311" t="s">
        <v>1262</v>
      </c>
      <c r="M148" s="311">
        <v>80901</v>
      </c>
      <c r="N148" s="311" t="s">
        <v>2811</v>
      </c>
    </row>
    <row r="149" spans="2:14" x14ac:dyDescent="0.35">
      <c r="B149" s="311" t="s">
        <v>1356</v>
      </c>
      <c r="C149" s="311" t="s">
        <v>1957</v>
      </c>
      <c r="D149" s="311">
        <v>84902</v>
      </c>
      <c r="L149" s="311" t="s">
        <v>1263</v>
      </c>
      <c r="M149" s="311">
        <v>82701</v>
      </c>
      <c r="N149" s="311" t="s">
        <v>2829</v>
      </c>
    </row>
    <row r="150" spans="2:14" x14ac:dyDescent="0.35">
      <c r="B150" s="311" t="s">
        <v>1527</v>
      </c>
      <c r="C150" s="311" t="s">
        <v>1958</v>
      </c>
      <c r="D150" s="311">
        <v>81303</v>
      </c>
      <c r="L150" s="311" t="s">
        <v>1264</v>
      </c>
      <c r="M150" s="311">
        <v>84501</v>
      </c>
      <c r="N150" s="311" t="s">
        <v>2847</v>
      </c>
    </row>
    <row r="151" spans="2:14" x14ac:dyDescent="0.35">
      <c r="B151" s="311" t="s">
        <v>1528</v>
      </c>
      <c r="C151" s="311" t="s">
        <v>1959</v>
      </c>
      <c r="D151" s="311">
        <v>83103</v>
      </c>
      <c r="L151" s="311" t="s">
        <v>1342</v>
      </c>
      <c r="M151" s="311">
        <v>80902</v>
      </c>
      <c r="N151" s="311" t="s">
        <v>2811</v>
      </c>
    </row>
    <row r="152" spans="2:14" x14ac:dyDescent="0.35">
      <c r="B152" s="311" t="s">
        <v>1529</v>
      </c>
      <c r="C152" s="311" t="s">
        <v>1960</v>
      </c>
      <c r="D152" s="311">
        <v>84903</v>
      </c>
      <c r="L152" s="311" t="s">
        <v>1343</v>
      </c>
      <c r="M152" s="311">
        <v>82702</v>
      </c>
      <c r="N152" s="311" t="s">
        <v>2829</v>
      </c>
    </row>
    <row r="153" spans="2:14" x14ac:dyDescent="0.35">
      <c r="B153" s="311" t="s">
        <v>1277</v>
      </c>
      <c r="C153" s="311" t="s">
        <v>1961</v>
      </c>
      <c r="D153" s="311">
        <v>81401</v>
      </c>
      <c r="L153" s="311" t="s">
        <v>1344</v>
      </c>
      <c r="M153" s="311">
        <v>84502</v>
      </c>
      <c r="N153" s="311" t="s">
        <v>2847</v>
      </c>
    </row>
    <row r="154" spans="2:14" x14ac:dyDescent="0.35">
      <c r="B154" s="311" t="s">
        <v>1278</v>
      </c>
      <c r="C154" s="311" t="s">
        <v>1962</v>
      </c>
      <c r="D154" s="311">
        <v>83201</v>
      </c>
      <c r="L154" s="311" t="s">
        <v>1502</v>
      </c>
      <c r="M154" s="311">
        <v>80903</v>
      </c>
      <c r="N154" s="311" t="s">
        <v>2811</v>
      </c>
    </row>
    <row r="155" spans="2:14" x14ac:dyDescent="0.35">
      <c r="B155" s="311" t="s">
        <v>1279</v>
      </c>
      <c r="C155" s="311" t="s">
        <v>1963</v>
      </c>
      <c r="D155" s="311">
        <v>85001</v>
      </c>
      <c r="L155" s="311" t="s">
        <v>1503</v>
      </c>
      <c r="M155" s="311">
        <v>82703</v>
      </c>
      <c r="N155" s="311" t="s">
        <v>2829</v>
      </c>
    </row>
    <row r="156" spans="2:14" x14ac:dyDescent="0.35">
      <c r="B156" s="311" t="s">
        <v>1357</v>
      </c>
      <c r="C156" s="311" t="s">
        <v>1964</v>
      </c>
      <c r="D156" s="311">
        <v>81402</v>
      </c>
      <c r="L156" s="311" t="s">
        <v>1504</v>
      </c>
      <c r="M156" s="311">
        <v>84503</v>
      </c>
      <c r="N156" s="311" t="s">
        <v>2847</v>
      </c>
    </row>
    <row r="157" spans="2:14" x14ac:dyDescent="0.35">
      <c r="B157" s="311" t="s">
        <v>1358</v>
      </c>
      <c r="C157" s="311" t="s">
        <v>1965</v>
      </c>
      <c r="D157" s="311">
        <v>83202</v>
      </c>
      <c r="L157" s="311" t="s">
        <v>1265</v>
      </c>
      <c r="M157" s="311">
        <v>81001</v>
      </c>
      <c r="N157" s="311" t="s">
        <v>2812</v>
      </c>
    </row>
    <row r="158" spans="2:14" x14ac:dyDescent="0.35">
      <c r="B158" s="311" t="s">
        <v>1359</v>
      </c>
      <c r="C158" s="311" t="s">
        <v>1966</v>
      </c>
      <c r="D158" s="311">
        <v>85002</v>
      </c>
      <c r="L158" s="311" t="s">
        <v>1266</v>
      </c>
      <c r="M158" s="311">
        <v>82801</v>
      </c>
      <c r="N158" s="311" t="s">
        <v>2830</v>
      </c>
    </row>
    <row r="159" spans="2:14" x14ac:dyDescent="0.35">
      <c r="B159" s="311" t="s">
        <v>1530</v>
      </c>
      <c r="C159" s="311" t="s">
        <v>1967</v>
      </c>
      <c r="D159" s="311">
        <v>81403</v>
      </c>
      <c r="L159" s="311" t="s">
        <v>1267</v>
      </c>
      <c r="M159" s="311">
        <v>84601</v>
      </c>
      <c r="N159" s="311" t="s">
        <v>2848</v>
      </c>
    </row>
    <row r="160" spans="2:14" x14ac:dyDescent="0.35">
      <c r="B160" s="311" t="s">
        <v>1531</v>
      </c>
      <c r="C160" s="311" t="s">
        <v>1968</v>
      </c>
      <c r="D160" s="311">
        <v>83203</v>
      </c>
      <c r="L160" s="311" t="s">
        <v>1345</v>
      </c>
      <c r="M160" s="311">
        <v>81002</v>
      </c>
      <c r="N160" s="311" t="s">
        <v>2812</v>
      </c>
    </row>
    <row r="161" spans="2:14" x14ac:dyDescent="0.35">
      <c r="B161" s="311" t="s">
        <v>1532</v>
      </c>
      <c r="C161" s="311" t="s">
        <v>1969</v>
      </c>
      <c r="D161" s="311">
        <v>85003</v>
      </c>
      <c r="L161" s="311" t="s">
        <v>1346</v>
      </c>
      <c r="M161" s="311">
        <v>82802</v>
      </c>
      <c r="N161" s="311" t="s">
        <v>2830</v>
      </c>
    </row>
    <row r="162" spans="2:14" x14ac:dyDescent="0.35">
      <c r="B162" s="311" t="s">
        <v>1280</v>
      </c>
      <c r="C162" s="311" t="s">
        <v>1970</v>
      </c>
      <c r="D162" s="311">
        <v>81501</v>
      </c>
      <c r="L162" s="311" t="s">
        <v>1347</v>
      </c>
      <c r="M162" s="311">
        <v>84602</v>
      </c>
      <c r="N162" s="311" t="s">
        <v>2848</v>
      </c>
    </row>
    <row r="163" spans="2:14" x14ac:dyDescent="0.35">
      <c r="B163" s="311" t="s">
        <v>1281</v>
      </c>
      <c r="C163" s="311" t="s">
        <v>1971</v>
      </c>
      <c r="D163" s="311">
        <v>83301</v>
      </c>
      <c r="L163" s="311" t="s">
        <v>1505</v>
      </c>
      <c r="M163" s="311">
        <v>81003</v>
      </c>
      <c r="N163" s="311" t="s">
        <v>2812</v>
      </c>
    </row>
    <row r="164" spans="2:14" x14ac:dyDescent="0.35">
      <c r="B164" s="311" t="s">
        <v>1282</v>
      </c>
      <c r="C164" s="311" t="s">
        <v>1972</v>
      </c>
      <c r="D164" s="311">
        <v>85101</v>
      </c>
      <c r="L164" s="311" t="s">
        <v>1506</v>
      </c>
      <c r="M164" s="311">
        <v>82803</v>
      </c>
      <c r="N164" s="311" t="s">
        <v>2830</v>
      </c>
    </row>
    <row r="165" spans="2:14" x14ac:dyDescent="0.35">
      <c r="B165" s="311" t="s">
        <v>1360</v>
      </c>
      <c r="C165" s="311" t="s">
        <v>1973</v>
      </c>
      <c r="D165" s="311">
        <v>81502</v>
      </c>
      <c r="L165" s="311" t="s">
        <v>1507</v>
      </c>
      <c r="M165" s="311">
        <v>84603</v>
      </c>
      <c r="N165" s="311" t="s">
        <v>2848</v>
      </c>
    </row>
    <row r="166" spans="2:14" x14ac:dyDescent="0.35">
      <c r="B166" s="311" t="s">
        <v>1361</v>
      </c>
      <c r="C166" s="311" t="s">
        <v>1974</v>
      </c>
      <c r="D166" s="311">
        <v>83302</v>
      </c>
      <c r="L166" s="311" t="s">
        <v>1268</v>
      </c>
      <c r="M166" s="311">
        <v>81101</v>
      </c>
      <c r="N166" s="311" t="s">
        <v>2813</v>
      </c>
    </row>
    <row r="167" spans="2:14" x14ac:dyDescent="0.35">
      <c r="B167" s="311" t="s">
        <v>1362</v>
      </c>
      <c r="C167" s="311" t="s">
        <v>1975</v>
      </c>
      <c r="D167" s="311">
        <v>85102</v>
      </c>
      <c r="L167" s="311" t="s">
        <v>1269</v>
      </c>
      <c r="M167" s="311">
        <v>82901</v>
      </c>
      <c r="N167" s="311" t="s">
        <v>2831</v>
      </c>
    </row>
    <row r="168" spans="2:14" x14ac:dyDescent="0.35">
      <c r="B168" s="311" t="s">
        <v>1533</v>
      </c>
      <c r="C168" s="311" t="s">
        <v>1976</v>
      </c>
      <c r="D168" s="311">
        <v>81503</v>
      </c>
      <c r="L168" s="311" t="s">
        <v>1270</v>
      </c>
      <c r="M168" s="311">
        <v>84701</v>
      </c>
      <c r="N168" s="311" t="s">
        <v>2849</v>
      </c>
    </row>
    <row r="169" spans="2:14" x14ac:dyDescent="0.35">
      <c r="B169" s="311" t="s">
        <v>1534</v>
      </c>
      <c r="C169" s="311" t="s">
        <v>1977</v>
      </c>
      <c r="D169" s="311">
        <v>83303</v>
      </c>
      <c r="L169" s="311" t="s">
        <v>1348</v>
      </c>
      <c r="M169" s="311">
        <v>81102</v>
      </c>
      <c r="N169" s="311" t="s">
        <v>2813</v>
      </c>
    </row>
    <row r="170" spans="2:14" x14ac:dyDescent="0.35">
      <c r="B170" s="311" t="s">
        <v>1535</v>
      </c>
      <c r="C170" s="311" t="s">
        <v>1978</v>
      </c>
      <c r="D170" s="311">
        <v>85103</v>
      </c>
      <c r="L170" s="311" t="s">
        <v>1349</v>
      </c>
      <c r="M170" s="311">
        <v>82902</v>
      </c>
      <c r="N170" s="311" t="s">
        <v>2831</v>
      </c>
    </row>
    <row r="171" spans="2:14" x14ac:dyDescent="0.35">
      <c r="B171" s="311" t="s">
        <v>1283</v>
      </c>
      <c r="C171" s="311" t="s">
        <v>1979</v>
      </c>
      <c r="D171" s="311">
        <v>81601</v>
      </c>
      <c r="L171" s="311" t="s">
        <v>1350</v>
      </c>
      <c r="M171" s="311">
        <v>84702</v>
      </c>
      <c r="N171" s="311" t="s">
        <v>2849</v>
      </c>
    </row>
    <row r="172" spans="2:14" x14ac:dyDescent="0.35">
      <c r="B172" s="311" t="s">
        <v>1284</v>
      </c>
      <c r="C172" s="311" t="s">
        <v>1980</v>
      </c>
      <c r="D172" s="311">
        <v>83401</v>
      </c>
      <c r="L172" s="311" t="s">
        <v>1508</v>
      </c>
      <c r="M172" s="311">
        <v>81103</v>
      </c>
      <c r="N172" s="311" t="s">
        <v>2813</v>
      </c>
    </row>
    <row r="173" spans="2:14" x14ac:dyDescent="0.35">
      <c r="B173" s="311" t="s">
        <v>1285</v>
      </c>
      <c r="C173" s="311" t="s">
        <v>1981</v>
      </c>
      <c r="D173" s="311">
        <v>85201</v>
      </c>
      <c r="L173" s="311" t="s">
        <v>1509</v>
      </c>
      <c r="M173" s="311">
        <v>82903</v>
      </c>
      <c r="N173" s="311" t="s">
        <v>2831</v>
      </c>
    </row>
    <row r="174" spans="2:14" x14ac:dyDescent="0.35">
      <c r="B174" s="311" t="s">
        <v>1363</v>
      </c>
      <c r="C174" s="311" t="s">
        <v>1982</v>
      </c>
      <c r="D174" s="311">
        <v>81602</v>
      </c>
      <c r="L174" s="311" t="s">
        <v>1510</v>
      </c>
      <c r="M174" s="311">
        <v>84703</v>
      </c>
      <c r="N174" s="311" t="s">
        <v>2849</v>
      </c>
    </row>
    <row r="175" spans="2:14" x14ac:dyDescent="0.35">
      <c r="B175" s="311" t="s">
        <v>1364</v>
      </c>
      <c r="C175" s="311" t="s">
        <v>1983</v>
      </c>
      <c r="D175" s="311">
        <v>83402</v>
      </c>
      <c r="L175" s="311" t="s">
        <v>1271</v>
      </c>
      <c r="M175" s="311">
        <v>81201</v>
      </c>
      <c r="N175" s="311" t="s">
        <v>2814</v>
      </c>
    </row>
    <row r="176" spans="2:14" x14ac:dyDescent="0.35">
      <c r="B176" s="311" t="s">
        <v>1365</v>
      </c>
      <c r="C176" s="311" t="s">
        <v>1984</v>
      </c>
      <c r="D176" s="311">
        <v>85202</v>
      </c>
      <c r="L176" s="311" t="s">
        <v>1272</v>
      </c>
      <c r="M176" s="311">
        <v>83001</v>
      </c>
      <c r="N176" s="311" t="s">
        <v>2832</v>
      </c>
    </row>
    <row r="177" spans="2:14" x14ac:dyDescent="0.35">
      <c r="B177" s="311" t="s">
        <v>1536</v>
      </c>
      <c r="C177" s="311" t="s">
        <v>1985</v>
      </c>
      <c r="D177" s="311">
        <v>81603</v>
      </c>
      <c r="L177" s="311" t="s">
        <v>1273</v>
      </c>
      <c r="M177" s="311">
        <v>84801</v>
      </c>
      <c r="N177" s="311" t="s">
        <v>2850</v>
      </c>
    </row>
    <row r="178" spans="2:14" x14ac:dyDescent="0.35">
      <c r="B178" s="311" t="s">
        <v>1537</v>
      </c>
      <c r="C178" s="311" t="s">
        <v>1986</v>
      </c>
      <c r="D178" s="311">
        <v>83403</v>
      </c>
      <c r="L178" s="311" t="s">
        <v>1351</v>
      </c>
      <c r="M178" s="311">
        <v>81202</v>
      </c>
      <c r="N178" s="311" t="s">
        <v>2814</v>
      </c>
    </row>
    <row r="179" spans="2:14" x14ac:dyDescent="0.35">
      <c r="B179" s="311" t="s">
        <v>1538</v>
      </c>
      <c r="C179" s="311" t="s">
        <v>1987</v>
      </c>
      <c r="D179" s="311">
        <v>85203</v>
      </c>
      <c r="L179" s="311" t="s">
        <v>1352</v>
      </c>
      <c r="M179" s="311">
        <v>83002</v>
      </c>
      <c r="N179" s="311" t="s">
        <v>2832</v>
      </c>
    </row>
    <row r="180" spans="2:14" x14ac:dyDescent="0.35">
      <c r="B180" s="311" t="s">
        <v>1286</v>
      </c>
      <c r="C180" s="311" t="s">
        <v>1988</v>
      </c>
      <c r="D180" s="311">
        <v>81701</v>
      </c>
      <c r="L180" s="311" t="s">
        <v>1353</v>
      </c>
      <c r="M180" s="311">
        <v>84802</v>
      </c>
      <c r="N180" s="311" t="s">
        <v>2850</v>
      </c>
    </row>
    <row r="181" spans="2:14" x14ac:dyDescent="0.35">
      <c r="B181" s="311" t="s">
        <v>1287</v>
      </c>
      <c r="C181" s="311" t="s">
        <v>1989</v>
      </c>
      <c r="D181" s="311">
        <v>83501</v>
      </c>
      <c r="L181" s="311" t="s">
        <v>1511</v>
      </c>
      <c r="M181" s="311">
        <v>81203</v>
      </c>
      <c r="N181" s="311" t="s">
        <v>2814</v>
      </c>
    </row>
    <row r="182" spans="2:14" x14ac:dyDescent="0.35">
      <c r="B182" s="311" t="s">
        <v>1288</v>
      </c>
      <c r="C182" s="311" t="s">
        <v>1990</v>
      </c>
      <c r="D182" s="311">
        <v>85301</v>
      </c>
      <c r="L182" s="311" t="s">
        <v>1512</v>
      </c>
      <c r="M182" s="311">
        <v>83003</v>
      </c>
      <c r="N182" s="311" t="s">
        <v>2832</v>
      </c>
    </row>
    <row r="183" spans="2:14" x14ac:dyDescent="0.35">
      <c r="B183" s="311" t="s">
        <v>1539</v>
      </c>
      <c r="C183" s="311" t="s">
        <v>1991</v>
      </c>
      <c r="D183" s="311">
        <v>81702</v>
      </c>
      <c r="L183" s="311" t="s">
        <v>1513</v>
      </c>
      <c r="M183" s="311">
        <v>84803</v>
      </c>
      <c r="N183" s="311" t="s">
        <v>2850</v>
      </c>
    </row>
    <row r="184" spans="2:14" x14ac:dyDescent="0.35">
      <c r="B184" s="311" t="s">
        <v>1540</v>
      </c>
      <c r="C184" s="311" t="s">
        <v>1992</v>
      </c>
      <c r="D184" s="311">
        <v>83502</v>
      </c>
      <c r="L184" s="311" t="s">
        <v>1274</v>
      </c>
      <c r="M184" s="311">
        <v>81301</v>
      </c>
      <c r="N184" s="311" t="s">
        <v>2815</v>
      </c>
    </row>
    <row r="185" spans="2:14" x14ac:dyDescent="0.35">
      <c r="B185" s="311" t="s">
        <v>1541</v>
      </c>
      <c r="C185" s="311" t="s">
        <v>1993</v>
      </c>
      <c r="D185" s="311">
        <v>85302</v>
      </c>
      <c r="L185" s="311" t="s">
        <v>1275</v>
      </c>
      <c r="M185" s="311">
        <v>83101</v>
      </c>
      <c r="N185" s="311" t="s">
        <v>2833</v>
      </c>
    </row>
    <row r="186" spans="2:14" x14ac:dyDescent="0.35">
      <c r="B186" s="311" t="s">
        <v>1542</v>
      </c>
      <c r="C186" s="311" t="s">
        <v>1994</v>
      </c>
      <c r="D186" s="311">
        <v>81703</v>
      </c>
      <c r="L186" s="311" t="s">
        <v>1276</v>
      </c>
      <c r="M186" s="311">
        <v>84901</v>
      </c>
      <c r="N186" s="311" t="s">
        <v>2851</v>
      </c>
    </row>
    <row r="187" spans="2:14" x14ac:dyDescent="0.35">
      <c r="B187" s="311" t="s">
        <v>1543</v>
      </c>
      <c r="C187" s="311" t="s">
        <v>1995</v>
      </c>
      <c r="D187" s="311">
        <v>83503</v>
      </c>
      <c r="L187" s="311" t="s">
        <v>1354</v>
      </c>
      <c r="M187" s="311">
        <v>81302</v>
      </c>
      <c r="N187" s="311" t="s">
        <v>2815</v>
      </c>
    </row>
    <row r="188" spans="2:14" x14ac:dyDescent="0.35">
      <c r="B188" s="311" t="s">
        <v>1544</v>
      </c>
      <c r="C188" s="311" t="s">
        <v>1996</v>
      </c>
      <c r="D188" s="311">
        <v>85303</v>
      </c>
      <c r="L188" s="311" t="s">
        <v>1355</v>
      </c>
      <c r="M188" s="311">
        <v>83102</v>
      </c>
      <c r="N188" s="311" t="s">
        <v>2833</v>
      </c>
    </row>
    <row r="189" spans="2:14" x14ac:dyDescent="0.35">
      <c r="B189" s="311" t="s">
        <v>1289</v>
      </c>
      <c r="C189" s="311" t="s">
        <v>1997</v>
      </c>
      <c r="D189" s="311">
        <v>81801</v>
      </c>
      <c r="L189" s="311" t="s">
        <v>1356</v>
      </c>
      <c r="M189" s="311">
        <v>84902</v>
      </c>
      <c r="N189" s="311" t="s">
        <v>2851</v>
      </c>
    </row>
    <row r="190" spans="2:14" x14ac:dyDescent="0.35">
      <c r="B190" s="311" t="s">
        <v>1290</v>
      </c>
      <c r="C190" s="311" t="s">
        <v>1998</v>
      </c>
      <c r="D190" s="311">
        <v>83601</v>
      </c>
      <c r="L190" s="311" t="s">
        <v>1527</v>
      </c>
      <c r="M190" s="311">
        <v>81303</v>
      </c>
      <c r="N190" s="311" t="s">
        <v>2815</v>
      </c>
    </row>
    <row r="191" spans="2:14" x14ac:dyDescent="0.35">
      <c r="B191" s="311" t="s">
        <v>1291</v>
      </c>
      <c r="C191" s="311" t="s">
        <v>1999</v>
      </c>
      <c r="D191" s="311">
        <v>85401</v>
      </c>
      <c r="L191" s="311" t="s">
        <v>1528</v>
      </c>
      <c r="M191" s="311">
        <v>83103</v>
      </c>
      <c r="N191" s="311" t="s">
        <v>2833</v>
      </c>
    </row>
    <row r="192" spans="2:14" x14ac:dyDescent="0.35">
      <c r="B192" s="311" t="s">
        <v>1545</v>
      </c>
      <c r="C192" s="311" t="s">
        <v>2000</v>
      </c>
      <c r="D192" s="311">
        <v>81802</v>
      </c>
      <c r="L192" s="311" t="s">
        <v>1529</v>
      </c>
      <c r="M192" s="311">
        <v>84903</v>
      </c>
      <c r="N192" s="311" t="s">
        <v>2851</v>
      </c>
    </row>
    <row r="193" spans="2:14" x14ac:dyDescent="0.35">
      <c r="B193" s="311" t="s">
        <v>1546</v>
      </c>
      <c r="C193" s="311" t="s">
        <v>2001</v>
      </c>
      <c r="D193" s="311">
        <v>83602</v>
      </c>
      <c r="L193" s="311" t="s">
        <v>1277</v>
      </c>
      <c r="M193" s="311">
        <v>81401</v>
      </c>
      <c r="N193" s="311" t="s">
        <v>2816</v>
      </c>
    </row>
    <row r="194" spans="2:14" x14ac:dyDescent="0.35">
      <c r="B194" s="311" t="s">
        <v>1547</v>
      </c>
      <c r="C194" s="311" t="s">
        <v>2002</v>
      </c>
      <c r="D194" s="311">
        <v>85402</v>
      </c>
      <c r="L194" s="311" t="s">
        <v>1278</v>
      </c>
      <c r="M194" s="311">
        <v>83201</v>
      </c>
      <c r="N194" s="311" t="s">
        <v>2834</v>
      </c>
    </row>
    <row r="195" spans="2:14" x14ac:dyDescent="0.35">
      <c r="B195" s="311" t="s">
        <v>1548</v>
      </c>
      <c r="C195" s="311" t="s">
        <v>2003</v>
      </c>
      <c r="D195" s="311">
        <v>81803</v>
      </c>
      <c r="L195" s="311" t="s">
        <v>1279</v>
      </c>
      <c r="M195" s="311">
        <v>85001</v>
      </c>
      <c r="N195" s="311" t="s">
        <v>2852</v>
      </c>
    </row>
    <row r="196" spans="2:14" x14ac:dyDescent="0.35">
      <c r="B196" s="311" t="s">
        <v>1549</v>
      </c>
      <c r="C196" s="311" t="s">
        <v>2004</v>
      </c>
      <c r="D196" s="311">
        <v>83603</v>
      </c>
      <c r="L196" s="311" t="s">
        <v>1357</v>
      </c>
      <c r="M196" s="311">
        <v>81402</v>
      </c>
      <c r="N196" s="311" t="s">
        <v>2816</v>
      </c>
    </row>
    <row r="197" spans="2:14" x14ac:dyDescent="0.35">
      <c r="B197" s="311" t="s">
        <v>1550</v>
      </c>
      <c r="C197" s="311" t="s">
        <v>2005</v>
      </c>
      <c r="D197" s="311">
        <v>85403</v>
      </c>
      <c r="L197" s="311" t="s">
        <v>1358</v>
      </c>
      <c r="M197" s="311">
        <v>83202</v>
      </c>
      <c r="N197" s="311" t="s">
        <v>2834</v>
      </c>
    </row>
    <row r="198" spans="2:14" x14ac:dyDescent="0.35">
      <c r="L198" s="311" t="s">
        <v>1359</v>
      </c>
      <c r="M198" s="311">
        <v>85002</v>
      </c>
      <c r="N198" s="311" t="s">
        <v>2852</v>
      </c>
    </row>
    <row r="199" spans="2:14" x14ac:dyDescent="0.35">
      <c r="L199" s="311" t="s">
        <v>1530</v>
      </c>
      <c r="M199" s="311">
        <v>81403</v>
      </c>
      <c r="N199" s="311" t="s">
        <v>2816</v>
      </c>
    </row>
    <row r="200" spans="2:14" x14ac:dyDescent="0.35">
      <c r="B200" s="587" t="s">
        <v>1578</v>
      </c>
      <c r="C200" s="587" t="s">
        <v>1582</v>
      </c>
      <c r="L200" s="311" t="s">
        <v>1531</v>
      </c>
      <c r="M200" s="311">
        <v>83203</v>
      </c>
      <c r="N200" s="311" t="s">
        <v>2834</v>
      </c>
    </row>
    <row r="201" spans="2:14" x14ac:dyDescent="0.35">
      <c r="B201" s="587" t="s">
        <v>1579</v>
      </c>
      <c r="C201" s="587">
        <v>70101</v>
      </c>
      <c r="L201" s="311" t="s">
        <v>1532</v>
      </c>
      <c r="M201" s="311">
        <v>85003</v>
      </c>
      <c r="N201" s="311" t="s">
        <v>2852</v>
      </c>
    </row>
    <row r="202" spans="2:14" x14ac:dyDescent="0.35">
      <c r="B202" s="587" t="s">
        <v>1580</v>
      </c>
      <c r="C202" s="587">
        <v>70102</v>
      </c>
      <c r="L202" s="311" t="s">
        <v>1280</v>
      </c>
      <c r="M202" s="311">
        <v>81501</v>
      </c>
      <c r="N202" s="311" t="s">
        <v>2817</v>
      </c>
    </row>
    <row r="203" spans="2:14" x14ac:dyDescent="0.35">
      <c r="B203" s="587" t="s">
        <v>1581</v>
      </c>
      <c r="C203" s="587">
        <v>70103</v>
      </c>
      <c r="L203" s="311" t="s">
        <v>1281</v>
      </c>
      <c r="M203" s="311">
        <v>83301</v>
      </c>
      <c r="N203" s="311" t="s">
        <v>2835</v>
      </c>
    </row>
    <row r="204" spans="2:14" x14ac:dyDescent="0.35">
      <c r="L204" s="311" t="s">
        <v>1282</v>
      </c>
      <c r="M204" s="311">
        <v>85101</v>
      </c>
      <c r="N204" s="311" t="s">
        <v>2853</v>
      </c>
    </row>
    <row r="205" spans="2:14" x14ac:dyDescent="0.35">
      <c r="L205" s="311" t="s">
        <v>1360</v>
      </c>
      <c r="M205" s="311">
        <v>81502</v>
      </c>
      <c r="N205" s="311" t="s">
        <v>2817</v>
      </c>
    </row>
    <row r="206" spans="2:14" x14ac:dyDescent="0.35">
      <c r="B206" s="529" t="s">
        <v>2238</v>
      </c>
      <c r="C206" s="529" t="s">
        <v>2330</v>
      </c>
      <c r="D206" s="529" t="s">
        <v>2331</v>
      </c>
      <c r="L206" s="311" t="s">
        <v>1361</v>
      </c>
      <c r="M206" s="311">
        <v>83302</v>
      </c>
      <c r="N206" s="311" t="s">
        <v>2835</v>
      </c>
    </row>
    <row r="207" spans="2:14" x14ac:dyDescent="0.35">
      <c r="B207" s="529" t="s">
        <v>2240</v>
      </c>
      <c r="C207" s="311">
        <v>91001</v>
      </c>
      <c r="D207" s="311">
        <v>1110</v>
      </c>
      <c r="L207" s="311" t="s">
        <v>1362</v>
      </c>
      <c r="M207" s="311">
        <v>85102</v>
      </c>
      <c r="N207" s="311" t="s">
        <v>2853</v>
      </c>
    </row>
    <row r="208" spans="2:14" x14ac:dyDescent="0.35">
      <c r="B208" s="529" t="s">
        <v>2241</v>
      </c>
      <c r="C208" s="311">
        <v>91002</v>
      </c>
      <c r="D208" s="311">
        <v>1120</v>
      </c>
      <c r="L208" s="311" t="s">
        <v>1533</v>
      </c>
      <c r="M208" s="311">
        <v>81503</v>
      </c>
      <c r="N208" s="311" t="s">
        <v>2817</v>
      </c>
    </row>
    <row r="209" spans="2:14" x14ac:dyDescent="0.35">
      <c r="B209" s="529" t="s">
        <v>2242</v>
      </c>
      <c r="C209" s="311">
        <v>91003</v>
      </c>
      <c r="D209" s="311">
        <v>1130</v>
      </c>
      <c r="L209" s="311" t="s">
        <v>1534</v>
      </c>
      <c r="M209" s="311">
        <v>83303</v>
      </c>
      <c r="N209" s="311" t="s">
        <v>2835</v>
      </c>
    </row>
    <row r="210" spans="2:14" x14ac:dyDescent="0.35">
      <c r="B210" s="529" t="s">
        <v>2243</v>
      </c>
      <c r="C210" s="311">
        <v>91004</v>
      </c>
      <c r="D210" s="311">
        <v>1140</v>
      </c>
      <c r="L210" s="311" t="s">
        <v>1535</v>
      </c>
      <c r="M210" s="311">
        <v>85103</v>
      </c>
      <c r="N210" s="311" t="s">
        <v>2853</v>
      </c>
    </row>
    <row r="211" spans="2:14" x14ac:dyDescent="0.35">
      <c r="B211" s="529" t="s">
        <v>2244</v>
      </c>
      <c r="C211" s="311">
        <v>91005</v>
      </c>
      <c r="D211" s="311">
        <v>1150</v>
      </c>
      <c r="L211" s="311" t="s">
        <v>1283</v>
      </c>
      <c r="M211" s="311">
        <v>81601</v>
      </c>
      <c r="N211" s="311" t="s">
        <v>2818</v>
      </c>
    </row>
    <row r="212" spans="2:14" x14ac:dyDescent="0.35">
      <c r="B212" s="529" t="s">
        <v>2245</v>
      </c>
      <c r="C212" s="311">
        <v>91006</v>
      </c>
      <c r="D212" s="311">
        <v>1160</v>
      </c>
      <c r="L212" s="311" t="s">
        <v>1284</v>
      </c>
      <c r="M212" s="311">
        <v>83401</v>
      </c>
      <c r="N212" s="311" t="s">
        <v>2836</v>
      </c>
    </row>
    <row r="213" spans="2:14" x14ac:dyDescent="0.35">
      <c r="B213" s="529" t="s">
        <v>2246</v>
      </c>
      <c r="C213" s="311">
        <v>91101</v>
      </c>
      <c r="D213" s="311">
        <v>1210</v>
      </c>
      <c r="L213" s="311" t="s">
        <v>1285</v>
      </c>
      <c r="M213" s="311">
        <v>85201</v>
      </c>
      <c r="N213" s="311" t="s">
        <v>2854</v>
      </c>
    </row>
    <row r="214" spans="2:14" x14ac:dyDescent="0.35">
      <c r="B214" s="529" t="s">
        <v>2247</v>
      </c>
      <c r="C214" s="311">
        <v>91102</v>
      </c>
      <c r="D214" s="311">
        <v>1220</v>
      </c>
      <c r="L214" s="311" t="s">
        <v>1363</v>
      </c>
      <c r="M214" s="311">
        <v>81602</v>
      </c>
      <c r="N214" s="311" t="s">
        <v>2818</v>
      </c>
    </row>
    <row r="215" spans="2:14" x14ac:dyDescent="0.35">
      <c r="B215" s="529" t="s">
        <v>2248</v>
      </c>
      <c r="C215" s="311">
        <v>91103</v>
      </c>
      <c r="D215" s="311">
        <v>1230</v>
      </c>
      <c r="L215" s="311" t="s">
        <v>1364</v>
      </c>
      <c r="M215" s="311">
        <v>83402</v>
      </c>
      <c r="N215" s="311" t="s">
        <v>2836</v>
      </c>
    </row>
    <row r="216" spans="2:14" x14ac:dyDescent="0.35">
      <c r="B216" s="529" t="s">
        <v>2249</v>
      </c>
      <c r="C216" s="311">
        <v>91104</v>
      </c>
      <c r="D216" s="311">
        <v>1240</v>
      </c>
      <c r="L216" s="311" t="s">
        <v>1365</v>
      </c>
      <c r="M216" s="311">
        <v>85202</v>
      </c>
      <c r="N216" s="311" t="s">
        <v>2854</v>
      </c>
    </row>
    <row r="217" spans="2:14" x14ac:dyDescent="0.35">
      <c r="B217" s="529" t="s">
        <v>2250</v>
      </c>
      <c r="C217" s="311">
        <v>91105</v>
      </c>
      <c r="D217" s="311">
        <v>1250</v>
      </c>
      <c r="L217" s="311" t="s">
        <v>1536</v>
      </c>
      <c r="M217" s="311">
        <v>81603</v>
      </c>
      <c r="N217" s="311" t="s">
        <v>2818</v>
      </c>
    </row>
    <row r="218" spans="2:14" x14ac:dyDescent="0.35">
      <c r="B218" s="529" t="s">
        <v>2251</v>
      </c>
      <c r="C218" s="311">
        <v>91106</v>
      </c>
      <c r="D218" s="311">
        <v>1260</v>
      </c>
      <c r="L218" s="311" t="s">
        <v>1537</v>
      </c>
      <c r="M218" s="311">
        <v>83403</v>
      </c>
      <c r="N218" s="311" t="s">
        <v>2836</v>
      </c>
    </row>
    <row r="219" spans="2:14" x14ac:dyDescent="0.35">
      <c r="B219" s="529" t="s">
        <v>2252</v>
      </c>
      <c r="C219" s="311">
        <v>91201</v>
      </c>
      <c r="D219" s="311">
        <v>1310</v>
      </c>
      <c r="L219" s="311" t="s">
        <v>1538</v>
      </c>
      <c r="M219" s="311">
        <v>85203</v>
      </c>
      <c r="N219" s="311" t="s">
        <v>2854</v>
      </c>
    </row>
    <row r="220" spans="2:14" x14ac:dyDescent="0.35">
      <c r="B220" s="529" t="s">
        <v>2253</v>
      </c>
      <c r="C220" s="311">
        <v>91202</v>
      </c>
      <c r="D220" s="311">
        <v>1320</v>
      </c>
      <c r="L220" s="311" t="s">
        <v>1286</v>
      </c>
      <c r="M220" s="311">
        <v>81701</v>
      </c>
      <c r="N220" s="311" t="s">
        <v>2819</v>
      </c>
    </row>
    <row r="221" spans="2:14" x14ac:dyDescent="0.35">
      <c r="B221" s="529" t="s">
        <v>2254</v>
      </c>
      <c r="C221" s="311">
        <v>91203</v>
      </c>
      <c r="D221" s="311">
        <v>1330</v>
      </c>
      <c r="L221" s="311" t="s">
        <v>1287</v>
      </c>
      <c r="M221" s="311">
        <v>83501</v>
      </c>
      <c r="N221" s="311" t="s">
        <v>2837</v>
      </c>
    </row>
    <row r="222" spans="2:14" x14ac:dyDescent="0.35">
      <c r="B222" s="529" t="s">
        <v>2255</v>
      </c>
      <c r="C222" s="311">
        <v>91204</v>
      </c>
      <c r="D222" s="311">
        <v>1340</v>
      </c>
      <c r="L222" s="311" t="s">
        <v>1288</v>
      </c>
      <c r="M222" s="311">
        <v>85301</v>
      </c>
      <c r="N222" s="311" t="s">
        <v>2855</v>
      </c>
    </row>
    <row r="223" spans="2:14" x14ac:dyDescent="0.35">
      <c r="B223" s="529" t="s">
        <v>2256</v>
      </c>
      <c r="C223" s="311">
        <v>91205</v>
      </c>
      <c r="D223" s="311">
        <v>1350</v>
      </c>
      <c r="L223" s="311" t="s">
        <v>1539</v>
      </c>
      <c r="M223" s="311">
        <v>81702</v>
      </c>
      <c r="N223" s="311" t="s">
        <v>2819</v>
      </c>
    </row>
    <row r="224" spans="2:14" x14ac:dyDescent="0.35">
      <c r="B224" s="529" t="s">
        <v>2257</v>
      </c>
      <c r="C224" s="311">
        <v>91206</v>
      </c>
      <c r="D224" s="311">
        <v>1360</v>
      </c>
      <c r="L224" s="311" t="s">
        <v>1540</v>
      </c>
      <c r="M224" s="311">
        <v>83502</v>
      </c>
      <c r="N224" s="311" t="s">
        <v>2837</v>
      </c>
    </row>
    <row r="225" spans="2:14" x14ac:dyDescent="0.35">
      <c r="B225" s="529" t="s">
        <v>2258</v>
      </c>
      <c r="C225" s="311">
        <v>92001</v>
      </c>
      <c r="D225" s="311">
        <v>2110</v>
      </c>
      <c r="L225" s="311" t="s">
        <v>1541</v>
      </c>
      <c r="M225" s="311">
        <v>85302</v>
      </c>
      <c r="N225" s="311" t="s">
        <v>2855</v>
      </c>
    </row>
    <row r="226" spans="2:14" x14ac:dyDescent="0.35">
      <c r="B226" s="529" t="s">
        <v>2259</v>
      </c>
      <c r="C226" s="311">
        <v>92002</v>
      </c>
      <c r="D226" s="311">
        <v>2120</v>
      </c>
      <c r="L226" s="311" t="s">
        <v>1542</v>
      </c>
      <c r="M226" s="311">
        <v>81703</v>
      </c>
      <c r="N226" s="311" t="s">
        <v>2819</v>
      </c>
    </row>
    <row r="227" spans="2:14" x14ac:dyDescent="0.35">
      <c r="B227" s="529" t="s">
        <v>2260</v>
      </c>
      <c r="C227" s="311">
        <v>92003</v>
      </c>
      <c r="D227" s="311">
        <v>2130</v>
      </c>
      <c r="L227" s="311" t="s">
        <v>1543</v>
      </c>
      <c r="M227" s="311">
        <v>83503</v>
      </c>
      <c r="N227" s="311" t="s">
        <v>2837</v>
      </c>
    </row>
    <row r="228" spans="2:14" x14ac:dyDescent="0.35">
      <c r="B228" s="529" t="s">
        <v>2261</v>
      </c>
      <c r="C228" s="311">
        <v>92004</v>
      </c>
      <c r="D228" s="311">
        <v>2140</v>
      </c>
      <c r="L228" s="311" t="s">
        <v>1544</v>
      </c>
      <c r="M228" s="311">
        <v>85303</v>
      </c>
      <c r="N228" s="311" t="s">
        <v>2855</v>
      </c>
    </row>
    <row r="229" spans="2:14" x14ac:dyDescent="0.35">
      <c r="B229" s="529" t="s">
        <v>2262</v>
      </c>
      <c r="C229" s="311">
        <v>92005</v>
      </c>
      <c r="D229" s="311">
        <v>2150</v>
      </c>
      <c r="L229" s="311" t="s">
        <v>1289</v>
      </c>
      <c r="M229" s="311">
        <v>81801</v>
      </c>
      <c r="N229" s="311" t="s">
        <v>2820</v>
      </c>
    </row>
    <row r="230" spans="2:14" x14ac:dyDescent="0.35">
      <c r="B230" s="529" t="s">
        <v>2263</v>
      </c>
      <c r="C230" s="311">
        <v>92006</v>
      </c>
      <c r="D230" s="311">
        <v>2160</v>
      </c>
      <c r="L230" s="311" t="s">
        <v>1290</v>
      </c>
      <c r="M230" s="311">
        <v>83601</v>
      </c>
      <c r="N230" s="311" t="s">
        <v>2838</v>
      </c>
    </row>
    <row r="231" spans="2:14" x14ac:dyDescent="0.35">
      <c r="B231" s="529" t="s">
        <v>2264</v>
      </c>
      <c r="C231" s="311">
        <v>92101</v>
      </c>
      <c r="D231" s="311">
        <v>2210</v>
      </c>
      <c r="L231" s="311" t="s">
        <v>1291</v>
      </c>
      <c r="M231" s="311">
        <v>85401</v>
      </c>
      <c r="N231" s="311" t="s">
        <v>2856</v>
      </c>
    </row>
    <row r="232" spans="2:14" x14ac:dyDescent="0.35">
      <c r="B232" s="529" t="s">
        <v>2265</v>
      </c>
      <c r="C232" s="311">
        <v>92102</v>
      </c>
      <c r="D232" s="311">
        <v>2220</v>
      </c>
      <c r="L232" s="311" t="s">
        <v>1545</v>
      </c>
      <c r="M232" s="311">
        <v>81802</v>
      </c>
      <c r="N232" s="311" t="s">
        <v>2820</v>
      </c>
    </row>
    <row r="233" spans="2:14" x14ac:dyDescent="0.35">
      <c r="B233" s="529" t="s">
        <v>2266</v>
      </c>
      <c r="C233" s="311">
        <v>92103</v>
      </c>
      <c r="D233" s="311">
        <v>2230</v>
      </c>
      <c r="L233" s="311" t="s">
        <v>1546</v>
      </c>
      <c r="M233" s="311">
        <v>83602</v>
      </c>
      <c r="N233" s="311" t="s">
        <v>2838</v>
      </c>
    </row>
    <row r="234" spans="2:14" x14ac:dyDescent="0.35">
      <c r="B234" s="529" t="s">
        <v>2267</v>
      </c>
      <c r="C234" s="311">
        <v>92104</v>
      </c>
      <c r="D234" s="311">
        <v>2240</v>
      </c>
      <c r="L234" s="311" t="s">
        <v>1547</v>
      </c>
      <c r="M234" s="311">
        <v>85402</v>
      </c>
      <c r="N234" s="311" t="s">
        <v>2856</v>
      </c>
    </row>
    <row r="235" spans="2:14" x14ac:dyDescent="0.35">
      <c r="B235" s="529" t="s">
        <v>2268</v>
      </c>
      <c r="C235" s="311">
        <v>92105</v>
      </c>
      <c r="D235" s="311">
        <v>2250</v>
      </c>
      <c r="L235" s="311" t="s">
        <v>1548</v>
      </c>
      <c r="M235" s="311">
        <v>81803</v>
      </c>
      <c r="N235" s="311" t="s">
        <v>2820</v>
      </c>
    </row>
    <row r="236" spans="2:14" x14ac:dyDescent="0.35">
      <c r="B236" s="529" t="s">
        <v>2269</v>
      </c>
      <c r="C236" s="311">
        <v>92106</v>
      </c>
      <c r="D236" s="311">
        <v>2260</v>
      </c>
      <c r="L236" s="311" t="s">
        <v>1549</v>
      </c>
      <c r="M236" s="311">
        <v>83603</v>
      </c>
      <c r="N236" s="311" t="s">
        <v>2838</v>
      </c>
    </row>
    <row r="237" spans="2:14" x14ac:dyDescent="0.35">
      <c r="B237" s="529" t="s">
        <v>2270</v>
      </c>
      <c r="C237" s="311">
        <v>92201</v>
      </c>
      <c r="D237" s="311">
        <v>2310</v>
      </c>
      <c r="L237" s="311" t="s">
        <v>1550</v>
      </c>
      <c r="M237" s="311">
        <v>85403</v>
      </c>
      <c r="N237" s="311" t="s">
        <v>2856</v>
      </c>
    </row>
    <row r="238" spans="2:14" x14ac:dyDescent="0.35">
      <c r="B238" s="529" t="s">
        <v>2271</v>
      </c>
      <c r="C238" s="311">
        <v>92202</v>
      </c>
      <c r="D238" s="311">
        <v>2320</v>
      </c>
    </row>
    <row r="239" spans="2:14" x14ac:dyDescent="0.35">
      <c r="B239" s="529" t="s">
        <v>2272</v>
      </c>
      <c r="C239" s="311">
        <v>92203</v>
      </c>
      <c r="D239" s="311">
        <v>2330</v>
      </c>
      <c r="L239" s="593" t="s">
        <v>2238</v>
      </c>
      <c r="M239" s="593" t="s">
        <v>1582</v>
      </c>
      <c r="N239" s="601" t="s">
        <v>2876</v>
      </c>
    </row>
    <row r="240" spans="2:14" x14ac:dyDescent="0.35">
      <c r="B240" s="529" t="s">
        <v>2273</v>
      </c>
      <c r="C240" s="311">
        <v>92204</v>
      </c>
      <c r="D240" s="311">
        <v>2340</v>
      </c>
      <c r="L240" s="593" t="s">
        <v>2240</v>
      </c>
      <c r="M240" s="311">
        <v>91001</v>
      </c>
      <c r="N240" s="311" t="s">
        <v>2857</v>
      </c>
    </row>
    <row r="241" spans="2:14" x14ac:dyDescent="0.35">
      <c r="B241" s="529" t="s">
        <v>2274</v>
      </c>
      <c r="C241" s="311">
        <v>92205</v>
      </c>
      <c r="D241" s="311">
        <v>2350</v>
      </c>
      <c r="L241" s="593" t="s">
        <v>2241</v>
      </c>
      <c r="M241" s="311">
        <v>91002</v>
      </c>
      <c r="N241" s="311" t="s">
        <v>2858</v>
      </c>
    </row>
    <row r="242" spans="2:14" x14ac:dyDescent="0.35">
      <c r="B242" s="529" t="s">
        <v>2275</v>
      </c>
      <c r="C242" s="311">
        <v>92206</v>
      </c>
      <c r="D242" s="311">
        <v>2360</v>
      </c>
      <c r="L242" s="593" t="s">
        <v>2242</v>
      </c>
      <c r="M242" s="311">
        <v>91003</v>
      </c>
      <c r="N242" s="311" t="s">
        <v>2859</v>
      </c>
    </row>
    <row r="243" spans="2:14" x14ac:dyDescent="0.35">
      <c r="B243" s="529" t="s">
        <v>2276</v>
      </c>
      <c r="C243" s="311">
        <v>93001</v>
      </c>
      <c r="D243" s="311">
        <v>3110</v>
      </c>
      <c r="L243" s="593" t="s">
        <v>2243</v>
      </c>
      <c r="M243" s="311">
        <v>91004</v>
      </c>
      <c r="N243" s="311" t="s">
        <v>2860</v>
      </c>
    </row>
    <row r="244" spans="2:14" x14ac:dyDescent="0.35">
      <c r="B244" s="529" t="s">
        <v>2277</v>
      </c>
      <c r="C244" s="311">
        <v>93002</v>
      </c>
      <c r="D244" s="311">
        <v>3120</v>
      </c>
      <c r="L244" s="593" t="s">
        <v>2244</v>
      </c>
      <c r="M244" s="311">
        <v>91005</v>
      </c>
      <c r="N244" s="311" t="s">
        <v>2861</v>
      </c>
    </row>
    <row r="245" spans="2:14" x14ac:dyDescent="0.35">
      <c r="B245" s="529" t="s">
        <v>2278</v>
      </c>
      <c r="C245" s="311">
        <v>93003</v>
      </c>
      <c r="D245" s="311">
        <v>3130</v>
      </c>
      <c r="L245" s="593" t="s">
        <v>2245</v>
      </c>
      <c r="M245" s="311">
        <v>91006</v>
      </c>
      <c r="N245" s="311" t="s">
        <v>2862</v>
      </c>
    </row>
    <row r="246" spans="2:14" x14ac:dyDescent="0.35">
      <c r="B246" s="529" t="s">
        <v>2279</v>
      </c>
      <c r="C246" s="311">
        <v>93004</v>
      </c>
      <c r="D246" s="311">
        <v>3140</v>
      </c>
      <c r="L246" s="593" t="s">
        <v>2246</v>
      </c>
      <c r="M246" s="311">
        <v>91101</v>
      </c>
      <c r="N246" s="311" t="s">
        <v>2863</v>
      </c>
    </row>
    <row r="247" spans="2:14" x14ac:dyDescent="0.35">
      <c r="B247" s="529" t="s">
        <v>2280</v>
      </c>
      <c r="C247" s="311">
        <v>93005</v>
      </c>
      <c r="D247" s="311">
        <v>3150</v>
      </c>
      <c r="L247" s="593" t="s">
        <v>2247</v>
      </c>
      <c r="M247" s="311">
        <v>91102</v>
      </c>
      <c r="N247" s="311" t="s">
        <v>2864</v>
      </c>
    </row>
    <row r="248" spans="2:14" x14ac:dyDescent="0.35">
      <c r="B248" s="529" t="s">
        <v>2281</v>
      </c>
      <c r="C248" s="311">
        <v>93006</v>
      </c>
      <c r="D248" s="311">
        <v>3160</v>
      </c>
      <c r="L248" s="593" t="s">
        <v>2248</v>
      </c>
      <c r="M248" s="311">
        <v>91103</v>
      </c>
      <c r="N248" s="311" t="s">
        <v>2865</v>
      </c>
    </row>
    <row r="249" spans="2:14" x14ac:dyDescent="0.35">
      <c r="B249" s="529" t="s">
        <v>2282</v>
      </c>
      <c r="C249" s="311">
        <v>93101</v>
      </c>
      <c r="D249" s="311">
        <v>3210</v>
      </c>
      <c r="L249" s="593" t="s">
        <v>2249</v>
      </c>
      <c r="M249" s="311">
        <v>91104</v>
      </c>
      <c r="N249" s="311" t="s">
        <v>2866</v>
      </c>
    </row>
    <row r="250" spans="2:14" x14ac:dyDescent="0.35">
      <c r="B250" s="529" t="s">
        <v>2283</v>
      </c>
      <c r="C250" s="311">
        <v>93102</v>
      </c>
      <c r="D250" s="311">
        <v>3220</v>
      </c>
      <c r="L250" s="593" t="s">
        <v>2250</v>
      </c>
      <c r="M250" s="311">
        <v>91105</v>
      </c>
      <c r="N250" s="311" t="s">
        <v>2867</v>
      </c>
    </row>
    <row r="251" spans="2:14" x14ac:dyDescent="0.35">
      <c r="B251" s="529" t="s">
        <v>2284</v>
      </c>
      <c r="C251" s="311">
        <v>93103</v>
      </c>
      <c r="D251" s="311">
        <v>3230</v>
      </c>
      <c r="L251" s="593" t="s">
        <v>2251</v>
      </c>
      <c r="M251" s="311">
        <v>91106</v>
      </c>
      <c r="N251" s="311" t="s">
        <v>2868</v>
      </c>
    </row>
    <row r="252" spans="2:14" x14ac:dyDescent="0.35">
      <c r="B252" s="529" t="s">
        <v>2285</v>
      </c>
      <c r="C252" s="311">
        <v>93104</v>
      </c>
      <c r="D252" s="311">
        <v>3240</v>
      </c>
      <c r="L252" s="593" t="s">
        <v>2252</v>
      </c>
      <c r="M252" s="311">
        <v>91201</v>
      </c>
      <c r="N252" s="311" t="s">
        <v>2869</v>
      </c>
    </row>
    <row r="253" spans="2:14" x14ac:dyDescent="0.35">
      <c r="B253" s="529" t="s">
        <v>2286</v>
      </c>
      <c r="C253" s="311">
        <v>93105</v>
      </c>
      <c r="D253" s="311">
        <v>3250</v>
      </c>
      <c r="L253" s="593" t="s">
        <v>2253</v>
      </c>
      <c r="M253" s="311">
        <v>91202</v>
      </c>
      <c r="N253" s="311" t="s">
        <v>2870</v>
      </c>
    </row>
    <row r="254" spans="2:14" x14ac:dyDescent="0.35">
      <c r="B254" s="529" t="s">
        <v>2287</v>
      </c>
      <c r="C254" s="311">
        <v>93106</v>
      </c>
      <c r="D254" s="311">
        <v>3260</v>
      </c>
      <c r="L254" s="593" t="s">
        <v>2254</v>
      </c>
      <c r="M254" s="311">
        <v>91203</v>
      </c>
      <c r="N254" s="311" t="s">
        <v>2871</v>
      </c>
    </row>
    <row r="255" spans="2:14" x14ac:dyDescent="0.35">
      <c r="B255" s="529" t="s">
        <v>2288</v>
      </c>
      <c r="C255" s="311">
        <v>93201</v>
      </c>
      <c r="D255" s="311">
        <v>3310</v>
      </c>
      <c r="L255" s="593" t="s">
        <v>2255</v>
      </c>
      <c r="M255" s="311">
        <v>91204</v>
      </c>
      <c r="N255" s="311" t="s">
        <v>2872</v>
      </c>
    </row>
    <row r="256" spans="2:14" x14ac:dyDescent="0.35">
      <c r="B256" s="529" t="s">
        <v>2289</v>
      </c>
      <c r="C256" s="311">
        <v>93202</v>
      </c>
      <c r="D256" s="311">
        <v>3320</v>
      </c>
      <c r="L256" s="593" t="s">
        <v>2256</v>
      </c>
      <c r="M256" s="311">
        <v>91205</v>
      </c>
      <c r="N256" s="311" t="s">
        <v>2873</v>
      </c>
    </row>
    <row r="257" spans="2:14" x14ac:dyDescent="0.35">
      <c r="B257" s="529" t="s">
        <v>2290</v>
      </c>
      <c r="C257" s="311">
        <v>93203</v>
      </c>
      <c r="D257" s="311">
        <v>3330</v>
      </c>
      <c r="L257" s="593" t="s">
        <v>2257</v>
      </c>
      <c r="M257" s="311">
        <v>91206</v>
      </c>
      <c r="N257" s="311" t="s">
        <v>2874</v>
      </c>
    </row>
    <row r="258" spans="2:14" x14ac:dyDescent="0.35">
      <c r="B258" s="529" t="s">
        <v>2291</v>
      </c>
      <c r="C258" s="311">
        <v>93204</v>
      </c>
      <c r="D258" s="311">
        <v>3340</v>
      </c>
      <c r="L258" s="593" t="s">
        <v>2258</v>
      </c>
      <c r="M258" s="311">
        <v>92001</v>
      </c>
      <c r="N258" s="311" t="s">
        <v>2857</v>
      </c>
    </row>
    <row r="259" spans="2:14" x14ac:dyDescent="0.35">
      <c r="B259" s="529" t="s">
        <v>2292</v>
      </c>
      <c r="C259" s="311">
        <v>93205</v>
      </c>
      <c r="D259" s="311">
        <v>3350</v>
      </c>
      <c r="L259" s="593" t="s">
        <v>2259</v>
      </c>
      <c r="M259" s="311">
        <v>92002</v>
      </c>
      <c r="N259" s="311" t="s">
        <v>2858</v>
      </c>
    </row>
    <row r="260" spans="2:14" x14ac:dyDescent="0.35">
      <c r="B260" s="529" t="s">
        <v>2293</v>
      </c>
      <c r="C260" s="311">
        <v>93206</v>
      </c>
      <c r="D260" s="311">
        <v>3360</v>
      </c>
      <c r="L260" s="593" t="s">
        <v>2260</v>
      </c>
      <c r="M260" s="311">
        <v>92003</v>
      </c>
      <c r="N260" s="311" t="s">
        <v>2859</v>
      </c>
    </row>
    <row r="261" spans="2:14" x14ac:dyDescent="0.35">
      <c r="B261" s="529" t="s">
        <v>2294</v>
      </c>
      <c r="C261" s="311">
        <v>94001</v>
      </c>
      <c r="D261" s="311">
        <v>4110</v>
      </c>
      <c r="L261" s="593" t="s">
        <v>2261</v>
      </c>
      <c r="M261" s="311">
        <v>92004</v>
      </c>
      <c r="N261" s="311" t="s">
        <v>2860</v>
      </c>
    </row>
    <row r="262" spans="2:14" x14ac:dyDescent="0.35">
      <c r="B262" s="529" t="s">
        <v>2295</v>
      </c>
      <c r="C262" s="311">
        <v>94002</v>
      </c>
      <c r="D262" s="311">
        <v>4120</v>
      </c>
      <c r="L262" s="593" t="s">
        <v>2262</v>
      </c>
      <c r="M262" s="311">
        <v>92005</v>
      </c>
      <c r="N262" s="311" t="s">
        <v>2861</v>
      </c>
    </row>
    <row r="263" spans="2:14" x14ac:dyDescent="0.35">
      <c r="B263" s="529" t="s">
        <v>2296</v>
      </c>
      <c r="C263" s="311">
        <v>94003</v>
      </c>
      <c r="D263" s="311">
        <v>4130</v>
      </c>
      <c r="L263" s="593" t="s">
        <v>2263</v>
      </c>
      <c r="M263" s="311">
        <v>92006</v>
      </c>
      <c r="N263" s="311" t="s">
        <v>2862</v>
      </c>
    </row>
    <row r="264" spans="2:14" x14ac:dyDescent="0.35">
      <c r="B264" s="529" t="s">
        <v>2297</v>
      </c>
      <c r="C264" s="311">
        <v>94004</v>
      </c>
      <c r="D264" s="311">
        <v>4140</v>
      </c>
      <c r="L264" s="593" t="s">
        <v>2264</v>
      </c>
      <c r="M264" s="311">
        <v>92101</v>
      </c>
      <c r="N264" s="311" t="s">
        <v>2863</v>
      </c>
    </row>
    <row r="265" spans="2:14" x14ac:dyDescent="0.35">
      <c r="B265" s="529" t="s">
        <v>2298</v>
      </c>
      <c r="C265" s="311">
        <v>94005</v>
      </c>
      <c r="D265" s="311">
        <v>4150</v>
      </c>
      <c r="L265" s="593" t="s">
        <v>2265</v>
      </c>
      <c r="M265" s="311">
        <v>92102</v>
      </c>
      <c r="N265" s="311" t="s">
        <v>2864</v>
      </c>
    </row>
    <row r="266" spans="2:14" x14ac:dyDescent="0.35">
      <c r="B266" s="529" t="s">
        <v>2299</v>
      </c>
      <c r="C266" s="311">
        <v>94006</v>
      </c>
      <c r="D266" s="311">
        <v>4160</v>
      </c>
      <c r="L266" s="593" t="s">
        <v>2266</v>
      </c>
      <c r="M266" s="311">
        <v>92103</v>
      </c>
      <c r="N266" s="311" t="s">
        <v>2865</v>
      </c>
    </row>
    <row r="267" spans="2:14" x14ac:dyDescent="0.35">
      <c r="B267" s="529" t="s">
        <v>2300</v>
      </c>
      <c r="C267" s="311">
        <v>94101</v>
      </c>
      <c r="D267" s="311">
        <v>4210</v>
      </c>
      <c r="L267" s="593" t="s">
        <v>2267</v>
      </c>
      <c r="M267" s="311">
        <v>92104</v>
      </c>
      <c r="N267" s="311" t="s">
        <v>2866</v>
      </c>
    </row>
    <row r="268" spans="2:14" x14ac:dyDescent="0.35">
      <c r="B268" s="529" t="s">
        <v>2301</v>
      </c>
      <c r="C268" s="311">
        <v>94102</v>
      </c>
      <c r="D268" s="311">
        <v>4220</v>
      </c>
      <c r="L268" s="593" t="s">
        <v>2268</v>
      </c>
      <c r="M268" s="311">
        <v>92105</v>
      </c>
      <c r="N268" s="311" t="s">
        <v>2867</v>
      </c>
    </row>
    <row r="269" spans="2:14" x14ac:dyDescent="0.35">
      <c r="B269" s="529" t="s">
        <v>2302</v>
      </c>
      <c r="C269" s="311">
        <v>94103</v>
      </c>
      <c r="D269" s="311">
        <v>4230</v>
      </c>
      <c r="L269" s="593" t="s">
        <v>2269</v>
      </c>
      <c r="M269" s="311">
        <v>92106</v>
      </c>
      <c r="N269" s="311" t="s">
        <v>2868</v>
      </c>
    </row>
    <row r="270" spans="2:14" x14ac:dyDescent="0.35">
      <c r="B270" s="529" t="s">
        <v>2303</v>
      </c>
      <c r="C270" s="311">
        <v>94104</v>
      </c>
      <c r="D270" s="311">
        <v>4240</v>
      </c>
      <c r="L270" s="593" t="s">
        <v>2270</v>
      </c>
      <c r="M270" s="311">
        <v>92201</v>
      </c>
      <c r="N270" s="311" t="s">
        <v>2869</v>
      </c>
    </row>
    <row r="271" spans="2:14" x14ac:dyDescent="0.35">
      <c r="B271" s="529" t="s">
        <v>2304</v>
      </c>
      <c r="C271" s="311">
        <v>94105</v>
      </c>
      <c r="D271" s="311">
        <v>4250</v>
      </c>
      <c r="L271" s="593" t="s">
        <v>2271</v>
      </c>
      <c r="M271" s="311">
        <v>92202</v>
      </c>
      <c r="N271" s="311" t="s">
        <v>2870</v>
      </c>
    </row>
    <row r="272" spans="2:14" x14ac:dyDescent="0.35">
      <c r="B272" s="529" t="s">
        <v>2305</v>
      </c>
      <c r="C272" s="311">
        <v>94106</v>
      </c>
      <c r="D272" s="311">
        <v>4260</v>
      </c>
      <c r="L272" s="593" t="s">
        <v>2272</v>
      </c>
      <c r="M272" s="311">
        <v>92203</v>
      </c>
      <c r="N272" s="311" t="s">
        <v>2871</v>
      </c>
    </row>
    <row r="273" spans="2:14" x14ac:dyDescent="0.35">
      <c r="B273" s="529" t="s">
        <v>2306</v>
      </c>
      <c r="C273" s="311">
        <v>94201</v>
      </c>
      <c r="D273" s="311">
        <v>4310</v>
      </c>
      <c r="L273" s="593" t="s">
        <v>2273</v>
      </c>
      <c r="M273" s="311">
        <v>92204</v>
      </c>
      <c r="N273" s="311" t="s">
        <v>2872</v>
      </c>
    </row>
    <row r="274" spans="2:14" x14ac:dyDescent="0.35">
      <c r="B274" s="529" t="s">
        <v>2307</v>
      </c>
      <c r="C274" s="311">
        <v>94202</v>
      </c>
      <c r="D274" s="311">
        <v>4320</v>
      </c>
      <c r="L274" s="593" t="s">
        <v>2274</v>
      </c>
      <c r="M274" s="311">
        <v>92205</v>
      </c>
      <c r="N274" s="311" t="s">
        <v>2873</v>
      </c>
    </row>
    <row r="275" spans="2:14" x14ac:dyDescent="0.35">
      <c r="B275" s="529" t="s">
        <v>2308</v>
      </c>
      <c r="C275" s="311">
        <v>94203</v>
      </c>
      <c r="D275" s="311">
        <v>4330</v>
      </c>
      <c r="L275" s="593" t="s">
        <v>2275</v>
      </c>
      <c r="M275" s="311">
        <v>92206</v>
      </c>
      <c r="N275" s="311" t="s">
        <v>2874</v>
      </c>
    </row>
    <row r="276" spans="2:14" x14ac:dyDescent="0.35">
      <c r="B276" s="529" t="s">
        <v>2309</v>
      </c>
      <c r="C276" s="311">
        <v>94204</v>
      </c>
      <c r="D276" s="311">
        <v>4340</v>
      </c>
      <c r="L276" s="593" t="s">
        <v>2276</v>
      </c>
      <c r="M276" s="311">
        <v>93001</v>
      </c>
      <c r="N276" s="311" t="s">
        <v>2857</v>
      </c>
    </row>
    <row r="277" spans="2:14" x14ac:dyDescent="0.35">
      <c r="B277" s="529" t="s">
        <v>2310</v>
      </c>
      <c r="C277" s="311">
        <v>94205</v>
      </c>
      <c r="D277" s="311">
        <v>4350</v>
      </c>
      <c r="L277" s="593" t="s">
        <v>2277</v>
      </c>
      <c r="M277" s="311">
        <v>93002</v>
      </c>
      <c r="N277" s="311" t="s">
        <v>2858</v>
      </c>
    </row>
    <row r="278" spans="2:14" x14ac:dyDescent="0.35">
      <c r="B278" s="529" t="s">
        <v>2311</v>
      </c>
      <c r="C278" s="311">
        <v>94206</v>
      </c>
      <c r="D278" s="311">
        <v>4360</v>
      </c>
      <c r="L278" s="593" t="s">
        <v>2278</v>
      </c>
      <c r="M278" s="311">
        <v>93003</v>
      </c>
      <c r="N278" s="311" t="s">
        <v>2859</v>
      </c>
    </row>
    <row r="279" spans="2:14" x14ac:dyDescent="0.35">
      <c r="B279" s="529" t="s">
        <v>2312</v>
      </c>
      <c r="C279" s="311">
        <v>95001</v>
      </c>
      <c r="D279" s="311">
        <v>5110</v>
      </c>
      <c r="L279" s="593" t="s">
        <v>2279</v>
      </c>
      <c r="M279" s="311">
        <v>93004</v>
      </c>
      <c r="N279" s="311" t="s">
        <v>2860</v>
      </c>
    </row>
    <row r="280" spans="2:14" x14ac:dyDescent="0.35">
      <c r="B280" s="529" t="s">
        <v>2313</v>
      </c>
      <c r="C280" s="311">
        <v>95002</v>
      </c>
      <c r="D280" s="311">
        <v>5120</v>
      </c>
      <c r="L280" s="593" t="s">
        <v>2280</v>
      </c>
      <c r="M280" s="311">
        <v>93005</v>
      </c>
      <c r="N280" s="311" t="s">
        <v>2861</v>
      </c>
    </row>
    <row r="281" spans="2:14" x14ac:dyDescent="0.35">
      <c r="B281" s="529" t="s">
        <v>2314</v>
      </c>
      <c r="C281" s="311">
        <v>95003</v>
      </c>
      <c r="D281" s="311">
        <v>5130</v>
      </c>
      <c r="L281" s="593" t="s">
        <v>2281</v>
      </c>
      <c r="M281" s="311">
        <v>93006</v>
      </c>
      <c r="N281" s="311" t="s">
        <v>2862</v>
      </c>
    </row>
    <row r="282" spans="2:14" x14ac:dyDescent="0.35">
      <c r="B282" s="529" t="s">
        <v>2315</v>
      </c>
      <c r="C282" s="311">
        <v>95004</v>
      </c>
      <c r="D282" s="311">
        <v>5140</v>
      </c>
      <c r="L282" s="593" t="s">
        <v>2282</v>
      </c>
      <c r="M282" s="311">
        <v>93101</v>
      </c>
      <c r="N282" s="311" t="s">
        <v>2863</v>
      </c>
    </row>
    <row r="283" spans="2:14" x14ac:dyDescent="0.35">
      <c r="B283" s="529" t="s">
        <v>2316</v>
      </c>
      <c r="C283" s="311">
        <v>95005</v>
      </c>
      <c r="D283" s="311">
        <v>5150</v>
      </c>
      <c r="L283" s="593" t="s">
        <v>2283</v>
      </c>
      <c r="M283" s="311">
        <v>93102</v>
      </c>
      <c r="N283" s="311" t="s">
        <v>2864</v>
      </c>
    </row>
    <row r="284" spans="2:14" x14ac:dyDescent="0.35">
      <c r="B284" s="529" t="s">
        <v>2317</v>
      </c>
      <c r="C284" s="311">
        <v>95006</v>
      </c>
      <c r="D284" s="311">
        <v>5160</v>
      </c>
      <c r="L284" s="593" t="s">
        <v>2284</v>
      </c>
      <c r="M284" s="311">
        <v>93103</v>
      </c>
      <c r="N284" s="311" t="s">
        <v>2865</v>
      </c>
    </row>
    <row r="285" spans="2:14" x14ac:dyDescent="0.35">
      <c r="B285" s="529" t="s">
        <v>2318</v>
      </c>
      <c r="C285" s="311">
        <v>95101</v>
      </c>
      <c r="D285" s="311">
        <v>5210</v>
      </c>
      <c r="L285" s="593" t="s">
        <v>2285</v>
      </c>
      <c r="M285" s="311">
        <v>93104</v>
      </c>
      <c r="N285" s="311" t="s">
        <v>2866</v>
      </c>
    </row>
    <row r="286" spans="2:14" x14ac:dyDescent="0.35">
      <c r="B286" s="529" t="s">
        <v>2319</v>
      </c>
      <c r="C286" s="311">
        <v>95102</v>
      </c>
      <c r="D286" s="311">
        <v>5220</v>
      </c>
      <c r="L286" s="593" t="s">
        <v>2286</v>
      </c>
      <c r="M286" s="311">
        <v>93105</v>
      </c>
      <c r="N286" s="311" t="s">
        <v>2867</v>
      </c>
    </row>
    <row r="287" spans="2:14" x14ac:dyDescent="0.35">
      <c r="B287" s="529" t="s">
        <v>2320</v>
      </c>
      <c r="C287" s="311">
        <v>95103</v>
      </c>
      <c r="D287" s="311">
        <v>5230</v>
      </c>
      <c r="L287" s="593" t="s">
        <v>2287</v>
      </c>
      <c r="M287" s="311">
        <v>93106</v>
      </c>
      <c r="N287" s="311" t="s">
        <v>2868</v>
      </c>
    </row>
    <row r="288" spans="2:14" x14ac:dyDescent="0.35">
      <c r="B288" s="529" t="s">
        <v>2321</v>
      </c>
      <c r="C288" s="311">
        <v>95104</v>
      </c>
      <c r="D288" s="311">
        <v>5240</v>
      </c>
      <c r="L288" s="593" t="s">
        <v>2288</v>
      </c>
      <c r="M288" s="311">
        <v>93201</v>
      </c>
      <c r="N288" s="311" t="s">
        <v>2869</v>
      </c>
    </row>
    <row r="289" spans="2:14" x14ac:dyDescent="0.35">
      <c r="B289" s="529" t="s">
        <v>2322</v>
      </c>
      <c r="C289" s="311">
        <v>95105</v>
      </c>
      <c r="D289" s="311">
        <v>5250</v>
      </c>
      <c r="L289" s="593" t="s">
        <v>2289</v>
      </c>
      <c r="M289" s="311">
        <v>93202</v>
      </c>
      <c r="N289" s="311" t="s">
        <v>2870</v>
      </c>
    </row>
    <row r="290" spans="2:14" x14ac:dyDescent="0.35">
      <c r="B290" s="529" t="s">
        <v>2323</v>
      </c>
      <c r="C290" s="311">
        <v>95106</v>
      </c>
      <c r="D290" s="311">
        <v>5260</v>
      </c>
      <c r="L290" s="593" t="s">
        <v>2290</v>
      </c>
      <c r="M290" s="311">
        <v>93203</v>
      </c>
      <c r="N290" s="311" t="s">
        <v>2871</v>
      </c>
    </row>
    <row r="291" spans="2:14" x14ac:dyDescent="0.35">
      <c r="B291" s="529" t="s">
        <v>2324</v>
      </c>
      <c r="C291" s="311">
        <v>95201</v>
      </c>
      <c r="D291" s="311">
        <v>5310</v>
      </c>
      <c r="L291" s="593" t="s">
        <v>2291</v>
      </c>
      <c r="M291" s="311">
        <v>93204</v>
      </c>
      <c r="N291" s="311" t="s">
        <v>2872</v>
      </c>
    </row>
    <row r="292" spans="2:14" x14ac:dyDescent="0.35">
      <c r="B292" s="529" t="s">
        <v>2325</v>
      </c>
      <c r="C292" s="311">
        <v>95202</v>
      </c>
      <c r="D292" s="311">
        <v>5320</v>
      </c>
      <c r="L292" s="593" t="s">
        <v>2292</v>
      </c>
      <c r="M292" s="311">
        <v>93205</v>
      </c>
      <c r="N292" s="311" t="s">
        <v>2873</v>
      </c>
    </row>
    <row r="293" spans="2:14" x14ac:dyDescent="0.35">
      <c r="B293" s="529" t="s">
        <v>2326</v>
      </c>
      <c r="C293" s="311">
        <v>95203</v>
      </c>
      <c r="D293" s="311">
        <v>5330</v>
      </c>
      <c r="L293" s="593" t="s">
        <v>2293</v>
      </c>
      <c r="M293" s="311">
        <v>93206</v>
      </c>
      <c r="N293" s="311" t="s">
        <v>2874</v>
      </c>
    </row>
    <row r="294" spans="2:14" x14ac:dyDescent="0.35">
      <c r="B294" s="529" t="s">
        <v>2327</v>
      </c>
      <c r="C294" s="311">
        <v>95204</v>
      </c>
      <c r="D294" s="311">
        <v>5340</v>
      </c>
      <c r="L294" s="593" t="s">
        <v>2294</v>
      </c>
      <c r="M294" s="311">
        <v>94001</v>
      </c>
      <c r="N294" s="311" t="s">
        <v>2857</v>
      </c>
    </row>
    <row r="295" spans="2:14" x14ac:dyDescent="0.35">
      <c r="B295" s="529" t="s">
        <v>2328</v>
      </c>
      <c r="C295" s="311">
        <v>95205</v>
      </c>
      <c r="D295" s="311">
        <v>5350</v>
      </c>
      <c r="L295" s="593" t="s">
        <v>2295</v>
      </c>
      <c r="M295" s="311">
        <v>94002</v>
      </c>
      <c r="N295" s="311" t="s">
        <v>2858</v>
      </c>
    </row>
    <row r="296" spans="2:14" x14ac:dyDescent="0.35">
      <c r="B296" s="529" t="s">
        <v>2329</v>
      </c>
      <c r="C296" s="311">
        <v>95206</v>
      </c>
      <c r="D296" s="311">
        <v>5360</v>
      </c>
      <c r="L296" s="593" t="s">
        <v>2296</v>
      </c>
      <c r="M296" s="311">
        <v>94003</v>
      </c>
      <c r="N296" s="311" t="s">
        <v>2859</v>
      </c>
    </row>
    <row r="297" spans="2:14" x14ac:dyDescent="0.35">
      <c r="L297" s="593" t="s">
        <v>2297</v>
      </c>
      <c r="M297" s="311">
        <v>94004</v>
      </c>
      <c r="N297" s="311" t="s">
        <v>2860</v>
      </c>
    </row>
    <row r="298" spans="2:14" x14ac:dyDescent="0.35">
      <c r="L298" s="593" t="s">
        <v>2298</v>
      </c>
      <c r="M298" s="311">
        <v>94005</v>
      </c>
      <c r="N298" s="311" t="s">
        <v>2861</v>
      </c>
    </row>
    <row r="299" spans="2:14" x14ac:dyDescent="0.35">
      <c r="B299" s="550" t="s">
        <v>2485</v>
      </c>
      <c r="C299" s="550" t="s">
        <v>2486</v>
      </c>
      <c r="L299" s="593" t="s">
        <v>2299</v>
      </c>
      <c r="M299" s="311">
        <v>94006</v>
      </c>
      <c r="N299" s="311" t="s">
        <v>2862</v>
      </c>
    </row>
    <row r="300" spans="2:14" x14ac:dyDescent="0.35">
      <c r="B300" s="578" t="s">
        <v>2595</v>
      </c>
      <c r="C300" s="311">
        <v>23000</v>
      </c>
      <c r="L300" s="593" t="s">
        <v>2300</v>
      </c>
      <c r="M300" s="311">
        <v>94101</v>
      </c>
      <c r="N300" s="311" t="s">
        <v>2863</v>
      </c>
    </row>
    <row r="301" spans="2:14" x14ac:dyDescent="0.35">
      <c r="B301" s="311" t="s">
        <v>2465</v>
      </c>
      <c r="C301" s="311">
        <v>23001</v>
      </c>
      <c r="L301" s="593" t="s">
        <v>2301</v>
      </c>
      <c r="M301" s="311">
        <v>94102</v>
      </c>
      <c r="N301" s="311" t="s">
        <v>2864</v>
      </c>
    </row>
    <row r="302" spans="2:14" x14ac:dyDescent="0.35">
      <c r="B302" s="311" t="s">
        <v>2466</v>
      </c>
      <c r="C302" s="311">
        <v>23002</v>
      </c>
      <c r="L302" s="593" t="s">
        <v>2302</v>
      </c>
      <c r="M302" s="311">
        <v>94103</v>
      </c>
      <c r="N302" s="311" t="s">
        <v>2865</v>
      </c>
    </row>
    <row r="303" spans="2:14" x14ac:dyDescent="0.35">
      <c r="B303" s="311" t="s">
        <v>2467</v>
      </c>
      <c r="C303" s="311">
        <v>23003</v>
      </c>
      <c r="L303" s="593" t="s">
        <v>2303</v>
      </c>
      <c r="M303" s="311">
        <v>94104</v>
      </c>
      <c r="N303" s="311" t="s">
        <v>2866</v>
      </c>
    </row>
    <row r="304" spans="2:14" x14ac:dyDescent="0.35">
      <c r="B304" s="311" t="s">
        <v>2468</v>
      </c>
      <c r="C304" s="311">
        <v>23004</v>
      </c>
      <c r="L304" s="593" t="s">
        <v>2304</v>
      </c>
      <c r="M304" s="311">
        <v>94105</v>
      </c>
      <c r="N304" s="311" t="s">
        <v>2867</v>
      </c>
    </row>
    <row r="305" spans="2:14" x14ac:dyDescent="0.35">
      <c r="B305" s="311" t="s">
        <v>2469</v>
      </c>
      <c r="C305" s="311">
        <v>23005</v>
      </c>
      <c r="L305" s="593" t="s">
        <v>2305</v>
      </c>
      <c r="M305" s="311">
        <v>94106</v>
      </c>
      <c r="N305" s="311" t="s">
        <v>2868</v>
      </c>
    </row>
    <row r="306" spans="2:14" x14ac:dyDescent="0.35">
      <c r="B306" s="311" t="s">
        <v>2470</v>
      </c>
      <c r="C306" s="311">
        <v>23006</v>
      </c>
      <c r="L306" s="593" t="s">
        <v>2306</v>
      </c>
      <c r="M306" s="311">
        <v>94201</v>
      </c>
      <c r="N306" s="311" t="s">
        <v>2869</v>
      </c>
    </row>
    <row r="307" spans="2:14" x14ac:dyDescent="0.35">
      <c r="B307" s="311" t="s">
        <v>2471</v>
      </c>
      <c r="C307" s="311">
        <v>23007</v>
      </c>
      <c r="L307" s="593" t="s">
        <v>2307</v>
      </c>
      <c r="M307" s="311">
        <v>94202</v>
      </c>
      <c r="N307" s="311" t="s">
        <v>2870</v>
      </c>
    </row>
    <row r="308" spans="2:14" x14ac:dyDescent="0.35">
      <c r="B308" s="311" t="s">
        <v>2472</v>
      </c>
      <c r="C308" s="311">
        <v>23008</v>
      </c>
      <c r="L308" s="593" t="s">
        <v>2308</v>
      </c>
      <c r="M308" s="311">
        <v>94203</v>
      </c>
      <c r="N308" s="311" t="s">
        <v>2871</v>
      </c>
    </row>
    <row r="309" spans="2:14" x14ac:dyDescent="0.35">
      <c r="B309" s="311" t="s">
        <v>2473</v>
      </c>
      <c r="C309" s="311">
        <v>23009</v>
      </c>
      <c r="L309" s="593" t="s">
        <v>2309</v>
      </c>
      <c r="M309" s="311">
        <v>94204</v>
      </c>
      <c r="N309" s="311" t="s">
        <v>2872</v>
      </c>
    </row>
    <row r="310" spans="2:14" x14ac:dyDescent="0.35">
      <c r="B310" s="311" t="s">
        <v>2474</v>
      </c>
      <c r="C310" s="311">
        <v>23010</v>
      </c>
      <c r="L310" s="593" t="s">
        <v>2310</v>
      </c>
      <c r="M310" s="311">
        <v>94205</v>
      </c>
      <c r="N310" s="311" t="s">
        <v>2873</v>
      </c>
    </row>
    <row r="311" spans="2:14" x14ac:dyDescent="0.35">
      <c r="B311" s="311" t="s">
        <v>2475</v>
      </c>
      <c r="C311" s="311">
        <v>24001</v>
      </c>
      <c r="L311" s="593" t="s">
        <v>2311</v>
      </c>
      <c r="M311" s="311">
        <v>94206</v>
      </c>
      <c r="N311" s="311" t="s">
        <v>2874</v>
      </c>
    </row>
    <row r="312" spans="2:14" x14ac:dyDescent="0.35">
      <c r="B312" s="311" t="s">
        <v>2476</v>
      </c>
      <c r="C312" s="311">
        <v>24002</v>
      </c>
      <c r="L312" s="593" t="s">
        <v>2312</v>
      </c>
      <c r="M312" s="311">
        <v>95001</v>
      </c>
      <c r="N312" s="311" t="s">
        <v>2857</v>
      </c>
    </row>
    <row r="313" spans="2:14" x14ac:dyDescent="0.35">
      <c r="B313" s="311" t="s">
        <v>2477</v>
      </c>
      <c r="C313" s="311">
        <v>24003</v>
      </c>
      <c r="L313" s="593" t="s">
        <v>2313</v>
      </c>
      <c r="M313" s="311">
        <v>95002</v>
      </c>
      <c r="N313" s="311" t="s">
        <v>2858</v>
      </c>
    </row>
    <row r="314" spans="2:14" x14ac:dyDescent="0.35">
      <c r="B314" s="311" t="s">
        <v>2478</v>
      </c>
      <c r="C314" s="311">
        <v>24004</v>
      </c>
      <c r="L314" s="593" t="s">
        <v>2314</v>
      </c>
      <c r="M314" s="311">
        <v>95003</v>
      </c>
      <c r="N314" s="311" t="s">
        <v>2859</v>
      </c>
    </row>
    <row r="315" spans="2:14" x14ac:dyDescent="0.35">
      <c r="B315" s="311" t="s">
        <v>2479</v>
      </c>
      <c r="C315" s="311">
        <v>24005</v>
      </c>
      <c r="L315" s="593" t="s">
        <v>2315</v>
      </c>
      <c r="M315" s="311">
        <v>95004</v>
      </c>
      <c r="N315" s="311" t="s">
        <v>2860</v>
      </c>
    </row>
    <row r="316" spans="2:14" x14ac:dyDescent="0.35">
      <c r="B316" s="311" t="s">
        <v>2480</v>
      </c>
      <c r="C316" s="311">
        <v>24006</v>
      </c>
      <c r="L316" s="593" t="s">
        <v>2316</v>
      </c>
      <c r="M316" s="311">
        <v>95005</v>
      </c>
      <c r="N316" s="311" t="s">
        <v>2861</v>
      </c>
    </row>
    <row r="317" spans="2:14" x14ac:dyDescent="0.35">
      <c r="B317" s="311" t="s">
        <v>2481</v>
      </c>
      <c r="C317" s="311">
        <v>24007</v>
      </c>
      <c r="L317" s="593" t="s">
        <v>2317</v>
      </c>
      <c r="M317" s="311">
        <v>95006</v>
      </c>
      <c r="N317" s="311" t="s">
        <v>2862</v>
      </c>
    </row>
    <row r="318" spans="2:14" x14ac:dyDescent="0.35">
      <c r="B318" s="311" t="s">
        <v>2482</v>
      </c>
      <c r="C318" s="311">
        <v>24008</v>
      </c>
      <c r="L318" s="593" t="s">
        <v>2318</v>
      </c>
      <c r="M318" s="311">
        <v>95101</v>
      </c>
      <c r="N318" s="311" t="s">
        <v>2863</v>
      </c>
    </row>
    <row r="319" spans="2:14" x14ac:dyDescent="0.35">
      <c r="B319" s="311" t="s">
        <v>2483</v>
      </c>
      <c r="C319" s="311">
        <v>24009</v>
      </c>
      <c r="L319" s="593" t="s">
        <v>2319</v>
      </c>
      <c r="M319" s="311">
        <v>95102</v>
      </c>
      <c r="N319" s="311" t="s">
        <v>2864</v>
      </c>
    </row>
    <row r="320" spans="2:14" x14ac:dyDescent="0.35">
      <c r="B320" s="311" t="s">
        <v>2484</v>
      </c>
      <c r="C320" s="311">
        <v>24010</v>
      </c>
      <c r="L320" s="593" t="s">
        <v>2320</v>
      </c>
      <c r="M320" s="311">
        <v>95103</v>
      </c>
      <c r="N320" s="311" t="s">
        <v>2865</v>
      </c>
    </row>
    <row r="321" spans="2:14" x14ac:dyDescent="0.35">
      <c r="B321" s="311" t="s">
        <v>2729</v>
      </c>
      <c r="C321" s="311">
        <v>23101</v>
      </c>
      <c r="L321" s="593" t="s">
        <v>2321</v>
      </c>
      <c r="M321" s="311">
        <v>95104</v>
      </c>
      <c r="N321" s="311" t="s">
        <v>2866</v>
      </c>
    </row>
    <row r="322" spans="2:14" x14ac:dyDescent="0.35">
      <c r="B322" s="311" t="s">
        <v>2730</v>
      </c>
      <c r="C322" s="311">
        <v>23102</v>
      </c>
      <c r="L322" s="593" t="s">
        <v>2322</v>
      </c>
      <c r="M322" s="311">
        <v>95105</v>
      </c>
      <c r="N322" s="311" t="s">
        <v>2867</v>
      </c>
    </row>
    <row r="323" spans="2:14" x14ac:dyDescent="0.35">
      <c r="B323" s="311" t="s">
        <v>2731</v>
      </c>
      <c r="C323" s="311">
        <v>23103</v>
      </c>
      <c r="L323" s="593" t="s">
        <v>2323</v>
      </c>
      <c r="M323" s="311">
        <v>95106</v>
      </c>
      <c r="N323" s="311" t="s">
        <v>2868</v>
      </c>
    </row>
    <row r="324" spans="2:14" x14ac:dyDescent="0.35">
      <c r="B324" s="311" t="s">
        <v>2732</v>
      </c>
      <c r="C324" s="311">
        <v>23104</v>
      </c>
      <c r="L324" s="593" t="s">
        <v>2324</v>
      </c>
      <c r="M324" s="311">
        <v>95201</v>
      </c>
      <c r="N324" s="311" t="s">
        <v>2869</v>
      </c>
    </row>
    <row r="325" spans="2:14" x14ac:dyDescent="0.35">
      <c r="B325" s="311" t="s">
        <v>2733</v>
      </c>
      <c r="C325" s="311">
        <v>23105</v>
      </c>
      <c r="L325" s="593" t="s">
        <v>2325</v>
      </c>
      <c r="M325" s="311">
        <v>95202</v>
      </c>
      <c r="N325" s="311" t="s">
        <v>2870</v>
      </c>
    </row>
    <row r="326" spans="2:14" x14ac:dyDescent="0.35">
      <c r="B326" s="311" t="s">
        <v>2734</v>
      </c>
      <c r="C326" s="311">
        <v>23106</v>
      </c>
      <c r="L326" s="593" t="s">
        <v>2326</v>
      </c>
      <c r="M326" s="311">
        <v>95203</v>
      </c>
      <c r="N326" s="311" t="s">
        <v>2871</v>
      </c>
    </row>
    <row r="327" spans="2:14" x14ac:dyDescent="0.35">
      <c r="B327" s="311" t="s">
        <v>2735</v>
      </c>
      <c r="C327" s="311">
        <v>23107</v>
      </c>
      <c r="L327" s="593" t="s">
        <v>2327</v>
      </c>
      <c r="M327" s="311">
        <v>95204</v>
      </c>
      <c r="N327" s="311" t="s">
        <v>2872</v>
      </c>
    </row>
    <row r="328" spans="2:14" x14ac:dyDescent="0.35">
      <c r="B328" s="311" t="s">
        <v>2736</v>
      </c>
      <c r="C328" s="311">
        <v>23108</v>
      </c>
      <c r="L328" s="593" t="s">
        <v>2328</v>
      </c>
      <c r="M328" s="311">
        <v>95205</v>
      </c>
      <c r="N328" s="311" t="s">
        <v>2873</v>
      </c>
    </row>
    <row r="329" spans="2:14" x14ac:dyDescent="0.35">
      <c r="B329" s="311" t="s">
        <v>2737</v>
      </c>
      <c r="C329" s="311">
        <v>23109</v>
      </c>
      <c r="L329" s="593" t="s">
        <v>2329</v>
      </c>
      <c r="M329" s="311">
        <v>95206</v>
      </c>
      <c r="N329" s="311" t="s">
        <v>2874</v>
      </c>
    </row>
    <row r="330" spans="2:14" x14ac:dyDescent="0.35">
      <c r="B330" s="311" t="s">
        <v>2738</v>
      </c>
      <c r="C330" s="311">
        <v>23110</v>
      </c>
    </row>
    <row r="331" spans="2:14" x14ac:dyDescent="0.35">
      <c r="B331" s="311" t="s">
        <v>2739</v>
      </c>
      <c r="C331" s="311">
        <v>24101</v>
      </c>
      <c r="L331" s="596" t="s">
        <v>2485</v>
      </c>
      <c r="M331" s="596" t="s">
        <v>2486</v>
      </c>
      <c r="N331" s="601" t="s">
        <v>2876</v>
      </c>
    </row>
    <row r="332" spans="2:14" x14ac:dyDescent="0.35">
      <c r="B332" s="311" t="s">
        <v>2740</v>
      </c>
      <c r="C332" s="311">
        <v>24102</v>
      </c>
      <c r="L332" s="578" t="s">
        <v>2595</v>
      </c>
      <c r="M332" s="311">
        <v>23000</v>
      </c>
      <c r="N332" s="311" t="s">
        <v>2796</v>
      </c>
    </row>
    <row r="333" spans="2:14" x14ac:dyDescent="0.35">
      <c r="B333" s="311" t="s">
        <v>2741</v>
      </c>
      <c r="C333" s="311">
        <v>24103</v>
      </c>
      <c r="L333" s="311" t="s">
        <v>2465</v>
      </c>
      <c r="M333" s="311">
        <v>23001</v>
      </c>
      <c r="N333" s="311" t="s">
        <v>2796</v>
      </c>
    </row>
    <row r="334" spans="2:14" x14ac:dyDescent="0.35">
      <c r="B334" s="311" t="s">
        <v>2742</v>
      </c>
      <c r="C334" s="311">
        <v>24104</v>
      </c>
      <c r="L334" s="311" t="s">
        <v>2466</v>
      </c>
      <c r="M334" s="311">
        <v>23002</v>
      </c>
      <c r="N334" s="311" t="s">
        <v>2796</v>
      </c>
    </row>
    <row r="335" spans="2:14" x14ac:dyDescent="0.35">
      <c r="B335" s="311" t="s">
        <v>2743</v>
      </c>
      <c r="C335" s="311">
        <v>24105</v>
      </c>
      <c r="L335" s="311" t="s">
        <v>2467</v>
      </c>
      <c r="M335" s="311">
        <v>23003</v>
      </c>
      <c r="N335" s="311" t="s">
        <v>2796</v>
      </c>
    </row>
    <row r="336" spans="2:14" x14ac:dyDescent="0.35">
      <c r="B336" s="311" t="s">
        <v>2744</v>
      </c>
      <c r="C336" s="311">
        <v>24106</v>
      </c>
      <c r="L336" s="311" t="s">
        <v>2468</v>
      </c>
      <c r="M336" s="311">
        <v>23004</v>
      </c>
      <c r="N336" s="311" t="s">
        <v>2796</v>
      </c>
    </row>
    <row r="337" spans="2:14" x14ac:dyDescent="0.35">
      <c r="B337" s="311" t="s">
        <v>2745</v>
      </c>
      <c r="C337" s="311">
        <v>24107</v>
      </c>
      <c r="L337" s="311" t="s">
        <v>2469</v>
      </c>
      <c r="M337" s="311">
        <v>23005</v>
      </c>
      <c r="N337" s="311" t="s">
        <v>2796</v>
      </c>
    </row>
    <row r="338" spans="2:14" x14ac:dyDescent="0.35">
      <c r="B338" s="311" t="s">
        <v>2746</v>
      </c>
      <c r="C338" s="311">
        <v>24108</v>
      </c>
      <c r="L338" s="311" t="s">
        <v>2470</v>
      </c>
      <c r="M338" s="311">
        <v>23006</v>
      </c>
      <c r="N338" s="311" t="s">
        <v>2796</v>
      </c>
    </row>
    <row r="339" spans="2:14" x14ac:dyDescent="0.35">
      <c r="B339" s="311" t="s">
        <v>2747</v>
      </c>
      <c r="C339" s="311">
        <v>24109</v>
      </c>
      <c r="L339" s="311" t="s">
        <v>2471</v>
      </c>
      <c r="M339" s="311">
        <v>23007</v>
      </c>
      <c r="N339" s="311" t="s">
        <v>2796</v>
      </c>
    </row>
    <row r="340" spans="2:14" x14ac:dyDescent="0.35">
      <c r="B340" s="311" t="s">
        <v>2748</v>
      </c>
      <c r="C340" s="311">
        <v>24110</v>
      </c>
      <c r="L340" s="311" t="s">
        <v>2472</v>
      </c>
      <c r="M340" s="311">
        <v>23008</v>
      </c>
      <c r="N340" s="311" t="s">
        <v>2796</v>
      </c>
    </row>
    <row r="341" spans="2:14" x14ac:dyDescent="0.35">
      <c r="B341" s="311" t="s">
        <v>2487</v>
      </c>
      <c r="C341" s="311">
        <v>25001</v>
      </c>
      <c r="L341" s="311" t="s">
        <v>2473</v>
      </c>
      <c r="M341" s="311">
        <v>23009</v>
      </c>
      <c r="N341" s="311" t="s">
        <v>2796</v>
      </c>
    </row>
    <row r="342" spans="2:14" x14ac:dyDescent="0.35">
      <c r="B342" s="311" t="s">
        <v>2488</v>
      </c>
      <c r="C342" s="311">
        <v>25002</v>
      </c>
      <c r="L342" s="311" t="s">
        <v>2474</v>
      </c>
      <c r="M342" s="311">
        <v>23010</v>
      </c>
      <c r="N342" s="311" t="s">
        <v>2796</v>
      </c>
    </row>
    <row r="343" spans="2:14" x14ac:dyDescent="0.35">
      <c r="B343" s="311" t="s">
        <v>2489</v>
      </c>
      <c r="C343" s="311">
        <v>25003</v>
      </c>
      <c r="L343" s="311" t="s">
        <v>2475</v>
      </c>
      <c r="M343" s="311">
        <v>24001</v>
      </c>
      <c r="N343" s="311" t="s">
        <v>2797</v>
      </c>
    </row>
    <row r="344" spans="2:14" x14ac:dyDescent="0.35">
      <c r="B344" s="311" t="s">
        <v>2490</v>
      </c>
      <c r="C344" s="311">
        <v>25004</v>
      </c>
      <c r="L344" s="311" t="s">
        <v>2476</v>
      </c>
      <c r="M344" s="311">
        <v>24002</v>
      </c>
      <c r="N344" s="311" t="s">
        <v>2797</v>
      </c>
    </row>
    <row r="345" spans="2:14" x14ac:dyDescent="0.35">
      <c r="B345" s="311" t="s">
        <v>2491</v>
      </c>
      <c r="C345" s="311">
        <v>25005</v>
      </c>
      <c r="L345" s="311" t="s">
        <v>2477</v>
      </c>
      <c r="M345" s="311">
        <v>24003</v>
      </c>
      <c r="N345" s="311" t="s">
        <v>2797</v>
      </c>
    </row>
    <row r="346" spans="2:14" x14ac:dyDescent="0.35">
      <c r="B346" s="311" t="s">
        <v>2492</v>
      </c>
      <c r="C346" s="311">
        <v>25006</v>
      </c>
      <c r="L346" s="311" t="s">
        <v>2478</v>
      </c>
      <c r="M346" s="311">
        <v>24004</v>
      </c>
      <c r="N346" s="311" t="s">
        <v>2797</v>
      </c>
    </row>
    <row r="347" spans="2:14" x14ac:dyDescent="0.35">
      <c r="B347" s="311" t="s">
        <v>2493</v>
      </c>
      <c r="C347" s="311">
        <v>25007</v>
      </c>
      <c r="L347" s="311" t="s">
        <v>2479</v>
      </c>
      <c r="M347" s="311">
        <v>24005</v>
      </c>
      <c r="N347" s="311" t="s">
        <v>2797</v>
      </c>
    </row>
    <row r="348" spans="2:14" x14ac:dyDescent="0.35">
      <c r="B348" s="311" t="s">
        <v>2494</v>
      </c>
      <c r="C348" s="311">
        <v>25008</v>
      </c>
      <c r="L348" s="311" t="s">
        <v>2480</v>
      </c>
      <c r="M348" s="311">
        <v>24006</v>
      </c>
      <c r="N348" s="311" t="s">
        <v>2797</v>
      </c>
    </row>
    <row r="349" spans="2:14" x14ac:dyDescent="0.35">
      <c r="B349" s="311" t="s">
        <v>2495</v>
      </c>
      <c r="C349" s="311">
        <v>25009</v>
      </c>
      <c r="L349" s="311" t="s">
        <v>2481</v>
      </c>
      <c r="M349" s="311">
        <v>24007</v>
      </c>
      <c r="N349" s="311" t="s">
        <v>2797</v>
      </c>
    </row>
    <row r="350" spans="2:14" x14ac:dyDescent="0.35">
      <c r="B350" s="311" t="s">
        <v>2496</v>
      </c>
      <c r="C350" s="311">
        <v>25010</v>
      </c>
      <c r="L350" s="311" t="s">
        <v>2482</v>
      </c>
      <c r="M350" s="311">
        <v>24008</v>
      </c>
      <c r="N350" s="311" t="s">
        <v>2797</v>
      </c>
    </row>
    <row r="351" spans="2:14" x14ac:dyDescent="0.35">
      <c r="B351" s="311" t="s">
        <v>2902</v>
      </c>
      <c r="C351" s="311">
        <v>25051</v>
      </c>
      <c r="L351" s="311" t="s">
        <v>2483</v>
      </c>
      <c r="M351" s="311">
        <v>24009</v>
      </c>
      <c r="N351" s="311" t="s">
        <v>2797</v>
      </c>
    </row>
    <row r="352" spans="2:14" x14ac:dyDescent="0.35">
      <c r="B352" s="311" t="s">
        <v>2918</v>
      </c>
      <c r="C352" s="311">
        <v>25052</v>
      </c>
      <c r="L352" s="311" t="s">
        <v>2484</v>
      </c>
      <c r="M352" s="311">
        <v>24010</v>
      </c>
      <c r="N352" s="311" t="s">
        <v>2797</v>
      </c>
    </row>
    <row r="353" spans="2:14" x14ac:dyDescent="0.35">
      <c r="B353" s="311" t="s">
        <v>2919</v>
      </c>
      <c r="C353" s="311">
        <v>25053</v>
      </c>
      <c r="L353" s="311" t="s">
        <v>2729</v>
      </c>
      <c r="M353" s="311">
        <v>23101</v>
      </c>
      <c r="N353" s="311" t="s">
        <v>2796</v>
      </c>
    </row>
    <row r="354" spans="2:14" x14ac:dyDescent="0.35">
      <c r="B354" s="311" t="s">
        <v>2920</v>
      </c>
      <c r="C354" s="311">
        <v>25054</v>
      </c>
      <c r="L354" s="311" t="s">
        <v>2730</v>
      </c>
      <c r="M354" s="311">
        <v>23102</v>
      </c>
      <c r="N354" s="311" t="s">
        <v>2796</v>
      </c>
    </row>
    <row r="355" spans="2:14" x14ac:dyDescent="0.35">
      <c r="B355" s="311" t="s">
        <v>2921</v>
      </c>
      <c r="C355" s="311">
        <v>25055</v>
      </c>
      <c r="L355" s="311" t="s">
        <v>2731</v>
      </c>
      <c r="M355" s="311">
        <v>23103</v>
      </c>
      <c r="N355" s="311" t="s">
        <v>2796</v>
      </c>
    </row>
    <row r="356" spans="2:14" x14ac:dyDescent="0.35">
      <c r="B356" s="311" t="s">
        <v>2922</v>
      </c>
      <c r="C356" s="311">
        <v>25056</v>
      </c>
      <c r="L356" s="311" t="s">
        <v>2732</v>
      </c>
      <c r="M356" s="311">
        <v>23104</v>
      </c>
      <c r="N356" s="311" t="s">
        <v>2796</v>
      </c>
    </row>
    <row r="357" spans="2:14" x14ac:dyDescent="0.35">
      <c r="B357" s="311" t="s">
        <v>2923</v>
      </c>
      <c r="C357" s="311">
        <v>25057</v>
      </c>
      <c r="L357" s="311" t="s">
        <v>2733</v>
      </c>
      <c r="M357" s="311">
        <v>23105</v>
      </c>
      <c r="N357" s="311" t="s">
        <v>2796</v>
      </c>
    </row>
    <row r="358" spans="2:14" x14ac:dyDescent="0.35">
      <c r="B358" s="311" t="s">
        <v>2924</v>
      </c>
      <c r="C358" s="311">
        <v>25058</v>
      </c>
      <c r="L358" s="311" t="s">
        <v>2734</v>
      </c>
      <c r="M358" s="311">
        <v>23106</v>
      </c>
      <c r="N358" s="311" t="s">
        <v>2796</v>
      </c>
    </row>
    <row r="359" spans="2:14" x14ac:dyDescent="0.35">
      <c r="B359" s="311" t="s">
        <v>2925</v>
      </c>
      <c r="C359" s="311">
        <v>25059</v>
      </c>
      <c r="L359" s="311" t="s">
        <v>2735</v>
      </c>
      <c r="M359" s="311">
        <v>23107</v>
      </c>
      <c r="N359" s="311" t="s">
        <v>2796</v>
      </c>
    </row>
    <row r="360" spans="2:14" x14ac:dyDescent="0.35">
      <c r="B360" s="311" t="s">
        <v>2926</v>
      </c>
      <c r="C360" s="311">
        <v>25060</v>
      </c>
      <c r="L360" s="311" t="s">
        <v>2736</v>
      </c>
      <c r="M360" s="311">
        <v>23108</v>
      </c>
      <c r="N360" s="311" t="s">
        <v>2796</v>
      </c>
    </row>
    <row r="361" spans="2:14" x14ac:dyDescent="0.35">
      <c r="B361" s="311" t="s">
        <v>2497</v>
      </c>
      <c r="C361" s="311">
        <v>25101</v>
      </c>
      <c r="L361" s="311" t="s">
        <v>2737</v>
      </c>
      <c r="M361" s="311">
        <v>23109</v>
      </c>
      <c r="N361" s="311" t="s">
        <v>2796</v>
      </c>
    </row>
    <row r="362" spans="2:14" x14ac:dyDescent="0.35">
      <c r="B362" s="311" t="s">
        <v>2498</v>
      </c>
      <c r="C362" s="311">
        <v>25102</v>
      </c>
      <c r="L362" s="311" t="s">
        <v>2738</v>
      </c>
      <c r="M362" s="311">
        <v>23110</v>
      </c>
      <c r="N362" s="311" t="s">
        <v>2796</v>
      </c>
    </row>
    <row r="363" spans="2:14" x14ac:dyDescent="0.35">
      <c r="B363" s="311" t="s">
        <v>2499</v>
      </c>
      <c r="C363" s="311">
        <v>25103</v>
      </c>
      <c r="L363" s="311" t="s">
        <v>2739</v>
      </c>
      <c r="M363" s="311">
        <v>24101</v>
      </c>
      <c r="N363" s="311" t="s">
        <v>2797</v>
      </c>
    </row>
    <row r="364" spans="2:14" x14ac:dyDescent="0.35">
      <c r="B364" s="311" t="s">
        <v>2500</v>
      </c>
      <c r="C364" s="311">
        <v>25104</v>
      </c>
      <c r="L364" s="311" t="s">
        <v>2740</v>
      </c>
      <c r="M364" s="311">
        <v>24102</v>
      </c>
      <c r="N364" s="311" t="s">
        <v>2797</v>
      </c>
    </row>
    <row r="365" spans="2:14" x14ac:dyDescent="0.35">
      <c r="B365" s="311" t="s">
        <v>2501</v>
      </c>
      <c r="C365" s="311">
        <v>25105</v>
      </c>
      <c r="L365" s="311" t="s">
        <v>2741</v>
      </c>
      <c r="M365" s="311">
        <v>24103</v>
      </c>
      <c r="N365" s="311" t="s">
        <v>2797</v>
      </c>
    </row>
    <row r="366" spans="2:14" x14ac:dyDescent="0.35">
      <c r="B366" s="311" t="s">
        <v>2502</v>
      </c>
      <c r="C366" s="311">
        <v>25106</v>
      </c>
      <c r="L366" s="311" t="s">
        <v>2742</v>
      </c>
      <c r="M366" s="311">
        <v>24104</v>
      </c>
      <c r="N366" s="311" t="s">
        <v>2797</v>
      </c>
    </row>
    <row r="367" spans="2:14" x14ac:dyDescent="0.35">
      <c r="B367" s="311" t="s">
        <v>2503</v>
      </c>
      <c r="C367" s="311">
        <v>25107</v>
      </c>
      <c r="L367" s="311" t="s">
        <v>2743</v>
      </c>
      <c r="M367" s="311">
        <v>24105</v>
      </c>
      <c r="N367" s="311" t="s">
        <v>2797</v>
      </c>
    </row>
    <row r="368" spans="2:14" x14ac:dyDescent="0.35">
      <c r="B368" s="311" t="s">
        <v>2504</v>
      </c>
      <c r="C368" s="311">
        <v>25108</v>
      </c>
      <c r="L368" s="311" t="s">
        <v>2744</v>
      </c>
      <c r="M368" s="311">
        <v>24106</v>
      </c>
      <c r="N368" s="311" t="s">
        <v>2797</v>
      </c>
    </row>
    <row r="369" spans="2:14" x14ac:dyDescent="0.35">
      <c r="B369" s="311" t="s">
        <v>2505</v>
      </c>
      <c r="C369" s="311">
        <v>25109</v>
      </c>
      <c r="L369" s="311" t="s">
        <v>2745</v>
      </c>
      <c r="M369" s="311">
        <v>24107</v>
      </c>
      <c r="N369" s="311" t="s">
        <v>2797</v>
      </c>
    </row>
    <row r="370" spans="2:14" x14ac:dyDescent="0.35">
      <c r="B370" s="311" t="s">
        <v>2506</v>
      </c>
      <c r="C370" s="311">
        <v>25110</v>
      </c>
      <c r="L370" s="311" t="s">
        <v>2746</v>
      </c>
      <c r="M370" s="311">
        <v>24108</v>
      </c>
      <c r="N370" s="311" t="s">
        <v>2797</v>
      </c>
    </row>
    <row r="371" spans="2:14" x14ac:dyDescent="0.35">
      <c r="B371" s="311" t="s">
        <v>2904</v>
      </c>
      <c r="C371" s="311">
        <v>25151</v>
      </c>
      <c r="L371" s="311" t="s">
        <v>2747</v>
      </c>
      <c r="M371" s="311">
        <v>24109</v>
      </c>
      <c r="N371" s="311" t="s">
        <v>2797</v>
      </c>
    </row>
    <row r="372" spans="2:14" x14ac:dyDescent="0.35">
      <c r="B372" s="311" t="s">
        <v>2906</v>
      </c>
      <c r="C372" s="311">
        <v>25152</v>
      </c>
      <c r="L372" s="311" t="s">
        <v>2748</v>
      </c>
      <c r="M372" s="311">
        <v>24110</v>
      </c>
      <c r="N372" s="311" t="s">
        <v>2797</v>
      </c>
    </row>
    <row r="373" spans="2:14" x14ac:dyDescent="0.35">
      <c r="B373" s="311" t="s">
        <v>2908</v>
      </c>
      <c r="C373" s="311">
        <v>25153</v>
      </c>
      <c r="L373" s="311" t="s">
        <v>2487</v>
      </c>
      <c r="M373" s="311">
        <v>25001</v>
      </c>
      <c r="N373" s="311" t="s">
        <v>2798</v>
      </c>
    </row>
    <row r="374" spans="2:14" x14ac:dyDescent="0.35">
      <c r="B374" s="311" t="s">
        <v>2909</v>
      </c>
      <c r="C374" s="311">
        <v>25154</v>
      </c>
      <c r="L374" s="311" t="s">
        <v>2488</v>
      </c>
      <c r="M374" s="311">
        <v>25002</v>
      </c>
      <c r="N374" s="311" t="s">
        <v>2798</v>
      </c>
    </row>
    <row r="375" spans="2:14" x14ac:dyDescent="0.35">
      <c r="B375" s="311" t="s">
        <v>2910</v>
      </c>
      <c r="C375" s="311">
        <v>25155</v>
      </c>
      <c r="L375" s="311" t="s">
        <v>2489</v>
      </c>
      <c r="M375" s="311">
        <v>25003</v>
      </c>
      <c r="N375" s="311" t="s">
        <v>2798</v>
      </c>
    </row>
    <row r="376" spans="2:14" x14ac:dyDescent="0.35">
      <c r="B376" s="311" t="s">
        <v>2911</v>
      </c>
      <c r="C376" s="311">
        <v>25156</v>
      </c>
      <c r="L376" s="311" t="s">
        <v>2490</v>
      </c>
      <c r="M376" s="311">
        <v>25004</v>
      </c>
      <c r="N376" s="311" t="s">
        <v>2798</v>
      </c>
    </row>
    <row r="377" spans="2:14" x14ac:dyDescent="0.35">
      <c r="B377" s="311" t="s">
        <v>2912</v>
      </c>
      <c r="C377" s="311">
        <v>25157</v>
      </c>
      <c r="L377" s="311" t="s">
        <v>2491</v>
      </c>
      <c r="M377" s="311">
        <v>25005</v>
      </c>
      <c r="N377" s="311" t="s">
        <v>2798</v>
      </c>
    </row>
    <row r="378" spans="2:14" x14ac:dyDescent="0.35">
      <c r="B378" s="311" t="s">
        <v>2913</v>
      </c>
      <c r="C378" s="311">
        <v>25158</v>
      </c>
      <c r="L378" s="311" t="s">
        <v>2492</v>
      </c>
      <c r="M378" s="311">
        <v>25006</v>
      </c>
      <c r="N378" s="311" t="s">
        <v>2798</v>
      </c>
    </row>
    <row r="379" spans="2:14" x14ac:dyDescent="0.35">
      <c r="B379" s="311" t="s">
        <v>2914</v>
      </c>
      <c r="C379" s="311">
        <v>25159</v>
      </c>
      <c r="L379" s="311" t="s">
        <v>2493</v>
      </c>
      <c r="M379" s="311">
        <v>25007</v>
      </c>
      <c r="N379" s="311" t="s">
        <v>2798</v>
      </c>
    </row>
    <row r="380" spans="2:14" x14ac:dyDescent="0.35">
      <c r="B380" s="311" t="s">
        <v>2915</v>
      </c>
      <c r="C380" s="311">
        <v>25160</v>
      </c>
      <c r="L380" s="311" t="s">
        <v>2494</v>
      </c>
      <c r="M380" s="311">
        <v>25008</v>
      </c>
      <c r="N380" s="311" t="s">
        <v>2798</v>
      </c>
    </row>
    <row r="381" spans="2:14" x14ac:dyDescent="0.35">
      <c r="B381" s="311" t="s">
        <v>2507</v>
      </c>
      <c r="C381" s="311">
        <v>25201</v>
      </c>
      <c r="L381" s="311" t="s">
        <v>2495</v>
      </c>
      <c r="M381" s="311">
        <v>25009</v>
      </c>
      <c r="N381" s="311" t="s">
        <v>2798</v>
      </c>
    </row>
    <row r="382" spans="2:14" x14ac:dyDescent="0.35">
      <c r="B382" s="311" t="s">
        <v>2508</v>
      </c>
      <c r="C382" s="311">
        <v>25202</v>
      </c>
      <c r="L382" s="311" t="s">
        <v>2496</v>
      </c>
      <c r="M382" s="311">
        <v>25010</v>
      </c>
      <c r="N382" s="311" t="s">
        <v>2798</v>
      </c>
    </row>
    <row r="383" spans="2:14" x14ac:dyDescent="0.35">
      <c r="B383" s="311" t="s">
        <v>2509</v>
      </c>
      <c r="C383" s="311">
        <v>25203</v>
      </c>
      <c r="L383" s="311" t="s">
        <v>2902</v>
      </c>
      <c r="M383" s="311">
        <v>25051</v>
      </c>
      <c r="N383" s="311" t="s">
        <v>2798</v>
      </c>
    </row>
    <row r="384" spans="2:14" x14ac:dyDescent="0.35">
      <c r="B384" s="311" t="s">
        <v>2510</v>
      </c>
      <c r="C384" s="311">
        <v>25204</v>
      </c>
      <c r="L384" s="311" t="s">
        <v>2918</v>
      </c>
      <c r="M384" s="311">
        <v>25052</v>
      </c>
      <c r="N384" s="311" t="s">
        <v>2798</v>
      </c>
    </row>
    <row r="385" spans="2:14" x14ac:dyDescent="0.35">
      <c r="B385" s="311" t="s">
        <v>2511</v>
      </c>
      <c r="C385" s="311">
        <v>25205</v>
      </c>
      <c r="L385" s="311" t="s">
        <v>2919</v>
      </c>
      <c r="M385" s="311">
        <v>25053</v>
      </c>
      <c r="N385" s="311" t="s">
        <v>2798</v>
      </c>
    </row>
    <row r="386" spans="2:14" x14ac:dyDescent="0.35">
      <c r="B386" s="311" t="s">
        <v>2512</v>
      </c>
      <c r="C386" s="311">
        <v>25206</v>
      </c>
      <c r="L386" s="311" t="s">
        <v>2920</v>
      </c>
      <c r="M386" s="311">
        <v>25054</v>
      </c>
      <c r="N386" s="311" t="s">
        <v>2798</v>
      </c>
    </row>
    <row r="387" spans="2:14" x14ac:dyDescent="0.35">
      <c r="B387" s="311" t="s">
        <v>2513</v>
      </c>
      <c r="C387" s="311">
        <v>25207</v>
      </c>
      <c r="L387" s="311" t="s">
        <v>2921</v>
      </c>
      <c r="M387" s="311">
        <v>25055</v>
      </c>
      <c r="N387" s="311" t="s">
        <v>2798</v>
      </c>
    </row>
    <row r="388" spans="2:14" x14ac:dyDescent="0.35">
      <c r="B388" s="311" t="s">
        <v>2514</v>
      </c>
      <c r="C388" s="311">
        <v>25208</v>
      </c>
      <c r="L388" s="311" t="s">
        <v>2922</v>
      </c>
      <c r="M388" s="311">
        <v>25056</v>
      </c>
      <c r="N388" s="311" t="s">
        <v>2798</v>
      </c>
    </row>
    <row r="389" spans="2:14" x14ac:dyDescent="0.35">
      <c r="B389" s="311" t="s">
        <v>2515</v>
      </c>
      <c r="C389" s="311">
        <v>25209</v>
      </c>
      <c r="L389" s="311" t="s">
        <v>2923</v>
      </c>
      <c r="M389" s="311">
        <v>25057</v>
      </c>
      <c r="N389" s="311" t="s">
        <v>2798</v>
      </c>
    </row>
    <row r="390" spans="2:14" x14ac:dyDescent="0.35">
      <c r="B390" s="311" t="s">
        <v>2516</v>
      </c>
      <c r="C390" s="311">
        <v>25210</v>
      </c>
      <c r="L390" s="311" t="s">
        <v>2924</v>
      </c>
      <c r="M390" s="311">
        <v>25058</v>
      </c>
      <c r="N390" s="311" t="s">
        <v>2798</v>
      </c>
    </row>
    <row r="391" spans="2:14" x14ac:dyDescent="0.35">
      <c r="B391" s="311" t="s">
        <v>2927</v>
      </c>
      <c r="C391" s="311">
        <v>25251</v>
      </c>
      <c r="L391" s="311" t="s">
        <v>2925</v>
      </c>
      <c r="M391" s="311">
        <v>25059</v>
      </c>
      <c r="N391" s="311" t="s">
        <v>2798</v>
      </c>
    </row>
    <row r="392" spans="2:14" x14ac:dyDescent="0.35">
      <c r="B392" s="311" t="s">
        <v>2928</v>
      </c>
      <c r="C392" s="311">
        <v>25252</v>
      </c>
      <c r="L392" s="311" t="s">
        <v>2926</v>
      </c>
      <c r="M392" s="311">
        <v>25060</v>
      </c>
      <c r="N392" s="311" t="s">
        <v>2798</v>
      </c>
    </row>
    <row r="393" spans="2:14" x14ac:dyDescent="0.35">
      <c r="B393" s="311" t="s">
        <v>2929</v>
      </c>
      <c r="C393" s="311">
        <v>25253</v>
      </c>
      <c r="L393" s="311" t="s">
        <v>2497</v>
      </c>
      <c r="M393" s="311">
        <v>25101</v>
      </c>
      <c r="N393" s="311" t="s">
        <v>2799</v>
      </c>
    </row>
    <row r="394" spans="2:14" x14ac:dyDescent="0.35">
      <c r="B394" s="311" t="s">
        <v>2930</v>
      </c>
      <c r="C394" s="311">
        <v>25254</v>
      </c>
      <c r="L394" s="311" t="s">
        <v>2498</v>
      </c>
      <c r="M394" s="311">
        <v>25102</v>
      </c>
      <c r="N394" s="311" t="s">
        <v>2799</v>
      </c>
    </row>
    <row r="395" spans="2:14" x14ac:dyDescent="0.35">
      <c r="B395" s="311" t="s">
        <v>2931</v>
      </c>
      <c r="C395" s="311">
        <v>25255</v>
      </c>
      <c r="L395" s="311" t="s">
        <v>2499</v>
      </c>
      <c r="M395" s="311">
        <v>25103</v>
      </c>
      <c r="N395" s="311" t="s">
        <v>2799</v>
      </c>
    </row>
    <row r="396" spans="2:14" x14ac:dyDescent="0.35">
      <c r="B396" s="311" t="s">
        <v>2932</v>
      </c>
      <c r="C396" s="311">
        <v>25256</v>
      </c>
      <c r="L396" s="311" t="s">
        <v>2500</v>
      </c>
      <c r="M396" s="311">
        <v>25104</v>
      </c>
      <c r="N396" s="311" t="s">
        <v>2799</v>
      </c>
    </row>
    <row r="397" spans="2:14" x14ac:dyDescent="0.35">
      <c r="B397" s="311" t="s">
        <v>2933</v>
      </c>
      <c r="C397" s="311">
        <v>25257</v>
      </c>
      <c r="L397" s="311" t="s">
        <v>2501</v>
      </c>
      <c r="M397" s="311">
        <v>25105</v>
      </c>
      <c r="N397" s="311" t="s">
        <v>2799</v>
      </c>
    </row>
    <row r="398" spans="2:14" x14ac:dyDescent="0.35">
      <c r="B398" s="311" t="s">
        <v>2934</v>
      </c>
      <c r="C398" s="311">
        <v>25258</v>
      </c>
      <c r="L398" s="311" t="s">
        <v>2502</v>
      </c>
      <c r="M398" s="311">
        <v>25106</v>
      </c>
      <c r="N398" s="311" t="s">
        <v>2799</v>
      </c>
    </row>
    <row r="399" spans="2:14" x14ac:dyDescent="0.35">
      <c r="B399" s="311" t="s">
        <v>2935</v>
      </c>
      <c r="C399" s="311">
        <v>25259</v>
      </c>
      <c r="L399" s="311" t="s">
        <v>2503</v>
      </c>
      <c r="M399" s="311">
        <v>25107</v>
      </c>
      <c r="N399" s="311" t="s">
        <v>2799</v>
      </c>
    </row>
    <row r="400" spans="2:14" x14ac:dyDescent="0.35">
      <c r="B400" s="311" t="s">
        <v>2936</v>
      </c>
      <c r="C400" s="311">
        <v>25260</v>
      </c>
      <c r="L400" s="311" t="s">
        <v>2504</v>
      </c>
      <c r="M400" s="311">
        <v>25108</v>
      </c>
      <c r="N400" s="311" t="s">
        <v>2799</v>
      </c>
    </row>
    <row r="401" spans="2:14" x14ac:dyDescent="0.35">
      <c r="B401" s="311" t="s">
        <v>2575</v>
      </c>
      <c r="C401" s="311">
        <v>25301</v>
      </c>
      <c r="L401" s="311" t="s">
        <v>2505</v>
      </c>
      <c r="M401" s="311">
        <v>25109</v>
      </c>
      <c r="N401" s="311" t="s">
        <v>2799</v>
      </c>
    </row>
    <row r="402" spans="2:14" x14ac:dyDescent="0.35">
      <c r="B402" s="311" t="s">
        <v>2576</v>
      </c>
      <c r="C402" s="311">
        <v>25302</v>
      </c>
      <c r="L402" s="311" t="s">
        <v>2506</v>
      </c>
      <c r="M402" s="311">
        <v>25110</v>
      </c>
      <c r="N402" s="311" t="s">
        <v>2799</v>
      </c>
    </row>
    <row r="403" spans="2:14" x14ac:dyDescent="0.35">
      <c r="B403" s="311" t="s">
        <v>2577</v>
      </c>
      <c r="C403" s="311">
        <v>25303</v>
      </c>
      <c r="L403" s="311" t="s">
        <v>2904</v>
      </c>
      <c r="M403" s="311">
        <v>25151</v>
      </c>
      <c r="N403" s="311" t="s">
        <v>2799</v>
      </c>
    </row>
    <row r="404" spans="2:14" x14ac:dyDescent="0.35">
      <c r="B404" s="311" t="s">
        <v>2578</v>
      </c>
      <c r="C404" s="311">
        <v>25304</v>
      </c>
      <c r="L404" s="311" t="s">
        <v>2906</v>
      </c>
      <c r="M404" s="311">
        <v>25152</v>
      </c>
      <c r="N404" s="311" t="s">
        <v>2799</v>
      </c>
    </row>
    <row r="405" spans="2:14" x14ac:dyDescent="0.35">
      <c r="B405" s="311" t="s">
        <v>2579</v>
      </c>
      <c r="C405" s="311">
        <v>25305</v>
      </c>
      <c r="L405" s="311" t="s">
        <v>2908</v>
      </c>
      <c r="M405" s="311">
        <v>25153</v>
      </c>
      <c r="N405" s="311" t="s">
        <v>2799</v>
      </c>
    </row>
    <row r="406" spans="2:14" x14ac:dyDescent="0.35">
      <c r="B406" s="311" t="s">
        <v>2580</v>
      </c>
      <c r="C406" s="311">
        <v>25306</v>
      </c>
      <c r="L406" s="311" t="s">
        <v>2909</v>
      </c>
      <c r="M406" s="311">
        <v>25154</v>
      </c>
      <c r="N406" s="311" t="s">
        <v>2799</v>
      </c>
    </row>
    <row r="407" spans="2:14" x14ac:dyDescent="0.35">
      <c r="B407" s="311" t="s">
        <v>2581</v>
      </c>
      <c r="C407" s="311">
        <v>25307</v>
      </c>
      <c r="L407" s="311" t="s">
        <v>2910</v>
      </c>
      <c r="M407" s="311">
        <v>25155</v>
      </c>
      <c r="N407" s="311" t="s">
        <v>2799</v>
      </c>
    </row>
    <row r="408" spans="2:14" x14ac:dyDescent="0.35">
      <c r="B408" s="311" t="s">
        <v>2582</v>
      </c>
      <c r="C408" s="311">
        <v>25308</v>
      </c>
      <c r="L408" s="311" t="s">
        <v>2911</v>
      </c>
      <c r="M408" s="311">
        <v>25156</v>
      </c>
      <c r="N408" s="311" t="s">
        <v>2799</v>
      </c>
    </row>
    <row r="409" spans="2:14" x14ac:dyDescent="0.35">
      <c r="B409" s="311" t="s">
        <v>2583</v>
      </c>
      <c r="C409" s="311">
        <v>25309</v>
      </c>
      <c r="L409" s="311" t="s">
        <v>2912</v>
      </c>
      <c r="M409" s="311">
        <v>25157</v>
      </c>
      <c r="N409" s="311" t="s">
        <v>2799</v>
      </c>
    </row>
    <row r="410" spans="2:14" x14ac:dyDescent="0.35">
      <c r="B410" s="311" t="s">
        <v>2584</v>
      </c>
      <c r="C410" s="311">
        <v>25310</v>
      </c>
      <c r="L410" s="311" t="s">
        <v>2913</v>
      </c>
      <c r="M410" s="311">
        <v>25158</v>
      </c>
      <c r="N410" s="311" t="s">
        <v>2799</v>
      </c>
    </row>
    <row r="411" spans="2:14" x14ac:dyDescent="0.35">
      <c r="B411" s="311" t="s">
        <v>2937</v>
      </c>
      <c r="C411" s="311">
        <v>25351</v>
      </c>
      <c r="L411" s="311" t="s">
        <v>2914</v>
      </c>
      <c r="M411" s="311">
        <v>25159</v>
      </c>
      <c r="N411" s="311" t="s">
        <v>2799</v>
      </c>
    </row>
    <row r="412" spans="2:14" x14ac:dyDescent="0.35">
      <c r="B412" s="311" t="s">
        <v>2938</v>
      </c>
      <c r="C412" s="311">
        <v>25352</v>
      </c>
      <c r="L412" s="311" t="s">
        <v>2915</v>
      </c>
      <c r="M412" s="311">
        <v>25160</v>
      </c>
      <c r="N412" s="311" t="s">
        <v>2799</v>
      </c>
    </row>
    <row r="413" spans="2:14" x14ac:dyDescent="0.35">
      <c r="B413" s="311" t="s">
        <v>2939</v>
      </c>
      <c r="C413" s="311">
        <v>25353</v>
      </c>
      <c r="L413" s="311" t="s">
        <v>2507</v>
      </c>
      <c r="M413" s="311">
        <v>25201</v>
      </c>
      <c r="N413" s="311" t="s">
        <v>2800</v>
      </c>
    </row>
    <row r="414" spans="2:14" x14ac:dyDescent="0.35">
      <c r="B414" s="311" t="s">
        <v>2940</v>
      </c>
      <c r="C414" s="311">
        <v>25354</v>
      </c>
      <c r="L414" s="311" t="s">
        <v>2508</v>
      </c>
      <c r="M414" s="311">
        <v>25202</v>
      </c>
      <c r="N414" s="311" t="s">
        <v>2800</v>
      </c>
    </row>
    <row r="415" spans="2:14" x14ac:dyDescent="0.35">
      <c r="B415" s="311" t="s">
        <v>2941</v>
      </c>
      <c r="C415" s="311">
        <v>25355</v>
      </c>
      <c r="L415" s="311" t="s">
        <v>2509</v>
      </c>
      <c r="M415" s="311">
        <v>25203</v>
      </c>
      <c r="N415" s="311" t="s">
        <v>2800</v>
      </c>
    </row>
    <row r="416" spans="2:14" x14ac:dyDescent="0.35">
      <c r="B416" s="311" t="s">
        <v>2942</v>
      </c>
      <c r="C416" s="311">
        <v>25356</v>
      </c>
      <c r="L416" s="311" t="s">
        <v>2510</v>
      </c>
      <c r="M416" s="311">
        <v>25204</v>
      </c>
      <c r="N416" s="311" t="s">
        <v>2800</v>
      </c>
    </row>
    <row r="417" spans="2:14" x14ac:dyDescent="0.35">
      <c r="B417" s="311" t="s">
        <v>2943</v>
      </c>
      <c r="C417" s="311">
        <v>25357</v>
      </c>
      <c r="L417" s="311" t="s">
        <v>2511</v>
      </c>
      <c r="M417" s="311">
        <v>25205</v>
      </c>
      <c r="N417" s="311" t="s">
        <v>2800</v>
      </c>
    </row>
    <row r="418" spans="2:14" x14ac:dyDescent="0.35">
      <c r="B418" s="311" t="s">
        <v>2944</v>
      </c>
      <c r="C418" s="311">
        <v>25358</v>
      </c>
      <c r="L418" s="311" t="s">
        <v>2512</v>
      </c>
      <c r="M418" s="311">
        <v>25206</v>
      </c>
      <c r="N418" s="311" t="s">
        <v>2800</v>
      </c>
    </row>
    <row r="419" spans="2:14" x14ac:dyDescent="0.35">
      <c r="B419" s="311" t="s">
        <v>2945</v>
      </c>
      <c r="C419" s="311">
        <v>25359</v>
      </c>
      <c r="L419" s="311" t="s">
        <v>2513</v>
      </c>
      <c r="M419" s="311">
        <v>25207</v>
      </c>
      <c r="N419" s="311" t="s">
        <v>2800</v>
      </c>
    </row>
    <row r="420" spans="2:14" x14ac:dyDescent="0.35">
      <c r="B420" s="311" t="s">
        <v>2916</v>
      </c>
      <c r="C420" s="311">
        <v>25360</v>
      </c>
      <c r="L420" s="311" t="s">
        <v>2514</v>
      </c>
      <c r="M420" s="311">
        <v>25208</v>
      </c>
      <c r="N420" s="311" t="s">
        <v>2800</v>
      </c>
    </row>
    <row r="421" spans="2:14" x14ac:dyDescent="0.35">
      <c r="B421" s="311" t="s">
        <v>2517</v>
      </c>
      <c r="C421" s="311">
        <v>25401</v>
      </c>
      <c r="L421" s="311" t="s">
        <v>2515</v>
      </c>
      <c r="M421" s="311">
        <v>25209</v>
      </c>
      <c r="N421" s="311" t="s">
        <v>2800</v>
      </c>
    </row>
    <row r="422" spans="2:14" x14ac:dyDescent="0.35">
      <c r="B422" s="311" t="s">
        <v>2518</v>
      </c>
      <c r="C422" s="311">
        <v>25402</v>
      </c>
      <c r="L422" s="311" t="s">
        <v>2516</v>
      </c>
      <c r="M422" s="311">
        <v>25210</v>
      </c>
      <c r="N422" s="311" t="s">
        <v>2800</v>
      </c>
    </row>
    <row r="423" spans="2:14" x14ac:dyDescent="0.35">
      <c r="B423" s="311" t="s">
        <v>2519</v>
      </c>
      <c r="C423" s="311">
        <v>25403</v>
      </c>
      <c r="L423" s="311" t="s">
        <v>2927</v>
      </c>
      <c r="M423" s="311">
        <v>25251</v>
      </c>
      <c r="N423" s="311" t="s">
        <v>2800</v>
      </c>
    </row>
    <row r="424" spans="2:14" x14ac:dyDescent="0.35">
      <c r="B424" s="311" t="s">
        <v>2520</v>
      </c>
      <c r="C424" s="311">
        <v>25404</v>
      </c>
      <c r="L424" s="311" t="s">
        <v>2928</v>
      </c>
      <c r="M424" s="311">
        <v>25252</v>
      </c>
      <c r="N424" s="311" t="s">
        <v>2800</v>
      </c>
    </row>
    <row r="425" spans="2:14" x14ac:dyDescent="0.35">
      <c r="B425" s="311" t="s">
        <v>2521</v>
      </c>
      <c r="C425" s="311">
        <v>25405</v>
      </c>
      <c r="L425" s="311" t="s">
        <v>2929</v>
      </c>
      <c r="M425" s="311">
        <v>25253</v>
      </c>
      <c r="N425" s="311" t="s">
        <v>2800</v>
      </c>
    </row>
    <row r="426" spans="2:14" x14ac:dyDescent="0.35">
      <c r="B426" s="311" t="s">
        <v>2522</v>
      </c>
      <c r="C426" s="311">
        <v>25406</v>
      </c>
      <c r="L426" s="311" t="s">
        <v>2930</v>
      </c>
      <c r="M426" s="311">
        <v>25254</v>
      </c>
      <c r="N426" s="311" t="s">
        <v>2800</v>
      </c>
    </row>
    <row r="427" spans="2:14" x14ac:dyDescent="0.35">
      <c r="B427" s="311" t="s">
        <v>2523</v>
      </c>
      <c r="C427" s="311">
        <v>25407</v>
      </c>
      <c r="L427" s="311" t="s">
        <v>2931</v>
      </c>
      <c r="M427" s="311">
        <v>25255</v>
      </c>
      <c r="N427" s="311" t="s">
        <v>2800</v>
      </c>
    </row>
    <row r="428" spans="2:14" x14ac:dyDescent="0.35">
      <c r="B428" s="311" t="s">
        <v>2524</v>
      </c>
      <c r="C428" s="311">
        <v>25408</v>
      </c>
      <c r="L428" s="311" t="s">
        <v>2932</v>
      </c>
      <c r="M428" s="311">
        <v>25256</v>
      </c>
      <c r="N428" s="311" t="s">
        <v>2800</v>
      </c>
    </row>
    <row r="429" spans="2:14" x14ac:dyDescent="0.35">
      <c r="B429" s="311" t="s">
        <v>2525</v>
      </c>
      <c r="C429" s="311">
        <v>25409</v>
      </c>
      <c r="L429" s="311" t="s">
        <v>2933</v>
      </c>
      <c r="M429" s="311">
        <v>25257</v>
      </c>
      <c r="N429" s="311" t="s">
        <v>2800</v>
      </c>
    </row>
    <row r="430" spans="2:14" x14ac:dyDescent="0.35">
      <c r="B430" s="311" t="s">
        <v>2526</v>
      </c>
      <c r="C430" s="311">
        <v>25410</v>
      </c>
      <c r="L430" s="311" t="s">
        <v>2934</v>
      </c>
      <c r="M430" s="311">
        <v>25258</v>
      </c>
      <c r="N430" s="311" t="s">
        <v>2800</v>
      </c>
    </row>
    <row r="431" spans="2:14" x14ac:dyDescent="0.35">
      <c r="B431" s="311" t="s">
        <v>2946</v>
      </c>
      <c r="C431" s="311">
        <v>25451</v>
      </c>
      <c r="L431" s="311" t="s">
        <v>2935</v>
      </c>
      <c r="M431" s="311">
        <v>25259</v>
      </c>
      <c r="N431" s="311" t="s">
        <v>2800</v>
      </c>
    </row>
    <row r="432" spans="2:14" x14ac:dyDescent="0.35">
      <c r="B432" s="311" t="s">
        <v>2947</v>
      </c>
      <c r="C432" s="311">
        <v>25452</v>
      </c>
      <c r="L432" s="311" t="s">
        <v>2936</v>
      </c>
      <c r="M432" s="311">
        <v>25260</v>
      </c>
      <c r="N432" s="311" t="s">
        <v>2800</v>
      </c>
    </row>
    <row r="433" spans="2:14" x14ac:dyDescent="0.35">
      <c r="B433" s="311" t="s">
        <v>2948</v>
      </c>
      <c r="C433" s="311">
        <v>25453</v>
      </c>
      <c r="L433" s="311" t="s">
        <v>2575</v>
      </c>
      <c r="M433" s="311">
        <v>25301</v>
      </c>
      <c r="N433" s="311" t="s">
        <v>2795</v>
      </c>
    </row>
    <row r="434" spans="2:14" x14ac:dyDescent="0.35">
      <c r="B434" s="311" t="s">
        <v>2949</v>
      </c>
      <c r="C434" s="311">
        <v>25454</v>
      </c>
      <c r="L434" s="311" t="s">
        <v>2576</v>
      </c>
      <c r="M434" s="311">
        <v>25302</v>
      </c>
      <c r="N434" s="311" t="s">
        <v>2795</v>
      </c>
    </row>
    <row r="435" spans="2:14" x14ac:dyDescent="0.35">
      <c r="B435" s="311" t="s">
        <v>2950</v>
      </c>
      <c r="C435" s="311">
        <v>25455</v>
      </c>
      <c r="L435" s="311" t="s">
        <v>2577</v>
      </c>
      <c r="M435" s="311">
        <v>25303</v>
      </c>
      <c r="N435" s="311" t="s">
        <v>2795</v>
      </c>
    </row>
    <row r="436" spans="2:14" x14ac:dyDescent="0.35">
      <c r="B436" s="311" t="s">
        <v>2951</v>
      </c>
      <c r="C436" s="311">
        <v>25456</v>
      </c>
      <c r="L436" s="311" t="s">
        <v>2578</v>
      </c>
      <c r="M436" s="311">
        <v>25304</v>
      </c>
      <c r="N436" s="311" t="s">
        <v>2795</v>
      </c>
    </row>
    <row r="437" spans="2:14" x14ac:dyDescent="0.35">
      <c r="B437" s="311" t="s">
        <v>2952</v>
      </c>
      <c r="C437" s="311">
        <v>25457</v>
      </c>
      <c r="L437" s="311" t="s">
        <v>2579</v>
      </c>
      <c r="M437" s="311">
        <v>25305</v>
      </c>
      <c r="N437" s="311" t="s">
        <v>2795</v>
      </c>
    </row>
    <row r="438" spans="2:14" x14ac:dyDescent="0.35">
      <c r="B438" s="311" t="s">
        <v>2953</v>
      </c>
      <c r="C438" s="311">
        <v>25458</v>
      </c>
      <c r="L438" s="311" t="s">
        <v>2580</v>
      </c>
      <c r="M438" s="311">
        <v>25306</v>
      </c>
      <c r="N438" s="311" t="s">
        <v>2795</v>
      </c>
    </row>
    <row r="439" spans="2:14" x14ac:dyDescent="0.35">
      <c r="B439" s="311" t="s">
        <v>2954</v>
      </c>
      <c r="C439" s="311">
        <v>25459</v>
      </c>
      <c r="L439" s="311" t="s">
        <v>2581</v>
      </c>
      <c r="M439" s="311">
        <v>25307</v>
      </c>
      <c r="N439" s="311" t="s">
        <v>2795</v>
      </c>
    </row>
    <row r="440" spans="2:14" x14ac:dyDescent="0.35">
      <c r="B440" s="311" t="s">
        <v>2955</v>
      </c>
      <c r="C440" s="311">
        <v>25460</v>
      </c>
      <c r="L440" s="311" t="s">
        <v>2582</v>
      </c>
      <c r="M440" s="311">
        <v>25308</v>
      </c>
      <c r="N440" s="311" t="s">
        <v>2795</v>
      </c>
    </row>
    <row r="441" spans="2:14" x14ac:dyDescent="0.35">
      <c r="B441" s="311" t="s">
        <v>2585</v>
      </c>
      <c r="C441" s="311">
        <v>25501</v>
      </c>
      <c r="L441" s="311" t="s">
        <v>2583</v>
      </c>
      <c r="M441" s="311">
        <v>25309</v>
      </c>
      <c r="N441" s="311" t="s">
        <v>2795</v>
      </c>
    </row>
    <row r="442" spans="2:14" x14ac:dyDescent="0.35">
      <c r="B442" s="311" t="s">
        <v>2586</v>
      </c>
      <c r="C442" s="311">
        <v>25502</v>
      </c>
      <c r="L442" s="311" t="s">
        <v>2584</v>
      </c>
      <c r="M442" s="311">
        <v>25310</v>
      </c>
      <c r="N442" s="311" t="s">
        <v>2795</v>
      </c>
    </row>
    <row r="443" spans="2:14" x14ac:dyDescent="0.35">
      <c r="B443" s="311" t="s">
        <v>2587</v>
      </c>
      <c r="C443" s="311">
        <v>25503</v>
      </c>
      <c r="L443" s="311" t="s">
        <v>2937</v>
      </c>
      <c r="M443" s="311">
        <v>25351</v>
      </c>
      <c r="N443" s="311" t="s">
        <v>2795</v>
      </c>
    </row>
    <row r="444" spans="2:14" x14ac:dyDescent="0.35">
      <c r="B444" s="311" t="s">
        <v>2588</v>
      </c>
      <c r="C444" s="311">
        <v>25504</v>
      </c>
      <c r="L444" s="311" t="s">
        <v>2938</v>
      </c>
      <c r="M444" s="311">
        <v>25352</v>
      </c>
      <c r="N444" s="311" t="s">
        <v>2795</v>
      </c>
    </row>
    <row r="445" spans="2:14" x14ac:dyDescent="0.35">
      <c r="B445" s="311" t="s">
        <v>2589</v>
      </c>
      <c r="C445" s="311">
        <v>25505</v>
      </c>
      <c r="L445" s="311" t="s">
        <v>2939</v>
      </c>
      <c r="M445" s="311">
        <v>25353</v>
      </c>
      <c r="N445" s="311" t="s">
        <v>2795</v>
      </c>
    </row>
    <row r="446" spans="2:14" x14ac:dyDescent="0.35">
      <c r="B446" s="311" t="s">
        <v>2590</v>
      </c>
      <c r="C446" s="311">
        <v>25506</v>
      </c>
      <c r="L446" s="311" t="s">
        <v>2940</v>
      </c>
      <c r="M446" s="311">
        <v>25354</v>
      </c>
      <c r="N446" s="311" t="s">
        <v>2795</v>
      </c>
    </row>
    <row r="447" spans="2:14" x14ac:dyDescent="0.35">
      <c r="B447" s="311" t="s">
        <v>2591</v>
      </c>
      <c r="C447" s="311">
        <v>25507</v>
      </c>
      <c r="L447" s="311" t="s">
        <v>2941</v>
      </c>
      <c r="M447" s="311">
        <v>25355</v>
      </c>
      <c r="N447" s="311" t="s">
        <v>2795</v>
      </c>
    </row>
    <row r="448" spans="2:14" x14ac:dyDescent="0.35">
      <c r="B448" s="311" t="s">
        <v>2592</v>
      </c>
      <c r="C448" s="311">
        <v>25508</v>
      </c>
      <c r="L448" s="311" t="s">
        <v>2942</v>
      </c>
      <c r="M448" s="311">
        <v>25356</v>
      </c>
      <c r="N448" s="311" t="s">
        <v>2795</v>
      </c>
    </row>
    <row r="449" spans="2:14" x14ac:dyDescent="0.35">
      <c r="B449" s="311" t="s">
        <v>2593</v>
      </c>
      <c r="C449" s="311">
        <v>25509</v>
      </c>
      <c r="L449" s="311" t="s">
        <v>2943</v>
      </c>
      <c r="M449" s="311">
        <v>25357</v>
      </c>
      <c r="N449" s="311" t="s">
        <v>2795</v>
      </c>
    </row>
    <row r="450" spans="2:14" x14ac:dyDescent="0.35">
      <c r="B450" s="311" t="s">
        <v>2594</v>
      </c>
      <c r="C450" s="311">
        <v>25510</v>
      </c>
      <c r="L450" s="311" t="s">
        <v>2944</v>
      </c>
      <c r="M450" s="311">
        <v>25358</v>
      </c>
      <c r="N450" s="311" t="s">
        <v>2795</v>
      </c>
    </row>
    <row r="451" spans="2:14" x14ac:dyDescent="0.35">
      <c r="B451" s="311" t="s">
        <v>2956</v>
      </c>
      <c r="C451" s="311">
        <v>25551</v>
      </c>
      <c r="L451" s="311" t="s">
        <v>2945</v>
      </c>
      <c r="M451" s="311">
        <v>25359</v>
      </c>
      <c r="N451" s="311" t="s">
        <v>2795</v>
      </c>
    </row>
    <row r="452" spans="2:14" x14ac:dyDescent="0.35">
      <c r="B452" s="311" t="s">
        <v>2957</v>
      </c>
      <c r="C452" s="311">
        <v>25552</v>
      </c>
      <c r="L452" s="311" t="s">
        <v>2916</v>
      </c>
      <c r="M452" s="311">
        <v>25360</v>
      </c>
      <c r="N452" s="311" t="s">
        <v>2795</v>
      </c>
    </row>
    <row r="453" spans="2:14" x14ac:dyDescent="0.35">
      <c r="B453" s="311" t="s">
        <v>2958</v>
      </c>
      <c r="C453" s="311">
        <v>25553</v>
      </c>
      <c r="L453" s="311" t="s">
        <v>2517</v>
      </c>
      <c r="M453" s="311">
        <v>25401</v>
      </c>
      <c r="N453" s="311" t="s">
        <v>2801</v>
      </c>
    </row>
    <row r="454" spans="2:14" x14ac:dyDescent="0.35">
      <c r="B454" s="311" t="s">
        <v>2959</v>
      </c>
      <c r="C454" s="311">
        <v>25554</v>
      </c>
      <c r="L454" s="311" t="s">
        <v>2518</v>
      </c>
      <c r="M454" s="311">
        <v>25402</v>
      </c>
      <c r="N454" s="311" t="s">
        <v>2801</v>
      </c>
    </row>
    <row r="455" spans="2:14" x14ac:dyDescent="0.35">
      <c r="B455" s="311" t="s">
        <v>2960</v>
      </c>
      <c r="C455" s="311">
        <v>25555</v>
      </c>
      <c r="L455" s="311" t="s">
        <v>2519</v>
      </c>
      <c r="M455" s="311">
        <v>25403</v>
      </c>
      <c r="N455" s="311" t="s">
        <v>2801</v>
      </c>
    </row>
    <row r="456" spans="2:14" x14ac:dyDescent="0.35">
      <c r="B456" s="311" t="s">
        <v>2961</v>
      </c>
      <c r="C456" s="311">
        <v>25556</v>
      </c>
      <c r="L456" s="311" t="s">
        <v>2520</v>
      </c>
      <c r="M456" s="311">
        <v>25404</v>
      </c>
      <c r="N456" s="311" t="s">
        <v>2801</v>
      </c>
    </row>
    <row r="457" spans="2:14" x14ac:dyDescent="0.35">
      <c r="B457" s="311" t="s">
        <v>2962</v>
      </c>
      <c r="C457" s="311">
        <v>25557</v>
      </c>
      <c r="L457" s="311" t="s">
        <v>2521</v>
      </c>
      <c r="M457" s="311">
        <v>25405</v>
      </c>
      <c r="N457" s="311" t="s">
        <v>2801</v>
      </c>
    </row>
    <row r="458" spans="2:14" x14ac:dyDescent="0.35">
      <c r="B458" s="311" t="s">
        <v>2963</v>
      </c>
      <c r="C458" s="311">
        <v>25558</v>
      </c>
      <c r="L458" s="311" t="s">
        <v>2522</v>
      </c>
      <c r="M458" s="311">
        <v>25406</v>
      </c>
      <c r="N458" s="311" t="s">
        <v>2801</v>
      </c>
    </row>
    <row r="459" spans="2:14" x14ac:dyDescent="0.35">
      <c r="B459" s="311" t="s">
        <v>2964</v>
      </c>
      <c r="C459" s="311">
        <v>25559</v>
      </c>
      <c r="L459" s="311" t="s">
        <v>2523</v>
      </c>
      <c r="M459" s="311">
        <v>25407</v>
      </c>
      <c r="N459" s="311" t="s">
        <v>2801</v>
      </c>
    </row>
    <row r="460" spans="2:14" x14ac:dyDescent="0.35">
      <c r="B460" s="311" t="s">
        <v>2965</v>
      </c>
      <c r="C460" s="311">
        <v>25560</v>
      </c>
      <c r="L460" s="311" t="s">
        <v>2524</v>
      </c>
      <c r="M460" s="311">
        <v>25408</v>
      </c>
      <c r="N460" s="311" t="s">
        <v>2801</v>
      </c>
    </row>
    <row r="461" spans="2:14" x14ac:dyDescent="0.35">
      <c r="B461" s="311" t="s">
        <v>3011</v>
      </c>
      <c r="C461" s="311">
        <v>23511</v>
      </c>
      <c r="L461" s="311" t="s">
        <v>2525</v>
      </c>
      <c r="M461" s="311">
        <v>25409</v>
      </c>
      <c r="N461" s="311" t="s">
        <v>2801</v>
      </c>
    </row>
    <row r="462" spans="2:14" x14ac:dyDescent="0.35">
      <c r="B462" s="311" t="s">
        <v>3012</v>
      </c>
      <c r="C462" s="311">
        <v>23512</v>
      </c>
      <c r="L462" s="311" t="s">
        <v>2526</v>
      </c>
      <c r="M462" s="311">
        <v>25410</v>
      </c>
      <c r="N462" s="311" t="s">
        <v>2801</v>
      </c>
    </row>
    <row r="463" spans="2:14" x14ac:dyDescent="0.35">
      <c r="B463" s="311" t="s">
        <v>3013</v>
      </c>
      <c r="C463" s="311">
        <v>23521</v>
      </c>
      <c r="L463" s="311" t="s">
        <v>2946</v>
      </c>
      <c r="M463" s="311">
        <v>25451</v>
      </c>
      <c r="N463" s="311" t="s">
        <v>2801</v>
      </c>
    </row>
    <row r="464" spans="2:14" x14ac:dyDescent="0.35">
      <c r="B464" s="311" t="s">
        <v>3014</v>
      </c>
      <c r="C464" s="311">
        <v>23522</v>
      </c>
      <c r="L464" s="311" t="s">
        <v>2947</v>
      </c>
      <c r="M464" s="311">
        <v>25452</v>
      </c>
      <c r="N464" s="311" t="s">
        <v>2801</v>
      </c>
    </row>
    <row r="465" spans="2:14" x14ac:dyDescent="0.35">
      <c r="B465" s="311" t="s">
        <v>3015</v>
      </c>
      <c r="C465" s="311">
        <v>23531</v>
      </c>
      <c r="L465" s="311" t="s">
        <v>2948</v>
      </c>
      <c r="M465" s="311">
        <v>25453</v>
      </c>
      <c r="N465" s="311" t="s">
        <v>2801</v>
      </c>
    </row>
    <row r="466" spans="2:14" x14ac:dyDescent="0.35">
      <c r="B466" s="311" t="s">
        <v>3016</v>
      </c>
      <c r="C466" s="311">
        <v>23532</v>
      </c>
      <c r="L466" s="311" t="s">
        <v>2949</v>
      </c>
      <c r="M466" s="311">
        <v>25454</v>
      </c>
      <c r="N466" s="311" t="s">
        <v>2801</v>
      </c>
    </row>
    <row r="467" spans="2:14" x14ac:dyDescent="0.35">
      <c r="B467" s="311" t="s">
        <v>3017</v>
      </c>
      <c r="C467" s="311">
        <v>23541</v>
      </c>
      <c r="L467" s="311" t="s">
        <v>2950</v>
      </c>
      <c r="M467" s="311">
        <v>25455</v>
      </c>
      <c r="N467" s="311" t="s">
        <v>2801</v>
      </c>
    </row>
    <row r="468" spans="2:14" x14ac:dyDescent="0.35">
      <c r="B468" s="311" t="s">
        <v>3018</v>
      </c>
      <c r="C468" s="311">
        <v>23542</v>
      </c>
      <c r="L468" s="311" t="s">
        <v>2951</v>
      </c>
      <c r="M468" s="311">
        <v>25456</v>
      </c>
      <c r="N468" s="311" t="s">
        <v>2801</v>
      </c>
    </row>
    <row r="469" spans="2:14" x14ac:dyDescent="0.35">
      <c r="B469" s="311" t="s">
        <v>3019</v>
      </c>
      <c r="C469" s="311">
        <v>24511</v>
      </c>
      <c r="L469" s="311" t="s">
        <v>2952</v>
      </c>
      <c r="M469" s="311">
        <v>25457</v>
      </c>
      <c r="N469" s="311" t="s">
        <v>2801</v>
      </c>
    </row>
    <row r="470" spans="2:14" x14ac:dyDescent="0.35">
      <c r="B470" s="311" t="s">
        <v>3020</v>
      </c>
      <c r="C470" s="311">
        <v>24521</v>
      </c>
      <c r="L470" s="311" t="s">
        <v>2953</v>
      </c>
      <c r="M470" s="311">
        <v>25458</v>
      </c>
      <c r="N470" s="311" t="s">
        <v>2801</v>
      </c>
    </row>
    <row r="471" spans="2:14" x14ac:dyDescent="0.35">
      <c r="B471" s="311" t="s">
        <v>3021</v>
      </c>
      <c r="C471" s="311">
        <v>24522</v>
      </c>
      <c r="L471" s="311" t="s">
        <v>2954</v>
      </c>
      <c r="M471" s="311">
        <v>25459</v>
      </c>
      <c r="N471" s="311" t="s">
        <v>2801</v>
      </c>
    </row>
    <row r="472" spans="2:14" x14ac:dyDescent="0.35">
      <c r="B472" s="311" t="s">
        <v>3022</v>
      </c>
      <c r="C472" s="311">
        <v>24531</v>
      </c>
      <c r="L472" s="311" t="s">
        <v>2955</v>
      </c>
      <c r="M472" s="311">
        <v>25460</v>
      </c>
      <c r="N472" s="311" t="s">
        <v>2801</v>
      </c>
    </row>
    <row r="473" spans="2:14" x14ac:dyDescent="0.35">
      <c r="B473" s="311" t="s">
        <v>3023</v>
      </c>
      <c r="C473" s="311">
        <v>24532</v>
      </c>
      <c r="L473" s="311" t="s">
        <v>2585</v>
      </c>
      <c r="M473" s="311">
        <v>25501</v>
      </c>
      <c r="N473" s="311" t="s">
        <v>2802</v>
      </c>
    </row>
    <row r="474" spans="2:14" x14ac:dyDescent="0.35">
      <c r="B474" s="311" t="s">
        <v>3024</v>
      </c>
      <c r="C474" s="311">
        <v>24541</v>
      </c>
      <c r="L474" s="311" t="s">
        <v>2586</v>
      </c>
      <c r="M474" s="311">
        <v>25502</v>
      </c>
      <c r="N474" s="311" t="s">
        <v>2802</v>
      </c>
    </row>
    <row r="475" spans="2:14" x14ac:dyDescent="0.35">
      <c r="B475" s="311" t="s">
        <v>3025</v>
      </c>
      <c r="C475" s="311">
        <v>24542</v>
      </c>
      <c r="L475" s="311" t="s">
        <v>2587</v>
      </c>
      <c r="M475" s="311">
        <v>25503</v>
      </c>
      <c r="N475" s="311" t="s">
        <v>2802</v>
      </c>
    </row>
    <row r="476" spans="2:14" x14ac:dyDescent="0.35">
      <c r="B476" s="311" t="s">
        <v>3026</v>
      </c>
      <c r="C476" s="311">
        <v>24543</v>
      </c>
      <c r="L476" s="311" t="s">
        <v>2588</v>
      </c>
      <c r="M476" s="311">
        <v>25504</v>
      </c>
      <c r="N476" s="311" t="s">
        <v>2802</v>
      </c>
    </row>
    <row r="477" spans="2:14" x14ac:dyDescent="0.35">
      <c r="L477" s="311" t="s">
        <v>2589</v>
      </c>
      <c r="M477" s="311">
        <v>25505</v>
      </c>
      <c r="N477" s="311" t="s">
        <v>2802</v>
      </c>
    </row>
    <row r="478" spans="2:14" x14ac:dyDescent="0.35">
      <c r="L478" s="311" t="s">
        <v>2590</v>
      </c>
      <c r="M478" s="311">
        <v>25506</v>
      </c>
      <c r="N478" s="311" t="s">
        <v>2802</v>
      </c>
    </row>
    <row r="479" spans="2:14" x14ac:dyDescent="0.35">
      <c r="L479" s="311" t="s">
        <v>2591</v>
      </c>
      <c r="M479" s="311">
        <v>25507</v>
      </c>
      <c r="N479" s="311" t="s">
        <v>2802</v>
      </c>
    </row>
    <row r="480" spans="2:14" x14ac:dyDescent="0.35">
      <c r="L480" s="311" t="s">
        <v>2592</v>
      </c>
      <c r="M480" s="311">
        <v>25508</v>
      </c>
      <c r="N480" s="311" t="s">
        <v>2802</v>
      </c>
    </row>
    <row r="481" spans="12:14" x14ac:dyDescent="0.35">
      <c r="L481" s="311" t="s">
        <v>2593</v>
      </c>
      <c r="M481" s="311">
        <v>25509</v>
      </c>
      <c r="N481" s="311" t="s">
        <v>2802</v>
      </c>
    </row>
    <row r="482" spans="12:14" x14ac:dyDescent="0.35">
      <c r="L482" s="311" t="s">
        <v>2594</v>
      </c>
      <c r="M482" s="311">
        <v>25510</v>
      </c>
      <c r="N482" s="311" t="s">
        <v>2802</v>
      </c>
    </row>
    <row r="483" spans="12:14" x14ac:dyDescent="0.35">
      <c r="L483" s="311" t="s">
        <v>2956</v>
      </c>
      <c r="M483" s="311">
        <v>25551</v>
      </c>
      <c r="N483" s="311" t="s">
        <v>2802</v>
      </c>
    </row>
    <row r="484" spans="12:14" x14ac:dyDescent="0.35">
      <c r="L484" s="311" t="s">
        <v>2957</v>
      </c>
      <c r="M484" s="311">
        <v>25552</v>
      </c>
      <c r="N484" s="311" t="s">
        <v>2802</v>
      </c>
    </row>
    <row r="485" spans="12:14" x14ac:dyDescent="0.35">
      <c r="L485" s="311" t="s">
        <v>2958</v>
      </c>
      <c r="M485" s="311">
        <v>25553</v>
      </c>
      <c r="N485" s="311" t="s">
        <v>2802</v>
      </c>
    </row>
    <row r="486" spans="12:14" x14ac:dyDescent="0.35">
      <c r="L486" s="311" t="s">
        <v>2959</v>
      </c>
      <c r="M486" s="311">
        <v>25554</v>
      </c>
      <c r="N486" s="311" t="s">
        <v>2802</v>
      </c>
    </row>
    <row r="487" spans="12:14" x14ac:dyDescent="0.35">
      <c r="L487" s="311" t="s">
        <v>2960</v>
      </c>
      <c r="M487" s="311">
        <v>25555</v>
      </c>
      <c r="N487" s="311" t="s">
        <v>2802</v>
      </c>
    </row>
    <row r="488" spans="12:14" x14ac:dyDescent="0.35">
      <c r="L488" s="311" t="s">
        <v>2961</v>
      </c>
      <c r="M488" s="311">
        <v>25556</v>
      </c>
      <c r="N488" s="311" t="s">
        <v>2802</v>
      </c>
    </row>
    <row r="489" spans="12:14" x14ac:dyDescent="0.35">
      <c r="L489" s="311" t="s">
        <v>2962</v>
      </c>
      <c r="M489" s="311">
        <v>25557</v>
      </c>
      <c r="N489" s="311" t="s">
        <v>2802</v>
      </c>
    </row>
    <row r="490" spans="12:14" x14ac:dyDescent="0.35">
      <c r="L490" s="311" t="s">
        <v>2963</v>
      </c>
      <c r="M490" s="311">
        <v>25558</v>
      </c>
      <c r="N490" s="311" t="s">
        <v>2802</v>
      </c>
    </row>
    <row r="491" spans="12:14" x14ac:dyDescent="0.35">
      <c r="L491" s="311" t="s">
        <v>2964</v>
      </c>
      <c r="M491" s="311">
        <v>25559</v>
      </c>
      <c r="N491" s="311" t="s">
        <v>2802</v>
      </c>
    </row>
    <row r="492" spans="12:14" x14ac:dyDescent="0.35">
      <c r="L492" s="311" t="s">
        <v>2965</v>
      </c>
      <c r="M492" s="311">
        <v>25560</v>
      </c>
      <c r="N492" s="311" t="s">
        <v>2802</v>
      </c>
    </row>
    <row r="493" spans="12:14" x14ac:dyDescent="0.35">
      <c r="L493" s="636" t="s">
        <v>3066</v>
      </c>
      <c r="M493" s="311">
        <v>23201</v>
      </c>
      <c r="N493" s="311" t="s">
        <v>3061</v>
      </c>
    </row>
    <row r="494" spans="12:14" x14ac:dyDescent="0.35">
      <c r="L494" s="636" t="s">
        <v>3067</v>
      </c>
      <c r="M494" s="311">
        <v>23202</v>
      </c>
      <c r="N494" s="311" t="s">
        <v>3061</v>
      </c>
    </row>
    <row r="495" spans="12:14" x14ac:dyDescent="0.35">
      <c r="L495" s="636" t="s">
        <v>2988</v>
      </c>
      <c r="M495" s="311">
        <v>23203</v>
      </c>
      <c r="N495" s="311" t="s">
        <v>3061</v>
      </c>
    </row>
    <row r="496" spans="12:14" x14ac:dyDescent="0.35">
      <c r="L496" s="636" t="s">
        <v>2989</v>
      </c>
      <c r="M496" s="311">
        <v>23204</v>
      </c>
      <c r="N496" s="311" t="s">
        <v>3061</v>
      </c>
    </row>
    <row r="497" spans="12:14" x14ac:dyDescent="0.35">
      <c r="L497" s="636" t="s">
        <v>2990</v>
      </c>
      <c r="M497" s="311">
        <v>23205</v>
      </c>
      <c r="N497" s="311" t="s">
        <v>3061</v>
      </c>
    </row>
    <row r="498" spans="12:14" x14ac:dyDescent="0.35">
      <c r="L498" s="636" t="s">
        <v>2991</v>
      </c>
      <c r="M498" s="311">
        <v>23206</v>
      </c>
      <c r="N498" s="311" t="s">
        <v>3061</v>
      </c>
    </row>
    <row r="499" spans="12:14" x14ac:dyDescent="0.35">
      <c r="L499" s="636" t="s">
        <v>2992</v>
      </c>
      <c r="M499" s="311">
        <v>23207</v>
      </c>
      <c r="N499" s="311" t="s">
        <v>3061</v>
      </c>
    </row>
    <row r="500" spans="12:14" x14ac:dyDescent="0.35">
      <c r="L500" s="636" t="s">
        <v>2993</v>
      </c>
      <c r="M500" s="311">
        <v>23208</v>
      </c>
      <c r="N500" s="311" t="s">
        <v>3061</v>
      </c>
    </row>
    <row r="501" spans="12:14" x14ac:dyDescent="0.35">
      <c r="L501" s="636" t="s">
        <v>2996</v>
      </c>
      <c r="M501" s="311">
        <v>23209</v>
      </c>
      <c r="N501" s="311" t="s">
        <v>3061</v>
      </c>
    </row>
    <row r="502" spans="12:14" x14ac:dyDescent="0.35">
      <c r="L502" s="636" t="s">
        <v>3068</v>
      </c>
      <c r="M502" s="311">
        <v>24201</v>
      </c>
      <c r="N502" s="311" t="s">
        <v>3062</v>
      </c>
    </row>
    <row r="503" spans="12:14" x14ac:dyDescent="0.35">
      <c r="L503" s="636" t="s">
        <v>3002</v>
      </c>
      <c r="M503" s="311">
        <v>24202</v>
      </c>
      <c r="N503" s="311" t="s">
        <v>3062</v>
      </c>
    </row>
    <row r="504" spans="12:14" x14ac:dyDescent="0.35">
      <c r="L504" s="636" t="s">
        <v>3003</v>
      </c>
      <c r="M504" s="311">
        <v>24203</v>
      </c>
      <c r="N504" s="311" t="s">
        <v>3062</v>
      </c>
    </row>
    <row r="505" spans="12:14" x14ac:dyDescent="0.35">
      <c r="L505" s="636" t="s">
        <v>3004</v>
      </c>
      <c r="M505" s="311">
        <v>24204</v>
      </c>
      <c r="N505" s="311" t="s">
        <v>3062</v>
      </c>
    </row>
    <row r="506" spans="12:14" x14ac:dyDescent="0.35">
      <c r="L506" s="636" t="s">
        <v>3005</v>
      </c>
      <c r="M506" s="311">
        <v>24205</v>
      </c>
      <c r="N506" s="311" t="s">
        <v>3062</v>
      </c>
    </row>
    <row r="507" spans="12:14" x14ac:dyDescent="0.35">
      <c r="L507" s="636" t="s">
        <v>3006</v>
      </c>
      <c r="M507" s="311">
        <v>24206</v>
      </c>
      <c r="N507" s="311" t="s">
        <v>3062</v>
      </c>
    </row>
    <row r="508" spans="12:14" x14ac:dyDescent="0.35">
      <c r="L508" s="636" t="s">
        <v>3007</v>
      </c>
      <c r="M508" s="311">
        <v>24207</v>
      </c>
      <c r="N508" s="311" t="s">
        <v>3062</v>
      </c>
    </row>
    <row r="509" spans="12:14" x14ac:dyDescent="0.35">
      <c r="L509" s="636" t="s">
        <v>3008</v>
      </c>
      <c r="M509" s="311">
        <v>24208</v>
      </c>
      <c r="N509" s="311" t="s">
        <v>3062</v>
      </c>
    </row>
  </sheetData>
  <sortState xmlns:xlrd2="http://schemas.microsoft.com/office/spreadsheetml/2017/richdata2" ref="K45:N71">
    <sortCondition ref="K45"/>
  </sortState>
  <phoneticPr fontId="10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2:AL160"/>
  <sheetViews>
    <sheetView workbookViewId="0">
      <selection activeCell="L10" sqref="L10"/>
    </sheetView>
  </sheetViews>
  <sheetFormatPr defaultColWidth="9" defaultRowHeight="13" x14ac:dyDescent="0.35"/>
  <cols>
    <col min="1" max="37" width="9" style="611"/>
    <col min="38" max="38" width="12.6328125" style="611" bestFit="1" customWidth="1"/>
    <col min="39" max="16384" width="9" style="611"/>
  </cols>
  <sheetData>
    <row r="2" spans="2:29" x14ac:dyDescent="0.35">
      <c r="B2" s="610" t="s">
        <v>2680</v>
      </c>
      <c r="G2" s="636" t="s">
        <v>3027</v>
      </c>
      <c r="H2" s="636" t="s">
        <v>3031</v>
      </c>
      <c r="I2" s="636" t="s">
        <v>3032</v>
      </c>
      <c r="J2" s="636" t="s">
        <v>3033</v>
      </c>
      <c r="K2" s="636" t="s">
        <v>3034</v>
      </c>
      <c r="L2" s="630" t="s">
        <v>2985</v>
      </c>
      <c r="M2" s="630" t="s">
        <v>902</v>
      </c>
      <c r="N2" s="636" t="s">
        <v>3030</v>
      </c>
      <c r="O2" s="637"/>
      <c r="P2" s="637"/>
      <c r="Q2" s="637"/>
      <c r="R2" s="637"/>
      <c r="S2" s="637"/>
      <c r="T2" s="637"/>
      <c r="U2" s="637"/>
      <c r="V2" s="637"/>
      <c r="W2" s="637"/>
      <c r="X2" s="637"/>
      <c r="Y2" s="637"/>
      <c r="Z2" s="637"/>
      <c r="AA2" s="637"/>
      <c r="AB2" s="637"/>
      <c r="AC2" s="637"/>
    </row>
    <row r="3" spans="2:29" x14ac:dyDescent="0.35">
      <c r="B3" s="610" t="s">
        <v>2671</v>
      </c>
      <c r="G3" s="636" t="s">
        <v>3028</v>
      </c>
      <c r="H3" s="634" t="str">
        <f>宝箱设定!C17</f>
        <v>T1部件</v>
      </c>
      <c r="I3" s="634">
        <f>宝箱设定!D17</f>
        <v>5</v>
      </c>
      <c r="J3" s="634">
        <f>宝箱设定!E17</f>
        <v>0</v>
      </c>
      <c r="K3" s="634">
        <f>宝箱设定!F17</f>
        <v>0</v>
      </c>
      <c r="L3" s="634">
        <f>VLOOKUP(H3,道具价值!$U$98:$X$101,4,FALSE)*I3+IFERROR(VLOOKUP(J3,道具价值!$U$98:$X$101,4,FALSE)*K3,0)</f>
        <v>90</v>
      </c>
      <c r="M3" s="634">
        <f>宝箱设定!J17</f>
        <v>4</v>
      </c>
      <c r="N3" s="634">
        <f>宝箱设定!K17</f>
        <v>1</v>
      </c>
      <c r="O3" s="157"/>
      <c r="P3" s="157"/>
      <c r="Q3" s="157"/>
      <c r="R3" s="157"/>
      <c r="S3" s="157"/>
      <c r="T3" s="157"/>
      <c r="U3" s="157"/>
      <c r="V3" s="157"/>
      <c r="W3" s="157"/>
      <c r="X3" s="157"/>
      <c r="Y3" s="157"/>
      <c r="Z3" s="157"/>
      <c r="AA3" s="157"/>
      <c r="AB3" s="157"/>
      <c r="AC3" s="157"/>
    </row>
    <row r="4" spans="2:29" x14ac:dyDescent="0.35">
      <c r="B4" s="610" t="s">
        <v>2672</v>
      </c>
      <c r="G4" s="636" t="s">
        <v>2987</v>
      </c>
      <c r="H4" s="634" t="str">
        <f>宝箱设定!C18</f>
        <v>T1部件</v>
      </c>
      <c r="I4" s="634">
        <f>宝箱设定!D18</f>
        <v>4</v>
      </c>
      <c r="J4" s="634">
        <f>宝箱设定!E18</f>
        <v>0</v>
      </c>
      <c r="K4" s="634">
        <f>宝箱设定!F18</f>
        <v>0</v>
      </c>
      <c r="L4" s="634">
        <f>VLOOKUP(H4,道具价值!$U$98:$X$101,4,FALSE)*I4+IFERROR(VLOOKUP(J4,道具价值!$U$98:$X$101,4,FALSE)*K4,0)</f>
        <v>72</v>
      </c>
      <c r="M4" s="634">
        <f>宝箱设定!J18</f>
        <v>4</v>
      </c>
      <c r="N4" s="634">
        <f>宝箱设定!K18</f>
        <v>2</v>
      </c>
      <c r="O4" s="157"/>
      <c r="P4" s="157"/>
      <c r="Q4" s="157"/>
      <c r="R4" s="157"/>
      <c r="S4" s="157"/>
      <c r="T4" s="157"/>
      <c r="U4" s="157"/>
      <c r="V4" s="157"/>
      <c r="W4" s="157"/>
      <c r="X4" s="157"/>
      <c r="Y4" s="157"/>
      <c r="Z4" s="157"/>
      <c r="AA4" s="157"/>
      <c r="AB4" s="157"/>
      <c r="AC4" s="157"/>
    </row>
    <row r="5" spans="2:29" x14ac:dyDescent="0.35">
      <c r="B5" s="610" t="s">
        <v>2673</v>
      </c>
      <c r="G5" s="636" t="s">
        <v>2988</v>
      </c>
      <c r="H5" s="634" t="str">
        <f>宝箱设定!C19</f>
        <v>T1部件</v>
      </c>
      <c r="I5" s="634">
        <f>宝箱设定!D19</f>
        <v>2</v>
      </c>
      <c r="J5" s="634" t="str">
        <f>宝箱设定!E19</f>
        <v>T2部件</v>
      </c>
      <c r="K5" s="634">
        <f>宝箱设定!F19</f>
        <v>2</v>
      </c>
      <c r="L5" s="634">
        <f>VLOOKUP(H5,道具价值!$U$98:$X$101,4,FALSE)*I5+IFERROR(VLOOKUP(J5,道具价值!$U$98:$X$101,4,FALSE)*K5,0)</f>
        <v>36</v>
      </c>
      <c r="M5" s="634">
        <f>宝箱设定!J19</f>
        <v>4</v>
      </c>
      <c r="N5" s="634">
        <f>宝箱设定!K19</f>
        <v>3</v>
      </c>
      <c r="O5" s="157"/>
      <c r="P5" s="157"/>
      <c r="Q5" s="157"/>
      <c r="R5" s="157"/>
      <c r="S5" s="157"/>
      <c r="T5" s="157"/>
      <c r="U5" s="157"/>
      <c r="V5" s="157"/>
      <c r="W5" s="157"/>
      <c r="X5" s="157"/>
      <c r="Y5" s="157"/>
      <c r="Z5" s="157"/>
      <c r="AA5" s="157"/>
      <c r="AB5" s="157"/>
      <c r="AC5" s="157"/>
    </row>
    <row r="6" spans="2:29" x14ac:dyDescent="0.35">
      <c r="B6" s="610" t="s">
        <v>2403</v>
      </c>
      <c r="G6" s="636" t="s">
        <v>2989</v>
      </c>
      <c r="H6" s="634" t="str">
        <f>宝箱设定!C20</f>
        <v>T2部件</v>
      </c>
      <c r="I6" s="634">
        <f>宝箱设定!D20</f>
        <v>4</v>
      </c>
      <c r="J6" s="634">
        <f>宝箱设定!E20</f>
        <v>0</v>
      </c>
      <c r="K6" s="634">
        <f>宝箱设定!F20</f>
        <v>0</v>
      </c>
      <c r="L6" s="634" t="e">
        <f>VLOOKUP(H6,道具价值!$U$98:$X$101,4,FALSE)*I6+IFERROR(VLOOKUP(J6,道具价值!$U$98:$X$101,4,FALSE)*K6,0)</f>
        <v>#N/A</v>
      </c>
      <c r="M6" s="634">
        <f>宝箱设定!J20</f>
        <v>4</v>
      </c>
      <c r="N6" s="634">
        <f>宝箱设定!K20</f>
        <v>4</v>
      </c>
      <c r="O6" s="157"/>
      <c r="P6" s="157"/>
      <c r="Q6" s="157"/>
      <c r="R6" s="157"/>
      <c r="S6" s="157"/>
      <c r="T6" s="157"/>
      <c r="U6" s="157"/>
      <c r="V6" s="157"/>
      <c r="W6" s="157"/>
      <c r="X6" s="157"/>
      <c r="Y6" s="157"/>
      <c r="Z6" s="157"/>
      <c r="AA6" s="157"/>
      <c r="AB6" s="157"/>
      <c r="AC6" s="157"/>
    </row>
    <row r="7" spans="2:29" x14ac:dyDescent="0.35">
      <c r="B7" s="610" t="s">
        <v>2674</v>
      </c>
      <c r="G7" s="636" t="s">
        <v>2990</v>
      </c>
      <c r="H7" s="634" t="str">
        <f>宝箱设定!C21</f>
        <v>T2部件</v>
      </c>
      <c r="I7" s="634">
        <f>宝箱设定!D21</f>
        <v>6</v>
      </c>
      <c r="J7" s="634">
        <f>宝箱设定!E21</f>
        <v>0</v>
      </c>
      <c r="K7" s="634">
        <f>宝箱设定!F21</f>
        <v>0</v>
      </c>
      <c r="L7" s="634" t="e">
        <f>VLOOKUP(H7,道具价值!$U$98:$X$101,4,FALSE)*I7+IFERROR(VLOOKUP(J7,道具价值!$U$98:$X$101,4,FALSE)*K7,0)</f>
        <v>#N/A</v>
      </c>
      <c r="M7" s="634">
        <f>宝箱设定!J21</f>
        <v>3</v>
      </c>
      <c r="N7" s="634">
        <f>宝箱设定!K21</f>
        <v>5</v>
      </c>
      <c r="O7" s="157"/>
      <c r="P7" s="157"/>
      <c r="Q7" s="157"/>
      <c r="R7" s="157"/>
      <c r="S7" s="157"/>
      <c r="T7" s="157"/>
      <c r="U7" s="157"/>
      <c r="V7" s="157"/>
      <c r="W7" s="157"/>
      <c r="X7" s="157"/>
      <c r="Y7" s="157"/>
      <c r="Z7" s="157"/>
      <c r="AA7" s="157"/>
      <c r="AB7" s="157"/>
      <c r="AC7" s="157"/>
    </row>
    <row r="8" spans="2:29" x14ac:dyDescent="0.35">
      <c r="B8" s="610" t="s">
        <v>929</v>
      </c>
      <c r="G8" s="636" t="s">
        <v>2991</v>
      </c>
      <c r="H8" s="634" t="str">
        <f>宝箱设定!C22</f>
        <v>T2部件</v>
      </c>
      <c r="I8" s="634">
        <f>宝箱设定!D22</f>
        <v>4</v>
      </c>
      <c r="J8" s="634" t="str">
        <f>宝箱设定!E22</f>
        <v>T3部件</v>
      </c>
      <c r="K8" s="634">
        <f>宝箱设定!F22</f>
        <v>1</v>
      </c>
      <c r="L8" s="634" t="e">
        <f>VLOOKUP(H8,道具价值!$U$98:$X$101,4,FALSE)*I8+IFERROR(VLOOKUP(J8,道具价值!$U$98:$X$101,4,FALSE)*K8,0)</f>
        <v>#N/A</v>
      </c>
      <c r="M8" s="634">
        <f>宝箱设定!J22</f>
        <v>3</v>
      </c>
      <c r="N8" s="634">
        <f>宝箱设定!K22</f>
        <v>6</v>
      </c>
      <c r="O8" s="157"/>
      <c r="P8" s="157"/>
      <c r="Q8" s="157"/>
      <c r="R8" s="157"/>
      <c r="S8" s="157"/>
      <c r="T8" s="157"/>
      <c r="U8" s="157"/>
      <c r="V8" s="157"/>
      <c r="W8" s="157"/>
      <c r="X8" s="157"/>
      <c r="Y8" s="157"/>
      <c r="Z8" s="157"/>
      <c r="AA8" s="157"/>
      <c r="AB8" s="157"/>
      <c r="AC8" s="157"/>
    </row>
    <row r="9" spans="2:29" x14ac:dyDescent="0.35">
      <c r="B9" s="610" t="s">
        <v>2675</v>
      </c>
      <c r="G9" s="636" t="s">
        <v>2992</v>
      </c>
      <c r="H9" s="634" t="str">
        <f>宝箱设定!C23</f>
        <v>T3部件</v>
      </c>
      <c r="I9" s="634">
        <f>宝箱设定!D23</f>
        <v>3</v>
      </c>
      <c r="J9" s="634">
        <f>宝箱设定!E23</f>
        <v>0</v>
      </c>
      <c r="K9" s="634">
        <f>宝箱设定!F23</f>
        <v>0</v>
      </c>
      <c r="L9" s="634" t="e">
        <f>VLOOKUP(H9,道具价值!$U$98:$X$101,4,FALSE)*I9+IFERROR(VLOOKUP(J9,道具价值!$U$98:$X$101,4,FALSE)*K9,0)</f>
        <v>#N/A</v>
      </c>
      <c r="M9" s="634">
        <f>宝箱设定!J23</f>
        <v>3</v>
      </c>
      <c r="N9" s="634">
        <f>宝箱设定!K23</f>
        <v>7</v>
      </c>
      <c r="O9" s="157"/>
      <c r="P9" s="157"/>
      <c r="Q9" s="157"/>
      <c r="R9" s="157"/>
      <c r="S9" s="157"/>
      <c r="T9" s="157"/>
      <c r="U9" s="157"/>
      <c r="V9" s="157"/>
      <c r="W9" s="157"/>
      <c r="X9" s="157"/>
      <c r="Y9" s="157"/>
      <c r="Z9" s="157"/>
      <c r="AA9" s="157"/>
      <c r="AB9" s="157"/>
      <c r="AC9" s="157"/>
    </row>
    <row r="10" spans="2:29" x14ac:dyDescent="0.35">
      <c r="B10" s="610" t="s">
        <v>2676</v>
      </c>
      <c r="G10" s="636" t="s">
        <v>2993</v>
      </c>
      <c r="H10" s="634" t="str">
        <f>宝箱设定!C24</f>
        <v>T3部件</v>
      </c>
      <c r="I10" s="634">
        <f>宝箱设定!D24</f>
        <v>4</v>
      </c>
      <c r="J10" s="634">
        <f>宝箱设定!E24</f>
        <v>0</v>
      </c>
      <c r="K10" s="634">
        <f>宝箱设定!F24</f>
        <v>0</v>
      </c>
      <c r="L10" s="634" t="e">
        <f>VLOOKUP(H10,道具价值!$U$98:$X$101,4,FALSE)*I10+IFERROR(VLOOKUP(J10,道具价值!$U$98:$X$101,4,FALSE)*K10,0)</f>
        <v>#N/A</v>
      </c>
      <c r="M10" s="634">
        <f>宝箱设定!J24</f>
        <v>4</v>
      </c>
      <c r="N10" s="634">
        <f>宝箱设定!K24</f>
        <v>8</v>
      </c>
      <c r="O10" s="157"/>
      <c r="P10" s="157"/>
      <c r="Q10" s="157"/>
      <c r="R10" s="157"/>
      <c r="S10" s="157"/>
      <c r="T10" s="157"/>
      <c r="U10" s="157"/>
      <c r="V10" s="157"/>
      <c r="W10" s="157"/>
      <c r="X10" s="157"/>
      <c r="Y10" s="157"/>
      <c r="Z10" s="157"/>
      <c r="AA10" s="157"/>
      <c r="AB10" s="157"/>
      <c r="AC10" s="157"/>
    </row>
    <row r="11" spans="2:29" x14ac:dyDescent="0.35">
      <c r="B11" s="610" t="s">
        <v>2677</v>
      </c>
      <c r="G11" s="636" t="s">
        <v>2996</v>
      </c>
      <c r="H11" s="634" t="str">
        <f>宝箱设定!C25</f>
        <v>T3部件</v>
      </c>
      <c r="I11" s="634">
        <f>宝箱设定!D25</f>
        <v>1</v>
      </c>
      <c r="J11" s="634" t="str">
        <f>宝箱设定!E25</f>
        <v>T4部件</v>
      </c>
      <c r="K11" s="634">
        <f>宝箱设定!F25</f>
        <v>1</v>
      </c>
      <c r="L11" s="634" t="e">
        <f>VLOOKUP(H11,道具价值!$U$98:$X$101,4,FALSE)*I11+IFERROR(VLOOKUP(J11,道具价值!$U$98:$X$101,4,FALSE)*K11,0)</f>
        <v>#N/A</v>
      </c>
      <c r="M11" s="634">
        <f>宝箱设定!J25</f>
        <v>2</v>
      </c>
      <c r="N11" s="634">
        <f>宝箱设定!K25</f>
        <v>9</v>
      </c>
      <c r="O11" s="157"/>
      <c r="P11" s="157"/>
      <c r="Q11" s="157"/>
      <c r="R11" s="157"/>
      <c r="S11" s="157"/>
      <c r="T11" s="157"/>
      <c r="U11" s="157"/>
      <c r="V11" s="157"/>
      <c r="W11" s="157"/>
      <c r="X11" s="157"/>
      <c r="Y11" s="157"/>
      <c r="Z11" s="157"/>
      <c r="AA11" s="157"/>
      <c r="AB11" s="157"/>
      <c r="AC11" s="157"/>
    </row>
    <row r="12" spans="2:29" x14ac:dyDescent="0.35">
      <c r="G12" s="636" t="s">
        <v>3029</v>
      </c>
      <c r="H12" s="634" t="str">
        <f>宝箱设定!C29</f>
        <v>T1低碎片</v>
      </c>
      <c r="I12" s="634">
        <f>宝箱设定!D29</f>
        <v>3</v>
      </c>
      <c r="J12" s="634">
        <f>宝箱设定!E29</f>
        <v>0</v>
      </c>
      <c r="K12" s="634">
        <f>宝箱设定!F29</f>
        <v>0</v>
      </c>
      <c r="L12" s="634">
        <f>VLOOKUP(H12,道具价值!$B$33:$E$45,4,FALSE)*I12+IFERROR(VLOOKUP(J12,道具价值!$B$33:$E$45,4,FALSE)*K12,0)</f>
        <v>210</v>
      </c>
      <c r="M12" s="634">
        <f>宝箱设定!J29</f>
        <v>1</v>
      </c>
      <c r="N12" s="634">
        <f>宝箱设定!K29</f>
        <v>1</v>
      </c>
      <c r="O12" s="157"/>
      <c r="P12" s="157"/>
      <c r="Q12" s="157"/>
      <c r="R12" s="157"/>
      <c r="S12" s="157"/>
      <c r="T12" s="157"/>
      <c r="U12" s="157"/>
      <c r="V12" s="157"/>
      <c r="W12" s="157"/>
      <c r="X12" s="157"/>
      <c r="Y12" s="157"/>
      <c r="Z12" s="157"/>
      <c r="AA12" s="157"/>
      <c r="AB12" s="157"/>
      <c r="AC12" s="157"/>
    </row>
    <row r="13" spans="2:29" x14ac:dyDescent="0.35">
      <c r="B13" s="771" t="s">
        <v>2202</v>
      </c>
      <c r="C13" s="772"/>
      <c r="D13" s="772"/>
      <c r="E13" s="773"/>
      <c r="F13" s="612"/>
      <c r="G13" s="636" t="s">
        <v>3002</v>
      </c>
      <c r="H13" s="634" t="str">
        <f>宝箱设定!C30</f>
        <v>T2低碎片</v>
      </c>
      <c r="I13" s="634">
        <f>宝箱设定!D30</f>
        <v>3</v>
      </c>
      <c r="J13" s="634">
        <f>宝箱设定!E30</f>
        <v>0</v>
      </c>
      <c r="K13" s="634">
        <f>宝箱设定!F30</f>
        <v>0</v>
      </c>
      <c r="L13" s="634">
        <f>VLOOKUP(H13,道具价值!$B$33:$E$45,4,FALSE)*I13+IFERROR(VLOOKUP(J13,道具价值!$B$33:$E$45,4,FALSE)*K13,0)</f>
        <v>315</v>
      </c>
      <c r="M13" s="634">
        <f>宝箱设定!J30</f>
        <v>1</v>
      </c>
      <c r="N13" s="634">
        <f>宝箱设定!K30</f>
        <v>2</v>
      </c>
      <c r="O13" s="157"/>
      <c r="P13" s="157"/>
      <c r="Q13" s="157"/>
      <c r="R13" s="157"/>
      <c r="S13" s="157"/>
      <c r="T13" s="157"/>
      <c r="U13" s="157"/>
      <c r="V13" s="157"/>
      <c r="W13" s="157"/>
      <c r="X13" s="157"/>
      <c r="Y13" s="157"/>
      <c r="Z13" s="157"/>
      <c r="AA13" s="157"/>
      <c r="AB13" s="157"/>
      <c r="AC13" s="157"/>
    </row>
    <row r="14" spans="2:29" x14ac:dyDescent="0.35">
      <c r="B14" s="610" t="s">
        <v>597</v>
      </c>
      <c r="C14" s="610" t="s">
        <v>1434</v>
      </c>
      <c r="D14" s="610" t="s">
        <v>1435</v>
      </c>
      <c r="E14" s="610" t="s">
        <v>1436</v>
      </c>
      <c r="F14" s="612"/>
      <c r="G14" s="636" t="s">
        <v>3003</v>
      </c>
      <c r="H14" s="634" t="str">
        <f>宝箱设定!C31</f>
        <v>T2中碎片</v>
      </c>
      <c r="I14" s="634">
        <f>宝箱设定!D31</f>
        <v>3</v>
      </c>
      <c r="J14" s="634">
        <f>宝箱设定!E31</f>
        <v>0</v>
      </c>
      <c r="K14" s="634">
        <f>宝箱设定!F31</f>
        <v>0</v>
      </c>
      <c r="L14" s="634">
        <f>VLOOKUP(H14,道具价值!$B$33:$E$45,4,FALSE)*I14+IFERROR(VLOOKUP(J14,道具价值!$B$33:$E$45,4,FALSE)*K14,0)</f>
        <v>465</v>
      </c>
      <c r="M14" s="634">
        <f>宝箱设定!J31</f>
        <v>1</v>
      </c>
      <c r="N14" s="634">
        <f>宝箱设定!K31</f>
        <v>3</v>
      </c>
      <c r="O14" s="157"/>
      <c r="P14" s="157"/>
      <c r="Q14" s="157"/>
      <c r="R14" s="157"/>
      <c r="S14" s="157"/>
      <c r="T14" s="157"/>
      <c r="U14" s="157"/>
      <c r="V14" s="157"/>
      <c r="W14" s="157"/>
      <c r="X14" s="157"/>
      <c r="Y14" s="157"/>
      <c r="Z14" s="157"/>
      <c r="AA14" s="157"/>
      <c r="AB14" s="157"/>
      <c r="AC14" s="157"/>
    </row>
    <row r="15" spans="2:29" x14ac:dyDescent="0.35">
      <c r="B15" s="610">
        <f>基础经济系数!P57</f>
        <v>1</v>
      </c>
      <c r="C15" s="610" t="str">
        <f>基础经济系数!Q57</f>
        <v>T1低</v>
      </c>
      <c r="D15" s="610"/>
      <c r="E15" s="610"/>
      <c r="F15" s="612"/>
      <c r="G15" s="636" t="s">
        <v>3004</v>
      </c>
      <c r="H15" s="634" t="str">
        <f>宝箱设定!C32</f>
        <v>T3低碎片</v>
      </c>
      <c r="I15" s="634">
        <f>宝箱设定!D32</f>
        <v>3</v>
      </c>
      <c r="J15" s="634">
        <f>宝箱设定!E32</f>
        <v>0</v>
      </c>
      <c r="K15" s="634">
        <f>宝箱设定!F32</f>
        <v>0</v>
      </c>
      <c r="L15" s="634">
        <f>VLOOKUP(H15,道具价值!$B$33:$E$45,4,FALSE)*I15+IFERROR(VLOOKUP(J15,道具价值!$B$33:$E$45,4,FALSE)*K15,0)</f>
        <v>390</v>
      </c>
      <c r="M15" s="634">
        <f>宝箱设定!J32</f>
        <v>1</v>
      </c>
      <c r="N15" s="634">
        <f>宝箱设定!K32</f>
        <v>5</v>
      </c>
      <c r="O15" s="157"/>
      <c r="P15" s="157"/>
      <c r="Q15" s="157"/>
      <c r="R15" s="157"/>
      <c r="S15" s="157"/>
      <c r="T15" s="157"/>
      <c r="U15" s="157"/>
      <c r="V15" s="157"/>
      <c r="W15" s="157"/>
      <c r="X15" s="157"/>
      <c r="Y15" s="157"/>
      <c r="Z15" s="157"/>
      <c r="AA15" s="157"/>
      <c r="AB15" s="157"/>
      <c r="AC15" s="157"/>
    </row>
    <row r="16" spans="2:29" x14ac:dyDescent="0.35">
      <c r="B16" s="610">
        <f>基础经济系数!P58</f>
        <v>2</v>
      </c>
      <c r="C16" s="610" t="str">
        <f>基础经济系数!Q58</f>
        <v>T2低</v>
      </c>
      <c r="D16" s="610"/>
      <c r="E16" s="610"/>
      <c r="F16" s="612"/>
      <c r="G16" s="636" t="s">
        <v>3005</v>
      </c>
      <c r="H16" s="634" t="str">
        <f>宝箱设定!C33</f>
        <v>T3中碎片</v>
      </c>
      <c r="I16" s="634">
        <f>宝箱设定!D33</f>
        <v>3</v>
      </c>
      <c r="J16" s="634">
        <f>宝箱设定!E33</f>
        <v>0</v>
      </c>
      <c r="K16" s="634">
        <f>宝箱设定!F33</f>
        <v>0</v>
      </c>
      <c r="L16" s="634">
        <f>VLOOKUP(H16,道具价值!$B$33:$E$45,4,FALSE)*I16+IFERROR(VLOOKUP(J16,道具价值!$B$33:$E$45,4,FALSE)*K16,0)</f>
        <v>435</v>
      </c>
      <c r="M16" s="634">
        <f>宝箱设定!J33</f>
        <v>1</v>
      </c>
      <c r="N16" s="634">
        <f>宝箱设定!K33</f>
        <v>5</v>
      </c>
      <c r="O16" s="157"/>
      <c r="P16" s="157"/>
      <c r="Q16" s="157"/>
      <c r="R16" s="157"/>
      <c r="S16" s="157"/>
      <c r="T16" s="157"/>
      <c r="U16" s="157"/>
      <c r="V16" s="157"/>
      <c r="W16" s="157"/>
      <c r="X16" s="157"/>
      <c r="Y16" s="157"/>
      <c r="Z16" s="157"/>
      <c r="AA16" s="157"/>
      <c r="AB16" s="157"/>
      <c r="AC16" s="157"/>
    </row>
    <row r="17" spans="2:38" x14ac:dyDescent="0.35">
      <c r="B17" s="610">
        <f>基础经济系数!P59</f>
        <v>3</v>
      </c>
      <c r="C17" s="610" t="str">
        <f>基础经济系数!Q59</f>
        <v>T2中</v>
      </c>
      <c r="D17" s="610"/>
      <c r="E17" s="610"/>
      <c r="F17" s="612"/>
      <c r="G17" s="636" t="s">
        <v>3006</v>
      </c>
      <c r="H17" s="634" t="str">
        <f>宝箱设定!C34</f>
        <v>T4低碎片</v>
      </c>
      <c r="I17" s="634">
        <f>宝箱设定!D34</f>
        <v>2</v>
      </c>
      <c r="J17" s="634">
        <f>宝箱设定!E34</f>
        <v>0</v>
      </c>
      <c r="K17" s="634">
        <f>宝箱设定!F34</f>
        <v>0</v>
      </c>
      <c r="L17" s="634">
        <f>VLOOKUP(H17,道具价值!$B$33:$E$45,4,FALSE)*I17+IFERROR(VLOOKUP(J17,道具价值!$B$33:$E$45,4,FALSE)*K17,0)</f>
        <v>360</v>
      </c>
      <c r="M17" s="634">
        <f>宝箱设定!J34</f>
        <v>1</v>
      </c>
      <c r="N17" s="634">
        <f>宝箱设定!K34</f>
        <v>8</v>
      </c>
      <c r="O17" s="157"/>
      <c r="P17" s="157"/>
      <c r="Q17" s="157"/>
      <c r="R17" s="157"/>
      <c r="S17" s="157"/>
      <c r="T17" s="157"/>
      <c r="U17" s="157"/>
      <c r="V17" s="157"/>
      <c r="W17" s="157"/>
      <c r="X17" s="157"/>
      <c r="Y17" s="157"/>
      <c r="Z17" s="157"/>
      <c r="AA17" s="157"/>
      <c r="AB17" s="157"/>
      <c r="AC17" s="157"/>
    </row>
    <row r="18" spans="2:38" x14ac:dyDescent="0.35">
      <c r="B18" s="610">
        <f>基础经济系数!P60</f>
        <v>4</v>
      </c>
      <c r="C18" s="610"/>
      <c r="D18" s="610"/>
      <c r="E18" s="610"/>
      <c r="F18" s="612"/>
      <c r="G18" s="636" t="s">
        <v>3007</v>
      </c>
      <c r="H18" s="634" t="str">
        <f>宝箱设定!C35</f>
        <v>T4中碎片</v>
      </c>
      <c r="I18" s="634">
        <f>宝箱设定!D35</f>
        <v>2</v>
      </c>
      <c r="J18" s="634">
        <f>宝箱设定!E35</f>
        <v>0</v>
      </c>
      <c r="K18" s="634">
        <f>宝箱设定!F35</f>
        <v>0</v>
      </c>
      <c r="L18" s="634">
        <f>VLOOKUP(H18,道具价值!$B$33:$E$45,4,FALSE)*I18+IFERROR(VLOOKUP(J18,道具价值!$B$33:$E$45,4,FALSE)*K18,0)</f>
        <v>420</v>
      </c>
      <c r="M18" s="634">
        <f>宝箱设定!J35</f>
        <v>1</v>
      </c>
      <c r="N18" s="634">
        <f>宝箱设定!K35</f>
        <v>10</v>
      </c>
      <c r="O18" s="157"/>
      <c r="P18" s="157"/>
      <c r="Q18" s="157"/>
      <c r="R18" s="157"/>
      <c r="S18" s="157"/>
      <c r="T18" s="157"/>
      <c r="U18" s="157"/>
      <c r="V18" s="157"/>
      <c r="W18" s="157"/>
      <c r="X18" s="157"/>
      <c r="Y18" s="157"/>
      <c r="Z18" s="157"/>
      <c r="AA18" s="157"/>
      <c r="AB18" s="157"/>
    </row>
    <row r="19" spans="2:38" x14ac:dyDescent="0.35">
      <c r="B19" s="610">
        <f>基础经济系数!P61</f>
        <v>5</v>
      </c>
      <c r="C19" s="610" t="str">
        <f>基础经济系数!Q61</f>
        <v>T3低</v>
      </c>
      <c r="D19" s="610" t="str">
        <f>基础经济系数!R61</f>
        <v>T3中</v>
      </c>
      <c r="E19" s="610"/>
      <c r="F19" s="612"/>
      <c r="G19" s="636" t="s">
        <v>3008</v>
      </c>
      <c r="H19" s="634" t="str">
        <f>宝箱设定!C36</f>
        <v>T4高碎片</v>
      </c>
      <c r="I19" s="634">
        <f>宝箱设定!D36</f>
        <v>2</v>
      </c>
      <c r="J19" s="634">
        <f>宝箱设定!E36</f>
        <v>0</v>
      </c>
      <c r="K19" s="634">
        <f>宝箱设定!F36</f>
        <v>0</v>
      </c>
      <c r="L19" s="634">
        <f>VLOOKUP(H19,道具价值!$B$33:$E$45,4,FALSE)*I19+IFERROR(VLOOKUP(J19,道具价值!$B$33:$E$45,4,FALSE)*K19,0)</f>
        <v>550</v>
      </c>
      <c r="M19" s="634">
        <f>宝箱设定!J36</f>
        <v>1</v>
      </c>
      <c r="N19" s="634">
        <f>宝箱设定!K36</f>
        <v>10</v>
      </c>
      <c r="O19" s="157"/>
      <c r="P19" s="157"/>
      <c r="Q19" s="157"/>
      <c r="R19" s="157"/>
      <c r="S19" s="157"/>
      <c r="T19" s="157"/>
      <c r="U19" s="157"/>
      <c r="V19" s="157"/>
      <c r="W19" s="157"/>
      <c r="X19" s="157"/>
      <c r="Y19" s="157"/>
      <c r="Z19" s="157"/>
      <c r="AA19" s="157"/>
      <c r="AB19" s="157"/>
    </row>
    <row r="20" spans="2:38" x14ac:dyDescent="0.35">
      <c r="B20" s="610">
        <f>基础经济系数!P62</f>
        <v>6</v>
      </c>
      <c r="C20" s="610"/>
      <c r="D20" s="610"/>
      <c r="E20" s="610"/>
      <c r="F20" s="612"/>
      <c r="G20" s="612"/>
      <c r="H20" s="612"/>
      <c r="I20" s="612"/>
      <c r="J20" s="612"/>
      <c r="K20" s="612"/>
      <c r="L20" s="612"/>
      <c r="M20" s="612"/>
      <c r="N20" s="612"/>
      <c r="O20" s="612"/>
      <c r="P20" s="612"/>
      <c r="Q20" s="612"/>
      <c r="R20" s="612"/>
      <c r="S20" s="612"/>
      <c r="T20" s="612"/>
      <c r="U20" s="612"/>
      <c r="V20" s="612"/>
      <c r="W20" s="612"/>
      <c r="X20" s="612"/>
      <c r="Y20" s="612"/>
      <c r="Z20" s="612"/>
      <c r="AA20" s="612"/>
      <c r="AB20" s="612"/>
    </row>
    <row r="21" spans="2:38" x14ac:dyDescent="0.35">
      <c r="B21" s="610">
        <f>基础经济系数!P63</f>
        <v>7</v>
      </c>
      <c r="C21" s="610"/>
      <c r="D21" s="610"/>
      <c r="E21" s="610"/>
      <c r="F21" s="612"/>
      <c r="G21" s="612"/>
      <c r="H21" s="612"/>
      <c r="I21" s="612"/>
      <c r="J21" s="612"/>
      <c r="K21" s="612"/>
      <c r="L21" s="612"/>
      <c r="M21" s="612"/>
      <c r="N21" s="612"/>
      <c r="O21" s="612"/>
      <c r="P21" s="612"/>
      <c r="Q21" s="612"/>
      <c r="R21" s="612"/>
      <c r="S21" s="612"/>
      <c r="T21" s="612"/>
      <c r="U21" s="612"/>
      <c r="V21" s="612"/>
      <c r="W21" s="612"/>
      <c r="X21" s="612"/>
      <c r="Y21" s="612"/>
      <c r="Z21" s="612"/>
      <c r="AA21" s="612"/>
      <c r="AB21" s="612"/>
      <c r="AC21" s="612"/>
    </row>
    <row r="22" spans="2:38" x14ac:dyDescent="0.35">
      <c r="B22" s="610">
        <f>基础经济系数!P64</f>
        <v>8</v>
      </c>
      <c r="C22" s="610" t="str">
        <f>基础经济系数!Q64</f>
        <v>T4低</v>
      </c>
      <c r="D22" s="610" t="str">
        <f>基础经济系数!R64</f>
        <v>T4中</v>
      </c>
      <c r="E22" s="610" t="str">
        <f>基础经济系数!S64</f>
        <v>T4高</v>
      </c>
      <c r="F22" s="612"/>
      <c r="G22" s="635" t="s">
        <v>2682</v>
      </c>
      <c r="H22" s="635" t="s">
        <v>2706</v>
      </c>
      <c r="I22" s="635" t="s">
        <v>2707</v>
      </c>
      <c r="J22" s="635" t="s">
        <v>2708</v>
      </c>
      <c r="K22" s="635" t="s">
        <v>2709</v>
      </c>
      <c r="L22" s="635" t="s">
        <v>2710</v>
      </c>
      <c r="M22" s="635" t="s">
        <v>2711</v>
      </c>
      <c r="N22" s="635" t="s">
        <v>2728</v>
      </c>
      <c r="O22" s="635" t="s">
        <v>932</v>
      </c>
      <c r="P22" s="636" t="s">
        <v>3038</v>
      </c>
      <c r="Q22" s="636" t="s">
        <v>3039</v>
      </c>
      <c r="R22" s="636" t="s">
        <v>2712</v>
      </c>
      <c r="S22" s="636" t="s">
        <v>3040</v>
      </c>
      <c r="T22" s="636" t="s">
        <v>3041</v>
      </c>
      <c r="U22" s="636" t="s">
        <v>3034</v>
      </c>
      <c r="V22" s="636" t="s">
        <v>3042</v>
      </c>
      <c r="W22" s="636" t="s">
        <v>3043</v>
      </c>
      <c r="X22" s="636" t="s">
        <v>3044</v>
      </c>
      <c r="Y22" s="636" t="s">
        <v>3045</v>
      </c>
      <c r="Z22" s="636" t="s">
        <v>3046</v>
      </c>
      <c r="AA22" s="636" t="s">
        <v>3048</v>
      </c>
      <c r="AB22" s="636" t="s">
        <v>3047</v>
      </c>
      <c r="AC22" s="636" t="s">
        <v>3058</v>
      </c>
      <c r="AD22" s="636" t="s">
        <v>3059</v>
      </c>
      <c r="AE22" s="636" t="s">
        <v>3060</v>
      </c>
      <c r="AF22" s="636" t="s">
        <v>3063</v>
      </c>
      <c r="AG22" s="636" t="s">
        <v>3064</v>
      </c>
      <c r="AH22" s="636" t="s">
        <v>3065</v>
      </c>
      <c r="AI22" s="636" t="s">
        <v>3072</v>
      </c>
      <c r="AJ22" s="636" t="s">
        <v>3073</v>
      </c>
      <c r="AK22" s="636" t="s">
        <v>3074</v>
      </c>
      <c r="AL22" s="636" t="s">
        <v>3075</v>
      </c>
    </row>
    <row r="23" spans="2:38" x14ac:dyDescent="0.35">
      <c r="B23" s="610">
        <f>基础经济系数!P65</f>
        <v>9</v>
      </c>
      <c r="C23" s="610" t="str">
        <f>基础经济系数!Q65</f>
        <v>T4中</v>
      </c>
      <c r="D23" s="610" t="str">
        <f>基础经济系数!R65</f>
        <v>T4高</v>
      </c>
      <c r="E23" s="610"/>
      <c r="F23" s="612"/>
      <c r="G23" s="635">
        <v>1</v>
      </c>
      <c r="H23" s="636" t="s">
        <v>3028</v>
      </c>
      <c r="I23" s="635" t="s">
        <v>2884</v>
      </c>
      <c r="J23" s="635" t="s">
        <v>929</v>
      </c>
      <c r="K23" s="635">
        <f t="shared" ref="K23:K54" si="0">IFERROR(VLOOKUP(LEFT(H23,4),$B$40:$C$81,2,FALSE),VLOOKUP(H23,$B$40:$C$81,2,FALSE))</f>
        <v>90</v>
      </c>
      <c r="L23" s="635">
        <f t="shared" ref="L23:L40" si="1">VLOOKUP(I23,$B$40:$C$81,2,FALSE)</f>
        <v>35</v>
      </c>
      <c r="M23" s="635">
        <f t="shared" ref="M23:M40" si="2">VLOOKUP(J23,$B$40:$C$81,2,FALSE)</f>
        <v>2.5000000000000001E-3</v>
      </c>
      <c r="N23" s="635">
        <v>1</v>
      </c>
      <c r="O23" s="635">
        <f>N23*基础经济系数!$C$2</f>
        <v>100</v>
      </c>
      <c r="P23" s="635">
        <v>5</v>
      </c>
      <c r="Q23" s="635">
        <f t="shared" ref="Q23:Q148" si="3">O23*P23</f>
        <v>500</v>
      </c>
      <c r="R23" s="635">
        <v>1</v>
      </c>
      <c r="S23" s="635">
        <f>R23*K23</f>
        <v>90</v>
      </c>
      <c r="T23" s="635">
        <f>S23/Q23</f>
        <v>0.18</v>
      </c>
      <c r="U23" s="635">
        <v>6</v>
      </c>
      <c r="V23" s="635">
        <f>U23*L23</f>
        <v>210</v>
      </c>
      <c r="W23" s="635">
        <f>V23/Q23</f>
        <v>0.42</v>
      </c>
      <c r="X23" s="635">
        <v>20000</v>
      </c>
      <c r="Y23" s="635">
        <f t="shared" ref="Y23:Y40" si="4">Z23*Q23</f>
        <v>200.00000000000003</v>
      </c>
      <c r="Z23" s="635">
        <f t="shared" ref="Z23:Z40" si="5">1-T23-W23</f>
        <v>0.40000000000000008</v>
      </c>
      <c r="AA23" s="635">
        <f t="shared" ref="AA23:AA54" si="6">R23*K23+U23*L23+X23*M23</f>
        <v>350</v>
      </c>
      <c r="AB23" s="635">
        <f t="shared" ref="AB23:AB54" si="7">1-1/(AA23/O23)</f>
        <v>0.7142857142857143</v>
      </c>
      <c r="AC23" s="635">
        <f t="shared" ref="AC23:AC40" si="8">VLOOKUP(H23,道具ID,2,FALSE)</f>
        <v>23201</v>
      </c>
      <c r="AD23" s="635">
        <f t="shared" ref="AD23:AD40" si="9">VLOOKUP(I23,道具ID,2,FALSE)</f>
        <v>100301</v>
      </c>
      <c r="AE23" s="635">
        <f t="shared" ref="AE23:AE40" si="10">VLOOKUP(J23,道具ID,2,FALSE)</f>
        <v>102</v>
      </c>
      <c r="AF23" s="635" t="str">
        <f t="shared" ref="AF23:AF40" si="11">VLOOKUP(H23,道具ID,3,FALSE)</f>
        <v>chest_tankpart</v>
      </c>
      <c r="AG23" s="635" t="str">
        <f t="shared" ref="AG23:AG40" si="12">VLOOKUP(I23,道具ID,3,FALSE)</f>
        <v>resource_icon_quicken</v>
      </c>
      <c r="AH23" s="635" t="str">
        <f t="shared" ref="AH23:AH40" si="13">VLOOKUP(J23,道具ID,3,FALSE)</f>
        <v>resource_icon_fund</v>
      </c>
      <c r="AI23" s="635" t="str">
        <f>"["&amp;AC23&amp;","&amp;AD23&amp;","&amp;AE23&amp;"]"</f>
        <v>[23201,100301,102]</v>
      </c>
      <c r="AJ23" s="635" t="str">
        <f>"["&amp;R23&amp;","&amp;U23&amp;","&amp;X23&amp;"]"</f>
        <v>[1,6,20000]</v>
      </c>
      <c r="AK23" s="635" t="str">
        <f>"["&amp;AF23&amp;","&amp;AG23&amp;","&amp;AH23&amp;"]"</f>
        <v>[chest_tankpart,resource_icon_quicken,resource_icon_fund]</v>
      </c>
      <c r="AL23" s="635" t="str">
        <f>G23&amp;"+"&amp;N23&amp;"+"&amp;LEFT(H23,4)</f>
        <v>1+1+部件礼包</v>
      </c>
    </row>
    <row r="24" spans="2:38" x14ac:dyDescent="0.35">
      <c r="B24" s="610">
        <f>基础经济系数!P66</f>
        <v>10</v>
      </c>
      <c r="C24" s="610" t="str">
        <f>基础经济系数!Q66</f>
        <v>T4中</v>
      </c>
      <c r="D24" s="610" t="str">
        <f>基础经济系数!R66</f>
        <v>T4高</v>
      </c>
      <c r="E24" s="610"/>
      <c r="F24" s="612"/>
      <c r="G24" s="635">
        <v>1</v>
      </c>
      <c r="H24" s="636" t="s">
        <v>3029</v>
      </c>
      <c r="I24" s="635" t="s">
        <v>2671</v>
      </c>
      <c r="J24" s="635" t="s">
        <v>932</v>
      </c>
      <c r="K24" s="635">
        <f t="shared" si="0"/>
        <v>210</v>
      </c>
      <c r="L24" s="635">
        <f t="shared" si="1"/>
        <v>0.75</v>
      </c>
      <c r="M24" s="635">
        <f t="shared" si="2"/>
        <v>1</v>
      </c>
      <c r="N24" s="635">
        <v>1</v>
      </c>
      <c r="O24" s="635">
        <f>N24*基础经济系数!$C$2</f>
        <v>100</v>
      </c>
      <c r="P24" s="635">
        <v>5</v>
      </c>
      <c r="Q24" s="635">
        <f t="shared" si="3"/>
        <v>500</v>
      </c>
      <c r="R24" s="635">
        <v>3</v>
      </c>
      <c r="S24" s="635">
        <f t="shared" ref="S24:S148" si="14">R24*K24</f>
        <v>630</v>
      </c>
      <c r="T24" s="635">
        <f t="shared" ref="T24:T148" si="15">S24/Q24</f>
        <v>1.26</v>
      </c>
      <c r="U24" s="635">
        <v>200</v>
      </c>
      <c r="V24" s="635">
        <f t="shared" ref="V24:V148" si="16">U24*L24</f>
        <v>150</v>
      </c>
      <c r="W24" s="635">
        <f t="shared" ref="W24:W148" si="17">V24/Q24</f>
        <v>0.3</v>
      </c>
      <c r="X24" s="635">
        <v>80</v>
      </c>
      <c r="Y24" s="635">
        <f t="shared" si="4"/>
        <v>-280</v>
      </c>
      <c r="Z24" s="635">
        <f t="shared" si="5"/>
        <v>-0.56000000000000005</v>
      </c>
      <c r="AA24" s="635">
        <f t="shared" si="6"/>
        <v>860</v>
      </c>
      <c r="AB24" s="635">
        <f t="shared" si="7"/>
        <v>0.88372093023255816</v>
      </c>
      <c r="AC24" s="635">
        <f t="shared" si="8"/>
        <v>24201</v>
      </c>
      <c r="AD24" s="635">
        <f t="shared" si="9"/>
        <v>111</v>
      </c>
      <c r="AE24" s="635">
        <f t="shared" si="10"/>
        <v>101</v>
      </c>
      <c r="AF24" s="635" t="str">
        <f t="shared" si="11"/>
        <v>chest_shard</v>
      </c>
      <c r="AG24" s="635" t="str">
        <f t="shared" si="12"/>
        <v>resource_icon_doublekey</v>
      </c>
      <c r="AH24" s="635" t="str">
        <f t="shared" si="13"/>
        <v>resource_icon_diamond</v>
      </c>
      <c r="AI24" s="635" t="str">
        <f t="shared" ref="AI24:AI87" si="18">"["&amp;AC24&amp;","&amp;AD24&amp;","&amp;AE24&amp;"]"</f>
        <v>[24201,111,101]</v>
      </c>
      <c r="AJ24" s="635" t="str">
        <f t="shared" ref="AJ24:AJ87" si="19">"["&amp;R24&amp;","&amp;U24&amp;","&amp;X24&amp;"]"</f>
        <v>[3,200,80]</v>
      </c>
      <c r="AK24" s="635" t="str">
        <f t="shared" ref="AK24:AK87" si="20">"["&amp;AF24&amp;","&amp;AG24&amp;","&amp;AH24&amp;"]"</f>
        <v>[chest_shard,resource_icon_doublekey,resource_icon_diamond]</v>
      </c>
      <c r="AL24" s="635" t="str">
        <f t="shared" ref="AL24:AL87" si="21">G24&amp;"+"&amp;N24&amp;"+"&amp;LEFT(H24,4)</f>
        <v>1+1+碎片礼包</v>
      </c>
    </row>
    <row r="25" spans="2:38" x14ac:dyDescent="0.35">
      <c r="G25" s="635">
        <v>1</v>
      </c>
      <c r="H25" s="636" t="s">
        <v>3028</v>
      </c>
      <c r="I25" s="635" t="s">
        <v>2884</v>
      </c>
      <c r="J25" s="635" t="s">
        <v>929</v>
      </c>
      <c r="K25" s="635">
        <f t="shared" si="0"/>
        <v>90</v>
      </c>
      <c r="L25" s="635">
        <f t="shared" si="1"/>
        <v>35</v>
      </c>
      <c r="M25" s="635">
        <f t="shared" si="2"/>
        <v>2.5000000000000001E-3</v>
      </c>
      <c r="N25" s="635">
        <v>3</v>
      </c>
      <c r="O25" s="635">
        <f>N25*基础经济系数!$C$2</f>
        <v>300</v>
      </c>
      <c r="P25" s="635">
        <v>5</v>
      </c>
      <c r="Q25" s="635">
        <f t="shared" si="3"/>
        <v>1500</v>
      </c>
      <c r="R25" s="635">
        <v>4</v>
      </c>
      <c r="S25" s="635">
        <f t="shared" si="14"/>
        <v>360</v>
      </c>
      <c r="T25" s="635">
        <f t="shared" si="15"/>
        <v>0.24</v>
      </c>
      <c r="U25" s="635">
        <v>12</v>
      </c>
      <c r="V25" s="635">
        <f t="shared" si="16"/>
        <v>420</v>
      </c>
      <c r="W25" s="635">
        <f t="shared" si="17"/>
        <v>0.28000000000000003</v>
      </c>
      <c r="X25" s="635">
        <v>50000</v>
      </c>
      <c r="Y25" s="635">
        <f t="shared" si="4"/>
        <v>720</v>
      </c>
      <c r="Z25" s="635">
        <f t="shared" si="5"/>
        <v>0.48</v>
      </c>
      <c r="AA25" s="635">
        <f t="shared" si="6"/>
        <v>905</v>
      </c>
      <c r="AB25" s="635">
        <f t="shared" si="7"/>
        <v>0.66850828729281764</v>
      </c>
      <c r="AC25" s="635">
        <f t="shared" si="8"/>
        <v>23201</v>
      </c>
      <c r="AD25" s="635">
        <f t="shared" si="9"/>
        <v>100301</v>
      </c>
      <c r="AE25" s="635">
        <f t="shared" si="10"/>
        <v>102</v>
      </c>
      <c r="AF25" s="635" t="str">
        <f t="shared" si="11"/>
        <v>chest_tankpart</v>
      </c>
      <c r="AG25" s="635" t="str">
        <f t="shared" si="12"/>
        <v>resource_icon_quicken</v>
      </c>
      <c r="AH25" s="635" t="str">
        <f t="shared" si="13"/>
        <v>resource_icon_fund</v>
      </c>
      <c r="AI25" s="635" t="str">
        <f t="shared" si="18"/>
        <v>[23201,100301,102]</v>
      </c>
      <c r="AJ25" s="635" t="str">
        <f t="shared" si="19"/>
        <v>[4,12,50000]</v>
      </c>
      <c r="AK25" s="635" t="str">
        <f t="shared" si="20"/>
        <v>[chest_tankpart,resource_icon_quicken,resource_icon_fund]</v>
      </c>
      <c r="AL25" s="635" t="str">
        <f t="shared" si="21"/>
        <v>1+3+部件礼包</v>
      </c>
    </row>
    <row r="26" spans="2:38" x14ac:dyDescent="0.35">
      <c r="B26" s="771" t="s">
        <v>2683</v>
      </c>
      <c r="C26" s="772"/>
      <c r="D26" s="773"/>
      <c r="G26" s="635">
        <v>1</v>
      </c>
      <c r="H26" s="636" t="s">
        <v>3029</v>
      </c>
      <c r="I26" s="635" t="s">
        <v>2671</v>
      </c>
      <c r="J26" s="635" t="s">
        <v>932</v>
      </c>
      <c r="K26" s="635">
        <f t="shared" si="0"/>
        <v>210</v>
      </c>
      <c r="L26" s="635">
        <f t="shared" si="1"/>
        <v>0.75</v>
      </c>
      <c r="M26" s="635">
        <f t="shared" si="2"/>
        <v>1</v>
      </c>
      <c r="N26" s="635">
        <v>3</v>
      </c>
      <c r="O26" s="635">
        <f>N26*基础经济系数!$C$2</f>
        <v>300</v>
      </c>
      <c r="P26" s="635">
        <v>5</v>
      </c>
      <c r="Q26" s="635">
        <f t="shared" si="3"/>
        <v>1500</v>
      </c>
      <c r="R26" s="635">
        <v>12</v>
      </c>
      <c r="S26" s="635">
        <f t="shared" si="14"/>
        <v>2520</v>
      </c>
      <c r="T26" s="635">
        <f t="shared" si="15"/>
        <v>1.68</v>
      </c>
      <c r="U26" s="635">
        <v>400</v>
      </c>
      <c r="V26" s="635">
        <f t="shared" si="16"/>
        <v>300</v>
      </c>
      <c r="W26" s="635">
        <f t="shared" si="17"/>
        <v>0.2</v>
      </c>
      <c r="X26" s="635">
        <v>120</v>
      </c>
      <c r="Y26" s="635">
        <f t="shared" si="4"/>
        <v>-1319.9999999999998</v>
      </c>
      <c r="Z26" s="635">
        <f t="shared" si="5"/>
        <v>-0.87999999999999989</v>
      </c>
      <c r="AA26" s="635">
        <f t="shared" si="6"/>
        <v>2940</v>
      </c>
      <c r="AB26" s="635">
        <f t="shared" si="7"/>
        <v>0.89795918367346939</v>
      </c>
      <c r="AC26" s="635">
        <f t="shared" si="8"/>
        <v>24201</v>
      </c>
      <c r="AD26" s="635">
        <f t="shared" si="9"/>
        <v>111</v>
      </c>
      <c r="AE26" s="635">
        <f t="shared" si="10"/>
        <v>101</v>
      </c>
      <c r="AF26" s="635" t="str">
        <f t="shared" si="11"/>
        <v>chest_shard</v>
      </c>
      <c r="AG26" s="635" t="str">
        <f t="shared" si="12"/>
        <v>resource_icon_doublekey</v>
      </c>
      <c r="AH26" s="635" t="str">
        <f t="shared" si="13"/>
        <v>resource_icon_diamond</v>
      </c>
      <c r="AI26" s="635" t="str">
        <f t="shared" si="18"/>
        <v>[24201,111,101]</v>
      </c>
      <c r="AJ26" s="635" t="str">
        <f t="shared" si="19"/>
        <v>[12,400,120]</v>
      </c>
      <c r="AK26" s="635" t="str">
        <f t="shared" si="20"/>
        <v>[chest_shard,resource_icon_doublekey,resource_icon_diamond]</v>
      </c>
      <c r="AL26" s="635" t="str">
        <f t="shared" si="21"/>
        <v>1+3+碎片礼包</v>
      </c>
    </row>
    <row r="27" spans="2:38" x14ac:dyDescent="0.35">
      <c r="B27" s="610" t="s">
        <v>597</v>
      </c>
      <c r="C27" s="610" t="s">
        <v>2684</v>
      </c>
      <c r="D27" s="610" t="s">
        <v>2685</v>
      </c>
      <c r="G27" s="635">
        <v>1</v>
      </c>
      <c r="H27" s="636" t="s">
        <v>3028</v>
      </c>
      <c r="I27" s="635" t="s">
        <v>2884</v>
      </c>
      <c r="J27" s="635" t="s">
        <v>929</v>
      </c>
      <c r="K27" s="635">
        <f t="shared" si="0"/>
        <v>90</v>
      </c>
      <c r="L27" s="635">
        <f t="shared" si="1"/>
        <v>35</v>
      </c>
      <c r="M27" s="635">
        <f t="shared" si="2"/>
        <v>2.5000000000000001E-3</v>
      </c>
      <c r="N27" s="635">
        <v>5</v>
      </c>
      <c r="O27" s="635">
        <f>N27*基础经济系数!$C$2</f>
        <v>500</v>
      </c>
      <c r="P27" s="635">
        <v>5</v>
      </c>
      <c r="Q27" s="635">
        <f t="shared" si="3"/>
        <v>2500</v>
      </c>
      <c r="R27" s="635">
        <v>6</v>
      </c>
      <c r="S27" s="635">
        <f t="shared" si="14"/>
        <v>540</v>
      </c>
      <c r="T27" s="635">
        <f t="shared" si="15"/>
        <v>0.216</v>
      </c>
      <c r="U27" s="635">
        <v>24</v>
      </c>
      <c r="V27" s="635">
        <f t="shared" si="16"/>
        <v>840</v>
      </c>
      <c r="W27" s="635">
        <f t="shared" si="17"/>
        <v>0.33600000000000002</v>
      </c>
      <c r="X27" s="635">
        <v>90000</v>
      </c>
      <c r="Y27" s="635">
        <f t="shared" si="4"/>
        <v>1120</v>
      </c>
      <c r="Z27" s="635">
        <f t="shared" si="5"/>
        <v>0.44800000000000001</v>
      </c>
      <c r="AA27" s="635">
        <f t="shared" si="6"/>
        <v>1605</v>
      </c>
      <c r="AB27" s="635">
        <f t="shared" si="7"/>
        <v>0.68847352024922115</v>
      </c>
      <c r="AC27" s="635">
        <f t="shared" si="8"/>
        <v>23201</v>
      </c>
      <c r="AD27" s="635">
        <f t="shared" si="9"/>
        <v>100301</v>
      </c>
      <c r="AE27" s="635">
        <f t="shared" si="10"/>
        <v>102</v>
      </c>
      <c r="AF27" s="635" t="str">
        <f t="shared" si="11"/>
        <v>chest_tankpart</v>
      </c>
      <c r="AG27" s="635" t="str">
        <f t="shared" si="12"/>
        <v>resource_icon_quicken</v>
      </c>
      <c r="AH27" s="635" t="str">
        <f t="shared" si="13"/>
        <v>resource_icon_fund</v>
      </c>
      <c r="AI27" s="635" t="str">
        <f t="shared" si="18"/>
        <v>[23201,100301,102]</v>
      </c>
      <c r="AJ27" s="635" t="str">
        <f t="shared" si="19"/>
        <v>[6,24,90000]</v>
      </c>
      <c r="AK27" s="635" t="str">
        <f t="shared" si="20"/>
        <v>[chest_tankpart,resource_icon_quicken,resource_icon_fund]</v>
      </c>
      <c r="AL27" s="635" t="str">
        <f t="shared" si="21"/>
        <v>1+5+部件礼包</v>
      </c>
    </row>
    <row r="28" spans="2:38" x14ac:dyDescent="0.35">
      <c r="B28" s="610">
        <f>基础经济系数!B70</f>
        <v>1</v>
      </c>
      <c r="C28" s="610" t="str">
        <f>基础经济系数!C70</f>
        <v>T1</v>
      </c>
      <c r="D28" s="610"/>
      <c r="G28" s="635">
        <v>1</v>
      </c>
      <c r="H28" s="636" t="s">
        <v>3029</v>
      </c>
      <c r="I28" s="635" t="s">
        <v>2671</v>
      </c>
      <c r="J28" s="635" t="s">
        <v>932</v>
      </c>
      <c r="K28" s="635">
        <f t="shared" si="0"/>
        <v>210</v>
      </c>
      <c r="L28" s="635">
        <f t="shared" si="1"/>
        <v>0.75</v>
      </c>
      <c r="M28" s="635">
        <f t="shared" si="2"/>
        <v>1</v>
      </c>
      <c r="N28" s="635">
        <v>5</v>
      </c>
      <c r="O28" s="635">
        <f>N28*基础经济系数!$C$2</f>
        <v>500</v>
      </c>
      <c r="P28" s="635">
        <v>5</v>
      </c>
      <c r="Q28" s="635">
        <f t="shared" si="3"/>
        <v>2500</v>
      </c>
      <c r="R28" s="635">
        <v>20</v>
      </c>
      <c r="S28" s="635">
        <f t="shared" si="14"/>
        <v>4200</v>
      </c>
      <c r="T28" s="635">
        <f t="shared" si="15"/>
        <v>1.68</v>
      </c>
      <c r="U28" s="635">
        <v>800</v>
      </c>
      <c r="V28" s="635">
        <f t="shared" si="16"/>
        <v>600</v>
      </c>
      <c r="W28" s="635">
        <f t="shared" si="17"/>
        <v>0.24</v>
      </c>
      <c r="X28" s="635">
        <v>100</v>
      </c>
      <c r="Y28" s="635">
        <f t="shared" si="4"/>
        <v>-2300</v>
      </c>
      <c r="Z28" s="635">
        <f t="shared" si="5"/>
        <v>-0.91999999999999993</v>
      </c>
      <c r="AA28" s="635">
        <f t="shared" si="6"/>
        <v>4900</v>
      </c>
      <c r="AB28" s="635">
        <f t="shared" si="7"/>
        <v>0.89795918367346939</v>
      </c>
      <c r="AC28" s="635">
        <f t="shared" si="8"/>
        <v>24201</v>
      </c>
      <c r="AD28" s="635">
        <f t="shared" si="9"/>
        <v>111</v>
      </c>
      <c r="AE28" s="635">
        <f t="shared" si="10"/>
        <v>101</v>
      </c>
      <c r="AF28" s="635" t="str">
        <f t="shared" si="11"/>
        <v>chest_shard</v>
      </c>
      <c r="AG28" s="635" t="str">
        <f t="shared" si="12"/>
        <v>resource_icon_doublekey</v>
      </c>
      <c r="AH28" s="635" t="str">
        <f t="shared" si="13"/>
        <v>resource_icon_diamond</v>
      </c>
      <c r="AI28" s="635" t="str">
        <f t="shared" si="18"/>
        <v>[24201,111,101]</v>
      </c>
      <c r="AJ28" s="635" t="str">
        <f t="shared" si="19"/>
        <v>[20,800,100]</v>
      </c>
      <c r="AK28" s="635" t="str">
        <f t="shared" si="20"/>
        <v>[chest_shard,resource_icon_doublekey,resource_icon_diamond]</v>
      </c>
      <c r="AL28" s="635" t="str">
        <f t="shared" si="21"/>
        <v>1+5+碎片礼包</v>
      </c>
    </row>
    <row r="29" spans="2:38" x14ac:dyDescent="0.35">
      <c r="B29" s="610">
        <f>基础经济系数!B71</f>
        <v>2</v>
      </c>
      <c r="C29" s="610" t="str">
        <f>基础经济系数!C71</f>
        <v>T1</v>
      </c>
      <c r="D29" s="610" t="str">
        <f>基础经济系数!D71</f>
        <v>T1</v>
      </c>
      <c r="G29" s="635">
        <v>2</v>
      </c>
      <c r="H29" s="636" t="s">
        <v>2987</v>
      </c>
      <c r="I29" s="635" t="s">
        <v>2884</v>
      </c>
      <c r="J29" s="635" t="s">
        <v>929</v>
      </c>
      <c r="K29" s="635">
        <f t="shared" si="0"/>
        <v>72</v>
      </c>
      <c r="L29" s="635">
        <f t="shared" si="1"/>
        <v>35</v>
      </c>
      <c r="M29" s="635">
        <f t="shared" si="2"/>
        <v>2.5000000000000001E-3</v>
      </c>
      <c r="N29" s="635">
        <v>2</v>
      </c>
      <c r="O29" s="635">
        <f>N29*基础经济系数!$C$2</f>
        <v>200</v>
      </c>
      <c r="P29" s="635">
        <v>5</v>
      </c>
      <c r="Q29" s="635">
        <f t="shared" si="3"/>
        <v>1000</v>
      </c>
      <c r="R29" s="635">
        <v>3</v>
      </c>
      <c r="S29" s="635">
        <f t="shared" si="14"/>
        <v>216</v>
      </c>
      <c r="T29" s="635">
        <f t="shared" si="15"/>
        <v>0.216</v>
      </c>
      <c r="U29" s="635">
        <v>6</v>
      </c>
      <c r="V29" s="635">
        <f t="shared" si="16"/>
        <v>210</v>
      </c>
      <c r="W29" s="635">
        <f t="shared" si="17"/>
        <v>0.21</v>
      </c>
      <c r="X29" s="635">
        <v>30000</v>
      </c>
      <c r="Y29" s="635">
        <f t="shared" si="4"/>
        <v>574.00000000000011</v>
      </c>
      <c r="Z29" s="635">
        <f t="shared" si="5"/>
        <v>0.57400000000000007</v>
      </c>
      <c r="AA29" s="635">
        <f t="shared" si="6"/>
        <v>501</v>
      </c>
      <c r="AB29" s="635">
        <f t="shared" si="7"/>
        <v>0.60079840319361277</v>
      </c>
      <c r="AC29" s="635">
        <f t="shared" si="8"/>
        <v>23202</v>
      </c>
      <c r="AD29" s="635">
        <f t="shared" si="9"/>
        <v>100301</v>
      </c>
      <c r="AE29" s="635">
        <f t="shared" si="10"/>
        <v>102</v>
      </c>
      <c r="AF29" s="635" t="str">
        <f t="shared" si="11"/>
        <v>chest_tankpart</v>
      </c>
      <c r="AG29" s="635" t="str">
        <f t="shared" si="12"/>
        <v>resource_icon_quicken</v>
      </c>
      <c r="AH29" s="635" t="str">
        <f t="shared" si="13"/>
        <v>resource_icon_fund</v>
      </c>
      <c r="AI29" s="635" t="str">
        <f t="shared" si="18"/>
        <v>[23202,100301,102]</v>
      </c>
      <c r="AJ29" s="635" t="str">
        <f t="shared" si="19"/>
        <v>[3,6,30000]</v>
      </c>
      <c r="AK29" s="635" t="str">
        <f t="shared" si="20"/>
        <v>[chest_tankpart,resource_icon_quicken,resource_icon_fund]</v>
      </c>
      <c r="AL29" s="635" t="str">
        <f t="shared" si="21"/>
        <v>2+2+部件礼包</v>
      </c>
    </row>
    <row r="30" spans="2:38" x14ac:dyDescent="0.35">
      <c r="B30" s="610">
        <f>基础经济系数!B72</f>
        <v>3</v>
      </c>
      <c r="C30" s="610" t="str">
        <f>基础经济系数!C72</f>
        <v>T1T2</v>
      </c>
      <c r="D30" s="610" t="str">
        <f>基础经济系数!D72</f>
        <v>T1</v>
      </c>
      <c r="G30" s="635">
        <v>2</v>
      </c>
      <c r="H30" s="636" t="s">
        <v>3002</v>
      </c>
      <c r="I30" s="635" t="s">
        <v>2671</v>
      </c>
      <c r="J30" s="635" t="s">
        <v>932</v>
      </c>
      <c r="K30" s="635">
        <f t="shared" si="0"/>
        <v>315</v>
      </c>
      <c r="L30" s="635">
        <f t="shared" si="1"/>
        <v>0.75</v>
      </c>
      <c r="M30" s="635">
        <f t="shared" si="2"/>
        <v>1</v>
      </c>
      <c r="N30" s="635">
        <v>2</v>
      </c>
      <c r="O30" s="635">
        <f>N30*基础经济系数!$C$2</f>
        <v>200</v>
      </c>
      <c r="P30" s="635">
        <v>5</v>
      </c>
      <c r="Q30" s="635">
        <f t="shared" si="3"/>
        <v>1000</v>
      </c>
      <c r="R30" s="635">
        <v>4</v>
      </c>
      <c r="S30" s="635">
        <f t="shared" si="14"/>
        <v>1260</v>
      </c>
      <c r="T30" s="635">
        <f t="shared" si="15"/>
        <v>1.26</v>
      </c>
      <c r="U30" s="635">
        <v>600</v>
      </c>
      <c r="V30" s="635">
        <f t="shared" si="16"/>
        <v>450</v>
      </c>
      <c r="W30" s="635">
        <f t="shared" si="17"/>
        <v>0.45</v>
      </c>
      <c r="X30" s="635">
        <v>10</v>
      </c>
      <c r="Y30" s="635">
        <f t="shared" si="4"/>
        <v>-710</v>
      </c>
      <c r="Z30" s="635">
        <f t="shared" si="5"/>
        <v>-0.71</v>
      </c>
      <c r="AA30" s="635">
        <f t="shared" si="6"/>
        <v>1720</v>
      </c>
      <c r="AB30" s="635">
        <f t="shared" si="7"/>
        <v>0.88372093023255816</v>
      </c>
      <c r="AC30" s="635">
        <f t="shared" si="8"/>
        <v>24202</v>
      </c>
      <c r="AD30" s="635">
        <f t="shared" si="9"/>
        <v>111</v>
      </c>
      <c r="AE30" s="635">
        <f t="shared" si="10"/>
        <v>101</v>
      </c>
      <c r="AF30" s="635" t="str">
        <f t="shared" si="11"/>
        <v>chest_shard</v>
      </c>
      <c r="AG30" s="635" t="str">
        <f t="shared" si="12"/>
        <v>resource_icon_doublekey</v>
      </c>
      <c r="AH30" s="635" t="str">
        <f t="shared" si="13"/>
        <v>resource_icon_diamond</v>
      </c>
      <c r="AI30" s="635" t="str">
        <f t="shared" si="18"/>
        <v>[24202,111,101]</v>
      </c>
      <c r="AJ30" s="635" t="str">
        <f t="shared" si="19"/>
        <v>[4,600,10]</v>
      </c>
      <c r="AK30" s="635" t="str">
        <f t="shared" si="20"/>
        <v>[chest_shard,resource_icon_doublekey,resource_icon_diamond]</v>
      </c>
      <c r="AL30" s="635" t="str">
        <f t="shared" si="21"/>
        <v>2+2+碎片礼包</v>
      </c>
    </row>
    <row r="31" spans="2:38" x14ac:dyDescent="0.35">
      <c r="B31" s="610">
        <f>基础经济系数!B73</f>
        <v>4</v>
      </c>
      <c r="C31" s="610" t="str">
        <f>基础经济系数!C73</f>
        <v>T1T2</v>
      </c>
      <c r="D31" s="610" t="str">
        <f>基础经济系数!D73</f>
        <v>T1T2</v>
      </c>
      <c r="G31" s="635">
        <v>2</v>
      </c>
      <c r="H31" s="636" t="s">
        <v>2987</v>
      </c>
      <c r="I31" s="635" t="s">
        <v>2884</v>
      </c>
      <c r="J31" s="635" t="s">
        <v>929</v>
      </c>
      <c r="K31" s="635">
        <f t="shared" si="0"/>
        <v>72</v>
      </c>
      <c r="L31" s="635">
        <f t="shared" si="1"/>
        <v>35</v>
      </c>
      <c r="M31" s="635">
        <f t="shared" si="2"/>
        <v>2.5000000000000001E-3</v>
      </c>
      <c r="N31" s="635">
        <v>5</v>
      </c>
      <c r="O31" s="635">
        <f>N31*基础经济系数!$C$2</f>
        <v>500</v>
      </c>
      <c r="P31" s="635">
        <v>5</v>
      </c>
      <c r="Q31" s="635">
        <f t="shared" si="3"/>
        <v>2500</v>
      </c>
      <c r="R31" s="635">
        <v>8</v>
      </c>
      <c r="S31" s="635">
        <f t="shared" si="14"/>
        <v>576</v>
      </c>
      <c r="T31" s="635">
        <f t="shared" si="15"/>
        <v>0.23039999999999999</v>
      </c>
      <c r="U31" s="635">
        <v>10</v>
      </c>
      <c r="V31" s="635">
        <f t="shared" si="16"/>
        <v>350</v>
      </c>
      <c r="W31" s="635">
        <f t="shared" si="17"/>
        <v>0.14000000000000001</v>
      </c>
      <c r="X31" s="635">
        <v>95000</v>
      </c>
      <c r="Y31" s="635">
        <f t="shared" si="4"/>
        <v>1574.0000000000002</v>
      </c>
      <c r="Z31" s="635">
        <f t="shared" si="5"/>
        <v>0.62960000000000005</v>
      </c>
      <c r="AA31" s="635">
        <f t="shared" si="6"/>
        <v>1163.5</v>
      </c>
      <c r="AB31" s="635">
        <f t="shared" si="7"/>
        <v>0.57026214009454235</v>
      </c>
      <c r="AC31" s="635">
        <f t="shared" si="8"/>
        <v>23202</v>
      </c>
      <c r="AD31" s="635">
        <f t="shared" si="9"/>
        <v>100301</v>
      </c>
      <c r="AE31" s="635">
        <f t="shared" si="10"/>
        <v>102</v>
      </c>
      <c r="AF31" s="635" t="str">
        <f t="shared" si="11"/>
        <v>chest_tankpart</v>
      </c>
      <c r="AG31" s="635" t="str">
        <f t="shared" si="12"/>
        <v>resource_icon_quicken</v>
      </c>
      <c r="AH31" s="635" t="str">
        <f t="shared" si="13"/>
        <v>resource_icon_fund</v>
      </c>
      <c r="AI31" s="635" t="str">
        <f t="shared" si="18"/>
        <v>[23202,100301,102]</v>
      </c>
      <c r="AJ31" s="635" t="str">
        <f t="shared" si="19"/>
        <v>[8,10,95000]</v>
      </c>
      <c r="AK31" s="635" t="str">
        <f t="shared" si="20"/>
        <v>[chest_tankpart,resource_icon_quicken,resource_icon_fund]</v>
      </c>
      <c r="AL31" s="635" t="str">
        <f t="shared" si="21"/>
        <v>2+5+部件礼包</v>
      </c>
    </row>
    <row r="32" spans="2:38" x14ac:dyDescent="0.35">
      <c r="B32" s="610">
        <f>基础经济系数!B74</f>
        <v>5</v>
      </c>
      <c r="C32" s="610" t="str">
        <f>基础经济系数!C74</f>
        <v>T1T2</v>
      </c>
      <c r="D32" s="610" t="str">
        <f>基础经济系数!D74</f>
        <v>T1T2</v>
      </c>
      <c r="G32" s="635">
        <v>2</v>
      </c>
      <c r="H32" s="636" t="s">
        <v>3002</v>
      </c>
      <c r="I32" s="635" t="s">
        <v>2671</v>
      </c>
      <c r="J32" s="635" t="s">
        <v>932</v>
      </c>
      <c r="K32" s="635">
        <f t="shared" si="0"/>
        <v>315</v>
      </c>
      <c r="L32" s="635">
        <f t="shared" si="1"/>
        <v>0.75</v>
      </c>
      <c r="M32" s="635">
        <f t="shared" si="2"/>
        <v>1</v>
      </c>
      <c r="N32" s="635">
        <v>5</v>
      </c>
      <c r="O32" s="635">
        <f>N32*基础经济系数!$C$2</f>
        <v>500</v>
      </c>
      <c r="P32" s="635">
        <v>5</v>
      </c>
      <c r="Q32" s="635">
        <f t="shared" si="3"/>
        <v>2500</v>
      </c>
      <c r="R32" s="635">
        <v>10</v>
      </c>
      <c r="S32" s="635">
        <f t="shared" si="14"/>
        <v>3150</v>
      </c>
      <c r="T32" s="635">
        <f t="shared" si="15"/>
        <v>1.26</v>
      </c>
      <c r="U32" s="635">
        <v>1200</v>
      </c>
      <c r="V32" s="635">
        <f t="shared" si="16"/>
        <v>900</v>
      </c>
      <c r="W32" s="635">
        <f t="shared" si="17"/>
        <v>0.36</v>
      </c>
      <c r="X32" s="635">
        <v>250</v>
      </c>
      <c r="Y32" s="635">
        <f t="shared" si="4"/>
        <v>-1550</v>
      </c>
      <c r="Z32" s="635">
        <f t="shared" si="5"/>
        <v>-0.62</v>
      </c>
      <c r="AA32" s="635">
        <f t="shared" si="6"/>
        <v>4300</v>
      </c>
      <c r="AB32" s="635">
        <f t="shared" si="7"/>
        <v>0.88372093023255816</v>
      </c>
      <c r="AC32" s="635">
        <f t="shared" si="8"/>
        <v>24202</v>
      </c>
      <c r="AD32" s="635">
        <f t="shared" si="9"/>
        <v>111</v>
      </c>
      <c r="AE32" s="635">
        <f t="shared" si="10"/>
        <v>101</v>
      </c>
      <c r="AF32" s="635" t="str">
        <f t="shared" si="11"/>
        <v>chest_shard</v>
      </c>
      <c r="AG32" s="635" t="str">
        <f t="shared" si="12"/>
        <v>resource_icon_doublekey</v>
      </c>
      <c r="AH32" s="635" t="str">
        <f t="shared" si="13"/>
        <v>resource_icon_diamond</v>
      </c>
      <c r="AI32" s="635" t="str">
        <f t="shared" si="18"/>
        <v>[24202,111,101]</v>
      </c>
      <c r="AJ32" s="635" t="str">
        <f t="shared" si="19"/>
        <v>[10,1200,250]</v>
      </c>
      <c r="AK32" s="635" t="str">
        <f t="shared" si="20"/>
        <v>[chest_shard,resource_icon_doublekey,resource_icon_diamond]</v>
      </c>
      <c r="AL32" s="635" t="str">
        <f t="shared" si="21"/>
        <v>2+5+碎片礼包</v>
      </c>
    </row>
    <row r="33" spans="2:38" x14ac:dyDescent="0.35">
      <c r="B33" s="610">
        <f>基础经济系数!B75</f>
        <v>6</v>
      </c>
      <c r="C33" s="610" t="str">
        <f>基础经济系数!C75</f>
        <v>T1T2T3</v>
      </c>
      <c r="D33" s="610" t="str">
        <f>基础经济系数!D75</f>
        <v>T1T2</v>
      </c>
      <c r="G33" s="635">
        <v>2</v>
      </c>
      <c r="H33" s="636" t="s">
        <v>2987</v>
      </c>
      <c r="I33" s="635" t="s">
        <v>2884</v>
      </c>
      <c r="J33" s="635" t="s">
        <v>929</v>
      </c>
      <c r="K33" s="635">
        <f t="shared" si="0"/>
        <v>72</v>
      </c>
      <c r="L33" s="635">
        <f t="shared" si="1"/>
        <v>35</v>
      </c>
      <c r="M33" s="635">
        <f t="shared" si="2"/>
        <v>2.5000000000000001E-3</v>
      </c>
      <c r="N33" s="635">
        <v>10</v>
      </c>
      <c r="O33" s="635">
        <f>N33*基础经济系数!$C$2</f>
        <v>1000</v>
      </c>
      <c r="P33" s="635">
        <v>5</v>
      </c>
      <c r="Q33" s="635">
        <f t="shared" si="3"/>
        <v>5000</v>
      </c>
      <c r="R33" s="635">
        <v>15</v>
      </c>
      <c r="S33" s="635">
        <f t="shared" si="14"/>
        <v>1080</v>
      </c>
      <c r="T33" s="635">
        <f t="shared" si="15"/>
        <v>0.216</v>
      </c>
      <c r="U33" s="635">
        <v>25</v>
      </c>
      <c r="V33" s="635">
        <f t="shared" si="16"/>
        <v>875</v>
      </c>
      <c r="W33" s="635">
        <f t="shared" si="17"/>
        <v>0.17499999999999999</v>
      </c>
      <c r="X33" s="635">
        <v>210000</v>
      </c>
      <c r="Y33" s="635">
        <f t="shared" si="4"/>
        <v>3045</v>
      </c>
      <c r="Z33" s="635">
        <f t="shared" si="5"/>
        <v>0.60899999999999999</v>
      </c>
      <c r="AA33" s="635">
        <f t="shared" si="6"/>
        <v>2480</v>
      </c>
      <c r="AB33" s="635">
        <f t="shared" si="7"/>
        <v>0.59677419354838701</v>
      </c>
      <c r="AC33" s="635">
        <f t="shared" si="8"/>
        <v>23202</v>
      </c>
      <c r="AD33" s="635">
        <f t="shared" si="9"/>
        <v>100301</v>
      </c>
      <c r="AE33" s="635">
        <f t="shared" si="10"/>
        <v>102</v>
      </c>
      <c r="AF33" s="635" t="str">
        <f t="shared" si="11"/>
        <v>chest_tankpart</v>
      </c>
      <c r="AG33" s="635" t="str">
        <f t="shared" si="12"/>
        <v>resource_icon_quicken</v>
      </c>
      <c r="AH33" s="635" t="str">
        <f t="shared" si="13"/>
        <v>resource_icon_fund</v>
      </c>
      <c r="AI33" s="635" t="str">
        <f t="shared" si="18"/>
        <v>[23202,100301,102]</v>
      </c>
      <c r="AJ33" s="635" t="str">
        <f t="shared" si="19"/>
        <v>[15,25,210000]</v>
      </c>
      <c r="AK33" s="635" t="str">
        <f t="shared" si="20"/>
        <v>[chest_tankpart,resource_icon_quicken,resource_icon_fund]</v>
      </c>
      <c r="AL33" s="635" t="str">
        <f t="shared" si="21"/>
        <v>2+10+部件礼包</v>
      </c>
    </row>
    <row r="34" spans="2:38" x14ac:dyDescent="0.35">
      <c r="B34" s="610">
        <f>基础经济系数!B76</f>
        <v>7</v>
      </c>
      <c r="C34" s="610" t="str">
        <f>基础经济系数!C76</f>
        <v>T1T2T3</v>
      </c>
      <c r="D34" s="610" t="str">
        <f>基础经济系数!D76</f>
        <v>T1T2T3</v>
      </c>
      <c r="G34" s="635">
        <v>2</v>
      </c>
      <c r="H34" s="636" t="s">
        <v>3002</v>
      </c>
      <c r="I34" s="635" t="s">
        <v>2671</v>
      </c>
      <c r="J34" s="635" t="s">
        <v>932</v>
      </c>
      <c r="K34" s="635">
        <f t="shared" si="0"/>
        <v>315</v>
      </c>
      <c r="L34" s="635">
        <f t="shared" si="1"/>
        <v>0.75</v>
      </c>
      <c r="M34" s="635">
        <f t="shared" si="2"/>
        <v>1</v>
      </c>
      <c r="N34" s="635">
        <v>10</v>
      </c>
      <c r="O34" s="635">
        <f>N34*基础经济系数!$C$2</f>
        <v>1000</v>
      </c>
      <c r="P34" s="635">
        <v>5</v>
      </c>
      <c r="Q34" s="635">
        <f t="shared" si="3"/>
        <v>5000</v>
      </c>
      <c r="R34" s="635">
        <v>30</v>
      </c>
      <c r="S34" s="635">
        <f t="shared" si="14"/>
        <v>9450</v>
      </c>
      <c r="T34" s="635">
        <f t="shared" si="15"/>
        <v>1.89</v>
      </c>
      <c r="U34" s="635">
        <v>1200</v>
      </c>
      <c r="V34" s="635">
        <f t="shared" si="16"/>
        <v>900</v>
      </c>
      <c r="W34" s="635">
        <f t="shared" si="17"/>
        <v>0.18</v>
      </c>
      <c r="X34" s="635">
        <v>50</v>
      </c>
      <c r="Y34" s="635">
        <f t="shared" si="4"/>
        <v>-5349.9999999999991</v>
      </c>
      <c r="Z34" s="635">
        <f t="shared" si="5"/>
        <v>-1.0699999999999998</v>
      </c>
      <c r="AA34" s="635">
        <f t="shared" si="6"/>
        <v>10400</v>
      </c>
      <c r="AB34" s="635">
        <f t="shared" si="7"/>
        <v>0.90384615384615385</v>
      </c>
      <c r="AC34" s="635">
        <f t="shared" si="8"/>
        <v>24202</v>
      </c>
      <c r="AD34" s="635">
        <f t="shared" si="9"/>
        <v>111</v>
      </c>
      <c r="AE34" s="635">
        <f t="shared" si="10"/>
        <v>101</v>
      </c>
      <c r="AF34" s="635" t="str">
        <f t="shared" si="11"/>
        <v>chest_shard</v>
      </c>
      <c r="AG34" s="635" t="str">
        <f t="shared" si="12"/>
        <v>resource_icon_doublekey</v>
      </c>
      <c r="AH34" s="635" t="str">
        <f t="shared" si="13"/>
        <v>resource_icon_diamond</v>
      </c>
      <c r="AI34" s="635" t="str">
        <f t="shared" si="18"/>
        <v>[24202,111,101]</v>
      </c>
      <c r="AJ34" s="635" t="str">
        <f t="shared" si="19"/>
        <v>[30,1200,50]</v>
      </c>
      <c r="AK34" s="635" t="str">
        <f t="shared" si="20"/>
        <v>[chest_shard,resource_icon_doublekey,resource_icon_diamond]</v>
      </c>
      <c r="AL34" s="635" t="str">
        <f t="shared" si="21"/>
        <v>2+10+碎片礼包</v>
      </c>
    </row>
    <row r="35" spans="2:38" x14ac:dyDescent="0.35">
      <c r="B35" s="610">
        <f>基础经济系数!B77</f>
        <v>8</v>
      </c>
      <c r="C35" s="610" t="str">
        <f>基础经济系数!C77</f>
        <v>T1T2T3</v>
      </c>
      <c r="D35" s="610" t="str">
        <f>基础经济系数!D77</f>
        <v>T1T2T3</v>
      </c>
      <c r="G35" s="635">
        <v>2</v>
      </c>
      <c r="H35" s="636" t="s">
        <v>2987</v>
      </c>
      <c r="I35" s="635" t="s">
        <v>2884</v>
      </c>
      <c r="J35" s="635" t="s">
        <v>929</v>
      </c>
      <c r="K35" s="635">
        <f t="shared" si="0"/>
        <v>72</v>
      </c>
      <c r="L35" s="635">
        <f t="shared" si="1"/>
        <v>35</v>
      </c>
      <c r="M35" s="635">
        <f t="shared" si="2"/>
        <v>2.5000000000000001E-3</v>
      </c>
      <c r="N35" s="635">
        <v>2</v>
      </c>
      <c r="O35" s="635">
        <f>N35*基础经济系数!$C$2</f>
        <v>200</v>
      </c>
      <c r="P35" s="635">
        <v>3</v>
      </c>
      <c r="Q35" s="635">
        <f t="shared" ref="Q35:Q40" si="22">O35*P35</f>
        <v>600</v>
      </c>
      <c r="R35" s="635">
        <v>2</v>
      </c>
      <c r="S35" s="635">
        <f t="shared" ref="S35:S40" si="23">R35*K35</f>
        <v>144</v>
      </c>
      <c r="T35" s="635">
        <f t="shared" ref="T35:T40" si="24">S35/Q35</f>
        <v>0.24</v>
      </c>
      <c r="U35" s="635">
        <v>3</v>
      </c>
      <c r="V35" s="635">
        <f t="shared" ref="V35:V40" si="25">U35*L35</f>
        <v>105</v>
      </c>
      <c r="W35" s="635">
        <f t="shared" ref="W35:W40" si="26">V35/Q35</f>
        <v>0.17499999999999999</v>
      </c>
      <c r="X35" s="635">
        <v>5900</v>
      </c>
      <c r="Y35" s="635">
        <f t="shared" si="4"/>
        <v>351</v>
      </c>
      <c r="Z35" s="635">
        <f t="shared" si="5"/>
        <v>0.58499999999999996</v>
      </c>
      <c r="AA35" s="635">
        <f t="shared" si="6"/>
        <v>263.75</v>
      </c>
      <c r="AB35" s="635">
        <f t="shared" si="7"/>
        <v>0.24170616113744081</v>
      </c>
      <c r="AC35" s="635">
        <f t="shared" si="8"/>
        <v>23202</v>
      </c>
      <c r="AD35" s="635">
        <f t="shared" si="9"/>
        <v>100301</v>
      </c>
      <c r="AE35" s="635">
        <f t="shared" si="10"/>
        <v>102</v>
      </c>
      <c r="AF35" s="635" t="str">
        <f t="shared" si="11"/>
        <v>chest_tankpart</v>
      </c>
      <c r="AG35" s="635" t="str">
        <f t="shared" si="12"/>
        <v>resource_icon_quicken</v>
      </c>
      <c r="AH35" s="635" t="str">
        <f t="shared" si="13"/>
        <v>resource_icon_fund</v>
      </c>
      <c r="AI35" s="635" t="str">
        <f t="shared" si="18"/>
        <v>[23202,100301,102]</v>
      </c>
      <c r="AJ35" s="635" t="str">
        <f t="shared" si="19"/>
        <v>[2,3,5900]</v>
      </c>
      <c r="AK35" s="635" t="str">
        <f t="shared" si="20"/>
        <v>[chest_tankpart,resource_icon_quicken,resource_icon_fund]</v>
      </c>
      <c r="AL35" s="635" t="str">
        <f t="shared" si="21"/>
        <v>2+2+部件礼包</v>
      </c>
    </row>
    <row r="36" spans="2:38" x14ac:dyDescent="0.35">
      <c r="B36" s="610">
        <f>基础经济系数!B78</f>
        <v>9</v>
      </c>
      <c r="C36" s="610" t="str">
        <f>基础经济系数!C78</f>
        <v>T1T2T3</v>
      </c>
      <c r="D36" s="610" t="str">
        <f>基础经济系数!D78</f>
        <v>T1T2T3</v>
      </c>
      <c r="G36" s="635">
        <v>2</v>
      </c>
      <c r="H36" s="636" t="s">
        <v>3002</v>
      </c>
      <c r="I36" s="635" t="s">
        <v>2671</v>
      </c>
      <c r="J36" s="635" t="s">
        <v>932</v>
      </c>
      <c r="K36" s="635">
        <f t="shared" si="0"/>
        <v>315</v>
      </c>
      <c r="L36" s="635">
        <f t="shared" si="1"/>
        <v>0.75</v>
      </c>
      <c r="M36" s="635">
        <f t="shared" si="2"/>
        <v>1</v>
      </c>
      <c r="N36" s="635">
        <v>2</v>
      </c>
      <c r="O36" s="635">
        <f>N36*基础经济系数!$C$2</f>
        <v>200</v>
      </c>
      <c r="P36" s="635">
        <v>3</v>
      </c>
      <c r="Q36" s="635">
        <f t="shared" si="22"/>
        <v>600</v>
      </c>
      <c r="R36" s="635">
        <v>3</v>
      </c>
      <c r="S36" s="635">
        <f t="shared" si="23"/>
        <v>945</v>
      </c>
      <c r="T36" s="635">
        <f t="shared" si="24"/>
        <v>1.575</v>
      </c>
      <c r="U36" s="635">
        <v>200</v>
      </c>
      <c r="V36" s="635">
        <f t="shared" si="25"/>
        <v>150</v>
      </c>
      <c r="W36" s="635">
        <f t="shared" si="26"/>
        <v>0.25</v>
      </c>
      <c r="X36" s="635">
        <v>45</v>
      </c>
      <c r="Y36" s="635">
        <f t="shared" si="4"/>
        <v>-495</v>
      </c>
      <c r="Z36" s="635">
        <f t="shared" si="5"/>
        <v>-0.82499999999999996</v>
      </c>
      <c r="AA36" s="635">
        <f t="shared" si="6"/>
        <v>1140</v>
      </c>
      <c r="AB36" s="635">
        <f t="shared" si="7"/>
        <v>0.82456140350877194</v>
      </c>
      <c r="AC36" s="635">
        <f t="shared" si="8"/>
        <v>24202</v>
      </c>
      <c r="AD36" s="635">
        <f t="shared" si="9"/>
        <v>111</v>
      </c>
      <c r="AE36" s="635">
        <f t="shared" si="10"/>
        <v>101</v>
      </c>
      <c r="AF36" s="635" t="str">
        <f t="shared" si="11"/>
        <v>chest_shard</v>
      </c>
      <c r="AG36" s="635" t="str">
        <f t="shared" si="12"/>
        <v>resource_icon_doublekey</v>
      </c>
      <c r="AH36" s="635" t="str">
        <f t="shared" si="13"/>
        <v>resource_icon_diamond</v>
      </c>
      <c r="AI36" s="635" t="str">
        <f t="shared" si="18"/>
        <v>[24202,111,101]</v>
      </c>
      <c r="AJ36" s="635" t="str">
        <f t="shared" si="19"/>
        <v>[3,200,45]</v>
      </c>
      <c r="AK36" s="635" t="str">
        <f t="shared" si="20"/>
        <v>[chest_shard,resource_icon_doublekey,resource_icon_diamond]</v>
      </c>
      <c r="AL36" s="635" t="str">
        <f t="shared" si="21"/>
        <v>2+2+碎片礼包</v>
      </c>
    </row>
    <row r="37" spans="2:38" x14ac:dyDescent="0.35">
      <c r="B37" s="610">
        <f>基础经济系数!B79</f>
        <v>10</v>
      </c>
      <c r="C37" s="610" t="str">
        <f>基础经济系数!C79</f>
        <v>T1T2T3</v>
      </c>
      <c r="D37" s="610" t="str">
        <f>基础经济系数!D79</f>
        <v>T1T2T3</v>
      </c>
      <c r="G37" s="635">
        <v>2</v>
      </c>
      <c r="H37" s="636" t="s">
        <v>2987</v>
      </c>
      <c r="I37" s="635" t="s">
        <v>2884</v>
      </c>
      <c r="J37" s="635" t="s">
        <v>929</v>
      </c>
      <c r="K37" s="635">
        <f t="shared" si="0"/>
        <v>72</v>
      </c>
      <c r="L37" s="635">
        <f t="shared" si="1"/>
        <v>35</v>
      </c>
      <c r="M37" s="635">
        <f t="shared" si="2"/>
        <v>2.5000000000000001E-3</v>
      </c>
      <c r="N37" s="635">
        <v>5</v>
      </c>
      <c r="O37" s="635">
        <f>N37*基础经济系数!$C$2</f>
        <v>500</v>
      </c>
      <c r="P37" s="635">
        <v>3</v>
      </c>
      <c r="Q37" s="635">
        <f t="shared" si="22"/>
        <v>1500</v>
      </c>
      <c r="R37" s="635">
        <v>5</v>
      </c>
      <c r="S37" s="635">
        <f t="shared" si="23"/>
        <v>360</v>
      </c>
      <c r="T37" s="635">
        <f t="shared" si="24"/>
        <v>0.24</v>
      </c>
      <c r="U37" s="635">
        <v>8</v>
      </c>
      <c r="V37" s="635">
        <f t="shared" si="25"/>
        <v>280</v>
      </c>
      <c r="W37" s="635">
        <f t="shared" si="26"/>
        <v>0.18666666666666668</v>
      </c>
      <c r="X37" s="635">
        <v>7860</v>
      </c>
      <c r="Y37" s="635">
        <f t="shared" si="4"/>
        <v>860</v>
      </c>
      <c r="Z37" s="635">
        <f t="shared" si="5"/>
        <v>0.57333333333333336</v>
      </c>
      <c r="AA37" s="635">
        <f t="shared" si="6"/>
        <v>659.65</v>
      </c>
      <c r="AB37" s="635">
        <f t="shared" si="7"/>
        <v>0.24202228454483432</v>
      </c>
      <c r="AC37" s="635">
        <f t="shared" si="8"/>
        <v>23202</v>
      </c>
      <c r="AD37" s="635">
        <f t="shared" si="9"/>
        <v>100301</v>
      </c>
      <c r="AE37" s="635">
        <f t="shared" si="10"/>
        <v>102</v>
      </c>
      <c r="AF37" s="635" t="str">
        <f t="shared" si="11"/>
        <v>chest_tankpart</v>
      </c>
      <c r="AG37" s="635" t="str">
        <f t="shared" si="12"/>
        <v>resource_icon_quicken</v>
      </c>
      <c r="AH37" s="635" t="str">
        <f t="shared" si="13"/>
        <v>resource_icon_fund</v>
      </c>
      <c r="AI37" s="635" t="str">
        <f t="shared" si="18"/>
        <v>[23202,100301,102]</v>
      </c>
      <c r="AJ37" s="635" t="str">
        <f t="shared" si="19"/>
        <v>[5,8,7860]</v>
      </c>
      <c r="AK37" s="635" t="str">
        <f t="shared" si="20"/>
        <v>[chest_tankpart,resource_icon_quicken,resource_icon_fund]</v>
      </c>
      <c r="AL37" s="635" t="str">
        <f t="shared" si="21"/>
        <v>2+5+部件礼包</v>
      </c>
    </row>
    <row r="38" spans="2:38" x14ac:dyDescent="0.35">
      <c r="G38" s="635">
        <v>2</v>
      </c>
      <c r="H38" s="636" t="s">
        <v>3002</v>
      </c>
      <c r="I38" s="635" t="s">
        <v>2671</v>
      </c>
      <c r="J38" s="635" t="s">
        <v>932</v>
      </c>
      <c r="K38" s="635">
        <f t="shared" si="0"/>
        <v>315</v>
      </c>
      <c r="L38" s="635">
        <f t="shared" si="1"/>
        <v>0.75</v>
      </c>
      <c r="M38" s="635">
        <f t="shared" si="2"/>
        <v>1</v>
      </c>
      <c r="N38" s="635">
        <v>5</v>
      </c>
      <c r="O38" s="635">
        <f>N38*基础经济系数!$C$2</f>
        <v>500</v>
      </c>
      <c r="P38" s="635">
        <v>3</v>
      </c>
      <c r="Q38" s="635">
        <f t="shared" si="22"/>
        <v>1500</v>
      </c>
      <c r="R38" s="635">
        <v>8</v>
      </c>
      <c r="S38" s="635">
        <f t="shared" si="23"/>
        <v>2520</v>
      </c>
      <c r="T38" s="635">
        <f t="shared" si="24"/>
        <v>1.68</v>
      </c>
      <c r="U38" s="635">
        <v>400</v>
      </c>
      <c r="V38" s="635">
        <f t="shared" si="25"/>
        <v>300</v>
      </c>
      <c r="W38" s="635">
        <f t="shared" si="26"/>
        <v>0.2</v>
      </c>
      <c r="X38" s="635">
        <v>120</v>
      </c>
      <c r="Y38" s="635">
        <f t="shared" si="4"/>
        <v>-1319.9999999999998</v>
      </c>
      <c r="Z38" s="635">
        <f t="shared" si="5"/>
        <v>-0.87999999999999989</v>
      </c>
      <c r="AA38" s="635">
        <f t="shared" si="6"/>
        <v>2940</v>
      </c>
      <c r="AB38" s="635">
        <f t="shared" si="7"/>
        <v>0.82993197278911568</v>
      </c>
      <c r="AC38" s="635">
        <f t="shared" si="8"/>
        <v>24202</v>
      </c>
      <c r="AD38" s="635">
        <f t="shared" si="9"/>
        <v>111</v>
      </c>
      <c r="AE38" s="635">
        <f t="shared" si="10"/>
        <v>101</v>
      </c>
      <c r="AF38" s="635" t="str">
        <f t="shared" si="11"/>
        <v>chest_shard</v>
      </c>
      <c r="AG38" s="635" t="str">
        <f t="shared" si="12"/>
        <v>resource_icon_doublekey</v>
      </c>
      <c r="AH38" s="635" t="str">
        <f t="shared" si="13"/>
        <v>resource_icon_diamond</v>
      </c>
      <c r="AI38" s="635" t="str">
        <f t="shared" si="18"/>
        <v>[24202,111,101]</v>
      </c>
      <c r="AJ38" s="635" t="str">
        <f t="shared" si="19"/>
        <v>[8,400,120]</v>
      </c>
      <c r="AK38" s="635" t="str">
        <f t="shared" si="20"/>
        <v>[chest_shard,resource_icon_doublekey,resource_icon_diamond]</v>
      </c>
      <c r="AL38" s="635" t="str">
        <f t="shared" si="21"/>
        <v>2+5+碎片礼包</v>
      </c>
    </row>
    <row r="39" spans="2:38" x14ac:dyDescent="0.35">
      <c r="G39" s="635">
        <v>2</v>
      </c>
      <c r="H39" s="636" t="s">
        <v>2987</v>
      </c>
      <c r="I39" s="635" t="s">
        <v>2884</v>
      </c>
      <c r="J39" s="635" t="s">
        <v>929</v>
      </c>
      <c r="K39" s="635">
        <f t="shared" si="0"/>
        <v>72</v>
      </c>
      <c r="L39" s="635">
        <f t="shared" si="1"/>
        <v>35</v>
      </c>
      <c r="M39" s="635">
        <f t="shared" si="2"/>
        <v>2.5000000000000001E-3</v>
      </c>
      <c r="N39" s="635">
        <v>10</v>
      </c>
      <c r="O39" s="635">
        <f>N39*基础经济系数!$C$2</f>
        <v>1000</v>
      </c>
      <c r="P39" s="635">
        <v>3</v>
      </c>
      <c r="Q39" s="635">
        <f t="shared" si="22"/>
        <v>3000</v>
      </c>
      <c r="R39" s="635">
        <v>10</v>
      </c>
      <c r="S39" s="635">
        <f t="shared" si="23"/>
        <v>720</v>
      </c>
      <c r="T39" s="635">
        <f t="shared" si="24"/>
        <v>0.24</v>
      </c>
      <c r="U39" s="635">
        <v>12</v>
      </c>
      <c r="V39" s="635">
        <f t="shared" si="25"/>
        <v>420</v>
      </c>
      <c r="W39" s="635">
        <f t="shared" si="26"/>
        <v>0.14000000000000001</v>
      </c>
      <c r="X39" s="635">
        <v>75000</v>
      </c>
      <c r="Y39" s="635">
        <f t="shared" si="4"/>
        <v>1860</v>
      </c>
      <c r="Z39" s="635">
        <f t="shared" si="5"/>
        <v>0.62</v>
      </c>
      <c r="AA39" s="635">
        <f t="shared" si="6"/>
        <v>1327.5</v>
      </c>
      <c r="AB39" s="635">
        <f t="shared" si="7"/>
        <v>0.24670433145009407</v>
      </c>
      <c r="AC39" s="635">
        <f t="shared" si="8"/>
        <v>23202</v>
      </c>
      <c r="AD39" s="635">
        <f t="shared" si="9"/>
        <v>100301</v>
      </c>
      <c r="AE39" s="635">
        <f t="shared" si="10"/>
        <v>102</v>
      </c>
      <c r="AF39" s="635" t="str">
        <f t="shared" si="11"/>
        <v>chest_tankpart</v>
      </c>
      <c r="AG39" s="635" t="str">
        <f t="shared" si="12"/>
        <v>resource_icon_quicken</v>
      </c>
      <c r="AH39" s="635" t="str">
        <f t="shared" si="13"/>
        <v>resource_icon_fund</v>
      </c>
      <c r="AI39" s="635" t="str">
        <f t="shared" si="18"/>
        <v>[23202,100301,102]</v>
      </c>
      <c r="AJ39" s="635" t="str">
        <f t="shared" si="19"/>
        <v>[10,12,75000]</v>
      </c>
      <c r="AK39" s="635" t="str">
        <f t="shared" si="20"/>
        <v>[chest_tankpart,resource_icon_quicken,resource_icon_fund]</v>
      </c>
      <c r="AL39" s="635" t="str">
        <f t="shared" si="21"/>
        <v>2+10+部件礼包</v>
      </c>
    </row>
    <row r="40" spans="2:38" x14ac:dyDescent="0.35">
      <c r="B40" s="610" t="s">
        <v>1212</v>
      </c>
      <c r="C40" s="610" t="s">
        <v>960</v>
      </c>
      <c r="G40" s="635">
        <v>2</v>
      </c>
      <c r="H40" s="636" t="s">
        <v>3002</v>
      </c>
      <c r="I40" s="635" t="s">
        <v>2671</v>
      </c>
      <c r="J40" s="635" t="s">
        <v>932</v>
      </c>
      <c r="K40" s="635">
        <f t="shared" si="0"/>
        <v>315</v>
      </c>
      <c r="L40" s="635">
        <f t="shared" si="1"/>
        <v>0.75</v>
      </c>
      <c r="M40" s="635">
        <f t="shared" si="2"/>
        <v>1</v>
      </c>
      <c r="N40" s="635">
        <v>10</v>
      </c>
      <c r="O40" s="635">
        <f>N40*基础经济系数!$C$2</f>
        <v>1000</v>
      </c>
      <c r="P40" s="635">
        <v>3</v>
      </c>
      <c r="Q40" s="635">
        <f t="shared" si="22"/>
        <v>3000</v>
      </c>
      <c r="R40" s="635">
        <v>18</v>
      </c>
      <c r="S40" s="635">
        <f t="shared" si="23"/>
        <v>5670</v>
      </c>
      <c r="T40" s="635">
        <f t="shared" si="24"/>
        <v>1.89</v>
      </c>
      <c r="U40" s="635">
        <v>600</v>
      </c>
      <c r="V40" s="635">
        <f t="shared" si="25"/>
        <v>450</v>
      </c>
      <c r="W40" s="635">
        <f t="shared" si="26"/>
        <v>0.15</v>
      </c>
      <c r="X40" s="635">
        <v>120</v>
      </c>
      <c r="Y40" s="635">
        <f t="shared" si="4"/>
        <v>-3119.9999999999995</v>
      </c>
      <c r="Z40" s="635">
        <f t="shared" si="5"/>
        <v>-1.0399999999999998</v>
      </c>
      <c r="AA40" s="635">
        <f t="shared" si="6"/>
        <v>6240</v>
      </c>
      <c r="AB40" s="635">
        <f t="shared" si="7"/>
        <v>0.83974358974358976</v>
      </c>
      <c r="AC40" s="635">
        <f t="shared" si="8"/>
        <v>24202</v>
      </c>
      <c r="AD40" s="635">
        <f t="shared" si="9"/>
        <v>111</v>
      </c>
      <c r="AE40" s="635">
        <f t="shared" si="10"/>
        <v>101</v>
      </c>
      <c r="AF40" s="635" t="str">
        <f t="shared" si="11"/>
        <v>chest_shard</v>
      </c>
      <c r="AG40" s="635" t="str">
        <f t="shared" si="12"/>
        <v>resource_icon_doublekey</v>
      </c>
      <c r="AH40" s="635" t="str">
        <f t="shared" si="13"/>
        <v>resource_icon_diamond</v>
      </c>
      <c r="AI40" s="635" t="str">
        <f t="shared" si="18"/>
        <v>[24202,111,101]</v>
      </c>
      <c r="AJ40" s="635" t="str">
        <f t="shared" si="19"/>
        <v>[18,600,120]</v>
      </c>
      <c r="AK40" s="635" t="str">
        <f t="shared" si="20"/>
        <v>[chest_shard,resource_icon_doublekey,resource_icon_diamond]</v>
      </c>
      <c r="AL40" s="635" t="str">
        <f t="shared" si="21"/>
        <v>2+10+碎片礼包</v>
      </c>
    </row>
    <row r="41" spans="2:38" x14ac:dyDescent="0.35">
      <c r="B41" s="610" t="s">
        <v>2404</v>
      </c>
      <c r="C41" s="610">
        <f>宝箱设定!C4</f>
        <v>125</v>
      </c>
      <c r="G41" s="635">
        <v>3</v>
      </c>
      <c r="H41" s="636" t="s">
        <v>3069</v>
      </c>
      <c r="I41" s="635" t="s">
        <v>932</v>
      </c>
      <c r="J41" s="635"/>
      <c r="K41" s="635">
        <f t="shared" si="0"/>
        <v>155</v>
      </c>
      <c r="L41" s="635">
        <f t="shared" ref="L41:L72" si="27">VLOOKUP(I41,$B$40:$C$81,2,FALSE)</f>
        <v>1</v>
      </c>
      <c r="M41" s="635"/>
      <c r="N41" s="635">
        <v>5</v>
      </c>
      <c r="O41" s="635">
        <f>N41*基础经济系数!$C$2</f>
        <v>500</v>
      </c>
      <c r="P41" s="635">
        <v>5</v>
      </c>
      <c r="Q41" s="635">
        <f t="shared" si="3"/>
        <v>2500</v>
      </c>
      <c r="R41" s="635">
        <v>25</v>
      </c>
      <c r="S41" s="635">
        <f t="shared" si="14"/>
        <v>3875</v>
      </c>
      <c r="T41" s="635">
        <f t="shared" si="15"/>
        <v>1.55</v>
      </c>
      <c r="U41" s="635">
        <f>V41/L41</f>
        <v>-1375</v>
      </c>
      <c r="V41" s="635">
        <f>W41*Q41</f>
        <v>-1375</v>
      </c>
      <c r="W41" s="635">
        <f>1-T41</f>
        <v>-0.55000000000000004</v>
      </c>
      <c r="X41" s="635"/>
      <c r="Y41" s="635"/>
      <c r="Z41" s="635"/>
      <c r="AA41" s="635">
        <f t="shared" si="6"/>
        <v>2500</v>
      </c>
      <c r="AB41" s="635">
        <f t="shared" si="7"/>
        <v>0.8</v>
      </c>
      <c r="AC41" s="635">
        <f t="shared" ref="AC41:AC72" si="28">VLOOKUP(H41,道具ID,2,FALSE)</f>
        <v>51221</v>
      </c>
      <c r="AD41" s="635">
        <f t="shared" ref="AD41:AD72" si="29">VLOOKUP(I41,道具ID,2,FALSE)</f>
        <v>101</v>
      </c>
      <c r="AE41" s="635"/>
      <c r="AF41" s="635" t="str">
        <f t="shared" ref="AF41:AF72" si="30">VLOOKUP(H41,道具ID,3,FALSE)</f>
        <v>shard_sdkfz234</v>
      </c>
      <c r="AG41" s="635" t="str">
        <f t="shared" ref="AG41:AG72" si="31">VLOOKUP(I41,道具ID,3,FALSE)</f>
        <v>resource_icon_diamond</v>
      </c>
      <c r="AH41" s="635"/>
      <c r="AI41" s="635" t="str">
        <f>"["&amp;AC41&amp;","&amp;AD41&amp;"]"</f>
        <v>[51221,101]</v>
      </c>
      <c r="AJ41" s="635" t="str">
        <f>"["&amp;R41&amp;","&amp;U41&amp;"]"</f>
        <v>[25,-1375]</v>
      </c>
      <c r="AK41" s="635" t="str">
        <f>"["&amp;AF41&amp;","&amp;AG41&amp;"]"</f>
        <v>[shard_sdkfz234,resource_icon_diamond]</v>
      </c>
      <c r="AL41" s="635" t="str">
        <f t="shared" si="21"/>
        <v>3+5+Puma</v>
      </c>
    </row>
    <row r="42" spans="2:38" x14ac:dyDescent="0.35">
      <c r="B42" s="610" t="s">
        <v>855</v>
      </c>
      <c r="C42" s="610">
        <f>宝箱设定!C5</f>
        <v>54</v>
      </c>
      <c r="G42" s="635">
        <v>3</v>
      </c>
      <c r="H42" s="636" t="s">
        <v>3070</v>
      </c>
      <c r="I42" s="635" t="s">
        <v>932</v>
      </c>
      <c r="J42" s="635"/>
      <c r="K42" s="635">
        <f t="shared" si="0"/>
        <v>155</v>
      </c>
      <c r="L42" s="635">
        <f t="shared" si="27"/>
        <v>1</v>
      </c>
      <c r="M42" s="635"/>
      <c r="N42" s="635">
        <v>5</v>
      </c>
      <c r="O42" s="635">
        <f>N42*基础经济系数!$C$2</f>
        <v>500</v>
      </c>
      <c r="P42" s="635">
        <v>5</v>
      </c>
      <c r="Q42" s="635">
        <f t="shared" si="3"/>
        <v>2500</v>
      </c>
      <c r="R42" s="635">
        <v>25</v>
      </c>
      <c r="S42" s="635">
        <f t="shared" si="14"/>
        <v>3875</v>
      </c>
      <c r="T42" s="635">
        <f t="shared" si="15"/>
        <v>1.55</v>
      </c>
      <c r="U42" s="635">
        <f t="shared" ref="U42:U58" si="32">V42/L42</f>
        <v>-1375</v>
      </c>
      <c r="V42" s="635">
        <f t="shared" ref="V42:V58" si="33">W42*Q42</f>
        <v>-1375</v>
      </c>
      <c r="W42" s="635">
        <f t="shared" ref="W42:W57" si="34">1-T42</f>
        <v>-0.55000000000000004</v>
      </c>
      <c r="X42" s="635"/>
      <c r="Y42" s="635"/>
      <c r="Z42" s="635"/>
      <c r="AA42" s="635">
        <f t="shared" si="6"/>
        <v>2500</v>
      </c>
      <c r="AB42" s="635">
        <f t="shared" si="7"/>
        <v>0.8</v>
      </c>
      <c r="AC42" s="635">
        <f t="shared" si="28"/>
        <v>52221</v>
      </c>
      <c r="AD42" s="635">
        <f t="shared" si="29"/>
        <v>101</v>
      </c>
      <c r="AE42" s="635"/>
      <c r="AF42" s="635" t="str">
        <f t="shared" si="30"/>
        <v>shard_iv</v>
      </c>
      <c r="AG42" s="635" t="str">
        <f t="shared" si="31"/>
        <v>resource_icon_diamond</v>
      </c>
      <c r="AH42" s="635"/>
      <c r="AI42" s="635" t="str">
        <f t="shared" ref="AI42:AI58" si="35">"["&amp;AC42&amp;","&amp;AD42&amp;"]"</f>
        <v>[52221,101]</v>
      </c>
      <c r="AJ42" s="635" t="str">
        <f t="shared" ref="AJ42:AJ58" si="36">"["&amp;R42&amp;","&amp;U42&amp;"]"</f>
        <v>[25,-1375]</v>
      </c>
      <c r="AK42" s="635" t="str">
        <f t="shared" ref="AK42:AK58" si="37">"["&amp;AF42&amp;","&amp;AG42&amp;"]"</f>
        <v>[shard_iv,resource_icon_diamond]</v>
      </c>
      <c r="AL42" s="635" t="str">
        <f t="shared" si="21"/>
        <v>3+5+四号碎片</v>
      </c>
    </row>
    <row r="43" spans="2:38" x14ac:dyDescent="0.35">
      <c r="B43" s="610" t="s">
        <v>856</v>
      </c>
      <c r="C43" s="610">
        <f>宝箱设定!C6</f>
        <v>108</v>
      </c>
      <c r="G43" s="635">
        <v>3</v>
      </c>
      <c r="H43" s="636" t="s">
        <v>3071</v>
      </c>
      <c r="I43" s="635" t="s">
        <v>932</v>
      </c>
      <c r="J43" s="635"/>
      <c r="K43" s="635">
        <f t="shared" si="0"/>
        <v>155</v>
      </c>
      <c r="L43" s="635">
        <f t="shared" si="27"/>
        <v>1</v>
      </c>
      <c r="M43" s="635"/>
      <c r="N43" s="635">
        <v>5</v>
      </c>
      <c r="O43" s="635">
        <f>N43*基础经济系数!$C$2</f>
        <v>500</v>
      </c>
      <c r="P43" s="635">
        <v>5</v>
      </c>
      <c r="Q43" s="635">
        <f t="shared" si="3"/>
        <v>2500</v>
      </c>
      <c r="R43" s="635">
        <v>25</v>
      </c>
      <c r="S43" s="635">
        <f t="shared" si="14"/>
        <v>3875</v>
      </c>
      <c r="T43" s="635">
        <f t="shared" si="15"/>
        <v>1.55</v>
      </c>
      <c r="U43" s="635">
        <f t="shared" si="32"/>
        <v>-1375</v>
      </c>
      <c r="V43" s="635">
        <f t="shared" si="33"/>
        <v>-1375</v>
      </c>
      <c r="W43" s="635">
        <f t="shared" si="34"/>
        <v>-0.55000000000000004</v>
      </c>
      <c r="X43" s="635"/>
      <c r="Y43" s="635"/>
      <c r="Z43" s="635"/>
      <c r="AA43" s="635">
        <f t="shared" si="6"/>
        <v>2500</v>
      </c>
      <c r="AB43" s="635">
        <f t="shared" si="7"/>
        <v>0.8</v>
      </c>
      <c r="AC43" s="635">
        <f t="shared" si="28"/>
        <v>53221</v>
      </c>
      <c r="AD43" s="635">
        <f t="shared" si="29"/>
        <v>101</v>
      </c>
      <c r="AE43" s="635"/>
      <c r="AF43" s="635" t="str">
        <f t="shared" si="30"/>
        <v>shard_churchill</v>
      </c>
      <c r="AG43" s="635" t="str">
        <f t="shared" si="31"/>
        <v>resource_icon_diamond</v>
      </c>
      <c r="AH43" s="635"/>
      <c r="AI43" s="635" t="str">
        <f t="shared" si="35"/>
        <v>[53221,101]</v>
      </c>
      <c r="AJ43" s="635" t="str">
        <f t="shared" si="36"/>
        <v>[25,-1375]</v>
      </c>
      <c r="AK43" s="635" t="str">
        <f t="shared" si="37"/>
        <v>[shard_churchill,resource_icon_diamond]</v>
      </c>
      <c r="AL43" s="635" t="str">
        <f t="shared" si="21"/>
        <v>3+5+丘吉尔碎</v>
      </c>
    </row>
    <row r="44" spans="2:38" x14ac:dyDescent="0.35">
      <c r="B44" s="610" t="s">
        <v>857</v>
      </c>
      <c r="C44" s="610">
        <f>宝箱设定!C7</f>
        <v>216</v>
      </c>
      <c r="G44" s="635">
        <v>3</v>
      </c>
      <c r="H44" s="636" t="s">
        <v>3069</v>
      </c>
      <c r="I44" s="635" t="s">
        <v>932</v>
      </c>
      <c r="J44" s="635"/>
      <c r="K44" s="635">
        <f t="shared" si="0"/>
        <v>155</v>
      </c>
      <c r="L44" s="635">
        <f t="shared" si="27"/>
        <v>1</v>
      </c>
      <c r="M44" s="635"/>
      <c r="N44" s="635">
        <v>10</v>
      </c>
      <c r="O44" s="635">
        <f>N44*基础经济系数!$C$2</f>
        <v>1000</v>
      </c>
      <c r="P44" s="635">
        <v>5</v>
      </c>
      <c r="Q44" s="635">
        <f t="shared" si="3"/>
        <v>5000</v>
      </c>
      <c r="R44" s="635">
        <v>50</v>
      </c>
      <c r="S44" s="635">
        <f t="shared" si="14"/>
        <v>7750</v>
      </c>
      <c r="T44" s="635">
        <f t="shared" si="15"/>
        <v>1.55</v>
      </c>
      <c r="U44" s="635">
        <f t="shared" si="32"/>
        <v>-2750</v>
      </c>
      <c r="V44" s="635">
        <f t="shared" si="33"/>
        <v>-2750</v>
      </c>
      <c r="W44" s="635">
        <f t="shared" si="34"/>
        <v>-0.55000000000000004</v>
      </c>
      <c r="X44" s="635"/>
      <c r="Y44" s="635"/>
      <c r="Z44" s="635"/>
      <c r="AA44" s="635">
        <f t="shared" si="6"/>
        <v>5000</v>
      </c>
      <c r="AB44" s="635">
        <f t="shared" si="7"/>
        <v>0.8</v>
      </c>
      <c r="AC44" s="635">
        <f t="shared" si="28"/>
        <v>51221</v>
      </c>
      <c r="AD44" s="635">
        <f t="shared" si="29"/>
        <v>101</v>
      </c>
      <c r="AE44" s="635"/>
      <c r="AF44" s="635" t="str">
        <f t="shared" si="30"/>
        <v>shard_sdkfz234</v>
      </c>
      <c r="AG44" s="635" t="str">
        <f t="shared" si="31"/>
        <v>resource_icon_diamond</v>
      </c>
      <c r="AH44" s="635"/>
      <c r="AI44" s="635" t="str">
        <f t="shared" si="35"/>
        <v>[51221,101]</v>
      </c>
      <c r="AJ44" s="635" t="str">
        <f t="shared" si="36"/>
        <v>[50,-2750]</v>
      </c>
      <c r="AK44" s="635" t="str">
        <f t="shared" si="37"/>
        <v>[shard_sdkfz234,resource_icon_diamond]</v>
      </c>
      <c r="AL44" s="635" t="str">
        <f t="shared" si="21"/>
        <v>3+10+Puma</v>
      </c>
    </row>
    <row r="45" spans="2:38" x14ac:dyDescent="0.35">
      <c r="B45" s="610" t="s">
        <v>858</v>
      </c>
      <c r="C45" s="610">
        <f>宝箱设定!C8</f>
        <v>432</v>
      </c>
      <c r="G45" s="635">
        <v>3</v>
      </c>
      <c r="H45" s="636" t="s">
        <v>3070</v>
      </c>
      <c r="I45" s="635" t="s">
        <v>932</v>
      </c>
      <c r="J45" s="635"/>
      <c r="K45" s="635">
        <f t="shared" si="0"/>
        <v>155</v>
      </c>
      <c r="L45" s="635">
        <f t="shared" si="27"/>
        <v>1</v>
      </c>
      <c r="M45" s="635"/>
      <c r="N45" s="635">
        <v>10</v>
      </c>
      <c r="O45" s="635">
        <f>N45*基础经济系数!$C$2</f>
        <v>1000</v>
      </c>
      <c r="P45" s="635">
        <v>5</v>
      </c>
      <c r="Q45" s="635">
        <f t="shared" si="3"/>
        <v>5000</v>
      </c>
      <c r="R45" s="635">
        <v>50</v>
      </c>
      <c r="S45" s="635">
        <f t="shared" si="14"/>
        <v>7750</v>
      </c>
      <c r="T45" s="635">
        <f t="shared" si="15"/>
        <v>1.55</v>
      </c>
      <c r="U45" s="635">
        <f t="shared" si="32"/>
        <v>-2750</v>
      </c>
      <c r="V45" s="635">
        <f t="shared" si="33"/>
        <v>-2750</v>
      </c>
      <c r="W45" s="635">
        <f t="shared" si="34"/>
        <v>-0.55000000000000004</v>
      </c>
      <c r="X45" s="635"/>
      <c r="Y45" s="635"/>
      <c r="Z45" s="635"/>
      <c r="AA45" s="635">
        <f t="shared" si="6"/>
        <v>5000</v>
      </c>
      <c r="AB45" s="635">
        <f t="shared" si="7"/>
        <v>0.8</v>
      </c>
      <c r="AC45" s="635">
        <f t="shared" si="28"/>
        <v>52221</v>
      </c>
      <c r="AD45" s="635">
        <f t="shared" si="29"/>
        <v>101</v>
      </c>
      <c r="AE45" s="635"/>
      <c r="AF45" s="635" t="str">
        <f t="shared" si="30"/>
        <v>shard_iv</v>
      </c>
      <c r="AG45" s="635" t="str">
        <f t="shared" si="31"/>
        <v>resource_icon_diamond</v>
      </c>
      <c r="AH45" s="635"/>
      <c r="AI45" s="635" t="str">
        <f t="shared" si="35"/>
        <v>[52221,101]</v>
      </c>
      <c r="AJ45" s="635" t="str">
        <f t="shared" si="36"/>
        <v>[50,-2750]</v>
      </c>
      <c r="AK45" s="635" t="str">
        <f t="shared" si="37"/>
        <v>[shard_iv,resource_icon_diamond]</v>
      </c>
      <c r="AL45" s="635" t="str">
        <f t="shared" si="21"/>
        <v>3+10+四号碎片</v>
      </c>
    </row>
    <row r="46" spans="2:38" x14ac:dyDescent="0.35">
      <c r="B46" s="614" t="s">
        <v>2713</v>
      </c>
      <c r="C46" s="610">
        <f>宝箱设定!C9</f>
        <v>200</v>
      </c>
      <c r="G46" s="635">
        <v>3</v>
      </c>
      <c r="H46" s="636" t="s">
        <v>3071</v>
      </c>
      <c r="I46" s="635" t="s">
        <v>932</v>
      </c>
      <c r="J46" s="635"/>
      <c r="K46" s="635">
        <f t="shared" si="0"/>
        <v>155</v>
      </c>
      <c r="L46" s="635">
        <f t="shared" si="27"/>
        <v>1</v>
      </c>
      <c r="M46" s="635"/>
      <c r="N46" s="635">
        <v>10</v>
      </c>
      <c r="O46" s="635">
        <f>N46*基础经济系数!$C$2</f>
        <v>1000</v>
      </c>
      <c r="P46" s="635">
        <v>5</v>
      </c>
      <c r="Q46" s="635">
        <f t="shared" si="3"/>
        <v>5000</v>
      </c>
      <c r="R46" s="635">
        <v>50</v>
      </c>
      <c r="S46" s="635">
        <f t="shared" si="14"/>
        <v>7750</v>
      </c>
      <c r="T46" s="635">
        <f t="shared" si="15"/>
        <v>1.55</v>
      </c>
      <c r="U46" s="635">
        <f t="shared" si="32"/>
        <v>-2750</v>
      </c>
      <c r="V46" s="635">
        <f t="shared" si="33"/>
        <v>-2750</v>
      </c>
      <c r="W46" s="635">
        <f t="shared" si="34"/>
        <v>-0.55000000000000004</v>
      </c>
      <c r="X46" s="635"/>
      <c r="Y46" s="635"/>
      <c r="Z46" s="635"/>
      <c r="AA46" s="635">
        <f t="shared" si="6"/>
        <v>5000</v>
      </c>
      <c r="AB46" s="635">
        <f t="shared" si="7"/>
        <v>0.8</v>
      </c>
      <c r="AC46" s="635">
        <f t="shared" si="28"/>
        <v>53221</v>
      </c>
      <c r="AD46" s="635">
        <f t="shared" si="29"/>
        <v>101</v>
      </c>
      <c r="AE46" s="635"/>
      <c r="AF46" s="635" t="str">
        <f t="shared" si="30"/>
        <v>shard_churchill</v>
      </c>
      <c r="AG46" s="635" t="str">
        <f t="shared" si="31"/>
        <v>resource_icon_diamond</v>
      </c>
      <c r="AH46" s="635"/>
      <c r="AI46" s="635" t="str">
        <f t="shared" si="35"/>
        <v>[53221,101]</v>
      </c>
      <c r="AJ46" s="635" t="str">
        <f t="shared" si="36"/>
        <v>[50,-2750]</v>
      </c>
      <c r="AK46" s="635" t="str">
        <f t="shared" si="37"/>
        <v>[shard_churchill,resource_icon_diamond]</v>
      </c>
      <c r="AL46" s="635" t="str">
        <f t="shared" si="21"/>
        <v>3+10+丘吉尔碎</v>
      </c>
    </row>
    <row r="47" spans="2:38" x14ac:dyDescent="0.35">
      <c r="B47" s="614" t="s">
        <v>2714</v>
      </c>
      <c r="C47" s="610">
        <f>宝箱设定!C10</f>
        <v>600</v>
      </c>
      <c r="G47" s="635">
        <v>3</v>
      </c>
      <c r="H47" s="636" t="s">
        <v>3069</v>
      </c>
      <c r="I47" s="635" t="s">
        <v>932</v>
      </c>
      <c r="J47" s="635"/>
      <c r="K47" s="635">
        <f t="shared" si="0"/>
        <v>155</v>
      </c>
      <c r="L47" s="635">
        <f t="shared" si="27"/>
        <v>1</v>
      </c>
      <c r="M47" s="635"/>
      <c r="N47" s="635">
        <v>20</v>
      </c>
      <c r="O47" s="635">
        <f>N47*基础经济系数!$C$2</f>
        <v>2000</v>
      </c>
      <c r="P47" s="635">
        <v>5</v>
      </c>
      <c r="Q47" s="635">
        <f t="shared" si="3"/>
        <v>10000</v>
      </c>
      <c r="R47" s="635">
        <v>100</v>
      </c>
      <c r="S47" s="635">
        <f t="shared" si="14"/>
        <v>15500</v>
      </c>
      <c r="T47" s="635">
        <f t="shared" si="15"/>
        <v>1.55</v>
      </c>
      <c r="U47" s="635">
        <f t="shared" si="32"/>
        <v>-5500</v>
      </c>
      <c r="V47" s="635">
        <f t="shared" si="33"/>
        <v>-5500</v>
      </c>
      <c r="W47" s="635">
        <f t="shared" si="34"/>
        <v>-0.55000000000000004</v>
      </c>
      <c r="X47" s="635"/>
      <c r="Y47" s="635"/>
      <c r="Z47" s="635"/>
      <c r="AA47" s="635">
        <f t="shared" si="6"/>
        <v>10000</v>
      </c>
      <c r="AB47" s="635">
        <f t="shared" si="7"/>
        <v>0.8</v>
      </c>
      <c r="AC47" s="635">
        <f t="shared" si="28"/>
        <v>51221</v>
      </c>
      <c r="AD47" s="635">
        <f t="shared" si="29"/>
        <v>101</v>
      </c>
      <c r="AE47" s="635"/>
      <c r="AF47" s="635" t="str">
        <f t="shared" si="30"/>
        <v>shard_sdkfz234</v>
      </c>
      <c r="AG47" s="635" t="str">
        <f t="shared" si="31"/>
        <v>resource_icon_diamond</v>
      </c>
      <c r="AH47" s="635"/>
      <c r="AI47" s="635" t="str">
        <f t="shared" si="35"/>
        <v>[51221,101]</v>
      </c>
      <c r="AJ47" s="635" t="str">
        <f t="shared" si="36"/>
        <v>[100,-5500]</v>
      </c>
      <c r="AK47" s="635" t="str">
        <f t="shared" si="37"/>
        <v>[shard_sdkfz234,resource_icon_diamond]</v>
      </c>
      <c r="AL47" s="635" t="str">
        <f t="shared" si="21"/>
        <v>3+20+Puma</v>
      </c>
    </row>
    <row r="48" spans="2:38" x14ac:dyDescent="0.35">
      <c r="B48" s="614" t="s">
        <v>2715</v>
      </c>
      <c r="C48" s="610">
        <f>宝箱设定!C11</f>
        <v>2000</v>
      </c>
      <c r="G48" s="635">
        <v>3</v>
      </c>
      <c r="H48" s="636" t="s">
        <v>3070</v>
      </c>
      <c r="I48" s="635" t="s">
        <v>932</v>
      </c>
      <c r="J48" s="635"/>
      <c r="K48" s="635">
        <f t="shared" si="0"/>
        <v>155</v>
      </c>
      <c r="L48" s="635">
        <f t="shared" si="27"/>
        <v>1</v>
      </c>
      <c r="M48" s="635"/>
      <c r="N48" s="635">
        <v>20</v>
      </c>
      <c r="O48" s="635">
        <f>N48*基础经济系数!$C$2</f>
        <v>2000</v>
      </c>
      <c r="P48" s="635">
        <v>5</v>
      </c>
      <c r="Q48" s="635">
        <f t="shared" si="3"/>
        <v>10000</v>
      </c>
      <c r="R48" s="635">
        <v>100</v>
      </c>
      <c r="S48" s="635">
        <f t="shared" si="14"/>
        <v>15500</v>
      </c>
      <c r="T48" s="635">
        <f t="shared" si="15"/>
        <v>1.55</v>
      </c>
      <c r="U48" s="635">
        <f t="shared" si="32"/>
        <v>-5500</v>
      </c>
      <c r="V48" s="635">
        <f t="shared" si="33"/>
        <v>-5500</v>
      </c>
      <c r="W48" s="635">
        <f t="shared" si="34"/>
        <v>-0.55000000000000004</v>
      </c>
      <c r="X48" s="635"/>
      <c r="Y48" s="635"/>
      <c r="Z48" s="635"/>
      <c r="AA48" s="635">
        <f t="shared" si="6"/>
        <v>10000</v>
      </c>
      <c r="AB48" s="635">
        <f t="shared" si="7"/>
        <v>0.8</v>
      </c>
      <c r="AC48" s="635">
        <f t="shared" si="28"/>
        <v>52221</v>
      </c>
      <c r="AD48" s="635">
        <f t="shared" si="29"/>
        <v>101</v>
      </c>
      <c r="AE48" s="635"/>
      <c r="AF48" s="635" t="str">
        <f t="shared" si="30"/>
        <v>shard_iv</v>
      </c>
      <c r="AG48" s="635" t="str">
        <f t="shared" si="31"/>
        <v>resource_icon_diamond</v>
      </c>
      <c r="AH48" s="635"/>
      <c r="AI48" s="635" t="str">
        <f t="shared" si="35"/>
        <v>[52221,101]</v>
      </c>
      <c r="AJ48" s="635" t="str">
        <f t="shared" si="36"/>
        <v>[100,-5500]</v>
      </c>
      <c r="AK48" s="635" t="str">
        <f t="shared" si="37"/>
        <v>[shard_iv,resource_icon_diamond]</v>
      </c>
      <c r="AL48" s="635" t="str">
        <f t="shared" si="21"/>
        <v>3+20+四号碎片</v>
      </c>
    </row>
    <row r="49" spans="2:38" x14ac:dyDescent="0.35">
      <c r="B49" s="614" t="s">
        <v>2402</v>
      </c>
      <c r="C49" s="610">
        <f>宝箱设定!C12</f>
        <v>100</v>
      </c>
      <c r="G49" s="635">
        <v>3</v>
      </c>
      <c r="H49" s="636" t="s">
        <v>3071</v>
      </c>
      <c r="I49" s="635" t="s">
        <v>932</v>
      </c>
      <c r="J49" s="635"/>
      <c r="K49" s="635">
        <f t="shared" si="0"/>
        <v>155</v>
      </c>
      <c r="L49" s="635">
        <f t="shared" si="27"/>
        <v>1</v>
      </c>
      <c r="M49" s="635"/>
      <c r="N49" s="635">
        <v>20</v>
      </c>
      <c r="O49" s="635">
        <f>N49*基础经济系数!$C$2</f>
        <v>2000</v>
      </c>
      <c r="P49" s="635">
        <v>5</v>
      </c>
      <c r="Q49" s="635">
        <f t="shared" si="3"/>
        <v>10000</v>
      </c>
      <c r="R49" s="635">
        <v>100</v>
      </c>
      <c r="S49" s="635">
        <f t="shared" si="14"/>
        <v>15500</v>
      </c>
      <c r="T49" s="635">
        <f t="shared" si="15"/>
        <v>1.55</v>
      </c>
      <c r="U49" s="635">
        <f t="shared" si="32"/>
        <v>-5500</v>
      </c>
      <c r="V49" s="635">
        <f t="shared" si="33"/>
        <v>-5500</v>
      </c>
      <c r="W49" s="635">
        <f t="shared" si="34"/>
        <v>-0.55000000000000004</v>
      </c>
      <c r="X49" s="635"/>
      <c r="Y49" s="635"/>
      <c r="Z49" s="635"/>
      <c r="AA49" s="635">
        <f t="shared" si="6"/>
        <v>10000</v>
      </c>
      <c r="AB49" s="635">
        <f t="shared" si="7"/>
        <v>0.8</v>
      </c>
      <c r="AC49" s="635">
        <f t="shared" si="28"/>
        <v>53221</v>
      </c>
      <c r="AD49" s="635">
        <f t="shared" si="29"/>
        <v>101</v>
      </c>
      <c r="AE49" s="635"/>
      <c r="AF49" s="635" t="str">
        <f t="shared" si="30"/>
        <v>shard_churchill</v>
      </c>
      <c r="AG49" s="635" t="str">
        <f t="shared" si="31"/>
        <v>resource_icon_diamond</v>
      </c>
      <c r="AH49" s="635"/>
      <c r="AI49" s="635" t="str">
        <f t="shared" si="35"/>
        <v>[53221,101]</v>
      </c>
      <c r="AJ49" s="635" t="str">
        <f t="shared" si="36"/>
        <v>[100,-5500]</v>
      </c>
      <c r="AK49" s="635" t="str">
        <f t="shared" si="37"/>
        <v>[shard_churchill,resource_icon_diamond]</v>
      </c>
      <c r="AL49" s="635" t="str">
        <f t="shared" si="21"/>
        <v>3+20+丘吉尔碎</v>
      </c>
    </row>
    <row r="50" spans="2:38" x14ac:dyDescent="0.35">
      <c r="B50" s="614" t="s">
        <v>2403</v>
      </c>
      <c r="C50" s="610">
        <f>宝箱设定!C13</f>
        <v>100</v>
      </c>
      <c r="G50" s="635">
        <v>3</v>
      </c>
      <c r="H50" s="636" t="s">
        <v>3069</v>
      </c>
      <c r="I50" s="635" t="s">
        <v>932</v>
      </c>
      <c r="J50" s="635"/>
      <c r="K50" s="635">
        <f t="shared" si="0"/>
        <v>155</v>
      </c>
      <c r="L50" s="635">
        <f t="shared" si="27"/>
        <v>1</v>
      </c>
      <c r="M50" s="635"/>
      <c r="N50" s="635">
        <v>5</v>
      </c>
      <c r="O50" s="635">
        <f>N50*基础经济系数!$C$2</f>
        <v>500</v>
      </c>
      <c r="P50" s="635">
        <v>4</v>
      </c>
      <c r="Q50" s="635">
        <f t="shared" ref="Q50:Q58" si="38">O50*P50</f>
        <v>2000</v>
      </c>
      <c r="R50" s="635">
        <v>20</v>
      </c>
      <c r="S50" s="635">
        <f t="shared" ref="S50:S58" si="39">R50*K50</f>
        <v>3100</v>
      </c>
      <c r="T50" s="635">
        <f t="shared" ref="T50:T58" si="40">S50/Q50</f>
        <v>1.55</v>
      </c>
      <c r="U50" s="635">
        <f t="shared" si="32"/>
        <v>-1100</v>
      </c>
      <c r="V50" s="635">
        <f t="shared" si="33"/>
        <v>-1100</v>
      </c>
      <c r="W50" s="635">
        <f t="shared" si="34"/>
        <v>-0.55000000000000004</v>
      </c>
      <c r="X50" s="635"/>
      <c r="Y50" s="635"/>
      <c r="Z50" s="635"/>
      <c r="AA50" s="635">
        <f t="shared" si="6"/>
        <v>2000</v>
      </c>
      <c r="AB50" s="635">
        <f t="shared" si="7"/>
        <v>0.75</v>
      </c>
      <c r="AC50" s="635">
        <f t="shared" si="28"/>
        <v>51221</v>
      </c>
      <c r="AD50" s="635">
        <f t="shared" si="29"/>
        <v>101</v>
      </c>
      <c r="AE50" s="635"/>
      <c r="AF50" s="635" t="str">
        <f t="shared" si="30"/>
        <v>shard_sdkfz234</v>
      </c>
      <c r="AG50" s="635" t="str">
        <f t="shared" si="31"/>
        <v>resource_icon_diamond</v>
      </c>
      <c r="AH50" s="635"/>
      <c r="AI50" s="635" t="str">
        <f t="shared" si="35"/>
        <v>[51221,101]</v>
      </c>
      <c r="AJ50" s="635" t="str">
        <f t="shared" si="36"/>
        <v>[20,-1100]</v>
      </c>
      <c r="AK50" s="635" t="str">
        <f t="shared" si="37"/>
        <v>[shard_sdkfz234,resource_icon_diamond]</v>
      </c>
      <c r="AL50" s="635" t="str">
        <f t="shared" si="21"/>
        <v>3+5+Puma</v>
      </c>
    </row>
    <row r="51" spans="2:38" x14ac:dyDescent="0.35">
      <c r="B51" s="636" t="s">
        <v>3069</v>
      </c>
      <c r="C51" s="610">
        <f>道具价值!$E$36</f>
        <v>155</v>
      </c>
      <c r="G51" s="635">
        <v>3</v>
      </c>
      <c r="H51" s="636" t="s">
        <v>3070</v>
      </c>
      <c r="I51" s="635" t="s">
        <v>932</v>
      </c>
      <c r="J51" s="635"/>
      <c r="K51" s="635">
        <f t="shared" si="0"/>
        <v>155</v>
      </c>
      <c r="L51" s="635">
        <f t="shared" si="27"/>
        <v>1</v>
      </c>
      <c r="M51" s="635"/>
      <c r="N51" s="635">
        <v>5</v>
      </c>
      <c r="O51" s="635">
        <f>N51*基础经济系数!$C$2</f>
        <v>500</v>
      </c>
      <c r="P51" s="635">
        <v>4</v>
      </c>
      <c r="Q51" s="635">
        <f t="shared" si="38"/>
        <v>2000</v>
      </c>
      <c r="R51" s="635">
        <v>20</v>
      </c>
      <c r="S51" s="635">
        <f t="shared" si="39"/>
        <v>3100</v>
      </c>
      <c r="T51" s="635">
        <f t="shared" si="40"/>
        <v>1.55</v>
      </c>
      <c r="U51" s="635">
        <f t="shared" si="32"/>
        <v>-1100</v>
      </c>
      <c r="V51" s="635">
        <f t="shared" si="33"/>
        <v>-1100</v>
      </c>
      <c r="W51" s="635">
        <f t="shared" si="34"/>
        <v>-0.55000000000000004</v>
      </c>
      <c r="X51" s="635"/>
      <c r="Y51" s="635"/>
      <c r="Z51" s="635"/>
      <c r="AA51" s="635">
        <f t="shared" si="6"/>
        <v>2000</v>
      </c>
      <c r="AB51" s="635">
        <f t="shared" si="7"/>
        <v>0.75</v>
      </c>
      <c r="AC51" s="635">
        <f t="shared" si="28"/>
        <v>52221</v>
      </c>
      <c r="AD51" s="635">
        <f t="shared" si="29"/>
        <v>101</v>
      </c>
      <c r="AE51" s="635"/>
      <c r="AF51" s="635" t="str">
        <f t="shared" si="30"/>
        <v>shard_iv</v>
      </c>
      <c r="AG51" s="635" t="str">
        <f t="shared" si="31"/>
        <v>resource_icon_diamond</v>
      </c>
      <c r="AH51" s="635"/>
      <c r="AI51" s="635" t="str">
        <f t="shared" si="35"/>
        <v>[52221,101]</v>
      </c>
      <c r="AJ51" s="635" t="str">
        <f t="shared" si="36"/>
        <v>[20,-1100]</v>
      </c>
      <c r="AK51" s="635" t="str">
        <f t="shared" si="37"/>
        <v>[shard_iv,resource_icon_diamond]</v>
      </c>
      <c r="AL51" s="635" t="str">
        <f t="shared" si="21"/>
        <v>3+5+四号碎片</v>
      </c>
    </row>
    <row r="52" spans="2:38" x14ac:dyDescent="0.35">
      <c r="B52" s="636" t="s">
        <v>3070</v>
      </c>
      <c r="C52" s="627">
        <f>道具价值!$E$36</f>
        <v>155</v>
      </c>
      <c r="G52" s="635">
        <v>3</v>
      </c>
      <c r="H52" s="636" t="s">
        <v>3071</v>
      </c>
      <c r="I52" s="635" t="s">
        <v>932</v>
      </c>
      <c r="J52" s="635"/>
      <c r="K52" s="635">
        <f t="shared" si="0"/>
        <v>155</v>
      </c>
      <c r="L52" s="635">
        <f t="shared" si="27"/>
        <v>1</v>
      </c>
      <c r="M52" s="635"/>
      <c r="N52" s="635">
        <v>5</v>
      </c>
      <c r="O52" s="635">
        <f>N52*基础经济系数!$C$2</f>
        <v>500</v>
      </c>
      <c r="P52" s="635">
        <v>4</v>
      </c>
      <c r="Q52" s="635">
        <f t="shared" si="38"/>
        <v>2000</v>
      </c>
      <c r="R52" s="635">
        <v>20</v>
      </c>
      <c r="S52" s="635">
        <f t="shared" si="39"/>
        <v>3100</v>
      </c>
      <c r="T52" s="635">
        <f t="shared" si="40"/>
        <v>1.55</v>
      </c>
      <c r="U52" s="635">
        <f t="shared" si="32"/>
        <v>-1100</v>
      </c>
      <c r="V52" s="635">
        <f t="shared" si="33"/>
        <v>-1100</v>
      </c>
      <c r="W52" s="635">
        <f t="shared" si="34"/>
        <v>-0.55000000000000004</v>
      </c>
      <c r="X52" s="635"/>
      <c r="Y52" s="635"/>
      <c r="Z52" s="635"/>
      <c r="AA52" s="635">
        <f t="shared" si="6"/>
        <v>2000</v>
      </c>
      <c r="AB52" s="635">
        <f t="shared" si="7"/>
        <v>0.75</v>
      </c>
      <c r="AC52" s="635">
        <f t="shared" si="28"/>
        <v>53221</v>
      </c>
      <c r="AD52" s="635">
        <f t="shared" si="29"/>
        <v>101</v>
      </c>
      <c r="AE52" s="635"/>
      <c r="AF52" s="635" t="str">
        <f t="shared" si="30"/>
        <v>shard_churchill</v>
      </c>
      <c r="AG52" s="635" t="str">
        <f t="shared" si="31"/>
        <v>resource_icon_diamond</v>
      </c>
      <c r="AH52" s="635"/>
      <c r="AI52" s="635" t="str">
        <f t="shared" si="35"/>
        <v>[53221,101]</v>
      </c>
      <c r="AJ52" s="635" t="str">
        <f t="shared" si="36"/>
        <v>[20,-1100]</v>
      </c>
      <c r="AK52" s="635" t="str">
        <f t="shared" si="37"/>
        <v>[shard_churchill,resource_icon_diamond]</v>
      </c>
      <c r="AL52" s="635" t="str">
        <f t="shared" si="21"/>
        <v>3+5+丘吉尔碎</v>
      </c>
    </row>
    <row r="53" spans="2:38" x14ac:dyDescent="0.35">
      <c r="B53" s="636" t="s">
        <v>3071</v>
      </c>
      <c r="C53" s="627">
        <f>道具价值!$E$36</f>
        <v>155</v>
      </c>
      <c r="G53" s="635">
        <v>3</v>
      </c>
      <c r="H53" s="636" t="s">
        <v>3069</v>
      </c>
      <c r="I53" s="635" t="s">
        <v>932</v>
      </c>
      <c r="J53" s="635"/>
      <c r="K53" s="635">
        <f t="shared" si="0"/>
        <v>155</v>
      </c>
      <c r="L53" s="635">
        <f t="shared" si="27"/>
        <v>1</v>
      </c>
      <c r="M53" s="635"/>
      <c r="N53" s="635">
        <v>10</v>
      </c>
      <c r="O53" s="635">
        <f>N53*基础经济系数!$C$2</f>
        <v>1000</v>
      </c>
      <c r="P53" s="635">
        <v>4</v>
      </c>
      <c r="Q53" s="635">
        <f t="shared" si="38"/>
        <v>4000</v>
      </c>
      <c r="R53" s="635">
        <v>40</v>
      </c>
      <c r="S53" s="635">
        <f t="shared" si="39"/>
        <v>6200</v>
      </c>
      <c r="T53" s="635">
        <f t="shared" si="40"/>
        <v>1.55</v>
      </c>
      <c r="U53" s="635">
        <f t="shared" si="32"/>
        <v>-2200</v>
      </c>
      <c r="V53" s="635">
        <f t="shared" si="33"/>
        <v>-2200</v>
      </c>
      <c r="W53" s="635">
        <f t="shared" si="34"/>
        <v>-0.55000000000000004</v>
      </c>
      <c r="X53" s="635"/>
      <c r="Y53" s="635"/>
      <c r="Z53" s="635"/>
      <c r="AA53" s="635">
        <f t="shared" si="6"/>
        <v>4000</v>
      </c>
      <c r="AB53" s="635">
        <f t="shared" si="7"/>
        <v>0.75</v>
      </c>
      <c r="AC53" s="635">
        <f t="shared" si="28"/>
        <v>51221</v>
      </c>
      <c r="AD53" s="635">
        <f t="shared" si="29"/>
        <v>101</v>
      </c>
      <c r="AE53" s="635"/>
      <c r="AF53" s="635" t="str">
        <f t="shared" si="30"/>
        <v>shard_sdkfz234</v>
      </c>
      <c r="AG53" s="635" t="str">
        <f t="shared" si="31"/>
        <v>resource_icon_diamond</v>
      </c>
      <c r="AH53" s="635"/>
      <c r="AI53" s="635" t="str">
        <f t="shared" si="35"/>
        <v>[51221,101]</v>
      </c>
      <c r="AJ53" s="635" t="str">
        <f t="shared" si="36"/>
        <v>[40,-2200]</v>
      </c>
      <c r="AK53" s="635" t="str">
        <f t="shared" si="37"/>
        <v>[shard_sdkfz234,resource_icon_diamond]</v>
      </c>
      <c r="AL53" s="635" t="str">
        <f t="shared" si="21"/>
        <v>3+10+Puma</v>
      </c>
    </row>
    <row r="54" spans="2:38" x14ac:dyDescent="0.35">
      <c r="B54" s="610" t="s">
        <v>2885</v>
      </c>
      <c r="C54" s="610">
        <f>道具价值!J76</f>
        <v>35</v>
      </c>
      <c r="G54" s="635">
        <v>3</v>
      </c>
      <c r="H54" s="636" t="s">
        <v>3070</v>
      </c>
      <c r="I54" s="635" t="s">
        <v>932</v>
      </c>
      <c r="J54" s="635"/>
      <c r="K54" s="635">
        <f t="shared" si="0"/>
        <v>155</v>
      </c>
      <c r="L54" s="635">
        <f t="shared" si="27"/>
        <v>1</v>
      </c>
      <c r="M54" s="635"/>
      <c r="N54" s="635">
        <v>10</v>
      </c>
      <c r="O54" s="635">
        <f>N54*基础经济系数!$C$2</f>
        <v>1000</v>
      </c>
      <c r="P54" s="635">
        <v>4</v>
      </c>
      <c r="Q54" s="635">
        <f t="shared" si="38"/>
        <v>4000</v>
      </c>
      <c r="R54" s="635">
        <v>40</v>
      </c>
      <c r="S54" s="635">
        <f t="shared" si="39"/>
        <v>6200</v>
      </c>
      <c r="T54" s="635">
        <f t="shared" si="40"/>
        <v>1.55</v>
      </c>
      <c r="U54" s="635">
        <f t="shared" si="32"/>
        <v>-2200</v>
      </c>
      <c r="V54" s="635">
        <f t="shared" si="33"/>
        <v>-2200</v>
      </c>
      <c r="W54" s="635">
        <f t="shared" si="34"/>
        <v>-0.55000000000000004</v>
      </c>
      <c r="X54" s="635"/>
      <c r="Y54" s="635"/>
      <c r="Z54" s="635"/>
      <c r="AA54" s="635">
        <f t="shared" si="6"/>
        <v>4000</v>
      </c>
      <c r="AB54" s="635">
        <f t="shared" si="7"/>
        <v>0.75</v>
      </c>
      <c r="AC54" s="635">
        <f t="shared" si="28"/>
        <v>52221</v>
      </c>
      <c r="AD54" s="635">
        <f t="shared" si="29"/>
        <v>101</v>
      </c>
      <c r="AE54" s="635"/>
      <c r="AF54" s="635" t="str">
        <f t="shared" si="30"/>
        <v>shard_iv</v>
      </c>
      <c r="AG54" s="635" t="str">
        <f t="shared" si="31"/>
        <v>resource_icon_diamond</v>
      </c>
      <c r="AH54" s="635"/>
      <c r="AI54" s="635" t="str">
        <f t="shared" si="35"/>
        <v>[52221,101]</v>
      </c>
      <c r="AJ54" s="635" t="str">
        <f t="shared" si="36"/>
        <v>[40,-2200]</v>
      </c>
      <c r="AK54" s="635" t="str">
        <f t="shared" si="37"/>
        <v>[shard_iv,resource_icon_diamond]</v>
      </c>
      <c r="AL54" s="635" t="str">
        <f t="shared" si="21"/>
        <v>3+10+四号碎片</v>
      </c>
    </row>
    <row r="55" spans="2:38" x14ac:dyDescent="0.35">
      <c r="B55" s="610" t="s">
        <v>2783</v>
      </c>
      <c r="C55" s="610">
        <f>道具价值!J77</f>
        <v>60</v>
      </c>
      <c r="G55" s="635">
        <v>3</v>
      </c>
      <c r="H55" s="636" t="s">
        <v>3071</v>
      </c>
      <c r="I55" s="635" t="s">
        <v>932</v>
      </c>
      <c r="J55" s="635"/>
      <c r="K55" s="635">
        <f t="shared" ref="K55:K86" si="41">IFERROR(VLOOKUP(LEFT(H55,4),$B$40:$C$81,2,FALSE),VLOOKUP(H55,$B$40:$C$81,2,FALSE))</f>
        <v>155</v>
      </c>
      <c r="L55" s="635">
        <f t="shared" si="27"/>
        <v>1</v>
      </c>
      <c r="M55" s="635"/>
      <c r="N55" s="635">
        <v>10</v>
      </c>
      <c r="O55" s="635">
        <f>N55*基础经济系数!$C$2</f>
        <v>1000</v>
      </c>
      <c r="P55" s="635">
        <v>4</v>
      </c>
      <c r="Q55" s="635">
        <f t="shared" si="38"/>
        <v>4000</v>
      </c>
      <c r="R55" s="635">
        <v>40</v>
      </c>
      <c r="S55" s="635">
        <f t="shared" si="39"/>
        <v>6200</v>
      </c>
      <c r="T55" s="635">
        <f t="shared" si="40"/>
        <v>1.55</v>
      </c>
      <c r="U55" s="635">
        <f t="shared" si="32"/>
        <v>-2200</v>
      </c>
      <c r="V55" s="635">
        <f t="shared" si="33"/>
        <v>-2200</v>
      </c>
      <c r="W55" s="635">
        <f t="shared" si="34"/>
        <v>-0.55000000000000004</v>
      </c>
      <c r="X55" s="635"/>
      <c r="Y55" s="635"/>
      <c r="Z55" s="635"/>
      <c r="AA55" s="635">
        <f t="shared" ref="AA55:AA86" si="42">R55*K55+U55*L55+X55*M55</f>
        <v>4000</v>
      </c>
      <c r="AB55" s="635">
        <f t="shared" ref="AB55:AB86" si="43">1-1/(AA55/O55)</f>
        <v>0.75</v>
      </c>
      <c r="AC55" s="635">
        <f t="shared" si="28"/>
        <v>53221</v>
      </c>
      <c r="AD55" s="635">
        <f t="shared" si="29"/>
        <v>101</v>
      </c>
      <c r="AE55" s="635"/>
      <c r="AF55" s="635" t="str">
        <f t="shared" si="30"/>
        <v>shard_churchill</v>
      </c>
      <c r="AG55" s="635" t="str">
        <f t="shared" si="31"/>
        <v>resource_icon_diamond</v>
      </c>
      <c r="AH55" s="635"/>
      <c r="AI55" s="635" t="str">
        <f t="shared" si="35"/>
        <v>[53221,101]</v>
      </c>
      <c r="AJ55" s="635" t="str">
        <f t="shared" si="36"/>
        <v>[40,-2200]</v>
      </c>
      <c r="AK55" s="635" t="str">
        <f t="shared" si="37"/>
        <v>[shard_churchill,resource_icon_diamond]</v>
      </c>
      <c r="AL55" s="635" t="str">
        <f t="shared" si="21"/>
        <v>3+10+丘吉尔碎</v>
      </c>
    </row>
    <row r="56" spans="2:38" x14ac:dyDescent="0.35">
      <c r="B56" s="610" t="s">
        <v>2721</v>
      </c>
      <c r="C56" s="610">
        <f>道具价值!J78</f>
        <v>70</v>
      </c>
      <c r="G56" s="635">
        <v>3</v>
      </c>
      <c r="H56" s="636" t="s">
        <v>3069</v>
      </c>
      <c r="I56" s="635" t="s">
        <v>932</v>
      </c>
      <c r="J56" s="635"/>
      <c r="K56" s="635">
        <f t="shared" si="41"/>
        <v>155</v>
      </c>
      <c r="L56" s="635">
        <f t="shared" si="27"/>
        <v>1</v>
      </c>
      <c r="M56" s="635"/>
      <c r="N56" s="635">
        <v>20</v>
      </c>
      <c r="O56" s="635">
        <f>N56*基础经济系数!$C$2</f>
        <v>2000</v>
      </c>
      <c r="P56" s="635">
        <v>4</v>
      </c>
      <c r="Q56" s="635">
        <f t="shared" si="38"/>
        <v>8000</v>
      </c>
      <c r="R56" s="635">
        <v>80</v>
      </c>
      <c r="S56" s="635">
        <f t="shared" si="39"/>
        <v>12400</v>
      </c>
      <c r="T56" s="635">
        <f t="shared" si="40"/>
        <v>1.55</v>
      </c>
      <c r="U56" s="635">
        <f t="shared" si="32"/>
        <v>-4400</v>
      </c>
      <c r="V56" s="635">
        <f t="shared" si="33"/>
        <v>-4400</v>
      </c>
      <c r="W56" s="635">
        <f t="shared" si="34"/>
        <v>-0.55000000000000004</v>
      </c>
      <c r="X56" s="635"/>
      <c r="Y56" s="635"/>
      <c r="Z56" s="635"/>
      <c r="AA56" s="635">
        <f t="shared" si="42"/>
        <v>8000</v>
      </c>
      <c r="AB56" s="635">
        <f t="shared" si="43"/>
        <v>0.75</v>
      </c>
      <c r="AC56" s="635">
        <f t="shared" si="28"/>
        <v>51221</v>
      </c>
      <c r="AD56" s="635">
        <f t="shared" si="29"/>
        <v>101</v>
      </c>
      <c r="AE56" s="635"/>
      <c r="AF56" s="635" t="str">
        <f t="shared" si="30"/>
        <v>shard_sdkfz234</v>
      </c>
      <c r="AG56" s="635" t="str">
        <f t="shared" si="31"/>
        <v>resource_icon_diamond</v>
      </c>
      <c r="AH56" s="635"/>
      <c r="AI56" s="635" t="str">
        <f t="shared" si="35"/>
        <v>[51221,101]</v>
      </c>
      <c r="AJ56" s="635" t="str">
        <f t="shared" si="36"/>
        <v>[80,-4400]</v>
      </c>
      <c r="AK56" s="635" t="str">
        <f t="shared" si="37"/>
        <v>[shard_sdkfz234,resource_icon_diamond]</v>
      </c>
      <c r="AL56" s="635" t="str">
        <f t="shared" si="21"/>
        <v>3+20+Puma</v>
      </c>
    </row>
    <row r="57" spans="2:38" x14ac:dyDescent="0.35">
      <c r="B57" s="610" t="s">
        <v>2718</v>
      </c>
      <c r="C57" s="610">
        <f>道具价值!J79</f>
        <v>125</v>
      </c>
      <c r="G57" s="635">
        <v>3</v>
      </c>
      <c r="H57" s="636" t="s">
        <v>3070</v>
      </c>
      <c r="I57" s="635" t="s">
        <v>932</v>
      </c>
      <c r="J57" s="635"/>
      <c r="K57" s="635">
        <f t="shared" si="41"/>
        <v>155</v>
      </c>
      <c r="L57" s="635">
        <f t="shared" si="27"/>
        <v>1</v>
      </c>
      <c r="M57" s="635"/>
      <c r="N57" s="635">
        <v>20</v>
      </c>
      <c r="O57" s="635">
        <f>N57*基础经济系数!$C$2</f>
        <v>2000</v>
      </c>
      <c r="P57" s="635">
        <v>4</v>
      </c>
      <c r="Q57" s="635">
        <f t="shared" si="38"/>
        <v>8000</v>
      </c>
      <c r="R57" s="635">
        <v>80</v>
      </c>
      <c r="S57" s="635">
        <f t="shared" si="39"/>
        <v>12400</v>
      </c>
      <c r="T57" s="635">
        <f t="shared" si="40"/>
        <v>1.55</v>
      </c>
      <c r="U57" s="635">
        <f t="shared" si="32"/>
        <v>-4400</v>
      </c>
      <c r="V57" s="635">
        <f t="shared" si="33"/>
        <v>-4400</v>
      </c>
      <c r="W57" s="635">
        <f t="shared" si="34"/>
        <v>-0.55000000000000004</v>
      </c>
      <c r="X57" s="635"/>
      <c r="Y57" s="635"/>
      <c r="Z57" s="635"/>
      <c r="AA57" s="635">
        <f t="shared" si="42"/>
        <v>8000</v>
      </c>
      <c r="AB57" s="635">
        <f t="shared" si="43"/>
        <v>0.75</v>
      </c>
      <c r="AC57" s="635">
        <f t="shared" si="28"/>
        <v>52221</v>
      </c>
      <c r="AD57" s="635">
        <f t="shared" si="29"/>
        <v>101</v>
      </c>
      <c r="AE57" s="635"/>
      <c r="AF57" s="635" t="str">
        <f t="shared" si="30"/>
        <v>shard_iv</v>
      </c>
      <c r="AG57" s="635" t="str">
        <f t="shared" si="31"/>
        <v>resource_icon_diamond</v>
      </c>
      <c r="AH57" s="635"/>
      <c r="AI57" s="635" t="str">
        <f t="shared" si="35"/>
        <v>[52221,101]</v>
      </c>
      <c r="AJ57" s="635" t="str">
        <f t="shared" si="36"/>
        <v>[80,-4400]</v>
      </c>
      <c r="AK57" s="635" t="str">
        <f t="shared" si="37"/>
        <v>[shard_iv,resource_icon_diamond]</v>
      </c>
      <c r="AL57" s="635" t="str">
        <f t="shared" si="21"/>
        <v>3+20+四号碎片</v>
      </c>
    </row>
    <row r="58" spans="2:38" x14ac:dyDescent="0.35">
      <c r="B58" s="610" t="s">
        <v>2722</v>
      </c>
      <c r="C58" s="610">
        <f>道具价值!J80</f>
        <v>230</v>
      </c>
      <c r="G58" s="635">
        <v>3</v>
      </c>
      <c r="H58" s="636" t="s">
        <v>3071</v>
      </c>
      <c r="I58" s="635" t="s">
        <v>932</v>
      </c>
      <c r="J58" s="635"/>
      <c r="K58" s="635">
        <f t="shared" si="41"/>
        <v>155</v>
      </c>
      <c r="L58" s="635">
        <f t="shared" si="27"/>
        <v>1</v>
      </c>
      <c r="M58" s="635"/>
      <c r="N58" s="635">
        <v>20</v>
      </c>
      <c r="O58" s="635">
        <f>N58*基础经济系数!$C$2</f>
        <v>2000</v>
      </c>
      <c r="P58" s="635">
        <v>4</v>
      </c>
      <c r="Q58" s="635">
        <f t="shared" si="38"/>
        <v>8000</v>
      </c>
      <c r="R58" s="635">
        <v>80</v>
      </c>
      <c r="S58" s="635">
        <f t="shared" si="39"/>
        <v>12400</v>
      </c>
      <c r="T58" s="635">
        <f t="shared" si="40"/>
        <v>1.55</v>
      </c>
      <c r="U58" s="635">
        <f t="shared" si="32"/>
        <v>-4400</v>
      </c>
      <c r="V58" s="635">
        <f t="shared" si="33"/>
        <v>-4400</v>
      </c>
      <c r="W58" s="635">
        <f>1-T58</f>
        <v>-0.55000000000000004</v>
      </c>
      <c r="X58" s="635"/>
      <c r="Y58" s="635"/>
      <c r="Z58" s="635"/>
      <c r="AA58" s="635">
        <f t="shared" si="42"/>
        <v>8000</v>
      </c>
      <c r="AB58" s="635">
        <f t="shared" si="43"/>
        <v>0.75</v>
      </c>
      <c r="AC58" s="635">
        <f t="shared" si="28"/>
        <v>53221</v>
      </c>
      <c r="AD58" s="635">
        <f t="shared" si="29"/>
        <v>101</v>
      </c>
      <c r="AE58" s="635"/>
      <c r="AF58" s="635" t="str">
        <f t="shared" si="30"/>
        <v>shard_churchill</v>
      </c>
      <c r="AG58" s="635" t="str">
        <f t="shared" si="31"/>
        <v>resource_icon_diamond</v>
      </c>
      <c r="AH58" s="635"/>
      <c r="AI58" s="635" t="str">
        <f t="shared" si="35"/>
        <v>[53221,101]</v>
      </c>
      <c r="AJ58" s="635" t="str">
        <f t="shared" si="36"/>
        <v>[80,-4400]</v>
      </c>
      <c r="AK58" s="635" t="str">
        <f t="shared" si="37"/>
        <v>[shard_churchill,resource_icon_diamond]</v>
      </c>
      <c r="AL58" s="635" t="str">
        <f t="shared" si="21"/>
        <v>3+20+丘吉尔碎</v>
      </c>
    </row>
    <row r="59" spans="2:38" x14ac:dyDescent="0.35">
      <c r="B59" s="610" t="s">
        <v>2723</v>
      </c>
      <c r="C59" s="610">
        <f>道具价值!J81</f>
        <v>215</v>
      </c>
      <c r="G59" s="635">
        <v>3</v>
      </c>
      <c r="H59" s="635" t="s">
        <v>2988</v>
      </c>
      <c r="I59" s="635" t="s">
        <v>2721</v>
      </c>
      <c r="J59" s="635" t="s">
        <v>929</v>
      </c>
      <c r="K59" s="635">
        <f t="shared" si="41"/>
        <v>36</v>
      </c>
      <c r="L59" s="635">
        <f t="shared" si="27"/>
        <v>70</v>
      </c>
      <c r="M59" s="635">
        <f t="shared" ref="M59:M90" si="44">VLOOKUP(J59,$B$40:$C$81,2,FALSE)</f>
        <v>2.5000000000000001E-3</v>
      </c>
      <c r="N59" s="635">
        <v>2</v>
      </c>
      <c r="O59" s="635">
        <f>N59*基础经济系数!$C$2</f>
        <v>200</v>
      </c>
      <c r="P59" s="635">
        <v>4</v>
      </c>
      <c r="Q59" s="635">
        <f t="shared" si="3"/>
        <v>800</v>
      </c>
      <c r="R59" s="635">
        <v>1</v>
      </c>
      <c r="S59" s="635">
        <f t="shared" si="14"/>
        <v>36</v>
      </c>
      <c r="T59" s="635">
        <f t="shared" si="15"/>
        <v>4.4999999999999998E-2</v>
      </c>
      <c r="U59" s="635">
        <v>4</v>
      </c>
      <c r="V59" s="635">
        <f t="shared" si="16"/>
        <v>280</v>
      </c>
      <c r="W59" s="635">
        <f t="shared" si="17"/>
        <v>0.35</v>
      </c>
      <c r="X59" s="635">
        <v>20000</v>
      </c>
      <c r="Y59" s="635">
        <f t="shared" ref="Y59:Y90" si="45">Z59*Q59</f>
        <v>484</v>
      </c>
      <c r="Z59" s="635">
        <f t="shared" ref="Z59:Z90" si="46">1-T59-W59</f>
        <v>0.60499999999999998</v>
      </c>
      <c r="AA59" s="635">
        <f t="shared" si="42"/>
        <v>366</v>
      </c>
      <c r="AB59" s="635">
        <f t="shared" si="43"/>
        <v>0.45355191256830607</v>
      </c>
      <c r="AC59" s="635">
        <f t="shared" si="28"/>
        <v>23203</v>
      </c>
      <c r="AD59" s="635">
        <f t="shared" si="29"/>
        <v>100501</v>
      </c>
      <c r="AE59" s="635">
        <f t="shared" ref="AE59:AE90" si="47">VLOOKUP(J59,道具ID,2,FALSE)</f>
        <v>102</v>
      </c>
      <c r="AF59" s="635" t="str">
        <f t="shared" si="30"/>
        <v>chest_tankpart</v>
      </c>
      <c r="AG59" s="635" t="str">
        <f t="shared" si="31"/>
        <v>resource_icon_quicken</v>
      </c>
      <c r="AH59" s="635" t="str">
        <f t="shared" ref="AH59:AH90" si="48">VLOOKUP(J59,道具ID,3,FALSE)</f>
        <v>resource_icon_fund</v>
      </c>
      <c r="AI59" s="635" t="str">
        <f t="shared" si="18"/>
        <v>[23203,100501,102]</v>
      </c>
      <c r="AJ59" s="635" t="str">
        <f t="shared" si="19"/>
        <v>[1,4,20000]</v>
      </c>
      <c r="AK59" s="635" t="str">
        <f t="shared" si="20"/>
        <v>[chest_tankpart,resource_icon_quicken,resource_icon_fund]</v>
      </c>
      <c r="AL59" s="635" t="str">
        <f t="shared" si="21"/>
        <v>3+2+部件礼包</v>
      </c>
    </row>
    <row r="60" spans="2:38" x14ac:dyDescent="0.35">
      <c r="B60" s="610" t="s">
        <v>2719</v>
      </c>
      <c r="C60" s="610">
        <f>道具价值!J82</f>
        <v>400</v>
      </c>
      <c r="G60" s="635">
        <v>3</v>
      </c>
      <c r="H60" s="635" t="s">
        <v>3003</v>
      </c>
      <c r="I60" s="635" t="s">
        <v>2671</v>
      </c>
      <c r="J60" s="635" t="s">
        <v>932</v>
      </c>
      <c r="K60" s="635">
        <f t="shared" si="41"/>
        <v>465</v>
      </c>
      <c r="L60" s="635">
        <f t="shared" si="27"/>
        <v>0.75</v>
      </c>
      <c r="M60" s="635">
        <f t="shared" si="44"/>
        <v>1</v>
      </c>
      <c r="N60" s="635">
        <v>2</v>
      </c>
      <c r="O60" s="635">
        <f>N60*基础经济系数!$C$2</f>
        <v>200</v>
      </c>
      <c r="P60" s="635">
        <v>4</v>
      </c>
      <c r="Q60" s="635">
        <f t="shared" si="3"/>
        <v>800</v>
      </c>
      <c r="R60" s="635">
        <v>2</v>
      </c>
      <c r="S60" s="635">
        <f t="shared" si="14"/>
        <v>930</v>
      </c>
      <c r="T60" s="635">
        <f t="shared" si="15"/>
        <v>1.1625000000000001</v>
      </c>
      <c r="U60" s="635">
        <v>300</v>
      </c>
      <c r="V60" s="635">
        <f t="shared" si="16"/>
        <v>225</v>
      </c>
      <c r="W60" s="635">
        <f t="shared" si="17"/>
        <v>0.28125</v>
      </c>
      <c r="X60" s="635">
        <v>35</v>
      </c>
      <c r="Y60" s="635">
        <f t="shared" si="45"/>
        <v>-355.00000000000006</v>
      </c>
      <c r="Z60" s="635">
        <f t="shared" si="46"/>
        <v>-0.44375000000000009</v>
      </c>
      <c r="AA60" s="635">
        <f t="shared" si="42"/>
        <v>1190</v>
      </c>
      <c r="AB60" s="635">
        <f t="shared" si="43"/>
        <v>0.83193277310924374</v>
      </c>
      <c r="AC60" s="635">
        <f t="shared" si="28"/>
        <v>24203</v>
      </c>
      <c r="AD60" s="635">
        <f t="shared" si="29"/>
        <v>111</v>
      </c>
      <c r="AE60" s="635">
        <f t="shared" si="47"/>
        <v>101</v>
      </c>
      <c r="AF60" s="635" t="str">
        <f t="shared" si="30"/>
        <v>chest_shard</v>
      </c>
      <c r="AG60" s="635" t="str">
        <f t="shared" si="31"/>
        <v>resource_icon_doublekey</v>
      </c>
      <c r="AH60" s="635" t="str">
        <f t="shared" si="48"/>
        <v>resource_icon_diamond</v>
      </c>
      <c r="AI60" s="635" t="str">
        <f t="shared" si="18"/>
        <v>[24203,111,101]</v>
      </c>
      <c r="AJ60" s="635" t="str">
        <f t="shared" si="19"/>
        <v>[2,300,35]</v>
      </c>
      <c r="AK60" s="635" t="str">
        <f t="shared" si="20"/>
        <v>[chest_shard,resource_icon_doublekey,resource_icon_diamond]</v>
      </c>
      <c r="AL60" s="635" t="str">
        <f t="shared" si="21"/>
        <v>3+2+碎片礼包</v>
      </c>
    </row>
    <row r="61" spans="2:38" x14ac:dyDescent="0.35">
      <c r="B61" s="610" t="s">
        <v>2724</v>
      </c>
      <c r="C61" s="610">
        <f>道具价值!J83</f>
        <v>1265</v>
      </c>
      <c r="G61" s="635">
        <v>3</v>
      </c>
      <c r="H61" s="635" t="s">
        <v>2988</v>
      </c>
      <c r="I61" s="635" t="s">
        <v>2721</v>
      </c>
      <c r="J61" s="635" t="s">
        <v>929</v>
      </c>
      <c r="K61" s="635">
        <f t="shared" si="41"/>
        <v>36</v>
      </c>
      <c r="L61" s="635">
        <f t="shared" si="27"/>
        <v>70</v>
      </c>
      <c r="M61" s="635">
        <f t="shared" si="44"/>
        <v>2.5000000000000001E-3</v>
      </c>
      <c r="N61" s="635">
        <v>5</v>
      </c>
      <c r="O61" s="635">
        <f>N61*基础经济系数!$C$2</f>
        <v>500</v>
      </c>
      <c r="P61" s="635">
        <v>4</v>
      </c>
      <c r="Q61" s="635">
        <f t="shared" si="3"/>
        <v>2000</v>
      </c>
      <c r="R61" s="635">
        <v>3</v>
      </c>
      <c r="S61" s="635">
        <f t="shared" si="14"/>
        <v>108</v>
      </c>
      <c r="T61" s="635">
        <f t="shared" si="15"/>
        <v>5.3999999999999999E-2</v>
      </c>
      <c r="U61" s="635">
        <v>6</v>
      </c>
      <c r="V61" s="635">
        <f t="shared" si="16"/>
        <v>420</v>
      </c>
      <c r="W61" s="635">
        <f t="shared" si="17"/>
        <v>0.21</v>
      </c>
      <c r="X61" s="635">
        <v>60000</v>
      </c>
      <c r="Y61" s="635">
        <f t="shared" si="45"/>
        <v>1472</v>
      </c>
      <c r="Z61" s="635">
        <f t="shared" si="46"/>
        <v>0.73599999999999999</v>
      </c>
      <c r="AA61" s="635">
        <f t="shared" si="42"/>
        <v>678</v>
      </c>
      <c r="AB61" s="635">
        <f t="shared" si="43"/>
        <v>0.26253687315634222</v>
      </c>
      <c r="AC61" s="635">
        <f t="shared" si="28"/>
        <v>23203</v>
      </c>
      <c r="AD61" s="635">
        <f t="shared" si="29"/>
        <v>100501</v>
      </c>
      <c r="AE61" s="635">
        <f t="shared" si="47"/>
        <v>102</v>
      </c>
      <c r="AF61" s="635" t="str">
        <f t="shared" si="30"/>
        <v>chest_tankpart</v>
      </c>
      <c r="AG61" s="635" t="str">
        <f t="shared" si="31"/>
        <v>resource_icon_quicken</v>
      </c>
      <c r="AH61" s="635" t="str">
        <f t="shared" si="48"/>
        <v>resource_icon_fund</v>
      </c>
      <c r="AI61" s="635" t="str">
        <f t="shared" si="18"/>
        <v>[23203,100501,102]</v>
      </c>
      <c r="AJ61" s="635" t="str">
        <f t="shared" si="19"/>
        <v>[3,6,60000]</v>
      </c>
      <c r="AK61" s="635" t="str">
        <f t="shared" si="20"/>
        <v>[chest_tankpart,resource_icon_quicken,resource_icon_fund]</v>
      </c>
      <c r="AL61" s="635" t="str">
        <f t="shared" si="21"/>
        <v>3+5+部件礼包</v>
      </c>
    </row>
    <row r="62" spans="2:38" x14ac:dyDescent="0.35">
      <c r="B62" s="610" t="s">
        <v>2727</v>
      </c>
      <c r="C62" s="610">
        <f>道具价值!T73</f>
        <v>0.75</v>
      </c>
      <c r="G62" s="635">
        <v>3</v>
      </c>
      <c r="H62" s="635" t="s">
        <v>3003</v>
      </c>
      <c r="I62" s="635" t="s">
        <v>2671</v>
      </c>
      <c r="J62" s="635" t="s">
        <v>932</v>
      </c>
      <c r="K62" s="635">
        <f t="shared" si="41"/>
        <v>465</v>
      </c>
      <c r="L62" s="635">
        <f t="shared" si="27"/>
        <v>0.75</v>
      </c>
      <c r="M62" s="635">
        <f t="shared" si="44"/>
        <v>1</v>
      </c>
      <c r="N62" s="635">
        <v>5</v>
      </c>
      <c r="O62" s="635">
        <f>N62*基础经济系数!$C$2</f>
        <v>500</v>
      </c>
      <c r="P62" s="635">
        <v>4</v>
      </c>
      <c r="Q62" s="635">
        <f t="shared" si="3"/>
        <v>2000</v>
      </c>
      <c r="R62" s="635">
        <v>5</v>
      </c>
      <c r="S62" s="635">
        <f t="shared" si="14"/>
        <v>2325</v>
      </c>
      <c r="T62" s="635">
        <f t="shared" si="15"/>
        <v>1.1625000000000001</v>
      </c>
      <c r="U62" s="635">
        <v>800</v>
      </c>
      <c r="V62" s="635">
        <f t="shared" si="16"/>
        <v>600</v>
      </c>
      <c r="W62" s="635">
        <f t="shared" si="17"/>
        <v>0.3</v>
      </c>
      <c r="X62" s="635">
        <v>50</v>
      </c>
      <c r="Y62" s="635">
        <f t="shared" si="45"/>
        <v>-925.00000000000011</v>
      </c>
      <c r="Z62" s="635">
        <f t="shared" si="46"/>
        <v>-0.46250000000000008</v>
      </c>
      <c r="AA62" s="635">
        <f t="shared" si="42"/>
        <v>2975</v>
      </c>
      <c r="AB62" s="635">
        <f t="shared" si="43"/>
        <v>0.83193277310924374</v>
      </c>
      <c r="AC62" s="635">
        <f t="shared" si="28"/>
        <v>24203</v>
      </c>
      <c r="AD62" s="635">
        <f t="shared" si="29"/>
        <v>111</v>
      </c>
      <c r="AE62" s="635">
        <f t="shared" si="47"/>
        <v>101</v>
      </c>
      <c r="AF62" s="635" t="str">
        <f t="shared" si="30"/>
        <v>chest_shard</v>
      </c>
      <c r="AG62" s="635" t="str">
        <f t="shared" si="31"/>
        <v>resource_icon_doublekey</v>
      </c>
      <c r="AH62" s="635" t="str">
        <f t="shared" si="48"/>
        <v>resource_icon_diamond</v>
      </c>
      <c r="AI62" s="635" t="str">
        <f t="shared" si="18"/>
        <v>[24203,111,101]</v>
      </c>
      <c r="AJ62" s="635" t="str">
        <f t="shared" si="19"/>
        <v>[5,800,50]</v>
      </c>
      <c r="AK62" s="635" t="str">
        <f t="shared" si="20"/>
        <v>[chest_shard,resource_icon_doublekey,resource_icon_diamond]</v>
      </c>
      <c r="AL62" s="635" t="str">
        <f t="shared" si="21"/>
        <v>3+5+碎片礼包</v>
      </c>
    </row>
    <row r="63" spans="2:38" x14ac:dyDescent="0.35">
      <c r="B63" s="610" t="s">
        <v>2725</v>
      </c>
      <c r="C63" s="610">
        <v>1</v>
      </c>
      <c r="G63" s="635">
        <v>3</v>
      </c>
      <c r="H63" s="635" t="s">
        <v>2988</v>
      </c>
      <c r="I63" s="635" t="s">
        <v>2721</v>
      </c>
      <c r="J63" s="635" t="s">
        <v>929</v>
      </c>
      <c r="K63" s="635">
        <f t="shared" si="41"/>
        <v>36</v>
      </c>
      <c r="L63" s="635">
        <f t="shared" si="27"/>
        <v>70</v>
      </c>
      <c r="M63" s="635">
        <f t="shared" si="44"/>
        <v>2.5000000000000001E-3</v>
      </c>
      <c r="N63" s="635">
        <v>10</v>
      </c>
      <c r="O63" s="635">
        <f>N63*基础经济系数!$C$2</f>
        <v>1000</v>
      </c>
      <c r="P63" s="635">
        <v>4</v>
      </c>
      <c r="Q63" s="635">
        <f t="shared" si="3"/>
        <v>4000</v>
      </c>
      <c r="R63" s="635">
        <v>6</v>
      </c>
      <c r="S63" s="635">
        <f t="shared" si="14"/>
        <v>216</v>
      </c>
      <c r="T63" s="635">
        <f t="shared" si="15"/>
        <v>5.3999999999999999E-2</v>
      </c>
      <c r="U63" s="635">
        <v>14</v>
      </c>
      <c r="V63" s="635">
        <f t="shared" si="16"/>
        <v>980</v>
      </c>
      <c r="W63" s="635">
        <f t="shared" si="17"/>
        <v>0.245</v>
      </c>
      <c r="X63" s="635">
        <v>60000</v>
      </c>
      <c r="Y63" s="635">
        <f t="shared" si="45"/>
        <v>2804</v>
      </c>
      <c r="Z63" s="635">
        <f t="shared" si="46"/>
        <v>0.70099999999999996</v>
      </c>
      <c r="AA63" s="635">
        <f t="shared" si="42"/>
        <v>1346</v>
      </c>
      <c r="AB63" s="635">
        <f t="shared" si="43"/>
        <v>0.25705794947994065</v>
      </c>
      <c r="AC63" s="635">
        <f t="shared" si="28"/>
        <v>23203</v>
      </c>
      <c r="AD63" s="635">
        <f t="shared" si="29"/>
        <v>100501</v>
      </c>
      <c r="AE63" s="635">
        <f t="shared" si="47"/>
        <v>102</v>
      </c>
      <c r="AF63" s="635" t="str">
        <f t="shared" si="30"/>
        <v>chest_tankpart</v>
      </c>
      <c r="AG63" s="635" t="str">
        <f t="shared" si="31"/>
        <v>resource_icon_quicken</v>
      </c>
      <c r="AH63" s="635" t="str">
        <f t="shared" si="48"/>
        <v>resource_icon_fund</v>
      </c>
      <c r="AI63" s="635" t="str">
        <f t="shared" si="18"/>
        <v>[23203,100501,102]</v>
      </c>
      <c r="AJ63" s="635" t="str">
        <f t="shared" si="19"/>
        <v>[6,14,60000]</v>
      </c>
      <c r="AK63" s="635" t="str">
        <f t="shared" si="20"/>
        <v>[chest_tankpart,resource_icon_quicken,resource_icon_fund]</v>
      </c>
      <c r="AL63" s="635" t="str">
        <f t="shared" si="21"/>
        <v>3+10+部件礼包</v>
      </c>
    </row>
    <row r="64" spans="2:38" x14ac:dyDescent="0.35">
      <c r="B64" s="610" t="s">
        <v>2726</v>
      </c>
      <c r="C64" s="610">
        <f>1/道具价值!$R$73</f>
        <v>2.5000000000000001E-3</v>
      </c>
      <c r="G64" s="635">
        <v>3</v>
      </c>
      <c r="H64" s="635" t="s">
        <v>3003</v>
      </c>
      <c r="I64" s="635" t="s">
        <v>2671</v>
      </c>
      <c r="J64" s="635" t="s">
        <v>932</v>
      </c>
      <c r="K64" s="635">
        <f t="shared" si="41"/>
        <v>465</v>
      </c>
      <c r="L64" s="635">
        <f t="shared" si="27"/>
        <v>0.75</v>
      </c>
      <c r="M64" s="635">
        <f t="shared" si="44"/>
        <v>1</v>
      </c>
      <c r="N64" s="635">
        <v>10</v>
      </c>
      <c r="O64" s="635">
        <f>N64*基础经济系数!$C$2</f>
        <v>1000</v>
      </c>
      <c r="P64" s="635">
        <v>4</v>
      </c>
      <c r="Q64" s="635">
        <f t="shared" si="3"/>
        <v>4000</v>
      </c>
      <c r="R64" s="635">
        <v>10</v>
      </c>
      <c r="S64" s="635">
        <f t="shared" si="14"/>
        <v>4650</v>
      </c>
      <c r="T64" s="635">
        <f t="shared" si="15"/>
        <v>1.1625000000000001</v>
      </c>
      <c r="U64" s="635">
        <v>1400</v>
      </c>
      <c r="V64" s="635">
        <f t="shared" si="16"/>
        <v>1050</v>
      </c>
      <c r="W64" s="635">
        <f t="shared" si="17"/>
        <v>0.26250000000000001</v>
      </c>
      <c r="X64" s="635">
        <v>250</v>
      </c>
      <c r="Y64" s="635">
        <f t="shared" si="45"/>
        <v>-1700.0000000000005</v>
      </c>
      <c r="Z64" s="635">
        <f t="shared" si="46"/>
        <v>-0.4250000000000001</v>
      </c>
      <c r="AA64" s="635">
        <f t="shared" si="42"/>
        <v>5950</v>
      </c>
      <c r="AB64" s="635">
        <f t="shared" si="43"/>
        <v>0.83193277310924374</v>
      </c>
      <c r="AC64" s="635">
        <f t="shared" si="28"/>
        <v>24203</v>
      </c>
      <c r="AD64" s="635">
        <f t="shared" si="29"/>
        <v>111</v>
      </c>
      <c r="AE64" s="635">
        <f t="shared" si="47"/>
        <v>101</v>
      </c>
      <c r="AF64" s="635" t="str">
        <f t="shared" si="30"/>
        <v>chest_shard</v>
      </c>
      <c r="AG64" s="635" t="str">
        <f t="shared" si="31"/>
        <v>resource_icon_doublekey</v>
      </c>
      <c r="AH64" s="635" t="str">
        <f t="shared" si="48"/>
        <v>resource_icon_diamond</v>
      </c>
      <c r="AI64" s="635" t="str">
        <f t="shared" si="18"/>
        <v>[24203,111,101]</v>
      </c>
      <c r="AJ64" s="635" t="str">
        <f t="shared" si="19"/>
        <v>[10,1400,250]</v>
      </c>
      <c r="AK64" s="635" t="str">
        <f t="shared" si="20"/>
        <v>[chest_shard,resource_icon_doublekey,resource_icon_diamond]</v>
      </c>
      <c r="AL64" s="635" t="str">
        <f t="shared" si="21"/>
        <v>3+10+碎片礼包</v>
      </c>
    </row>
    <row r="65" spans="2:38" x14ac:dyDescent="0.35">
      <c r="B65" s="636" t="s">
        <v>3028</v>
      </c>
      <c r="C65" s="635">
        <f>L3</f>
        <v>90</v>
      </c>
      <c r="G65" s="635">
        <v>3</v>
      </c>
      <c r="H65" s="635" t="s">
        <v>2988</v>
      </c>
      <c r="I65" s="635" t="s">
        <v>2721</v>
      </c>
      <c r="J65" s="635" t="s">
        <v>929</v>
      </c>
      <c r="K65" s="635">
        <f t="shared" si="41"/>
        <v>36</v>
      </c>
      <c r="L65" s="635">
        <f t="shared" si="27"/>
        <v>70</v>
      </c>
      <c r="M65" s="635">
        <f t="shared" si="44"/>
        <v>2.5000000000000001E-3</v>
      </c>
      <c r="N65" s="635">
        <v>2</v>
      </c>
      <c r="O65" s="635">
        <f>N65*基础经济系数!$C$2</f>
        <v>200</v>
      </c>
      <c r="P65" s="635">
        <v>3</v>
      </c>
      <c r="Q65" s="635">
        <f t="shared" ref="Q65:Q76" si="49">O65*P65</f>
        <v>600</v>
      </c>
      <c r="R65" s="635">
        <v>1</v>
      </c>
      <c r="S65" s="635">
        <f t="shared" ref="S65:S76" si="50">R65*K65</f>
        <v>36</v>
      </c>
      <c r="T65" s="635">
        <f t="shared" ref="T65:T76" si="51">S65/Q65</f>
        <v>0.06</v>
      </c>
      <c r="U65" s="635">
        <v>1</v>
      </c>
      <c r="V65" s="635">
        <f t="shared" ref="V65:V76" si="52">U65*L65</f>
        <v>70</v>
      </c>
      <c r="W65" s="635">
        <f t="shared" ref="W65:W76" si="53">V65/Q65</f>
        <v>0.11666666666666667</v>
      </c>
      <c r="X65" s="635">
        <v>20000</v>
      </c>
      <c r="Y65" s="635">
        <f t="shared" si="45"/>
        <v>493.99999999999994</v>
      </c>
      <c r="Z65" s="635">
        <f t="shared" si="46"/>
        <v>0.82333333333333325</v>
      </c>
      <c r="AA65" s="635">
        <f t="shared" si="42"/>
        <v>156</v>
      </c>
      <c r="AB65" s="635">
        <f t="shared" si="43"/>
        <v>-0.28205128205128194</v>
      </c>
      <c r="AC65" s="635">
        <f t="shared" si="28"/>
        <v>23203</v>
      </c>
      <c r="AD65" s="635">
        <f t="shared" si="29"/>
        <v>100501</v>
      </c>
      <c r="AE65" s="635">
        <f t="shared" si="47"/>
        <v>102</v>
      </c>
      <c r="AF65" s="635" t="str">
        <f t="shared" si="30"/>
        <v>chest_tankpart</v>
      </c>
      <c r="AG65" s="635" t="str">
        <f t="shared" si="31"/>
        <v>resource_icon_quicken</v>
      </c>
      <c r="AH65" s="635" t="str">
        <f t="shared" si="48"/>
        <v>resource_icon_fund</v>
      </c>
      <c r="AI65" s="635" t="str">
        <f t="shared" si="18"/>
        <v>[23203,100501,102]</v>
      </c>
      <c r="AJ65" s="635" t="str">
        <f t="shared" si="19"/>
        <v>[1,1,20000]</v>
      </c>
      <c r="AK65" s="635" t="str">
        <f t="shared" si="20"/>
        <v>[chest_tankpart,resource_icon_quicken,resource_icon_fund]</v>
      </c>
      <c r="AL65" s="635" t="str">
        <f t="shared" si="21"/>
        <v>3+2+部件礼包</v>
      </c>
    </row>
    <row r="66" spans="2:38" x14ac:dyDescent="0.35">
      <c r="B66" s="636" t="s">
        <v>2987</v>
      </c>
      <c r="C66" s="635">
        <f t="shared" ref="C66:C81" si="54">L4</f>
        <v>72</v>
      </c>
      <c r="G66" s="635">
        <v>3</v>
      </c>
      <c r="H66" s="635" t="s">
        <v>3003</v>
      </c>
      <c r="I66" s="635" t="s">
        <v>2671</v>
      </c>
      <c r="J66" s="635" t="s">
        <v>932</v>
      </c>
      <c r="K66" s="635">
        <f t="shared" si="41"/>
        <v>465</v>
      </c>
      <c r="L66" s="635">
        <f t="shared" si="27"/>
        <v>0.75</v>
      </c>
      <c r="M66" s="635">
        <f t="shared" si="44"/>
        <v>1</v>
      </c>
      <c r="N66" s="635">
        <v>2</v>
      </c>
      <c r="O66" s="635">
        <f>N66*基础经济系数!$C$2</f>
        <v>200</v>
      </c>
      <c r="P66" s="635">
        <v>3</v>
      </c>
      <c r="Q66" s="635">
        <f t="shared" si="49"/>
        <v>600</v>
      </c>
      <c r="R66" s="635">
        <v>1</v>
      </c>
      <c r="S66" s="635">
        <f t="shared" si="50"/>
        <v>465</v>
      </c>
      <c r="T66" s="635">
        <f t="shared" si="51"/>
        <v>0.77500000000000002</v>
      </c>
      <c r="U66" s="635">
        <v>400</v>
      </c>
      <c r="V66" s="635">
        <f t="shared" si="52"/>
        <v>300</v>
      </c>
      <c r="W66" s="635">
        <f t="shared" si="53"/>
        <v>0.5</v>
      </c>
      <c r="X66" s="635">
        <v>35</v>
      </c>
      <c r="Y66" s="635">
        <f t="shared" si="45"/>
        <v>-165</v>
      </c>
      <c r="Z66" s="635">
        <f t="shared" si="46"/>
        <v>-0.27500000000000002</v>
      </c>
      <c r="AA66" s="635">
        <f t="shared" si="42"/>
        <v>800</v>
      </c>
      <c r="AB66" s="635">
        <f t="shared" si="43"/>
        <v>0.75</v>
      </c>
      <c r="AC66" s="635">
        <f t="shared" si="28"/>
        <v>24203</v>
      </c>
      <c r="AD66" s="635">
        <f t="shared" si="29"/>
        <v>111</v>
      </c>
      <c r="AE66" s="635">
        <f t="shared" si="47"/>
        <v>101</v>
      </c>
      <c r="AF66" s="635" t="str">
        <f t="shared" si="30"/>
        <v>chest_shard</v>
      </c>
      <c r="AG66" s="635" t="str">
        <f t="shared" si="31"/>
        <v>resource_icon_doublekey</v>
      </c>
      <c r="AH66" s="635" t="str">
        <f t="shared" si="48"/>
        <v>resource_icon_diamond</v>
      </c>
      <c r="AI66" s="635" t="str">
        <f t="shared" si="18"/>
        <v>[24203,111,101]</v>
      </c>
      <c r="AJ66" s="635" t="str">
        <f t="shared" si="19"/>
        <v>[1,400,35]</v>
      </c>
      <c r="AK66" s="635" t="str">
        <f t="shared" si="20"/>
        <v>[chest_shard,resource_icon_doublekey,resource_icon_diamond]</v>
      </c>
      <c r="AL66" s="635" t="str">
        <f t="shared" si="21"/>
        <v>3+2+碎片礼包</v>
      </c>
    </row>
    <row r="67" spans="2:38" x14ac:dyDescent="0.35">
      <c r="B67" s="636" t="s">
        <v>2988</v>
      </c>
      <c r="C67" s="635">
        <f t="shared" si="54"/>
        <v>36</v>
      </c>
      <c r="G67" s="635">
        <v>3</v>
      </c>
      <c r="H67" s="635" t="s">
        <v>2988</v>
      </c>
      <c r="I67" s="635" t="s">
        <v>2721</v>
      </c>
      <c r="J67" s="635" t="s">
        <v>929</v>
      </c>
      <c r="K67" s="635">
        <f t="shared" si="41"/>
        <v>36</v>
      </c>
      <c r="L67" s="635">
        <f t="shared" si="27"/>
        <v>70</v>
      </c>
      <c r="M67" s="635">
        <f t="shared" si="44"/>
        <v>2.5000000000000001E-3</v>
      </c>
      <c r="N67" s="635">
        <v>5</v>
      </c>
      <c r="O67" s="635">
        <f>N67*基础经济系数!$C$2</f>
        <v>500</v>
      </c>
      <c r="P67" s="635">
        <v>3</v>
      </c>
      <c r="Q67" s="635">
        <f t="shared" si="49"/>
        <v>1500</v>
      </c>
      <c r="R67" s="635">
        <v>2</v>
      </c>
      <c r="S67" s="635">
        <f t="shared" si="50"/>
        <v>72</v>
      </c>
      <c r="T67" s="635">
        <f t="shared" si="51"/>
        <v>4.8000000000000001E-2</v>
      </c>
      <c r="U67" s="635">
        <v>6</v>
      </c>
      <c r="V67" s="635">
        <f t="shared" si="52"/>
        <v>420</v>
      </c>
      <c r="W67" s="635">
        <f t="shared" si="53"/>
        <v>0.28000000000000003</v>
      </c>
      <c r="X67" s="635">
        <v>50000</v>
      </c>
      <c r="Y67" s="635">
        <f t="shared" si="45"/>
        <v>1007.9999999999999</v>
      </c>
      <c r="Z67" s="635">
        <f t="shared" si="46"/>
        <v>0.67199999999999993</v>
      </c>
      <c r="AA67" s="635">
        <f t="shared" si="42"/>
        <v>617</v>
      </c>
      <c r="AB67" s="635">
        <f t="shared" si="43"/>
        <v>0.18962722852512159</v>
      </c>
      <c r="AC67" s="635">
        <f t="shared" si="28"/>
        <v>23203</v>
      </c>
      <c r="AD67" s="635">
        <f t="shared" si="29"/>
        <v>100501</v>
      </c>
      <c r="AE67" s="635">
        <f t="shared" si="47"/>
        <v>102</v>
      </c>
      <c r="AF67" s="635" t="str">
        <f t="shared" si="30"/>
        <v>chest_tankpart</v>
      </c>
      <c r="AG67" s="635" t="str">
        <f t="shared" si="31"/>
        <v>resource_icon_quicken</v>
      </c>
      <c r="AH67" s="635" t="str">
        <f t="shared" si="48"/>
        <v>resource_icon_fund</v>
      </c>
      <c r="AI67" s="635" t="str">
        <f t="shared" si="18"/>
        <v>[23203,100501,102]</v>
      </c>
      <c r="AJ67" s="635" t="str">
        <f t="shared" si="19"/>
        <v>[2,6,50000]</v>
      </c>
      <c r="AK67" s="635" t="str">
        <f t="shared" si="20"/>
        <v>[chest_tankpart,resource_icon_quicken,resource_icon_fund]</v>
      </c>
      <c r="AL67" s="635" t="str">
        <f t="shared" si="21"/>
        <v>3+5+部件礼包</v>
      </c>
    </row>
    <row r="68" spans="2:38" x14ac:dyDescent="0.35">
      <c r="B68" s="636" t="s">
        <v>2989</v>
      </c>
      <c r="C68" s="635" t="e">
        <f t="shared" si="54"/>
        <v>#N/A</v>
      </c>
      <c r="G68" s="635">
        <v>3</v>
      </c>
      <c r="H68" s="635" t="s">
        <v>3003</v>
      </c>
      <c r="I68" s="635" t="s">
        <v>2671</v>
      </c>
      <c r="J68" s="635" t="s">
        <v>932</v>
      </c>
      <c r="K68" s="635">
        <f t="shared" si="41"/>
        <v>465</v>
      </c>
      <c r="L68" s="635">
        <f t="shared" si="27"/>
        <v>0.75</v>
      </c>
      <c r="M68" s="635">
        <f t="shared" si="44"/>
        <v>1</v>
      </c>
      <c r="N68" s="635">
        <v>5</v>
      </c>
      <c r="O68" s="635">
        <f>N68*基础经济系数!$C$2</f>
        <v>500</v>
      </c>
      <c r="P68" s="635">
        <v>3</v>
      </c>
      <c r="Q68" s="635">
        <f t="shared" si="49"/>
        <v>1500</v>
      </c>
      <c r="R68" s="635">
        <v>3</v>
      </c>
      <c r="S68" s="635">
        <f t="shared" si="50"/>
        <v>1395</v>
      </c>
      <c r="T68" s="635">
        <f t="shared" si="51"/>
        <v>0.93</v>
      </c>
      <c r="U68" s="635">
        <v>800</v>
      </c>
      <c r="V68" s="635">
        <f t="shared" si="52"/>
        <v>600</v>
      </c>
      <c r="W68" s="635">
        <f t="shared" si="53"/>
        <v>0.4</v>
      </c>
      <c r="X68" s="635">
        <v>90</v>
      </c>
      <c r="Y68" s="635">
        <f t="shared" si="45"/>
        <v>-495.00000000000011</v>
      </c>
      <c r="Z68" s="635">
        <f t="shared" si="46"/>
        <v>-0.33000000000000007</v>
      </c>
      <c r="AA68" s="635">
        <f t="shared" si="42"/>
        <v>2085</v>
      </c>
      <c r="AB68" s="635">
        <f t="shared" si="43"/>
        <v>0.76019184652278171</v>
      </c>
      <c r="AC68" s="635">
        <f t="shared" si="28"/>
        <v>24203</v>
      </c>
      <c r="AD68" s="635">
        <f t="shared" si="29"/>
        <v>111</v>
      </c>
      <c r="AE68" s="635">
        <f t="shared" si="47"/>
        <v>101</v>
      </c>
      <c r="AF68" s="635" t="str">
        <f t="shared" si="30"/>
        <v>chest_shard</v>
      </c>
      <c r="AG68" s="635" t="str">
        <f t="shared" si="31"/>
        <v>resource_icon_doublekey</v>
      </c>
      <c r="AH68" s="635" t="str">
        <f t="shared" si="48"/>
        <v>resource_icon_diamond</v>
      </c>
      <c r="AI68" s="635" t="str">
        <f t="shared" si="18"/>
        <v>[24203,111,101]</v>
      </c>
      <c r="AJ68" s="635" t="str">
        <f t="shared" si="19"/>
        <v>[3,800,90]</v>
      </c>
      <c r="AK68" s="635" t="str">
        <f t="shared" si="20"/>
        <v>[chest_shard,resource_icon_doublekey,resource_icon_diamond]</v>
      </c>
      <c r="AL68" s="635" t="str">
        <f t="shared" si="21"/>
        <v>3+5+碎片礼包</v>
      </c>
    </row>
    <row r="69" spans="2:38" x14ac:dyDescent="0.35">
      <c r="B69" s="636" t="s">
        <v>2990</v>
      </c>
      <c r="C69" s="635" t="e">
        <f t="shared" si="54"/>
        <v>#N/A</v>
      </c>
      <c r="G69" s="635">
        <v>3</v>
      </c>
      <c r="H69" s="635" t="s">
        <v>2988</v>
      </c>
      <c r="I69" s="635" t="s">
        <v>2721</v>
      </c>
      <c r="J69" s="635" t="s">
        <v>929</v>
      </c>
      <c r="K69" s="635">
        <f t="shared" si="41"/>
        <v>36</v>
      </c>
      <c r="L69" s="635">
        <f t="shared" si="27"/>
        <v>70</v>
      </c>
      <c r="M69" s="635">
        <f t="shared" si="44"/>
        <v>2.5000000000000001E-3</v>
      </c>
      <c r="N69" s="635">
        <v>10</v>
      </c>
      <c r="O69" s="635">
        <f>N69*基础经济系数!$C$2</f>
        <v>1000</v>
      </c>
      <c r="P69" s="635">
        <v>3</v>
      </c>
      <c r="Q69" s="635">
        <f t="shared" si="49"/>
        <v>3000</v>
      </c>
      <c r="R69" s="635">
        <v>5</v>
      </c>
      <c r="S69" s="635">
        <f t="shared" si="50"/>
        <v>180</v>
      </c>
      <c r="T69" s="635">
        <f t="shared" si="51"/>
        <v>0.06</v>
      </c>
      <c r="U69" s="635">
        <v>6</v>
      </c>
      <c r="V69" s="635">
        <f t="shared" si="52"/>
        <v>420</v>
      </c>
      <c r="W69" s="635">
        <f t="shared" si="53"/>
        <v>0.14000000000000001</v>
      </c>
      <c r="X69" s="635">
        <v>75000</v>
      </c>
      <c r="Y69" s="635">
        <f t="shared" si="45"/>
        <v>2400</v>
      </c>
      <c r="Z69" s="635">
        <f t="shared" si="46"/>
        <v>0.79999999999999993</v>
      </c>
      <c r="AA69" s="635">
        <f t="shared" si="42"/>
        <v>787.5</v>
      </c>
      <c r="AB69" s="635">
        <f t="shared" si="43"/>
        <v>-0.26984126984126977</v>
      </c>
      <c r="AC69" s="635">
        <f t="shared" si="28"/>
        <v>23203</v>
      </c>
      <c r="AD69" s="635">
        <f t="shared" si="29"/>
        <v>100501</v>
      </c>
      <c r="AE69" s="635">
        <f t="shared" si="47"/>
        <v>102</v>
      </c>
      <c r="AF69" s="635" t="str">
        <f t="shared" si="30"/>
        <v>chest_tankpart</v>
      </c>
      <c r="AG69" s="635" t="str">
        <f t="shared" si="31"/>
        <v>resource_icon_quicken</v>
      </c>
      <c r="AH69" s="635" t="str">
        <f t="shared" si="48"/>
        <v>resource_icon_fund</v>
      </c>
      <c r="AI69" s="635" t="str">
        <f t="shared" si="18"/>
        <v>[23203,100501,102]</v>
      </c>
      <c r="AJ69" s="635" t="str">
        <f t="shared" si="19"/>
        <v>[5,6,75000]</v>
      </c>
      <c r="AK69" s="635" t="str">
        <f t="shared" si="20"/>
        <v>[chest_tankpart,resource_icon_quicken,resource_icon_fund]</v>
      </c>
      <c r="AL69" s="635" t="str">
        <f t="shared" si="21"/>
        <v>3+10+部件礼包</v>
      </c>
    </row>
    <row r="70" spans="2:38" x14ac:dyDescent="0.35">
      <c r="B70" s="636" t="s">
        <v>2991</v>
      </c>
      <c r="C70" s="635" t="e">
        <f t="shared" si="54"/>
        <v>#N/A</v>
      </c>
      <c r="G70" s="635">
        <v>3</v>
      </c>
      <c r="H70" s="635" t="s">
        <v>3003</v>
      </c>
      <c r="I70" s="635" t="s">
        <v>2671</v>
      </c>
      <c r="J70" s="635" t="s">
        <v>932</v>
      </c>
      <c r="K70" s="635">
        <f t="shared" si="41"/>
        <v>465</v>
      </c>
      <c r="L70" s="635">
        <f t="shared" si="27"/>
        <v>0.75</v>
      </c>
      <c r="M70" s="635">
        <f t="shared" si="44"/>
        <v>1</v>
      </c>
      <c r="N70" s="635">
        <v>10</v>
      </c>
      <c r="O70" s="635">
        <f>N70*基础经济系数!$C$2</f>
        <v>1000</v>
      </c>
      <c r="P70" s="635">
        <v>3</v>
      </c>
      <c r="Q70" s="635">
        <f t="shared" si="49"/>
        <v>3000</v>
      </c>
      <c r="R70" s="635">
        <v>7</v>
      </c>
      <c r="S70" s="635">
        <f t="shared" si="50"/>
        <v>3255</v>
      </c>
      <c r="T70" s="635">
        <f t="shared" si="51"/>
        <v>1.085</v>
      </c>
      <c r="U70" s="635">
        <v>1200</v>
      </c>
      <c r="V70" s="635">
        <f t="shared" si="52"/>
        <v>900</v>
      </c>
      <c r="W70" s="635">
        <f t="shared" si="53"/>
        <v>0.3</v>
      </c>
      <c r="X70" s="635">
        <v>210</v>
      </c>
      <c r="Y70" s="635">
        <f t="shared" si="45"/>
        <v>-1154.9999999999998</v>
      </c>
      <c r="Z70" s="635">
        <f t="shared" si="46"/>
        <v>-0.38499999999999995</v>
      </c>
      <c r="AA70" s="635">
        <f t="shared" si="42"/>
        <v>4365</v>
      </c>
      <c r="AB70" s="635">
        <f t="shared" si="43"/>
        <v>0.77090492554410084</v>
      </c>
      <c r="AC70" s="635">
        <f t="shared" si="28"/>
        <v>24203</v>
      </c>
      <c r="AD70" s="635">
        <f t="shared" si="29"/>
        <v>111</v>
      </c>
      <c r="AE70" s="635">
        <f t="shared" si="47"/>
        <v>101</v>
      </c>
      <c r="AF70" s="635" t="str">
        <f t="shared" si="30"/>
        <v>chest_shard</v>
      </c>
      <c r="AG70" s="635" t="str">
        <f t="shared" si="31"/>
        <v>resource_icon_doublekey</v>
      </c>
      <c r="AH70" s="635" t="str">
        <f t="shared" si="48"/>
        <v>resource_icon_diamond</v>
      </c>
      <c r="AI70" s="635" t="str">
        <f t="shared" si="18"/>
        <v>[24203,111,101]</v>
      </c>
      <c r="AJ70" s="635" t="str">
        <f t="shared" si="19"/>
        <v>[7,1200,210]</v>
      </c>
      <c r="AK70" s="635" t="str">
        <f t="shared" si="20"/>
        <v>[chest_shard,resource_icon_doublekey,resource_icon_diamond]</v>
      </c>
      <c r="AL70" s="635" t="str">
        <f t="shared" si="21"/>
        <v>3+10+碎片礼包</v>
      </c>
    </row>
    <row r="71" spans="2:38" x14ac:dyDescent="0.35">
      <c r="B71" s="636" t="s">
        <v>2992</v>
      </c>
      <c r="C71" s="635" t="e">
        <f t="shared" si="54"/>
        <v>#N/A</v>
      </c>
      <c r="G71" s="635">
        <v>3</v>
      </c>
      <c r="H71" s="636" t="s">
        <v>3056</v>
      </c>
      <c r="I71" s="635" t="s">
        <v>2721</v>
      </c>
      <c r="J71" s="635" t="s">
        <v>929</v>
      </c>
      <c r="K71" s="635">
        <f t="shared" si="41"/>
        <v>72</v>
      </c>
      <c r="L71" s="635">
        <f t="shared" si="27"/>
        <v>70</v>
      </c>
      <c r="M71" s="635">
        <f t="shared" si="44"/>
        <v>2.5000000000000001E-3</v>
      </c>
      <c r="N71" s="635">
        <v>2</v>
      </c>
      <c r="O71" s="635">
        <f>N71*基础经济系数!$C$2</f>
        <v>200</v>
      </c>
      <c r="P71" s="635">
        <v>2</v>
      </c>
      <c r="Q71" s="635">
        <f t="shared" si="49"/>
        <v>400</v>
      </c>
      <c r="R71" s="635">
        <v>1</v>
      </c>
      <c r="S71" s="635">
        <f t="shared" si="50"/>
        <v>72</v>
      </c>
      <c r="T71" s="635">
        <f t="shared" si="51"/>
        <v>0.18</v>
      </c>
      <c r="U71" s="635">
        <v>2</v>
      </c>
      <c r="V71" s="635">
        <f t="shared" si="52"/>
        <v>140</v>
      </c>
      <c r="W71" s="635">
        <f t="shared" si="53"/>
        <v>0.35</v>
      </c>
      <c r="X71" s="635">
        <v>7860</v>
      </c>
      <c r="Y71" s="635">
        <f t="shared" si="45"/>
        <v>188.00000000000003</v>
      </c>
      <c r="Z71" s="635">
        <f t="shared" si="46"/>
        <v>0.47000000000000008</v>
      </c>
      <c r="AA71" s="635">
        <f t="shared" si="42"/>
        <v>231.65</v>
      </c>
      <c r="AB71" s="635">
        <f t="shared" si="43"/>
        <v>0.13662853442693723</v>
      </c>
      <c r="AC71" s="635">
        <f t="shared" si="28"/>
        <v>23202</v>
      </c>
      <c r="AD71" s="635">
        <f t="shared" si="29"/>
        <v>100501</v>
      </c>
      <c r="AE71" s="635">
        <f t="shared" si="47"/>
        <v>102</v>
      </c>
      <c r="AF71" s="635" t="str">
        <f t="shared" si="30"/>
        <v>chest_tankpart</v>
      </c>
      <c r="AG71" s="635" t="str">
        <f t="shared" si="31"/>
        <v>resource_icon_quicken</v>
      </c>
      <c r="AH71" s="635" t="str">
        <f t="shared" si="48"/>
        <v>resource_icon_fund</v>
      </c>
      <c r="AI71" s="635" t="str">
        <f t="shared" si="18"/>
        <v>[23202,100501,102]</v>
      </c>
      <c r="AJ71" s="635" t="str">
        <f t="shared" si="19"/>
        <v>[1,2,7860]</v>
      </c>
      <c r="AK71" s="635" t="str">
        <f t="shared" si="20"/>
        <v>[chest_tankpart,resource_icon_quicken,resource_icon_fund]</v>
      </c>
      <c r="AL71" s="635" t="str">
        <f t="shared" si="21"/>
        <v>3+2+部件礼包</v>
      </c>
    </row>
    <row r="72" spans="2:38" x14ac:dyDescent="0.35">
      <c r="B72" s="636" t="s">
        <v>2993</v>
      </c>
      <c r="C72" s="635" t="e">
        <f t="shared" si="54"/>
        <v>#N/A</v>
      </c>
      <c r="G72" s="635">
        <v>3</v>
      </c>
      <c r="H72" s="635" t="s">
        <v>3003</v>
      </c>
      <c r="I72" s="635" t="s">
        <v>2671</v>
      </c>
      <c r="J72" s="635" t="s">
        <v>932</v>
      </c>
      <c r="K72" s="635">
        <f t="shared" si="41"/>
        <v>465</v>
      </c>
      <c r="L72" s="635">
        <f t="shared" si="27"/>
        <v>0.75</v>
      </c>
      <c r="M72" s="635">
        <f t="shared" si="44"/>
        <v>1</v>
      </c>
      <c r="N72" s="635">
        <v>2</v>
      </c>
      <c r="O72" s="635">
        <f>N72*基础经济系数!$C$2</f>
        <v>200</v>
      </c>
      <c r="P72" s="635">
        <v>2</v>
      </c>
      <c r="Q72" s="635">
        <f t="shared" si="49"/>
        <v>400</v>
      </c>
      <c r="R72" s="635">
        <v>1</v>
      </c>
      <c r="S72" s="635">
        <f t="shared" si="50"/>
        <v>465</v>
      </c>
      <c r="T72" s="635">
        <f t="shared" si="51"/>
        <v>1.1625000000000001</v>
      </c>
      <c r="U72" s="635">
        <v>150</v>
      </c>
      <c r="V72" s="635">
        <f t="shared" si="52"/>
        <v>112.5</v>
      </c>
      <c r="W72" s="635">
        <f t="shared" si="53"/>
        <v>0.28125</v>
      </c>
      <c r="X72" s="635">
        <v>20</v>
      </c>
      <c r="Y72" s="635">
        <f t="shared" si="45"/>
        <v>-177.50000000000003</v>
      </c>
      <c r="Z72" s="635">
        <f t="shared" si="46"/>
        <v>-0.44375000000000009</v>
      </c>
      <c r="AA72" s="635">
        <f t="shared" si="42"/>
        <v>597.5</v>
      </c>
      <c r="AB72" s="635">
        <f t="shared" si="43"/>
        <v>0.66527196652719667</v>
      </c>
      <c r="AC72" s="635">
        <f t="shared" si="28"/>
        <v>24203</v>
      </c>
      <c r="AD72" s="635">
        <f t="shared" si="29"/>
        <v>111</v>
      </c>
      <c r="AE72" s="635">
        <f t="shared" si="47"/>
        <v>101</v>
      </c>
      <c r="AF72" s="635" t="str">
        <f t="shared" si="30"/>
        <v>chest_shard</v>
      </c>
      <c r="AG72" s="635" t="str">
        <f t="shared" si="31"/>
        <v>resource_icon_doublekey</v>
      </c>
      <c r="AH72" s="635" t="str">
        <f t="shared" si="48"/>
        <v>resource_icon_diamond</v>
      </c>
      <c r="AI72" s="635" t="str">
        <f t="shared" si="18"/>
        <v>[24203,111,101]</v>
      </c>
      <c r="AJ72" s="635" t="str">
        <f t="shared" si="19"/>
        <v>[1,150,20]</v>
      </c>
      <c r="AK72" s="635" t="str">
        <f t="shared" si="20"/>
        <v>[chest_shard,resource_icon_doublekey,resource_icon_diamond]</v>
      </c>
      <c r="AL72" s="635" t="str">
        <f t="shared" si="21"/>
        <v>3+2+碎片礼包</v>
      </c>
    </row>
    <row r="73" spans="2:38" x14ac:dyDescent="0.35">
      <c r="B73" s="636" t="s">
        <v>2996</v>
      </c>
      <c r="C73" s="635" t="e">
        <f t="shared" si="54"/>
        <v>#N/A</v>
      </c>
      <c r="G73" s="635">
        <v>3</v>
      </c>
      <c r="H73" s="635" t="s">
        <v>2988</v>
      </c>
      <c r="I73" s="635" t="s">
        <v>2721</v>
      </c>
      <c r="J73" s="635" t="s">
        <v>929</v>
      </c>
      <c r="K73" s="635">
        <f t="shared" si="41"/>
        <v>36</v>
      </c>
      <c r="L73" s="635">
        <f t="shared" ref="L73:L104" si="55">VLOOKUP(I73,$B$40:$C$81,2,FALSE)</f>
        <v>70</v>
      </c>
      <c r="M73" s="635">
        <f t="shared" si="44"/>
        <v>2.5000000000000001E-3</v>
      </c>
      <c r="N73" s="635">
        <v>5</v>
      </c>
      <c r="O73" s="635">
        <f>N73*基础经济系数!$C$2</f>
        <v>500</v>
      </c>
      <c r="P73" s="635">
        <v>2</v>
      </c>
      <c r="Q73" s="635">
        <f t="shared" si="49"/>
        <v>1000</v>
      </c>
      <c r="R73" s="635">
        <v>1</v>
      </c>
      <c r="S73" s="635">
        <f t="shared" si="50"/>
        <v>36</v>
      </c>
      <c r="T73" s="635">
        <f t="shared" si="51"/>
        <v>3.5999999999999997E-2</v>
      </c>
      <c r="U73" s="635">
        <v>7</v>
      </c>
      <c r="V73" s="635">
        <f t="shared" si="52"/>
        <v>490</v>
      </c>
      <c r="W73" s="635">
        <f t="shared" si="53"/>
        <v>0.49</v>
      </c>
      <c r="X73" s="635">
        <v>15000</v>
      </c>
      <c r="Y73" s="635">
        <f t="shared" si="45"/>
        <v>474</v>
      </c>
      <c r="Z73" s="635">
        <f t="shared" si="46"/>
        <v>0.47399999999999998</v>
      </c>
      <c r="AA73" s="635">
        <f t="shared" si="42"/>
        <v>563.5</v>
      </c>
      <c r="AB73" s="635">
        <f t="shared" si="43"/>
        <v>0.11268855368234254</v>
      </c>
      <c r="AC73" s="635">
        <f t="shared" ref="AC73:AC104" si="56">VLOOKUP(H73,道具ID,2,FALSE)</f>
        <v>23203</v>
      </c>
      <c r="AD73" s="635">
        <f t="shared" ref="AD73:AD104" si="57">VLOOKUP(I73,道具ID,2,FALSE)</f>
        <v>100501</v>
      </c>
      <c r="AE73" s="635">
        <f t="shared" si="47"/>
        <v>102</v>
      </c>
      <c r="AF73" s="635" t="str">
        <f t="shared" ref="AF73:AF104" si="58">VLOOKUP(H73,道具ID,3,FALSE)</f>
        <v>chest_tankpart</v>
      </c>
      <c r="AG73" s="635" t="str">
        <f t="shared" ref="AG73:AG104" si="59">VLOOKUP(I73,道具ID,3,FALSE)</f>
        <v>resource_icon_quicken</v>
      </c>
      <c r="AH73" s="635" t="str">
        <f t="shared" si="48"/>
        <v>resource_icon_fund</v>
      </c>
      <c r="AI73" s="635" t="str">
        <f t="shared" si="18"/>
        <v>[23203,100501,102]</v>
      </c>
      <c r="AJ73" s="635" t="str">
        <f t="shared" si="19"/>
        <v>[1,7,15000]</v>
      </c>
      <c r="AK73" s="635" t="str">
        <f t="shared" si="20"/>
        <v>[chest_tankpart,resource_icon_quicken,resource_icon_fund]</v>
      </c>
      <c r="AL73" s="635" t="str">
        <f t="shared" si="21"/>
        <v>3+5+部件礼包</v>
      </c>
    </row>
    <row r="74" spans="2:38" x14ac:dyDescent="0.35">
      <c r="B74" s="636" t="s">
        <v>3029</v>
      </c>
      <c r="C74" s="635">
        <f t="shared" si="54"/>
        <v>210</v>
      </c>
      <c r="G74" s="635">
        <v>3</v>
      </c>
      <c r="H74" s="635" t="s">
        <v>3003</v>
      </c>
      <c r="I74" s="635" t="s">
        <v>2671</v>
      </c>
      <c r="J74" s="635" t="s">
        <v>932</v>
      </c>
      <c r="K74" s="635">
        <f t="shared" si="41"/>
        <v>465</v>
      </c>
      <c r="L74" s="635">
        <f t="shared" si="55"/>
        <v>0.75</v>
      </c>
      <c r="M74" s="635">
        <f t="shared" si="44"/>
        <v>1</v>
      </c>
      <c r="N74" s="635">
        <v>5</v>
      </c>
      <c r="O74" s="635">
        <f>N74*基础经济系数!$C$2</f>
        <v>500</v>
      </c>
      <c r="P74" s="635">
        <v>2</v>
      </c>
      <c r="Q74" s="635">
        <f t="shared" si="49"/>
        <v>1000</v>
      </c>
      <c r="R74" s="635">
        <v>3</v>
      </c>
      <c r="S74" s="635">
        <f t="shared" si="50"/>
        <v>1395</v>
      </c>
      <c r="T74" s="635">
        <f t="shared" si="51"/>
        <v>1.395</v>
      </c>
      <c r="U74" s="635">
        <v>200</v>
      </c>
      <c r="V74" s="635">
        <f t="shared" si="52"/>
        <v>150</v>
      </c>
      <c r="W74" s="635">
        <f t="shared" si="53"/>
        <v>0.15</v>
      </c>
      <c r="X74" s="635">
        <v>40</v>
      </c>
      <c r="Y74" s="635">
        <f t="shared" si="45"/>
        <v>-545</v>
      </c>
      <c r="Z74" s="635">
        <f t="shared" si="46"/>
        <v>-0.54500000000000004</v>
      </c>
      <c r="AA74" s="635">
        <f t="shared" si="42"/>
        <v>1585</v>
      </c>
      <c r="AB74" s="635">
        <f t="shared" si="43"/>
        <v>0.68454258675078861</v>
      </c>
      <c r="AC74" s="635">
        <f t="shared" si="56"/>
        <v>24203</v>
      </c>
      <c r="AD74" s="635">
        <f t="shared" si="57"/>
        <v>111</v>
      </c>
      <c r="AE74" s="635">
        <f t="shared" si="47"/>
        <v>101</v>
      </c>
      <c r="AF74" s="635" t="str">
        <f t="shared" si="58"/>
        <v>chest_shard</v>
      </c>
      <c r="AG74" s="635" t="str">
        <f t="shared" si="59"/>
        <v>resource_icon_doublekey</v>
      </c>
      <c r="AH74" s="635" t="str">
        <f t="shared" si="48"/>
        <v>resource_icon_diamond</v>
      </c>
      <c r="AI74" s="635" t="str">
        <f t="shared" si="18"/>
        <v>[24203,111,101]</v>
      </c>
      <c r="AJ74" s="635" t="str">
        <f t="shared" si="19"/>
        <v>[3,200,40]</v>
      </c>
      <c r="AK74" s="635" t="str">
        <f t="shared" si="20"/>
        <v>[chest_shard,resource_icon_doublekey,resource_icon_diamond]</v>
      </c>
      <c r="AL74" s="635" t="str">
        <f t="shared" si="21"/>
        <v>3+5+碎片礼包</v>
      </c>
    </row>
    <row r="75" spans="2:38" x14ac:dyDescent="0.35">
      <c r="B75" s="636" t="s">
        <v>3002</v>
      </c>
      <c r="C75" s="635">
        <f t="shared" si="54"/>
        <v>315</v>
      </c>
      <c r="G75" s="635">
        <v>3</v>
      </c>
      <c r="H75" s="635" t="s">
        <v>2988</v>
      </c>
      <c r="I75" s="635" t="s">
        <v>2721</v>
      </c>
      <c r="J75" s="635" t="s">
        <v>929</v>
      </c>
      <c r="K75" s="635">
        <f t="shared" si="41"/>
        <v>36</v>
      </c>
      <c r="L75" s="635">
        <f t="shared" si="55"/>
        <v>70</v>
      </c>
      <c r="M75" s="635">
        <f t="shared" si="44"/>
        <v>2.5000000000000001E-3</v>
      </c>
      <c r="N75" s="635">
        <v>10</v>
      </c>
      <c r="O75" s="635">
        <f>N75*基础经济系数!$C$2</f>
        <v>1000</v>
      </c>
      <c r="P75" s="635">
        <v>2</v>
      </c>
      <c r="Q75" s="635">
        <f t="shared" si="49"/>
        <v>2000</v>
      </c>
      <c r="R75" s="635">
        <v>3</v>
      </c>
      <c r="S75" s="635">
        <f t="shared" si="50"/>
        <v>108</v>
      </c>
      <c r="T75" s="635">
        <f t="shared" si="51"/>
        <v>5.3999999999999999E-2</v>
      </c>
      <c r="U75" s="635">
        <v>7</v>
      </c>
      <c r="V75" s="635">
        <f t="shared" si="52"/>
        <v>490</v>
      </c>
      <c r="W75" s="635">
        <f t="shared" si="53"/>
        <v>0.245</v>
      </c>
      <c r="X75" s="635">
        <v>30000</v>
      </c>
      <c r="Y75" s="635">
        <f t="shared" si="45"/>
        <v>1402</v>
      </c>
      <c r="Z75" s="635">
        <f t="shared" si="46"/>
        <v>0.70099999999999996</v>
      </c>
      <c r="AA75" s="635">
        <f t="shared" si="42"/>
        <v>673</v>
      </c>
      <c r="AB75" s="635">
        <f t="shared" si="43"/>
        <v>-0.4858841010401187</v>
      </c>
      <c r="AC75" s="635">
        <f t="shared" si="56"/>
        <v>23203</v>
      </c>
      <c r="AD75" s="635">
        <f t="shared" si="57"/>
        <v>100501</v>
      </c>
      <c r="AE75" s="635">
        <f t="shared" si="47"/>
        <v>102</v>
      </c>
      <c r="AF75" s="635" t="str">
        <f t="shared" si="58"/>
        <v>chest_tankpart</v>
      </c>
      <c r="AG75" s="635" t="str">
        <f t="shared" si="59"/>
        <v>resource_icon_quicken</v>
      </c>
      <c r="AH75" s="635" t="str">
        <f t="shared" si="48"/>
        <v>resource_icon_fund</v>
      </c>
      <c r="AI75" s="635" t="str">
        <f t="shared" si="18"/>
        <v>[23203,100501,102]</v>
      </c>
      <c r="AJ75" s="635" t="str">
        <f t="shared" si="19"/>
        <v>[3,7,30000]</v>
      </c>
      <c r="AK75" s="635" t="str">
        <f t="shared" si="20"/>
        <v>[chest_tankpart,resource_icon_quicken,resource_icon_fund]</v>
      </c>
      <c r="AL75" s="635" t="str">
        <f t="shared" si="21"/>
        <v>3+10+部件礼包</v>
      </c>
    </row>
    <row r="76" spans="2:38" x14ac:dyDescent="0.35">
      <c r="B76" s="636" t="s">
        <v>3003</v>
      </c>
      <c r="C76" s="635">
        <f t="shared" si="54"/>
        <v>465</v>
      </c>
      <c r="G76" s="635">
        <v>3</v>
      </c>
      <c r="H76" s="635" t="s">
        <v>3003</v>
      </c>
      <c r="I76" s="635" t="s">
        <v>2671</v>
      </c>
      <c r="J76" s="635" t="s">
        <v>932</v>
      </c>
      <c r="K76" s="635">
        <f t="shared" si="41"/>
        <v>465</v>
      </c>
      <c r="L76" s="635">
        <f t="shared" si="55"/>
        <v>0.75</v>
      </c>
      <c r="M76" s="635">
        <f t="shared" si="44"/>
        <v>1</v>
      </c>
      <c r="N76" s="635">
        <v>10</v>
      </c>
      <c r="O76" s="635">
        <f>N76*基础经济系数!$C$2</f>
        <v>1000</v>
      </c>
      <c r="P76" s="635">
        <v>2</v>
      </c>
      <c r="Q76" s="635">
        <f t="shared" si="49"/>
        <v>2000</v>
      </c>
      <c r="R76" s="635">
        <v>6</v>
      </c>
      <c r="S76" s="635">
        <f t="shared" si="50"/>
        <v>2790</v>
      </c>
      <c r="T76" s="635">
        <f t="shared" si="51"/>
        <v>1.395</v>
      </c>
      <c r="U76" s="635">
        <v>400</v>
      </c>
      <c r="V76" s="635">
        <f t="shared" si="52"/>
        <v>300</v>
      </c>
      <c r="W76" s="635">
        <f t="shared" si="53"/>
        <v>0.15</v>
      </c>
      <c r="X76" s="635">
        <v>80</v>
      </c>
      <c r="Y76" s="635">
        <f t="shared" si="45"/>
        <v>-1090</v>
      </c>
      <c r="Z76" s="635">
        <f t="shared" si="46"/>
        <v>-0.54500000000000004</v>
      </c>
      <c r="AA76" s="635">
        <f t="shared" si="42"/>
        <v>3170</v>
      </c>
      <c r="AB76" s="635">
        <f t="shared" si="43"/>
        <v>0.68454258675078861</v>
      </c>
      <c r="AC76" s="635">
        <f t="shared" si="56"/>
        <v>24203</v>
      </c>
      <c r="AD76" s="635">
        <f t="shared" si="57"/>
        <v>111</v>
      </c>
      <c r="AE76" s="635">
        <f t="shared" si="47"/>
        <v>101</v>
      </c>
      <c r="AF76" s="635" t="str">
        <f t="shared" si="58"/>
        <v>chest_shard</v>
      </c>
      <c r="AG76" s="635" t="str">
        <f t="shared" si="59"/>
        <v>resource_icon_doublekey</v>
      </c>
      <c r="AH76" s="635" t="str">
        <f t="shared" si="48"/>
        <v>resource_icon_diamond</v>
      </c>
      <c r="AI76" s="635" t="str">
        <f t="shared" si="18"/>
        <v>[24203,111,101]</v>
      </c>
      <c r="AJ76" s="635" t="str">
        <f t="shared" si="19"/>
        <v>[6,400,80]</v>
      </c>
      <c r="AK76" s="635" t="str">
        <f t="shared" si="20"/>
        <v>[chest_shard,resource_icon_doublekey,resource_icon_diamond]</v>
      </c>
      <c r="AL76" s="635" t="str">
        <f t="shared" si="21"/>
        <v>3+10+碎片礼包</v>
      </c>
    </row>
    <row r="77" spans="2:38" x14ac:dyDescent="0.35">
      <c r="B77" s="636" t="s">
        <v>3004</v>
      </c>
      <c r="C77" s="635">
        <f t="shared" si="54"/>
        <v>390</v>
      </c>
      <c r="G77" s="635">
        <v>4</v>
      </c>
      <c r="H77" s="635" t="s">
        <v>2989</v>
      </c>
      <c r="I77" s="635" t="s">
        <v>2882</v>
      </c>
      <c r="J77" s="635" t="s">
        <v>929</v>
      </c>
      <c r="K77" s="635" t="e">
        <f t="shared" si="41"/>
        <v>#N/A</v>
      </c>
      <c r="L77" s="635">
        <f t="shared" si="55"/>
        <v>125</v>
      </c>
      <c r="M77" s="635">
        <f t="shared" si="44"/>
        <v>2.5000000000000001E-3</v>
      </c>
      <c r="N77" s="635">
        <v>5</v>
      </c>
      <c r="O77" s="635">
        <f>N77*基础经济系数!$C$2</f>
        <v>500</v>
      </c>
      <c r="P77" s="635">
        <v>4</v>
      </c>
      <c r="Q77" s="635">
        <f t="shared" si="3"/>
        <v>2000</v>
      </c>
      <c r="R77" s="635">
        <v>2</v>
      </c>
      <c r="S77" s="635" t="e">
        <f t="shared" si="14"/>
        <v>#N/A</v>
      </c>
      <c r="T77" s="635" t="e">
        <f t="shared" si="15"/>
        <v>#N/A</v>
      </c>
      <c r="U77" s="635">
        <v>4</v>
      </c>
      <c r="V77" s="635">
        <f t="shared" si="16"/>
        <v>500</v>
      </c>
      <c r="W77" s="635">
        <f t="shared" si="17"/>
        <v>0.25</v>
      </c>
      <c r="X77" s="635">
        <v>25000</v>
      </c>
      <c r="Y77" s="635" t="e">
        <f t="shared" si="45"/>
        <v>#N/A</v>
      </c>
      <c r="Z77" s="635" t="e">
        <f t="shared" si="46"/>
        <v>#N/A</v>
      </c>
      <c r="AA77" s="635" t="e">
        <f t="shared" si="42"/>
        <v>#N/A</v>
      </c>
      <c r="AB77" s="635" t="e">
        <f t="shared" si="43"/>
        <v>#N/A</v>
      </c>
      <c r="AC77" s="635">
        <f t="shared" si="56"/>
        <v>23204</v>
      </c>
      <c r="AD77" s="635">
        <f t="shared" si="57"/>
        <v>100502</v>
      </c>
      <c r="AE77" s="635">
        <f t="shared" si="47"/>
        <v>102</v>
      </c>
      <c r="AF77" s="635" t="str">
        <f t="shared" si="58"/>
        <v>chest_tankpart</v>
      </c>
      <c r="AG77" s="635" t="str">
        <f t="shared" si="59"/>
        <v>resource_icon_quicken</v>
      </c>
      <c r="AH77" s="635" t="str">
        <f t="shared" si="48"/>
        <v>resource_icon_fund</v>
      </c>
      <c r="AI77" s="635" t="str">
        <f t="shared" si="18"/>
        <v>[23204,100502,102]</v>
      </c>
      <c r="AJ77" s="635" t="str">
        <f t="shared" si="19"/>
        <v>[2,4,25000]</v>
      </c>
      <c r="AK77" s="635" t="str">
        <f t="shared" si="20"/>
        <v>[chest_tankpart,resource_icon_quicken,resource_icon_fund]</v>
      </c>
      <c r="AL77" s="635" t="str">
        <f t="shared" si="21"/>
        <v>4+5+部件礼包</v>
      </c>
    </row>
    <row r="78" spans="2:38" x14ac:dyDescent="0.35">
      <c r="B78" s="636" t="s">
        <v>3005</v>
      </c>
      <c r="C78" s="635">
        <f t="shared" si="54"/>
        <v>435</v>
      </c>
      <c r="G78" s="635">
        <v>4</v>
      </c>
      <c r="H78" s="635" t="s">
        <v>3003</v>
      </c>
      <c r="I78" s="635" t="s">
        <v>2671</v>
      </c>
      <c r="J78" s="635" t="s">
        <v>932</v>
      </c>
      <c r="K78" s="635">
        <f t="shared" si="41"/>
        <v>465</v>
      </c>
      <c r="L78" s="635">
        <f t="shared" si="55"/>
        <v>0.75</v>
      </c>
      <c r="M78" s="635">
        <f t="shared" si="44"/>
        <v>1</v>
      </c>
      <c r="N78" s="635">
        <v>5</v>
      </c>
      <c r="O78" s="635">
        <f>N78*基础经济系数!$C$2</f>
        <v>500</v>
      </c>
      <c r="P78" s="635">
        <v>4</v>
      </c>
      <c r="Q78" s="635">
        <f t="shared" si="3"/>
        <v>2000</v>
      </c>
      <c r="R78" s="635">
        <v>5</v>
      </c>
      <c r="S78" s="635">
        <f t="shared" si="14"/>
        <v>2325</v>
      </c>
      <c r="T78" s="635">
        <f t="shared" si="15"/>
        <v>1.1625000000000001</v>
      </c>
      <c r="U78" s="635">
        <v>800</v>
      </c>
      <c r="V78" s="635">
        <f t="shared" si="16"/>
        <v>600</v>
      </c>
      <c r="W78" s="635">
        <f t="shared" si="17"/>
        <v>0.3</v>
      </c>
      <c r="X78" s="635">
        <v>50</v>
      </c>
      <c r="Y78" s="635">
        <f t="shared" si="45"/>
        <v>-925.00000000000011</v>
      </c>
      <c r="Z78" s="635">
        <f t="shared" si="46"/>
        <v>-0.46250000000000008</v>
      </c>
      <c r="AA78" s="635">
        <f t="shared" si="42"/>
        <v>2975</v>
      </c>
      <c r="AB78" s="635">
        <f t="shared" si="43"/>
        <v>0.83193277310924374</v>
      </c>
      <c r="AC78" s="635">
        <f t="shared" si="56"/>
        <v>24203</v>
      </c>
      <c r="AD78" s="635">
        <f t="shared" si="57"/>
        <v>111</v>
      </c>
      <c r="AE78" s="635">
        <f t="shared" si="47"/>
        <v>101</v>
      </c>
      <c r="AF78" s="635" t="str">
        <f t="shared" si="58"/>
        <v>chest_shard</v>
      </c>
      <c r="AG78" s="635" t="str">
        <f t="shared" si="59"/>
        <v>resource_icon_doublekey</v>
      </c>
      <c r="AH78" s="635" t="str">
        <f t="shared" si="48"/>
        <v>resource_icon_diamond</v>
      </c>
      <c r="AI78" s="635" t="str">
        <f t="shared" si="18"/>
        <v>[24203,111,101]</v>
      </c>
      <c r="AJ78" s="635" t="str">
        <f t="shared" si="19"/>
        <v>[5,800,50]</v>
      </c>
      <c r="AK78" s="635" t="str">
        <f t="shared" si="20"/>
        <v>[chest_shard,resource_icon_doublekey,resource_icon_diamond]</v>
      </c>
      <c r="AL78" s="635" t="str">
        <f t="shared" si="21"/>
        <v>4+5+碎片礼包</v>
      </c>
    </row>
    <row r="79" spans="2:38" x14ac:dyDescent="0.35">
      <c r="B79" s="636" t="s">
        <v>3006</v>
      </c>
      <c r="C79" s="635">
        <f t="shared" si="54"/>
        <v>360</v>
      </c>
      <c r="G79" s="635">
        <v>4</v>
      </c>
      <c r="H79" s="635" t="s">
        <v>2989</v>
      </c>
      <c r="I79" s="635" t="s">
        <v>2882</v>
      </c>
      <c r="J79" s="635" t="s">
        <v>929</v>
      </c>
      <c r="K79" s="635" t="e">
        <f t="shared" si="41"/>
        <v>#N/A</v>
      </c>
      <c r="L79" s="635">
        <f t="shared" si="55"/>
        <v>125</v>
      </c>
      <c r="M79" s="635">
        <f t="shared" si="44"/>
        <v>2.5000000000000001E-3</v>
      </c>
      <c r="N79" s="635">
        <v>10</v>
      </c>
      <c r="O79" s="635">
        <f>N79*基础经济系数!$C$2</f>
        <v>1000</v>
      </c>
      <c r="P79" s="635">
        <v>4</v>
      </c>
      <c r="Q79" s="635">
        <f t="shared" si="3"/>
        <v>4000</v>
      </c>
      <c r="R79" s="635">
        <v>4</v>
      </c>
      <c r="S79" s="635" t="e">
        <f t="shared" si="14"/>
        <v>#N/A</v>
      </c>
      <c r="T79" s="635" t="e">
        <f t="shared" si="15"/>
        <v>#N/A</v>
      </c>
      <c r="U79" s="635">
        <v>8</v>
      </c>
      <c r="V79" s="635">
        <f t="shared" si="16"/>
        <v>1000</v>
      </c>
      <c r="W79" s="635">
        <f t="shared" si="17"/>
        <v>0.25</v>
      </c>
      <c r="X79" s="635">
        <v>50000</v>
      </c>
      <c r="Y79" s="635" t="e">
        <f t="shared" si="45"/>
        <v>#N/A</v>
      </c>
      <c r="Z79" s="635" t="e">
        <f t="shared" si="46"/>
        <v>#N/A</v>
      </c>
      <c r="AA79" s="635" t="e">
        <f t="shared" si="42"/>
        <v>#N/A</v>
      </c>
      <c r="AB79" s="635" t="e">
        <f t="shared" si="43"/>
        <v>#N/A</v>
      </c>
      <c r="AC79" s="635">
        <f t="shared" si="56"/>
        <v>23204</v>
      </c>
      <c r="AD79" s="635">
        <f t="shared" si="57"/>
        <v>100502</v>
      </c>
      <c r="AE79" s="635">
        <f t="shared" si="47"/>
        <v>102</v>
      </c>
      <c r="AF79" s="635" t="str">
        <f t="shared" si="58"/>
        <v>chest_tankpart</v>
      </c>
      <c r="AG79" s="635" t="str">
        <f t="shared" si="59"/>
        <v>resource_icon_quicken</v>
      </c>
      <c r="AH79" s="635" t="str">
        <f t="shared" si="48"/>
        <v>resource_icon_fund</v>
      </c>
      <c r="AI79" s="635" t="str">
        <f t="shared" si="18"/>
        <v>[23204,100502,102]</v>
      </c>
      <c r="AJ79" s="635" t="str">
        <f t="shared" si="19"/>
        <v>[4,8,50000]</v>
      </c>
      <c r="AK79" s="635" t="str">
        <f t="shared" si="20"/>
        <v>[chest_tankpart,resource_icon_quicken,resource_icon_fund]</v>
      </c>
      <c r="AL79" s="635" t="str">
        <f t="shared" si="21"/>
        <v>4+10+部件礼包</v>
      </c>
    </row>
    <row r="80" spans="2:38" x14ac:dyDescent="0.35">
      <c r="B80" s="636" t="s">
        <v>3007</v>
      </c>
      <c r="C80" s="635">
        <f t="shared" si="54"/>
        <v>420</v>
      </c>
      <c r="G80" s="635">
        <v>4</v>
      </c>
      <c r="H80" s="635" t="s">
        <v>3003</v>
      </c>
      <c r="I80" s="635" t="s">
        <v>2671</v>
      </c>
      <c r="J80" s="635" t="s">
        <v>932</v>
      </c>
      <c r="K80" s="635">
        <f t="shared" si="41"/>
        <v>465</v>
      </c>
      <c r="L80" s="635">
        <f t="shared" si="55"/>
        <v>0.75</v>
      </c>
      <c r="M80" s="635">
        <f t="shared" si="44"/>
        <v>1</v>
      </c>
      <c r="N80" s="635">
        <v>10</v>
      </c>
      <c r="O80" s="635">
        <f>N80*基础经济系数!$C$2</f>
        <v>1000</v>
      </c>
      <c r="P80" s="635">
        <v>4</v>
      </c>
      <c r="Q80" s="635">
        <f t="shared" si="3"/>
        <v>4000</v>
      </c>
      <c r="R80" s="635">
        <v>12</v>
      </c>
      <c r="S80" s="635">
        <f t="shared" si="14"/>
        <v>5580</v>
      </c>
      <c r="T80" s="635">
        <f t="shared" si="15"/>
        <v>1.395</v>
      </c>
      <c r="U80" s="635">
        <v>800</v>
      </c>
      <c r="V80" s="635">
        <f t="shared" si="16"/>
        <v>600</v>
      </c>
      <c r="W80" s="635">
        <f t="shared" si="17"/>
        <v>0.15</v>
      </c>
      <c r="X80" s="635">
        <v>160</v>
      </c>
      <c r="Y80" s="635">
        <f t="shared" si="45"/>
        <v>-2180</v>
      </c>
      <c r="Z80" s="635">
        <f t="shared" si="46"/>
        <v>-0.54500000000000004</v>
      </c>
      <c r="AA80" s="635">
        <f t="shared" si="42"/>
        <v>6340</v>
      </c>
      <c r="AB80" s="635">
        <f t="shared" si="43"/>
        <v>0.8422712933753943</v>
      </c>
      <c r="AC80" s="635">
        <f t="shared" si="56"/>
        <v>24203</v>
      </c>
      <c r="AD80" s="635">
        <f t="shared" si="57"/>
        <v>111</v>
      </c>
      <c r="AE80" s="635">
        <f t="shared" si="47"/>
        <v>101</v>
      </c>
      <c r="AF80" s="635" t="str">
        <f t="shared" si="58"/>
        <v>chest_shard</v>
      </c>
      <c r="AG80" s="635" t="str">
        <f t="shared" si="59"/>
        <v>resource_icon_doublekey</v>
      </c>
      <c r="AH80" s="635" t="str">
        <f t="shared" si="48"/>
        <v>resource_icon_diamond</v>
      </c>
      <c r="AI80" s="635" t="str">
        <f t="shared" si="18"/>
        <v>[24203,111,101]</v>
      </c>
      <c r="AJ80" s="635" t="str">
        <f t="shared" si="19"/>
        <v>[12,800,160]</v>
      </c>
      <c r="AK80" s="635" t="str">
        <f t="shared" si="20"/>
        <v>[chest_shard,resource_icon_doublekey,resource_icon_diamond]</v>
      </c>
      <c r="AL80" s="635" t="str">
        <f t="shared" si="21"/>
        <v>4+10+碎片礼包</v>
      </c>
    </row>
    <row r="81" spans="2:38" x14ac:dyDescent="0.35">
      <c r="B81" s="636" t="s">
        <v>3008</v>
      </c>
      <c r="C81" s="635">
        <f t="shared" si="54"/>
        <v>550</v>
      </c>
      <c r="G81" s="635">
        <v>4</v>
      </c>
      <c r="H81" s="635" t="s">
        <v>2989</v>
      </c>
      <c r="I81" s="635" t="s">
        <v>2882</v>
      </c>
      <c r="J81" s="635" t="s">
        <v>929</v>
      </c>
      <c r="K81" s="635" t="e">
        <f t="shared" si="41"/>
        <v>#N/A</v>
      </c>
      <c r="L81" s="635">
        <f t="shared" si="55"/>
        <v>125</v>
      </c>
      <c r="M81" s="635">
        <f t="shared" si="44"/>
        <v>2.5000000000000001E-3</v>
      </c>
      <c r="N81" s="635">
        <v>20</v>
      </c>
      <c r="O81" s="635">
        <f>N81*基础经济系数!$C$2</f>
        <v>2000</v>
      </c>
      <c r="P81" s="635">
        <v>4</v>
      </c>
      <c r="Q81" s="635">
        <f t="shared" si="3"/>
        <v>8000</v>
      </c>
      <c r="R81" s="635">
        <v>10</v>
      </c>
      <c r="S81" s="635" t="e">
        <f t="shared" si="14"/>
        <v>#N/A</v>
      </c>
      <c r="T81" s="635" t="e">
        <f t="shared" si="15"/>
        <v>#N/A</v>
      </c>
      <c r="U81" s="635">
        <v>4</v>
      </c>
      <c r="V81" s="635">
        <f t="shared" si="16"/>
        <v>500</v>
      </c>
      <c r="W81" s="635">
        <f t="shared" si="17"/>
        <v>6.25E-2</v>
      </c>
      <c r="X81" s="635">
        <v>120000</v>
      </c>
      <c r="Y81" s="635" t="e">
        <f t="shared" si="45"/>
        <v>#N/A</v>
      </c>
      <c r="Z81" s="635" t="e">
        <f t="shared" si="46"/>
        <v>#N/A</v>
      </c>
      <c r="AA81" s="635" t="e">
        <f t="shared" si="42"/>
        <v>#N/A</v>
      </c>
      <c r="AB81" s="635" t="e">
        <f t="shared" si="43"/>
        <v>#N/A</v>
      </c>
      <c r="AC81" s="635">
        <f t="shared" si="56"/>
        <v>23204</v>
      </c>
      <c r="AD81" s="635">
        <f t="shared" si="57"/>
        <v>100502</v>
      </c>
      <c r="AE81" s="635">
        <f t="shared" si="47"/>
        <v>102</v>
      </c>
      <c r="AF81" s="635" t="str">
        <f t="shared" si="58"/>
        <v>chest_tankpart</v>
      </c>
      <c r="AG81" s="635" t="str">
        <f t="shared" si="59"/>
        <v>resource_icon_quicken</v>
      </c>
      <c r="AH81" s="635" t="str">
        <f t="shared" si="48"/>
        <v>resource_icon_fund</v>
      </c>
      <c r="AI81" s="635" t="str">
        <f t="shared" si="18"/>
        <v>[23204,100502,102]</v>
      </c>
      <c r="AJ81" s="635" t="str">
        <f t="shared" si="19"/>
        <v>[10,4,120000]</v>
      </c>
      <c r="AK81" s="635" t="str">
        <f t="shared" si="20"/>
        <v>[chest_tankpart,resource_icon_quicken,resource_icon_fund]</v>
      </c>
      <c r="AL81" s="635" t="str">
        <f t="shared" si="21"/>
        <v>4+20+部件礼包</v>
      </c>
    </row>
    <row r="82" spans="2:38" x14ac:dyDescent="0.35">
      <c r="G82" s="635">
        <v>4</v>
      </c>
      <c r="H82" s="635" t="s">
        <v>3003</v>
      </c>
      <c r="I82" s="635" t="s">
        <v>2671</v>
      </c>
      <c r="J82" s="635" t="s">
        <v>932</v>
      </c>
      <c r="K82" s="635">
        <f t="shared" si="41"/>
        <v>465</v>
      </c>
      <c r="L82" s="635">
        <f t="shared" si="55"/>
        <v>0.75</v>
      </c>
      <c r="M82" s="635">
        <f t="shared" si="44"/>
        <v>1</v>
      </c>
      <c r="N82" s="635">
        <v>20</v>
      </c>
      <c r="O82" s="635">
        <f>N82*基础经济系数!$C$2</f>
        <v>2000</v>
      </c>
      <c r="P82" s="635">
        <v>4</v>
      </c>
      <c r="Q82" s="635">
        <f t="shared" si="3"/>
        <v>8000</v>
      </c>
      <c r="R82" s="635">
        <v>25</v>
      </c>
      <c r="S82" s="635">
        <f t="shared" si="14"/>
        <v>11625</v>
      </c>
      <c r="T82" s="635">
        <f t="shared" si="15"/>
        <v>1.453125</v>
      </c>
      <c r="U82" s="635">
        <v>1000</v>
      </c>
      <c r="V82" s="635">
        <f t="shared" si="16"/>
        <v>750</v>
      </c>
      <c r="W82" s="635">
        <f t="shared" si="17"/>
        <v>9.375E-2</v>
      </c>
      <c r="X82" s="635">
        <v>500</v>
      </c>
      <c r="Y82" s="635">
        <f t="shared" si="45"/>
        <v>-4375</v>
      </c>
      <c r="Z82" s="635">
        <f t="shared" si="46"/>
        <v>-0.546875</v>
      </c>
      <c r="AA82" s="635">
        <f t="shared" si="42"/>
        <v>12875</v>
      </c>
      <c r="AB82" s="635">
        <f t="shared" si="43"/>
        <v>0.84466019417475735</v>
      </c>
      <c r="AC82" s="635">
        <f t="shared" si="56"/>
        <v>24203</v>
      </c>
      <c r="AD82" s="635">
        <f t="shared" si="57"/>
        <v>111</v>
      </c>
      <c r="AE82" s="635">
        <f t="shared" si="47"/>
        <v>101</v>
      </c>
      <c r="AF82" s="635" t="str">
        <f t="shared" si="58"/>
        <v>chest_shard</v>
      </c>
      <c r="AG82" s="635" t="str">
        <f t="shared" si="59"/>
        <v>resource_icon_doublekey</v>
      </c>
      <c r="AH82" s="635" t="str">
        <f t="shared" si="48"/>
        <v>resource_icon_diamond</v>
      </c>
      <c r="AI82" s="635" t="str">
        <f t="shared" si="18"/>
        <v>[24203,111,101]</v>
      </c>
      <c r="AJ82" s="635" t="str">
        <f t="shared" si="19"/>
        <v>[25,1000,500]</v>
      </c>
      <c r="AK82" s="635" t="str">
        <f t="shared" si="20"/>
        <v>[chest_shard,resource_icon_doublekey,resource_icon_diamond]</v>
      </c>
      <c r="AL82" s="635" t="str">
        <f t="shared" si="21"/>
        <v>4+20+碎片礼包</v>
      </c>
    </row>
    <row r="83" spans="2:38" x14ac:dyDescent="0.35">
      <c r="G83" s="635">
        <v>4</v>
      </c>
      <c r="H83" s="635" t="s">
        <v>2989</v>
      </c>
      <c r="I83" s="635" t="s">
        <v>2882</v>
      </c>
      <c r="J83" s="635" t="s">
        <v>929</v>
      </c>
      <c r="K83" s="635" t="e">
        <f t="shared" si="41"/>
        <v>#N/A</v>
      </c>
      <c r="L83" s="635">
        <f t="shared" si="55"/>
        <v>125</v>
      </c>
      <c r="M83" s="635">
        <f t="shared" si="44"/>
        <v>2.5000000000000001E-3</v>
      </c>
      <c r="N83" s="635">
        <v>5</v>
      </c>
      <c r="O83" s="635">
        <f>N83*基础经济系数!$C$2</f>
        <v>500</v>
      </c>
      <c r="P83" s="635">
        <v>3</v>
      </c>
      <c r="Q83" s="635">
        <f t="shared" ref="Q83:Q94" si="60">O83*P83</f>
        <v>1500</v>
      </c>
      <c r="R83" s="635">
        <v>1</v>
      </c>
      <c r="S83" s="635" t="e">
        <f t="shared" ref="S83:S94" si="61">R83*K83</f>
        <v>#N/A</v>
      </c>
      <c r="T83" s="635" t="e">
        <f t="shared" ref="T83:T94" si="62">S83/Q83</f>
        <v>#N/A</v>
      </c>
      <c r="U83" s="635">
        <v>6</v>
      </c>
      <c r="V83" s="635">
        <f t="shared" ref="V83:V94" si="63">U83*L83</f>
        <v>750</v>
      </c>
      <c r="W83" s="635">
        <f t="shared" ref="W83:W94" si="64">V83/Q83</f>
        <v>0.5</v>
      </c>
      <c r="X83" s="635">
        <v>15000</v>
      </c>
      <c r="Y83" s="635" t="e">
        <f t="shared" si="45"/>
        <v>#N/A</v>
      </c>
      <c r="Z83" s="635" t="e">
        <f t="shared" si="46"/>
        <v>#N/A</v>
      </c>
      <c r="AA83" s="635" t="e">
        <f t="shared" si="42"/>
        <v>#N/A</v>
      </c>
      <c r="AB83" s="635" t="e">
        <f t="shared" si="43"/>
        <v>#N/A</v>
      </c>
      <c r="AC83" s="635">
        <f t="shared" si="56"/>
        <v>23204</v>
      </c>
      <c r="AD83" s="635">
        <f t="shared" si="57"/>
        <v>100502</v>
      </c>
      <c r="AE83" s="635">
        <f t="shared" si="47"/>
        <v>102</v>
      </c>
      <c r="AF83" s="635" t="str">
        <f t="shared" si="58"/>
        <v>chest_tankpart</v>
      </c>
      <c r="AG83" s="635" t="str">
        <f t="shared" si="59"/>
        <v>resource_icon_quicken</v>
      </c>
      <c r="AH83" s="635" t="str">
        <f t="shared" si="48"/>
        <v>resource_icon_fund</v>
      </c>
      <c r="AI83" s="635" t="str">
        <f t="shared" si="18"/>
        <v>[23204,100502,102]</v>
      </c>
      <c r="AJ83" s="635" t="str">
        <f t="shared" si="19"/>
        <v>[1,6,15000]</v>
      </c>
      <c r="AK83" s="635" t="str">
        <f t="shared" si="20"/>
        <v>[chest_tankpart,resource_icon_quicken,resource_icon_fund]</v>
      </c>
      <c r="AL83" s="635" t="str">
        <f t="shared" si="21"/>
        <v>4+5+部件礼包</v>
      </c>
    </row>
    <row r="84" spans="2:38" x14ac:dyDescent="0.35">
      <c r="G84" s="635">
        <v>4</v>
      </c>
      <c r="H84" s="635" t="s">
        <v>3003</v>
      </c>
      <c r="I84" s="635" t="s">
        <v>2671</v>
      </c>
      <c r="J84" s="635" t="s">
        <v>932</v>
      </c>
      <c r="K84" s="635">
        <f t="shared" si="41"/>
        <v>465</v>
      </c>
      <c r="L84" s="635">
        <f t="shared" si="55"/>
        <v>0.75</v>
      </c>
      <c r="M84" s="635">
        <f t="shared" si="44"/>
        <v>1</v>
      </c>
      <c r="N84" s="635">
        <v>5</v>
      </c>
      <c r="O84" s="635">
        <f>N84*基础经济系数!$C$2</f>
        <v>500</v>
      </c>
      <c r="P84" s="635">
        <v>3</v>
      </c>
      <c r="Q84" s="635">
        <f t="shared" si="60"/>
        <v>1500</v>
      </c>
      <c r="R84" s="635">
        <v>4</v>
      </c>
      <c r="S84" s="635">
        <f t="shared" si="61"/>
        <v>1860</v>
      </c>
      <c r="T84" s="635">
        <f t="shared" si="62"/>
        <v>1.24</v>
      </c>
      <c r="U84" s="635">
        <v>500</v>
      </c>
      <c r="V84" s="635">
        <f t="shared" si="63"/>
        <v>375</v>
      </c>
      <c r="W84" s="635">
        <f t="shared" si="64"/>
        <v>0.25</v>
      </c>
      <c r="X84" s="635">
        <v>50</v>
      </c>
      <c r="Y84" s="635">
        <f t="shared" si="45"/>
        <v>-735</v>
      </c>
      <c r="Z84" s="635">
        <f t="shared" si="46"/>
        <v>-0.49</v>
      </c>
      <c r="AA84" s="635">
        <f t="shared" si="42"/>
        <v>2285</v>
      </c>
      <c r="AB84" s="635">
        <f t="shared" si="43"/>
        <v>0.78118161925601748</v>
      </c>
      <c r="AC84" s="635">
        <f t="shared" si="56"/>
        <v>24203</v>
      </c>
      <c r="AD84" s="635">
        <f t="shared" si="57"/>
        <v>111</v>
      </c>
      <c r="AE84" s="635">
        <f t="shared" si="47"/>
        <v>101</v>
      </c>
      <c r="AF84" s="635" t="str">
        <f t="shared" si="58"/>
        <v>chest_shard</v>
      </c>
      <c r="AG84" s="635" t="str">
        <f t="shared" si="59"/>
        <v>resource_icon_doublekey</v>
      </c>
      <c r="AH84" s="635" t="str">
        <f t="shared" si="48"/>
        <v>resource_icon_diamond</v>
      </c>
      <c r="AI84" s="635" t="str">
        <f t="shared" si="18"/>
        <v>[24203,111,101]</v>
      </c>
      <c r="AJ84" s="635" t="str">
        <f t="shared" si="19"/>
        <v>[4,500,50]</v>
      </c>
      <c r="AK84" s="635" t="str">
        <f t="shared" si="20"/>
        <v>[chest_shard,resource_icon_doublekey,resource_icon_diamond]</v>
      </c>
      <c r="AL84" s="635" t="str">
        <f t="shared" si="21"/>
        <v>4+5+碎片礼包</v>
      </c>
    </row>
    <row r="85" spans="2:38" x14ac:dyDescent="0.35">
      <c r="G85" s="635">
        <v>4</v>
      </c>
      <c r="H85" s="635" t="s">
        <v>2989</v>
      </c>
      <c r="I85" s="635" t="s">
        <v>2882</v>
      </c>
      <c r="J85" s="635" t="s">
        <v>929</v>
      </c>
      <c r="K85" s="635" t="e">
        <f t="shared" si="41"/>
        <v>#N/A</v>
      </c>
      <c r="L85" s="635">
        <f t="shared" si="55"/>
        <v>125</v>
      </c>
      <c r="M85" s="635">
        <f t="shared" si="44"/>
        <v>2.5000000000000001E-3</v>
      </c>
      <c r="N85" s="635">
        <v>10</v>
      </c>
      <c r="O85" s="635">
        <f>N85*基础经济系数!$C$2</f>
        <v>1000</v>
      </c>
      <c r="P85" s="635">
        <v>3</v>
      </c>
      <c r="Q85" s="635">
        <f t="shared" si="60"/>
        <v>3000</v>
      </c>
      <c r="R85" s="635">
        <v>3</v>
      </c>
      <c r="S85" s="635" t="e">
        <f t="shared" si="61"/>
        <v>#N/A</v>
      </c>
      <c r="T85" s="635" t="e">
        <f t="shared" si="62"/>
        <v>#N/A</v>
      </c>
      <c r="U85" s="635">
        <v>6</v>
      </c>
      <c r="V85" s="635">
        <f t="shared" si="63"/>
        <v>750</v>
      </c>
      <c r="W85" s="635">
        <f t="shared" si="64"/>
        <v>0.25</v>
      </c>
      <c r="X85" s="635">
        <v>40000</v>
      </c>
      <c r="Y85" s="635" t="e">
        <f t="shared" si="45"/>
        <v>#N/A</v>
      </c>
      <c r="Z85" s="635" t="e">
        <f t="shared" si="46"/>
        <v>#N/A</v>
      </c>
      <c r="AA85" s="635" t="e">
        <f t="shared" si="42"/>
        <v>#N/A</v>
      </c>
      <c r="AB85" s="635" t="e">
        <f t="shared" si="43"/>
        <v>#N/A</v>
      </c>
      <c r="AC85" s="635">
        <f t="shared" si="56"/>
        <v>23204</v>
      </c>
      <c r="AD85" s="635">
        <f t="shared" si="57"/>
        <v>100502</v>
      </c>
      <c r="AE85" s="635">
        <f t="shared" si="47"/>
        <v>102</v>
      </c>
      <c r="AF85" s="635" t="str">
        <f t="shared" si="58"/>
        <v>chest_tankpart</v>
      </c>
      <c r="AG85" s="635" t="str">
        <f t="shared" si="59"/>
        <v>resource_icon_quicken</v>
      </c>
      <c r="AH85" s="635" t="str">
        <f t="shared" si="48"/>
        <v>resource_icon_fund</v>
      </c>
      <c r="AI85" s="635" t="str">
        <f t="shared" si="18"/>
        <v>[23204,100502,102]</v>
      </c>
      <c r="AJ85" s="635" t="str">
        <f t="shared" si="19"/>
        <v>[3,6,40000]</v>
      </c>
      <c r="AK85" s="635" t="str">
        <f t="shared" si="20"/>
        <v>[chest_tankpart,resource_icon_quicken,resource_icon_fund]</v>
      </c>
      <c r="AL85" s="635" t="str">
        <f t="shared" si="21"/>
        <v>4+10+部件礼包</v>
      </c>
    </row>
    <row r="86" spans="2:38" x14ac:dyDescent="0.35">
      <c r="G86" s="635">
        <v>4</v>
      </c>
      <c r="H86" s="635" t="s">
        <v>3003</v>
      </c>
      <c r="I86" s="635" t="s">
        <v>2671</v>
      </c>
      <c r="J86" s="635" t="s">
        <v>932</v>
      </c>
      <c r="K86" s="635">
        <f t="shared" si="41"/>
        <v>465</v>
      </c>
      <c r="L86" s="635">
        <f t="shared" si="55"/>
        <v>0.75</v>
      </c>
      <c r="M86" s="635">
        <f t="shared" si="44"/>
        <v>1</v>
      </c>
      <c r="N86" s="635">
        <v>10</v>
      </c>
      <c r="O86" s="635">
        <f>N86*基础经济系数!$C$2</f>
        <v>1000</v>
      </c>
      <c r="P86" s="635">
        <v>3</v>
      </c>
      <c r="Q86" s="635">
        <f t="shared" si="60"/>
        <v>3000</v>
      </c>
      <c r="R86" s="635">
        <v>8</v>
      </c>
      <c r="S86" s="635">
        <f t="shared" si="61"/>
        <v>3720</v>
      </c>
      <c r="T86" s="635">
        <f t="shared" si="62"/>
        <v>1.24</v>
      </c>
      <c r="U86" s="635">
        <v>800</v>
      </c>
      <c r="V86" s="635">
        <f t="shared" si="63"/>
        <v>600</v>
      </c>
      <c r="W86" s="635">
        <f t="shared" si="64"/>
        <v>0.2</v>
      </c>
      <c r="X86" s="635">
        <v>240</v>
      </c>
      <c r="Y86" s="635">
        <f t="shared" si="45"/>
        <v>-1320</v>
      </c>
      <c r="Z86" s="635">
        <f t="shared" si="46"/>
        <v>-0.44</v>
      </c>
      <c r="AA86" s="635">
        <f t="shared" si="42"/>
        <v>4560</v>
      </c>
      <c r="AB86" s="635">
        <f t="shared" si="43"/>
        <v>0.7807017543859649</v>
      </c>
      <c r="AC86" s="635">
        <f t="shared" si="56"/>
        <v>24203</v>
      </c>
      <c r="AD86" s="635">
        <f t="shared" si="57"/>
        <v>111</v>
      </c>
      <c r="AE86" s="635">
        <f t="shared" si="47"/>
        <v>101</v>
      </c>
      <c r="AF86" s="635" t="str">
        <f t="shared" si="58"/>
        <v>chest_shard</v>
      </c>
      <c r="AG86" s="635" t="str">
        <f t="shared" si="59"/>
        <v>resource_icon_doublekey</v>
      </c>
      <c r="AH86" s="635" t="str">
        <f t="shared" si="48"/>
        <v>resource_icon_diamond</v>
      </c>
      <c r="AI86" s="635" t="str">
        <f t="shared" si="18"/>
        <v>[24203,111,101]</v>
      </c>
      <c r="AJ86" s="635" t="str">
        <f t="shared" si="19"/>
        <v>[8,800,240]</v>
      </c>
      <c r="AK86" s="635" t="str">
        <f t="shared" si="20"/>
        <v>[chest_shard,resource_icon_doublekey,resource_icon_diamond]</v>
      </c>
      <c r="AL86" s="635" t="str">
        <f t="shared" si="21"/>
        <v>4+10+碎片礼包</v>
      </c>
    </row>
    <row r="87" spans="2:38" x14ac:dyDescent="0.35">
      <c r="G87" s="635">
        <v>4</v>
      </c>
      <c r="H87" s="635" t="s">
        <v>2989</v>
      </c>
      <c r="I87" s="635" t="s">
        <v>2882</v>
      </c>
      <c r="J87" s="635" t="s">
        <v>929</v>
      </c>
      <c r="K87" s="635" t="e">
        <f t="shared" ref="K87:K118" si="65">IFERROR(VLOOKUP(LEFT(H87,4),$B$40:$C$81,2,FALSE),VLOOKUP(H87,$B$40:$C$81,2,FALSE))</f>
        <v>#N/A</v>
      </c>
      <c r="L87" s="635">
        <f t="shared" si="55"/>
        <v>125</v>
      </c>
      <c r="M87" s="635">
        <f t="shared" si="44"/>
        <v>2.5000000000000001E-3</v>
      </c>
      <c r="N87" s="635">
        <v>20</v>
      </c>
      <c r="O87" s="635">
        <f>N87*基础经济系数!$C$2</f>
        <v>2000</v>
      </c>
      <c r="P87" s="635">
        <v>3</v>
      </c>
      <c r="Q87" s="635">
        <f t="shared" si="60"/>
        <v>6000</v>
      </c>
      <c r="R87" s="635">
        <v>6</v>
      </c>
      <c r="S87" s="635" t="e">
        <f t="shared" si="61"/>
        <v>#N/A</v>
      </c>
      <c r="T87" s="635" t="e">
        <f t="shared" si="62"/>
        <v>#N/A</v>
      </c>
      <c r="U87" s="635">
        <v>12</v>
      </c>
      <c r="V87" s="635">
        <f t="shared" si="63"/>
        <v>1500</v>
      </c>
      <c r="W87" s="635">
        <f t="shared" si="64"/>
        <v>0.25</v>
      </c>
      <c r="X87" s="635">
        <v>75000</v>
      </c>
      <c r="Y87" s="635" t="e">
        <f t="shared" si="45"/>
        <v>#N/A</v>
      </c>
      <c r="Z87" s="635" t="e">
        <f t="shared" si="46"/>
        <v>#N/A</v>
      </c>
      <c r="AA87" s="635" t="e">
        <f t="shared" ref="AA87:AA118" si="66">R87*K87+U87*L87+X87*M87</f>
        <v>#N/A</v>
      </c>
      <c r="AB87" s="635" t="e">
        <f t="shared" ref="AB87:AB118" si="67">1-1/(AA87/O87)</f>
        <v>#N/A</v>
      </c>
      <c r="AC87" s="635">
        <f t="shared" si="56"/>
        <v>23204</v>
      </c>
      <c r="AD87" s="635">
        <f t="shared" si="57"/>
        <v>100502</v>
      </c>
      <c r="AE87" s="635">
        <f t="shared" si="47"/>
        <v>102</v>
      </c>
      <c r="AF87" s="635" t="str">
        <f t="shared" si="58"/>
        <v>chest_tankpart</v>
      </c>
      <c r="AG87" s="635" t="str">
        <f t="shared" si="59"/>
        <v>resource_icon_quicken</v>
      </c>
      <c r="AH87" s="635" t="str">
        <f t="shared" si="48"/>
        <v>resource_icon_fund</v>
      </c>
      <c r="AI87" s="635" t="str">
        <f t="shared" si="18"/>
        <v>[23204,100502,102]</v>
      </c>
      <c r="AJ87" s="635" t="str">
        <f t="shared" si="19"/>
        <v>[6,12,75000]</v>
      </c>
      <c r="AK87" s="635" t="str">
        <f t="shared" si="20"/>
        <v>[chest_tankpart,resource_icon_quicken,resource_icon_fund]</v>
      </c>
      <c r="AL87" s="635" t="str">
        <f t="shared" si="21"/>
        <v>4+20+部件礼包</v>
      </c>
    </row>
    <row r="88" spans="2:38" x14ac:dyDescent="0.35">
      <c r="G88" s="635">
        <v>4</v>
      </c>
      <c r="H88" s="635" t="s">
        <v>3003</v>
      </c>
      <c r="I88" s="635" t="s">
        <v>2671</v>
      </c>
      <c r="J88" s="635" t="s">
        <v>932</v>
      </c>
      <c r="K88" s="635">
        <f t="shared" si="65"/>
        <v>465</v>
      </c>
      <c r="L88" s="635">
        <f t="shared" si="55"/>
        <v>0.75</v>
      </c>
      <c r="M88" s="635">
        <f t="shared" si="44"/>
        <v>1</v>
      </c>
      <c r="N88" s="635">
        <v>20</v>
      </c>
      <c r="O88" s="635">
        <f>N88*基础经济系数!$C$2</f>
        <v>2000</v>
      </c>
      <c r="P88" s="635">
        <v>3</v>
      </c>
      <c r="Q88" s="635">
        <f t="shared" si="60"/>
        <v>6000</v>
      </c>
      <c r="R88" s="635">
        <v>18</v>
      </c>
      <c r="S88" s="635">
        <f t="shared" si="61"/>
        <v>8370</v>
      </c>
      <c r="T88" s="635">
        <f t="shared" si="62"/>
        <v>1.395</v>
      </c>
      <c r="U88" s="635">
        <v>1200</v>
      </c>
      <c r="V88" s="635">
        <f t="shared" si="63"/>
        <v>900</v>
      </c>
      <c r="W88" s="635">
        <f t="shared" si="64"/>
        <v>0.15</v>
      </c>
      <c r="X88" s="635">
        <v>240</v>
      </c>
      <c r="Y88" s="635">
        <f t="shared" si="45"/>
        <v>-3270.0000000000005</v>
      </c>
      <c r="Z88" s="635">
        <f t="shared" si="46"/>
        <v>-0.54500000000000004</v>
      </c>
      <c r="AA88" s="635">
        <f t="shared" si="66"/>
        <v>9510</v>
      </c>
      <c r="AB88" s="635">
        <f t="shared" si="67"/>
        <v>0.78969505783385907</v>
      </c>
      <c r="AC88" s="635">
        <f t="shared" si="56"/>
        <v>24203</v>
      </c>
      <c r="AD88" s="635">
        <f t="shared" si="57"/>
        <v>111</v>
      </c>
      <c r="AE88" s="635">
        <f t="shared" si="47"/>
        <v>101</v>
      </c>
      <c r="AF88" s="635" t="str">
        <f t="shared" si="58"/>
        <v>chest_shard</v>
      </c>
      <c r="AG88" s="635" t="str">
        <f t="shared" si="59"/>
        <v>resource_icon_doublekey</v>
      </c>
      <c r="AH88" s="635" t="str">
        <f t="shared" si="48"/>
        <v>resource_icon_diamond</v>
      </c>
      <c r="AI88" s="635" t="str">
        <f t="shared" ref="AI88:AI151" si="68">"["&amp;AC88&amp;","&amp;AD88&amp;","&amp;AE88&amp;"]"</f>
        <v>[24203,111,101]</v>
      </c>
      <c r="AJ88" s="635" t="str">
        <f t="shared" ref="AJ88:AJ151" si="69">"["&amp;R88&amp;","&amp;U88&amp;","&amp;X88&amp;"]"</f>
        <v>[18,1200,240]</v>
      </c>
      <c r="AK88" s="635" t="str">
        <f t="shared" ref="AK88:AK151" si="70">"["&amp;AF88&amp;","&amp;AG88&amp;","&amp;AH88&amp;"]"</f>
        <v>[chest_shard,resource_icon_doublekey,resource_icon_diamond]</v>
      </c>
      <c r="AL88" s="635" t="str">
        <f t="shared" ref="AL88:AL151" si="71">G88&amp;"+"&amp;N88&amp;"+"&amp;LEFT(H88,4)</f>
        <v>4+20+碎片礼包</v>
      </c>
    </row>
    <row r="89" spans="2:38" x14ac:dyDescent="0.35">
      <c r="G89" s="635">
        <v>4</v>
      </c>
      <c r="H89" s="635" t="s">
        <v>2989</v>
      </c>
      <c r="I89" s="635" t="s">
        <v>2882</v>
      </c>
      <c r="J89" s="635" t="s">
        <v>929</v>
      </c>
      <c r="K89" s="635" t="e">
        <f t="shared" si="65"/>
        <v>#N/A</v>
      </c>
      <c r="L89" s="635">
        <f t="shared" si="55"/>
        <v>125</v>
      </c>
      <c r="M89" s="635">
        <f t="shared" si="44"/>
        <v>2.5000000000000001E-3</v>
      </c>
      <c r="N89" s="635">
        <v>5</v>
      </c>
      <c r="O89" s="635">
        <f>N89*基础经济系数!$C$2</f>
        <v>500</v>
      </c>
      <c r="P89" s="635">
        <v>2</v>
      </c>
      <c r="Q89" s="635">
        <f t="shared" si="60"/>
        <v>1000</v>
      </c>
      <c r="R89" s="635">
        <v>1</v>
      </c>
      <c r="S89" s="635" t="e">
        <f t="shared" si="61"/>
        <v>#N/A</v>
      </c>
      <c r="T89" s="635" t="e">
        <f t="shared" si="62"/>
        <v>#N/A</v>
      </c>
      <c r="U89" s="635">
        <v>2</v>
      </c>
      <c r="V89" s="635">
        <f t="shared" si="63"/>
        <v>250</v>
      </c>
      <c r="W89" s="635">
        <f t="shared" si="64"/>
        <v>0.25</v>
      </c>
      <c r="X89" s="635">
        <v>15000</v>
      </c>
      <c r="Y89" s="635" t="e">
        <f t="shared" si="45"/>
        <v>#N/A</v>
      </c>
      <c r="Z89" s="635" t="e">
        <f t="shared" si="46"/>
        <v>#N/A</v>
      </c>
      <c r="AA89" s="635" t="e">
        <f t="shared" si="66"/>
        <v>#N/A</v>
      </c>
      <c r="AB89" s="635" t="e">
        <f t="shared" si="67"/>
        <v>#N/A</v>
      </c>
      <c r="AC89" s="635">
        <f t="shared" si="56"/>
        <v>23204</v>
      </c>
      <c r="AD89" s="635">
        <f t="shared" si="57"/>
        <v>100502</v>
      </c>
      <c r="AE89" s="635">
        <f t="shared" si="47"/>
        <v>102</v>
      </c>
      <c r="AF89" s="635" t="str">
        <f t="shared" si="58"/>
        <v>chest_tankpart</v>
      </c>
      <c r="AG89" s="635" t="str">
        <f t="shared" si="59"/>
        <v>resource_icon_quicken</v>
      </c>
      <c r="AH89" s="635" t="str">
        <f t="shared" si="48"/>
        <v>resource_icon_fund</v>
      </c>
      <c r="AI89" s="635" t="str">
        <f t="shared" si="68"/>
        <v>[23204,100502,102]</v>
      </c>
      <c r="AJ89" s="635" t="str">
        <f t="shared" si="69"/>
        <v>[1,2,15000]</v>
      </c>
      <c r="AK89" s="635" t="str">
        <f t="shared" si="70"/>
        <v>[chest_tankpart,resource_icon_quicken,resource_icon_fund]</v>
      </c>
      <c r="AL89" s="635" t="str">
        <f t="shared" si="71"/>
        <v>4+5+部件礼包</v>
      </c>
    </row>
    <row r="90" spans="2:38" x14ac:dyDescent="0.35">
      <c r="G90" s="635">
        <v>4</v>
      </c>
      <c r="H90" s="635" t="s">
        <v>3003</v>
      </c>
      <c r="I90" s="635" t="s">
        <v>2671</v>
      </c>
      <c r="J90" s="635" t="s">
        <v>932</v>
      </c>
      <c r="K90" s="635">
        <f t="shared" si="65"/>
        <v>465</v>
      </c>
      <c r="L90" s="635">
        <f t="shared" si="55"/>
        <v>0.75</v>
      </c>
      <c r="M90" s="635">
        <f t="shared" si="44"/>
        <v>1</v>
      </c>
      <c r="N90" s="635">
        <v>5</v>
      </c>
      <c r="O90" s="635">
        <f>N90*基础经济系数!$C$2</f>
        <v>500</v>
      </c>
      <c r="P90" s="635">
        <v>2</v>
      </c>
      <c r="Q90" s="635">
        <f t="shared" si="60"/>
        <v>1000</v>
      </c>
      <c r="R90" s="635">
        <v>3</v>
      </c>
      <c r="S90" s="635">
        <f t="shared" si="61"/>
        <v>1395</v>
      </c>
      <c r="T90" s="635">
        <f t="shared" si="62"/>
        <v>1.395</v>
      </c>
      <c r="U90" s="635">
        <v>200</v>
      </c>
      <c r="V90" s="635">
        <f t="shared" si="63"/>
        <v>150</v>
      </c>
      <c r="W90" s="635">
        <f t="shared" si="64"/>
        <v>0.15</v>
      </c>
      <c r="X90" s="635">
        <v>40</v>
      </c>
      <c r="Y90" s="635">
        <f t="shared" si="45"/>
        <v>-545</v>
      </c>
      <c r="Z90" s="635">
        <f t="shared" si="46"/>
        <v>-0.54500000000000004</v>
      </c>
      <c r="AA90" s="635">
        <f t="shared" si="66"/>
        <v>1585</v>
      </c>
      <c r="AB90" s="635">
        <f t="shared" si="67"/>
        <v>0.68454258675078861</v>
      </c>
      <c r="AC90" s="635">
        <f t="shared" si="56"/>
        <v>24203</v>
      </c>
      <c r="AD90" s="635">
        <f t="shared" si="57"/>
        <v>111</v>
      </c>
      <c r="AE90" s="635">
        <f t="shared" si="47"/>
        <v>101</v>
      </c>
      <c r="AF90" s="635" t="str">
        <f t="shared" si="58"/>
        <v>chest_shard</v>
      </c>
      <c r="AG90" s="635" t="str">
        <f t="shared" si="59"/>
        <v>resource_icon_doublekey</v>
      </c>
      <c r="AH90" s="635" t="str">
        <f t="shared" si="48"/>
        <v>resource_icon_diamond</v>
      </c>
      <c r="AI90" s="635" t="str">
        <f t="shared" si="68"/>
        <v>[24203,111,101]</v>
      </c>
      <c r="AJ90" s="635" t="str">
        <f t="shared" si="69"/>
        <v>[3,200,40]</v>
      </c>
      <c r="AK90" s="635" t="str">
        <f t="shared" si="70"/>
        <v>[chest_shard,resource_icon_doublekey,resource_icon_diamond]</v>
      </c>
      <c r="AL90" s="635" t="str">
        <f t="shared" si="71"/>
        <v>4+5+碎片礼包</v>
      </c>
    </row>
    <row r="91" spans="2:38" x14ac:dyDescent="0.35">
      <c r="G91" s="635">
        <v>4</v>
      </c>
      <c r="H91" s="635" t="s">
        <v>2989</v>
      </c>
      <c r="I91" s="635" t="s">
        <v>2882</v>
      </c>
      <c r="J91" s="635" t="s">
        <v>929</v>
      </c>
      <c r="K91" s="635" t="e">
        <f t="shared" si="65"/>
        <v>#N/A</v>
      </c>
      <c r="L91" s="635">
        <f t="shared" si="55"/>
        <v>125</v>
      </c>
      <c r="M91" s="635">
        <f t="shared" ref="M91:M122" si="72">VLOOKUP(J91,$B$40:$C$81,2,FALSE)</f>
        <v>2.5000000000000001E-3</v>
      </c>
      <c r="N91" s="635">
        <v>10</v>
      </c>
      <c r="O91" s="635">
        <f>N91*基础经济系数!$C$2</f>
        <v>1000</v>
      </c>
      <c r="P91" s="635">
        <v>2</v>
      </c>
      <c r="Q91" s="635">
        <f t="shared" si="60"/>
        <v>2000</v>
      </c>
      <c r="R91" s="635">
        <v>2</v>
      </c>
      <c r="S91" s="635" t="e">
        <f t="shared" si="61"/>
        <v>#N/A</v>
      </c>
      <c r="T91" s="635" t="e">
        <f t="shared" si="62"/>
        <v>#N/A</v>
      </c>
      <c r="U91" s="635">
        <v>4</v>
      </c>
      <c r="V91" s="635">
        <f t="shared" si="63"/>
        <v>500</v>
      </c>
      <c r="W91" s="635">
        <f t="shared" si="64"/>
        <v>0.25</v>
      </c>
      <c r="X91" s="635">
        <v>25000</v>
      </c>
      <c r="Y91" s="635" t="e">
        <f t="shared" ref="Y91:Y122" si="73">Z91*Q91</f>
        <v>#N/A</v>
      </c>
      <c r="Z91" s="635" t="e">
        <f t="shared" ref="Z91:Z122" si="74">1-T91-W91</f>
        <v>#N/A</v>
      </c>
      <c r="AA91" s="635" t="e">
        <f t="shared" si="66"/>
        <v>#N/A</v>
      </c>
      <c r="AB91" s="635" t="e">
        <f t="shared" si="67"/>
        <v>#N/A</v>
      </c>
      <c r="AC91" s="635">
        <f t="shared" si="56"/>
        <v>23204</v>
      </c>
      <c r="AD91" s="635">
        <f t="shared" si="57"/>
        <v>100502</v>
      </c>
      <c r="AE91" s="635">
        <f t="shared" ref="AE91:AE122" si="75">VLOOKUP(J91,道具ID,2,FALSE)</f>
        <v>102</v>
      </c>
      <c r="AF91" s="635" t="str">
        <f t="shared" si="58"/>
        <v>chest_tankpart</v>
      </c>
      <c r="AG91" s="635" t="str">
        <f t="shared" si="59"/>
        <v>resource_icon_quicken</v>
      </c>
      <c r="AH91" s="635" t="str">
        <f t="shared" ref="AH91:AH122" si="76">VLOOKUP(J91,道具ID,3,FALSE)</f>
        <v>resource_icon_fund</v>
      </c>
      <c r="AI91" s="635" t="str">
        <f t="shared" si="68"/>
        <v>[23204,100502,102]</v>
      </c>
      <c r="AJ91" s="635" t="str">
        <f t="shared" si="69"/>
        <v>[2,4,25000]</v>
      </c>
      <c r="AK91" s="635" t="str">
        <f t="shared" si="70"/>
        <v>[chest_tankpart,resource_icon_quicken,resource_icon_fund]</v>
      </c>
      <c r="AL91" s="635" t="str">
        <f t="shared" si="71"/>
        <v>4+10+部件礼包</v>
      </c>
    </row>
    <row r="92" spans="2:38" x14ac:dyDescent="0.35">
      <c r="G92" s="635">
        <v>4</v>
      </c>
      <c r="H92" s="635" t="s">
        <v>3003</v>
      </c>
      <c r="I92" s="635" t="s">
        <v>2671</v>
      </c>
      <c r="J92" s="635" t="s">
        <v>932</v>
      </c>
      <c r="K92" s="635">
        <f t="shared" si="65"/>
        <v>465</v>
      </c>
      <c r="L92" s="635">
        <f t="shared" si="55"/>
        <v>0.75</v>
      </c>
      <c r="M92" s="635">
        <f t="shared" si="72"/>
        <v>1</v>
      </c>
      <c r="N92" s="635">
        <v>10</v>
      </c>
      <c r="O92" s="635">
        <f>N92*基础经济系数!$C$2</f>
        <v>1000</v>
      </c>
      <c r="P92" s="635">
        <v>2</v>
      </c>
      <c r="Q92" s="635">
        <f t="shared" si="60"/>
        <v>2000</v>
      </c>
      <c r="R92" s="635">
        <v>6</v>
      </c>
      <c r="S92" s="635">
        <f t="shared" si="61"/>
        <v>2790</v>
      </c>
      <c r="T92" s="635">
        <f t="shared" si="62"/>
        <v>1.395</v>
      </c>
      <c r="U92" s="635">
        <v>400</v>
      </c>
      <c r="V92" s="635">
        <f t="shared" si="63"/>
        <v>300</v>
      </c>
      <c r="W92" s="635">
        <f t="shared" si="64"/>
        <v>0.15</v>
      </c>
      <c r="X92" s="635">
        <v>80</v>
      </c>
      <c r="Y92" s="635">
        <f t="shared" si="73"/>
        <v>-1090</v>
      </c>
      <c r="Z92" s="635">
        <f t="shared" si="74"/>
        <v>-0.54500000000000004</v>
      </c>
      <c r="AA92" s="635">
        <f t="shared" si="66"/>
        <v>3170</v>
      </c>
      <c r="AB92" s="635">
        <f t="shared" si="67"/>
        <v>0.68454258675078861</v>
      </c>
      <c r="AC92" s="635">
        <f t="shared" si="56"/>
        <v>24203</v>
      </c>
      <c r="AD92" s="635">
        <f t="shared" si="57"/>
        <v>111</v>
      </c>
      <c r="AE92" s="635">
        <f t="shared" si="75"/>
        <v>101</v>
      </c>
      <c r="AF92" s="635" t="str">
        <f t="shared" si="58"/>
        <v>chest_shard</v>
      </c>
      <c r="AG92" s="635" t="str">
        <f t="shared" si="59"/>
        <v>resource_icon_doublekey</v>
      </c>
      <c r="AH92" s="635" t="str">
        <f t="shared" si="76"/>
        <v>resource_icon_diamond</v>
      </c>
      <c r="AI92" s="635" t="str">
        <f t="shared" si="68"/>
        <v>[24203,111,101]</v>
      </c>
      <c r="AJ92" s="635" t="str">
        <f t="shared" si="69"/>
        <v>[6,400,80]</v>
      </c>
      <c r="AK92" s="635" t="str">
        <f t="shared" si="70"/>
        <v>[chest_shard,resource_icon_doublekey,resource_icon_diamond]</v>
      </c>
      <c r="AL92" s="635" t="str">
        <f t="shared" si="71"/>
        <v>4+10+碎片礼包</v>
      </c>
    </row>
    <row r="93" spans="2:38" x14ac:dyDescent="0.35">
      <c r="G93" s="635">
        <v>4</v>
      </c>
      <c r="H93" s="635" t="s">
        <v>2989</v>
      </c>
      <c r="I93" s="635" t="s">
        <v>2882</v>
      </c>
      <c r="J93" s="635" t="s">
        <v>929</v>
      </c>
      <c r="K93" s="635" t="e">
        <f t="shared" si="65"/>
        <v>#N/A</v>
      </c>
      <c r="L93" s="635">
        <f t="shared" si="55"/>
        <v>125</v>
      </c>
      <c r="M93" s="635">
        <f t="shared" si="72"/>
        <v>2.5000000000000001E-3</v>
      </c>
      <c r="N93" s="635">
        <v>20</v>
      </c>
      <c r="O93" s="635">
        <f>N93*基础经济系数!$C$2</f>
        <v>2000</v>
      </c>
      <c r="P93" s="635">
        <v>2</v>
      </c>
      <c r="Q93" s="635">
        <f t="shared" si="60"/>
        <v>4000</v>
      </c>
      <c r="R93" s="635">
        <v>4</v>
      </c>
      <c r="S93" s="635" t="e">
        <f t="shared" si="61"/>
        <v>#N/A</v>
      </c>
      <c r="T93" s="635" t="e">
        <f t="shared" si="62"/>
        <v>#N/A</v>
      </c>
      <c r="U93" s="635">
        <v>8</v>
      </c>
      <c r="V93" s="635">
        <f t="shared" si="63"/>
        <v>1000</v>
      </c>
      <c r="W93" s="635">
        <f t="shared" si="64"/>
        <v>0.25</v>
      </c>
      <c r="X93" s="635">
        <v>50000</v>
      </c>
      <c r="Y93" s="635" t="e">
        <f t="shared" si="73"/>
        <v>#N/A</v>
      </c>
      <c r="Z93" s="635" t="e">
        <f t="shared" si="74"/>
        <v>#N/A</v>
      </c>
      <c r="AA93" s="635" t="e">
        <f t="shared" si="66"/>
        <v>#N/A</v>
      </c>
      <c r="AB93" s="635" t="e">
        <f t="shared" si="67"/>
        <v>#N/A</v>
      </c>
      <c r="AC93" s="635">
        <f t="shared" si="56"/>
        <v>23204</v>
      </c>
      <c r="AD93" s="635">
        <f t="shared" si="57"/>
        <v>100502</v>
      </c>
      <c r="AE93" s="635">
        <f t="shared" si="75"/>
        <v>102</v>
      </c>
      <c r="AF93" s="635" t="str">
        <f t="shared" si="58"/>
        <v>chest_tankpart</v>
      </c>
      <c r="AG93" s="635" t="str">
        <f t="shared" si="59"/>
        <v>resource_icon_quicken</v>
      </c>
      <c r="AH93" s="635" t="str">
        <f t="shared" si="76"/>
        <v>resource_icon_fund</v>
      </c>
      <c r="AI93" s="635" t="str">
        <f t="shared" si="68"/>
        <v>[23204,100502,102]</v>
      </c>
      <c r="AJ93" s="635" t="str">
        <f t="shared" si="69"/>
        <v>[4,8,50000]</v>
      </c>
      <c r="AK93" s="635" t="str">
        <f t="shared" si="70"/>
        <v>[chest_tankpart,resource_icon_quicken,resource_icon_fund]</v>
      </c>
      <c r="AL93" s="635" t="str">
        <f t="shared" si="71"/>
        <v>4+20+部件礼包</v>
      </c>
    </row>
    <row r="94" spans="2:38" x14ac:dyDescent="0.35">
      <c r="G94" s="635">
        <v>4</v>
      </c>
      <c r="H94" s="635" t="s">
        <v>3003</v>
      </c>
      <c r="I94" s="635" t="s">
        <v>2671</v>
      </c>
      <c r="J94" s="635" t="s">
        <v>932</v>
      </c>
      <c r="K94" s="635">
        <f t="shared" si="65"/>
        <v>465</v>
      </c>
      <c r="L94" s="635">
        <f t="shared" si="55"/>
        <v>0.75</v>
      </c>
      <c r="M94" s="635">
        <f t="shared" si="72"/>
        <v>1</v>
      </c>
      <c r="N94" s="635">
        <v>20</v>
      </c>
      <c r="O94" s="635">
        <f>N94*基础经济系数!$C$2</f>
        <v>2000</v>
      </c>
      <c r="P94" s="635">
        <v>2</v>
      </c>
      <c r="Q94" s="635">
        <f t="shared" si="60"/>
        <v>4000</v>
      </c>
      <c r="R94" s="635">
        <v>12</v>
      </c>
      <c r="S94" s="635">
        <f t="shared" si="61"/>
        <v>5580</v>
      </c>
      <c r="T94" s="635">
        <f t="shared" si="62"/>
        <v>1.395</v>
      </c>
      <c r="U94" s="635">
        <v>800</v>
      </c>
      <c r="V94" s="635">
        <f t="shared" si="63"/>
        <v>600</v>
      </c>
      <c r="W94" s="635">
        <f t="shared" si="64"/>
        <v>0.15</v>
      </c>
      <c r="X94" s="635">
        <v>160</v>
      </c>
      <c r="Y94" s="635">
        <f t="shared" si="73"/>
        <v>-2180</v>
      </c>
      <c r="Z94" s="635">
        <f t="shared" si="74"/>
        <v>-0.54500000000000004</v>
      </c>
      <c r="AA94" s="635">
        <f t="shared" si="66"/>
        <v>6340</v>
      </c>
      <c r="AB94" s="635">
        <f t="shared" si="67"/>
        <v>0.68454258675078861</v>
      </c>
      <c r="AC94" s="635">
        <f t="shared" si="56"/>
        <v>24203</v>
      </c>
      <c r="AD94" s="635">
        <f t="shared" si="57"/>
        <v>111</v>
      </c>
      <c r="AE94" s="635">
        <f t="shared" si="75"/>
        <v>101</v>
      </c>
      <c r="AF94" s="635" t="str">
        <f t="shared" si="58"/>
        <v>chest_shard</v>
      </c>
      <c r="AG94" s="635" t="str">
        <f t="shared" si="59"/>
        <v>resource_icon_doublekey</v>
      </c>
      <c r="AH94" s="635" t="str">
        <f t="shared" si="76"/>
        <v>resource_icon_diamond</v>
      </c>
      <c r="AI94" s="635" t="str">
        <f t="shared" si="68"/>
        <v>[24203,111,101]</v>
      </c>
      <c r="AJ94" s="635" t="str">
        <f t="shared" si="69"/>
        <v>[12,800,160]</v>
      </c>
      <c r="AK94" s="635" t="str">
        <f t="shared" si="70"/>
        <v>[chest_shard,resource_icon_doublekey,resource_icon_diamond]</v>
      </c>
      <c r="AL94" s="635" t="str">
        <f t="shared" si="71"/>
        <v>4+20+碎片礼包</v>
      </c>
    </row>
    <row r="95" spans="2:38" x14ac:dyDescent="0.35">
      <c r="G95" s="635">
        <v>5</v>
      </c>
      <c r="H95" s="635" t="s">
        <v>2990</v>
      </c>
      <c r="I95" s="635" t="s">
        <v>2882</v>
      </c>
      <c r="J95" s="635" t="s">
        <v>929</v>
      </c>
      <c r="K95" s="635" t="e">
        <f t="shared" si="65"/>
        <v>#N/A</v>
      </c>
      <c r="L95" s="635">
        <f t="shared" si="55"/>
        <v>125</v>
      </c>
      <c r="M95" s="635">
        <f t="shared" si="72"/>
        <v>2.5000000000000001E-3</v>
      </c>
      <c r="N95" s="635">
        <v>5</v>
      </c>
      <c r="O95" s="635">
        <f>N95*基础经济系数!$C$2</f>
        <v>500</v>
      </c>
      <c r="P95" s="635">
        <v>4</v>
      </c>
      <c r="Q95" s="635">
        <f t="shared" si="3"/>
        <v>2000</v>
      </c>
      <c r="R95" s="635">
        <v>1</v>
      </c>
      <c r="S95" s="635" t="e">
        <f t="shared" si="14"/>
        <v>#N/A</v>
      </c>
      <c r="T95" s="635" t="e">
        <f t="shared" si="15"/>
        <v>#N/A</v>
      </c>
      <c r="U95" s="635">
        <v>6</v>
      </c>
      <c r="V95" s="635">
        <f t="shared" si="16"/>
        <v>750</v>
      </c>
      <c r="W95" s="635">
        <f t="shared" si="17"/>
        <v>0.375</v>
      </c>
      <c r="X95" s="635">
        <v>70000</v>
      </c>
      <c r="Y95" s="635" t="e">
        <f t="shared" si="73"/>
        <v>#N/A</v>
      </c>
      <c r="Z95" s="635" t="e">
        <f t="shared" si="74"/>
        <v>#N/A</v>
      </c>
      <c r="AA95" s="635" t="e">
        <f t="shared" si="66"/>
        <v>#N/A</v>
      </c>
      <c r="AB95" s="635" t="e">
        <f t="shared" si="67"/>
        <v>#N/A</v>
      </c>
      <c r="AC95" s="635">
        <f t="shared" si="56"/>
        <v>23205</v>
      </c>
      <c r="AD95" s="635">
        <f t="shared" si="57"/>
        <v>100502</v>
      </c>
      <c r="AE95" s="635">
        <f t="shared" si="75"/>
        <v>102</v>
      </c>
      <c r="AF95" s="635" t="str">
        <f t="shared" si="58"/>
        <v>chest_tankpart</v>
      </c>
      <c r="AG95" s="635" t="str">
        <f t="shared" si="59"/>
        <v>resource_icon_quicken</v>
      </c>
      <c r="AH95" s="635" t="str">
        <f t="shared" si="76"/>
        <v>resource_icon_fund</v>
      </c>
      <c r="AI95" s="635" t="str">
        <f t="shared" si="68"/>
        <v>[23205,100502,102]</v>
      </c>
      <c r="AJ95" s="635" t="str">
        <f t="shared" si="69"/>
        <v>[1,6,70000]</v>
      </c>
      <c r="AK95" s="635" t="str">
        <f t="shared" si="70"/>
        <v>[chest_tankpart,resource_icon_quicken,resource_icon_fund]</v>
      </c>
      <c r="AL95" s="635" t="str">
        <f t="shared" si="71"/>
        <v>5+5+部件礼包</v>
      </c>
    </row>
    <row r="96" spans="2:38" x14ac:dyDescent="0.35">
      <c r="G96" s="635">
        <v>5</v>
      </c>
      <c r="H96" s="636" t="s">
        <v>3035</v>
      </c>
      <c r="I96" s="635" t="s">
        <v>2671</v>
      </c>
      <c r="J96" s="635" t="s">
        <v>932</v>
      </c>
      <c r="K96" s="635">
        <f t="shared" si="65"/>
        <v>390</v>
      </c>
      <c r="L96" s="635">
        <f t="shared" si="55"/>
        <v>0.75</v>
      </c>
      <c r="M96" s="635">
        <f t="shared" si="72"/>
        <v>1</v>
      </c>
      <c r="N96" s="635">
        <v>5</v>
      </c>
      <c r="O96" s="635">
        <f>N96*基础经济系数!$C$2</f>
        <v>500</v>
      </c>
      <c r="P96" s="635">
        <v>4</v>
      </c>
      <c r="Q96" s="635">
        <f t="shared" si="3"/>
        <v>2000</v>
      </c>
      <c r="R96" s="635">
        <v>5</v>
      </c>
      <c r="S96" s="635">
        <f t="shared" si="14"/>
        <v>1950</v>
      </c>
      <c r="T96" s="635">
        <f t="shared" si="15"/>
        <v>0.97499999999999998</v>
      </c>
      <c r="U96" s="635">
        <v>400</v>
      </c>
      <c r="V96" s="635">
        <f t="shared" si="16"/>
        <v>300</v>
      </c>
      <c r="W96" s="635">
        <f t="shared" si="17"/>
        <v>0.15</v>
      </c>
      <c r="X96" s="635">
        <v>60</v>
      </c>
      <c r="Y96" s="635">
        <f t="shared" si="73"/>
        <v>-249.99999999999994</v>
      </c>
      <c r="Z96" s="635">
        <f t="shared" si="74"/>
        <v>-0.12499999999999997</v>
      </c>
      <c r="AA96" s="635">
        <f t="shared" si="66"/>
        <v>2310</v>
      </c>
      <c r="AB96" s="635">
        <f t="shared" si="67"/>
        <v>0.78354978354978355</v>
      </c>
      <c r="AC96" s="635">
        <f t="shared" si="56"/>
        <v>24204</v>
      </c>
      <c r="AD96" s="635">
        <f t="shared" si="57"/>
        <v>111</v>
      </c>
      <c r="AE96" s="635">
        <f t="shared" si="75"/>
        <v>101</v>
      </c>
      <c r="AF96" s="635" t="str">
        <f t="shared" si="58"/>
        <v>chest_shard</v>
      </c>
      <c r="AG96" s="635" t="str">
        <f t="shared" si="59"/>
        <v>resource_icon_doublekey</v>
      </c>
      <c r="AH96" s="635" t="str">
        <f t="shared" si="76"/>
        <v>resource_icon_diamond</v>
      </c>
      <c r="AI96" s="635" t="str">
        <f t="shared" si="68"/>
        <v>[24204,111,101]</v>
      </c>
      <c r="AJ96" s="635" t="str">
        <f t="shared" si="69"/>
        <v>[5,400,60]</v>
      </c>
      <c r="AK96" s="635" t="str">
        <f t="shared" si="70"/>
        <v>[chest_shard,resource_icon_doublekey,resource_icon_diamond]</v>
      </c>
      <c r="AL96" s="635" t="str">
        <f t="shared" si="71"/>
        <v>5+5+碎片礼包</v>
      </c>
    </row>
    <row r="97" spans="7:38" x14ac:dyDescent="0.35">
      <c r="G97" s="635">
        <v>5</v>
      </c>
      <c r="H97" s="635" t="s">
        <v>2990</v>
      </c>
      <c r="I97" s="635" t="s">
        <v>2882</v>
      </c>
      <c r="J97" s="635" t="s">
        <v>929</v>
      </c>
      <c r="K97" s="635" t="e">
        <f t="shared" si="65"/>
        <v>#N/A</v>
      </c>
      <c r="L97" s="635">
        <f t="shared" si="55"/>
        <v>125</v>
      </c>
      <c r="M97" s="635">
        <f t="shared" si="72"/>
        <v>2.5000000000000001E-3</v>
      </c>
      <c r="N97" s="635">
        <v>10</v>
      </c>
      <c r="O97" s="635">
        <f>N97*基础经济系数!$C$2</f>
        <v>1000</v>
      </c>
      <c r="P97" s="635">
        <v>4</v>
      </c>
      <c r="Q97" s="635">
        <f t="shared" si="3"/>
        <v>4000</v>
      </c>
      <c r="R97" s="635">
        <v>3</v>
      </c>
      <c r="S97" s="635" t="e">
        <f t="shared" si="14"/>
        <v>#N/A</v>
      </c>
      <c r="T97" s="635" t="e">
        <f t="shared" si="15"/>
        <v>#N/A</v>
      </c>
      <c r="U97" s="635">
        <v>5</v>
      </c>
      <c r="V97" s="635">
        <f t="shared" si="16"/>
        <v>625</v>
      </c>
      <c r="W97" s="635">
        <f t="shared" si="17"/>
        <v>0.15625</v>
      </c>
      <c r="X97" s="635">
        <v>55000</v>
      </c>
      <c r="Y97" s="635" t="e">
        <f t="shared" si="73"/>
        <v>#N/A</v>
      </c>
      <c r="Z97" s="635" t="e">
        <f t="shared" si="74"/>
        <v>#N/A</v>
      </c>
      <c r="AA97" s="635" t="e">
        <f t="shared" si="66"/>
        <v>#N/A</v>
      </c>
      <c r="AB97" s="635" t="e">
        <f t="shared" si="67"/>
        <v>#N/A</v>
      </c>
      <c r="AC97" s="635">
        <f t="shared" si="56"/>
        <v>23205</v>
      </c>
      <c r="AD97" s="635">
        <f t="shared" si="57"/>
        <v>100502</v>
      </c>
      <c r="AE97" s="635">
        <f t="shared" si="75"/>
        <v>102</v>
      </c>
      <c r="AF97" s="635" t="str">
        <f t="shared" si="58"/>
        <v>chest_tankpart</v>
      </c>
      <c r="AG97" s="635" t="str">
        <f t="shared" si="59"/>
        <v>resource_icon_quicken</v>
      </c>
      <c r="AH97" s="635" t="str">
        <f t="shared" si="76"/>
        <v>resource_icon_fund</v>
      </c>
      <c r="AI97" s="635" t="str">
        <f t="shared" si="68"/>
        <v>[23205,100502,102]</v>
      </c>
      <c r="AJ97" s="635" t="str">
        <f t="shared" si="69"/>
        <v>[3,5,55000]</v>
      </c>
      <c r="AK97" s="635" t="str">
        <f t="shared" si="70"/>
        <v>[chest_tankpart,resource_icon_quicken,resource_icon_fund]</v>
      </c>
      <c r="AL97" s="635" t="str">
        <f t="shared" si="71"/>
        <v>5+10+部件礼包</v>
      </c>
    </row>
    <row r="98" spans="7:38" x14ac:dyDescent="0.35">
      <c r="G98" s="635">
        <v>5</v>
      </c>
      <c r="H98" s="636" t="s">
        <v>3036</v>
      </c>
      <c r="I98" s="635" t="s">
        <v>2671</v>
      </c>
      <c r="J98" s="635" t="s">
        <v>932</v>
      </c>
      <c r="K98" s="635">
        <f t="shared" si="65"/>
        <v>390</v>
      </c>
      <c r="L98" s="635">
        <f t="shared" si="55"/>
        <v>0.75</v>
      </c>
      <c r="M98" s="635">
        <f t="shared" si="72"/>
        <v>1</v>
      </c>
      <c r="N98" s="635">
        <v>10</v>
      </c>
      <c r="O98" s="635">
        <f>N98*基础经济系数!$C$2</f>
        <v>1000</v>
      </c>
      <c r="P98" s="635">
        <v>4</v>
      </c>
      <c r="Q98" s="635">
        <f t="shared" si="3"/>
        <v>4000</v>
      </c>
      <c r="R98" s="635">
        <v>10</v>
      </c>
      <c r="S98" s="635">
        <f t="shared" si="14"/>
        <v>3900</v>
      </c>
      <c r="T98" s="635">
        <f t="shared" si="15"/>
        <v>0.97499999999999998</v>
      </c>
      <c r="U98" s="635">
        <v>800</v>
      </c>
      <c r="V98" s="635">
        <f t="shared" si="16"/>
        <v>600</v>
      </c>
      <c r="W98" s="635">
        <f t="shared" si="17"/>
        <v>0.15</v>
      </c>
      <c r="X98" s="635">
        <v>100</v>
      </c>
      <c r="Y98" s="635">
        <f t="shared" si="73"/>
        <v>-499.99999999999989</v>
      </c>
      <c r="Z98" s="635">
        <f t="shared" si="74"/>
        <v>-0.12499999999999997</v>
      </c>
      <c r="AA98" s="635">
        <f t="shared" si="66"/>
        <v>4600</v>
      </c>
      <c r="AB98" s="635">
        <f t="shared" si="67"/>
        <v>0.78260869565217384</v>
      </c>
      <c r="AC98" s="635">
        <f t="shared" si="56"/>
        <v>24204</v>
      </c>
      <c r="AD98" s="635">
        <f t="shared" si="57"/>
        <v>111</v>
      </c>
      <c r="AE98" s="635">
        <f t="shared" si="75"/>
        <v>101</v>
      </c>
      <c r="AF98" s="635" t="str">
        <f t="shared" si="58"/>
        <v>chest_shard</v>
      </c>
      <c r="AG98" s="635" t="str">
        <f t="shared" si="59"/>
        <v>resource_icon_doublekey</v>
      </c>
      <c r="AH98" s="635" t="str">
        <f t="shared" si="76"/>
        <v>resource_icon_diamond</v>
      </c>
      <c r="AI98" s="635" t="str">
        <f t="shared" si="68"/>
        <v>[24204,111,101]</v>
      </c>
      <c r="AJ98" s="635" t="str">
        <f t="shared" si="69"/>
        <v>[10,800,100]</v>
      </c>
      <c r="AK98" s="635" t="str">
        <f t="shared" si="70"/>
        <v>[chest_shard,resource_icon_doublekey,resource_icon_diamond]</v>
      </c>
      <c r="AL98" s="635" t="str">
        <f t="shared" si="71"/>
        <v>5+10+碎片礼包</v>
      </c>
    </row>
    <row r="99" spans="7:38" x14ac:dyDescent="0.35">
      <c r="G99" s="635">
        <v>5</v>
      </c>
      <c r="H99" s="635" t="s">
        <v>2990</v>
      </c>
      <c r="I99" s="635" t="s">
        <v>2882</v>
      </c>
      <c r="J99" s="635" t="s">
        <v>929</v>
      </c>
      <c r="K99" s="635" t="e">
        <f t="shared" si="65"/>
        <v>#N/A</v>
      </c>
      <c r="L99" s="635">
        <f t="shared" si="55"/>
        <v>125</v>
      </c>
      <c r="M99" s="635">
        <f t="shared" si="72"/>
        <v>2.5000000000000001E-3</v>
      </c>
      <c r="N99" s="635">
        <v>20</v>
      </c>
      <c r="O99" s="635">
        <f>N99*基础经济系数!$C$2</f>
        <v>2000</v>
      </c>
      <c r="P99" s="635">
        <v>4</v>
      </c>
      <c r="Q99" s="635">
        <f t="shared" si="3"/>
        <v>8000</v>
      </c>
      <c r="R99" s="635">
        <v>6</v>
      </c>
      <c r="S99" s="635" t="e">
        <f t="shared" si="14"/>
        <v>#N/A</v>
      </c>
      <c r="T99" s="635" t="e">
        <f t="shared" si="15"/>
        <v>#N/A</v>
      </c>
      <c r="U99" s="635">
        <v>10</v>
      </c>
      <c r="V99" s="635">
        <f t="shared" si="16"/>
        <v>1250</v>
      </c>
      <c r="W99" s="635">
        <f t="shared" si="17"/>
        <v>0.15625</v>
      </c>
      <c r="X99" s="635">
        <v>110000</v>
      </c>
      <c r="Y99" s="635" t="e">
        <f t="shared" si="73"/>
        <v>#N/A</v>
      </c>
      <c r="Z99" s="635" t="e">
        <f t="shared" si="74"/>
        <v>#N/A</v>
      </c>
      <c r="AA99" s="635" t="e">
        <f t="shared" si="66"/>
        <v>#N/A</v>
      </c>
      <c r="AB99" s="635" t="e">
        <f t="shared" si="67"/>
        <v>#N/A</v>
      </c>
      <c r="AC99" s="635">
        <f t="shared" si="56"/>
        <v>23205</v>
      </c>
      <c r="AD99" s="635">
        <f t="shared" si="57"/>
        <v>100502</v>
      </c>
      <c r="AE99" s="635">
        <f t="shared" si="75"/>
        <v>102</v>
      </c>
      <c r="AF99" s="635" t="str">
        <f t="shared" si="58"/>
        <v>chest_tankpart</v>
      </c>
      <c r="AG99" s="635" t="str">
        <f t="shared" si="59"/>
        <v>resource_icon_quicken</v>
      </c>
      <c r="AH99" s="635" t="str">
        <f t="shared" si="76"/>
        <v>resource_icon_fund</v>
      </c>
      <c r="AI99" s="635" t="str">
        <f t="shared" si="68"/>
        <v>[23205,100502,102]</v>
      </c>
      <c r="AJ99" s="635" t="str">
        <f t="shared" si="69"/>
        <v>[6,10,110000]</v>
      </c>
      <c r="AK99" s="635" t="str">
        <f t="shared" si="70"/>
        <v>[chest_tankpart,resource_icon_quicken,resource_icon_fund]</v>
      </c>
      <c r="AL99" s="635" t="str">
        <f t="shared" si="71"/>
        <v>5+20+部件礼包</v>
      </c>
    </row>
    <row r="100" spans="7:38" x14ac:dyDescent="0.35">
      <c r="G100" s="635">
        <v>5</v>
      </c>
      <c r="H100" s="635" t="s">
        <v>3005</v>
      </c>
      <c r="I100" s="635" t="s">
        <v>2671</v>
      </c>
      <c r="J100" s="635" t="s">
        <v>932</v>
      </c>
      <c r="K100" s="635">
        <f t="shared" si="65"/>
        <v>435</v>
      </c>
      <c r="L100" s="635">
        <f t="shared" si="55"/>
        <v>0.75</v>
      </c>
      <c r="M100" s="635">
        <f t="shared" si="72"/>
        <v>1</v>
      </c>
      <c r="N100" s="635">
        <v>20</v>
      </c>
      <c r="O100" s="635">
        <f>N100*基础经济系数!$C$2</f>
        <v>2000</v>
      </c>
      <c r="P100" s="635">
        <v>4</v>
      </c>
      <c r="Q100" s="635">
        <f t="shared" si="3"/>
        <v>8000</v>
      </c>
      <c r="R100" s="635">
        <v>18</v>
      </c>
      <c r="S100" s="635">
        <f t="shared" si="14"/>
        <v>7830</v>
      </c>
      <c r="T100" s="635">
        <f t="shared" si="15"/>
        <v>0.97875000000000001</v>
      </c>
      <c r="U100" s="635">
        <v>1000</v>
      </c>
      <c r="V100" s="635">
        <f t="shared" si="16"/>
        <v>750</v>
      </c>
      <c r="W100" s="635">
        <f t="shared" si="17"/>
        <v>9.375E-2</v>
      </c>
      <c r="X100" s="635">
        <v>230</v>
      </c>
      <c r="Y100" s="635">
        <f t="shared" si="73"/>
        <v>-580.00000000000011</v>
      </c>
      <c r="Z100" s="635">
        <f t="shared" si="74"/>
        <v>-7.2500000000000009E-2</v>
      </c>
      <c r="AA100" s="635">
        <f t="shared" si="66"/>
        <v>8810</v>
      </c>
      <c r="AB100" s="635">
        <f t="shared" si="67"/>
        <v>0.77298524404086266</v>
      </c>
      <c r="AC100" s="635">
        <f t="shared" si="56"/>
        <v>24205</v>
      </c>
      <c r="AD100" s="635">
        <f t="shared" si="57"/>
        <v>111</v>
      </c>
      <c r="AE100" s="635">
        <f t="shared" si="75"/>
        <v>101</v>
      </c>
      <c r="AF100" s="635" t="str">
        <f t="shared" si="58"/>
        <v>chest_shard</v>
      </c>
      <c r="AG100" s="635" t="str">
        <f t="shared" si="59"/>
        <v>resource_icon_doublekey</v>
      </c>
      <c r="AH100" s="635" t="str">
        <f t="shared" si="76"/>
        <v>resource_icon_diamond</v>
      </c>
      <c r="AI100" s="635" t="str">
        <f t="shared" si="68"/>
        <v>[24205,111,101]</v>
      </c>
      <c r="AJ100" s="635" t="str">
        <f t="shared" si="69"/>
        <v>[18,1000,230]</v>
      </c>
      <c r="AK100" s="635" t="str">
        <f t="shared" si="70"/>
        <v>[chest_shard,resource_icon_doublekey,resource_icon_diamond]</v>
      </c>
      <c r="AL100" s="635" t="str">
        <f t="shared" si="71"/>
        <v>5+20+碎片礼包</v>
      </c>
    </row>
    <row r="101" spans="7:38" x14ac:dyDescent="0.35">
      <c r="G101" s="635">
        <v>5</v>
      </c>
      <c r="H101" s="635" t="s">
        <v>2990</v>
      </c>
      <c r="I101" s="635" t="s">
        <v>2882</v>
      </c>
      <c r="J101" s="635" t="s">
        <v>929</v>
      </c>
      <c r="K101" s="635" t="e">
        <f t="shared" si="65"/>
        <v>#N/A</v>
      </c>
      <c r="L101" s="635">
        <f t="shared" si="55"/>
        <v>125</v>
      </c>
      <c r="M101" s="635">
        <f t="shared" si="72"/>
        <v>2.5000000000000001E-3</v>
      </c>
      <c r="N101" s="635">
        <v>50</v>
      </c>
      <c r="O101" s="635">
        <f>N101*基础经济系数!$C$2</f>
        <v>5000</v>
      </c>
      <c r="P101" s="635">
        <v>4</v>
      </c>
      <c r="Q101" s="635">
        <f t="shared" si="3"/>
        <v>20000</v>
      </c>
      <c r="R101" s="635">
        <v>15</v>
      </c>
      <c r="S101" s="635" t="e">
        <f t="shared" si="14"/>
        <v>#N/A</v>
      </c>
      <c r="T101" s="635" t="e">
        <f t="shared" si="15"/>
        <v>#N/A</v>
      </c>
      <c r="U101" s="635">
        <v>25</v>
      </c>
      <c r="V101" s="635">
        <f t="shared" si="16"/>
        <v>3125</v>
      </c>
      <c r="W101" s="635">
        <f t="shared" si="17"/>
        <v>0.15625</v>
      </c>
      <c r="X101" s="635">
        <v>270000</v>
      </c>
      <c r="Y101" s="635" t="e">
        <f t="shared" si="73"/>
        <v>#N/A</v>
      </c>
      <c r="Z101" s="635" t="e">
        <f t="shared" si="74"/>
        <v>#N/A</v>
      </c>
      <c r="AA101" s="635" t="e">
        <f t="shared" si="66"/>
        <v>#N/A</v>
      </c>
      <c r="AB101" s="635" t="e">
        <f t="shared" si="67"/>
        <v>#N/A</v>
      </c>
      <c r="AC101" s="635">
        <f t="shared" si="56"/>
        <v>23205</v>
      </c>
      <c r="AD101" s="635">
        <f t="shared" si="57"/>
        <v>100502</v>
      </c>
      <c r="AE101" s="635">
        <f t="shared" si="75"/>
        <v>102</v>
      </c>
      <c r="AF101" s="635" t="str">
        <f t="shared" si="58"/>
        <v>chest_tankpart</v>
      </c>
      <c r="AG101" s="635" t="str">
        <f t="shared" si="59"/>
        <v>resource_icon_quicken</v>
      </c>
      <c r="AH101" s="635" t="str">
        <f t="shared" si="76"/>
        <v>resource_icon_fund</v>
      </c>
      <c r="AI101" s="635" t="str">
        <f t="shared" si="68"/>
        <v>[23205,100502,102]</v>
      </c>
      <c r="AJ101" s="635" t="str">
        <f t="shared" si="69"/>
        <v>[15,25,270000]</v>
      </c>
      <c r="AK101" s="635" t="str">
        <f t="shared" si="70"/>
        <v>[chest_tankpart,resource_icon_quicken,resource_icon_fund]</v>
      </c>
      <c r="AL101" s="635" t="str">
        <f t="shared" si="71"/>
        <v>5+50+部件礼包</v>
      </c>
    </row>
    <row r="102" spans="7:38" x14ac:dyDescent="0.35">
      <c r="G102" s="635">
        <v>5</v>
      </c>
      <c r="H102" s="635" t="s">
        <v>3005</v>
      </c>
      <c r="I102" s="635" t="s">
        <v>2671</v>
      </c>
      <c r="J102" s="635" t="s">
        <v>932</v>
      </c>
      <c r="K102" s="635">
        <f t="shared" si="65"/>
        <v>435</v>
      </c>
      <c r="L102" s="635">
        <f t="shared" si="55"/>
        <v>0.75</v>
      </c>
      <c r="M102" s="635">
        <f t="shared" si="72"/>
        <v>1</v>
      </c>
      <c r="N102" s="635">
        <v>50</v>
      </c>
      <c r="O102" s="635">
        <f>N102*基础经济系数!$C$2</f>
        <v>5000</v>
      </c>
      <c r="P102" s="635">
        <v>4</v>
      </c>
      <c r="Q102" s="635">
        <f t="shared" si="3"/>
        <v>20000</v>
      </c>
      <c r="R102" s="635">
        <v>45</v>
      </c>
      <c r="S102" s="635">
        <f t="shared" si="14"/>
        <v>19575</v>
      </c>
      <c r="T102" s="635">
        <f t="shared" si="15"/>
        <v>0.97875000000000001</v>
      </c>
      <c r="U102" s="635">
        <v>1500</v>
      </c>
      <c r="V102" s="635">
        <f t="shared" si="16"/>
        <v>1125</v>
      </c>
      <c r="W102" s="635">
        <f t="shared" si="17"/>
        <v>5.6250000000000001E-2</v>
      </c>
      <c r="X102" s="635">
        <v>1340</v>
      </c>
      <c r="Y102" s="635">
        <f t="shared" si="73"/>
        <v>-700.00000000000023</v>
      </c>
      <c r="Z102" s="635">
        <f t="shared" si="74"/>
        <v>-3.500000000000001E-2</v>
      </c>
      <c r="AA102" s="635">
        <f t="shared" si="66"/>
        <v>22040</v>
      </c>
      <c r="AB102" s="635">
        <f t="shared" si="67"/>
        <v>0.77313974591651546</v>
      </c>
      <c r="AC102" s="635">
        <f t="shared" si="56"/>
        <v>24205</v>
      </c>
      <c r="AD102" s="635">
        <f t="shared" si="57"/>
        <v>111</v>
      </c>
      <c r="AE102" s="635">
        <f t="shared" si="75"/>
        <v>101</v>
      </c>
      <c r="AF102" s="635" t="str">
        <f t="shared" si="58"/>
        <v>chest_shard</v>
      </c>
      <c r="AG102" s="635" t="str">
        <f t="shared" si="59"/>
        <v>resource_icon_doublekey</v>
      </c>
      <c r="AH102" s="635" t="str">
        <f t="shared" si="76"/>
        <v>resource_icon_diamond</v>
      </c>
      <c r="AI102" s="635" t="str">
        <f t="shared" si="68"/>
        <v>[24205,111,101]</v>
      </c>
      <c r="AJ102" s="635" t="str">
        <f t="shared" si="69"/>
        <v>[45,1500,1340]</v>
      </c>
      <c r="AK102" s="635" t="str">
        <f t="shared" si="70"/>
        <v>[chest_shard,resource_icon_doublekey,resource_icon_diamond]</v>
      </c>
      <c r="AL102" s="635" t="str">
        <f t="shared" si="71"/>
        <v>5+50+碎片礼包</v>
      </c>
    </row>
    <row r="103" spans="7:38" x14ac:dyDescent="0.35">
      <c r="G103" s="635">
        <v>5</v>
      </c>
      <c r="H103" s="636" t="s">
        <v>3050</v>
      </c>
      <c r="I103" s="635" t="s">
        <v>2882</v>
      </c>
      <c r="J103" s="635" t="s">
        <v>929</v>
      </c>
      <c r="K103" s="635" t="e">
        <f t="shared" si="65"/>
        <v>#N/A</v>
      </c>
      <c r="L103" s="635">
        <f t="shared" si="55"/>
        <v>125</v>
      </c>
      <c r="M103" s="635">
        <f t="shared" si="72"/>
        <v>2.5000000000000001E-3</v>
      </c>
      <c r="N103" s="635">
        <v>5</v>
      </c>
      <c r="O103" s="635">
        <f>N103*基础经济系数!$C$2</f>
        <v>500</v>
      </c>
      <c r="P103" s="635">
        <v>3</v>
      </c>
      <c r="Q103" s="635">
        <f t="shared" ref="Q103:Q118" si="77">O103*P103</f>
        <v>1500</v>
      </c>
      <c r="R103" s="635">
        <v>1</v>
      </c>
      <c r="S103" s="635" t="e">
        <f t="shared" ref="S103:S118" si="78">R103*K103</f>
        <v>#N/A</v>
      </c>
      <c r="T103" s="635" t="e">
        <f t="shared" ref="T103:T118" si="79">S103/Q103</f>
        <v>#N/A</v>
      </c>
      <c r="U103" s="635">
        <v>6</v>
      </c>
      <c r="V103" s="635">
        <f t="shared" ref="V103:V118" si="80">U103*L103</f>
        <v>750</v>
      </c>
      <c r="W103" s="635">
        <f t="shared" ref="W103:W118" si="81">V103/Q103</f>
        <v>0.5</v>
      </c>
      <c r="X103" s="635">
        <v>15000</v>
      </c>
      <c r="Y103" s="635" t="e">
        <f t="shared" si="73"/>
        <v>#N/A</v>
      </c>
      <c r="Z103" s="635" t="e">
        <f t="shared" si="74"/>
        <v>#N/A</v>
      </c>
      <c r="AA103" s="635" t="e">
        <f t="shared" si="66"/>
        <v>#N/A</v>
      </c>
      <c r="AB103" s="635" t="e">
        <f t="shared" si="67"/>
        <v>#N/A</v>
      </c>
      <c r="AC103" s="635">
        <f t="shared" si="56"/>
        <v>23204</v>
      </c>
      <c r="AD103" s="635">
        <f t="shared" si="57"/>
        <v>100502</v>
      </c>
      <c r="AE103" s="635">
        <f t="shared" si="75"/>
        <v>102</v>
      </c>
      <c r="AF103" s="635" t="str">
        <f t="shared" si="58"/>
        <v>chest_tankpart</v>
      </c>
      <c r="AG103" s="635" t="str">
        <f t="shared" si="59"/>
        <v>resource_icon_quicken</v>
      </c>
      <c r="AH103" s="635" t="str">
        <f t="shared" si="76"/>
        <v>resource_icon_fund</v>
      </c>
      <c r="AI103" s="635" t="str">
        <f t="shared" si="68"/>
        <v>[23204,100502,102]</v>
      </c>
      <c r="AJ103" s="635" t="str">
        <f t="shared" si="69"/>
        <v>[1,6,15000]</v>
      </c>
      <c r="AK103" s="635" t="str">
        <f t="shared" si="70"/>
        <v>[chest_tankpart,resource_icon_quicken,resource_icon_fund]</v>
      </c>
      <c r="AL103" s="635" t="str">
        <f t="shared" si="71"/>
        <v>5+5+部件礼包</v>
      </c>
    </row>
    <row r="104" spans="7:38" x14ac:dyDescent="0.35">
      <c r="G104" s="635">
        <v>5</v>
      </c>
      <c r="H104" s="636" t="s">
        <v>3035</v>
      </c>
      <c r="I104" s="635" t="s">
        <v>2671</v>
      </c>
      <c r="J104" s="635" t="s">
        <v>932</v>
      </c>
      <c r="K104" s="635">
        <f t="shared" si="65"/>
        <v>390</v>
      </c>
      <c r="L104" s="635">
        <f t="shared" si="55"/>
        <v>0.75</v>
      </c>
      <c r="M104" s="635">
        <f t="shared" si="72"/>
        <v>1</v>
      </c>
      <c r="N104" s="635">
        <v>5</v>
      </c>
      <c r="O104" s="635">
        <f>N104*基础经济系数!$C$2</f>
        <v>500</v>
      </c>
      <c r="P104" s="635">
        <v>3</v>
      </c>
      <c r="Q104" s="635">
        <f t="shared" si="77"/>
        <v>1500</v>
      </c>
      <c r="R104" s="635">
        <v>4</v>
      </c>
      <c r="S104" s="635">
        <f t="shared" si="78"/>
        <v>1560</v>
      </c>
      <c r="T104" s="635">
        <f t="shared" si="79"/>
        <v>1.04</v>
      </c>
      <c r="U104" s="635">
        <v>200</v>
      </c>
      <c r="V104" s="635">
        <f t="shared" si="80"/>
        <v>150</v>
      </c>
      <c r="W104" s="635">
        <f t="shared" si="81"/>
        <v>0.1</v>
      </c>
      <c r="X104" s="635">
        <v>30</v>
      </c>
      <c r="Y104" s="635">
        <f t="shared" si="73"/>
        <v>-210.00000000000006</v>
      </c>
      <c r="Z104" s="635">
        <f t="shared" si="74"/>
        <v>-0.14000000000000004</v>
      </c>
      <c r="AA104" s="635">
        <f t="shared" si="66"/>
        <v>1740</v>
      </c>
      <c r="AB104" s="635">
        <f t="shared" si="67"/>
        <v>0.71264367816091956</v>
      </c>
      <c r="AC104" s="635">
        <f t="shared" si="56"/>
        <v>24204</v>
      </c>
      <c r="AD104" s="635">
        <f t="shared" si="57"/>
        <v>111</v>
      </c>
      <c r="AE104" s="635">
        <f t="shared" si="75"/>
        <v>101</v>
      </c>
      <c r="AF104" s="635" t="str">
        <f t="shared" si="58"/>
        <v>chest_shard</v>
      </c>
      <c r="AG104" s="635" t="str">
        <f t="shared" si="59"/>
        <v>resource_icon_doublekey</v>
      </c>
      <c r="AH104" s="635" t="str">
        <f t="shared" si="76"/>
        <v>resource_icon_diamond</v>
      </c>
      <c r="AI104" s="635" t="str">
        <f t="shared" si="68"/>
        <v>[24204,111,101]</v>
      </c>
      <c r="AJ104" s="635" t="str">
        <f t="shared" si="69"/>
        <v>[4,200,30]</v>
      </c>
      <c r="AK104" s="635" t="str">
        <f t="shared" si="70"/>
        <v>[chest_shard,resource_icon_doublekey,resource_icon_diamond]</v>
      </c>
      <c r="AL104" s="635" t="str">
        <f t="shared" si="71"/>
        <v>5+5+碎片礼包</v>
      </c>
    </row>
    <row r="105" spans="7:38" x14ac:dyDescent="0.35">
      <c r="G105" s="635">
        <v>5</v>
      </c>
      <c r="H105" s="636" t="s">
        <v>3050</v>
      </c>
      <c r="I105" s="635" t="s">
        <v>2882</v>
      </c>
      <c r="J105" s="635" t="s">
        <v>929</v>
      </c>
      <c r="K105" s="635" t="e">
        <f t="shared" si="65"/>
        <v>#N/A</v>
      </c>
      <c r="L105" s="635">
        <f t="shared" ref="L105:L136" si="82">VLOOKUP(I105,$B$40:$C$81,2,FALSE)</f>
        <v>125</v>
      </c>
      <c r="M105" s="635">
        <f t="shared" si="72"/>
        <v>2.5000000000000001E-3</v>
      </c>
      <c r="N105" s="635">
        <v>10</v>
      </c>
      <c r="O105" s="635">
        <f>N105*基础经济系数!$C$2</f>
        <v>1000</v>
      </c>
      <c r="P105" s="635">
        <v>3</v>
      </c>
      <c r="Q105" s="635">
        <f t="shared" si="77"/>
        <v>3000</v>
      </c>
      <c r="R105" s="635">
        <v>3</v>
      </c>
      <c r="S105" s="635" t="e">
        <f t="shared" si="78"/>
        <v>#N/A</v>
      </c>
      <c r="T105" s="635" t="e">
        <f t="shared" si="79"/>
        <v>#N/A</v>
      </c>
      <c r="U105" s="635">
        <v>6</v>
      </c>
      <c r="V105" s="635">
        <f t="shared" si="80"/>
        <v>750</v>
      </c>
      <c r="W105" s="635">
        <f t="shared" si="81"/>
        <v>0.25</v>
      </c>
      <c r="X105" s="635">
        <v>40000</v>
      </c>
      <c r="Y105" s="635" t="e">
        <f t="shared" si="73"/>
        <v>#N/A</v>
      </c>
      <c r="Z105" s="635" t="e">
        <f t="shared" si="74"/>
        <v>#N/A</v>
      </c>
      <c r="AA105" s="635" t="e">
        <f t="shared" si="66"/>
        <v>#N/A</v>
      </c>
      <c r="AB105" s="635" t="e">
        <f t="shared" si="67"/>
        <v>#N/A</v>
      </c>
      <c r="AC105" s="635">
        <f t="shared" ref="AC105:AC136" si="83">VLOOKUP(H105,道具ID,2,FALSE)</f>
        <v>23204</v>
      </c>
      <c r="AD105" s="635">
        <f t="shared" ref="AD105:AD136" si="84">VLOOKUP(I105,道具ID,2,FALSE)</f>
        <v>100502</v>
      </c>
      <c r="AE105" s="635">
        <f t="shared" si="75"/>
        <v>102</v>
      </c>
      <c r="AF105" s="635" t="str">
        <f t="shared" ref="AF105:AF136" si="85">VLOOKUP(H105,道具ID,3,FALSE)</f>
        <v>chest_tankpart</v>
      </c>
      <c r="AG105" s="635" t="str">
        <f t="shared" ref="AG105:AG136" si="86">VLOOKUP(I105,道具ID,3,FALSE)</f>
        <v>resource_icon_quicken</v>
      </c>
      <c r="AH105" s="635" t="str">
        <f t="shared" si="76"/>
        <v>resource_icon_fund</v>
      </c>
      <c r="AI105" s="635" t="str">
        <f t="shared" si="68"/>
        <v>[23204,100502,102]</v>
      </c>
      <c r="AJ105" s="635" t="str">
        <f t="shared" si="69"/>
        <v>[3,6,40000]</v>
      </c>
      <c r="AK105" s="635" t="str">
        <f t="shared" si="70"/>
        <v>[chest_tankpart,resource_icon_quicken,resource_icon_fund]</v>
      </c>
      <c r="AL105" s="635" t="str">
        <f t="shared" si="71"/>
        <v>5+10+部件礼包</v>
      </c>
    </row>
    <row r="106" spans="7:38" x14ac:dyDescent="0.35">
      <c r="G106" s="635">
        <v>5</v>
      </c>
      <c r="H106" s="636" t="s">
        <v>3036</v>
      </c>
      <c r="I106" s="635" t="s">
        <v>2671</v>
      </c>
      <c r="J106" s="635" t="s">
        <v>932</v>
      </c>
      <c r="K106" s="635">
        <f t="shared" si="65"/>
        <v>390</v>
      </c>
      <c r="L106" s="635">
        <f t="shared" si="82"/>
        <v>0.75</v>
      </c>
      <c r="M106" s="635">
        <f t="shared" si="72"/>
        <v>1</v>
      </c>
      <c r="N106" s="635">
        <v>10</v>
      </c>
      <c r="O106" s="635">
        <f>N106*基础经济系数!$C$2</f>
        <v>1000</v>
      </c>
      <c r="P106" s="635">
        <v>3</v>
      </c>
      <c r="Q106" s="635">
        <f t="shared" si="77"/>
        <v>3000</v>
      </c>
      <c r="R106" s="635">
        <v>8</v>
      </c>
      <c r="S106" s="635">
        <f t="shared" si="78"/>
        <v>3120</v>
      </c>
      <c r="T106" s="635">
        <f t="shared" si="79"/>
        <v>1.04</v>
      </c>
      <c r="U106" s="635">
        <v>400</v>
      </c>
      <c r="V106" s="635">
        <f t="shared" si="80"/>
        <v>300</v>
      </c>
      <c r="W106" s="635">
        <f t="shared" si="81"/>
        <v>0.1</v>
      </c>
      <c r="X106" s="635">
        <v>60</v>
      </c>
      <c r="Y106" s="635">
        <f t="shared" si="73"/>
        <v>-420.00000000000011</v>
      </c>
      <c r="Z106" s="635">
        <f t="shared" si="74"/>
        <v>-0.14000000000000004</v>
      </c>
      <c r="AA106" s="635">
        <f t="shared" si="66"/>
        <v>3480</v>
      </c>
      <c r="AB106" s="635">
        <f t="shared" si="67"/>
        <v>0.71264367816091956</v>
      </c>
      <c r="AC106" s="635">
        <f t="shared" si="83"/>
        <v>24204</v>
      </c>
      <c r="AD106" s="635">
        <f t="shared" si="84"/>
        <v>111</v>
      </c>
      <c r="AE106" s="635">
        <f t="shared" si="75"/>
        <v>101</v>
      </c>
      <c r="AF106" s="635" t="str">
        <f t="shared" si="85"/>
        <v>chest_shard</v>
      </c>
      <c r="AG106" s="635" t="str">
        <f t="shared" si="86"/>
        <v>resource_icon_doublekey</v>
      </c>
      <c r="AH106" s="635" t="str">
        <f t="shared" si="76"/>
        <v>resource_icon_diamond</v>
      </c>
      <c r="AI106" s="635" t="str">
        <f t="shared" si="68"/>
        <v>[24204,111,101]</v>
      </c>
      <c r="AJ106" s="635" t="str">
        <f t="shared" si="69"/>
        <v>[8,400,60]</v>
      </c>
      <c r="AK106" s="635" t="str">
        <f t="shared" si="70"/>
        <v>[chest_shard,resource_icon_doublekey,resource_icon_diamond]</v>
      </c>
      <c r="AL106" s="635" t="str">
        <f t="shared" si="71"/>
        <v>5+10+碎片礼包</v>
      </c>
    </row>
    <row r="107" spans="7:38" x14ac:dyDescent="0.35">
      <c r="G107" s="635">
        <v>5</v>
      </c>
      <c r="H107" s="636" t="s">
        <v>3051</v>
      </c>
      <c r="I107" s="635" t="s">
        <v>2882</v>
      </c>
      <c r="J107" s="635" t="s">
        <v>929</v>
      </c>
      <c r="K107" s="635" t="e">
        <f t="shared" si="65"/>
        <v>#N/A</v>
      </c>
      <c r="L107" s="635">
        <f t="shared" si="82"/>
        <v>125</v>
      </c>
      <c r="M107" s="635">
        <f t="shared" si="72"/>
        <v>2.5000000000000001E-3</v>
      </c>
      <c r="N107" s="635">
        <v>20</v>
      </c>
      <c r="O107" s="635">
        <f>N107*基础经济系数!$C$2</f>
        <v>2000</v>
      </c>
      <c r="P107" s="635">
        <v>3</v>
      </c>
      <c r="Q107" s="635">
        <f t="shared" si="77"/>
        <v>6000</v>
      </c>
      <c r="R107" s="635">
        <v>5</v>
      </c>
      <c r="S107" s="635" t="e">
        <f t="shared" si="78"/>
        <v>#N/A</v>
      </c>
      <c r="T107" s="635" t="e">
        <f t="shared" si="79"/>
        <v>#N/A</v>
      </c>
      <c r="U107" s="635">
        <v>3</v>
      </c>
      <c r="V107" s="635">
        <f t="shared" si="80"/>
        <v>375</v>
      </c>
      <c r="W107" s="635">
        <f t="shared" si="81"/>
        <v>6.25E-2</v>
      </c>
      <c r="X107" s="635">
        <v>90000</v>
      </c>
      <c r="Y107" s="635" t="e">
        <f t="shared" si="73"/>
        <v>#N/A</v>
      </c>
      <c r="Z107" s="635" t="e">
        <f t="shared" si="74"/>
        <v>#N/A</v>
      </c>
      <c r="AA107" s="635" t="e">
        <f t="shared" si="66"/>
        <v>#N/A</v>
      </c>
      <c r="AB107" s="635" t="e">
        <f t="shared" si="67"/>
        <v>#N/A</v>
      </c>
      <c r="AC107" s="635">
        <f t="shared" si="83"/>
        <v>23205</v>
      </c>
      <c r="AD107" s="635">
        <f t="shared" si="84"/>
        <v>100502</v>
      </c>
      <c r="AE107" s="635">
        <f t="shared" si="75"/>
        <v>102</v>
      </c>
      <c r="AF107" s="635" t="str">
        <f t="shared" si="85"/>
        <v>chest_tankpart</v>
      </c>
      <c r="AG107" s="635" t="str">
        <f t="shared" si="86"/>
        <v>resource_icon_quicken</v>
      </c>
      <c r="AH107" s="635" t="str">
        <f t="shared" si="76"/>
        <v>resource_icon_fund</v>
      </c>
      <c r="AI107" s="635" t="str">
        <f t="shared" si="68"/>
        <v>[23205,100502,102]</v>
      </c>
      <c r="AJ107" s="635" t="str">
        <f t="shared" si="69"/>
        <v>[5,3,90000]</v>
      </c>
      <c r="AK107" s="635" t="str">
        <f t="shared" si="70"/>
        <v>[chest_tankpart,resource_icon_quicken,resource_icon_fund]</v>
      </c>
      <c r="AL107" s="635" t="str">
        <f t="shared" si="71"/>
        <v>5+20+部件礼包</v>
      </c>
    </row>
    <row r="108" spans="7:38" x14ac:dyDescent="0.35">
      <c r="G108" s="635">
        <v>5</v>
      </c>
      <c r="H108" s="635" t="s">
        <v>3005</v>
      </c>
      <c r="I108" s="635" t="s">
        <v>2671</v>
      </c>
      <c r="J108" s="635" t="s">
        <v>932</v>
      </c>
      <c r="K108" s="635">
        <f t="shared" si="65"/>
        <v>435</v>
      </c>
      <c r="L108" s="635">
        <f t="shared" si="82"/>
        <v>0.75</v>
      </c>
      <c r="M108" s="635">
        <f t="shared" si="72"/>
        <v>1</v>
      </c>
      <c r="N108" s="635">
        <v>20</v>
      </c>
      <c r="O108" s="635">
        <f>N108*基础经济系数!$C$2</f>
        <v>2000</v>
      </c>
      <c r="P108" s="635">
        <v>3</v>
      </c>
      <c r="Q108" s="635">
        <f t="shared" si="77"/>
        <v>6000</v>
      </c>
      <c r="R108" s="635">
        <v>14</v>
      </c>
      <c r="S108" s="635">
        <f t="shared" si="78"/>
        <v>6090</v>
      </c>
      <c r="T108" s="635">
        <f t="shared" si="79"/>
        <v>1.0149999999999999</v>
      </c>
      <c r="U108" s="635">
        <v>600</v>
      </c>
      <c r="V108" s="635">
        <f t="shared" si="80"/>
        <v>450</v>
      </c>
      <c r="W108" s="635">
        <f t="shared" si="81"/>
        <v>7.4999999999999997E-2</v>
      </c>
      <c r="X108" s="635">
        <v>90</v>
      </c>
      <c r="Y108" s="635">
        <f t="shared" si="73"/>
        <v>-539.99999999999943</v>
      </c>
      <c r="Z108" s="635">
        <f t="shared" si="74"/>
        <v>-8.99999999999999E-2</v>
      </c>
      <c r="AA108" s="635">
        <f t="shared" si="66"/>
        <v>6630</v>
      </c>
      <c r="AB108" s="635">
        <f t="shared" si="67"/>
        <v>0.69834087481146301</v>
      </c>
      <c r="AC108" s="635">
        <f t="shared" si="83"/>
        <v>24205</v>
      </c>
      <c r="AD108" s="635">
        <f t="shared" si="84"/>
        <v>111</v>
      </c>
      <c r="AE108" s="635">
        <f t="shared" si="75"/>
        <v>101</v>
      </c>
      <c r="AF108" s="635" t="str">
        <f t="shared" si="85"/>
        <v>chest_shard</v>
      </c>
      <c r="AG108" s="635" t="str">
        <f t="shared" si="86"/>
        <v>resource_icon_doublekey</v>
      </c>
      <c r="AH108" s="635" t="str">
        <f t="shared" si="76"/>
        <v>resource_icon_diamond</v>
      </c>
      <c r="AI108" s="635" t="str">
        <f t="shared" si="68"/>
        <v>[24205,111,101]</v>
      </c>
      <c r="AJ108" s="635" t="str">
        <f t="shared" si="69"/>
        <v>[14,600,90]</v>
      </c>
      <c r="AK108" s="635" t="str">
        <f t="shared" si="70"/>
        <v>[chest_shard,resource_icon_doublekey,resource_icon_diamond]</v>
      </c>
      <c r="AL108" s="635" t="str">
        <f t="shared" si="71"/>
        <v>5+20+碎片礼包</v>
      </c>
    </row>
    <row r="109" spans="7:38" x14ac:dyDescent="0.35">
      <c r="G109" s="635">
        <v>5</v>
      </c>
      <c r="H109" s="636" t="s">
        <v>3052</v>
      </c>
      <c r="I109" s="635" t="s">
        <v>2882</v>
      </c>
      <c r="J109" s="635" t="s">
        <v>929</v>
      </c>
      <c r="K109" s="635" t="e">
        <f t="shared" si="65"/>
        <v>#N/A</v>
      </c>
      <c r="L109" s="635">
        <f t="shared" si="82"/>
        <v>125</v>
      </c>
      <c r="M109" s="635">
        <f t="shared" si="72"/>
        <v>2.5000000000000001E-3</v>
      </c>
      <c r="N109" s="635">
        <v>50</v>
      </c>
      <c r="O109" s="635">
        <f>N109*基础经济系数!$C$2</f>
        <v>5000</v>
      </c>
      <c r="P109" s="635">
        <v>3</v>
      </c>
      <c r="Q109" s="635">
        <f t="shared" si="77"/>
        <v>15000</v>
      </c>
      <c r="R109" s="635">
        <v>10</v>
      </c>
      <c r="S109" s="635" t="e">
        <f t="shared" si="78"/>
        <v>#N/A</v>
      </c>
      <c r="T109" s="635" t="e">
        <f t="shared" si="79"/>
        <v>#N/A</v>
      </c>
      <c r="U109" s="635">
        <v>30</v>
      </c>
      <c r="V109" s="635">
        <f t="shared" si="80"/>
        <v>3750</v>
      </c>
      <c r="W109" s="635">
        <f t="shared" si="81"/>
        <v>0.25</v>
      </c>
      <c r="X109" s="635">
        <v>180000</v>
      </c>
      <c r="Y109" s="635" t="e">
        <f t="shared" si="73"/>
        <v>#N/A</v>
      </c>
      <c r="Z109" s="635" t="e">
        <f t="shared" si="74"/>
        <v>#N/A</v>
      </c>
      <c r="AA109" s="635" t="e">
        <f t="shared" si="66"/>
        <v>#N/A</v>
      </c>
      <c r="AB109" s="635" t="e">
        <f t="shared" si="67"/>
        <v>#N/A</v>
      </c>
      <c r="AC109" s="635">
        <f t="shared" si="83"/>
        <v>23205</v>
      </c>
      <c r="AD109" s="635">
        <f t="shared" si="84"/>
        <v>100502</v>
      </c>
      <c r="AE109" s="635">
        <f t="shared" si="75"/>
        <v>102</v>
      </c>
      <c r="AF109" s="635" t="str">
        <f t="shared" si="85"/>
        <v>chest_tankpart</v>
      </c>
      <c r="AG109" s="635" t="str">
        <f t="shared" si="86"/>
        <v>resource_icon_quicken</v>
      </c>
      <c r="AH109" s="635" t="str">
        <f t="shared" si="76"/>
        <v>resource_icon_fund</v>
      </c>
      <c r="AI109" s="635" t="str">
        <f t="shared" si="68"/>
        <v>[23205,100502,102]</v>
      </c>
      <c r="AJ109" s="635" t="str">
        <f t="shared" si="69"/>
        <v>[10,30,180000]</v>
      </c>
      <c r="AK109" s="635" t="str">
        <f t="shared" si="70"/>
        <v>[chest_tankpart,resource_icon_quicken,resource_icon_fund]</v>
      </c>
      <c r="AL109" s="635" t="str">
        <f t="shared" si="71"/>
        <v>5+50+部件礼包</v>
      </c>
    </row>
    <row r="110" spans="7:38" x14ac:dyDescent="0.35">
      <c r="G110" s="635">
        <v>5</v>
      </c>
      <c r="H110" s="635" t="s">
        <v>3005</v>
      </c>
      <c r="I110" s="635" t="s">
        <v>2671</v>
      </c>
      <c r="J110" s="635" t="s">
        <v>932</v>
      </c>
      <c r="K110" s="635">
        <f t="shared" si="65"/>
        <v>435</v>
      </c>
      <c r="L110" s="635">
        <f t="shared" si="82"/>
        <v>0.75</v>
      </c>
      <c r="M110" s="635">
        <f t="shared" si="72"/>
        <v>1</v>
      </c>
      <c r="N110" s="635">
        <v>50</v>
      </c>
      <c r="O110" s="635">
        <f>N110*基础经济系数!$C$2</f>
        <v>5000</v>
      </c>
      <c r="P110" s="635">
        <v>3</v>
      </c>
      <c r="Q110" s="635">
        <f t="shared" si="77"/>
        <v>15000</v>
      </c>
      <c r="R110" s="635">
        <v>35</v>
      </c>
      <c r="S110" s="635">
        <f t="shared" si="78"/>
        <v>15225</v>
      </c>
      <c r="T110" s="635">
        <f t="shared" si="79"/>
        <v>1.0149999999999999</v>
      </c>
      <c r="U110" s="635">
        <v>1200</v>
      </c>
      <c r="V110" s="635">
        <f t="shared" si="80"/>
        <v>900</v>
      </c>
      <c r="W110" s="635">
        <f t="shared" si="81"/>
        <v>0.06</v>
      </c>
      <c r="X110" s="635">
        <v>450</v>
      </c>
      <c r="Y110" s="635">
        <f t="shared" si="73"/>
        <v>-1124.9999999999984</v>
      </c>
      <c r="Z110" s="635">
        <f t="shared" si="74"/>
        <v>-7.49999999999999E-2</v>
      </c>
      <c r="AA110" s="635">
        <f t="shared" si="66"/>
        <v>16575</v>
      </c>
      <c r="AB110" s="635">
        <f t="shared" si="67"/>
        <v>0.69834087481146301</v>
      </c>
      <c r="AC110" s="635">
        <f t="shared" si="83"/>
        <v>24205</v>
      </c>
      <c r="AD110" s="635">
        <f t="shared" si="84"/>
        <v>111</v>
      </c>
      <c r="AE110" s="635">
        <f t="shared" si="75"/>
        <v>101</v>
      </c>
      <c r="AF110" s="635" t="str">
        <f t="shared" si="85"/>
        <v>chest_shard</v>
      </c>
      <c r="AG110" s="635" t="str">
        <f t="shared" si="86"/>
        <v>resource_icon_doublekey</v>
      </c>
      <c r="AH110" s="635" t="str">
        <f t="shared" si="76"/>
        <v>resource_icon_diamond</v>
      </c>
      <c r="AI110" s="635" t="str">
        <f t="shared" si="68"/>
        <v>[24205,111,101]</v>
      </c>
      <c r="AJ110" s="635" t="str">
        <f t="shared" si="69"/>
        <v>[35,1200,450]</v>
      </c>
      <c r="AK110" s="635" t="str">
        <f t="shared" si="70"/>
        <v>[chest_shard,resource_icon_doublekey,resource_icon_diamond]</v>
      </c>
      <c r="AL110" s="635" t="str">
        <f t="shared" si="71"/>
        <v>5+50+碎片礼包</v>
      </c>
    </row>
    <row r="111" spans="7:38" x14ac:dyDescent="0.35">
      <c r="G111" s="635">
        <v>5</v>
      </c>
      <c r="H111" s="636" t="s">
        <v>3050</v>
      </c>
      <c r="I111" s="635" t="s">
        <v>2882</v>
      </c>
      <c r="J111" s="635" t="s">
        <v>929</v>
      </c>
      <c r="K111" s="635" t="e">
        <f t="shared" si="65"/>
        <v>#N/A</v>
      </c>
      <c r="L111" s="635">
        <f t="shared" si="82"/>
        <v>125</v>
      </c>
      <c r="M111" s="635">
        <f t="shared" si="72"/>
        <v>2.5000000000000001E-3</v>
      </c>
      <c r="N111" s="635">
        <v>5</v>
      </c>
      <c r="O111" s="635">
        <f>N111*基础经济系数!$C$2</f>
        <v>500</v>
      </c>
      <c r="P111" s="635">
        <v>2</v>
      </c>
      <c r="Q111" s="635">
        <f t="shared" si="77"/>
        <v>1000</v>
      </c>
      <c r="R111" s="635">
        <v>1</v>
      </c>
      <c r="S111" s="635" t="e">
        <f t="shared" si="78"/>
        <v>#N/A</v>
      </c>
      <c r="T111" s="635" t="e">
        <f t="shared" si="79"/>
        <v>#N/A</v>
      </c>
      <c r="U111" s="635">
        <v>2</v>
      </c>
      <c r="V111" s="635">
        <f t="shared" si="80"/>
        <v>250</v>
      </c>
      <c r="W111" s="635">
        <f t="shared" si="81"/>
        <v>0.25</v>
      </c>
      <c r="X111" s="635">
        <v>15000</v>
      </c>
      <c r="Y111" s="635" t="e">
        <f t="shared" si="73"/>
        <v>#N/A</v>
      </c>
      <c r="Z111" s="635" t="e">
        <f t="shared" si="74"/>
        <v>#N/A</v>
      </c>
      <c r="AA111" s="635" t="e">
        <f t="shared" si="66"/>
        <v>#N/A</v>
      </c>
      <c r="AB111" s="635" t="e">
        <f t="shared" si="67"/>
        <v>#N/A</v>
      </c>
      <c r="AC111" s="635">
        <f t="shared" si="83"/>
        <v>23204</v>
      </c>
      <c r="AD111" s="635">
        <f t="shared" si="84"/>
        <v>100502</v>
      </c>
      <c r="AE111" s="635">
        <f t="shared" si="75"/>
        <v>102</v>
      </c>
      <c r="AF111" s="635" t="str">
        <f t="shared" si="85"/>
        <v>chest_tankpart</v>
      </c>
      <c r="AG111" s="635" t="str">
        <f t="shared" si="86"/>
        <v>resource_icon_quicken</v>
      </c>
      <c r="AH111" s="635" t="str">
        <f t="shared" si="76"/>
        <v>resource_icon_fund</v>
      </c>
      <c r="AI111" s="635" t="str">
        <f t="shared" si="68"/>
        <v>[23204,100502,102]</v>
      </c>
      <c r="AJ111" s="635" t="str">
        <f t="shared" si="69"/>
        <v>[1,2,15000]</v>
      </c>
      <c r="AK111" s="635" t="str">
        <f t="shared" si="70"/>
        <v>[chest_tankpart,resource_icon_quicken,resource_icon_fund]</v>
      </c>
      <c r="AL111" s="635" t="str">
        <f t="shared" si="71"/>
        <v>5+5+部件礼包</v>
      </c>
    </row>
    <row r="112" spans="7:38" x14ac:dyDescent="0.35">
      <c r="G112" s="635">
        <v>5</v>
      </c>
      <c r="H112" s="636" t="s">
        <v>3035</v>
      </c>
      <c r="I112" s="635" t="s">
        <v>2671</v>
      </c>
      <c r="J112" s="635" t="s">
        <v>932</v>
      </c>
      <c r="K112" s="635">
        <f t="shared" si="65"/>
        <v>390</v>
      </c>
      <c r="L112" s="635">
        <f t="shared" si="82"/>
        <v>0.75</v>
      </c>
      <c r="M112" s="635">
        <f t="shared" si="72"/>
        <v>1</v>
      </c>
      <c r="N112" s="635">
        <v>5</v>
      </c>
      <c r="O112" s="635">
        <f>N112*基础经济系数!$C$2</f>
        <v>500</v>
      </c>
      <c r="P112" s="635">
        <v>2</v>
      </c>
      <c r="Q112" s="635">
        <f t="shared" si="77"/>
        <v>1000</v>
      </c>
      <c r="R112" s="635">
        <v>2</v>
      </c>
      <c r="S112" s="635">
        <f t="shared" si="78"/>
        <v>780</v>
      </c>
      <c r="T112" s="635">
        <f t="shared" si="79"/>
        <v>0.78</v>
      </c>
      <c r="U112" s="635">
        <v>400</v>
      </c>
      <c r="V112" s="635">
        <f t="shared" si="80"/>
        <v>300</v>
      </c>
      <c r="W112" s="635">
        <f t="shared" si="81"/>
        <v>0.3</v>
      </c>
      <c r="X112" s="635">
        <v>40</v>
      </c>
      <c r="Y112" s="635">
        <f t="shared" si="73"/>
        <v>-80.000000000000014</v>
      </c>
      <c r="Z112" s="635">
        <f t="shared" si="74"/>
        <v>-8.0000000000000016E-2</v>
      </c>
      <c r="AA112" s="635">
        <f t="shared" si="66"/>
        <v>1120</v>
      </c>
      <c r="AB112" s="635">
        <f t="shared" si="67"/>
        <v>0.5535714285714286</v>
      </c>
      <c r="AC112" s="635">
        <f t="shared" si="83"/>
        <v>24204</v>
      </c>
      <c r="AD112" s="635">
        <f t="shared" si="84"/>
        <v>111</v>
      </c>
      <c r="AE112" s="635">
        <f t="shared" si="75"/>
        <v>101</v>
      </c>
      <c r="AF112" s="635" t="str">
        <f t="shared" si="85"/>
        <v>chest_shard</v>
      </c>
      <c r="AG112" s="635" t="str">
        <f t="shared" si="86"/>
        <v>resource_icon_doublekey</v>
      </c>
      <c r="AH112" s="635" t="str">
        <f t="shared" si="76"/>
        <v>resource_icon_diamond</v>
      </c>
      <c r="AI112" s="635" t="str">
        <f t="shared" si="68"/>
        <v>[24204,111,101]</v>
      </c>
      <c r="AJ112" s="635" t="str">
        <f t="shared" si="69"/>
        <v>[2,400,40]</v>
      </c>
      <c r="AK112" s="635" t="str">
        <f t="shared" si="70"/>
        <v>[chest_shard,resource_icon_doublekey,resource_icon_diamond]</v>
      </c>
      <c r="AL112" s="635" t="str">
        <f t="shared" si="71"/>
        <v>5+5+碎片礼包</v>
      </c>
    </row>
    <row r="113" spans="7:38" x14ac:dyDescent="0.35">
      <c r="G113" s="635">
        <v>5</v>
      </c>
      <c r="H113" s="636" t="s">
        <v>3050</v>
      </c>
      <c r="I113" s="635" t="s">
        <v>2882</v>
      </c>
      <c r="J113" s="635" t="s">
        <v>929</v>
      </c>
      <c r="K113" s="635" t="e">
        <f t="shared" si="65"/>
        <v>#N/A</v>
      </c>
      <c r="L113" s="635">
        <f t="shared" si="82"/>
        <v>125</v>
      </c>
      <c r="M113" s="635">
        <f t="shared" si="72"/>
        <v>2.5000000000000001E-3</v>
      </c>
      <c r="N113" s="635">
        <v>10</v>
      </c>
      <c r="O113" s="635">
        <f>N113*基础经济系数!$C$2</f>
        <v>1000</v>
      </c>
      <c r="P113" s="635">
        <v>2</v>
      </c>
      <c r="Q113" s="635">
        <f t="shared" si="77"/>
        <v>2000</v>
      </c>
      <c r="R113" s="635">
        <v>2</v>
      </c>
      <c r="S113" s="635" t="e">
        <f t="shared" si="78"/>
        <v>#N/A</v>
      </c>
      <c r="T113" s="635" t="e">
        <f t="shared" si="79"/>
        <v>#N/A</v>
      </c>
      <c r="U113" s="635">
        <v>4</v>
      </c>
      <c r="V113" s="635">
        <f t="shared" si="80"/>
        <v>500</v>
      </c>
      <c r="W113" s="635">
        <f t="shared" si="81"/>
        <v>0.25</v>
      </c>
      <c r="X113" s="635">
        <v>25000</v>
      </c>
      <c r="Y113" s="635" t="e">
        <f t="shared" si="73"/>
        <v>#N/A</v>
      </c>
      <c r="Z113" s="635" t="e">
        <f t="shared" si="74"/>
        <v>#N/A</v>
      </c>
      <c r="AA113" s="635" t="e">
        <f t="shared" si="66"/>
        <v>#N/A</v>
      </c>
      <c r="AB113" s="635" t="e">
        <f t="shared" si="67"/>
        <v>#N/A</v>
      </c>
      <c r="AC113" s="635">
        <f t="shared" si="83"/>
        <v>23204</v>
      </c>
      <c r="AD113" s="635">
        <f t="shared" si="84"/>
        <v>100502</v>
      </c>
      <c r="AE113" s="635">
        <f t="shared" si="75"/>
        <v>102</v>
      </c>
      <c r="AF113" s="635" t="str">
        <f t="shared" si="85"/>
        <v>chest_tankpart</v>
      </c>
      <c r="AG113" s="635" t="str">
        <f t="shared" si="86"/>
        <v>resource_icon_quicken</v>
      </c>
      <c r="AH113" s="635" t="str">
        <f t="shared" si="76"/>
        <v>resource_icon_fund</v>
      </c>
      <c r="AI113" s="635" t="str">
        <f t="shared" si="68"/>
        <v>[23204,100502,102]</v>
      </c>
      <c r="AJ113" s="635" t="str">
        <f t="shared" si="69"/>
        <v>[2,4,25000]</v>
      </c>
      <c r="AK113" s="635" t="str">
        <f t="shared" si="70"/>
        <v>[chest_tankpart,resource_icon_quicken,resource_icon_fund]</v>
      </c>
      <c r="AL113" s="635" t="str">
        <f t="shared" si="71"/>
        <v>5+10+部件礼包</v>
      </c>
    </row>
    <row r="114" spans="7:38" x14ac:dyDescent="0.35">
      <c r="G114" s="635">
        <v>5</v>
      </c>
      <c r="H114" s="636" t="s">
        <v>3036</v>
      </c>
      <c r="I114" s="635" t="s">
        <v>2671</v>
      </c>
      <c r="J114" s="635" t="s">
        <v>932</v>
      </c>
      <c r="K114" s="635">
        <f t="shared" si="65"/>
        <v>390</v>
      </c>
      <c r="L114" s="635">
        <f t="shared" si="82"/>
        <v>0.75</v>
      </c>
      <c r="M114" s="635">
        <f t="shared" si="72"/>
        <v>1</v>
      </c>
      <c r="N114" s="635">
        <v>10</v>
      </c>
      <c r="O114" s="635">
        <f>N114*基础经济系数!$C$2</f>
        <v>1000</v>
      </c>
      <c r="P114" s="635">
        <v>2</v>
      </c>
      <c r="Q114" s="635">
        <f t="shared" si="77"/>
        <v>2000</v>
      </c>
      <c r="R114" s="635">
        <v>5</v>
      </c>
      <c r="S114" s="635">
        <f t="shared" si="78"/>
        <v>1950</v>
      </c>
      <c r="T114" s="635">
        <f t="shared" si="79"/>
        <v>0.97499999999999998</v>
      </c>
      <c r="U114" s="635">
        <v>400</v>
      </c>
      <c r="V114" s="635">
        <f t="shared" si="80"/>
        <v>300</v>
      </c>
      <c r="W114" s="635">
        <f t="shared" si="81"/>
        <v>0.15</v>
      </c>
      <c r="X114" s="635">
        <v>60</v>
      </c>
      <c r="Y114" s="635">
        <f t="shared" si="73"/>
        <v>-249.99999999999994</v>
      </c>
      <c r="Z114" s="635">
        <f t="shared" si="74"/>
        <v>-0.12499999999999997</v>
      </c>
      <c r="AA114" s="635">
        <f t="shared" si="66"/>
        <v>2310</v>
      </c>
      <c r="AB114" s="635">
        <f t="shared" si="67"/>
        <v>0.5670995670995671</v>
      </c>
      <c r="AC114" s="635">
        <f t="shared" si="83"/>
        <v>24204</v>
      </c>
      <c r="AD114" s="635">
        <f t="shared" si="84"/>
        <v>111</v>
      </c>
      <c r="AE114" s="635">
        <f t="shared" si="75"/>
        <v>101</v>
      </c>
      <c r="AF114" s="635" t="str">
        <f t="shared" si="85"/>
        <v>chest_shard</v>
      </c>
      <c r="AG114" s="635" t="str">
        <f t="shared" si="86"/>
        <v>resource_icon_doublekey</v>
      </c>
      <c r="AH114" s="635" t="str">
        <f t="shared" si="76"/>
        <v>resource_icon_diamond</v>
      </c>
      <c r="AI114" s="635" t="str">
        <f t="shared" si="68"/>
        <v>[24204,111,101]</v>
      </c>
      <c r="AJ114" s="635" t="str">
        <f t="shared" si="69"/>
        <v>[5,400,60]</v>
      </c>
      <c r="AK114" s="635" t="str">
        <f t="shared" si="70"/>
        <v>[chest_shard,resource_icon_doublekey,resource_icon_diamond]</v>
      </c>
      <c r="AL114" s="635" t="str">
        <f t="shared" si="71"/>
        <v>5+10+碎片礼包</v>
      </c>
    </row>
    <row r="115" spans="7:38" x14ac:dyDescent="0.35">
      <c r="G115" s="635">
        <v>5</v>
      </c>
      <c r="H115" s="635" t="s">
        <v>2990</v>
      </c>
      <c r="I115" s="635" t="s">
        <v>2882</v>
      </c>
      <c r="J115" s="635" t="s">
        <v>929</v>
      </c>
      <c r="K115" s="635" t="e">
        <f t="shared" si="65"/>
        <v>#N/A</v>
      </c>
      <c r="L115" s="635">
        <f t="shared" si="82"/>
        <v>125</v>
      </c>
      <c r="M115" s="635">
        <f t="shared" si="72"/>
        <v>2.5000000000000001E-3</v>
      </c>
      <c r="N115" s="635">
        <v>20</v>
      </c>
      <c r="O115" s="635">
        <f>N115*基础经济系数!$C$2</f>
        <v>2000</v>
      </c>
      <c r="P115" s="635">
        <v>2</v>
      </c>
      <c r="Q115" s="635">
        <f t="shared" si="77"/>
        <v>4000</v>
      </c>
      <c r="R115" s="635">
        <v>3</v>
      </c>
      <c r="S115" s="635" t="e">
        <f t="shared" si="78"/>
        <v>#N/A</v>
      </c>
      <c r="T115" s="635" t="e">
        <f t="shared" si="79"/>
        <v>#N/A</v>
      </c>
      <c r="U115" s="635">
        <v>5</v>
      </c>
      <c r="V115" s="635">
        <f t="shared" si="80"/>
        <v>625</v>
      </c>
      <c r="W115" s="635">
        <f t="shared" si="81"/>
        <v>0.15625</v>
      </c>
      <c r="X115" s="635">
        <v>55000</v>
      </c>
      <c r="Y115" s="635" t="e">
        <f t="shared" si="73"/>
        <v>#N/A</v>
      </c>
      <c r="Z115" s="635" t="e">
        <f t="shared" si="74"/>
        <v>#N/A</v>
      </c>
      <c r="AA115" s="635" t="e">
        <f t="shared" si="66"/>
        <v>#N/A</v>
      </c>
      <c r="AB115" s="635" t="e">
        <f t="shared" si="67"/>
        <v>#N/A</v>
      </c>
      <c r="AC115" s="635">
        <f t="shared" si="83"/>
        <v>23205</v>
      </c>
      <c r="AD115" s="635">
        <f t="shared" si="84"/>
        <v>100502</v>
      </c>
      <c r="AE115" s="635">
        <f t="shared" si="75"/>
        <v>102</v>
      </c>
      <c r="AF115" s="635" t="str">
        <f t="shared" si="85"/>
        <v>chest_tankpart</v>
      </c>
      <c r="AG115" s="635" t="str">
        <f t="shared" si="86"/>
        <v>resource_icon_quicken</v>
      </c>
      <c r="AH115" s="635" t="str">
        <f t="shared" si="76"/>
        <v>resource_icon_fund</v>
      </c>
      <c r="AI115" s="635" t="str">
        <f t="shared" si="68"/>
        <v>[23205,100502,102]</v>
      </c>
      <c r="AJ115" s="635" t="str">
        <f t="shared" si="69"/>
        <v>[3,5,55000]</v>
      </c>
      <c r="AK115" s="635" t="str">
        <f t="shared" si="70"/>
        <v>[chest_tankpart,resource_icon_quicken,resource_icon_fund]</v>
      </c>
      <c r="AL115" s="635" t="str">
        <f t="shared" si="71"/>
        <v>5+20+部件礼包</v>
      </c>
    </row>
    <row r="116" spans="7:38" x14ac:dyDescent="0.35">
      <c r="G116" s="635">
        <v>5</v>
      </c>
      <c r="H116" s="635" t="s">
        <v>3005</v>
      </c>
      <c r="I116" s="635" t="s">
        <v>2671</v>
      </c>
      <c r="J116" s="635" t="s">
        <v>932</v>
      </c>
      <c r="K116" s="635">
        <f t="shared" si="65"/>
        <v>435</v>
      </c>
      <c r="L116" s="635">
        <f t="shared" si="82"/>
        <v>0.75</v>
      </c>
      <c r="M116" s="635">
        <f t="shared" si="72"/>
        <v>1</v>
      </c>
      <c r="N116" s="635">
        <v>20</v>
      </c>
      <c r="O116" s="635">
        <f>N116*基础经济系数!$C$2</f>
        <v>2000</v>
      </c>
      <c r="P116" s="635">
        <v>2</v>
      </c>
      <c r="Q116" s="635">
        <f t="shared" si="77"/>
        <v>4000</v>
      </c>
      <c r="R116" s="635">
        <v>9</v>
      </c>
      <c r="S116" s="635">
        <f t="shared" si="78"/>
        <v>3915</v>
      </c>
      <c r="T116" s="635">
        <f t="shared" si="79"/>
        <v>0.97875000000000001</v>
      </c>
      <c r="U116" s="635">
        <v>400</v>
      </c>
      <c r="V116" s="635">
        <f t="shared" si="80"/>
        <v>300</v>
      </c>
      <c r="W116" s="635">
        <f t="shared" si="81"/>
        <v>7.4999999999999997E-2</v>
      </c>
      <c r="X116" s="635">
        <v>190</v>
      </c>
      <c r="Y116" s="635">
        <f t="shared" si="73"/>
        <v>-215.00000000000003</v>
      </c>
      <c r="Z116" s="635">
        <f t="shared" si="74"/>
        <v>-5.3750000000000006E-2</v>
      </c>
      <c r="AA116" s="635">
        <f t="shared" si="66"/>
        <v>4405</v>
      </c>
      <c r="AB116" s="635">
        <f t="shared" si="67"/>
        <v>0.54597048808172532</v>
      </c>
      <c r="AC116" s="635">
        <f t="shared" si="83"/>
        <v>24205</v>
      </c>
      <c r="AD116" s="635">
        <f t="shared" si="84"/>
        <v>111</v>
      </c>
      <c r="AE116" s="635">
        <f t="shared" si="75"/>
        <v>101</v>
      </c>
      <c r="AF116" s="635" t="str">
        <f t="shared" si="85"/>
        <v>chest_shard</v>
      </c>
      <c r="AG116" s="635" t="str">
        <f t="shared" si="86"/>
        <v>resource_icon_doublekey</v>
      </c>
      <c r="AH116" s="635" t="str">
        <f t="shared" si="76"/>
        <v>resource_icon_diamond</v>
      </c>
      <c r="AI116" s="635" t="str">
        <f t="shared" si="68"/>
        <v>[24205,111,101]</v>
      </c>
      <c r="AJ116" s="635" t="str">
        <f t="shared" si="69"/>
        <v>[9,400,190]</v>
      </c>
      <c r="AK116" s="635" t="str">
        <f t="shared" si="70"/>
        <v>[chest_shard,resource_icon_doublekey,resource_icon_diamond]</v>
      </c>
      <c r="AL116" s="635" t="str">
        <f t="shared" si="71"/>
        <v>5+20+碎片礼包</v>
      </c>
    </row>
    <row r="117" spans="7:38" x14ac:dyDescent="0.35">
      <c r="G117" s="635">
        <v>5</v>
      </c>
      <c r="H117" s="635" t="s">
        <v>2990</v>
      </c>
      <c r="I117" s="635" t="s">
        <v>2882</v>
      </c>
      <c r="J117" s="635" t="s">
        <v>929</v>
      </c>
      <c r="K117" s="635" t="e">
        <f t="shared" si="65"/>
        <v>#N/A</v>
      </c>
      <c r="L117" s="635">
        <f t="shared" si="82"/>
        <v>125</v>
      </c>
      <c r="M117" s="635">
        <f t="shared" si="72"/>
        <v>2.5000000000000001E-3</v>
      </c>
      <c r="N117" s="635">
        <v>50</v>
      </c>
      <c r="O117" s="635">
        <f>N117*基础经济系数!$C$2</f>
        <v>5000</v>
      </c>
      <c r="P117" s="635">
        <v>2</v>
      </c>
      <c r="Q117" s="635">
        <f t="shared" si="77"/>
        <v>10000</v>
      </c>
      <c r="R117" s="635">
        <v>6</v>
      </c>
      <c r="S117" s="635" t="e">
        <f t="shared" si="78"/>
        <v>#N/A</v>
      </c>
      <c r="T117" s="635" t="e">
        <f t="shared" si="79"/>
        <v>#N/A</v>
      </c>
      <c r="U117" s="635">
        <v>25</v>
      </c>
      <c r="V117" s="635">
        <f t="shared" si="80"/>
        <v>3125</v>
      </c>
      <c r="W117" s="635">
        <f t="shared" si="81"/>
        <v>0.3125</v>
      </c>
      <c r="X117" s="635">
        <v>160000</v>
      </c>
      <c r="Y117" s="635" t="e">
        <f t="shared" si="73"/>
        <v>#N/A</v>
      </c>
      <c r="Z117" s="635" t="e">
        <f t="shared" si="74"/>
        <v>#N/A</v>
      </c>
      <c r="AA117" s="635" t="e">
        <f t="shared" si="66"/>
        <v>#N/A</v>
      </c>
      <c r="AB117" s="635" t="e">
        <f t="shared" si="67"/>
        <v>#N/A</v>
      </c>
      <c r="AC117" s="635">
        <f t="shared" si="83"/>
        <v>23205</v>
      </c>
      <c r="AD117" s="635">
        <f t="shared" si="84"/>
        <v>100502</v>
      </c>
      <c r="AE117" s="635">
        <f t="shared" si="75"/>
        <v>102</v>
      </c>
      <c r="AF117" s="635" t="str">
        <f t="shared" si="85"/>
        <v>chest_tankpart</v>
      </c>
      <c r="AG117" s="635" t="str">
        <f t="shared" si="86"/>
        <v>resource_icon_quicken</v>
      </c>
      <c r="AH117" s="635" t="str">
        <f t="shared" si="76"/>
        <v>resource_icon_fund</v>
      </c>
      <c r="AI117" s="635" t="str">
        <f t="shared" si="68"/>
        <v>[23205,100502,102]</v>
      </c>
      <c r="AJ117" s="635" t="str">
        <f t="shared" si="69"/>
        <v>[6,25,160000]</v>
      </c>
      <c r="AK117" s="635" t="str">
        <f t="shared" si="70"/>
        <v>[chest_tankpart,resource_icon_quicken,resource_icon_fund]</v>
      </c>
      <c r="AL117" s="635" t="str">
        <f t="shared" si="71"/>
        <v>5+50+部件礼包</v>
      </c>
    </row>
    <row r="118" spans="7:38" x14ac:dyDescent="0.35">
      <c r="G118" s="635">
        <v>5</v>
      </c>
      <c r="H118" s="635" t="s">
        <v>3005</v>
      </c>
      <c r="I118" s="635" t="s">
        <v>2671</v>
      </c>
      <c r="J118" s="635" t="s">
        <v>932</v>
      </c>
      <c r="K118" s="635">
        <f t="shared" si="65"/>
        <v>435</v>
      </c>
      <c r="L118" s="635">
        <f t="shared" si="82"/>
        <v>0.75</v>
      </c>
      <c r="M118" s="635">
        <f t="shared" si="72"/>
        <v>1</v>
      </c>
      <c r="N118" s="635">
        <v>50</v>
      </c>
      <c r="O118" s="635">
        <f>N118*基础经济系数!$C$2</f>
        <v>5000</v>
      </c>
      <c r="P118" s="635">
        <v>2</v>
      </c>
      <c r="Q118" s="635">
        <f t="shared" si="77"/>
        <v>10000</v>
      </c>
      <c r="R118" s="635">
        <v>25</v>
      </c>
      <c r="S118" s="635">
        <f t="shared" si="78"/>
        <v>10875</v>
      </c>
      <c r="T118" s="635">
        <f t="shared" si="79"/>
        <v>1.0874999999999999</v>
      </c>
      <c r="U118" s="635">
        <v>200</v>
      </c>
      <c r="V118" s="635">
        <f t="shared" si="80"/>
        <v>150</v>
      </c>
      <c r="W118" s="635">
        <f t="shared" si="81"/>
        <v>1.4999999999999999E-2</v>
      </c>
      <c r="X118" s="635">
        <v>100</v>
      </c>
      <c r="Y118" s="635">
        <f t="shared" si="73"/>
        <v>-1024.9999999999991</v>
      </c>
      <c r="Z118" s="635">
        <f t="shared" si="74"/>
        <v>-0.10249999999999991</v>
      </c>
      <c r="AA118" s="635">
        <f t="shared" si="66"/>
        <v>11125</v>
      </c>
      <c r="AB118" s="635">
        <f t="shared" si="67"/>
        <v>0.550561797752809</v>
      </c>
      <c r="AC118" s="635">
        <f t="shared" si="83"/>
        <v>24205</v>
      </c>
      <c r="AD118" s="635">
        <f t="shared" si="84"/>
        <v>111</v>
      </c>
      <c r="AE118" s="635">
        <f t="shared" si="75"/>
        <v>101</v>
      </c>
      <c r="AF118" s="635" t="str">
        <f t="shared" si="85"/>
        <v>chest_shard</v>
      </c>
      <c r="AG118" s="635" t="str">
        <f t="shared" si="86"/>
        <v>resource_icon_doublekey</v>
      </c>
      <c r="AH118" s="635" t="str">
        <f t="shared" si="76"/>
        <v>resource_icon_diamond</v>
      </c>
      <c r="AI118" s="635" t="str">
        <f t="shared" si="68"/>
        <v>[24205,111,101]</v>
      </c>
      <c r="AJ118" s="635" t="str">
        <f t="shared" si="69"/>
        <v>[25,200,100]</v>
      </c>
      <c r="AK118" s="635" t="str">
        <f t="shared" si="70"/>
        <v>[chest_shard,resource_icon_doublekey,resource_icon_diamond]</v>
      </c>
      <c r="AL118" s="635" t="str">
        <f t="shared" si="71"/>
        <v>5+50+碎片礼包</v>
      </c>
    </row>
    <row r="119" spans="7:38" x14ac:dyDescent="0.35">
      <c r="G119" s="635">
        <v>6</v>
      </c>
      <c r="H119" s="636" t="s">
        <v>3053</v>
      </c>
      <c r="I119" s="635" t="s">
        <v>2721</v>
      </c>
      <c r="J119" s="635" t="s">
        <v>929</v>
      </c>
      <c r="K119" s="635" t="e">
        <f t="shared" ref="K119:K150" si="87">IFERROR(VLOOKUP(LEFT(H119,4),$B$40:$C$81,2,FALSE),VLOOKUP(H119,$B$40:$C$81,2,FALSE))</f>
        <v>#N/A</v>
      </c>
      <c r="L119" s="635">
        <f t="shared" si="82"/>
        <v>70</v>
      </c>
      <c r="M119" s="635">
        <f t="shared" si="72"/>
        <v>2.5000000000000001E-3</v>
      </c>
      <c r="N119" s="635">
        <v>5</v>
      </c>
      <c r="O119" s="635">
        <f>N119*基础经济系数!$C$2</f>
        <v>500</v>
      </c>
      <c r="P119" s="613">
        <f t="shared" ref="P119:P126" si="88">1/0.6</f>
        <v>1.6666666666666667</v>
      </c>
      <c r="Q119" s="635">
        <f t="shared" si="3"/>
        <v>833.33333333333337</v>
      </c>
      <c r="R119" s="635">
        <v>1</v>
      </c>
      <c r="S119" s="635" t="e">
        <f t="shared" si="14"/>
        <v>#N/A</v>
      </c>
      <c r="T119" s="635" t="e">
        <f t="shared" si="15"/>
        <v>#N/A</v>
      </c>
      <c r="U119" s="635">
        <v>1</v>
      </c>
      <c r="V119" s="635">
        <f t="shared" si="16"/>
        <v>70</v>
      </c>
      <c r="W119" s="635">
        <f t="shared" si="17"/>
        <v>8.3999999999999991E-2</v>
      </c>
      <c r="X119" s="635">
        <v>20000</v>
      </c>
      <c r="Y119" s="635" t="e">
        <f t="shared" si="73"/>
        <v>#N/A</v>
      </c>
      <c r="Z119" s="635" t="e">
        <f t="shared" si="74"/>
        <v>#N/A</v>
      </c>
      <c r="AA119" s="635" t="e">
        <f t="shared" ref="AA119:AA150" si="89">R119*K119+U119*L119+X119*M119</f>
        <v>#N/A</v>
      </c>
      <c r="AB119" s="635" t="e">
        <f t="shared" ref="AB119:AB150" si="90">1-1/(AA119/O119)</f>
        <v>#N/A</v>
      </c>
      <c r="AC119" s="635">
        <f t="shared" si="83"/>
        <v>23204</v>
      </c>
      <c r="AD119" s="635">
        <f t="shared" si="84"/>
        <v>100501</v>
      </c>
      <c r="AE119" s="635">
        <f t="shared" si="75"/>
        <v>102</v>
      </c>
      <c r="AF119" s="635" t="str">
        <f t="shared" si="85"/>
        <v>chest_tankpart</v>
      </c>
      <c r="AG119" s="635" t="str">
        <f t="shared" si="86"/>
        <v>resource_icon_quicken</v>
      </c>
      <c r="AH119" s="635" t="str">
        <f t="shared" si="76"/>
        <v>resource_icon_fund</v>
      </c>
      <c r="AI119" s="635" t="str">
        <f t="shared" si="68"/>
        <v>[23204,100501,102]</v>
      </c>
      <c r="AJ119" s="635" t="str">
        <f t="shared" si="69"/>
        <v>[1,1,20000]</v>
      </c>
      <c r="AK119" s="635" t="str">
        <f t="shared" si="70"/>
        <v>[chest_tankpart,resource_icon_quicken,resource_icon_fund]</v>
      </c>
      <c r="AL119" s="635" t="str">
        <f t="shared" si="71"/>
        <v>6+5+部件礼包</v>
      </c>
    </row>
    <row r="120" spans="7:38" x14ac:dyDescent="0.35">
      <c r="G120" s="635">
        <v>6</v>
      </c>
      <c r="H120" s="636" t="s">
        <v>3037</v>
      </c>
      <c r="I120" s="635" t="s">
        <v>2671</v>
      </c>
      <c r="J120" s="635" t="s">
        <v>932</v>
      </c>
      <c r="K120" s="635">
        <f t="shared" si="87"/>
        <v>435</v>
      </c>
      <c r="L120" s="635">
        <f t="shared" si="82"/>
        <v>0.75</v>
      </c>
      <c r="M120" s="635">
        <f t="shared" si="72"/>
        <v>1</v>
      </c>
      <c r="N120" s="635">
        <v>5</v>
      </c>
      <c r="O120" s="635">
        <f>N120*基础经济系数!$C$2</f>
        <v>500</v>
      </c>
      <c r="P120" s="613">
        <f t="shared" si="88"/>
        <v>1.6666666666666667</v>
      </c>
      <c r="Q120" s="635">
        <f t="shared" si="3"/>
        <v>833.33333333333337</v>
      </c>
      <c r="R120" s="635">
        <v>2</v>
      </c>
      <c r="S120" s="635">
        <f t="shared" si="14"/>
        <v>870</v>
      </c>
      <c r="T120" s="635">
        <f t="shared" si="15"/>
        <v>1.044</v>
      </c>
      <c r="U120" s="635">
        <v>50</v>
      </c>
      <c r="V120" s="635">
        <f t="shared" si="16"/>
        <v>37.5</v>
      </c>
      <c r="W120" s="635">
        <f t="shared" si="17"/>
        <v>4.4999999999999998E-2</v>
      </c>
      <c r="X120" s="635">
        <v>20</v>
      </c>
      <c r="Y120" s="635">
        <f t="shared" si="73"/>
        <v>-74.1666666666667</v>
      </c>
      <c r="Z120" s="635">
        <f t="shared" si="74"/>
        <v>-8.9000000000000037E-2</v>
      </c>
      <c r="AA120" s="635">
        <f t="shared" si="89"/>
        <v>927.5</v>
      </c>
      <c r="AB120" s="635">
        <f t="shared" si="90"/>
        <v>0.46091644204851756</v>
      </c>
      <c r="AC120" s="635">
        <f t="shared" si="83"/>
        <v>24205</v>
      </c>
      <c r="AD120" s="635">
        <f t="shared" si="84"/>
        <v>111</v>
      </c>
      <c r="AE120" s="635">
        <f t="shared" si="75"/>
        <v>101</v>
      </c>
      <c r="AF120" s="635" t="str">
        <f t="shared" si="85"/>
        <v>chest_shard</v>
      </c>
      <c r="AG120" s="635" t="str">
        <f t="shared" si="86"/>
        <v>resource_icon_doublekey</v>
      </c>
      <c r="AH120" s="635" t="str">
        <f t="shared" si="76"/>
        <v>resource_icon_diamond</v>
      </c>
      <c r="AI120" s="635" t="str">
        <f t="shared" si="68"/>
        <v>[24205,111,101]</v>
      </c>
      <c r="AJ120" s="635" t="str">
        <f t="shared" si="69"/>
        <v>[2,50,20]</v>
      </c>
      <c r="AK120" s="635" t="str">
        <f t="shared" si="70"/>
        <v>[chest_shard,resource_icon_doublekey,resource_icon_diamond]</v>
      </c>
      <c r="AL120" s="635" t="str">
        <f t="shared" si="71"/>
        <v>6+5+碎片礼包</v>
      </c>
    </row>
    <row r="121" spans="7:38" x14ac:dyDescent="0.35">
      <c r="G121" s="635">
        <v>6</v>
      </c>
      <c r="H121" s="636" t="s">
        <v>3053</v>
      </c>
      <c r="I121" s="635" t="s">
        <v>2721</v>
      </c>
      <c r="J121" s="635" t="s">
        <v>929</v>
      </c>
      <c r="K121" s="635" t="e">
        <f t="shared" si="87"/>
        <v>#N/A</v>
      </c>
      <c r="L121" s="635">
        <f t="shared" si="82"/>
        <v>70</v>
      </c>
      <c r="M121" s="635">
        <f t="shared" si="72"/>
        <v>2.5000000000000001E-3</v>
      </c>
      <c r="N121" s="635">
        <v>10</v>
      </c>
      <c r="O121" s="635">
        <f>N121*基础经济系数!$C$2</f>
        <v>1000</v>
      </c>
      <c r="P121" s="613">
        <f t="shared" si="88"/>
        <v>1.6666666666666667</v>
      </c>
      <c r="Q121" s="635">
        <f t="shared" si="3"/>
        <v>1666.6666666666667</v>
      </c>
      <c r="R121" s="635">
        <v>2</v>
      </c>
      <c r="S121" s="635" t="e">
        <f t="shared" si="14"/>
        <v>#N/A</v>
      </c>
      <c r="T121" s="635" t="e">
        <f t="shared" si="15"/>
        <v>#N/A</v>
      </c>
      <c r="U121" s="635">
        <v>2</v>
      </c>
      <c r="V121" s="635">
        <f t="shared" si="16"/>
        <v>140</v>
      </c>
      <c r="W121" s="635">
        <f t="shared" si="17"/>
        <v>8.3999999999999991E-2</v>
      </c>
      <c r="X121" s="635">
        <v>35000</v>
      </c>
      <c r="Y121" s="635" t="e">
        <f t="shared" si="73"/>
        <v>#N/A</v>
      </c>
      <c r="Z121" s="635" t="e">
        <f t="shared" si="74"/>
        <v>#N/A</v>
      </c>
      <c r="AA121" s="635" t="e">
        <f t="shared" si="89"/>
        <v>#N/A</v>
      </c>
      <c r="AB121" s="635" t="e">
        <f t="shared" si="90"/>
        <v>#N/A</v>
      </c>
      <c r="AC121" s="635">
        <f t="shared" si="83"/>
        <v>23204</v>
      </c>
      <c r="AD121" s="635">
        <f t="shared" si="84"/>
        <v>100501</v>
      </c>
      <c r="AE121" s="635">
        <f t="shared" si="75"/>
        <v>102</v>
      </c>
      <c r="AF121" s="635" t="str">
        <f t="shared" si="85"/>
        <v>chest_tankpart</v>
      </c>
      <c r="AG121" s="635" t="str">
        <f t="shared" si="86"/>
        <v>resource_icon_quicken</v>
      </c>
      <c r="AH121" s="635" t="str">
        <f t="shared" si="76"/>
        <v>resource_icon_fund</v>
      </c>
      <c r="AI121" s="635" t="str">
        <f t="shared" si="68"/>
        <v>[23204,100501,102]</v>
      </c>
      <c r="AJ121" s="635" t="str">
        <f t="shared" si="69"/>
        <v>[2,2,35000]</v>
      </c>
      <c r="AK121" s="635" t="str">
        <f t="shared" si="70"/>
        <v>[chest_tankpart,resource_icon_quicken,resource_icon_fund]</v>
      </c>
      <c r="AL121" s="635" t="str">
        <f t="shared" si="71"/>
        <v>6+10+部件礼包</v>
      </c>
    </row>
    <row r="122" spans="7:38" x14ac:dyDescent="0.35">
      <c r="G122" s="635">
        <v>6</v>
      </c>
      <c r="H122" s="636" t="s">
        <v>3037</v>
      </c>
      <c r="I122" s="635" t="s">
        <v>2671</v>
      </c>
      <c r="J122" s="635" t="s">
        <v>932</v>
      </c>
      <c r="K122" s="635">
        <f t="shared" si="87"/>
        <v>435</v>
      </c>
      <c r="L122" s="635">
        <f t="shared" si="82"/>
        <v>0.75</v>
      </c>
      <c r="M122" s="635">
        <f t="shared" si="72"/>
        <v>1</v>
      </c>
      <c r="N122" s="635">
        <v>10</v>
      </c>
      <c r="O122" s="635">
        <f>N122*基础经济系数!$C$2</f>
        <v>1000</v>
      </c>
      <c r="P122" s="613">
        <f t="shared" si="88"/>
        <v>1.6666666666666667</v>
      </c>
      <c r="Q122" s="635">
        <f t="shared" si="3"/>
        <v>1666.6666666666667</v>
      </c>
      <c r="R122" s="635">
        <v>3</v>
      </c>
      <c r="S122" s="635">
        <f t="shared" si="14"/>
        <v>1305</v>
      </c>
      <c r="T122" s="635">
        <f t="shared" si="15"/>
        <v>0.78299999999999992</v>
      </c>
      <c r="U122" s="635">
        <v>500</v>
      </c>
      <c r="V122" s="635">
        <f t="shared" si="16"/>
        <v>375</v>
      </c>
      <c r="W122" s="635">
        <f t="shared" si="17"/>
        <v>0.22499999999999998</v>
      </c>
      <c r="X122" s="635">
        <v>130</v>
      </c>
      <c r="Y122" s="635">
        <f t="shared" si="73"/>
        <v>-13.333333333333162</v>
      </c>
      <c r="Z122" s="635">
        <f t="shared" si="74"/>
        <v>-7.9999999999998961E-3</v>
      </c>
      <c r="AA122" s="635">
        <f t="shared" si="89"/>
        <v>1810</v>
      </c>
      <c r="AB122" s="635">
        <f t="shared" si="90"/>
        <v>0.4475138121546961</v>
      </c>
      <c r="AC122" s="635">
        <f t="shared" si="83"/>
        <v>24205</v>
      </c>
      <c r="AD122" s="635">
        <f t="shared" si="84"/>
        <v>111</v>
      </c>
      <c r="AE122" s="635">
        <f t="shared" si="75"/>
        <v>101</v>
      </c>
      <c r="AF122" s="635" t="str">
        <f t="shared" si="85"/>
        <v>chest_shard</v>
      </c>
      <c r="AG122" s="635" t="str">
        <f t="shared" si="86"/>
        <v>resource_icon_doublekey</v>
      </c>
      <c r="AH122" s="635" t="str">
        <f t="shared" si="76"/>
        <v>resource_icon_diamond</v>
      </c>
      <c r="AI122" s="635" t="str">
        <f t="shared" si="68"/>
        <v>[24205,111,101]</v>
      </c>
      <c r="AJ122" s="635" t="str">
        <f t="shared" si="69"/>
        <v>[3,500,130]</v>
      </c>
      <c r="AK122" s="635" t="str">
        <f t="shared" si="70"/>
        <v>[chest_shard,resource_icon_doublekey,resource_icon_diamond]</v>
      </c>
      <c r="AL122" s="635" t="str">
        <f t="shared" si="71"/>
        <v>6+10+碎片礼包</v>
      </c>
    </row>
    <row r="123" spans="7:38" x14ac:dyDescent="0.35">
      <c r="G123" s="635">
        <v>6</v>
      </c>
      <c r="H123" s="636" t="s">
        <v>3049</v>
      </c>
      <c r="I123" s="635" t="s">
        <v>2721</v>
      </c>
      <c r="J123" s="635" t="s">
        <v>929</v>
      </c>
      <c r="K123" s="635" t="e">
        <f t="shared" si="87"/>
        <v>#N/A</v>
      </c>
      <c r="L123" s="635">
        <f t="shared" si="82"/>
        <v>70</v>
      </c>
      <c r="M123" s="635">
        <f t="shared" ref="M123:M154" si="91">VLOOKUP(J123,$B$40:$C$81,2,FALSE)</f>
        <v>2.5000000000000001E-3</v>
      </c>
      <c r="N123" s="635">
        <v>20</v>
      </c>
      <c r="O123" s="635">
        <f>N123*基础经济系数!$C$2</f>
        <v>2000</v>
      </c>
      <c r="P123" s="613">
        <f t="shared" si="88"/>
        <v>1.6666666666666667</v>
      </c>
      <c r="Q123" s="635">
        <f t="shared" si="3"/>
        <v>3333.3333333333335</v>
      </c>
      <c r="R123" s="635">
        <v>2</v>
      </c>
      <c r="S123" s="635" t="e">
        <f t="shared" si="14"/>
        <v>#N/A</v>
      </c>
      <c r="T123" s="635" t="e">
        <f t="shared" si="15"/>
        <v>#N/A</v>
      </c>
      <c r="U123" s="635">
        <v>15</v>
      </c>
      <c r="V123" s="635">
        <f t="shared" si="16"/>
        <v>1050</v>
      </c>
      <c r="W123" s="635">
        <f t="shared" si="17"/>
        <v>0.315</v>
      </c>
      <c r="X123" s="635">
        <v>50000</v>
      </c>
      <c r="Y123" s="635" t="e">
        <f t="shared" ref="Y123:Y154" si="92">Z123*Q123</f>
        <v>#N/A</v>
      </c>
      <c r="Z123" s="635" t="e">
        <f t="shared" ref="Z123:Z154" si="93">1-T123-W123</f>
        <v>#N/A</v>
      </c>
      <c r="AA123" s="635" t="e">
        <f t="shared" si="89"/>
        <v>#N/A</v>
      </c>
      <c r="AB123" s="635" t="e">
        <f t="shared" si="90"/>
        <v>#N/A</v>
      </c>
      <c r="AC123" s="635">
        <f t="shared" si="83"/>
        <v>23205</v>
      </c>
      <c r="AD123" s="635">
        <f t="shared" si="84"/>
        <v>100501</v>
      </c>
      <c r="AE123" s="635">
        <f t="shared" ref="AE123:AE154" si="94">VLOOKUP(J123,道具ID,2,FALSE)</f>
        <v>102</v>
      </c>
      <c r="AF123" s="635" t="str">
        <f t="shared" si="85"/>
        <v>chest_tankpart</v>
      </c>
      <c r="AG123" s="635" t="str">
        <f t="shared" si="86"/>
        <v>resource_icon_quicken</v>
      </c>
      <c r="AH123" s="635" t="str">
        <f t="shared" ref="AH123:AH154" si="95">VLOOKUP(J123,道具ID,3,FALSE)</f>
        <v>resource_icon_fund</v>
      </c>
      <c r="AI123" s="635" t="str">
        <f t="shared" si="68"/>
        <v>[23205,100501,102]</v>
      </c>
      <c r="AJ123" s="635" t="str">
        <f t="shared" si="69"/>
        <v>[2,15,50000]</v>
      </c>
      <c r="AK123" s="635" t="str">
        <f t="shared" si="70"/>
        <v>[chest_tankpart,resource_icon_quicken,resource_icon_fund]</v>
      </c>
      <c r="AL123" s="635" t="str">
        <f t="shared" si="71"/>
        <v>6+20+部件礼包</v>
      </c>
    </row>
    <row r="124" spans="7:38" x14ac:dyDescent="0.35">
      <c r="G124" s="635">
        <v>6</v>
      </c>
      <c r="H124" s="636" t="s">
        <v>3037</v>
      </c>
      <c r="I124" s="635" t="s">
        <v>2671</v>
      </c>
      <c r="J124" s="635" t="s">
        <v>932</v>
      </c>
      <c r="K124" s="635">
        <f t="shared" si="87"/>
        <v>435</v>
      </c>
      <c r="L124" s="635">
        <f t="shared" si="82"/>
        <v>0.75</v>
      </c>
      <c r="M124" s="635">
        <f t="shared" si="91"/>
        <v>1</v>
      </c>
      <c r="N124" s="635">
        <v>20</v>
      </c>
      <c r="O124" s="635">
        <f>N124*基础经济系数!$C$2</f>
        <v>2000</v>
      </c>
      <c r="P124" s="613">
        <f t="shared" si="88"/>
        <v>1.6666666666666667</v>
      </c>
      <c r="Q124" s="635">
        <f t="shared" si="3"/>
        <v>3333.3333333333335</v>
      </c>
      <c r="R124" s="635">
        <v>7</v>
      </c>
      <c r="S124" s="635">
        <f t="shared" si="14"/>
        <v>3045</v>
      </c>
      <c r="T124" s="635">
        <f t="shared" si="15"/>
        <v>0.91349999999999998</v>
      </c>
      <c r="U124" s="635">
        <v>600</v>
      </c>
      <c r="V124" s="635">
        <f t="shared" si="16"/>
        <v>450</v>
      </c>
      <c r="W124" s="635">
        <f t="shared" si="17"/>
        <v>0.13499999999999998</v>
      </c>
      <c r="X124" s="635">
        <v>160</v>
      </c>
      <c r="Y124" s="635">
        <f t="shared" si="92"/>
        <v>-161.66666666666654</v>
      </c>
      <c r="Z124" s="635">
        <f t="shared" si="93"/>
        <v>-4.849999999999996E-2</v>
      </c>
      <c r="AA124" s="635">
        <f t="shared" si="89"/>
        <v>3655</v>
      </c>
      <c r="AB124" s="635">
        <f t="shared" si="90"/>
        <v>0.45280437756497949</v>
      </c>
      <c r="AC124" s="635">
        <f t="shared" si="83"/>
        <v>24205</v>
      </c>
      <c r="AD124" s="635">
        <f t="shared" si="84"/>
        <v>111</v>
      </c>
      <c r="AE124" s="635">
        <f t="shared" si="94"/>
        <v>101</v>
      </c>
      <c r="AF124" s="635" t="str">
        <f t="shared" si="85"/>
        <v>chest_shard</v>
      </c>
      <c r="AG124" s="635" t="str">
        <f t="shared" si="86"/>
        <v>resource_icon_doublekey</v>
      </c>
      <c r="AH124" s="635" t="str">
        <f t="shared" si="95"/>
        <v>resource_icon_diamond</v>
      </c>
      <c r="AI124" s="635" t="str">
        <f t="shared" si="68"/>
        <v>[24205,111,101]</v>
      </c>
      <c r="AJ124" s="635" t="str">
        <f t="shared" si="69"/>
        <v>[7,600,160]</v>
      </c>
      <c r="AK124" s="635" t="str">
        <f t="shared" si="70"/>
        <v>[chest_shard,resource_icon_doublekey,resource_icon_diamond]</v>
      </c>
      <c r="AL124" s="635" t="str">
        <f t="shared" si="71"/>
        <v>6+20+碎片礼包</v>
      </c>
    </row>
    <row r="125" spans="7:38" x14ac:dyDescent="0.35">
      <c r="G125" s="635">
        <v>6</v>
      </c>
      <c r="H125" s="636" t="s">
        <v>3049</v>
      </c>
      <c r="I125" s="635" t="s">
        <v>2721</v>
      </c>
      <c r="J125" s="635" t="s">
        <v>929</v>
      </c>
      <c r="K125" s="635" t="e">
        <f t="shared" si="87"/>
        <v>#N/A</v>
      </c>
      <c r="L125" s="635">
        <f t="shared" si="82"/>
        <v>70</v>
      </c>
      <c r="M125" s="635">
        <f t="shared" si="91"/>
        <v>2.5000000000000001E-3</v>
      </c>
      <c r="N125" s="635">
        <v>50</v>
      </c>
      <c r="O125" s="635">
        <f>N125*基础经济系数!$C$2</f>
        <v>5000</v>
      </c>
      <c r="P125" s="613">
        <f t="shared" si="88"/>
        <v>1.6666666666666667</v>
      </c>
      <c r="Q125" s="635">
        <f t="shared" si="3"/>
        <v>8333.3333333333339</v>
      </c>
      <c r="R125" s="635">
        <v>6</v>
      </c>
      <c r="S125" s="635" t="e">
        <f t="shared" si="14"/>
        <v>#N/A</v>
      </c>
      <c r="T125" s="635" t="e">
        <f t="shared" si="15"/>
        <v>#N/A</v>
      </c>
      <c r="U125" s="635">
        <v>20</v>
      </c>
      <c r="V125" s="635">
        <f t="shared" si="16"/>
        <v>1400</v>
      </c>
      <c r="W125" s="635">
        <f t="shared" si="17"/>
        <v>0.16799999999999998</v>
      </c>
      <c r="X125" s="635">
        <v>180000</v>
      </c>
      <c r="Y125" s="635" t="e">
        <f t="shared" si="92"/>
        <v>#N/A</v>
      </c>
      <c r="Z125" s="635" t="e">
        <f t="shared" si="93"/>
        <v>#N/A</v>
      </c>
      <c r="AA125" s="635" t="e">
        <f t="shared" si="89"/>
        <v>#N/A</v>
      </c>
      <c r="AB125" s="635" t="e">
        <f t="shared" si="90"/>
        <v>#N/A</v>
      </c>
      <c r="AC125" s="635">
        <f t="shared" si="83"/>
        <v>23205</v>
      </c>
      <c r="AD125" s="635">
        <f t="shared" si="84"/>
        <v>100501</v>
      </c>
      <c r="AE125" s="635">
        <f t="shared" si="94"/>
        <v>102</v>
      </c>
      <c r="AF125" s="635" t="str">
        <f t="shared" si="85"/>
        <v>chest_tankpart</v>
      </c>
      <c r="AG125" s="635" t="str">
        <f t="shared" si="86"/>
        <v>resource_icon_quicken</v>
      </c>
      <c r="AH125" s="635" t="str">
        <f t="shared" si="95"/>
        <v>resource_icon_fund</v>
      </c>
      <c r="AI125" s="635" t="str">
        <f t="shared" si="68"/>
        <v>[23205,100501,102]</v>
      </c>
      <c r="AJ125" s="635" t="str">
        <f t="shared" si="69"/>
        <v>[6,20,180000]</v>
      </c>
      <c r="AK125" s="635" t="str">
        <f t="shared" si="70"/>
        <v>[chest_tankpart,resource_icon_quicken,resource_icon_fund]</v>
      </c>
      <c r="AL125" s="635" t="str">
        <f t="shared" si="71"/>
        <v>6+50+部件礼包</v>
      </c>
    </row>
    <row r="126" spans="7:38" x14ac:dyDescent="0.35">
      <c r="G126" s="635">
        <v>6</v>
      </c>
      <c r="H126" s="636" t="s">
        <v>3037</v>
      </c>
      <c r="I126" s="635" t="s">
        <v>2671</v>
      </c>
      <c r="J126" s="635" t="s">
        <v>932</v>
      </c>
      <c r="K126" s="635">
        <f t="shared" si="87"/>
        <v>435</v>
      </c>
      <c r="L126" s="635">
        <f t="shared" si="82"/>
        <v>0.75</v>
      </c>
      <c r="M126" s="635">
        <f t="shared" si="91"/>
        <v>1</v>
      </c>
      <c r="N126" s="635">
        <v>50</v>
      </c>
      <c r="O126" s="635">
        <f>N126*基础经济系数!$C$2</f>
        <v>5000</v>
      </c>
      <c r="P126" s="613">
        <f t="shared" si="88"/>
        <v>1.6666666666666667</v>
      </c>
      <c r="Q126" s="635">
        <f t="shared" si="3"/>
        <v>8333.3333333333339</v>
      </c>
      <c r="R126" s="635">
        <v>20</v>
      </c>
      <c r="S126" s="635">
        <f t="shared" si="14"/>
        <v>8700</v>
      </c>
      <c r="T126" s="635">
        <f t="shared" si="15"/>
        <v>1.0439999999999998</v>
      </c>
      <c r="U126" s="635">
        <v>600</v>
      </c>
      <c r="V126" s="635">
        <f t="shared" si="16"/>
        <v>450</v>
      </c>
      <c r="W126" s="635">
        <f t="shared" si="17"/>
        <v>5.3999999999999999E-2</v>
      </c>
      <c r="X126" s="635">
        <v>90</v>
      </c>
      <c r="Y126" s="635">
        <f t="shared" si="92"/>
        <v>-816.66666666666515</v>
      </c>
      <c r="Z126" s="635">
        <f t="shared" si="93"/>
        <v>-9.7999999999999809E-2</v>
      </c>
      <c r="AA126" s="635">
        <f t="shared" si="89"/>
        <v>9240</v>
      </c>
      <c r="AB126" s="635">
        <f t="shared" si="90"/>
        <v>0.45887445887445888</v>
      </c>
      <c r="AC126" s="635">
        <f t="shared" si="83"/>
        <v>24205</v>
      </c>
      <c r="AD126" s="635">
        <f t="shared" si="84"/>
        <v>111</v>
      </c>
      <c r="AE126" s="635">
        <f t="shared" si="94"/>
        <v>101</v>
      </c>
      <c r="AF126" s="635" t="str">
        <f t="shared" si="85"/>
        <v>chest_shard</v>
      </c>
      <c r="AG126" s="635" t="str">
        <f t="shared" si="86"/>
        <v>resource_icon_doublekey</v>
      </c>
      <c r="AH126" s="635" t="str">
        <f t="shared" si="95"/>
        <v>resource_icon_diamond</v>
      </c>
      <c r="AI126" s="635" t="str">
        <f t="shared" si="68"/>
        <v>[24205,111,101]</v>
      </c>
      <c r="AJ126" s="635" t="str">
        <f t="shared" si="69"/>
        <v>[20,600,90]</v>
      </c>
      <c r="AK126" s="635" t="str">
        <f t="shared" si="70"/>
        <v>[chest_shard,resource_icon_doublekey,resource_icon_diamond]</v>
      </c>
      <c r="AL126" s="635" t="str">
        <f t="shared" si="71"/>
        <v>6+50+碎片礼包</v>
      </c>
    </row>
    <row r="127" spans="7:38" x14ac:dyDescent="0.35">
      <c r="G127" s="635">
        <v>6</v>
      </c>
      <c r="H127" s="636" t="s">
        <v>3057</v>
      </c>
      <c r="I127" s="635" t="s">
        <v>2721</v>
      </c>
      <c r="J127" s="635" t="s">
        <v>929</v>
      </c>
      <c r="K127" s="635">
        <f t="shared" si="87"/>
        <v>36</v>
      </c>
      <c r="L127" s="635">
        <f t="shared" si="82"/>
        <v>70</v>
      </c>
      <c r="M127" s="635">
        <f t="shared" si="91"/>
        <v>2.5000000000000001E-3</v>
      </c>
      <c r="N127" s="635">
        <v>5</v>
      </c>
      <c r="O127" s="635">
        <f>N127*基础经济系数!$C$2</f>
        <v>500</v>
      </c>
      <c r="P127" s="613">
        <f>3/2</f>
        <v>1.5</v>
      </c>
      <c r="Q127" s="635">
        <f t="shared" ref="Q127:Q142" si="96">O127*P127</f>
        <v>750</v>
      </c>
      <c r="R127" s="635">
        <v>1</v>
      </c>
      <c r="S127" s="635">
        <f t="shared" ref="S127:S142" si="97">R127*K127</f>
        <v>36</v>
      </c>
      <c r="T127" s="635">
        <f t="shared" ref="T127:T142" si="98">S127/Q127</f>
        <v>4.8000000000000001E-2</v>
      </c>
      <c r="U127" s="635">
        <v>3</v>
      </c>
      <c r="V127" s="635">
        <f t="shared" ref="V127:V142" si="99">U127*L127</f>
        <v>210</v>
      </c>
      <c r="W127" s="635">
        <f t="shared" ref="W127:W142" si="100">V127/Q127</f>
        <v>0.28000000000000003</v>
      </c>
      <c r="X127" s="635">
        <v>25000</v>
      </c>
      <c r="Y127" s="635">
        <f t="shared" si="92"/>
        <v>503.99999999999994</v>
      </c>
      <c r="Z127" s="635">
        <f t="shared" si="93"/>
        <v>0.67199999999999993</v>
      </c>
      <c r="AA127" s="635">
        <f t="shared" si="89"/>
        <v>308.5</v>
      </c>
      <c r="AB127" s="635">
        <f t="shared" si="90"/>
        <v>-0.62074554294975681</v>
      </c>
      <c r="AC127" s="635">
        <f t="shared" si="83"/>
        <v>23203</v>
      </c>
      <c r="AD127" s="635">
        <f t="shared" si="84"/>
        <v>100501</v>
      </c>
      <c r="AE127" s="635">
        <f t="shared" si="94"/>
        <v>102</v>
      </c>
      <c r="AF127" s="635" t="str">
        <f t="shared" si="85"/>
        <v>chest_tankpart</v>
      </c>
      <c r="AG127" s="635" t="str">
        <f t="shared" si="86"/>
        <v>resource_icon_quicken</v>
      </c>
      <c r="AH127" s="635" t="str">
        <f t="shared" si="95"/>
        <v>resource_icon_fund</v>
      </c>
      <c r="AI127" s="635" t="str">
        <f t="shared" si="68"/>
        <v>[23203,100501,102]</v>
      </c>
      <c r="AJ127" s="635" t="str">
        <f t="shared" si="69"/>
        <v>[1,3,25000]</v>
      </c>
      <c r="AK127" s="635" t="str">
        <f t="shared" si="70"/>
        <v>[chest_tankpart,resource_icon_quicken,resource_icon_fund]</v>
      </c>
      <c r="AL127" s="635" t="str">
        <f t="shared" si="71"/>
        <v>6+5+部件礼包</v>
      </c>
    </row>
    <row r="128" spans="7:38" x14ac:dyDescent="0.35">
      <c r="G128" s="635">
        <v>6</v>
      </c>
      <c r="H128" s="636" t="s">
        <v>3037</v>
      </c>
      <c r="I128" s="635" t="s">
        <v>2671</v>
      </c>
      <c r="J128" s="635" t="s">
        <v>932</v>
      </c>
      <c r="K128" s="635">
        <f t="shared" si="87"/>
        <v>435</v>
      </c>
      <c r="L128" s="635">
        <f t="shared" si="82"/>
        <v>0.75</v>
      </c>
      <c r="M128" s="635">
        <f t="shared" si="91"/>
        <v>1</v>
      </c>
      <c r="N128" s="635">
        <v>5</v>
      </c>
      <c r="O128" s="635">
        <f>N128*基础经济系数!$C$2</f>
        <v>500</v>
      </c>
      <c r="P128" s="613">
        <f t="shared" ref="P128:P134" si="101">3/2</f>
        <v>1.5</v>
      </c>
      <c r="Q128" s="635">
        <f t="shared" si="96"/>
        <v>750</v>
      </c>
      <c r="R128" s="635">
        <v>1</v>
      </c>
      <c r="S128" s="635">
        <f t="shared" si="97"/>
        <v>435</v>
      </c>
      <c r="T128" s="635">
        <f t="shared" si="98"/>
        <v>0.57999999999999996</v>
      </c>
      <c r="U128" s="635">
        <v>400</v>
      </c>
      <c r="V128" s="635">
        <f t="shared" si="99"/>
        <v>300</v>
      </c>
      <c r="W128" s="635">
        <f t="shared" si="100"/>
        <v>0.4</v>
      </c>
      <c r="X128" s="635">
        <v>60</v>
      </c>
      <c r="Y128" s="635">
        <f t="shared" si="92"/>
        <v>15.000000000000014</v>
      </c>
      <c r="Z128" s="635">
        <f t="shared" si="93"/>
        <v>2.0000000000000018E-2</v>
      </c>
      <c r="AA128" s="635">
        <f t="shared" si="89"/>
        <v>795</v>
      </c>
      <c r="AB128" s="635">
        <f t="shared" si="90"/>
        <v>0.37106918238993714</v>
      </c>
      <c r="AC128" s="635">
        <f t="shared" si="83"/>
        <v>24205</v>
      </c>
      <c r="AD128" s="635">
        <f t="shared" si="84"/>
        <v>111</v>
      </c>
      <c r="AE128" s="635">
        <f t="shared" si="94"/>
        <v>101</v>
      </c>
      <c r="AF128" s="635" t="str">
        <f t="shared" si="85"/>
        <v>chest_shard</v>
      </c>
      <c r="AG128" s="635" t="str">
        <f t="shared" si="86"/>
        <v>resource_icon_doublekey</v>
      </c>
      <c r="AH128" s="635" t="str">
        <f t="shared" si="95"/>
        <v>resource_icon_diamond</v>
      </c>
      <c r="AI128" s="635" t="str">
        <f t="shared" si="68"/>
        <v>[24205,111,101]</v>
      </c>
      <c r="AJ128" s="635" t="str">
        <f t="shared" si="69"/>
        <v>[1,400,60]</v>
      </c>
      <c r="AK128" s="635" t="str">
        <f t="shared" si="70"/>
        <v>[chest_shard,resource_icon_doublekey,resource_icon_diamond]</v>
      </c>
      <c r="AL128" s="635" t="str">
        <f t="shared" si="71"/>
        <v>6+5+碎片礼包</v>
      </c>
    </row>
    <row r="129" spans="7:38" x14ac:dyDescent="0.35">
      <c r="G129" s="635">
        <v>6</v>
      </c>
      <c r="H129" s="636" t="s">
        <v>3053</v>
      </c>
      <c r="I129" s="635" t="s">
        <v>2721</v>
      </c>
      <c r="J129" s="635" t="s">
        <v>929</v>
      </c>
      <c r="K129" s="635" t="e">
        <f t="shared" si="87"/>
        <v>#N/A</v>
      </c>
      <c r="L129" s="635">
        <f t="shared" si="82"/>
        <v>70</v>
      </c>
      <c r="M129" s="635">
        <f t="shared" si="91"/>
        <v>2.5000000000000001E-3</v>
      </c>
      <c r="N129" s="635">
        <v>10</v>
      </c>
      <c r="O129" s="635">
        <f>N129*基础经济系数!$C$2</f>
        <v>1000</v>
      </c>
      <c r="P129" s="613">
        <f t="shared" si="101"/>
        <v>1.5</v>
      </c>
      <c r="Q129" s="635">
        <f t="shared" si="96"/>
        <v>1500</v>
      </c>
      <c r="R129" s="635">
        <v>1</v>
      </c>
      <c r="S129" s="635" t="e">
        <f t="shared" si="97"/>
        <v>#N/A</v>
      </c>
      <c r="T129" s="635" t="e">
        <f t="shared" si="98"/>
        <v>#N/A</v>
      </c>
      <c r="U129" s="635">
        <v>10</v>
      </c>
      <c r="V129" s="635">
        <f t="shared" si="99"/>
        <v>700</v>
      </c>
      <c r="W129" s="635">
        <f t="shared" si="100"/>
        <v>0.46666666666666667</v>
      </c>
      <c r="X129" s="635">
        <v>35000</v>
      </c>
      <c r="Y129" s="635" t="e">
        <f t="shared" si="92"/>
        <v>#N/A</v>
      </c>
      <c r="Z129" s="635" t="e">
        <f t="shared" si="93"/>
        <v>#N/A</v>
      </c>
      <c r="AA129" s="635" t="e">
        <f t="shared" si="89"/>
        <v>#N/A</v>
      </c>
      <c r="AB129" s="635" t="e">
        <f t="shared" si="90"/>
        <v>#N/A</v>
      </c>
      <c r="AC129" s="635">
        <f t="shared" si="83"/>
        <v>23204</v>
      </c>
      <c r="AD129" s="635">
        <f t="shared" si="84"/>
        <v>100501</v>
      </c>
      <c r="AE129" s="635">
        <f t="shared" si="94"/>
        <v>102</v>
      </c>
      <c r="AF129" s="635" t="str">
        <f t="shared" si="85"/>
        <v>chest_tankpart</v>
      </c>
      <c r="AG129" s="635" t="str">
        <f t="shared" si="86"/>
        <v>resource_icon_quicken</v>
      </c>
      <c r="AH129" s="635" t="str">
        <f t="shared" si="95"/>
        <v>resource_icon_fund</v>
      </c>
      <c r="AI129" s="635" t="str">
        <f t="shared" si="68"/>
        <v>[23204,100501,102]</v>
      </c>
      <c r="AJ129" s="635" t="str">
        <f t="shared" si="69"/>
        <v>[1,10,35000]</v>
      </c>
      <c r="AK129" s="635" t="str">
        <f t="shared" si="70"/>
        <v>[chest_tankpart,resource_icon_quicken,resource_icon_fund]</v>
      </c>
      <c r="AL129" s="635" t="str">
        <f t="shared" si="71"/>
        <v>6+10+部件礼包</v>
      </c>
    </row>
    <row r="130" spans="7:38" x14ac:dyDescent="0.35">
      <c r="G130" s="635">
        <v>6</v>
      </c>
      <c r="H130" s="636" t="s">
        <v>3037</v>
      </c>
      <c r="I130" s="635" t="s">
        <v>2671</v>
      </c>
      <c r="J130" s="635" t="s">
        <v>932</v>
      </c>
      <c r="K130" s="635">
        <f t="shared" si="87"/>
        <v>435</v>
      </c>
      <c r="L130" s="635">
        <f t="shared" si="82"/>
        <v>0.75</v>
      </c>
      <c r="M130" s="635">
        <f t="shared" si="91"/>
        <v>1</v>
      </c>
      <c r="N130" s="635">
        <v>10</v>
      </c>
      <c r="O130" s="635">
        <f>N130*基础经济系数!$C$2</f>
        <v>1000</v>
      </c>
      <c r="P130" s="613">
        <f t="shared" si="101"/>
        <v>1.5</v>
      </c>
      <c r="Q130" s="635">
        <f t="shared" si="96"/>
        <v>1500</v>
      </c>
      <c r="R130" s="635">
        <v>3</v>
      </c>
      <c r="S130" s="635">
        <f t="shared" si="97"/>
        <v>1305</v>
      </c>
      <c r="T130" s="635">
        <f t="shared" si="98"/>
        <v>0.87</v>
      </c>
      <c r="U130" s="635">
        <v>400</v>
      </c>
      <c r="V130" s="635">
        <f t="shared" si="99"/>
        <v>300</v>
      </c>
      <c r="W130" s="635">
        <f t="shared" si="100"/>
        <v>0.2</v>
      </c>
      <c r="X130" s="635">
        <v>30</v>
      </c>
      <c r="Y130" s="635">
        <f t="shared" si="92"/>
        <v>-105.00000000000001</v>
      </c>
      <c r="Z130" s="635">
        <f t="shared" si="93"/>
        <v>-7.0000000000000007E-2</v>
      </c>
      <c r="AA130" s="635">
        <f t="shared" si="89"/>
        <v>1635</v>
      </c>
      <c r="AB130" s="635">
        <f t="shared" si="90"/>
        <v>0.3883792048929664</v>
      </c>
      <c r="AC130" s="635">
        <f t="shared" si="83"/>
        <v>24205</v>
      </c>
      <c r="AD130" s="635">
        <f t="shared" si="84"/>
        <v>111</v>
      </c>
      <c r="AE130" s="635">
        <f t="shared" si="94"/>
        <v>101</v>
      </c>
      <c r="AF130" s="635" t="str">
        <f t="shared" si="85"/>
        <v>chest_shard</v>
      </c>
      <c r="AG130" s="635" t="str">
        <f t="shared" si="86"/>
        <v>resource_icon_doublekey</v>
      </c>
      <c r="AH130" s="635" t="str">
        <f t="shared" si="95"/>
        <v>resource_icon_diamond</v>
      </c>
      <c r="AI130" s="635" t="str">
        <f t="shared" si="68"/>
        <v>[24205,111,101]</v>
      </c>
      <c r="AJ130" s="635" t="str">
        <f t="shared" si="69"/>
        <v>[3,400,30]</v>
      </c>
      <c r="AK130" s="635" t="str">
        <f t="shared" si="70"/>
        <v>[chest_shard,resource_icon_doublekey,resource_icon_diamond]</v>
      </c>
      <c r="AL130" s="635" t="str">
        <f t="shared" si="71"/>
        <v>6+10+碎片礼包</v>
      </c>
    </row>
    <row r="131" spans="7:38" x14ac:dyDescent="0.35">
      <c r="G131" s="635">
        <v>6</v>
      </c>
      <c r="H131" s="636" t="s">
        <v>3049</v>
      </c>
      <c r="I131" s="635" t="s">
        <v>2721</v>
      </c>
      <c r="J131" s="635" t="s">
        <v>929</v>
      </c>
      <c r="K131" s="635" t="e">
        <f t="shared" si="87"/>
        <v>#N/A</v>
      </c>
      <c r="L131" s="635">
        <f t="shared" si="82"/>
        <v>70</v>
      </c>
      <c r="M131" s="635">
        <f t="shared" si="91"/>
        <v>2.5000000000000001E-3</v>
      </c>
      <c r="N131" s="635">
        <v>20</v>
      </c>
      <c r="O131" s="635">
        <f>N131*基础经济系数!$C$2</f>
        <v>2000</v>
      </c>
      <c r="P131" s="613">
        <f t="shared" si="101"/>
        <v>1.5</v>
      </c>
      <c r="Q131" s="635">
        <f t="shared" si="96"/>
        <v>3000</v>
      </c>
      <c r="R131" s="635">
        <v>2</v>
      </c>
      <c r="S131" s="635" t="e">
        <f t="shared" si="97"/>
        <v>#N/A</v>
      </c>
      <c r="T131" s="635" t="e">
        <f t="shared" si="98"/>
        <v>#N/A</v>
      </c>
      <c r="U131" s="635">
        <v>10</v>
      </c>
      <c r="V131" s="635">
        <f t="shared" si="99"/>
        <v>700</v>
      </c>
      <c r="W131" s="635">
        <f t="shared" si="100"/>
        <v>0.23333333333333334</v>
      </c>
      <c r="X131" s="635">
        <v>60000</v>
      </c>
      <c r="Y131" s="635" t="e">
        <f t="shared" si="92"/>
        <v>#N/A</v>
      </c>
      <c r="Z131" s="635" t="e">
        <f t="shared" si="93"/>
        <v>#N/A</v>
      </c>
      <c r="AA131" s="635" t="e">
        <f t="shared" si="89"/>
        <v>#N/A</v>
      </c>
      <c r="AB131" s="635" t="e">
        <f t="shared" si="90"/>
        <v>#N/A</v>
      </c>
      <c r="AC131" s="635">
        <f t="shared" si="83"/>
        <v>23205</v>
      </c>
      <c r="AD131" s="635">
        <f t="shared" si="84"/>
        <v>100501</v>
      </c>
      <c r="AE131" s="635">
        <f t="shared" si="94"/>
        <v>102</v>
      </c>
      <c r="AF131" s="635" t="str">
        <f t="shared" si="85"/>
        <v>chest_tankpart</v>
      </c>
      <c r="AG131" s="635" t="str">
        <f t="shared" si="86"/>
        <v>resource_icon_quicken</v>
      </c>
      <c r="AH131" s="635" t="str">
        <f t="shared" si="95"/>
        <v>resource_icon_fund</v>
      </c>
      <c r="AI131" s="635" t="str">
        <f t="shared" si="68"/>
        <v>[23205,100501,102]</v>
      </c>
      <c r="AJ131" s="635" t="str">
        <f t="shared" si="69"/>
        <v>[2,10,60000]</v>
      </c>
      <c r="AK131" s="635" t="str">
        <f t="shared" si="70"/>
        <v>[chest_tankpart,resource_icon_quicken,resource_icon_fund]</v>
      </c>
      <c r="AL131" s="635" t="str">
        <f t="shared" si="71"/>
        <v>6+20+部件礼包</v>
      </c>
    </row>
    <row r="132" spans="7:38" x14ac:dyDescent="0.35">
      <c r="G132" s="635">
        <v>6</v>
      </c>
      <c r="H132" s="636" t="s">
        <v>3037</v>
      </c>
      <c r="I132" s="635" t="s">
        <v>2671</v>
      </c>
      <c r="J132" s="635" t="s">
        <v>932</v>
      </c>
      <c r="K132" s="635">
        <f t="shared" si="87"/>
        <v>435</v>
      </c>
      <c r="L132" s="635">
        <f t="shared" si="82"/>
        <v>0.75</v>
      </c>
      <c r="M132" s="635">
        <f t="shared" si="91"/>
        <v>1</v>
      </c>
      <c r="N132" s="635">
        <v>20</v>
      </c>
      <c r="O132" s="635">
        <f>N132*基础经济系数!$C$2</f>
        <v>2000</v>
      </c>
      <c r="P132" s="613">
        <f t="shared" si="101"/>
        <v>1.5</v>
      </c>
      <c r="Q132" s="635">
        <f t="shared" si="96"/>
        <v>3000</v>
      </c>
      <c r="R132" s="635">
        <v>6</v>
      </c>
      <c r="S132" s="635">
        <f t="shared" si="97"/>
        <v>2610</v>
      </c>
      <c r="T132" s="635">
        <f t="shared" si="98"/>
        <v>0.87</v>
      </c>
      <c r="U132" s="635">
        <v>800</v>
      </c>
      <c r="V132" s="635">
        <f t="shared" si="99"/>
        <v>600</v>
      </c>
      <c r="W132" s="635">
        <f t="shared" si="100"/>
        <v>0.2</v>
      </c>
      <c r="X132" s="635">
        <v>60</v>
      </c>
      <c r="Y132" s="635">
        <f t="shared" si="92"/>
        <v>-210.00000000000003</v>
      </c>
      <c r="Z132" s="635">
        <f t="shared" si="93"/>
        <v>-7.0000000000000007E-2</v>
      </c>
      <c r="AA132" s="635">
        <f t="shared" si="89"/>
        <v>3270</v>
      </c>
      <c r="AB132" s="635">
        <f t="shared" si="90"/>
        <v>0.3883792048929664</v>
      </c>
      <c r="AC132" s="635">
        <f t="shared" si="83"/>
        <v>24205</v>
      </c>
      <c r="AD132" s="635">
        <f t="shared" si="84"/>
        <v>111</v>
      </c>
      <c r="AE132" s="635">
        <f t="shared" si="94"/>
        <v>101</v>
      </c>
      <c r="AF132" s="635" t="str">
        <f t="shared" si="85"/>
        <v>chest_shard</v>
      </c>
      <c r="AG132" s="635" t="str">
        <f t="shared" si="86"/>
        <v>resource_icon_doublekey</v>
      </c>
      <c r="AH132" s="635" t="str">
        <f t="shared" si="95"/>
        <v>resource_icon_diamond</v>
      </c>
      <c r="AI132" s="635" t="str">
        <f t="shared" si="68"/>
        <v>[24205,111,101]</v>
      </c>
      <c r="AJ132" s="635" t="str">
        <f t="shared" si="69"/>
        <v>[6,800,60]</v>
      </c>
      <c r="AK132" s="635" t="str">
        <f t="shared" si="70"/>
        <v>[chest_shard,resource_icon_doublekey,resource_icon_diamond]</v>
      </c>
      <c r="AL132" s="635" t="str">
        <f t="shared" si="71"/>
        <v>6+20+碎片礼包</v>
      </c>
    </row>
    <row r="133" spans="7:38" x14ac:dyDescent="0.35">
      <c r="G133" s="635">
        <v>6</v>
      </c>
      <c r="H133" s="636" t="s">
        <v>3049</v>
      </c>
      <c r="I133" s="635" t="s">
        <v>2721</v>
      </c>
      <c r="J133" s="635" t="s">
        <v>929</v>
      </c>
      <c r="K133" s="635" t="e">
        <f t="shared" si="87"/>
        <v>#N/A</v>
      </c>
      <c r="L133" s="635">
        <f t="shared" si="82"/>
        <v>70</v>
      </c>
      <c r="M133" s="635">
        <f t="shared" si="91"/>
        <v>2.5000000000000001E-3</v>
      </c>
      <c r="N133" s="635">
        <v>50</v>
      </c>
      <c r="O133" s="635">
        <f>N133*基础经济系数!$C$2</f>
        <v>5000</v>
      </c>
      <c r="P133" s="613">
        <f t="shared" si="101"/>
        <v>1.5</v>
      </c>
      <c r="Q133" s="635">
        <f t="shared" si="96"/>
        <v>7500</v>
      </c>
      <c r="R133" s="635">
        <v>6</v>
      </c>
      <c r="S133" s="635" t="e">
        <f t="shared" si="97"/>
        <v>#N/A</v>
      </c>
      <c r="T133" s="635" t="e">
        <f t="shared" si="98"/>
        <v>#N/A</v>
      </c>
      <c r="U133" s="635">
        <v>10</v>
      </c>
      <c r="V133" s="635">
        <f t="shared" si="99"/>
        <v>700</v>
      </c>
      <c r="W133" s="635">
        <f t="shared" si="100"/>
        <v>9.3333333333333338E-2</v>
      </c>
      <c r="X133" s="635">
        <v>130000</v>
      </c>
      <c r="Y133" s="635" t="e">
        <f t="shared" si="92"/>
        <v>#N/A</v>
      </c>
      <c r="Z133" s="635" t="e">
        <f t="shared" si="93"/>
        <v>#N/A</v>
      </c>
      <c r="AA133" s="635" t="e">
        <f t="shared" si="89"/>
        <v>#N/A</v>
      </c>
      <c r="AB133" s="635" t="e">
        <f t="shared" si="90"/>
        <v>#N/A</v>
      </c>
      <c r="AC133" s="635">
        <f t="shared" si="83"/>
        <v>23205</v>
      </c>
      <c r="AD133" s="635">
        <f t="shared" si="84"/>
        <v>100501</v>
      </c>
      <c r="AE133" s="635">
        <f t="shared" si="94"/>
        <v>102</v>
      </c>
      <c r="AF133" s="635" t="str">
        <f t="shared" si="85"/>
        <v>chest_tankpart</v>
      </c>
      <c r="AG133" s="635" t="str">
        <f t="shared" si="86"/>
        <v>resource_icon_quicken</v>
      </c>
      <c r="AH133" s="635" t="str">
        <f t="shared" si="95"/>
        <v>resource_icon_fund</v>
      </c>
      <c r="AI133" s="635" t="str">
        <f t="shared" si="68"/>
        <v>[23205,100501,102]</v>
      </c>
      <c r="AJ133" s="635" t="str">
        <f t="shared" si="69"/>
        <v>[6,10,130000]</v>
      </c>
      <c r="AK133" s="635" t="str">
        <f t="shared" si="70"/>
        <v>[chest_tankpart,resource_icon_quicken,resource_icon_fund]</v>
      </c>
      <c r="AL133" s="635" t="str">
        <f t="shared" si="71"/>
        <v>6+50+部件礼包</v>
      </c>
    </row>
    <row r="134" spans="7:38" x14ac:dyDescent="0.35">
      <c r="G134" s="635">
        <v>6</v>
      </c>
      <c r="H134" s="636" t="s">
        <v>3037</v>
      </c>
      <c r="I134" s="635" t="s">
        <v>2671</v>
      </c>
      <c r="J134" s="635" t="s">
        <v>932</v>
      </c>
      <c r="K134" s="635">
        <f t="shared" si="87"/>
        <v>435</v>
      </c>
      <c r="L134" s="635">
        <f t="shared" si="82"/>
        <v>0.75</v>
      </c>
      <c r="M134" s="635">
        <f t="shared" si="91"/>
        <v>1</v>
      </c>
      <c r="N134" s="635">
        <v>50</v>
      </c>
      <c r="O134" s="635">
        <f>N134*基础经济系数!$C$2</f>
        <v>5000</v>
      </c>
      <c r="P134" s="613">
        <f t="shared" si="101"/>
        <v>1.5</v>
      </c>
      <c r="Q134" s="635">
        <f t="shared" si="96"/>
        <v>7500</v>
      </c>
      <c r="R134" s="635">
        <v>16</v>
      </c>
      <c r="S134" s="635">
        <f t="shared" si="97"/>
        <v>6960</v>
      </c>
      <c r="T134" s="635">
        <f t="shared" si="98"/>
        <v>0.92800000000000005</v>
      </c>
      <c r="U134" s="635">
        <v>1200</v>
      </c>
      <c r="V134" s="635">
        <f t="shared" si="99"/>
        <v>900</v>
      </c>
      <c r="W134" s="635">
        <f t="shared" si="100"/>
        <v>0.12</v>
      </c>
      <c r="X134" s="635">
        <v>360</v>
      </c>
      <c r="Y134" s="635">
        <f t="shared" si="92"/>
        <v>-360.00000000000034</v>
      </c>
      <c r="Z134" s="635">
        <f t="shared" si="93"/>
        <v>-4.8000000000000043E-2</v>
      </c>
      <c r="AA134" s="635">
        <f t="shared" si="89"/>
        <v>8220</v>
      </c>
      <c r="AB134" s="635">
        <f t="shared" si="90"/>
        <v>0.3917274939172749</v>
      </c>
      <c r="AC134" s="635">
        <f t="shared" si="83"/>
        <v>24205</v>
      </c>
      <c r="AD134" s="635">
        <f t="shared" si="84"/>
        <v>111</v>
      </c>
      <c r="AE134" s="635">
        <f t="shared" si="94"/>
        <v>101</v>
      </c>
      <c r="AF134" s="635" t="str">
        <f t="shared" si="85"/>
        <v>chest_shard</v>
      </c>
      <c r="AG134" s="635" t="str">
        <f t="shared" si="86"/>
        <v>resource_icon_doublekey</v>
      </c>
      <c r="AH134" s="635" t="str">
        <f t="shared" si="95"/>
        <v>resource_icon_diamond</v>
      </c>
      <c r="AI134" s="635" t="str">
        <f t="shared" si="68"/>
        <v>[24205,111,101]</v>
      </c>
      <c r="AJ134" s="635" t="str">
        <f t="shared" si="69"/>
        <v>[16,1200,360]</v>
      </c>
      <c r="AK134" s="635" t="str">
        <f t="shared" si="70"/>
        <v>[chest_shard,resource_icon_doublekey,resource_icon_diamond]</v>
      </c>
      <c r="AL134" s="635" t="str">
        <f t="shared" si="71"/>
        <v>6+50+碎片礼包</v>
      </c>
    </row>
    <row r="135" spans="7:38" x14ac:dyDescent="0.35">
      <c r="G135" s="635">
        <v>6</v>
      </c>
      <c r="H135" s="636" t="s">
        <v>3054</v>
      </c>
      <c r="I135" s="635" t="s">
        <v>2721</v>
      </c>
      <c r="J135" s="635" t="s">
        <v>929</v>
      </c>
      <c r="K135" s="635">
        <f t="shared" si="87"/>
        <v>36</v>
      </c>
      <c r="L135" s="635">
        <f t="shared" si="82"/>
        <v>70</v>
      </c>
      <c r="M135" s="635">
        <f t="shared" si="91"/>
        <v>2.5000000000000001E-3</v>
      </c>
      <c r="N135" s="635">
        <v>5</v>
      </c>
      <c r="O135" s="635">
        <f>N135*基础经济系数!$C$2</f>
        <v>500</v>
      </c>
      <c r="P135" s="613">
        <f>1/0.75</f>
        <v>1.3333333333333333</v>
      </c>
      <c r="Q135" s="635">
        <f t="shared" si="96"/>
        <v>666.66666666666663</v>
      </c>
      <c r="R135" s="635">
        <v>1</v>
      </c>
      <c r="S135" s="635">
        <f t="shared" si="97"/>
        <v>36</v>
      </c>
      <c r="T135" s="635">
        <f t="shared" si="98"/>
        <v>5.4000000000000006E-2</v>
      </c>
      <c r="U135" s="635">
        <v>2</v>
      </c>
      <c r="V135" s="635">
        <f t="shared" si="99"/>
        <v>140</v>
      </c>
      <c r="W135" s="635">
        <f t="shared" si="100"/>
        <v>0.21000000000000002</v>
      </c>
      <c r="X135" s="635">
        <v>20000</v>
      </c>
      <c r="Y135" s="635">
        <f t="shared" si="92"/>
        <v>490.66666666666663</v>
      </c>
      <c r="Z135" s="635">
        <f t="shared" si="93"/>
        <v>0.73599999999999999</v>
      </c>
      <c r="AA135" s="635">
        <f t="shared" si="89"/>
        <v>226</v>
      </c>
      <c r="AB135" s="635">
        <f t="shared" si="90"/>
        <v>-1.2123893805309733</v>
      </c>
      <c r="AC135" s="635">
        <f t="shared" si="83"/>
        <v>23203</v>
      </c>
      <c r="AD135" s="635">
        <f t="shared" si="84"/>
        <v>100501</v>
      </c>
      <c r="AE135" s="635">
        <f t="shared" si="94"/>
        <v>102</v>
      </c>
      <c r="AF135" s="635" t="str">
        <f t="shared" si="85"/>
        <v>chest_tankpart</v>
      </c>
      <c r="AG135" s="635" t="str">
        <f t="shared" si="86"/>
        <v>resource_icon_quicken</v>
      </c>
      <c r="AH135" s="635" t="str">
        <f t="shared" si="95"/>
        <v>resource_icon_fund</v>
      </c>
      <c r="AI135" s="635" t="str">
        <f t="shared" si="68"/>
        <v>[23203,100501,102]</v>
      </c>
      <c r="AJ135" s="635" t="str">
        <f t="shared" si="69"/>
        <v>[1,2,20000]</v>
      </c>
      <c r="AK135" s="635" t="str">
        <f t="shared" si="70"/>
        <v>[chest_tankpart,resource_icon_quicken,resource_icon_fund]</v>
      </c>
      <c r="AL135" s="635" t="str">
        <f t="shared" si="71"/>
        <v>6+5+部件礼包</v>
      </c>
    </row>
    <row r="136" spans="7:38" x14ac:dyDescent="0.35">
      <c r="G136" s="635">
        <v>6</v>
      </c>
      <c r="H136" s="636" t="s">
        <v>3037</v>
      </c>
      <c r="I136" s="635" t="s">
        <v>2671</v>
      </c>
      <c r="J136" s="635" t="s">
        <v>932</v>
      </c>
      <c r="K136" s="635">
        <f t="shared" si="87"/>
        <v>435</v>
      </c>
      <c r="L136" s="635">
        <f t="shared" si="82"/>
        <v>0.75</v>
      </c>
      <c r="M136" s="635">
        <f t="shared" si="91"/>
        <v>1</v>
      </c>
      <c r="N136" s="635">
        <v>5</v>
      </c>
      <c r="O136" s="635">
        <f>N136*基础经济系数!$C$2</f>
        <v>500</v>
      </c>
      <c r="P136" s="613">
        <f t="shared" ref="P136:P160" si="102">1/0.75</f>
        <v>1.3333333333333333</v>
      </c>
      <c r="Q136" s="635">
        <f t="shared" si="96"/>
        <v>666.66666666666663</v>
      </c>
      <c r="R136" s="635">
        <v>1</v>
      </c>
      <c r="S136" s="635">
        <f t="shared" si="97"/>
        <v>435</v>
      </c>
      <c r="T136" s="635">
        <f t="shared" si="98"/>
        <v>0.65250000000000008</v>
      </c>
      <c r="U136" s="635">
        <v>300</v>
      </c>
      <c r="V136" s="635">
        <f t="shared" si="99"/>
        <v>225</v>
      </c>
      <c r="W136" s="635">
        <f t="shared" si="100"/>
        <v>0.33750000000000002</v>
      </c>
      <c r="X136" s="635">
        <v>60</v>
      </c>
      <c r="Y136" s="635">
        <f t="shared" si="92"/>
        <v>6.6666666666665986</v>
      </c>
      <c r="Z136" s="635">
        <f t="shared" si="93"/>
        <v>9.9999999999998979E-3</v>
      </c>
      <c r="AA136" s="635">
        <f t="shared" si="89"/>
        <v>720</v>
      </c>
      <c r="AB136" s="635">
        <f t="shared" si="90"/>
        <v>0.30555555555555558</v>
      </c>
      <c r="AC136" s="635">
        <f t="shared" si="83"/>
        <v>24205</v>
      </c>
      <c r="AD136" s="635">
        <f t="shared" si="84"/>
        <v>111</v>
      </c>
      <c r="AE136" s="635">
        <f t="shared" si="94"/>
        <v>101</v>
      </c>
      <c r="AF136" s="635" t="str">
        <f t="shared" si="85"/>
        <v>chest_shard</v>
      </c>
      <c r="AG136" s="635" t="str">
        <f t="shared" si="86"/>
        <v>resource_icon_doublekey</v>
      </c>
      <c r="AH136" s="635" t="str">
        <f t="shared" si="95"/>
        <v>resource_icon_diamond</v>
      </c>
      <c r="AI136" s="635" t="str">
        <f t="shared" si="68"/>
        <v>[24205,111,101]</v>
      </c>
      <c r="AJ136" s="635" t="str">
        <f t="shared" si="69"/>
        <v>[1,300,60]</v>
      </c>
      <c r="AK136" s="635" t="str">
        <f t="shared" si="70"/>
        <v>[chest_shard,resource_icon_doublekey,resource_icon_diamond]</v>
      </c>
      <c r="AL136" s="635" t="str">
        <f t="shared" si="71"/>
        <v>6+5+碎片礼包</v>
      </c>
    </row>
    <row r="137" spans="7:38" x14ac:dyDescent="0.35">
      <c r="G137" s="635">
        <v>6</v>
      </c>
      <c r="H137" s="636" t="s">
        <v>3053</v>
      </c>
      <c r="I137" s="635" t="s">
        <v>2721</v>
      </c>
      <c r="J137" s="635" t="s">
        <v>929</v>
      </c>
      <c r="K137" s="635" t="e">
        <f t="shared" si="87"/>
        <v>#N/A</v>
      </c>
      <c r="L137" s="635">
        <f t="shared" ref="L137:L160" si="103">VLOOKUP(I137,$B$40:$C$81,2,FALSE)</f>
        <v>70</v>
      </c>
      <c r="M137" s="635">
        <f t="shared" si="91"/>
        <v>2.5000000000000001E-3</v>
      </c>
      <c r="N137" s="635">
        <v>10</v>
      </c>
      <c r="O137" s="635">
        <f>N137*基础经济系数!$C$2</f>
        <v>1000</v>
      </c>
      <c r="P137" s="613">
        <f t="shared" si="102"/>
        <v>1.3333333333333333</v>
      </c>
      <c r="Q137" s="635">
        <f t="shared" si="96"/>
        <v>1333.3333333333333</v>
      </c>
      <c r="R137" s="635">
        <v>1</v>
      </c>
      <c r="S137" s="635" t="e">
        <f t="shared" si="97"/>
        <v>#N/A</v>
      </c>
      <c r="T137" s="635" t="e">
        <f t="shared" si="98"/>
        <v>#N/A</v>
      </c>
      <c r="U137" s="635">
        <v>8</v>
      </c>
      <c r="V137" s="635">
        <f t="shared" si="99"/>
        <v>560</v>
      </c>
      <c r="W137" s="635">
        <f t="shared" si="100"/>
        <v>0.42000000000000004</v>
      </c>
      <c r="X137" s="635">
        <v>25000</v>
      </c>
      <c r="Y137" s="635" t="e">
        <f t="shared" si="92"/>
        <v>#N/A</v>
      </c>
      <c r="Z137" s="635" t="e">
        <f t="shared" si="93"/>
        <v>#N/A</v>
      </c>
      <c r="AA137" s="635" t="e">
        <f t="shared" si="89"/>
        <v>#N/A</v>
      </c>
      <c r="AB137" s="635" t="e">
        <f t="shared" si="90"/>
        <v>#N/A</v>
      </c>
      <c r="AC137" s="635">
        <f t="shared" ref="AC137:AC160" si="104">VLOOKUP(H137,道具ID,2,FALSE)</f>
        <v>23204</v>
      </c>
      <c r="AD137" s="635">
        <f t="shared" ref="AD137:AD160" si="105">VLOOKUP(I137,道具ID,2,FALSE)</f>
        <v>100501</v>
      </c>
      <c r="AE137" s="635">
        <f t="shared" si="94"/>
        <v>102</v>
      </c>
      <c r="AF137" s="635" t="str">
        <f t="shared" ref="AF137:AF160" si="106">VLOOKUP(H137,道具ID,3,FALSE)</f>
        <v>chest_tankpart</v>
      </c>
      <c r="AG137" s="635" t="str">
        <f t="shared" ref="AG137:AG160" si="107">VLOOKUP(I137,道具ID,3,FALSE)</f>
        <v>resource_icon_quicken</v>
      </c>
      <c r="AH137" s="635" t="str">
        <f t="shared" si="95"/>
        <v>resource_icon_fund</v>
      </c>
      <c r="AI137" s="635" t="str">
        <f t="shared" si="68"/>
        <v>[23204,100501,102]</v>
      </c>
      <c r="AJ137" s="635" t="str">
        <f t="shared" si="69"/>
        <v>[1,8,25000]</v>
      </c>
      <c r="AK137" s="635" t="str">
        <f t="shared" si="70"/>
        <v>[chest_tankpart,resource_icon_quicken,resource_icon_fund]</v>
      </c>
      <c r="AL137" s="635" t="str">
        <f t="shared" si="71"/>
        <v>6+10+部件礼包</v>
      </c>
    </row>
    <row r="138" spans="7:38" x14ac:dyDescent="0.35">
      <c r="G138" s="635">
        <v>6</v>
      </c>
      <c r="H138" s="636" t="s">
        <v>3037</v>
      </c>
      <c r="I138" s="635" t="s">
        <v>2671</v>
      </c>
      <c r="J138" s="635" t="s">
        <v>932</v>
      </c>
      <c r="K138" s="635">
        <f t="shared" si="87"/>
        <v>435</v>
      </c>
      <c r="L138" s="635">
        <f t="shared" si="103"/>
        <v>0.75</v>
      </c>
      <c r="M138" s="635">
        <f t="shared" si="91"/>
        <v>1</v>
      </c>
      <c r="N138" s="635">
        <v>10</v>
      </c>
      <c r="O138" s="635">
        <f>N138*基础经济系数!$C$2</f>
        <v>1000</v>
      </c>
      <c r="P138" s="613">
        <f t="shared" si="102"/>
        <v>1.3333333333333333</v>
      </c>
      <c r="Q138" s="635">
        <f t="shared" si="96"/>
        <v>1333.3333333333333</v>
      </c>
      <c r="R138" s="635">
        <v>2</v>
      </c>
      <c r="S138" s="635">
        <f t="shared" si="97"/>
        <v>870</v>
      </c>
      <c r="T138" s="635">
        <f t="shared" si="98"/>
        <v>0.65250000000000008</v>
      </c>
      <c r="U138" s="635">
        <v>600</v>
      </c>
      <c r="V138" s="635">
        <f t="shared" si="99"/>
        <v>450</v>
      </c>
      <c r="W138" s="635">
        <f t="shared" si="100"/>
        <v>0.33750000000000002</v>
      </c>
      <c r="X138" s="635">
        <v>110</v>
      </c>
      <c r="Y138" s="635">
        <f t="shared" si="92"/>
        <v>13.333333333333197</v>
      </c>
      <c r="Z138" s="635">
        <f t="shared" si="93"/>
        <v>9.9999999999998979E-3</v>
      </c>
      <c r="AA138" s="635">
        <f t="shared" si="89"/>
        <v>1430</v>
      </c>
      <c r="AB138" s="635">
        <f t="shared" si="90"/>
        <v>0.30069930069930062</v>
      </c>
      <c r="AC138" s="635">
        <f t="shared" si="104"/>
        <v>24205</v>
      </c>
      <c r="AD138" s="635">
        <f t="shared" si="105"/>
        <v>111</v>
      </c>
      <c r="AE138" s="635">
        <f t="shared" si="94"/>
        <v>101</v>
      </c>
      <c r="AF138" s="635" t="str">
        <f t="shared" si="106"/>
        <v>chest_shard</v>
      </c>
      <c r="AG138" s="635" t="str">
        <f t="shared" si="107"/>
        <v>resource_icon_doublekey</v>
      </c>
      <c r="AH138" s="635" t="str">
        <f t="shared" si="95"/>
        <v>resource_icon_diamond</v>
      </c>
      <c r="AI138" s="635" t="str">
        <f t="shared" si="68"/>
        <v>[24205,111,101]</v>
      </c>
      <c r="AJ138" s="635" t="str">
        <f t="shared" si="69"/>
        <v>[2,600,110]</v>
      </c>
      <c r="AK138" s="635" t="str">
        <f t="shared" si="70"/>
        <v>[chest_shard,resource_icon_doublekey,resource_icon_diamond]</v>
      </c>
      <c r="AL138" s="635" t="str">
        <f t="shared" si="71"/>
        <v>6+10+碎片礼包</v>
      </c>
    </row>
    <row r="139" spans="7:38" x14ac:dyDescent="0.35">
      <c r="G139" s="635">
        <v>6</v>
      </c>
      <c r="H139" s="636" t="s">
        <v>3049</v>
      </c>
      <c r="I139" s="635" t="s">
        <v>2721</v>
      </c>
      <c r="J139" s="635" t="s">
        <v>929</v>
      </c>
      <c r="K139" s="635" t="e">
        <f t="shared" si="87"/>
        <v>#N/A</v>
      </c>
      <c r="L139" s="635">
        <f t="shared" si="103"/>
        <v>70</v>
      </c>
      <c r="M139" s="635">
        <f t="shared" si="91"/>
        <v>2.5000000000000001E-3</v>
      </c>
      <c r="N139" s="635">
        <v>20</v>
      </c>
      <c r="O139" s="635">
        <f>N139*基础经济系数!$C$2</f>
        <v>2000</v>
      </c>
      <c r="P139" s="613">
        <f t="shared" si="102"/>
        <v>1.3333333333333333</v>
      </c>
      <c r="Q139" s="635">
        <f t="shared" si="96"/>
        <v>2666.6666666666665</v>
      </c>
      <c r="R139" s="635">
        <v>2</v>
      </c>
      <c r="S139" s="635" t="e">
        <f t="shared" si="97"/>
        <v>#N/A</v>
      </c>
      <c r="T139" s="635" t="e">
        <f t="shared" si="98"/>
        <v>#N/A</v>
      </c>
      <c r="U139" s="635">
        <v>6</v>
      </c>
      <c r="V139" s="635">
        <f t="shared" si="99"/>
        <v>420</v>
      </c>
      <c r="W139" s="635">
        <f t="shared" si="100"/>
        <v>0.1575</v>
      </c>
      <c r="X139" s="635">
        <v>35000</v>
      </c>
      <c r="Y139" s="635" t="e">
        <f t="shared" si="92"/>
        <v>#N/A</v>
      </c>
      <c r="Z139" s="635" t="e">
        <f t="shared" si="93"/>
        <v>#N/A</v>
      </c>
      <c r="AA139" s="635" t="e">
        <f t="shared" si="89"/>
        <v>#N/A</v>
      </c>
      <c r="AB139" s="635" t="e">
        <f t="shared" si="90"/>
        <v>#N/A</v>
      </c>
      <c r="AC139" s="635">
        <f t="shared" si="104"/>
        <v>23205</v>
      </c>
      <c r="AD139" s="635">
        <f t="shared" si="105"/>
        <v>100501</v>
      </c>
      <c r="AE139" s="635">
        <f t="shared" si="94"/>
        <v>102</v>
      </c>
      <c r="AF139" s="635" t="str">
        <f t="shared" si="106"/>
        <v>chest_tankpart</v>
      </c>
      <c r="AG139" s="635" t="str">
        <f t="shared" si="107"/>
        <v>resource_icon_quicken</v>
      </c>
      <c r="AH139" s="635" t="str">
        <f t="shared" si="95"/>
        <v>resource_icon_fund</v>
      </c>
      <c r="AI139" s="635" t="str">
        <f t="shared" si="68"/>
        <v>[23205,100501,102]</v>
      </c>
      <c r="AJ139" s="635" t="str">
        <f t="shared" si="69"/>
        <v>[2,6,35000]</v>
      </c>
      <c r="AK139" s="635" t="str">
        <f t="shared" si="70"/>
        <v>[chest_tankpart,resource_icon_quicken,resource_icon_fund]</v>
      </c>
      <c r="AL139" s="635" t="str">
        <f t="shared" si="71"/>
        <v>6+20+部件礼包</v>
      </c>
    </row>
    <row r="140" spans="7:38" x14ac:dyDescent="0.35">
      <c r="G140" s="635">
        <v>6</v>
      </c>
      <c r="H140" s="636" t="s">
        <v>3037</v>
      </c>
      <c r="I140" s="635" t="s">
        <v>2671</v>
      </c>
      <c r="J140" s="635" t="s">
        <v>932</v>
      </c>
      <c r="K140" s="635">
        <f t="shared" si="87"/>
        <v>435</v>
      </c>
      <c r="L140" s="635">
        <f t="shared" si="103"/>
        <v>0.75</v>
      </c>
      <c r="M140" s="635">
        <f t="shared" si="91"/>
        <v>1</v>
      </c>
      <c r="N140" s="635">
        <v>20</v>
      </c>
      <c r="O140" s="635">
        <f>N140*基础经济系数!$C$2</f>
        <v>2000</v>
      </c>
      <c r="P140" s="613">
        <f t="shared" si="102"/>
        <v>1.3333333333333333</v>
      </c>
      <c r="Q140" s="635">
        <f t="shared" si="96"/>
        <v>2666.6666666666665</v>
      </c>
      <c r="R140" s="635">
        <v>5</v>
      </c>
      <c r="S140" s="635">
        <f t="shared" si="97"/>
        <v>2175</v>
      </c>
      <c r="T140" s="635">
        <f t="shared" si="98"/>
        <v>0.81562500000000004</v>
      </c>
      <c r="U140" s="635">
        <v>800</v>
      </c>
      <c r="V140" s="635">
        <f t="shared" si="99"/>
        <v>600</v>
      </c>
      <c r="W140" s="635">
        <f t="shared" si="100"/>
        <v>0.22500000000000001</v>
      </c>
      <c r="X140" s="635">
        <v>120</v>
      </c>
      <c r="Y140" s="635">
        <f t="shared" si="92"/>
        <v>-108.33333333333346</v>
      </c>
      <c r="Z140" s="635">
        <f t="shared" si="93"/>
        <v>-4.062500000000005E-2</v>
      </c>
      <c r="AA140" s="635">
        <f t="shared" si="89"/>
        <v>2895</v>
      </c>
      <c r="AB140" s="635">
        <f t="shared" si="90"/>
        <v>0.30915371329879104</v>
      </c>
      <c r="AC140" s="635">
        <f t="shared" si="104"/>
        <v>24205</v>
      </c>
      <c r="AD140" s="635">
        <f t="shared" si="105"/>
        <v>111</v>
      </c>
      <c r="AE140" s="635">
        <f t="shared" si="94"/>
        <v>101</v>
      </c>
      <c r="AF140" s="635" t="str">
        <f t="shared" si="106"/>
        <v>chest_shard</v>
      </c>
      <c r="AG140" s="635" t="str">
        <f t="shared" si="107"/>
        <v>resource_icon_doublekey</v>
      </c>
      <c r="AH140" s="635" t="str">
        <f t="shared" si="95"/>
        <v>resource_icon_diamond</v>
      </c>
      <c r="AI140" s="635" t="str">
        <f t="shared" si="68"/>
        <v>[24205,111,101]</v>
      </c>
      <c r="AJ140" s="635" t="str">
        <f t="shared" si="69"/>
        <v>[5,800,120]</v>
      </c>
      <c r="AK140" s="635" t="str">
        <f t="shared" si="70"/>
        <v>[chest_shard,resource_icon_doublekey,resource_icon_diamond]</v>
      </c>
      <c r="AL140" s="635" t="str">
        <f t="shared" si="71"/>
        <v>6+20+碎片礼包</v>
      </c>
    </row>
    <row r="141" spans="7:38" x14ac:dyDescent="0.35">
      <c r="G141" s="635">
        <v>6</v>
      </c>
      <c r="H141" s="636" t="s">
        <v>3049</v>
      </c>
      <c r="I141" s="635" t="s">
        <v>2721</v>
      </c>
      <c r="J141" s="635" t="s">
        <v>929</v>
      </c>
      <c r="K141" s="635" t="e">
        <f t="shared" si="87"/>
        <v>#N/A</v>
      </c>
      <c r="L141" s="635">
        <f t="shared" si="103"/>
        <v>70</v>
      </c>
      <c r="M141" s="635">
        <f t="shared" si="91"/>
        <v>2.5000000000000001E-3</v>
      </c>
      <c r="N141" s="635">
        <v>50</v>
      </c>
      <c r="O141" s="635">
        <f>N141*基础经济系数!$C$2</f>
        <v>5000</v>
      </c>
      <c r="P141" s="613">
        <f t="shared" si="102"/>
        <v>1.3333333333333333</v>
      </c>
      <c r="Q141" s="635">
        <f t="shared" si="96"/>
        <v>6666.6666666666661</v>
      </c>
      <c r="R141" s="635">
        <v>5</v>
      </c>
      <c r="S141" s="635" t="e">
        <f t="shared" si="97"/>
        <v>#N/A</v>
      </c>
      <c r="T141" s="635" t="e">
        <f t="shared" si="98"/>
        <v>#N/A</v>
      </c>
      <c r="U141" s="635">
        <v>15</v>
      </c>
      <c r="V141" s="635">
        <f t="shared" si="99"/>
        <v>1050</v>
      </c>
      <c r="W141" s="635">
        <f t="shared" si="100"/>
        <v>0.1575</v>
      </c>
      <c r="X141" s="635">
        <v>90000</v>
      </c>
      <c r="Y141" s="635" t="e">
        <f t="shared" si="92"/>
        <v>#N/A</v>
      </c>
      <c r="Z141" s="635" t="e">
        <f t="shared" si="93"/>
        <v>#N/A</v>
      </c>
      <c r="AA141" s="635" t="e">
        <f t="shared" si="89"/>
        <v>#N/A</v>
      </c>
      <c r="AB141" s="635" t="e">
        <f t="shared" si="90"/>
        <v>#N/A</v>
      </c>
      <c r="AC141" s="635">
        <f t="shared" si="104"/>
        <v>23205</v>
      </c>
      <c r="AD141" s="635">
        <f t="shared" si="105"/>
        <v>100501</v>
      </c>
      <c r="AE141" s="635">
        <f t="shared" si="94"/>
        <v>102</v>
      </c>
      <c r="AF141" s="635" t="str">
        <f t="shared" si="106"/>
        <v>chest_tankpart</v>
      </c>
      <c r="AG141" s="635" t="str">
        <f t="shared" si="107"/>
        <v>resource_icon_quicken</v>
      </c>
      <c r="AH141" s="635" t="str">
        <f t="shared" si="95"/>
        <v>resource_icon_fund</v>
      </c>
      <c r="AI141" s="635" t="str">
        <f t="shared" si="68"/>
        <v>[23205,100501,102]</v>
      </c>
      <c r="AJ141" s="635" t="str">
        <f t="shared" si="69"/>
        <v>[5,15,90000]</v>
      </c>
      <c r="AK141" s="635" t="str">
        <f t="shared" si="70"/>
        <v>[chest_tankpart,resource_icon_quicken,resource_icon_fund]</v>
      </c>
      <c r="AL141" s="635" t="str">
        <f t="shared" si="71"/>
        <v>6+50+部件礼包</v>
      </c>
    </row>
    <row r="142" spans="7:38" x14ac:dyDescent="0.35">
      <c r="G142" s="635">
        <v>6</v>
      </c>
      <c r="H142" s="636" t="s">
        <v>3037</v>
      </c>
      <c r="I142" s="635" t="s">
        <v>2671</v>
      </c>
      <c r="J142" s="635" t="s">
        <v>932</v>
      </c>
      <c r="K142" s="635">
        <f t="shared" si="87"/>
        <v>435</v>
      </c>
      <c r="L142" s="635">
        <f t="shared" si="103"/>
        <v>0.75</v>
      </c>
      <c r="M142" s="635">
        <f t="shared" si="91"/>
        <v>1</v>
      </c>
      <c r="N142" s="635">
        <v>50</v>
      </c>
      <c r="O142" s="635">
        <f>N142*基础经济系数!$C$2</f>
        <v>5000</v>
      </c>
      <c r="P142" s="613">
        <f t="shared" si="102"/>
        <v>1.3333333333333333</v>
      </c>
      <c r="Q142" s="635">
        <f t="shared" si="96"/>
        <v>6666.6666666666661</v>
      </c>
      <c r="R142" s="635">
        <v>15</v>
      </c>
      <c r="S142" s="635">
        <f t="shared" si="97"/>
        <v>6525</v>
      </c>
      <c r="T142" s="635">
        <f t="shared" si="98"/>
        <v>0.97875000000000012</v>
      </c>
      <c r="U142" s="635">
        <v>800</v>
      </c>
      <c r="V142" s="635">
        <f t="shared" si="99"/>
        <v>600</v>
      </c>
      <c r="W142" s="635">
        <f t="shared" si="100"/>
        <v>9.0000000000000011E-2</v>
      </c>
      <c r="X142" s="635">
        <v>220</v>
      </c>
      <c r="Y142" s="635">
        <f t="shared" si="92"/>
        <v>-458.33333333333417</v>
      </c>
      <c r="Z142" s="635">
        <f t="shared" si="93"/>
        <v>-6.875000000000013E-2</v>
      </c>
      <c r="AA142" s="635">
        <f t="shared" si="89"/>
        <v>7345</v>
      </c>
      <c r="AB142" s="635">
        <f t="shared" si="90"/>
        <v>0.31926480599046969</v>
      </c>
      <c r="AC142" s="635">
        <f t="shared" si="104"/>
        <v>24205</v>
      </c>
      <c r="AD142" s="635">
        <f t="shared" si="105"/>
        <v>111</v>
      </c>
      <c r="AE142" s="635">
        <f t="shared" si="94"/>
        <v>101</v>
      </c>
      <c r="AF142" s="635" t="str">
        <f t="shared" si="106"/>
        <v>chest_shard</v>
      </c>
      <c r="AG142" s="635" t="str">
        <f t="shared" si="107"/>
        <v>resource_icon_doublekey</v>
      </c>
      <c r="AH142" s="635" t="str">
        <f t="shared" si="95"/>
        <v>resource_icon_diamond</v>
      </c>
      <c r="AI142" s="635" t="str">
        <f t="shared" si="68"/>
        <v>[24205,111,101]</v>
      </c>
      <c r="AJ142" s="635" t="str">
        <f t="shared" si="69"/>
        <v>[15,800,220]</v>
      </c>
      <c r="AK142" s="635" t="str">
        <f t="shared" si="70"/>
        <v>[chest_shard,resource_icon_doublekey,resource_icon_diamond]</v>
      </c>
      <c r="AL142" s="635" t="str">
        <f t="shared" si="71"/>
        <v>6+50+碎片礼包</v>
      </c>
    </row>
    <row r="143" spans="7:38" x14ac:dyDescent="0.35">
      <c r="G143" s="635">
        <v>7</v>
      </c>
      <c r="H143" s="636" t="s">
        <v>3055</v>
      </c>
      <c r="I143" s="635" t="s">
        <v>2721</v>
      </c>
      <c r="J143" s="635" t="s">
        <v>929</v>
      </c>
      <c r="K143" s="635" t="e">
        <f t="shared" si="87"/>
        <v>#N/A</v>
      </c>
      <c r="L143" s="635">
        <f t="shared" si="103"/>
        <v>70</v>
      </c>
      <c r="M143" s="635">
        <f t="shared" si="91"/>
        <v>2.5000000000000001E-3</v>
      </c>
      <c r="N143" s="635">
        <v>10</v>
      </c>
      <c r="O143" s="635">
        <f>N143*基础经济系数!$C$2</f>
        <v>1000</v>
      </c>
      <c r="P143" s="613">
        <f t="shared" ref="P143:P148" si="108">1/0.6</f>
        <v>1.6666666666666667</v>
      </c>
      <c r="Q143" s="635">
        <f t="shared" si="3"/>
        <v>1666.6666666666667</v>
      </c>
      <c r="R143" s="635">
        <v>2</v>
      </c>
      <c r="S143" s="635" t="e">
        <f t="shared" si="14"/>
        <v>#N/A</v>
      </c>
      <c r="T143" s="635" t="e">
        <f t="shared" si="15"/>
        <v>#N/A</v>
      </c>
      <c r="U143" s="635">
        <v>3</v>
      </c>
      <c r="V143" s="635">
        <f t="shared" si="16"/>
        <v>210</v>
      </c>
      <c r="W143" s="635">
        <f t="shared" si="17"/>
        <v>0.126</v>
      </c>
      <c r="X143" s="635">
        <v>6560</v>
      </c>
      <c r="Y143" s="635" t="e">
        <f t="shared" si="92"/>
        <v>#N/A</v>
      </c>
      <c r="Z143" s="635" t="e">
        <f t="shared" si="93"/>
        <v>#N/A</v>
      </c>
      <c r="AA143" s="635" t="e">
        <f t="shared" si="89"/>
        <v>#N/A</v>
      </c>
      <c r="AB143" s="635" t="e">
        <f t="shared" si="90"/>
        <v>#N/A</v>
      </c>
      <c r="AC143" s="635">
        <f t="shared" si="104"/>
        <v>23204</v>
      </c>
      <c r="AD143" s="635">
        <f t="shared" si="105"/>
        <v>100501</v>
      </c>
      <c r="AE143" s="635">
        <f t="shared" si="94"/>
        <v>102</v>
      </c>
      <c r="AF143" s="635" t="str">
        <f t="shared" si="106"/>
        <v>chest_tankpart</v>
      </c>
      <c r="AG143" s="635" t="str">
        <f t="shared" si="107"/>
        <v>resource_icon_quicken</v>
      </c>
      <c r="AH143" s="635" t="str">
        <f t="shared" si="95"/>
        <v>resource_icon_fund</v>
      </c>
      <c r="AI143" s="635" t="str">
        <f t="shared" si="68"/>
        <v>[23204,100501,102]</v>
      </c>
      <c r="AJ143" s="635" t="str">
        <f t="shared" si="69"/>
        <v>[2,3,6560]</v>
      </c>
      <c r="AK143" s="635" t="str">
        <f t="shared" si="70"/>
        <v>[chest_tankpart,resource_icon_quicken,resource_icon_fund]</v>
      </c>
      <c r="AL143" s="635" t="str">
        <f t="shared" si="71"/>
        <v>7+10+部件礼包</v>
      </c>
    </row>
    <row r="144" spans="7:38" x14ac:dyDescent="0.35">
      <c r="G144" s="635">
        <v>7</v>
      </c>
      <c r="H144" s="636" t="s">
        <v>3037</v>
      </c>
      <c r="I144" s="635" t="s">
        <v>2671</v>
      </c>
      <c r="J144" s="635" t="s">
        <v>932</v>
      </c>
      <c r="K144" s="635">
        <f t="shared" si="87"/>
        <v>435</v>
      </c>
      <c r="L144" s="635">
        <f t="shared" si="103"/>
        <v>0.75</v>
      </c>
      <c r="M144" s="635">
        <f t="shared" si="91"/>
        <v>1</v>
      </c>
      <c r="N144" s="635">
        <v>10</v>
      </c>
      <c r="O144" s="635">
        <f>N144*基础经济系数!$C$2</f>
        <v>1000</v>
      </c>
      <c r="P144" s="613">
        <f t="shared" si="108"/>
        <v>1.6666666666666667</v>
      </c>
      <c r="Q144" s="635">
        <f t="shared" si="3"/>
        <v>1666.6666666666667</v>
      </c>
      <c r="R144" s="635">
        <v>4</v>
      </c>
      <c r="S144" s="635">
        <f t="shared" si="14"/>
        <v>1740</v>
      </c>
      <c r="T144" s="635">
        <f t="shared" si="15"/>
        <v>1.044</v>
      </c>
      <c r="U144" s="635">
        <v>100</v>
      </c>
      <c r="V144" s="635">
        <f t="shared" si="16"/>
        <v>75</v>
      </c>
      <c r="W144" s="635">
        <f t="shared" si="17"/>
        <v>4.4999999999999998E-2</v>
      </c>
      <c r="X144" s="635">
        <v>35</v>
      </c>
      <c r="Y144" s="635">
        <f t="shared" si="92"/>
        <v>-148.3333333333334</v>
      </c>
      <c r="Z144" s="635">
        <f t="shared" si="93"/>
        <v>-8.9000000000000037E-2</v>
      </c>
      <c r="AA144" s="635">
        <f t="shared" si="89"/>
        <v>1850</v>
      </c>
      <c r="AB144" s="635">
        <f t="shared" si="90"/>
        <v>0.45945945945945954</v>
      </c>
      <c r="AC144" s="635">
        <f t="shared" si="104"/>
        <v>24205</v>
      </c>
      <c r="AD144" s="635">
        <f t="shared" si="105"/>
        <v>111</v>
      </c>
      <c r="AE144" s="635">
        <f t="shared" si="94"/>
        <v>101</v>
      </c>
      <c r="AF144" s="635" t="str">
        <f t="shared" si="106"/>
        <v>chest_shard</v>
      </c>
      <c r="AG144" s="635" t="str">
        <f t="shared" si="107"/>
        <v>resource_icon_doublekey</v>
      </c>
      <c r="AH144" s="635" t="str">
        <f t="shared" si="95"/>
        <v>resource_icon_diamond</v>
      </c>
      <c r="AI144" s="635" t="str">
        <f t="shared" si="68"/>
        <v>[24205,111,101]</v>
      </c>
      <c r="AJ144" s="635" t="str">
        <f t="shared" si="69"/>
        <v>[4,100,35]</v>
      </c>
      <c r="AK144" s="635" t="str">
        <f t="shared" si="70"/>
        <v>[chest_shard,resource_icon_doublekey,resource_icon_diamond]</v>
      </c>
      <c r="AL144" s="635" t="str">
        <f t="shared" si="71"/>
        <v>7+10+碎片礼包</v>
      </c>
    </row>
    <row r="145" spans="7:38" x14ac:dyDescent="0.35">
      <c r="G145" s="635">
        <v>7</v>
      </c>
      <c r="H145" s="636" t="s">
        <v>3049</v>
      </c>
      <c r="I145" s="635" t="s">
        <v>2721</v>
      </c>
      <c r="J145" s="635" t="s">
        <v>929</v>
      </c>
      <c r="K145" s="635" t="e">
        <f t="shared" si="87"/>
        <v>#N/A</v>
      </c>
      <c r="L145" s="635">
        <f t="shared" si="103"/>
        <v>70</v>
      </c>
      <c r="M145" s="635">
        <f t="shared" si="91"/>
        <v>2.5000000000000001E-3</v>
      </c>
      <c r="N145" s="635">
        <v>20</v>
      </c>
      <c r="O145" s="635">
        <f>N145*基础经济系数!$C$2</f>
        <v>2000</v>
      </c>
      <c r="P145" s="613">
        <f t="shared" si="108"/>
        <v>1.6666666666666667</v>
      </c>
      <c r="Q145" s="635">
        <f t="shared" si="3"/>
        <v>3333.3333333333335</v>
      </c>
      <c r="R145" s="635">
        <v>2</v>
      </c>
      <c r="S145" s="635" t="e">
        <f t="shared" si="14"/>
        <v>#N/A</v>
      </c>
      <c r="T145" s="635" t="e">
        <f t="shared" si="15"/>
        <v>#N/A</v>
      </c>
      <c r="U145" s="635">
        <v>15</v>
      </c>
      <c r="V145" s="635">
        <f t="shared" si="16"/>
        <v>1050</v>
      </c>
      <c r="W145" s="635">
        <f t="shared" si="17"/>
        <v>0.315</v>
      </c>
      <c r="X145" s="635">
        <v>50000</v>
      </c>
      <c r="Y145" s="635" t="e">
        <f t="shared" si="92"/>
        <v>#N/A</v>
      </c>
      <c r="Z145" s="635" t="e">
        <f t="shared" si="93"/>
        <v>#N/A</v>
      </c>
      <c r="AA145" s="635" t="e">
        <f t="shared" si="89"/>
        <v>#N/A</v>
      </c>
      <c r="AB145" s="635" t="e">
        <f t="shared" si="90"/>
        <v>#N/A</v>
      </c>
      <c r="AC145" s="635">
        <f t="shared" si="104"/>
        <v>23205</v>
      </c>
      <c r="AD145" s="635">
        <f t="shared" si="105"/>
        <v>100501</v>
      </c>
      <c r="AE145" s="635">
        <f t="shared" si="94"/>
        <v>102</v>
      </c>
      <c r="AF145" s="635" t="str">
        <f t="shared" si="106"/>
        <v>chest_tankpart</v>
      </c>
      <c r="AG145" s="635" t="str">
        <f t="shared" si="107"/>
        <v>resource_icon_quicken</v>
      </c>
      <c r="AH145" s="635" t="str">
        <f t="shared" si="95"/>
        <v>resource_icon_fund</v>
      </c>
      <c r="AI145" s="635" t="str">
        <f t="shared" si="68"/>
        <v>[23205,100501,102]</v>
      </c>
      <c r="AJ145" s="635" t="str">
        <f t="shared" si="69"/>
        <v>[2,15,50000]</v>
      </c>
      <c r="AK145" s="635" t="str">
        <f t="shared" si="70"/>
        <v>[chest_tankpart,resource_icon_quicken,resource_icon_fund]</v>
      </c>
      <c r="AL145" s="635" t="str">
        <f t="shared" si="71"/>
        <v>7+20+部件礼包</v>
      </c>
    </row>
    <row r="146" spans="7:38" x14ac:dyDescent="0.35">
      <c r="G146" s="635">
        <v>7</v>
      </c>
      <c r="H146" s="636" t="s">
        <v>3037</v>
      </c>
      <c r="I146" s="635" t="s">
        <v>2671</v>
      </c>
      <c r="J146" s="635" t="s">
        <v>932</v>
      </c>
      <c r="K146" s="635">
        <f t="shared" si="87"/>
        <v>435</v>
      </c>
      <c r="L146" s="635">
        <f t="shared" si="103"/>
        <v>0.75</v>
      </c>
      <c r="M146" s="635">
        <f t="shared" si="91"/>
        <v>1</v>
      </c>
      <c r="N146" s="635">
        <v>20</v>
      </c>
      <c r="O146" s="635">
        <f>N146*基础经济系数!$C$2</f>
        <v>2000</v>
      </c>
      <c r="P146" s="613">
        <f t="shared" si="108"/>
        <v>1.6666666666666667</v>
      </c>
      <c r="Q146" s="635">
        <f t="shared" si="3"/>
        <v>3333.3333333333335</v>
      </c>
      <c r="R146" s="635">
        <v>8</v>
      </c>
      <c r="S146" s="635">
        <f t="shared" si="14"/>
        <v>3480</v>
      </c>
      <c r="T146" s="635">
        <f t="shared" si="15"/>
        <v>1.044</v>
      </c>
      <c r="U146" s="635">
        <v>200</v>
      </c>
      <c r="V146" s="635">
        <f t="shared" si="16"/>
        <v>150</v>
      </c>
      <c r="W146" s="635">
        <f t="shared" si="17"/>
        <v>4.4999999999999998E-2</v>
      </c>
      <c r="X146" s="635">
        <v>70</v>
      </c>
      <c r="Y146" s="635">
        <f t="shared" si="92"/>
        <v>-296.6666666666668</v>
      </c>
      <c r="Z146" s="635">
        <f t="shared" si="93"/>
        <v>-8.9000000000000037E-2</v>
      </c>
      <c r="AA146" s="635">
        <f t="shared" si="89"/>
        <v>3700</v>
      </c>
      <c r="AB146" s="635">
        <f t="shared" si="90"/>
        <v>0.45945945945945954</v>
      </c>
      <c r="AC146" s="635">
        <f t="shared" si="104"/>
        <v>24205</v>
      </c>
      <c r="AD146" s="635">
        <f t="shared" si="105"/>
        <v>111</v>
      </c>
      <c r="AE146" s="635">
        <f t="shared" si="94"/>
        <v>101</v>
      </c>
      <c r="AF146" s="635" t="str">
        <f t="shared" si="106"/>
        <v>chest_shard</v>
      </c>
      <c r="AG146" s="635" t="str">
        <f t="shared" si="107"/>
        <v>resource_icon_doublekey</v>
      </c>
      <c r="AH146" s="635" t="str">
        <f t="shared" si="95"/>
        <v>resource_icon_diamond</v>
      </c>
      <c r="AI146" s="635" t="str">
        <f t="shared" si="68"/>
        <v>[24205,111,101]</v>
      </c>
      <c r="AJ146" s="635" t="str">
        <f t="shared" si="69"/>
        <v>[8,200,70]</v>
      </c>
      <c r="AK146" s="635" t="str">
        <f t="shared" si="70"/>
        <v>[chest_shard,resource_icon_doublekey,resource_icon_diamond]</v>
      </c>
      <c r="AL146" s="635" t="str">
        <f t="shared" si="71"/>
        <v>7+20+碎片礼包</v>
      </c>
    </row>
    <row r="147" spans="7:38" x14ac:dyDescent="0.35">
      <c r="G147" s="635">
        <v>7</v>
      </c>
      <c r="H147" s="636" t="s">
        <v>3049</v>
      </c>
      <c r="I147" s="635" t="s">
        <v>2721</v>
      </c>
      <c r="J147" s="635" t="s">
        <v>929</v>
      </c>
      <c r="K147" s="635" t="e">
        <f t="shared" si="87"/>
        <v>#N/A</v>
      </c>
      <c r="L147" s="635">
        <f t="shared" si="103"/>
        <v>70</v>
      </c>
      <c r="M147" s="635">
        <f t="shared" si="91"/>
        <v>2.5000000000000001E-3</v>
      </c>
      <c r="N147" s="635">
        <v>50</v>
      </c>
      <c r="O147" s="635">
        <f>N147*基础经济系数!$C$2</f>
        <v>5000</v>
      </c>
      <c r="P147" s="613">
        <f t="shared" si="108"/>
        <v>1.6666666666666667</v>
      </c>
      <c r="Q147" s="635">
        <f t="shared" si="3"/>
        <v>8333.3333333333339</v>
      </c>
      <c r="R147" s="635">
        <v>6</v>
      </c>
      <c r="S147" s="635" t="e">
        <f t="shared" si="14"/>
        <v>#N/A</v>
      </c>
      <c r="T147" s="635" t="e">
        <f t="shared" si="15"/>
        <v>#N/A</v>
      </c>
      <c r="U147" s="635">
        <v>20</v>
      </c>
      <c r="V147" s="635">
        <f t="shared" si="16"/>
        <v>1400</v>
      </c>
      <c r="W147" s="635">
        <f t="shared" si="17"/>
        <v>0.16799999999999998</v>
      </c>
      <c r="X147" s="635">
        <v>180000</v>
      </c>
      <c r="Y147" s="635" t="e">
        <f t="shared" si="92"/>
        <v>#N/A</v>
      </c>
      <c r="Z147" s="635" t="e">
        <f t="shared" si="93"/>
        <v>#N/A</v>
      </c>
      <c r="AA147" s="635" t="e">
        <f t="shared" si="89"/>
        <v>#N/A</v>
      </c>
      <c r="AB147" s="635" t="e">
        <f t="shared" si="90"/>
        <v>#N/A</v>
      </c>
      <c r="AC147" s="635">
        <f t="shared" si="104"/>
        <v>23205</v>
      </c>
      <c r="AD147" s="635">
        <f t="shared" si="105"/>
        <v>100501</v>
      </c>
      <c r="AE147" s="635">
        <f t="shared" si="94"/>
        <v>102</v>
      </c>
      <c r="AF147" s="635" t="str">
        <f t="shared" si="106"/>
        <v>chest_tankpart</v>
      </c>
      <c r="AG147" s="635" t="str">
        <f t="shared" si="107"/>
        <v>resource_icon_quicken</v>
      </c>
      <c r="AH147" s="635" t="str">
        <f t="shared" si="95"/>
        <v>resource_icon_fund</v>
      </c>
      <c r="AI147" s="635" t="str">
        <f t="shared" si="68"/>
        <v>[23205,100501,102]</v>
      </c>
      <c r="AJ147" s="635" t="str">
        <f t="shared" si="69"/>
        <v>[6,20,180000]</v>
      </c>
      <c r="AK147" s="635" t="str">
        <f t="shared" si="70"/>
        <v>[chest_tankpart,resource_icon_quicken,resource_icon_fund]</v>
      </c>
      <c r="AL147" s="635" t="str">
        <f t="shared" si="71"/>
        <v>7+50+部件礼包</v>
      </c>
    </row>
    <row r="148" spans="7:38" x14ac:dyDescent="0.35">
      <c r="G148" s="635">
        <v>7</v>
      </c>
      <c r="H148" s="636" t="s">
        <v>3037</v>
      </c>
      <c r="I148" s="635" t="s">
        <v>2671</v>
      </c>
      <c r="J148" s="635" t="s">
        <v>932</v>
      </c>
      <c r="K148" s="635">
        <f t="shared" si="87"/>
        <v>435</v>
      </c>
      <c r="L148" s="635">
        <f t="shared" si="103"/>
        <v>0.75</v>
      </c>
      <c r="M148" s="635">
        <f t="shared" si="91"/>
        <v>1</v>
      </c>
      <c r="N148" s="635">
        <v>50</v>
      </c>
      <c r="O148" s="635">
        <f>N148*基础经济系数!$C$2</f>
        <v>5000</v>
      </c>
      <c r="P148" s="613">
        <f t="shared" si="108"/>
        <v>1.6666666666666667</v>
      </c>
      <c r="Q148" s="635">
        <f t="shared" si="3"/>
        <v>8333.3333333333339</v>
      </c>
      <c r="R148" s="635">
        <v>20</v>
      </c>
      <c r="S148" s="635">
        <f t="shared" si="14"/>
        <v>8700</v>
      </c>
      <c r="T148" s="635">
        <f t="shared" si="15"/>
        <v>1.0439999999999998</v>
      </c>
      <c r="U148" s="635">
        <v>300</v>
      </c>
      <c r="V148" s="635">
        <f t="shared" si="16"/>
        <v>225</v>
      </c>
      <c r="W148" s="635">
        <f t="shared" si="17"/>
        <v>2.7E-2</v>
      </c>
      <c r="X148" s="635">
        <v>310</v>
      </c>
      <c r="Y148" s="635">
        <f t="shared" si="92"/>
        <v>-591.66666666666515</v>
      </c>
      <c r="Z148" s="635">
        <f t="shared" si="93"/>
        <v>-7.0999999999999813E-2</v>
      </c>
      <c r="AA148" s="635">
        <f t="shared" si="89"/>
        <v>9235</v>
      </c>
      <c r="AB148" s="635">
        <f t="shared" si="90"/>
        <v>0.45858148348673522</v>
      </c>
      <c r="AC148" s="635">
        <f t="shared" si="104"/>
        <v>24205</v>
      </c>
      <c r="AD148" s="635">
        <f t="shared" si="105"/>
        <v>111</v>
      </c>
      <c r="AE148" s="635">
        <f t="shared" si="94"/>
        <v>101</v>
      </c>
      <c r="AF148" s="635" t="str">
        <f t="shared" si="106"/>
        <v>chest_shard</v>
      </c>
      <c r="AG148" s="635" t="str">
        <f t="shared" si="107"/>
        <v>resource_icon_doublekey</v>
      </c>
      <c r="AH148" s="635" t="str">
        <f t="shared" si="95"/>
        <v>resource_icon_diamond</v>
      </c>
      <c r="AI148" s="635" t="str">
        <f t="shared" si="68"/>
        <v>[24205,111,101]</v>
      </c>
      <c r="AJ148" s="635" t="str">
        <f t="shared" si="69"/>
        <v>[20,300,310]</v>
      </c>
      <c r="AK148" s="635" t="str">
        <f t="shared" si="70"/>
        <v>[chest_shard,resource_icon_doublekey,resource_icon_diamond]</v>
      </c>
      <c r="AL148" s="635" t="str">
        <f t="shared" si="71"/>
        <v>7+50+碎片礼包</v>
      </c>
    </row>
    <row r="149" spans="7:38" x14ac:dyDescent="0.35">
      <c r="G149" s="635">
        <v>7</v>
      </c>
      <c r="H149" s="636" t="s">
        <v>3055</v>
      </c>
      <c r="I149" s="635" t="s">
        <v>2721</v>
      </c>
      <c r="J149" s="635" t="s">
        <v>929</v>
      </c>
      <c r="K149" s="635" t="e">
        <f t="shared" si="87"/>
        <v>#N/A</v>
      </c>
      <c r="L149" s="635">
        <f t="shared" si="103"/>
        <v>70</v>
      </c>
      <c r="M149" s="635">
        <f t="shared" si="91"/>
        <v>2.5000000000000001E-3</v>
      </c>
      <c r="N149" s="635">
        <v>10</v>
      </c>
      <c r="O149" s="635">
        <f>N149*基础经济系数!$C$2</f>
        <v>1000</v>
      </c>
      <c r="P149" s="613">
        <f t="shared" ref="P149:P154" si="109">3/2</f>
        <v>1.5</v>
      </c>
      <c r="Q149" s="635">
        <f t="shared" ref="Q149:Q160" si="110">O149*P149</f>
        <v>1500</v>
      </c>
      <c r="R149" s="635">
        <v>1</v>
      </c>
      <c r="S149" s="635" t="e">
        <f t="shared" ref="S149:S160" si="111">R149*K149</f>
        <v>#N/A</v>
      </c>
      <c r="T149" s="635" t="e">
        <f t="shared" ref="T149:T160" si="112">S149/Q149</f>
        <v>#N/A</v>
      </c>
      <c r="U149" s="635">
        <v>10</v>
      </c>
      <c r="V149" s="635">
        <f t="shared" ref="V149:V160" si="113">U149*L149</f>
        <v>700</v>
      </c>
      <c r="W149" s="635">
        <f t="shared" ref="W149:W160" si="114">V149/Q149</f>
        <v>0.46666666666666667</v>
      </c>
      <c r="X149" s="635">
        <v>35000</v>
      </c>
      <c r="Y149" s="635" t="e">
        <f t="shared" si="92"/>
        <v>#N/A</v>
      </c>
      <c r="Z149" s="635" t="e">
        <f t="shared" si="93"/>
        <v>#N/A</v>
      </c>
      <c r="AA149" s="635" t="e">
        <f t="shared" si="89"/>
        <v>#N/A</v>
      </c>
      <c r="AB149" s="635" t="e">
        <f t="shared" si="90"/>
        <v>#N/A</v>
      </c>
      <c r="AC149" s="635">
        <f t="shared" si="104"/>
        <v>23204</v>
      </c>
      <c r="AD149" s="635">
        <f t="shared" si="105"/>
        <v>100501</v>
      </c>
      <c r="AE149" s="635">
        <f t="shared" si="94"/>
        <v>102</v>
      </c>
      <c r="AF149" s="635" t="str">
        <f t="shared" si="106"/>
        <v>chest_tankpart</v>
      </c>
      <c r="AG149" s="635" t="str">
        <f t="shared" si="107"/>
        <v>resource_icon_quicken</v>
      </c>
      <c r="AH149" s="635" t="str">
        <f t="shared" si="95"/>
        <v>resource_icon_fund</v>
      </c>
      <c r="AI149" s="635" t="str">
        <f t="shared" si="68"/>
        <v>[23204,100501,102]</v>
      </c>
      <c r="AJ149" s="635" t="str">
        <f t="shared" si="69"/>
        <v>[1,10,35000]</v>
      </c>
      <c r="AK149" s="635" t="str">
        <f t="shared" si="70"/>
        <v>[chest_tankpart,resource_icon_quicken,resource_icon_fund]</v>
      </c>
      <c r="AL149" s="635" t="str">
        <f t="shared" si="71"/>
        <v>7+10+部件礼包</v>
      </c>
    </row>
    <row r="150" spans="7:38" x14ac:dyDescent="0.35">
      <c r="G150" s="635">
        <v>7</v>
      </c>
      <c r="H150" s="636" t="s">
        <v>3037</v>
      </c>
      <c r="I150" s="635" t="s">
        <v>2671</v>
      </c>
      <c r="J150" s="635" t="s">
        <v>932</v>
      </c>
      <c r="K150" s="635">
        <f t="shared" si="87"/>
        <v>435</v>
      </c>
      <c r="L150" s="635">
        <f t="shared" si="103"/>
        <v>0.75</v>
      </c>
      <c r="M150" s="635">
        <f t="shared" si="91"/>
        <v>1</v>
      </c>
      <c r="N150" s="635">
        <v>10</v>
      </c>
      <c r="O150" s="635">
        <f>N150*基础经济系数!$C$2</f>
        <v>1000</v>
      </c>
      <c r="P150" s="613">
        <f t="shared" si="109"/>
        <v>1.5</v>
      </c>
      <c r="Q150" s="635">
        <f t="shared" si="110"/>
        <v>1500</v>
      </c>
      <c r="R150" s="635">
        <v>3</v>
      </c>
      <c r="S150" s="635">
        <f t="shared" si="111"/>
        <v>1305</v>
      </c>
      <c r="T150" s="635">
        <f t="shared" si="112"/>
        <v>0.87</v>
      </c>
      <c r="U150" s="635">
        <v>400</v>
      </c>
      <c r="V150" s="635">
        <f t="shared" si="113"/>
        <v>300</v>
      </c>
      <c r="W150" s="635">
        <f t="shared" si="114"/>
        <v>0.2</v>
      </c>
      <c r="X150" s="635">
        <v>30</v>
      </c>
      <c r="Y150" s="635">
        <f t="shared" si="92"/>
        <v>-105.00000000000001</v>
      </c>
      <c r="Z150" s="635">
        <f t="shared" si="93"/>
        <v>-7.0000000000000007E-2</v>
      </c>
      <c r="AA150" s="635">
        <f t="shared" si="89"/>
        <v>1635</v>
      </c>
      <c r="AB150" s="635">
        <f t="shared" si="90"/>
        <v>0.3883792048929664</v>
      </c>
      <c r="AC150" s="635">
        <f t="shared" si="104"/>
        <v>24205</v>
      </c>
      <c r="AD150" s="635">
        <f t="shared" si="105"/>
        <v>111</v>
      </c>
      <c r="AE150" s="635">
        <f t="shared" si="94"/>
        <v>101</v>
      </c>
      <c r="AF150" s="635" t="str">
        <f t="shared" si="106"/>
        <v>chest_shard</v>
      </c>
      <c r="AG150" s="635" t="str">
        <f t="shared" si="107"/>
        <v>resource_icon_doublekey</v>
      </c>
      <c r="AH150" s="635" t="str">
        <f t="shared" si="95"/>
        <v>resource_icon_diamond</v>
      </c>
      <c r="AI150" s="635" t="str">
        <f t="shared" si="68"/>
        <v>[24205,111,101]</v>
      </c>
      <c r="AJ150" s="635" t="str">
        <f t="shared" si="69"/>
        <v>[3,400,30]</v>
      </c>
      <c r="AK150" s="635" t="str">
        <f t="shared" si="70"/>
        <v>[chest_shard,resource_icon_doublekey,resource_icon_diamond]</v>
      </c>
      <c r="AL150" s="635" t="str">
        <f t="shared" si="71"/>
        <v>7+10+碎片礼包</v>
      </c>
    </row>
    <row r="151" spans="7:38" x14ac:dyDescent="0.35">
      <c r="G151" s="635">
        <v>7</v>
      </c>
      <c r="H151" s="636" t="s">
        <v>3049</v>
      </c>
      <c r="I151" s="635" t="s">
        <v>2721</v>
      </c>
      <c r="J151" s="635" t="s">
        <v>929</v>
      </c>
      <c r="K151" s="635" t="e">
        <f t="shared" ref="K151:K160" si="115">IFERROR(VLOOKUP(LEFT(H151,4),$B$40:$C$81,2,FALSE),VLOOKUP(H151,$B$40:$C$81,2,FALSE))</f>
        <v>#N/A</v>
      </c>
      <c r="L151" s="635">
        <f t="shared" si="103"/>
        <v>70</v>
      </c>
      <c r="M151" s="635">
        <f t="shared" si="91"/>
        <v>2.5000000000000001E-3</v>
      </c>
      <c r="N151" s="635">
        <v>20</v>
      </c>
      <c r="O151" s="635">
        <f>N151*基础经济系数!$C$2</f>
        <v>2000</v>
      </c>
      <c r="P151" s="613">
        <f t="shared" si="109"/>
        <v>1.5</v>
      </c>
      <c r="Q151" s="635">
        <f t="shared" si="110"/>
        <v>3000</v>
      </c>
      <c r="R151" s="635">
        <v>2</v>
      </c>
      <c r="S151" s="635" t="e">
        <f t="shared" si="111"/>
        <v>#N/A</v>
      </c>
      <c r="T151" s="635" t="e">
        <f t="shared" si="112"/>
        <v>#N/A</v>
      </c>
      <c r="U151" s="635">
        <v>10</v>
      </c>
      <c r="V151" s="635">
        <f t="shared" si="113"/>
        <v>700</v>
      </c>
      <c r="W151" s="635">
        <f t="shared" si="114"/>
        <v>0.23333333333333334</v>
      </c>
      <c r="X151" s="635">
        <v>60000</v>
      </c>
      <c r="Y151" s="635" t="e">
        <f t="shared" si="92"/>
        <v>#N/A</v>
      </c>
      <c r="Z151" s="635" t="e">
        <f t="shared" si="93"/>
        <v>#N/A</v>
      </c>
      <c r="AA151" s="635" t="e">
        <f t="shared" ref="AA151:AA160" si="116">R151*K151+U151*L151+X151*M151</f>
        <v>#N/A</v>
      </c>
      <c r="AB151" s="635" t="e">
        <f t="shared" ref="AB151:AB160" si="117">1-1/(AA151/O151)</f>
        <v>#N/A</v>
      </c>
      <c r="AC151" s="635">
        <f t="shared" si="104"/>
        <v>23205</v>
      </c>
      <c r="AD151" s="635">
        <f t="shared" si="105"/>
        <v>100501</v>
      </c>
      <c r="AE151" s="635">
        <f t="shared" si="94"/>
        <v>102</v>
      </c>
      <c r="AF151" s="635" t="str">
        <f t="shared" si="106"/>
        <v>chest_tankpart</v>
      </c>
      <c r="AG151" s="635" t="str">
        <f t="shared" si="107"/>
        <v>resource_icon_quicken</v>
      </c>
      <c r="AH151" s="635" t="str">
        <f t="shared" si="95"/>
        <v>resource_icon_fund</v>
      </c>
      <c r="AI151" s="635" t="str">
        <f t="shared" si="68"/>
        <v>[23205,100501,102]</v>
      </c>
      <c r="AJ151" s="635" t="str">
        <f t="shared" si="69"/>
        <v>[2,10,60000]</v>
      </c>
      <c r="AK151" s="635" t="str">
        <f t="shared" si="70"/>
        <v>[chest_tankpart,resource_icon_quicken,resource_icon_fund]</v>
      </c>
      <c r="AL151" s="635" t="str">
        <f t="shared" si="71"/>
        <v>7+20+部件礼包</v>
      </c>
    </row>
    <row r="152" spans="7:38" x14ac:dyDescent="0.35">
      <c r="G152" s="635">
        <v>7</v>
      </c>
      <c r="H152" s="636" t="s">
        <v>3037</v>
      </c>
      <c r="I152" s="635" t="s">
        <v>2671</v>
      </c>
      <c r="J152" s="635" t="s">
        <v>932</v>
      </c>
      <c r="K152" s="635">
        <f t="shared" si="115"/>
        <v>435</v>
      </c>
      <c r="L152" s="635">
        <f t="shared" si="103"/>
        <v>0.75</v>
      </c>
      <c r="M152" s="635">
        <f t="shared" si="91"/>
        <v>1</v>
      </c>
      <c r="N152" s="635">
        <v>20</v>
      </c>
      <c r="O152" s="635">
        <f>N152*基础经济系数!$C$2</f>
        <v>2000</v>
      </c>
      <c r="P152" s="613">
        <f t="shared" si="109"/>
        <v>1.5</v>
      </c>
      <c r="Q152" s="635">
        <f t="shared" si="110"/>
        <v>3000</v>
      </c>
      <c r="R152" s="635">
        <v>6</v>
      </c>
      <c r="S152" s="635">
        <f t="shared" si="111"/>
        <v>2610</v>
      </c>
      <c r="T152" s="635">
        <f t="shared" si="112"/>
        <v>0.87</v>
      </c>
      <c r="U152" s="635">
        <v>800</v>
      </c>
      <c r="V152" s="635">
        <f t="shared" si="113"/>
        <v>600</v>
      </c>
      <c r="W152" s="635">
        <f t="shared" si="114"/>
        <v>0.2</v>
      </c>
      <c r="X152" s="635">
        <v>60</v>
      </c>
      <c r="Y152" s="635">
        <f t="shared" si="92"/>
        <v>-210.00000000000003</v>
      </c>
      <c r="Z152" s="635">
        <f t="shared" si="93"/>
        <v>-7.0000000000000007E-2</v>
      </c>
      <c r="AA152" s="635">
        <f t="shared" si="116"/>
        <v>3270</v>
      </c>
      <c r="AB152" s="635">
        <f t="shared" si="117"/>
        <v>0.3883792048929664</v>
      </c>
      <c r="AC152" s="635">
        <f t="shared" si="104"/>
        <v>24205</v>
      </c>
      <c r="AD152" s="635">
        <f t="shared" si="105"/>
        <v>111</v>
      </c>
      <c r="AE152" s="635">
        <f t="shared" si="94"/>
        <v>101</v>
      </c>
      <c r="AF152" s="635" t="str">
        <f t="shared" si="106"/>
        <v>chest_shard</v>
      </c>
      <c r="AG152" s="635" t="str">
        <f t="shared" si="107"/>
        <v>resource_icon_doublekey</v>
      </c>
      <c r="AH152" s="635" t="str">
        <f t="shared" si="95"/>
        <v>resource_icon_diamond</v>
      </c>
      <c r="AI152" s="635" t="str">
        <f t="shared" ref="AI152:AI160" si="118">"["&amp;AC152&amp;","&amp;AD152&amp;","&amp;AE152&amp;"]"</f>
        <v>[24205,111,101]</v>
      </c>
      <c r="AJ152" s="635" t="str">
        <f t="shared" ref="AJ152:AJ160" si="119">"["&amp;R152&amp;","&amp;U152&amp;","&amp;X152&amp;"]"</f>
        <v>[6,800,60]</v>
      </c>
      <c r="AK152" s="635" t="str">
        <f t="shared" ref="AK152:AK160" si="120">"["&amp;AF152&amp;","&amp;AG152&amp;","&amp;AH152&amp;"]"</f>
        <v>[chest_shard,resource_icon_doublekey,resource_icon_diamond]</v>
      </c>
      <c r="AL152" s="635" t="str">
        <f t="shared" ref="AL152:AL160" si="121">G152&amp;"+"&amp;N152&amp;"+"&amp;LEFT(H152,4)</f>
        <v>7+20+碎片礼包</v>
      </c>
    </row>
    <row r="153" spans="7:38" x14ac:dyDescent="0.35">
      <c r="G153" s="635">
        <v>7</v>
      </c>
      <c r="H153" s="636" t="s">
        <v>3049</v>
      </c>
      <c r="I153" s="635" t="s">
        <v>2721</v>
      </c>
      <c r="J153" s="635" t="s">
        <v>929</v>
      </c>
      <c r="K153" s="635" t="e">
        <f t="shared" si="115"/>
        <v>#N/A</v>
      </c>
      <c r="L153" s="635">
        <f t="shared" si="103"/>
        <v>70</v>
      </c>
      <c r="M153" s="635">
        <f t="shared" si="91"/>
        <v>2.5000000000000001E-3</v>
      </c>
      <c r="N153" s="635">
        <v>50</v>
      </c>
      <c r="O153" s="635">
        <f>N153*基础经济系数!$C$2</f>
        <v>5000</v>
      </c>
      <c r="P153" s="613">
        <f t="shared" si="109"/>
        <v>1.5</v>
      </c>
      <c r="Q153" s="635">
        <f t="shared" si="110"/>
        <v>7500</v>
      </c>
      <c r="R153" s="635">
        <v>6</v>
      </c>
      <c r="S153" s="635" t="e">
        <f t="shared" si="111"/>
        <v>#N/A</v>
      </c>
      <c r="T153" s="635" t="e">
        <f t="shared" si="112"/>
        <v>#N/A</v>
      </c>
      <c r="U153" s="635">
        <v>12</v>
      </c>
      <c r="V153" s="635">
        <f t="shared" si="113"/>
        <v>840</v>
      </c>
      <c r="W153" s="635">
        <f t="shared" si="114"/>
        <v>0.112</v>
      </c>
      <c r="X153" s="635">
        <v>75000</v>
      </c>
      <c r="Y153" s="635" t="e">
        <f t="shared" si="92"/>
        <v>#N/A</v>
      </c>
      <c r="Z153" s="635" t="e">
        <f t="shared" si="93"/>
        <v>#N/A</v>
      </c>
      <c r="AA153" s="635" t="e">
        <f t="shared" si="116"/>
        <v>#N/A</v>
      </c>
      <c r="AB153" s="635" t="e">
        <f t="shared" si="117"/>
        <v>#N/A</v>
      </c>
      <c r="AC153" s="635">
        <f t="shared" si="104"/>
        <v>23205</v>
      </c>
      <c r="AD153" s="635">
        <f t="shared" si="105"/>
        <v>100501</v>
      </c>
      <c r="AE153" s="635">
        <f t="shared" si="94"/>
        <v>102</v>
      </c>
      <c r="AF153" s="635" t="str">
        <f t="shared" si="106"/>
        <v>chest_tankpart</v>
      </c>
      <c r="AG153" s="635" t="str">
        <f t="shared" si="107"/>
        <v>resource_icon_quicken</v>
      </c>
      <c r="AH153" s="635" t="str">
        <f t="shared" si="95"/>
        <v>resource_icon_fund</v>
      </c>
      <c r="AI153" s="635" t="str">
        <f t="shared" si="118"/>
        <v>[23205,100501,102]</v>
      </c>
      <c r="AJ153" s="635" t="str">
        <f t="shared" si="119"/>
        <v>[6,12,75000]</v>
      </c>
      <c r="AK153" s="635" t="str">
        <f t="shared" si="120"/>
        <v>[chest_tankpart,resource_icon_quicken,resource_icon_fund]</v>
      </c>
      <c r="AL153" s="635" t="str">
        <f t="shared" si="121"/>
        <v>7+50+部件礼包</v>
      </c>
    </row>
    <row r="154" spans="7:38" x14ac:dyDescent="0.35">
      <c r="G154" s="635">
        <v>7</v>
      </c>
      <c r="H154" s="636" t="s">
        <v>3037</v>
      </c>
      <c r="I154" s="635" t="s">
        <v>2671</v>
      </c>
      <c r="J154" s="635" t="s">
        <v>932</v>
      </c>
      <c r="K154" s="635">
        <f t="shared" si="115"/>
        <v>435</v>
      </c>
      <c r="L154" s="635">
        <f t="shared" si="103"/>
        <v>0.75</v>
      </c>
      <c r="M154" s="635">
        <f t="shared" si="91"/>
        <v>1</v>
      </c>
      <c r="N154" s="635">
        <v>50</v>
      </c>
      <c r="O154" s="635">
        <f>N154*基础经济系数!$C$2</f>
        <v>5000</v>
      </c>
      <c r="P154" s="613">
        <f t="shared" si="109"/>
        <v>1.5</v>
      </c>
      <c r="Q154" s="635">
        <f t="shared" si="110"/>
        <v>7500</v>
      </c>
      <c r="R154" s="635">
        <v>15</v>
      </c>
      <c r="S154" s="635">
        <f t="shared" si="111"/>
        <v>6525</v>
      </c>
      <c r="T154" s="635">
        <f t="shared" si="112"/>
        <v>0.87</v>
      </c>
      <c r="U154" s="635">
        <v>2000</v>
      </c>
      <c r="V154" s="635">
        <f t="shared" si="113"/>
        <v>1500</v>
      </c>
      <c r="W154" s="635">
        <f t="shared" si="114"/>
        <v>0.2</v>
      </c>
      <c r="X154" s="635">
        <v>150</v>
      </c>
      <c r="Y154" s="635">
        <f t="shared" si="92"/>
        <v>-525</v>
      </c>
      <c r="Z154" s="635">
        <f t="shared" si="93"/>
        <v>-7.0000000000000007E-2</v>
      </c>
      <c r="AA154" s="635">
        <f t="shared" si="116"/>
        <v>8175</v>
      </c>
      <c r="AB154" s="635">
        <f t="shared" si="117"/>
        <v>0.3883792048929664</v>
      </c>
      <c r="AC154" s="635">
        <f t="shared" si="104"/>
        <v>24205</v>
      </c>
      <c r="AD154" s="635">
        <f t="shared" si="105"/>
        <v>111</v>
      </c>
      <c r="AE154" s="635">
        <f t="shared" si="94"/>
        <v>101</v>
      </c>
      <c r="AF154" s="635" t="str">
        <f t="shared" si="106"/>
        <v>chest_shard</v>
      </c>
      <c r="AG154" s="635" t="str">
        <f t="shared" si="107"/>
        <v>resource_icon_doublekey</v>
      </c>
      <c r="AH154" s="635" t="str">
        <f t="shared" si="95"/>
        <v>resource_icon_diamond</v>
      </c>
      <c r="AI154" s="635" t="str">
        <f t="shared" si="118"/>
        <v>[24205,111,101]</v>
      </c>
      <c r="AJ154" s="635" t="str">
        <f t="shared" si="119"/>
        <v>[15,2000,150]</v>
      </c>
      <c r="AK154" s="635" t="str">
        <f t="shared" si="120"/>
        <v>[chest_shard,resource_icon_doublekey,resource_icon_diamond]</v>
      </c>
      <c r="AL154" s="635" t="str">
        <f t="shared" si="121"/>
        <v>7+50+碎片礼包</v>
      </c>
    </row>
    <row r="155" spans="7:38" x14ac:dyDescent="0.35">
      <c r="G155" s="635">
        <v>7</v>
      </c>
      <c r="H155" s="636" t="s">
        <v>3055</v>
      </c>
      <c r="I155" s="635" t="s">
        <v>2721</v>
      </c>
      <c r="J155" s="635" t="s">
        <v>929</v>
      </c>
      <c r="K155" s="635" t="e">
        <f t="shared" si="115"/>
        <v>#N/A</v>
      </c>
      <c r="L155" s="635">
        <f t="shared" si="103"/>
        <v>70</v>
      </c>
      <c r="M155" s="635">
        <f t="shared" ref="M155:M160" si="122">VLOOKUP(J155,$B$40:$C$81,2,FALSE)</f>
        <v>2.5000000000000001E-3</v>
      </c>
      <c r="N155" s="635">
        <v>10</v>
      </c>
      <c r="O155" s="635">
        <f>N155*基础经济系数!$C$2</f>
        <v>1000</v>
      </c>
      <c r="P155" s="613">
        <f t="shared" si="102"/>
        <v>1.3333333333333333</v>
      </c>
      <c r="Q155" s="635">
        <f t="shared" si="110"/>
        <v>1333.3333333333333</v>
      </c>
      <c r="R155" s="635">
        <v>1</v>
      </c>
      <c r="S155" s="635" t="e">
        <f t="shared" si="111"/>
        <v>#N/A</v>
      </c>
      <c r="T155" s="635" t="e">
        <f t="shared" si="112"/>
        <v>#N/A</v>
      </c>
      <c r="U155" s="635">
        <v>8</v>
      </c>
      <c r="V155" s="635">
        <f t="shared" si="113"/>
        <v>560</v>
      </c>
      <c r="W155" s="635">
        <f t="shared" si="114"/>
        <v>0.42000000000000004</v>
      </c>
      <c r="X155" s="635">
        <v>25000</v>
      </c>
      <c r="Y155" s="635" t="e">
        <f t="shared" ref="Y155:Y160" si="123">Z155*Q155</f>
        <v>#N/A</v>
      </c>
      <c r="Z155" s="635" t="e">
        <f t="shared" ref="Z155:Z160" si="124">1-T155-W155</f>
        <v>#N/A</v>
      </c>
      <c r="AA155" s="635" t="e">
        <f t="shared" si="116"/>
        <v>#N/A</v>
      </c>
      <c r="AB155" s="635" t="e">
        <f t="shared" si="117"/>
        <v>#N/A</v>
      </c>
      <c r="AC155" s="635">
        <f t="shared" si="104"/>
        <v>23204</v>
      </c>
      <c r="AD155" s="635">
        <f t="shared" si="105"/>
        <v>100501</v>
      </c>
      <c r="AE155" s="635">
        <f t="shared" ref="AE155:AE160" si="125">VLOOKUP(J155,道具ID,2,FALSE)</f>
        <v>102</v>
      </c>
      <c r="AF155" s="635" t="str">
        <f t="shared" si="106"/>
        <v>chest_tankpart</v>
      </c>
      <c r="AG155" s="635" t="str">
        <f t="shared" si="107"/>
        <v>resource_icon_quicken</v>
      </c>
      <c r="AH155" s="635" t="str">
        <f t="shared" ref="AH155:AH160" si="126">VLOOKUP(J155,道具ID,3,FALSE)</f>
        <v>resource_icon_fund</v>
      </c>
      <c r="AI155" s="635" t="str">
        <f t="shared" si="118"/>
        <v>[23204,100501,102]</v>
      </c>
      <c r="AJ155" s="635" t="str">
        <f t="shared" si="119"/>
        <v>[1,8,25000]</v>
      </c>
      <c r="AK155" s="635" t="str">
        <f t="shared" si="120"/>
        <v>[chest_tankpart,resource_icon_quicken,resource_icon_fund]</v>
      </c>
      <c r="AL155" s="635" t="str">
        <f t="shared" si="121"/>
        <v>7+10+部件礼包</v>
      </c>
    </row>
    <row r="156" spans="7:38" x14ac:dyDescent="0.35">
      <c r="G156" s="635">
        <v>7</v>
      </c>
      <c r="H156" s="636" t="s">
        <v>3037</v>
      </c>
      <c r="I156" s="635" t="s">
        <v>2671</v>
      </c>
      <c r="J156" s="635" t="s">
        <v>932</v>
      </c>
      <c r="K156" s="635">
        <f t="shared" si="115"/>
        <v>435</v>
      </c>
      <c r="L156" s="635">
        <f t="shared" si="103"/>
        <v>0.75</v>
      </c>
      <c r="M156" s="635">
        <f t="shared" si="122"/>
        <v>1</v>
      </c>
      <c r="N156" s="635">
        <v>10</v>
      </c>
      <c r="O156" s="635">
        <f>N156*基础经济系数!$C$2</f>
        <v>1000</v>
      </c>
      <c r="P156" s="613">
        <f t="shared" si="102"/>
        <v>1.3333333333333333</v>
      </c>
      <c r="Q156" s="635">
        <f t="shared" si="110"/>
        <v>1333.3333333333333</v>
      </c>
      <c r="R156" s="635">
        <v>3</v>
      </c>
      <c r="S156" s="635">
        <f t="shared" si="111"/>
        <v>1305</v>
      </c>
      <c r="T156" s="635">
        <f t="shared" si="112"/>
        <v>0.97875000000000001</v>
      </c>
      <c r="U156" s="635">
        <v>150</v>
      </c>
      <c r="V156" s="635">
        <f t="shared" si="113"/>
        <v>112.5</v>
      </c>
      <c r="W156" s="635">
        <f t="shared" si="114"/>
        <v>8.4375000000000006E-2</v>
      </c>
      <c r="X156" s="635">
        <v>60</v>
      </c>
      <c r="Y156" s="635">
        <f t="shared" si="123"/>
        <v>-84.166666666666686</v>
      </c>
      <c r="Z156" s="635">
        <f t="shared" si="124"/>
        <v>-6.3125000000000014E-2</v>
      </c>
      <c r="AA156" s="635">
        <f t="shared" si="116"/>
        <v>1477.5</v>
      </c>
      <c r="AB156" s="635">
        <f t="shared" si="117"/>
        <v>0.32318104906937395</v>
      </c>
      <c r="AC156" s="635">
        <f t="shared" si="104"/>
        <v>24205</v>
      </c>
      <c r="AD156" s="635">
        <f t="shared" si="105"/>
        <v>111</v>
      </c>
      <c r="AE156" s="635">
        <f t="shared" si="125"/>
        <v>101</v>
      </c>
      <c r="AF156" s="635" t="str">
        <f t="shared" si="106"/>
        <v>chest_shard</v>
      </c>
      <c r="AG156" s="635" t="str">
        <f t="shared" si="107"/>
        <v>resource_icon_doublekey</v>
      </c>
      <c r="AH156" s="635" t="str">
        <f t="shared" si="126"/>
        <v>resource_icon_diamond</v>
      </c>
      <c r="AI156" s="635" t="str">
        <f t="shared" si="118"/>
        <v>[24205,111,101]</v>
      </c>
      <c r="AJ156" s="635" t="str">
        <f t="shared" si="119"/>
        <v>[3,150,60]</v>
      </c>
      <c r="AK156" s="635" t="str">
        <f t="shared" si="120"/>
        <v>[chest_shard,resource_icon_doublekey,resource_icon_diamond]</v>
      </c>
      <c r="AL156" s="635" t="str">
        <f t="shared" si="121"/>
        <v>7+10+碎片礼包</v>
      </c>
    </row>
    <row r="157" spans="7:38" x14ac:dyDescent="0.35">
      <c r="G157" s="635">
        <v>7</v>
      </c>
      <c r="H157" s="636" t="s">
        <v>3049</v>
      </c>
      <c r="I157" s="635" t="s">
        <v>2721</v>
      </c>
      <c r="J157" s="635" t="s">
        <v>929</v>
      </c>
      <c r="K157" s="635" t="e">
        <f t="shared" si="115"/>
        <v>#N/A</v>
      </c>
      <c r="L157" s="635">
        <f t="shared" si="103"/>
        <v>70</v>
      </c>
      <c r="M157" s="635">
        <f t="shared" si="122"/>
        <v>2.5000000000000001E-3</v>
      </c>
      <c r="N157" s="635">
        <v>20</v>
      </c>
      <c r="O157" s="635">
        <f>N157*基础经济系数!$C$2</f>
        <v>2000</v>
      </c>
      <c r="P157" s="613">
        <f t="shared" si="102"/>
        <v>1.3333333333333333</v>
      </c>
      <c r="Q157" s="635">
        <f t="shared" si="110"/>
        <v>2666.6666666666665</v>
      </c>
      <c r="R157" s="635">
        <v>2</v>
      </c>
      <c r="S157" s="635" t="e">
        <f t="shared" si="111"/>
        <v>#N/A</v>
      </c>
      <c r="T157" s="635" t="e">
        <f t="shared" si="112"/>
        <v>#N/A</v>
      </c>
      <c r="U157" s="635">
        <v>6</v>
      </c>
      <c r="V157" s="635">
        <f t="shared" si="113"/>
        <v>420</v>
      </c>
      <c r="W157" s="635">
        <f t="shared" si="114"/>
        <v>0.1575</v>
      </c>
      <c r="X157" s="635">
        <v>35000</v>
      </c>
      <c r="Y157" s="635" t="e">
        <f t="shared" si="123"/>
        <v>#N/A</v>
      </c>
      <c r="Z157" s="635" t="e">
        <f t="shared" si="124"/>
        <v>#N/A</v>
      </c>
      <c r="AA157" s="635" t="e">
        <f t="shared" si="116"/>
        <v>#N/A</v>
      </c>
      <c r="AB157" s="635" t="e">
        <f t="shared" si="117"/>
        <v>#N/A</v>
      </c>
      <c r="AC157" s="635">
        <f t="shared" si="104"/>
        <v>23205</v>
      </c>
      <c r="AD157" s="635">
        <f t="shared" si="105"/>
        <v>100501</v>
      </c>
      <c r="AE157" s="635">
        <f t="shared" si="125"/>
        <v>102</v>
      </c>
      <c r="AF157" s="635" t="str">
        <f t="shared" si="106"/>
        <v>chest_tankpart</v>
      </c>
      <c r="AG157" s="635" t="str">
        <f t="shared" si="107"/>
        <v>resource_icon_quicken</v>
      </c>
      <c r="AH157" s="635" t="str">
        <f t="shared" si="126"/>
        <v>resource_icon_fund</v>
      </c>
      <c r="AI157" s="635" t="str">
        <f t="shared" si="118"/>
        <v>[23205,100501,102]</v>
      </c>
      <c r="AJ157" s="635" t="str">
        <f t="shared" si="119"/>
        <v>[2,6,35000]</v>
      </c>
      <c r="AK157" s="635" t="str">
        <f t="shared" si="120"/>
        <v>[chest_tankpart,resource_icon_quicken,resource_icon_fund]</v>
      </c>
      <c r="AL157" s="635" t="str">
        <f t="shared" si="121"/>
        <v>7+20+部件礼包</v>
      </c>
    </row>
    <row r="158" spans="7:38" x14ac:dyDescent="0.35">
      <c r="G158" s="635">
        <v>7</v>
      </c>
      <c r="H158" s="636" t="s">
        <v>3037</v>
      </c>
      <c r="I158" s="635" t="s">
        <v>2671</v>
      </c>
      <c r="J158" s="635" t="s">
        <v>932</v>
      </c>
      <c r="K158" s="635">
        <f t="shared" si="115"/>
        <v>435</v>
      </c>
      <c r="L158" s="635">
        <f t="shared" si="103"/>
        <v>0.75</v>
      </c>
      <c r="M158" s="635">
        <f t="shared" si="122"/>
        <v>1</v>
      </c>
      <c r="N158" s="635">
        <v>20</v>
      </c>
      <c r="O158" s="635">
        <f>N158*基础经济系数!$C$2</f>
        <v>2000</v>
      </c>
      <c r="P158" s="613">
        <f t="shared" si="102"/>
        <v>1.3333333333333333</v>
      </c>
      <c r="Q158" s="635">
        <f t="shared" si="110"/>
        <v>2666.6666666666665</v>
      </c>
      <c r="R158" s="635">
        <v>6</v>
      </c>
      <c r="S158" s="635">
        <f t="shared" si="111"/>
        <v>2610</v>
      </c>
      <c r="T158" s="635">
        <f t="shared" si="112"/>
        <v>0.97875000000000001</v>
      </c>
      <c r="U158" s="635">
        <v>300</v>
      </c>
      <c r="V158" s="635">
        <f t="shared" si="113"/>
        <v>225</v>
      </c>
      <c r="W158" s="635">
        <f t="shared" si="114"/>
        <v>8.4375000000000006E-2</v>
      </c>
      <c r="X158" s="635">
        <v>110</v>
      </c>
      <c r="Y158" s="635">
        <f t="shared" si="123"/>
        <v>-168.33333333333337</v>
      </c>
      <c r="Z158" s="635">
        <f t="shared" si="124"/>
        <v>-6.3125000000000014E-2</v>
      </c>
      <c r="AA158" s="635">
        <f t="shared" si="116"/>
        <v>2945</v>
      </c>
      <c r="AB158" s="635">
        <f t="shared" si="117"/>
        <v>0.32088285229202029</v>
      </c>
      <c r="AC158" s="635">
        <f t="shared" si="104"/>
        <v>24205</v>
      </c>
      <c r="AD158" s="635">
        <f t="shared" si="105"/>
        <v>111</v>
      </c>
      <c r="AE158" s="635">
        <f t="shared" si="125"/>
        <v>101</v>
      </c>
      <c r="AF158" s="635" t="str">
        <f t="shared" si="106"/>
        <v>chest_shard</v>
      </c>
      <c r="AG158" s="635" t="str">
        <f t="shared" si="107"/>
        <v>resource_icon_doublekey</v>
      </c>
      <c r="AH158" s="635" t="str">
        <f t="shared" si="126"/>
        <v>resource_icon_diamond</v>
      </c>
      <c r="AI158" s="635" t="str">
        <f t="shared" si="118"/>
        <v>[24205,111,101]</v>
      </c>
      <c r="AJ158" s="635" t="str">
        <f t="shared" si="119"/>
        <v>[6,300,110]</v>
      </c>
      <c r="AK158" s="635" t="str">
        <f t="shared" si="120"/>
        <v>[chest_shard,resource_icon_doublekey,resource_icon_diamond]</v>
      </c>
      <c r="AL158" s="635" t="str">
        <f t="shared" si="121"/>
        <v>7+20+碎片礼包</v>
      </c>
    </row>
    <row r="159" spans="7:38" x14ac:dyDescent="0.35">
      <c r="G159" s="635">
        <v>7</v>
      </c>
      <c r="H159" s="636" t="s">
        <v>3049</v>
      </c>
      <c r="I159" s="635" t="s">
        <v>2721</v>
      </c>
      <c r="J159" s="635" t="s">
        <v>929</v>
      </c>
      <c r="K159" s="635" t="e">
        <f t="shared" si="115"/>
        <v>#N/A</v>
      </c>
      <c r="L159" s="635">
        <f t="shared" si="103"/>
        <v>70</v>
      </c>
      <c r="M159" s="635">
        <f t="shared" si="122"/>
        <v>2.5000000000000001E-3</v>
      </c>
      <c r="N159" s="635">
        <v>50</v>
      </c>
      <c r="O159" s="635">
        <f>N159*基础经济系数!$C$2</f>
        <v>5000</v>
      </c>
      <c r="P159" s="613">
        <f t="shared" si="102"/>
        <v>1.3333333333333333</v>
      </c>
      <c r="Q159" s="635">
        <f t="shared" si="110"/>
        <v>6666.6666666666661</v>
      </c>
      <c r="R159" s="635">
        <v>5</v>
      </c>
      <c r="S159" s="635" t="e">
        <f t="shared" si="111"/>
        <v>#N/A</v>
      </c>
      <c r="T159" s="635" t="e">
        <f t="shared" si="112"/>
        <v>#N/A</v>
      </c>
      <c r="U159" s="635">
        <v>15</v>
      </c>
      <c r="V159" s="635">
        <f t="shared" si="113"/>
        <v>1050</v>
      </c>
      <c r="W159" s="635">
        <f t="shared" si="114"/>
        <v>0.1575</v>
      </c>
      <c r="X159" s="635">
        <v>90000</v>
      </c>
      <c r="Y159" s="635" t="e">
        <f t="shared" si="123"/>
        <v>#N/A</v>
      </c>
      <c r="Z159" s="635" t="e">
        <f t="shared" si="124"/>
        <v>#N/A</v>
      </c>
      <c r="AA159" s="635" t="e">
        <f t="shared" si="116"/>
        <v>#N/A</v>
      </c>
      <c r="AB159" s="635" t="e">
        <f t="shared" si="117"/>
        <v>#N/A</v>
      </c>
      <c r="AC159" s="635">
        <f t="shared" si="104"/>
        <v>23205</v>
      </c>
      <c r="AD159" s="635">
        <f t="shared" si="105"/>
        <v>100501</v>
      </c>
      <c r="AE159" s="635">
        <f t="shared" si="125"/>
        <v>102</v>
      </c>
      <c r="AF159" s="635" t="str">
        <f t="shared" si="106"/>
        <v>chest_tankpart</v>
      </c>
      <c r="AG159" s="635" t="str">
        <f t="shared" si="107"/>
        <v>resource_icon_quicken</v>
      </c>
      <c r="AH159" s="635" t="str">
        <f t="shared" si="126"/>
        <v>resource_icon_fund</v>
      </c>
      <c r="AI159" s="635" t="str">
        <f t="shared" si="118"/>
        <v>[23205,100501,102]</v>
      </c>
      <c r="AJ159" s="635" t="str">
        <f t="shared" si="119"/>
        <v>[5,15,90000]</v>
      </c>
      <c r="AK159" s="635" t="str">
        <f t="shared" si="120"/>
        <v>[chest_tankpart,resource_icon_quicken,resource_icon_fund]</v>
      </c>
      <c r="AL159" s="635" t="str">
        <f t="shared" si="121"/>
        <v>7+50+部件礼包</v>
      </c>
    </row>
    <row r="160" spans="7:38" x14ac:dyDescent="0.35">
      <c r="G160" s="635">
        <v>7</v>
      </c>
      <c r="H160" s="636" t="s">
        <v>3037</v>
      </c>
      <c r="I160" s="635" t="s">
        <v>2671</v>
      </c>
      <c r="J160" s="635" t="s">
        <v>932</v>
      </c>
      <c r="K160" s="635">
        <f t="shared" si="115"/>
        <v>435</v>
      </c>
      <c r="L160" s="635">
        <f t="shared" si="103"/>
        <v>0.75</v>
      </c>
      <c r="M160" s="635">
        <f t="shared" si="122"/>
        <v>1</v>
      </c>
      <c r="N160" s="635">
        <v>50</v>
      </c>
      <c r="O160" s="635">
        <f>N160*基础经济系数!$C$2</f>
        <v>5000</v>
      </c>
      <c r="P160" s="613">
        <f t="shared" si="102"/>
        <v>1.3333333333333333</v>
      </c>
      <c r="Q160" s="635">
        <f t="shared" si="110"/>
        <v>6666.6666666666661</v>
      </c>
      <c r="R160" s="635">
        <v>15</v>
      </c>
      <c r="S160" s="635">
        <f t="shared" si="111"/>
        <v>6525</v>
      </c>
      <c r="T160" s="635">
        <f t="shared" si="112"/>
        <v>0.97875000000000012</v>
      </c>
      <c r="U160" s="635">
        <v>800</v>
      </c>
      <c r="V160" s="635">
        <f t="shared" si="113"/>
        <v>600</v>
      </c>
      <c r="W160" s="635">
        <f t="shared" si="114"/>
        <v>9.0000000000000011E-2</v>
      </c>
      <c r="X160" s="635">
        <v>220</v>
      </c>
      <c r="Y160" s="635">
        <f t="shared" si="123"/>
        <v>-458.33333333333417</v>
      </c>
      <c r="Z160" s="635">
        <f t="shared" si="124"/>
        <v>-6.875000000000013E-2</v>
      </c>
      <c r="AA160" s="635">
        <f t="shared" si="116"/>
        <v>7345</v>
      </c>
      <c r="AB160" s="635">
        <f t="shared" si="117"/>
        <v>0.31926480599046969</v>
      </c>
      <c r="AC160" s="635">
        <f t="shared" si="104"/>
        <v>24205</v>
      </c>
      <c r="AD160" s="635">
        <f t="shared" si="105"/>
        <v>111</v>
      </c>
      <c r="AE160" s="635">
        <f t="shared" si="125"/>
        <v>101</v>
      </c>
      <c r="AF160" s="635" t="str">
        <f t="shared" si="106"/>
        <v>chest_shard</v>
      </c>
      <c r="AG160" s="635" t="str">
        <f t="shared" si="107"/>
        <v>resource_icon_doublekey</v>
      </c>
      <c r="AH160" s="635" t="str">
        <f t="shared" si="126"/>
        <v>resource_icon_diamond</v>
      </c>
      <c r="AI160" s="635" t="str">
        <f t="shared" si="118"/>
        <v>[24205,111,101]</v>
      </c>
      <c r="AJ160" s="635" t="str">
        <f t="shared" si="119"/>
        <v>[15,800,220]</v>
      </c>
      <c r="AK160" s="635" t="str">
        <f t="shared" si="120"/>
        <v>[chest_shard,resource_icon_doublekey,resource_icon_diamond]</v>
      </c>
      <c r="AL160" s="635" t="str">
        <f t="shared" si="121"/>
        <v>7+50+碎片礼包</v>
      </c>
    </row>
  </sheetData>
  <mergeCells count="2">
    <mergeCell ref="B13:E13"/>
    <mergeCell ref="B26:D26"/>
  </mergeCells>
  <phoneticPr fontId="10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B2:U117"/>
  <sheetViews>
    <sheetView workbookViewId="0">
      <selection activeCell="G10" sqref="G10"/>
    </sheetView>
  </sheetViews>
  <sheetFormatPr defaultColWidth="9" defaultRowHeight="13" x14ac:dyDescent="0.35"/>
  <cols>
    <col min="1" max="13" width="9" style="315"/>
    <col min="14" max="14" width="10.81640625" style="315" bestFit="1" customWidth="1"/>
    <col min="15" max="19" width="9" style="315"/>
    <col min="20" max="20" width="10.81640625" style="315" bestFit="1" customWidth="1"/>
    <col min="21" max="16384" width="9" style="315"/>
  </cols>
  <sheetData>
    <row r="2" spans="2:17" x14ac:dyDescent="0.35">
      <c r="B2" s="319"/>
      <c r="C2" s="319"/>
      <c r="Q2" s="158"/>
    </row>
    <row r="3" spans="2:17" x14ac:dyDescent="0.35">
      <c r="B3" s="529" t="s">
        <v>2369</v>
      </c>
      <c r="C3" s="529" t="s">
        <v>2370</v>
      </c>
      <c r="Q3" s="158"/>
    </row>
    <row r="4" spans="2:17" x14ac:dyDescent="0.35">
      <c r="B4" s="529" t="s">
        <v>2371</v>
      </c>
      <c r="C4" s="8">
        <v>155</v>
      </c>
      <c r="Q4" s="158"/>
    </row>
    <row r="5" spans="2:17" x14ac:dyDescent="0.35">
      <c r="B5" s="529" t="s">
        <v>2380</v>
      </c>
      <c r="C5" s="8">
        <v>35</v>
      </c>
      <c r="Q5" s="158"/>
    </row>
    <row r="7" spans="2:17" x14ac:dyDescent="0.35">
      <c r="B7" s="776" t="s">
        <v>2889</v>
      </c>
      <c r="C7" s="776"/>
      <c r="D7" s="776"/>
      <c r="E7" s="776"/>
      <c r="F7" s="776"/>
      <c r="G7" s="776"/>
      <c r="H7" s="776"/>
      <c r="I7" s="776"/>
    </row>
    <row r="8" spans="2:17" x14ac:dyDescent="0.35">
      <c r="B8" s="610" t="s">
        <v>2886</v>
      </c>
      <c r="C8" s="610" t="s">
        <v>2888</v>
      </c>
      <c r="D8" s="610" t="s">
        <v>2890</v>
      </c>
      <c r="E8" s="421" t="s">
        <v>2007</v>
      </c>
      <c r="F8" s="610" t="s">
        <v>2887</v>
      </c>
      <c r="G8" s="610" t="s">
        <v>2897</v>
      </c>
      <c r="H8" s="421" t="s">
        <v>2008</v>
      </c>
      <c r="I8" s="421" t="s">
        <v>2009</v>
      </c>
    </row>
    <row r="9" spans="2:17" x14ac:dyDescent="0.35">
      <c r="B9" s="420">
        <v>1</v>
      </c>
      <c r="C9" s="607">
        <v>0</v>
      </c>
      <c r="D9" s="607">
        <f>ROUNDUP(SUM(C$9:C9)/60/22+0.5,0)</f>
        <v>1</v>
      </c>
      <c r="E9" s="610" t="s">
        <v>2595</v>
      </c>
      <c r="F9" s="605">
        <f t="shared" ref="F9:F17" si="0">VLOOKUP(E9,道具ID,2,FALSE)</f>
        <v>23000</v>
      </c>
      <c r="G9" s="607">
        <f>宝箱设定!C12</f>
        <v>100</v>
      </c>
      <c r="H9" s="605">
        <v>1</v>
      </c>
      <c r="I9" s="605">
        <f>H9*G9</f>
        <v>100</v>
      </c>
    </row>
    <row r="10" spans="2:17" x14ac:dyDescent="0.35">
      <c r="B10" s="420">
        <v>2</v>
      </c>
      <c r="C10" s="607">
        <v>15</v>
      </c>
      <c r="D10" s="607">
        <f>ROUNDUP(SUM(C$9:C10)/60/22+0.5,0)</f>
        <v>1</v>
      </c>
      <c r="E10" s="610" t="s">
        <v>2892</v>
      </c>
      <c r="F10" s="605">
        <f t="shared" si="0"/>
        <v>111</v>
      </c>
      <c r="G10" s="607">
        <f>道具价值!$Q$73</f>
        <v>0.75</v>
      </c>
      <c r="H10" s="605">
        <v>200</v>
      </c>
      <c r="I10" s="605">
        <f t="shared" ref="I10:I17" si="1">H10*G10</f>
        <v>150</v>
      </c>
    </row>
    <row r="11" spans="2:17" x14ac:dyDescent="0.35">
      <c r="B11" s="420">
        <v>3</v>
      </c>
      <c r="C11" s="607">
        <v>240</v>
      </c>
      <c r="D11" s="607">
        <f>ROUNDUP(SUM(C$9:C11)/60/22+0.5,0)</f>
        <v>1</v>
      </c>
      <c r="E11" s="421" t="s">
        <v>2010</v>
      </c>
      <c r="F11" s="605">
        <f>VLOOKUP(E11,道具ID,2,FALSE)</f>
        <v>101</v>
      </c>
      <c r="G11" s="607">
        <v>1</v>
      </c>
      <c r="H11" s="605">
        <v>100</v>
      </c>
      <c r="I11" s="605">
        <f>H11*G11</f>
        <v>100</v>
      </c>
    </row>
    <row r="12" spans="2:17" x14ac:dyDescent="0.35">
      <c r="B12" s="420">
        <v>4</v>
      </c>
      <c r="C12" s="607">
        <v>960</v>
      </c>
      <c r="D12" s="607">
        <f>ROUNDUP(SUM(C$9:C12)/60/22+0.5,0)</f>
        <v>2</v>
      </c>
      <c r="E12" s="610" t="s">
        <v>2896</v>
      </c>
      <c r="F12" s="605">
        <f t="shared" si="0"/>
        <v>24001</v>
      </c>
      <c r="G12" s="607">
        <f>宝箱设定!C13</f>
        <v>100</v>
      </c>
      <c r="H12" s="605">
        <v>3</v>
      </c>
      <c r="I12" s="605">
        <f t="shared" si="1"/>
        <v>300</v>
      </c>
    </row>
    <row r="13" spans="2:17" x14ac:dyDescent="0.35">
      <c r="B13" s="420">
        <v>5</v>
      </c>
      <c r="C13" s="607">
        <v>1320</v>
      </c>
      <c r="D13" s="607">
        <f>ROUNDUP(SUM(C$9:C13)/60/22+0.5,0)</f>
        <v>3</v>
      </c>
      <c r="E13" s="715" t="s">
        <v>2884</v>
      </c>
      <c r="F13" s="713">
        <f>VLOOKUP(E13,道具ID,2,FALSE)</f>
        <v>100301</v>
      </c>
      <c r="G13" s="714">
        <f>道具价值!$J$76</f>
        <v>35</v>
      </c>
      <c r="H13" s="713">
        <v>5</v>
      </c>
      <c r="I13" s="713">
        <f>H13*G13</f>
        <v>175</v>
      </c>
    </row>
    <row r="14" spans="2:17" x14ac:dyDescent="0.35">
      <c r="B14" s="420">
        <v>6</v>
      </c>
      <c r="C14" s="607">
        <v>1320</v>
      </c>
      <c r="D14" s="607">
        <f>ROUNDUP(SUM(C$9:C14)/60/22+0.5,0)</f>
        <v>4</v>
      </c>
      <c r="E14" s="610" t="s">
        <v>2893</v>
      </c>
      <c r="F14" s="605">
        <f t="shared" si="0"/>
        <v>23002</v>
      </c>
      <c r="G14" s="607">
        <f>宝箱设定!C12</f>
        <v>100</v>
      </c>
      <c r="H14" s="605">
        <v>2</v>
      </c>
      <c r="I14" s="605">
        <f t="shared" si="1"/>
        <v>200</v>
      </c>
    </row>
    <row r="15" spans="2:17" x14ac:dyDescent="0.35">
      <c r="B15" s="420">
        <v>7</v>
      </c>
      <c r="C15" s="607">
        <v>1320</v>
      </c>
      <c r="D15" s="607">
        <f>ROUNDUP(SUM(C$9:C15)/60/22+0.5,0)</f>
        <v>5</v>
      </c>
      <c r="E15" s="610" t="s">
        <v>2894</v>
      </c>
      <c r="F15" s="605">
        <f t="shared" si="0"/>
        <v>102</v>
      </c>
      <c r="G15" s="607">
        <f>1/道具价值!R73</f>
        <v>2.5000000000000001E-3</v>
      </c>
      <c r="H15" s="605">
        <v>20000</v>
      </c>
      <c r="I15" s="605">
        <f t="shared" si="1"/>
        <v>50</v>
      </c>
    </row>
    <row r="16" spans="2:17" x14ac:dyDescent="0.35">
      <c r="B16" s="605">
        <v>8</v>
      </c>
      <c r="C16" s="607">
        <v>1320</v>
      </c>
      <c r="D16" s="607">
        <f>ROUNDUP(SUM(C$9:C16)/60/22+0.5,0)</f>
        <v>6</v>
      </c>
      <c r="E16" s="421" t="s">
        <v>932</v>
      </c>
      <c r="F16" s="713">
        <f>VLOOKUP(E16,道具ID,2,FALSE)</f>
        <v>101</v>
      </c>
      <c r="G16" s="714">
        <v>1</v>
      </c>
      <c r="H16" s="713">
        <v>100</v>
      </c>
      <c r="I16" s="713">
        <f>H16*G16</f>
        <v>100</v>
      </c>
    </row>
    <row r="17" spans="2:9" x14ac:dyDescent="0.35">
      <c r="B17" s="605">
        <v>9</v>
      </c>
      <c r="C17" s="607">
        <v>1320</v>
      </c>
      <c r="D17" s="607">
        <f>ROUNDUP(SUM(C$9:C17)/60/22+0.5,0)</f>
        <v>7</v>
      </c>
      <c r="E17" s="610" t="s">
        <v>2895</v>
      </c>
      <c r="F17" s="605">
        <f t="shared" si="0"/>
        <v>11211</v>
      </c>
      <c r="G17" s="607">
        <f>基础经济系数!F34</f>
        <v>600</v>
      </c>
      <c r="H17" s="605">
        <v>1</v>
      </c>
      <c r="I17" s="605">
        <f t="shared" si="1"/>
        <v>600</v>
      </c>
    </row>
    <row r="18" spans="2:9" x14ac:dyDescent="0.35">
      <c r="B18" s="158"/>
      <c r="C18" s="158"/>
      <c r="D18" s="158"/>
      <c r="E18" s="158"/>
      <c r="F18" s="158"/>
      <c r="G18" s="158"/>
      <c r="H18" s="158"/>
    </row>
    <row r="19" spans="2:9" x14ac:dyDescent="0.35">
      <c r="B19" s="733" t="s">
        <v>2374</v>
      </c>
      <c r="C19" s="775"/>
      <c r="D19" s="775"/>
      <c r="E19" s="775"/>
    </row>
    <row r="20" spans="2:9" x14ac:dyDescent="0.35">
      <c r="B20" s="529" t="s">
        <v>2354</v>
      </c>
      <c r="C20" s="529" t="s">
        <v>2358</v>
      </c>
      <c r="D20" s="529" t="s">
        <v>2359</v>
      </c>
      <c r="E20" s="529" t="s">
        <v>2360</v>
      </c>
      <c r="G20" s="531" t="s">
        <v>2381</v>
      </c>
    </row>
    <row r="21" spans="2:9" x14ac:dyDescent="0.35">
      <c r="B21" s="319">
        <v>1</v>
      </c>
      <c r="C21" s="319">
        <f>VLOOKUP(B21,游戏时长规划!$B$12:$R$36,2,FALSE)</f>
        <v>60</v>
      </c>
      <c r="D21" s="319">
        <v>6</v>
      </c>
      <c r="E21" s="319">
        <f>C21/D21</f>
        <v>10</v>
      </c>
    </row>
    <row r="22" spans="2:9" x14ac:dyDescent="0.35">
      <c r="B22" s="319">
        <v>2</v>
      </c>
      <c r="C22" s="319">
        <f>VLOOKUP(B22,游戏时长规划!$B$12:$R$36,2,FALSE)</f>
        <v>60</v>
      </c>
      <c r="D22" s="319">
        <v>5</v>
      </c>
      <c r="E22" s="319">
        <f t="shared" ref="E22:E31" si="2">C22/D22</f>
        <v>12</v>
      </c>
    </row>
    <row r="23" spans="2:9" x14ac:dyDescent="0.35">
      <c r="B23" s="319">
        <v>3</v>
      </c>
      <c r="C23" s="319">
        <f>VLOOKUP(B23,游戏时长规划!$B$12:$R$36,2,FALSE)</f>
        <v>60</v>
      </c>
      <c r="D23" s="319">
        <v>4</v>
      </c>
      <c r="E23" s="319">
        <f t="shared" si="2"/>
        <v>15</v>
      </c>
    </row>
    <row r="24" spans="2:9" x14ac:dyDescent="0.35">
      <c r="B24" s="319">
        <v>4</v>
      </c>
      <c r="C24" s="319">
        <f>VLOOKUP(B24,游戏时长规划!$B$12:$R$36,2,FALSE)</f>
        <v>120</v>
      </c>
      <c r="D24" s="575">
        <v>4</v>
      </c>
      <c r="E24" s="319">
        <f t="shared" si="2"/>
        <v>30</v>
      </c>
    </row>
    <row r="25" spans="2:9" x14ac:dyDescent="0.35">
      <c r="B25" s="319">
        <v>5</v>
      </c>
      <c r="C25" s="319">
        <f>VLOOKUP(B25,游戏时长规划!$B$12:$R$36,2,FALSE)</f>
        <v>120</v>
      </c>
      <c r="D25" s="575">
        <v>4</v>
      </c>
      <c r="E25" s="319">
        <f t="shared" si="2"/>
        <v>30</v>
      </c>
    </row>
    <row r="26" spans="2:9" x14ac:dyDescent="0.35">
      <c r="B26" s="319">
        <v>6</v>
      </c>
      <c r="C26" s="319">
        <f>VLOOKUP(B26,游戏时长规划!$B$12:$R$36,2,FALSE)</f>
        <v>120</v>
      </c>
      <c r="D26" s="575">
        <v>4</v>
      </c>
      <c r="E26" s="319">
        <f t="shared" si="2"/>
        <v>30</v>
      </c>
    </row>
    <row r="27" spans="2:9" x14ac:dyDescent="0.35">
      <c r="B27" s="319">
        <v>7</v>
      </c>
      <c r="C27" s="319">
        <f>VLOOKUP(B27,游戏时长规划!$B$12:$R$36,2,FALSE)</f>
        <v>180</v>
      </c>
      <c r="D27" s="575">
        <v>4</v>
      </c>
      <c r="E27" s="319">
        <f t="shared" si="2"/>
        <v>45</v>
      </c>
    </row>
    <row r="28" spans="2:9" x14ac:dyDescent="0.35">
      <c r="B28" s="319">
        <v>8</v>
      </c>
      <c r="C28" s="319">
        <f>VLOOKUP(B28,游戏时长规划!$B$12:$R$36,2,FALSE)</f>
        <v>180</v>
      </c>
      <c r="D28" s="575">
        <v>4</v>
      </c>
      <c r="E28" s="319">
        <f t="shared" si="2"/>
        <v>45</v>
      </c>
    </row>
    <row r="29" spans="2:9" x14ac:dyDescent="0.35">
      <c r="B29" s="319">
        <v>9</v>
      </c>
      <c r="C29" s="319">
        <f>VLOOKUP(B29,游戏时长规划!$B$12:$R$36,2,FALSE)</f>
        <v>180</v>
      </c>
      <c r="D29" s="575">
        <v>4</v>
      </c>
      <c r="E29" s="319">
        <f t="shared" si="2"/>
        <v>45</v>
      </c>
    </row>
    <row r="30" spans="2:9" x14ac:dyDescent="0.35">
      <c r="B30" s="319">
        <v>10</v>
      </c>
      <c r="C30" s="319">
        <f>VLOOKUP(B30,游戏时长规划!$B$12:$R$36,2,FALSE)</f>
        <v>240</v>
      </c>
      <c r="D30" s="575">
        <v>4</v>
      </c>
      <c r="E30" s="319">
        <f t="shared" si="2"/>
        <v>60</v>
      </c>
    </row>
    <row r="31" spans="2:9" x14ac:dyDescent="0.35">
      <c r="B31" s="319">
        <v>11</v>
      </c>
      <c r="C31" s="319">
        <f>VLOOKUP(B31,游戏时长规划!$B$12:$R$36,2,FALSE)</f>
        <v>240</v>
      </c>
      <c r="D31" s="575">
        <v>4</v>
      </c>
      <c r="E31" s="319">
        <f t="shared" si="2"/>
        <v>60</v>
      </c>
    </row>
    <row r="33" spans="2:21" x14ac:dyDescent="0.35">
      <c r="B33" s="733" t="s">
        <v>2363</v>
      </c>
      <c r="C33" s="775"/>
      <c r="D33" s="775"/>
      <c r="E33" s="775"/>
      <c r="F33" s="775"/>
      <c r="G33" s="775"/>
      <c r="H33" s="752" t="s">
        <v>2372</v>
      </c>
      <c r="I33" s="769"/>
      <c r="J33" s="769"/>
      <c r="K33" s="769"/>
      <c r="L33" s="769"/>
      <c r="M33" s="770"/>
      <c r="N33" s="774" t="s">
        <v>2530</v>
      </c>
      <c r="O33" s="775"/>
      <c r="P33" s="775"/>
      <c r="R33" s="315" t="s">
        <v>3420</v>
      </c>
    </row>
    <row r="34" spans="2:21" x14ac:dyDescent="0.35">
      <c r="B34" s="529" t="s">
        <v>2353</v>
      </c>
      <c r="C34" s="529" t="s">
        <v>2354</v>
      </c>
      <c r="D34" s="529" t="s">
        <v>2362</v>
      </c>
      <c r="E34" s="529" t="s">
        <v>2355</v>
      </c>
      <c r="F34" s="529" t="s">
        <v>2356</v>
      </c>
      <c r="G34" s="529" t="s">
        <v>2357</v>
      </c>
      <c r="H34" s="529" t="s">
        <v>2364</v>
      </c>
      <c r="I34" s="529" t="s">
        <v>2367</v>
      </c>
      <c r="J34" s="529" t="s">
        <v>2365</v>
      </c>
      <c r="K34" s="529" t="s">
        <v>2366</v>
      </c>
      <c r="L34" s="529" t="s">
        <v>2368</v>
      </c>
      <c r="M34" s="539" t="s">
        <v>2397</v>
      </c>
      <c r="N34" s="539" t="s">
        <v>2373</v>
      </c>
      <c r="O34" s="543" t="s">
        <v>2527</v>
      </c>
      <c r="P34" s="550" t="s">
        <v>2528</v>
      </c>
      <c r="Q34" s="707" t="s">
        <v>3349</v>
      </c>
      <c r="R34" s="708" t="s">
        <v>3350</v>
      </c>
      <c r="T34" s="610" t="s">
        <v>2898</v>
      </c>
      <c r="U34" s="610" t="s">
        <v>2899</v>
      </c>
    </row>
    <row r="35" spans="2:21" x14ac:dyDescent="0.35">
      <c r="B35" s="319">
        <v>10</v>
      </c>
      <c r="C35" s="319">
        <f>VLOOKUP(B35,游戏时长规划!$C$39:$G$63,MATCH("联赛等级",游戏时长规划!$C$39:$G$39,0),TRUE)</f>
        <v>1</v>
      </c>
      <c r="D35" s="319">
        <f>IF(B35=VLOOKUP(C35,游戏时长规划!$B$39:$C$63,2,FALSE),C35-1,C35)</f>
        <v>1</v>
      </c>
      <c r="E35" s="319">
        <f>VLOOKUP(D35,游戏时长规划!$B$12:$R$36,MATCH(E$34,游戏时长规划!$B$12:$R$12,0),FALSE)</f>
        <v>60</v>
      </c>
      <c r="F35" s="319">
        <f>B35</f>
        <v>10</v>
      </c>
      <c r="G35" s="319">
        <f t="shared" ref="G35:G81" si="3">COUNTIF($D$35:$D$81,D35)</f>
        <v>6</v>
      </c>
      <c r="H35" s="319">
        <f>F35/VLOOKUP(D35,游戏时长规划!$B$12:$R$36,4,FALSE)/游戏时长规划!$C$5</f>
        <v>2</v>
      </c>
      <c r="I35" s="319">
        <f>SUM(H35:H$35)</f>
        <v>2</v>
      </c>
      <c r="J35" s="534">
        <f>H35/游戏时长规划!$C$4</f>
        <v>0.13333333333333333</v>
      </c>
      <c r="K35" s="534">
        <f>I35/游戏时长规划!$C$4</f>
        <v>0.13333333333333333</v>
      </c>
      <c r="L35" s="534">
        <f>J35*$C$4</f>
        <v>20.666666666666668</v>
      </c>
      <c r="M35" s="552">
        <f t="shared" ref="M35:M81" si="4">O35*VLOOKUP(N35,$T$34:$U$63,2,FALSE)</f>
        <v>200</v>
      </c>
      <c r="N35" s="623" t="s">
        <v>2917</v>
      </c>
      <c r="O35" s="228">
        <v>1</v>
      </c>
      <c r="P35" s="575">
        <f t="shared" ref="P35:P81" si="5">VLOOKUP(N35,道具ID,2,FALSE)</f>
        <v>25051</v>
      </c>
      <c r="Q35" s="706" t="str">
        <f>"["&amp;P35&amp;"]"</f>
        <v>[25051]</v>
      </c>
      <c r="R35" s="706" t="str">
        <f>"["&amp;O35&amp;"]"</f>
        <v>[1]</v>
      </c>
      <c r="T35" s="607" t="s">
        <v>1464</v>
      </c>
      <c r="U35" s="607">
        <f>1/道具价值!$R$73</f>
        <v>2.5000000000000001E-3</v>
      </c>
    </row>
    <row r="36" spans="2:21" x14ac:dyDescent="0.35">
      <c r="B36" s="319">
        <f t="shared" ref="B36:B81" si="6">VLOOKUP(C35,$B$20:$E$31,4,FALSE)+B35</f>
        <v>20</v>
      </c>
      <c r="C36" s="319">
        <f>VLOOKUP(B36,游戏时长规划!$C$39:$G$63,MATCH("联赛等级",游戏时长规划!$C$39:$G$39,0),TRUE)</f>
        <v>1</v>
      </c>
      <c r="D36" s="319">
        <f>IF(B36=VLOOKUP(C36,游戏时长规划!$B$39:$C$63,2,FALSE),C36-1,C36)</f>
        <v>1</v>
      </c>
      <c r="E36" s="319">
        <f>VLOOKUP(D36,游戏时长规划!$B$12:$R$36,MATCH(E$34,游戏时长规划!$B$12:$R$12,0),FALSE)</f>
        <v>60</v>
      </c>
      <c r="F36" s="319">
        <f>B36-B35</f>
        <v>10</v>
      </c>
      <c r="G36" s="319">
        <f t="shared" si="3"/>
        <v>6</v>
      </c>
      <c r="H36" s="319">
        <f>F36/VLOOKUP(D36,游戏时长规划!$B$12:$R$36,4,FALSE)/游戏时长规划!$C$5</f>
        <v>2</v>
      </c>
      <c r="I36" s="319">
        <f>SUM(H$35:H36)</f>
        <v>4</v>
      </c>
      <c r="J36" s="534">
        <f>H36/游戏时长规划!$C$4</f>
        <v>0.13333333333333333</v>
      </c>
      <c r="K36" s="534">
        <f>I36/游戏时长规划!$C$4</f>
        <v>0.26666666666666666</v>
      </c>
      <c r="L36" s="534">
        <f t="shared" ref="L36:L81" si="7">J36*$C$4</f>
        <v>20.666666666666668</v>
      </c>
      <c r="M36" s="552">
        <f t="shared" si="4"/>
        <v>10</v>
      </c>
      <c r="N36" s="535" t="s">
        <v>1464</v>
      </c>
      <c r="O36" s="228">
        <v>4000</v>
      </c>
      <c r="P36" s="607">
        <f t="shared" si="5"/>
        <v>102</v>
      </c>
      <c r="Q36" s="706" t="str">
        <f t="shared" ref="Q36:Q81" si="8">"["&amp;P36&amp;"]"</f>
        <v>[102]</v>
      </c>
      <c r="R36" s="706" t="str">
        <f t="shared" ref="R36:R81" si="9">"["&amp;O36&amp;"]"</f>
        <v>[4000]</v>
      </c>
      <c r="T36" s="607" t="s">
        <v>1467</v>
      </c>
      <c r="U36" s="607">
        <f>道具价值!P73</f>
        <v>1.25</v>
      </c>
    </row>
    <row r="37" spans="2:21" x14ac:dyDescent="0.35">
      <c r="B37" s="319">
        <f t="shared" si="6"/>
        <v>30</v>
      </c>
      <c r="C37" s="319">
        <f>VLOOKUP(B37,游戏时长规划!$C$39:$G$63,MATCH("联赛等级",游戏时长规划!$C$39:$G$39,0),TRUE)</f>
        <v>1</v>
      </c>
      <c r="D37" s="319">
        <f>IF(B37=VLOOKUP(C37,游戏时长规划!$B$39:$C$63,2,FALSE),C37-1,C37)</f>
        <v>1</v>
      </c>
      <c r="E37" s="319">
        <f>VLOOKUP(D37,游戏时长规划!$B$12:$R$36,MATCH(E$34,游戏时长规划!$B$12:$R$12,0),FALSE)</f>
        <v>60</v>
      </c>
      <c r="F37" s="319">
        <f t="shared" ref="F37:F81" si="10">B37-B36</f>
        <v>10</v>
      </c>
      <c r="G37" s="319">
        <f t="shared" si="3"/>
        <v>6</v>
      </c>
      <c r="H37" s="319">
        <f>F37/VLOOKUP(D37,游戏时长规划!$B$12:$R$36,4,FALSE)/游戏时长规划!$C$5</f>
        <v>2</v>
      </c>
      <c r="I37" s="319">
        <f>SUM(H$35:H37)</f>
        <v>6</v>
      </c>
      <c r="J37" s="534">
        <f>H37/游戏时长规划!$C$4</f>
        <v>0.13333333333333333</v>
      </c>
      <c r="K37" s="534">
        <f>I37/游戏时长规划!$C$4</f>
        <v>0.4</v>
      </c>
      <c r="L37" s="534">
        <f t="shared" si="7"/>
        <v>20.666666666666668</v>
      </c>
      <c r="M37" s="552">
        <f t="shared" si="4"/>
        <v>62.5</v>
      </c>
      <c r="N37" s="561" t="s">
        <v>1467</v>
      </c>
      <c r="O37" s="228">
        <v>50</v>
      </c>
      <c r="P37" s="607">
        <f t="shared" si="5"/>
        <v>105</v>
      </c>
      <c r="Q37" s="706" t="str">
        <f t="shared" si="8"/>
        <v>[105]</v>
      </c>
      <c r="R37" s="706" t="str">
        <f t="shared" si="9"/>
        <v>[50]</v>
      </c>
      <c r="T37" s="607" t="s">
        <v>1463</v>
      </c>
      <c r="U37" s="607">
        <v>1</v>
      </c>
    </row>
    <row r="38" spans="2:21" x14ac:dyDescent="0.35">
      <c r="B38" s="319">
        <f t="shared" si="6"/>
        <v>40</v>
      </c>
      <c r="C38" s="319">
        <f>VLOOKUP(B38,游戏时长规划!$C$39:$G$63,MATCH("联赛等级",游戏时长规划!$C$39:$G$39,0),TRUE)</f>
        <v>1</v>
      </c>
      <c r="D38" s="319">
        <f>IF(B38=VLOOKUP(C38,游戏时长规划!$B$39:$C$63,2,FALSE),C38-1,C38)</f>
        <v>1</v>
      </c>
      <c r="E38" s="319">
        <f>VLOOKUP(D38,游戏时长规划!$B$12:$R$36,MATCH(E$34,游戏时长规划!$B$12:$R$12,0),FALSE)</f>
        <v>60</v>
      </c>
      <c r="F38" s="319">
        <f t="shared" si="10"/>
        <v>10</v>
      </c>
      <c r="G38" s="319">
        <f t="shared" si="3"/>
        <v>6</v>
      </c>
      <c r="H38" s="319">
        <f>F38/VLOOKUP(D38,游戏时长规划!$B$12:$R$36,4,FALSE)/游戏时长规划!$C$5</f>
        <v>2</v>
      </c>
      <c r="I38" s="319">
        <f>SUM(H$35:H38)</f>
        <v>8</v>
      </c>
      <c r="J38" s="534">
        <f>H38/游戏时长规划!$C$4</f>
        <v>0.13333333333333333</v>
      </c>
      <c r="K38" s="534">
        <f>I38/游戏时长规划!$C$4</f>
        <v>0.53333333333333333</v>
      </c>
      <c r="L38" s="534">
        <f t="shared" si="7"/>
        <v>20.666666666666668</v>
      </c>
      <c r="M38" s="552">
        <f t="shared" si="4"/>
        <v>50</v>
      </c>
      <c r="N38" s="535" t="s">
        <v>1463</v>
      </c>
      <c r="O38" s="228">
        <v>50</v>
      </c>
      <c r="P38" s="607">
        <f t="shared" si="5"/>
        <v>101</v>
      </c>
      <c r="Q38" s="706" t="str">
        <f t="shared" si="8"/>
        <v>[101]</v>
      </c>
      <c r="R38" s="706" t="str">
        <f t="shared" si="9"/>
        <v>[50]</v>
      </c>
      <c r="T38" s="607" t="s">
        <v>2891</v>
      </c>
      <c r="U38" s="607">
        <f>道具价值!Q73</f>
        <v>0.75</v>
      </c>
    </row>
    <row r="39" spans="2:21" x14ac:dyDescent="0.35">
      <c r="B39" s="319">
        <f t="shared" si="6"/>
        <v>50</v>
      </c>
      <c r="C39" s="319">
        <f>VLOOKUP(B39,游戏时长规划!$C$39:$G$63,MATCH("联赛等级",游戏时长规划!$C$39:$G$39,0),TRUE)</f>
        <v>1</v>
      </c>
      <c r="D39" s="319">
        <f>IF(B39=VLOOKUP(C39,游戏时长规划!$B$39:$C$63,2,FALSE),C39-1,C39)</f>
        <v>1</v>
      </c>
      <c r="E39" s="319">
        <f>VLOOKUP(D39,游戏时长规划!$B$12:$R$36,MATCH(E$34,游戏时长规划!$B$12:$R$12,0),FALSE)</f>
        <v>60</v>
      </c>
      <c r="F39" s="319">
        <f t="shared" si="10"/>
        <v>10</v>
      </c>
      <c r="G39" s="319">
        <f t="shared" si="3"/>
        <v>6</v>
      </c>
      <c r="H39" s="319">
        <f>F39/VLOOKUP(D39,游戏时长规划!$B$12:$R$36,4,FALSE)/游戏时长规划!$C$5</f>
        <v>2</v>
      </c>
      <c r="I39" s="319">
        <f>SUM(H$35:H39)</f>
        <v>10</v>
      </c>
      <c r="J39" s="534">
        <f>H39/游戏时长规划!$C$4</f>
        <v>0.13333333333333333</v>
      </c>
      <c r="K39" s="534">
        <f>I39/游戏时长规划!$C$4</f>
        <v>0.66666666666666663</v>
      </c>
      <c r="L39" s="534">
        <f t="shared" si="7"/>
        <v>20.666666666666668</v>
      </c>
      <c r="M39" s="552">
        <f t="shared" si="4"/>
        <v>100</v>
      </c>
      <c r="N39" s="623" t="s">
        <v>2901</v>
      </c>
      <c r="O39" s="228">
        <v>1</v>
      </c>
      <c r="P39" s="607">
        <f t="shared" si="5"/>
        <v>23001</v>
      </c>
      <c r="Q39" s="706" t="str">
        <f t="shared" si="8"/>
        <v>[23001]</v>
      </c>
      <c r="R39" s="706" t="str">
        <f t="shared" si="9"/>
        <v>[1]</v>
      </c>
      <c r="T39" s="610" t="s">
        <v>2900</v>
      </c>
      <c r="U39" s="607">
        <f>道具价值!J76</f>
        <v>35</v>
      </c>
    </row>
    <row r="40" spans="2:21" x14ac:dyDescent="0.35">
      <c r="B40" s="319">
        <f t="shared" si="6"/>
        <v>60</v>
      </c>
      <c r="C40" s="319">
        <f>VLOOKUP(B40,游戏时长规划!$C$39:$G$63,MATCH("联赛等级",游戏时长规划!$C$39:$G$39,0),TRUE)</f>
        <v>2</v>
      </c>
      <c r="D40" s="319">
        <f>IF(B40=VLOOKUP(C40,游戏时长规划!$B$39:$C$63,2,FALSE),C40-1,C40)</f>
        <v>1</v>
      </c>
      <c r="E40" s="319">
        <f>VLOOKUP(D40,游戏时长规划!$B$12:$R$36,MATCH(E$34,游戏时长规划!$B$12:$R$12,0),FALSE)</f>
        <v>60</v>
      </c>
      <c r="F40" s="319">
        <f t="shared" si="10"/>
        <v>10</v>
      </c>
      <c r="G40" s="319">
        <f t="shared" si="3"/>
        <v>6</v>
      </c>
      <c r="H40" s="319">
        <f>F40/VLOOKUP(D40,游戏时长规划!$B$12:$R$36,4,FALSE)/游戏时长规划!$C$5</f>
        <v>2</v>
      </c>
      <c r="I40" s="319">
        <f>SUM(H$35:H40)</f>
        <v>12</v>
      </c>
      <c r="J40" s="534">
        <f>H40/游戏时长规划!$C$4</f>
        <v>0.13333333333333333</v>
      </c>
      <c r="K40" s="534">
        <f>I40/游戏时长规划!$C$4</f>
        <v>0.8</v>
      </c>
      <c r="L40" s="534">
        <f t="shared" si="7"/>
        <v>20.666666666666668</v>
      </c>
      <c r="M40" s="552">
        <f t="shared" si="4"/>
        <v>600</v>
      </c>
      <c r="N40" s="623" t="s">
        <v>2905</v>
      </c>
      <c r="O40" s="228">
        <v>1</v>
      </c>
      <c r="P40" s="607">
        <f t="shared" si="5"/>
        <v>25151</v>
      </c>
      <c r="Q40" s="706" t="str">
        <f t="shared" si="8"/>
        <v>[25151]</v>
      </c>
      <c r="R40" s="706" t="str">
        <f t="shared" si="9"/>
        <v>[1]</v>
      </c>
      <c r="T40" s="607" t="s">
        <v>2783</v>
      </c>
      <c r="U40" s="607">
        <f>道具价值!J77</f>
        <v>60</v>
      </c>
    </row>
    <row r="41" spans="2:21" x14ac:dyDescent="0.35">
      <c r="B41" s="319">
        <f t="shared" si="6"/>
        <v>72</v>
      </c>
      <c r="C41" s="319">
        <f>VLOOKUP(B41,游戏时长规划!$C$39:$G$63,MATCH("联赛等级",游戏时长规划!$C$39:$G$39,0),TRUE)</f>
        <v>2</v>
      </c>
      <c r="D41" s="319">
        <f>IF(B41=VLOOKUP(C41,游戏时长规划!$B$39:$C$63,2,FALSE),C41-1,C41)</f>
        <v>2</v>
      </c>
      <c r="E41" s="319">
        <f>VLOOKUP(D41,游戏时长规划!$B$12:$R$36,MATCH(E$34,游戏时长规划!$B$12:$R$12,0),FALSE)</f>
        <v>120</v>
      </c>
      <c r="F41" s="319">
        <f t="shared" si="10"/>
        <v>12</v>
      </c>
      <c r="G41" s="319">
        <f t="shared" si="3"/>
        <v>5</v>
      </c>
      <c r="H41" s="319">
        <f>F41/VLOOKUP(D41,游戏时长规划!$B$12:$R$36,4,FALSE)/游戏时长规划!$C$5</f>
        <v>3</v>
      </c>
      <c r="I41" s="319">
        <f>SUM(H$35:H41)</f>
        <v>15</v>
      </c>
      <c r="J41" s="534">
        <f>H41/游戏时长规划!$C$4</f>
        <v>0.2</v>
      </c>
      <c r="K41" s="534">
        <f>I41/游戏时长规划!$C$4</f>
        <v>1</v>
      </c>
      <c r="L41" s="534">
        <f t="shared" si="7"/>
        <v>31</v>
      </c>
      <c r="M41" s="552">
        <f t="shared" si="4"/>
        <v>150</v>
      </c>
      <c r="N41" s="535" t="s">
        <v>2891</v>
      </c>
      <c r="O41" s="228">
        <v>200</v>
      </c>
      <c r="P41" s="607">
        <f t="shared" si="5"/>
        <v>111</v>
      </c>
      <c r="Q41" s="706" t="str">
        <f t="shared" si="8"/>
        <v>[111]</v>
      </c>
      <c r="R41" s="706" t="str">
        <f t="shared" si="9"/>
        <v>[200]</v>
      </c>
      <c r="T41" s="624" t="s">
        <v>2903</v>
      </c>
      <c r="U41" s="607">
        <f>宝箱设定!C9</f>
        <v>200</v>
      </c>
    </row>
    <row r="42" spans="2:21" x14ac:dyDescent="0.35">
      <c r="B42" s="319">
        <f t="shared" si="6"/>
        <v>84</v>
      </c>
      <c r="C42" s="319">
        <f>VLOOKUP(B42,游戏时长规划!$C$39:$G$63,MATCH("联赛等级",游戏时长规划!$C$39:$G$39,0),TRUE)</f>
        <v>2</v>
      </c>
      <c r="D42" s="319">
        <f>IF(B42=VLOOKUP(C42,游戏时长规划!$B$39:$C$63,2,FALSE),C42-1,C42)</f>
        <v>2</v>
      </c>
      <c r="E42" s="319">
        <f>VLOOKUP(D42,游戏时长规划!$B$12:$R$36,MATCH(E$34,游戏时长规划!$B$12:$R$12,0),FALSE)</f>
        <v>120</v>
      </c>
      <c r="F42" s="319">
        <f t="shared" si="10"/>
        <v>12</v>
      </c>
      <c r="G42" s="319">
        <f t="shared" si="3"/>
        <v>5</v>
      </c>
      <c r="H42" s="319">
        <f>F42/VLOOKUP(D42,游戏时长规划!$B$12:$R$36,4,FALSE)/游戏时长规划!$C$5</f>
        <v>3</v>
      </c>
      <c r="I42" s="319">
        <f>SUM(H$35:H42)</f>
        <v>18</v>
      </c>
      <c r="J42" s="534">
        <f>H42/游戏时长规划!$C$4</f>
        <v>0.2</v>
      </c>
      <c r="K42" s="534">
        <f>I42/游戏时长规划!$C$4</f>
        <v>1.2</v>
      </c>
      <c r="L42" s="534">
        <f t="shared" si="7"/>
        <v>31</v>
      </c>
      <c r="M42" s="552">
        <f t="shared" si="4"/>
        <v>20</v>
      </c>
      <c r="N42" s="535" t="s">
        <v>1464</v>
      </c>
      <c r="O42" s="228">
        <v>8000</v>
      </c>
      <c r="P42" s="607">
        <f t="shared" si="5"/>
        <v>102</v>
      </c>
      <c r="Q42" s="706" t="str">
        <f t="shared" si="8"/>
        <v>[102]</v>
      </c>
      <c r="R42" s="706" t="str">
        <f t="shared" si="9"/>
        <v>[8000]</v>
      </c>
      <c r="T42" s="607" t="s">
        <v>2465</v>
      </c>
      <c r="U42" s="607">
        <f>宝箱设定!$C$12</f>
        <v>100</v>
      </c>
    </row>
    <row r="43" spans="2:21" x14ac:dyDescent="0.35">
      <c r="B43" s="319">
        <f t="shared" si="6"/>
        <v>96</v>
      </c>
      <c r="C43" s="319">
        <f>VLOOKUP(B43,游戏时长规划!$C$39:$G$63,MATCH("联赛等级",游戏时长规划!$C$39:$G$39,0),TRUE)</f>
        <v>2</v>
      </c>
      <c r="D43" s="319">
        <f>IF(B43=VLOOKUP(C43,游戏时长规划!$B$39:$C$63,2,FALSE),C43-1,C43)</f>
        <v>2</v>
      </c>
      <c r="E43" s="319">
        <f>VLOOKUP(D43,游戏时长规划!$B$12:$R$36,MATCH(E$34,游戏时长规划!$B$12:$R$12,0),FALSE)</f>
        <v>120</v>
      </c>
      <c r="F43" s="319">
        <f t="shared" si="10"/>
        <v>12</v>
      </c>
      <c r="G43" s="319">
        <f t="shared" si="3"/>
        <v>5</v>
      </c>
      <c r="H43" s="319">
        <f>F43/VLOOKUP(D43,游戏时长规划!$B$12:$R$36,4,FALSE)/游戏时长规划!$C$5</f>
        <v>3</v>
      </c>
      <c r="I43" s="319">
        <f>SUM(H$35:H43)</f>
        <v>21</v>
      </c>
      <c r="J43" s="534">
        <f>H43/游戏时长规划!$C$4</f>
        <v>0.2</v>
      </c>
      <c r="K43" s="534">
        <f>I43/游戏时长规划!$C$4</f>
        <v>1.4</v>
      </c>
      <c r="L43" s="534">
        <f t="shared" si="7"/>
        <v>31</v>
      </c>
      <c r="M43" s="552">
        <f t="shared" si="4"/>
        <v>100</v>
      </c>
      <c r="N43" s="551" t="s">
        <v>2476</v>
      </c>
      <c r="O43" s="228">
        <v>1</v>
      </c>
      <c r="P43" s="607">
        <f t="shared" si="5"/>
        <v>24002</v>
      </c>
      <c r="Q43" s="706" t="str">
        <f t="shared" si="8"/>
        <v>[24002]</v>
      </c>
      <c r="R43" s="706" t="str">
        <f t="shared" si="9"/>
        <v>[1]</v>
      </c>
      <c r="T43" s="607" t="s">
        <v>2467</v>
      </c>
      <c r="U43" s="607">
        <f>宝箱设定!$C$12</f>
        <v>100</v>
      </c>
    </row>
    <row r="44" spans="2:21" x14ac:dyDescent="0.35">
      <c r="B44" s="319">
        <f t="shared" si="6"/>
        <v>108</v>
      </c>
      <c r="C44" s="319">
        <f>VLOOKUP(B44,游戏时长规划!$C$39:$G$63,MATCH("联赛等级",游戏时长规划!$C$39:$G$39,0),TRUE)</f>
        <v>2</v>
      </c>
      <c r="D44" s="319">
        <f>IF(B44=VLOOKUP(C44,游戏时长规划!$B$39:$C$63,2,FALSE),C44-1,C44)</f>
        <v>2</v>
      </c>
      <c r="E44" s="319">
        <f>VLOOKUP(D44,游戏时长规划!$B$12:$R$36,MATCH(E$34,游戏时长规划!$B$12:$R$12,0),FALSE)</f>
        <v>120</v>
      </c>
      <c r="F44" s="319">
        <f t="shared" si="10"/>
        <v>12</v>
      </c>
      <c r="G44" s="319">
        <f t="shared" si="3"/>
        <v>5</v>
      </c>
      <c r="H44" s="319">
        <f>F44/VLOOKUP(D44,游戏时长规划!$B$12:$R$36,4,FALSE)/游戏时长规划!$C$5</f>
        <v>3</v>
      </c>
      <c r="I44" s="319">
        <f>SUM(H$35:H44)</f>
        <v>24</v>
      </c>
      <c r="J44" s="534">
        <f>H44/游戏时长规划!$C$4</f>
        <v>0.2</v>
      </c>
      <c r="K44" s="534">
        <f>I44/游戏时长规划!$C$4</f>
        <v>1.6</v>
      </c>
      <c r="L44" s="534">
        <f t="shared" si="7"/>
        <v>31</v>
      </c>
      <c r="M44" s="552">
        <f t="shared" si="4"/>
        <v>120</v>
      </c>
      <c r="N44" s="535" t="s">
        <v>2783</v>
      </c>
      <c r="O44" s="228">
        <v>2</v>
      </c>
      <c r="P44" s="607">
        <f t="shared" si="5"/>
        <v>100302</v>
      </c>
      <c r="Q44" s="706" t="str">
        <f t="shared" si="8"/>
        <v>[100302]</v>
      </c>
      <c r="R44" s="706" t="str">
        <f t="shared" si="9"/>
        <v>[2]</v>
      </c>
      <c r="T44" s="607" t="s">
        <v>2469</v>
      </c>
      <c r="U44" s="607">
        <f>宝箱设定!$C$12</f>
        <v>100</v>
      </c>
    </row>
    <row r="45" spans="2:21" x14ac:dyDescent="0.35">
      <c r="B45" s="319">
        <f t="shared" si="6"/>
        <v>120</v>
      </c>
      <c r="C45" s="319">
        <f>VLOOKUP(B45,游戏时长规划!$C$39:$G$63,MATCH("联赛等级",游戏时长规划!$C$39:$G$39,0),TRUE)</f>
        <v>3</v>
      </c>
      <c r="D45" s="319">
        <f>IF(B45=VLOOKUP(C45,游戏时长规划!$B$39:$C$63,2,FALSE),C45-1,C45)</f>
        <v>2</v>
      </c>
      <c r="E45" s="319">
        <f>VLOOKUP(D45,游戏时长规划!$B$12:$R$36,MATCH(E$34,游戏时长规划!$B$12:$R$12,0),FALSE)</f>
        <v>120</v>
      </c>
      <c r="F45" s="319">
        <f t="shared" si="10"/>
        <v>12</v>
      </c>
      <c r="G45" s="319">
        <f t="shared" si="3"/>
        <v>5</v>
      </c>
      <c r="H45" s="319">
        <f>F45/VLOOKUP(D45,游戏时长规划!$B$12:$R$36,4,FALSE)/游戏时长规划!$C$5</f>
        <v>3</v>
      </c>
      <c r="I45" s="319">
        <f>SUM(H$35:H45)</f>
        <v>27</v>
      </c>
      <c r="J45" s="534">
        <f>H45/游戏时长规划!$C$4</f>
        <v>0.2</v>
      </c>
      <c r="K45" s="534">
        <f>I45/游戏时长规划!$C$4</f>
        <v>1.8</v>
      </c>
      <c r="L45" s="534">
        <f t="shared" si="7"/>
        <v>31</v>
      </c>
      <c r="M45" s="552">
        <f t="shared" si="4"/>
        <v>600</v>
      </c>
      <c r="N45" s="623" t="s">
        <v>2966</v>
      </c>
      <c r="O45" s="228">
        <v>1</v>
      </c>
      <c r="P45" s="607">
        <f t="shared" si="5"/>
        <v>25152</v>
      </c>
      <c r="Q45" s="706" t="str">
        <f t="shared" si="8"/>
        <v>[25152]</v>
      </c>
      <c r="R45" s="706" t="str">
        <f t="shared" si="9"/>
        <v>[1]</v>
      </c>
      <c r="T45" s="607" t="s">
        <v>2471</v>
      </c>
      <c r="U45" s="607">
        <f>宝箱设定!$C$12</f>
        <v>100</v>
      </c>
    </row>
    <row r="46" spans="2:21" x14ac:dyDescent="0.35">
      <c r="B46" s="319">
        <f t="shared" si="6"/>
        <v>135</v>
      </c>
      <c r="C46" s="319">
        <f>VLOOKUP(B46,游戏时长规划!$C$39:$G$63,MATCH("联赛等级",游戏时长规划!$C$39:$G$39,0),TRUE)</f>
        <v>3</v>
      </c>
      <c r="D46" s="319">
        <f>IF(B46=VLOOKUP(C46,游戏时长规划!$B$39:$C$63,2,FALSE),C46-1,C46)</f>
        <v>3</v>
      </c>
      <c r="E46" s="319">
        <f>VLOOKUP(D46,游戏时长规划!$B$12:$R$36,MATCH(E$34,游戏时长规划!$B$12:$R$12,0),FALSE)</f>
        <v>180</v>
      </c>
      <c r="F46" s="319">
        <f t="shared" si="10"/>
        <v>15</v>
      </c>
      <c r="G46" s="319">
        <f t="shared" si="3"/>
        <v>4</v>
      </c>
      <c r="H46" s="319">
        <f>F46/VLOOKUP(D46,游戏时长规划!$B$12:$R$36,4,FALSE)/游戏时长规划!$C$5</f>
        <v>5</v>
      </c>
      <c r="I46" s="319">
        <f>SUM(H$35:H46)</f>
        <v>32</v>
      </c>
      <c r="J46" s="534">
        <f>H46/游戏时长规划!$C$4</f>
        <v>0.33333333333333331</v>
      </c>
      <c r="K46" s="534">
        <f>I46/游戏时长规划!$C$4</f>
        <v>2.1333333333333333</v>
      </c>
      <c r="L46" s="534">
        <f t="shared" si="7"/>
        <v>51.666666666666664</v>
      </c>
      <c r="M46" s="552">
        <f t="shared" si="4"/>
        <v>62.5</v>
      </c>
      <c r="N46" s="535" t="s">
        <v>1467</v>
      </c>
      <c r="O46" s="228">
        <v>50</v>
      </c>
      <c r="P46" s="607">
        <f t="shared" si="5"/>
        <v>105</v>
      </c>
      <c r="Q46" s="706" t="str">
        <f t="shared" si="8"/>
        <v>[105]</v>
      </c>
      <c r="R46" s="706" t="str">
        <f t="shared" si="9"/>
        <v>[50]</v>
      </c>
      <c r="T46" s="607" t="s">
        <v>2473</v>
      </c>
      <c r="U46" s="607">
        <f>宝箱设定!$C$12</f>
        <v>100</v>
      </c>
    </row>
    <row r="47" spans="2:21" x14ac:dyDescent="0.35">
      <c r="B47" s="319">
        <f t="shared" si="6"/>
        <v>150</v>
      </c>
      <c r="C47" s="319">
        <f>VLOOKUP(B47,游戏时长规划!$C$39:$G$63,MATCH("联赛等级",游戏时长规划!$C$39:$G$39,0),TRUE)</f>
        <v>3</v>
      </c>
      <c r="D47" s="319">
        <f>IF(B47=VLOOKUP(C47,游戏时长规划!$B$39:$C$63,2,FALSE),C47-1,C47)</f>
        <v>3</v>
      </c>
      <c r="E47" s="319">
        <f>VLOOKUP(D47,游戏时长规划!$B$12:$R$36,MATCH(E$34,游戏时长规划!$B$12:$R$12,0),FALSE)</f>
        <v>180</v>
      </c>
      <c r="F47" s="319">
        <f t="shared" si="10"/>
        <v>15</v>
      </c>
      <c r="G47" s="319">
        <f t="shared" si="3"/>
        <v>4</v>
      </c>
      <c r="H47" s="319">
        <f>F47/VLOOKUP(D47,游戏时长规划!$B$12:$R$36,4,FALSE)/游戏时长规划!$C$5</f>
        <v>5</v>
      </c>
      <c r="I47" s="319">
        <f>SUM(H$35:H47)</f>
        <v>37</v>
      </c>
      <c r="J47" s="534">
        <f>H47/游戏时长规划!$C$4</f>
        <v>0.33333333333333331</v>
      </c>
      <c r="K47" s="534">
        <f>I47/游戏时长规划!$C$4</f>
        <v>2.4666666666666668</v>
      </c>
      <c r="L47" s="534">
        <f t="shared" si="7"/>
        <v>51.666666666666664</v>
      </c>
      <c r="M47" s="552">
        <f t="shared" si="4"/>
        <v>100</v>
      </c>
      <c r="N47" s="535" t="s">
        <v>2467</v>
      </c>
      <c r="O47" s="228">
        <v>1</v>
      </c>
      <c r="P47" s="607">
        <f t="shared" si="5"/>
        <v>23003</v>
      </c>
      <c r="Q47" s="706" t="str">
        <f t="shared" si="8"/>
        <v>[23003]</v>
      </c>
      <c r="R47" s="706" t="str">
        <f t="shared" si="9"/>
        <v>[1]</v>
      </c>
      <c r="T47" s="607" t="s">
        <v>2474</v>
      </c>
      <c r="U47" s="607">
        <f>宝箱设定!$C$12</f>
        <v>100</v>
      </c>
    </row>
    <row r="48" spans="2:21" x14ac:dyDescent="0.35">
      <c r="B48" s="319">
        <f t="shared" si="6"/>
        <v>165</v>
      </c>
      <c r="C48" s="319">
        <f>VLOOKUP(B48,游戏时长规划!$C$39:$G$63,MATCH("联赛等级",游戏时长规划!$C$39:$G$39,0),TRUE)</f>
        <v>3</v>
      </c>
      <c r="D48" s="319">
        <f>IF(B48=VLOOKUP(C48,游戏时长规划!$B$39:$C$63,2,FALSE),C48-1,C48)</f>
        <v>3</v>
      </c>
      <c r="E48" s="319">
        <f>VLOOKUP(D48,游戏时长规划!$B$12:$R$36,MATCH(E$34,游戏时长规划!$B$12:$R$12,0),FALSE)</f>
        <v>180</v>
      </c>
      <c r="F48" s="319">
        <f t="shared" si="10"/>
        <v>15</v>
      </c>
      <c r="G48" s="319">
        <f t="shared" si="3"/>
        <v>4</v>
      </c>
      <c r="H48" s="319">
        <f>F48/VLOOKUP(D48,游戏时长规划!$B$12:$R$36,4,FALSE)/游戏时长规划!$C$5</f>
        <v>5</v>
      </c>
      <c r="I48" s="319">
        <f>SUM(H$35:H48)</f>
        <v>42</v>
      </c>
      <c r="J48" s="534">
        <f>H48/游戏时长规划!$C$4</f>
        <v>0.33333333333333331</v>
      </c>
      <c r="K48" s="534">
        <f>I48/游戏时长规划!$C$4</f>
        <v>2.8</v>
      </c>
      <c r="L48" s="534">
        <f t="shared" si="7"/>
        <v>51.666666666666664</v>
      </c>
      <c r="M48" s="552">
        <f t="shared" si="4"/>
        <v>100</v>
      </c>
      <c r="N48" s="535" t="s">
        <v>1463</v>
      </c>
      <c r="O48" s="228">
        <v>100</v>
      </c>
      <c r="P48" s="607">
        <f t="shared" si="5"/>
        <v>101</v>
      </c>
      <c r="Q48" s="706" t="str">
        <f t="shared" si="8"/>
        <v>[101]</v>
      </c>
      <c r="R48" s="706" t="str">
        <f t="shared" si="9"/>
        <v>[100]</v>
      </c>
      <c r="T48" s="624" t="s">
        <v>2905</v>
      </c>
      <c r="U48" s="607">
        <f>宝箱设定!$C$10</f>
        <v>600</v>
      </c>
    </row>
    <row r="49" spans="2:21" x14ac:dyDescent="0.35">
      <c r="B49" s="319">
        <f t="shared" si="6"/>
        <v>180</v>
      </c>
      <c r="C49" s="319">
        <f>VLOOKUP(B49,游戏时长规划!$C$39:$G$63,MATCH("联赛等级",游戏时长规划!$C$39:$G$39,0),TRUE)</f>
        <v>4</v>
      </c>
      <c r="D49" s="319">
        <f>IF(B49=VLOOKUP(C49,游戏时长规划!$B$39:$C$63,2,FALSE),C49-1,C49)</f>
        <v>3</v>
      </c>
      <c r="E49" s="319">
        <f>VLOOKUP(D49,游戏时长规划!$B$12:$R$36,MATCH(E$34,游戏时长规划!$B$12:$R$12,0),FALSE)</f>
        <v>180</v>
      </c>
      <c r="F49" s="319">
        <f t="shared" si="10"/>
        <v>15</v>
      </c>
      <c r="G49" s="319">
        <f t="shared" si="3"/>
        <v>4</v>
      </c>
      <c r="H49" s="319">
        <f>F49/VLOOKUP(D49,游戏时长规划!$B$12:$R$36,4,FALSE)/游戏时长规划!$C$5</f>
        <v>5</v>
      </c>
      <c r="I49" s="319">
        <f>SUM(H$35:H49)</f>
        <v>47</v>
      </c>
      <c r="J49" s="534">
        <f>H49/游戏时长规划!$C$4</f>
        <v>0.33333333333333331</v>
      </c>
      <c r="K49" s="534">
        <f>I49/游戏时长规划!$C$4</f>
        <v>3.1333333333333333</v>
      </c>
      <c r="L49" s="534">
        <f t="shared" si="7"/>
        <v>51.666666666666664</v>
      </c>
      <c r="M49" s="552">
        <f t="shared" si="4"/>
        <v>600</v>
      </c>
      <c r="N49" s="623" t="s">
        <v>2967</v>
      </c>
      <c r="O49" s="228">
        <v>1</v>
      </c>
      <c r="P49" s="607">
        <f t="shared" si="5"/>
        <v>25153</v>
      </c>
      <c r="Q49" s="706" t="str">
        <f t="shared" si="8"/>
        <v>[25153]</v>
      </c>
      <c r="R49" s="706" t="str">
        <f t="shared" si="9"/>
        <v>[1]</v>
      </c>
      <c r="T49" s="624" t="s">
        <v>2907</v>
      </c>
      <c r="U49" s="607">
        <f>宝箱设定!$C$10</f>
        <v>600</v>
      </c>
    </row>
    <row r="50" spans="2:21" x14ac:dyDescent="0.35">
      <c r="B50" s="319">
        <f t="shared" si="6"/>
        <v>210</v>
      </c>
      <c r="C50" s="319">
        <f>VLOOKUP(B50,游戏时长规划!$C$39:$G$63,MATCH("联赛等级",游戏时长规划!$C$39:$G$39,0),TRUE)</f>
        <v>4</v>
      </c>
      <c r="D50" s="319">
        <f>IF(B50=VLOOKUP(C50,游戏时长规划!$B$39:$C$63,2,FALSE),C50-1,C50)</f>
        <v>4</v>
      </c>
      <c r="E50" s="319">
        <f>VLOOKUP(D50,游戏时长规划!$B$12:$R$36,MATCH(E$34,游戏时长规划!$B$12:$R$12,0),FALSE)</f>
        <v>300</v>
      </c>
      <c r="F50" s="319">
        <f t="shared" si="10"/>
        <v>30</v>
      </c>
      <c r="G50" s="319">
        <f t="shared" si="3"/>
        <v>4</v>
      </c>
      <c r="H50" s="319">
        <f>F50/VLOOKUP(D50,游戏时长规划!$B$12:$R$36,4,FALSE)/游戏时长规划!$C$5</f>
        <v>15</v>
      </c>
      <c r="I50" s="319">
        <f>SUM(H$35:H50)</f>
        <v>62</v>
      </c>
      <c r="J50" s="534">
        <f>H50/游戏时长规划!$C$4</f>
        <v>1</v>
      </c>
      <c r="K50" s="534">
        <f>I50/游戏时长规划!$C$4</f>
        <v>4.1333333333333337</v>
      </c>
      <c r="L50" s="534">
        <f t="shared" si="7"/>
        <v>155</v>
      </c>
      <c r="M50" s="552">
        <f t="shared" si="4"/>
        <v>225</v>
      </c>
      <c r="N50" s="535" t="s">
        <v>2891</v>
      </c>
      <c r="O50" s="228">
        <v>300</v>
      </c>
      <c r="P50" s="607">
        <f t="shared" si="5"/>
        <v>111</v>
      </c>
      <c r="Q50" s="706" t="str">
        <f t="shared" si="8"/>
        <v>[111]</v>
      </c>
      <c r="R50" s="706" t="str">
        <f t="shared" si="9"/>
        <v>[300]</v>
      </c>
      <c r="T50" s="624" t="s">
        <v>2908</v>
      </c>
      <c r="U50" s="607">
        <f>宝箱设定!$C$10</f>
        <v>600</v>
      </c>
    </row>
    <row r="51" spans="2:21" x14ac:dyDescent="0.35">
      <c r="B51" s="319">
        <f t="shared" si="6"/>
        <v>240</v>
      </c>
      <c r="C51" s="319">
        <f>VLOOKUP(B51,游戏时长规划!$C$39:$G$63,MATCH("联赛等级",游戏时长规划!$C$39:$G$39,0),TRUE)</f>
        <v>4</v>
      </c>
      <c r="D51" s="319">
        <f>IF(B51=VLOOKUP(C51,游戏时长规划!$B$39:$C$63,2,FALSE),C51-1,C51)</f>
        <v>4</v>
      </c>
      <c r="E51" s="319">
        <f>VLOOKUP(D51,游戏时长规划!$B$12:$R$36,MATCH(E$34,游戏时长规划!$B$12:$R$12,0),FALSE)</f>
        <v>300</v>
      </c>
      <c r="F51" s="319">
        <f t="shared" si="10"/>
        <v>30</v>
      </c>
      <c r="G51" s="319">
        <f t="shared" si="3"/>
        <v>4</v>
      </c>
      <c r="H51" s="319">
        <f>F51/VLOOKUP(D51,游戏时长规划!$B$12:$R$36,4,FALSE)/游戏时长规划!$C$5</f>
        <v>15</v>
      </c>
      <c r="I51" s="319">
        <f>SUM(H$35:H51)</f>
        <v>77</v>
      </c>
      <c r="J51" s="534">
        <f>H51/游戏时长规划!$C$4</f>
        <v>1</v>
      </c>
      <c r="K51" s="534">
        <f>I51/游戏时长规划!$C$4</f>
        <v>5.1333333333333337</v>
      </c>
      <c r="L51" s="534">
        <f t="shared" si="7"/>
        <v>155</v>
      </c>
      <c r="M51" s="552">
        <f t="shared" si="4"/>
        <v>100</v>
      </c>
      <c r="N51" s="551" t="s">
        <v>2478</v>
      </c>
      <c r="O51" s="228">
        <v>1</v>
      </c>
      <c r="P51" s="607">
        <f t="shared" si="5"/>
        <v>24004</v>
      </c>
      <c r="Q51" s="706" t="str">
        <f t="shared" si="8"/>
        <v>[24004]</v>
      </c>
      <c r="R51" s="706" t="str">
        <f t="shared" si="9"/>
        <v>[1]</v>
      </c>
      <c r="T51" s="624" t="s">
        <v>2909</v>
      </c>
      <c r="U51" s="607">
        <f>宝箱设定!$C$10</f>
        <v>600</v>
      </c>
    </row>
    <row r="52" spans="2:21" x14ac:dyDescent="0.35">
      <c r="B52" s="319">
        <f t="shared" si="6"/>
        <v>270</v>
      </c>
      <c r="C52" s="319">
        <f>VLOOKUP(B52,游戏时长规划!$C$39:$G$63,MATCH("联赛等级",游戏时长规划!$C$39:$G$39,0),TRUE)</f>
        <v>4</v>
      </c>
      <c r="D52" s="319">
        <f>IF(B52=VLOOKUP(C52,游戏时长规划!$B$39:$C$63,2,FALSE),C52-1,C52)</f>
        <v>4</v>
      </c>
      <c r="E52" s="319">
        <f>VLOOKUP(D52,游戏时长规划!$B$12:$R$36,MATCH(E$34,游戏时长规划!$B$12:$R$12,0),FALSE)</f>
        <v>300</v>
      </c>
      <c r="F52" s="319">
        <f t="shared" si="10"/>
        <v>30</v>
      </c>
      <c r="G52" s="319">
        <f t="shared" si="3"/>
        <v>4</v>
      </c>
      <c r="H52" s="319">
        <f>F52/VLOOKUP(D52,游戏时长规划!$B$12:$R$36,4,FALSE)/游戏时长规划!$C$5</f>
        <v>15</v>
      </c>
      <c r="I52" s="319">
        <f>SUM(H$35:H52)</f>
        <v>92</v>
      </c>
      <c r="J52" s="534">
        <f>H52/游戏时长规划!$C$4</f>
        <v>1</v>
      </c>
      <c r="K52" s="534">
        <f>I52/游戏时长规划!$C$4</f>
        <v>6.1333333333333337</v>
      </c>
      <c r="L52" s="534">
        <f t="shared" si="7"/>
        <v>155</v>
      </c>
      <c r="M52" s="552">
        <f t="shared" si="4"/>
        <v>180</v>
      </c>
      <c r="N52" s="535" t="s">
        <v>2783</v>
      </c>
      <c r="O52" s="228">
        <v>3</v>
      </c>
      <c r="P52" s="607">
        <f t="shared" si="5"/>
        <v>100302</v>
      </c>
      <c r="Q52" s="706" t="str">
        <f t="shared" si="8"/>
        <v>[100302]</v>
      </c>
      <c r="R52" s="706" t="str">
        <f t="shared" si="9"/>
        <v>[3]</v>
      </c>
      <c r="T52" s="624" t="s">
        <v>2910</v>
      </c>
      <c r="U52" s="607">
        <f>宝箱设定!$C$10</f>
        <v>600</v>
      </c>
    </row>
    <row r="53" spans="2:21" x14ac:dyDescent="0.35">
      <c r="B53" s="319">
        <f t="shared" si="6"/>
        <v>300</v>
      </c>
      <c r="C53" s="319">
        <f>VLOOKUP(B53,游戏时长规划!$C$39:$G$63,MATCH("联赛等级",游戏时长规划!$C$39:$G$39,0),TRUE)</f>
        <v>5</v>
      </c>
      <c r="D53" s="319">
        <f>IF(B53=VLOOKUP(C53,游戏时长规划!$B$39:$C$63,2,FALSE),C53-1,C53)</f>
        <v>4</v>
      </c>
      <c r="E53" s="319">
        <f>VLOOKUP(D53,游戏时长规划!$B$12:$R$36,MATCH(E$34,游戏时长规划!$B$12:$R$12,0),FALSE)</f>
        <v>300</v>
      </c>
      <c r="F53" s="319">
        <f t="shared" si="10"/>
        <v>30</v>
      </c>
      <c r="G53" s="319">
        <f t="shared" si="3"/>
        <v>4</v>
      </c>
      <c r="H53" s="319">
        <f>F53/VLOOKUP(D53,游戏时长规划!$B$12:$R$36,4,FALSE)/游戏时长规划!$C$5</f>
        <v>15</v>
      </c>
      <c r="I53" s="319">
        <f>SUM(H$35:H53)</f>
        <v>107</v>
      </c>
      <c r="J53" s="534">
        <f>H53/游戏时长规划!$C$4</f>
        <v>1</v>
      </c>
      <c r="K53" s="534">
        <f>I53/游戏时长规划!$C$4</f>
        <v>7.1333333333333337</v>
      </c>
      <c r="L53" s="534">
        <f t="shared" si="7"/>
        <v>155</v>
      </c>
      <c r="M53" s="552">
        <f t="shared" si="4"/>
        <v>600</v>
      </c>
      <c r="N53" s="623" t="s">
        <v>2968</v>
      </c>
      <c r="O53" s="228">
        <v>1</v>
      </c>
      <c r="P53" s="607">
        <f t="shared" si="5"/>
        <v>25154</v>
      </c>
      <c r="Q53" s="706" t="str">
        <f t="shared" si="8"/>
        <v>[25154]</v>
      </c>
      <c r="R53" s="706" t="str">
        <f t="shared" si="9"/>
        <v>[1]</v>
      </c>
      <c r="T53" s="624" t="s">
        <v>2911</v>
      </c>
      <c r="U53" s="607">
        <f>宝箱设定!$C$10</f>
        <v>600</v>
      </c>
    </row>
    <row r="54" spans="2:21" x14ac:dyDescent="0.35">
      <c r="B54" s="319">
        <f t="shared" si="6"/>
        <v>330</v>
      </c>
      <c r="C54" s="319">
        <f>VLOOKUP(B54,游戏时长规划!$C$39:$G$63,MATCH("联赛等级",游戏时长规划!$C$39:$G$39,0),TRUE)</f>
        <v>5</v>
      </c>
      <c r="D54" s="319">
        <f>IF(B54=VLOOKUP(C54,游戏时长规划!$B$39:$C$63,2,FALSE),C54-1,C54)</f>
        <v>5</v>
      </c>
      <c r="E54" s="319">
        <f>VLOOKUP(D54,游戏时长规划!$B$12:$R$36,MATCH(E$34,游戏时长规划!$B$12:$R$12,0),FALSE)</f>
        <v>420</v>
      </c>
      <c r="F54" s="319">
        <f t="shared" si="10"/>
        <v>30</v>
      </c>
      <c r="G54" s="319">
        <f t="shared" si="3"/>
        <v>4</v>
      </c>
      <c r="H54" s="319">
        <f>F54/VLOOKUP(D54,游戏时长规划!$B$12:$R$36,4,FALSE)/游戏时长规划!$C$5</f>
        <v>30</v>
      </c>
      <c r="I54" s="319">
        <f>SUM(H$35:H54)</f>
        <v>137</v>
      </c>
      <c r="J54" s="534">
        <f>H54/游戏时长规划!$C$4</f>
        <v>2</v>
      </c>
      <c r="K54" s="534">
        <f>I54/游戏时长规划!$C$4</f>
        <v>9.1333333333333329</v>
      </c>
      <c r="L54" s="534">
        <f t="shared" si="7"/>
        <v>310</v>
      </c>
      <c r="M54" s="552">
        <f t="shared" si="4"/>
        <v>62.5</v>
      </c>
      <c r="N54" s="535" t="s">
        <v>1467</v>
      </c>
      <c r="O54" s="228">
        <v>50</v>
      </c>
      <c r="P54" s="607">
        <f t="shared" si="5"/>
        <v>105</v>
      </c>
      <c r="Q54" s="706" t="str">
        <f t="shared" si="8"/>
        <v>[105]</v>
      </c>
      <c r="R54" s="706" t="str">
        <f t="shared" si="9"/>
        <v>[50]</v>
      </c>
      <c r="T54" s="624" t="s">
        <v>2912</v>
      </c>
      <c r="U54" s="607">
        <f>宝箱设定!$C$10</f>
        <v>600</v>
      </c>
    </row>
    <row r="55" spans="2:21" x14ac:dyDescent="0.35">
      <c r="B55" s="319">
        <f t="shared" si="6"/>
        <v>360</v>
      </c>
      <c r="C55" s="319">
        <f>VLOOKUP(B55,游戏时长规划!$C$39:$G$63,MATCH("联赛等级",游戏时长规划!$C$39:$G$39,0),TRUE)</f>
        <v>5</v>
      </c>
      <c r="D55" s="319">
        <f>IF(B55=VLOOKUP(C55,游戏时长规划!$B$39:$C$63,2,FALSE),C55-1,C55)</f>
        <v>5</v>
      </c>
      <c r="E55" s="319">
        <f>VLOOKUP(D55,游戏时长规划!$B$12:$R$36,MATCH(E$34,游戏时长规划!$B$12:$R$12,0),FALSE)</f>
        <v>420</v>
      </c>
      <c r="F55" s="319">
        <f t="shared" si="10"/>
        <v>30</v>
      </c>
      <c r="G55" s="319">
        <f t="shared" si="3"/>
        <v>4</v>
      </c>
      <c r="H55" s="319">
        <f>F55/VLOOKUP(D55,游戏时长规划!$B$12:$R$36,4,FALSE)/游戏时长规划!$C$5</f>
        <v>30</v>
      </c>
      <c r="I55" s="319">
        <f>SUM(H$35:H55)</f>
        <v>167</v>
      </c>
      <c r="J55" s="534">
        <f>H55/游戏时长规划!$C$4</f>
        <v>2</v>
      </c>
      <c r="K55" s="534">
        <f>I55/游戏时长规划!$C$4</f>
        <v>11.133333333333333</v>
      </c>
      <c r="L55" s="534">
        <f t="shared" si="7"/>
        <v>310</v>
      </c>
      <c r="M55" s="552">
        <f t="shared" si="4"/>
        <v>100</v>
      </c>
      <c r="N55" s="551" t="s">
        <v>2469</v>
      </c>
      <c r="O55" s="228">
        <v>1</v>
      </c>
      <c r="P55" s="607">
        <f t="shared" si="5"/>
        <v>23005</v>
      </c>
      <c r="Q55" s="706" t="str">
        <f t="shared" si="8"/>
        <v>[23005]</v>
      </c>
      <c r="R55" s="706" t="str">
        <f t="shared" si="9"/>
        <v>[1]</v>
      </c>
      <c r="T55" s="624" t="s">
        <v>2913</v>
      </c>
      <c r="U55" s="607">
        <f>宝箱设定!$C$10</f>
        <v>600</v>
      </c>
    </row>
    <row r="56" spans="2:21" x14ac:dyDescent="0.35">
      <c r="B56" s="319">
        <f t="shared" si="6"/>
        <v>390</v>
      </c>
      <c r="C56" s="319">
        <f>VLOOKUP(B56,游戏时长规划!$C$39:$G$63,MATCH("联赛等级",游戏时长规划!$C$39:$G$39,0),TRUE)</f>
        <v>5</v>
      </c>
      <c r="D56" s="319">
        <f>IF(B56=VLOOKUP(C56,游戏时长规划!$B$39:$C$63,2,FALSE),C56-1,C56)</f>
        <v>5</v>
      </c>
      <c r="E56" s="319">
        <f>VLOOKUP(D56,游戏时长规划!$B$12:$R$36,MATCH(E$34,游戏时长规划!$B$12:$R$12,0),FALSE)</f>
        <v>420</v>
      </c>
      <c r="F56" s="319">
        <f t="shared" si="10"/>
        <v>30</v>
      </c>
      <c r="G56" s="319">
        <f t="shared" si="3"/>
        <v>4</v>
      </c>
      <c r="H56" s="319">
        <f>F56/VLOOKUP(D56,游戏时长规划!$B$12:$R$36,4,FALSE)/游戏时长规划!$C$5</f>
        <v>30</v>
      </c>
      <c r="I56" s="319">
        <f>SUM(H$35:H56)</f>
        <v>197</v>
      </c>
      <c r="J56" s="534">
        <f>H56/游戏时长规划!$C$4</f>
        <v>2</v>
      </c>
      <c r="K56" s="534">
        <f>I56/游戏时长规划!$C$4</f>
        <v>13.133333333333333</v>
      </c>
      <c r="L56" s="534">
        <f t="shared" si="7"/>
        <v>310</v>
      </c>
      <c r="M56" s="552">
        <f t="shared" si="4"/>
        <v>150</v>
      </c>
      <c r="N56" s="535" t="s">
        <v>1463</v>
      </c>
      <c r="O56" s="228">
        <v>150</v>
      </c>
      <c r="P56" s="607">
        <f t="shared" si="5"/>
        <v>101</v>
      </c>
      <c r="Q56" s="706" t="str">
        <f t="shared" si="8"/>
        <v>[101]</v>
      </c>
      <c r="R56" s="706" t="str">
        <f t="shared" si="9"/>
        <v>[150]</v>
      </c>
      <c r="T56" s="624" t="s">
        <v>2914</v>
      </c>
      <c r="U56" s="607">
        <f>宝箱设定!$C$10</f>
        <v>600</v>
      </c>
    </row>
    <row r="57" spans="2:21" x14ac:dyDescent="0.35">
      <c r="B57" s="319">
        <f t="shared" si="6"/>
        <v>420</v>
      </c>
      <c r="C57" s="319">
        <f>VLOOKUP(B57,游戏时长规划!$C$39:$G$63,MATCH("联赛等级",游戏时长规划!$C$39:$G$39,0),TRUE)</f>
        <v>6</v>
      </c>
      <c r="D57" s="319">
        <f>IF(B57=VLOOKUP(C57,游戏时长规划!$B$39:$C$63,2,FALSE),C57-1,C57)</f>
        <v>5</v>
      </c>
      <c r="E57" s="319">
        <f>VLOOKUP(D57,游戏时长规划!$B$12:$R$36,MATCH(E$34,游戏时长规划!$B$12:$R$12,0),FALSE)</f>
        <v>420</v>
      </c>
      <c r="F57" s="319">
        <f t="shared" si="10"/>
        <v>30</v>
      </c>
      <c r="G57" s="319">
        <f t="shared" si="3"/>
        <v>4</v>
      </c>
      <c r="H57" s="319">
        <f>F57/VLOOKUP(D57,游戏时长规划!$B$12:$R$36,4,FALSE)/游戏时长规划!$C$5</f>
        <v>30</v>
      </c>
      <c r="I57" s="319">
        <f>SUM(H$35:H57)</f>
        <v>227</v>
      </c>
      <c r="J57" s="534">
        <f>H57/游戏时长规划!$C$4</f>
        <v>2</v>
      </c>
      <c r="K57" s="534">
        <f>I57/游戏时长规划!$C$4</f>
        <v>15.133333333333333</v>
      </c>
      <c r="L57" s="534">
        <f t="shared" si="7"/>
        <v>310</v>
      </c>
      <c r="M57" s="552">
        <f t="shared" si="4"/>
        <v>600</v>
      </c>
      <c r="N57" s="623" t="s">
        <v>2969</v>
      </c>
      <c r="O57" s="228">
        <v>1</v>
      </c>
      <c r="P57" s="607">
        <f t="shared" si="5"/>
        <v>25155</v>
      </c>
      <c r="Q57" s="706" t="str">
        <f t="shared" si="8"/>
        <v>[25155]</v>
      </c>
      <c r="R57" s="706" t="str">
        <f t="shared" si="9"/>
        <v>[1]</v>
      </c>
      <c r="T57" s="624" t="s">
        <v>2915</v>
      </c>
      <c r="U57" s="607">
        <f>宝箱设定!$C$10</f>
        <v>600</v>
      </c>
    </row>
    <row r="58" spans="2:21" x14ac:dyDescent="0.35">
      <c r="B58" s="319">
        <f t="shared" si="6"/>
        <v>450</v>
      </c>
      <c r="C58" s="319">
        <f>VLOOKUP(B58,游戏时长规划!$C$39:$G$63,MATCH("联赛等级",游戏时长规划!$C$39:$G$39,0),TRUE)</f>
        <v>6</v>
      </c>
      <c r="D58" s="319">
        <f>IF(B58=VLOOKUP(C58,游戏时长规划!$B$39:$C$63,2,FALSE),C58-1,C58)</f>
        <v>6</v>
      </c>
      <c r="E58" s="319">
        <f>VLOOKUP(D58,游戏时长规划!$B$12:$R$36,MATCH(E$34,游戏时长规划!$B$12:$R$12,0),FALSE)</f>
        <v>540</v>
      </c>
      <c r="F58" s="319">
        <f t="shared" si="10"/>
        <v>30</v>
      </c>
      <c r="G58" s="319">
        <f t="shared" si="3"/>
        <v>4</v>
      </c>
      <c r="H58" s="319">
        <f>F58/VLOOKUP(D58,游戏时长规划!$B$12:$R$36,4,FALSE)/游戏时长规划!$C$5</f>
        <v>30</v>
      </c>
      <c r="I58" s="319">
        <f>SUM(H$35:H58)</f>
        <v>257</v>
      </c>
      <c r="J58" s="534">
        <f>H58/游戏时长规划!$C$4</f>
        <v>2</v>
      </c>
      <c r="K58" s="534">
        <f>I58/游戏时长规划!$C$4</f>
        <v>17.133333333333333</v>
      </c>
      <c r="L58" s="534">
        <f t="shared" si="7"/>
        <v>310</v>
      </c>
      <c r="M58" s="552">
        <f t="shared" si="4"/>
        <v>300</v>
      </c>
      <c r="N58" s="551" t="s">
        <v>2891</v>
      </c>
      <c r="O58" s="228">
        <v>400</v>
      </c>
      <c r="P58" s="607">
        <f t="shared" si="5"/>
        <v>111</v>
      </c>
      <c r="Q58" s="706" t="str">
        <f t="shared" si="8"/>
        <v>[111]</v>
      </c>
      <c r="R58" s="706" t="str">
        <f t="shared" si="9"/>
        <v>[400]</v>
      </c>
      <c r="T58" s="607" t="s">
        <v>2476</v>
      </c>
      <c r="U58" s="607">
        <f>宝箱设定!C$13</f>
        <v>100</v>
      </c>
    </row>
    <row r="59" spans="2:21" x14ac:dyDescent="0.35">
      <c r="B59" s="319">
        <f t="shared" si="6"/>
        <v>480</v>
      </c>
      <c r="C59" s="319">
        <f>VLOOKUP(B59,游戏时长规划!$C$39:$G$63,MATCH("联赛等级",游戏时长规划!$C$39:$G$39,0),TRUE)</f>
        <v>6</v>
      </c>
      <c r="D59" s="319">
        <f>IF(B59=VLOOKUP(C59,游戏时长规划!$B$39:$C$63,2,FALSE),C59-1,C59)</f>
        <v>6</v>
      </c>
      <c r="E59" s="319">
        <f>VLOOKUP(D59,游戏时长规划!$B$12:$R$36,MATCH(E$34,游戏时长规划!$B$12:$R$12,0),FALSE)</f>
        <v>540</v>
      </c>
      <c r="F59" s="319">
        <f t="shared" si="10"/>
        <v>30</v>
      </c>
      <c r="G59" s="319">
        <f t="shared" si="3"/>
        <v>4</v>
      </c>
      <c r="H59" s="319">
        <f>F59/VLOOKUP(D59,游戏时长规划!$B$12:$R$36,4,FALSE)/游戏时长规划!$C$5</f>
        <v>30</v>
      </c>
      <c r="I59" s="319">
        <f>SUM(H$35:H59)</f>
        <v>287</v>
      </c>
      <c r="J59" s="534">
        <f>H59/游戏时长规划!$C$4</f>
        <v>2</v>
      </c>
      <c r="K59" s="534">
        <f>I59/游戏时长规划!$C$4</f>
        <v>19.133333333333333</v>
      </c>
      <c r="L59" s="534">
        <f t="shared" si="7"/>
        <v>310</v>
      </c>
      <c r="M59" s="552">
        <f t="shared" si="4"/>
        <v>100</v>
      </c>
      <c r="N59" s="535" t="s">
        <v>2480</v>
      </c>
      <c r="O59" s="228">
        <v>1</v>
      </c>
      <c r="P59" s="607">
        <f t="shared" si="5"/>
        <v>24006</v>
      </c>
      <c r="Q59" s="706" t="str">
        <f t="shared" si="8"/>
        <v>[24006]</v>
      </c>
      <c r="R59" s="706" t="str">
        <f t="shared" si="9"/>
        <v>[1]</v>
      </c>
      <c r="T59" s="607" t="s">
        <v>2478</v>
      </c>
      <c r="U59" s="607">
        <f>宝箱设定!C$13</f>
        <v>100</v>
      </c>
    </row>
    <row r="60" spans="2:21" x14ac:dyDescent="0.35">
      <c r="B60" s="319">
        <f t="shared" si="6"/>
        <v>510</v>
      </c>
      <c r="C60" s="319">
        <f>VLOOKUP(B60,游戏时长规划!$C$39:$G$63,MATCH("联赛等级",游戏时长规划!$C$39:$G$39,0),TRUE)</f>
        <v>6</v>
      </c>
      <c r="D60" s="319">
        <f>IF(B60=VLOOKUP(C60,游戏时长规划!$B$39:$C$63,2,FALSE),C60-1,C60)</f>
        <v>6</v>
      </c>
      <c r="E60" s="319">
        <f>VLOOKUP(D60,游戏时长规划!$B$12:$R$36,MATCH(E$34,游戏时长规划!$B$12:$R$12,0),FALSE)</f>
        <v>540</v>
      </c>
      <c r="F60" s="319">
        <f t="shared" si="10"/>
        <v>30</v>
      </c>
      <c r="G60" s="319">
        <f t="shared" si="3"/>
        <v>4</v>
      </c>
      <c r="H60" s="319">
        <f>F60/VLOOKUP(D60,游戏时长规划!$B$12:$R$36,4,FALSE)/游戏时长规划!$C$5</f>
        <v>30</v>
      </c>
      <c r="I60" s="319">
        <f>SUM(H$35:H60)</f>
        <v>317</v>
      </c>
      <c r="J60" s="534">
        <f>H60/游戏时长规划!$C$4</f>
        <v>2</v>
      </c>
      <c r="K60" s="534">
        <f>I60/游戏时长规划!$C$4</f>
        <v>21.133333333333333</v>
      </c>
      <c r="L60" s="534">
        <f t="shared" si="7"/>
        <v>310</v>
      </c>
      <c r="M60" s="552">
        <f t="shared" si="4"/>
        <v>240</v>
      </c>
      <c r="N60" s="551" t="s">
        <v>2783</v>
      </c>
      <c r="O60" s="228">
        <v>4</v>
      </c>
      <c r="P60" s="607">
        <f t="shared" si="5"/>
        <v>100302</v>
      </c>
      <c r="Q60" s="706" t="str">
        <f t="shared" si="8"/>
        <v>[100302]</v>
      </c>
      <c r="R60" s="706" t="str">
        <f t="shared" si="9"/>
        <v>[4]</v>
      </c>
      <c r="T60" s="607" t="s">
        <v>2480</v>
      </c>
      <c r="U60" s="607">
        <f>宝箱设定!C$13</f>
        <v>100</v>
      </c>
    </row>
    <row r="61" spans="2:21" x14ac:dyDescent="0.35">
      <c r="B61" s="319">
        <f t="shared" si="6"/>
        <v>540</v>
      </c>
      <c r="C61" s="319">
        <f>VLOOKUP(B61,游戏时长规划!$C$39:$G$63,MATCH("联赛等级",游戏时长规划!$C$39:$G$39,0),TRUE)</f>
        <v>7</v>
      </c>
      <c r="D61" s="319">
        <f>IF(B61=VLOOKUP(C61,游戏时长规划!$B$39:$C$63,2,FALSE),C61-1,C61)</f>
        <v>6</v>
      </c>
      <c r="E61" s="319">
        <f>VLOOKUP(D61,游戏时长规划!$B$12:$R$36,MATCH(E$34,游戏时长规划!$B$12:$R$12,0),FALSE)</f>
        <v>540</v>
      </c>
      <c r="F61" s="319">
        <f t="shared" si="10"/>
        <v>30</v>
      </c>
      <c r="G61" s="319">
        <f t="shared" si="3"/>
        <v>4</v>
      </c>
      <c r="H61" s="319">
        <f>F61/VLOOKUP(D61,游戏时长规划!$B$12:$R$36,4,FALSE)/游戏时长规划!$C$5</f>
        <v>30</v>
      </c>
      <c r="I61" s="319">
        <f>SUM(H$35:H61)</f>
        <v>347</v>
      </c>
      <c r="J61" s="534">
        <f>H61/游戏时长规划!$C$4</f>
        <v>2</v>
      </c>
      <c r="K61" s="534">
        <f>I61/游戏时长规划!$C$4</f>
        <v>23.133333333333333</v>
      </c>
      <c r="L61" s="534">
        <f t="shared" si="7"/>
        <v>310</v>
      </c>
      <c r="M61" s="552">
        <f t="shared" si="4"/>
        <v>600</v>
      </c>
      <c r="N61" s="623" t="s">
        <v>2970</v>
      </c>
      <c r="O61" s="228">
        <v>1</v>
      </c>
      <c r="P61" s="607">
        <f t="shared" si="5"/>
        <v>25156</v>
      </c>
      <c r="Q61" s="706" t="str">
        <f t="shared" si="8"/>
        <v>[25156]</v>
      </c>
      <c r="R61" s="706" t="str">
        <f t="shared" si="9"/>
        <v>[1]</v>
      </c>
      <c r="T61" s="607" t="s">
        <v>2482</v>
      </c>
      <c r="U61" s="607">
        <f>宝箱设定!C$13</f>
        <v>100</v>
      </c>
    </row>
    <row r="62" spans="2:21" x14ac:dyDescent="0.35">
      <c r="B62" s="319">
        <f t="shared" si="6"/>
        <v>585</v>
      </c>
      <c r="C62" s="319">
        <f>VLOOKUP(B62,游戏时长规划!$C$39:$G$63,MATCH("联赛等级",游戏时长规划!$C$39:$G$39,0),TRUE)</f>
        <v>7</v>
      </c>
      <c r="D62" s="319">
        <f>IF(B62=VLOOKUP(C62,游戏时长规划!$B$39:$C$63,2,FALSE),C62-1,C62)</f>
        <v>7</v>
      </c>
      <c r="E62" s="319">
        <f>VLOOKUP(D62,游戏时长规划!$B$12:$R$36,MATCH(E$34,游戏时长规划!$B$12:$R$12,0),FALSE)</f>
        <v>720</v>
      </c>
      <c r="F62" s="319">
        <f t="shared" si="10"/>
        <v>45</v>
      </c>
      <c r="G62" s="319">
        <f t="shared" si="3"/>
        <v>4</v>
      </c>
      <c r="H62" s="319">
        <f>F62/VLOOKUP(D62,游戏时长规划!$B$12:$R$36,4,FALSE)/游戏时长规划!$C$5</f>
        <v>45</v>
      </c>
      <c r="I62" s="319">
        <f>SUM(H$35:H62)</f>
        <v>392</v>
      </c>
      <c r="J62" s="534">
        <f>H62/游戏时长规划!$C$4</f>
        <v>3</v>
      </c>
      <c r="K62" s="534">
        <f>I62/游戏时长规划!$C$4</f>
        <v>26.133333333333333</v>
      </c>
      <c r="L62" s="534">
        <f t="shared" si="7"/>
        <v>465</v>
      </c>
      <c r="M62" s="552">
        <f t="shared" si="4"/>
        <v>62.5</v>
      </c>
      <c r="N62" s="535" t="s">
        <v>1467</v>
      </c>
      <c r="O62" s="228">
        <v>50</v>
      </c>
      <c r="P62" s="607">
        <f t="shared" si="5"/>
        <v>105</v>
      </c>
      <c r="Q62" s="706" t="str">
        <f t="shared" si="8"/>
        <v>[105]</v>
      </c>
      <c r="R62" s="706" t="str">
        <f t="shared" si="9"/>
        <v>[50]</v>
      </c>
      <c r="T62" s="607" t="s">
        <v>2484</v>
      </c>
      <c r="U62" s="607">
        <f>宝箱设定!C$13</f>
        <v>100</v>
      </c>
    </row>
    <row r="63" spans="2:21" x14ac:dyDescent="0.35">
      <c r="B63" s="319">
        <f t="shared" si="6"/>
        <v>630</v>
      </c>
      <c r="C63" s="319">
        <f>VLOOKUP(B63,游戏时长规划!$C$39:$G$63,MATCH("联赛等级",游戏时长规划!$C$39:$G$39,0),TRUE)</f>
        <v>7</v>
      </c>
      <c r="D63" s="319">
        <f>IF(B63=VLOOKUP(C63,游戏时长规划!$B$39:$C$63,2,FALSE),C63-1,C63)</f>
        <v>7</v>
      </c>
      <c r="E63" s="319">
        <f>VLOOKUP(D63,游戏时长规划!$B$12:$R$36,MATCH(E$34,游戏时长规划!$B$12:$R$12,0),FALSE)</f>
        <v>720</v>
      </c>
      <c r="F63" s="319">
        <f t="shared" si="10"/>
        <v>45</v>
      </c>
      <c r="G63" s="319">
        <f t="shared" si="3"/>
        <v>4</v>
      </c>
      <c r="H63" s="319">
        <f>F63/VLOOKUP(D63,游戏时长规划!$B$12:$R$36,4,FALSE)/游戏时长规划!$C$5</f>
        <v>45</v>
      </c>
      <c r="I63" s="319">
        <f>SUM(H$35:H63)</f>
        <v>437</v>
      </c>
      <c r="J63" s="534">
        <f>H63/游戏时长规划!$C$4</f>
        <v>3</v>
      </c>
      <c r="K63" s="534">
        <f>I63/游戏时长规划!$C$4</f>
        <v>29.133333333333333</v>
      </c>
      <c r="L63" s="534">
        <f t="shared" si="7"/>
        <v>465</v>
      </c>
      <c r="M63" s="552">
        <f t="shared" si="4"/>
        <v>100</v>
      </c>
      <c r="N63" s="551" t="s">
        <v>2471</v>
      </c>
      <c r="O63" s="228">
        <v>1</v>
      </c>
      <c r="P63" s="607">
        <f t="shared" si="5"/>
        <v>23007</v>
      </c>
      <c r="Q63" s="706" t="str">
        <f t="shared" si="8"/>
        <v>[23007]</v>
      </c>
      <c r="R63" s="706" t="str">
        <f t="shared" si="9"/>
        <v>[1]</v>
      </c>
      <c r="T63" s="624" t="s">
        <v>2977</v>
      </c>
      <c r="U63" s="607">
        <f>宝箱设定!C11</f>
        <v>2000</v>
      </c>
    </row>
    <row r="64" spans="2:21" x14ac:dyDescent="0.35">
      <c r="B64" s="319">
        <f t="shared" si="6"/>
        <v>675</v>
      </c>
      <c r="C64" s="319">
        <f>VLOOKUP(B64,游戏时长规划!$C$39:$G$63,MATCH("联赛等级",游戏时长规划!$C$39:$G$39,0),TRUE)</f>
        <v>7</v>
      </c>
      <c r="D64" s="319">
        <f>IF(B64=VLOOKUP(C64,游戏时长规划!$B$39:$C$63,2,FALSE),C64-1,C64)</f>
        <v>7</v>
      </c>
      <c r="E64" s="319">
        <f>VLOOKUP(D64,游戏时长规划!$B$12:$R$36,MATCH(E$34,游戏时长规划!$B$12:$R$12,0),FALSE)</f>
        <v>720</v>
      </c>
      <c r="F64" s="319">
        <f t="shared" si="10"/>
        <v>45</v>
      </c>
      <c r="G64" s="319">
        <f t="shared" si="3"/>
        <v>4</v>
      </c>
      <c r="H64" s="319">
        <f>F64/VLOOKUP(D64,游戏时长规划!$B$12:$R$36,4,FALSE)/游戏时长规划!$C$5</f>
        <v>45</v>
      </c>
      <c r="I64" s="319">
        <f>SUM(H$35:H64)</f>
        <v>482</v>
      </c>
      <c r="J64" s="534">
        <f>H64/游戏时长规划!$C$4</f>
        <v>3</v>
      </c>
      <c r="K64" s="534">
        <f>I64/游戏时长规划!$C$4</f>
        <v>32.133333333333333</v>
      </c>
      <c r="L64" s="534">
        <f t="shared" si="7"/>
        <v>465</v>
      </c>
      <c r="M64" s="552">
        <f t="shared" si="4"/>
        <v>200</v>
      </c>
      <c r="N64" s="535" t="s">
        <v>1463</v>
      </c>
      <c r="O64" s="228">
        <v>200</v>
      </c>
      <c r="P64" s="607">
        <f t="shared" si="5"/>
        <v>101</v>
      </c>
      <c r="Q64" s="706" t="str">
        <f t="shared" si="8"/>
        <v>[101]</v>
      </c>
      <c r="R64" s="706" t="str">
        <f t="shared" si="9"/>
        <v>[200]</v>
      </c>
    </row>
    <row r="65" spans="2:18" x14ac:dyDescent="0.35">
      <c r="B65" s="319">
        <f t="shared" si="6"/>
        <v>720</v>
      </c>
      <c r="C65" s="319">
        <f>VLOOKUP(B65,游戏时长规划!$C$39:$G$63,MATCH("联赛等级",游戏时长规划!$C$39:$G$39,0),TRUE)</f>
        <v>8</v>
      </c>
      <c r="D65" s="319">
        <f>IF(B65=VLOOKUP(C65,游戏时长规划!$B$39:$C$63,2,FALSE),C65-1,C65)</f>
        <v>7</v>
      </c>
      <c r="E65" s="319">
        <f>VLOOKUP(D65,游戏时长规划!$B$12:$R$36,MATCH(E$34,游戏时长规划!$B$12:$R$12,0),FALSE)</f>
        <v>720</v>
      </c>
      <c r="F65" s="319">
        <f t="shared" si="10"/>
        <v>45</v>
      </c>
      <c r="G65" s="319">
        <f t="shared" si="3"/>
        <v>4</v>
      </c>
      <c r="H65" s="319">
        <f>F65/VLOOKUP(D65,游戏时长规划!$B$12:$R$36,4,FALSE)/游戏时长规划!$C$5</f>
        <v>45</v>
      </c>
      <c r="I65" s="319">
        <f>SUM(H$35:H65)</f>
        <v>527</v>
      </c>
      <c r="J65" s="534">
        <f>H65/游戏时长规划!$C$4</f>
        <v>3</v>
      </c>
      <c r="K65" s="534">
        <f>I65/游戏时长规划!$C$4</f>
        <v>35.133333333333333</v>
      </c>
      <c r="L65" s="534">
        <f t="shared" si="7"/>
        <v>465</v>
      </c>
      <c r="M65" s="552">
        <f t="shared" si="4"/>
        <v>600</v>
      </c>
      <c r="N65" s="623" t="s">
        <v>2971</v>
      </c>
      <c r="O65" s="228">
        <v>1</v>
      </c>
      <c r="P65" s="607">
        <f t="shared" si="5"/>
        <v>25157</v>
      </c>
      <c r="Q65" s="706" t="str">
        <f t="shared" si="8"/>
        <v>[25157]</v>
      </c>
      <c r="R65" s="706" t="str">
        <f t="shared" si="9"/>
        <v>[1]</v>
      </c>
    </row>
    <row r="66" spans="2:18" x14ac:dyDescent="0.35">
      <c r="B66" s="319">
        <f t="shared" si="6"/>
        <v>765</v>
      </c>
      <c r="C66" s="319">
        <f>VLOOKUP(B66,游戏时长规划!$C$39:$G$63,MATCH("联赛等级",游戏时长规划!$C$39:$G$39,0),TRUE)</f>
        <v>8</v>
      </c>
      <c r="D66" s="319">
        <f>IF(B66=VLOOKUP(C66,游戏时长规划!$B$39:$C$63,2,FALSE),C66-1,C66)</f>
        <v>8</v>
      </c>
      <c r="E66" s="319">
        <f>VLOOKUP(D66,游戏时长规划!$B$12:$R$36,MATCH(E$34,游戏时长规划!$B$12:$R$12,0),FALSE)</f>
        <v>900</v>
      </c>
      <c r="F66" s="319">
        <f t="shared" si="10"/>
        <v>45</v>
      </c>
      <c r="G66" s="319">
        <f t="shared" si="3"/>
        <v>4</v>
      </c>
      <c r="H66" s="319">
        <f>F66/VLOOKUP(D66,游戏时长规划!$B$12:$R$36,4,FALSE)/游戏时长规划!$C$5</f>
        <v>45</v>
      </c>
      <c r="I66" s="319">
        <f>SUM(H$35:H66)</f>
        <v>572</v>
      </c>
      <c r="J66" s="534">
        <f>H66/游戏时长规划!$C$4</f>
        <v>3</v>
      </c>
      <c r="K66" s="534">
        <f>I66/游戏时长规划!$C$4</f>
        <v>38.133333333333333</v>
      </c>
      <c r="L66" s="534">
        <f t="shared" si="7"/>
        <v>465</v>
      </c>
      <c r="M66" s="552">
        <f t="shared" si="4"/>
        <v>375</v>
      </c>
      <c r="N66" s="535" t="s">
        <v>2891</v>
      </c>
      <c r="O66" s="228">
        <v>500</v>
      </c>
      <c r="P66" s="607">
        <f t="shared" si="5"/>
        <v>111</v>
      </c>
      <c r="Q66" s="706" t="str">
        <f t="shared" si="8"/>
        <v>[111]</v>
      </c>
      <c r="R66" s="706" t="str">
        <f t="shared" si="9"/>
        <v>[500]</v>
      </c>
    </row>
    <row r="67" spans="2:18" x14ac:dyDescent="0.35">
      <c r="B67" s="319">
        <f t="shared" si="6"/>
        <v>810</v>
      </c>
      <c r="C67" s="319">
        <f>VLOOKUP(B67,游戏时长规划!$C$39:$G$63,MATCH("联赛等级",游戏时长规划!$C$39:$G$39,0),TRUE)</f>
        <v>8</v>
      </c>
      <c r="D67" s="319">
        <f>IF(B67=VLOOKUP(C67,游戏时长规划!$B$39:$C$63,2,FALSE),C67-1,C67)</f>
        <v>8</v>
      </c>
      <c r="E67" s="319">
        <f>VLOOKUP(D67,游戏时长规划!$B$12:$R$36,MATCH(E$34,游戏时长规划!$B$12:$R$12,0),FALSE)</f>
        <v>900</v>
      </c>
      <c r="F67" s="319">
        <f t="shared" si="10"/>
        <v>45</v>
      </c>
      <c r="G67" s="319">
        <f t="shared" si="3"/>
        <v>4</v>
      </c>
      <c r="H67" s="319">
        <f>F67/VLOOKUP(D67,游戏时长规划!$B$12:$R$36,4,FALSE)/游戏时长规划!$C$5</f>
        <v>45</v>
      </c>
      <c r="I67" s="319">
        <f>SUM(H$35:H67)</f>
        <v>617</v>
      </c>
      <c r="J67" s="534">
        <f>H67/游戏时长规划!$C$4</f>
        <v>3</v>
      </c>
      <c r="K67" s="534">
        <f>I67/游戏时长规划!$C$4</f>
        <v>41.133333333333333</v>
      </c>
      <c r="L67" s="534">
        <f t="shared" si="7"/>
        <v>465</v>
      </c>
      <c r="M67" s="552">
        <f t="shared" si="4"/>
        <v>100</v>
      </c>
      <c r="N67" s="535" t="s">
        <v>2482</v>
      </c>
      <c r="O67" s="228">
        <v>1</v>
      </c>
      <c r="P67" s="607">
        <f t="shared" si="5"/>
        <v>24008</v>
      </c>
      <c r="Q67" s="706" t="str">
        <f t="shared" si="8"/>
        <v>[24008]</v>
      </c>
      <c r="R67" s="706" t="str">
        <f t="shared" si="9"/>
        <v>[1]</v>
      </c>
    </row>
    <row r="68" spans="2:18" x14ac:dyDescent="0.35">
      <c r="B68" s="319">
        <f t="shared" si="6"/>
        <v>855</v>
      </c>
      <c r="C68" s="319">
        <f>VLOOKUP(B68,游戏时长规划!$C$39:$G$63,MATCH("联赛等级",游戏时长规划!$C$39:$G$39,0),TRUE)</f>
        <v>8</v>
      </c>
      <c r="D68" s="319">
        <f>IF(B68=VLOOKUP(C68,游戏时长规划!$B$39:$C$63,2,FALSE),C68-1,C68)</f>
        <v>8</v>
      </c>
      <c r="E68" s="319">
        <f>VLOOKUP(D68,游戏时长规划!$B$12:$R$36,MATCH(E$34,游戏时长规划!$B$12:$R$12,0),FALSE)</f>
        <v>900</v>
      </c>
      <c r="F68" s="319">
        <f t="shared" si="10"/>
        <v>45</v>
      </c>
      <c r="G68" s="319">
        <f t="shared" si="3"/>
        <v>4</v>
      </c>
      <c r="H68" s="319">
        <f>F68/VLOOKUP(D68,游戏时长规划!$B$12:$R$36,4,FALSE)/游戏时长规划!$C$5</f>
        <v>45</v>
      </c>
      <c r="I68" s="319">
        <f>SUM(H$35:H68)</f>
        <v>662</v>
      </c>
      <c r="J68" s="534">
        <f>H68/游戏时长规划!$C$4</f>
        <v>3</v>
      </c>
      <c r="K68" s="534">
        <f>I68/游戏时长规划!$C$4</f>
        <v>44.133333333333333</v>
      </c>
      <c r="L68" s="534">
        <f t="shared" si="7"/>
        <v>465</v>
      </c>
      <c r="M68" s="552">
        <f t="shared" si="4"/>
        <v>300</v>
      </c>
      <c r="N68" s="551" t="s">
        <v>2783</v>
      </c>
      <c r="O68" s="228">
        <v>5</v>
      </c>
      <c r="P68" s="607">
        <f t="shared" si="5"/>
        <v>100302</v>
      </c>
      <c r="Q68" s="706" t="str">
        <f t="shared" si="8"/>
        <v>[100302]</v>
      </c>
      <c r="R68" s="706" t="str">
        <f t="shared" si="9"/>
        <v>[5]</v>
      </c>
    </row>
    <row r="69" spans="2:18" x14ac:dyDescent="0.35">
      <c r="B69" s="319">
        <f t="shared" si="6"/>
        <v>900</v>
      </c>
      <c r="C69" s="319">
        <f>VLOOKUP(B69,游戏时长规划!$C$39:$G$63,MATCH("联赛等级",游戏时长规划!$C$39:$G$39,0),TRUE)</f>
        <v>9</v>
      </c>
      <c r="D69" s="319">
        <f>IF(B69=VLOOKUP(C69,游戏时长规划!$B$39:$C$63,2,FALSE),C69-1,C69)</f>
        <v>8</v>
      </c>
      <c r="E69" s="319">
        <f>VLOOKUP(D69,游戏时长规划!$B$12:$R$36,MATCH(E$34,游戏时长规划!$B$12:$R$12,0),FALSE)</f>
        <v>900</v>
      </c>
      <c r="F69" s="319">
        <f t="shared" si="10"/>
        <v>45</v>
      </c>
      <c r="G69" s="319">
        <f t="shared" si="3"/>
        <v>4</v>
      </c>
      <c r="H69" s="319">
        <f>F69/VLOOKUP(D69,游戏时长规划!$B$12:$R$36,4,FALSE)/游戏时长规划!$C$5</f>
        <v>45</v>
      </c>
      <c r="I69" s="319">
        <f>SUM(H$35:H69)</f>
        <v>707</v>
      </c>
      <c r="J69" s="534">
        <f>H69/游戏时长规划!$C$4</f>
        <v>3</v>
      </c>
      <c r="K69" s="534">
        <f>I69/游戏时长规划!$C$4</f>
        <v>47.133333333333333</v>
      </c>
      <c r="L69" s="534">
        <f t="shared" si="7"/>
        <v>465</v>
      </c>
      <c r="M69" s="552">
        <f t="shared" si="4"/>
        <v>600</v>
      </c>
      <c r="N69" s="623" t="s">
        <v>2972</v>
      </c>
      <c r="O69" s="228">
        <v>1</v>
      </c>
      <c r="P69" s="607">
        <f t="shared" si="5"/>
        <v>25158</v>
      </c>
      <c r="Q69" s="706" t="str">
        <f t="shared" si="8"/>
        <v>[25158]</v>
      </c>
      <c r="R69" s="706" t="str">
        <f t="shared" si="9"/>
        <v>[1]</v>
      </c>
    </row>
    <row r="70" spans="2:18" x14ac:dyDescent="0.35">
      <c r="B70" s="319">
        <f t="shared" si="6"/>
        <v>945</v>
      </c>
      <c r="C70" s="319">
        <f>VLOOKUP(B70,游戏时长规划!$C$39:$G$63,MATCH("联赛等级",游戏时长规划!$C$39:$G$39,0),TRUE)</f>
        <v>9</v>
      </c>
      <c r="D70" s="319">
        <f>IF(B70=VLOOKUP(C70,游戏时长规划!$B$39:$C$63,2,FALSE),C70-1,C70)</f>
        <v>9</v>
      </c>
      <c r="E70" s="319">
        <f>VLOOKUP(D70,游戏时长规划!$B$12:$R$36,MATCH(E$34,游戏时长规划!$B$12:$R$12,0),FALSE)</f>
        <v>1080</v>
      </c>
      <c r="F70" s="319">
        <f t="shared" si="10"/>
        <v>45</v>
      </c>
      <c r="G70" s="319">
        <f t="shared" si="3"/>
        <v>4</v>
      </c>
      <c r="H70" s="319">
        <f>F70/VLOOKUP(D70,游戏时长规划!$B$12:$R$36,4,FALSE)/游戏时长规划!$C$5</f>
        <v>45</v>
      </c>
      <c r="I70" s="319">
        <f>SUM(H$35:H70)</f>
        <v>752</v>
      </c>
      <c r="J70" s="534">
        <f>H70/游戏时长规划!$C$4</f>
        <v>3</v>
      </c>
      <c r="K70" s="534">
        <f>I70/游戏时长规划!$C$4</f>
        <v>50.133333333333333</v>
      </c>
      <c r="L70" s="534">
        <f t="shared" si="7"/>
        <v>465</v>
      </c>
      <c r="M70" s="552">
        <f t="shared" si="4"/>
        <v>62.5</v>
      </c>
      <c r="N70" s="551" t="s">
        <v>1467</v>
      </c>
      <c r="O70" s="228">
        <v>50</v>
      </c>
      <c r="P70" s="607">
        <f t="shared" si="5"/>
        <v>105</v>
      </c>
      <c r="Q70" s="706" t="str">
        <f t="shared" si="8"/>
        <v>[105]</v>
      </c>
      <c r="R70" s="706" t="str">
        <f t="shared" si="9"/>
        <v>[50]</v>
      </c>
    </row>
    <row r="71" spans="2:18" x14ac:dyDescent="0.35">
      <c r="B71" s="319">
        <f t="shared" si="6"/>
        <v>990</v>
      </c>
      <c r="C71" s="319">
        <f>VLOOKUP(B71,游戏时长规划!$C$39:$G$63,MATCH("联赛等级",游戏时长规划!$C$39:$G$39,0),TRUE)</f>
        <v>9</v>
      </c>
      <c r="D71" s="319">
        <f>IF(B71=VLOOKUP(C71,游戏时长规划!$B$39:$C$63,2,FALSE),C71-1,C71)</f>
        <v>9</v>
      </c>
      <c r="E71" s="319">
        <f>VLOOKUP(D71,游戏时长规划!$B$12:$R$36,MATCH(E$34,游戏时长规划!$B$12:$R$12,0),FALSE)</f>
        <v>1080</v>
      </c>
      <c r="F71" s="319">
        <f t="shared" si="10"/>
        <v>45</v>
      </c>
      <c r="G71" s="319">
        <f t="shared" si="3"/>
        <v>4</v>
      </c>
      <c r="H71" s="319">
        <f>F71/VLOOKUP(D71,游戏时长规划!$B$12:$R$36,4,FALSE)/游戏时长规划!$C$5</f>
        <v>45</v>
      </c>
      <c r="I71" s="319">
        <f>SUM(H$35:H71)</f>
        <v>797</v>
      </c>
      <c r="J71" s="534">
        <f>H71/游戏时长规划!$C$4</f>
        <v>3</v>
      </c>
      <c r="K71" s="534">
        <f>I71/游戏时长规划!$C$4</f>
        <v>53.133333333333333</v>
      </c>
      <c r="L71" s="534">
        <f t="shared" si="7"/>
        <v>465</v>
      </c>
      <c r="M71" s="552">
        <f t="shared" si="4"/>
        <v>100</v>
      </c>
      <c r="N71" s="535" t="s">
        <v>2473</v>
      </c>
      <c r="O71" s="228">
        <v>1</v>
      </c>
      <c r="P71" s="607">
        <f t="shared" si="5"/>
        <v>23009</v>
      </c>
      <c r="Q71" s="706" t="str">
        <f t="shared" si="8"/>
        <v>[23009]</v>
      </c>
      <c r="R71" s="706" t="str">
        <f t="shared" si="9"/>
        <v>[1]</v>
      </c>
    </row>
    <row r="72" spans="2:18" x14ac:dyDescent="0.35">
      <c r="B72" s="319">
        <f t="shared" si="6"/>
        <v>1035</v>
      </c>
      <c r="C72" s="319">
        <f>VLOOKUP(B72,游戏时长规划!$C$39:$G$63,MATCH("联赛等级",游戏时长规划!$C$39:$G$39,0),TRUE)</f>
        <v>9</v>
      </c>
      <c r="D72" s="319">
        <f>IF(B72=VLOOKUP(C72,游戏时长规划!$B$39:$C$63,2,FALSE),C72-1,C72)</f>
        <v>9</v>
      </c>
      <c r="E72" s="319">
        <f>VLOOKUP(D72,游戏时长规划!$B$12:$R$36,MATCH(E$34,游戏时长规划!$B$12:$R$12,0),FALSE)</f>
        <v>1080</v>
      </c>
      <c r="F72" s="319">
        <f t="shared" si="10"/>
        <v>45</v>
      </c>
      <c r="G72" s="319">
        <f t="shared" si="3"/>
        <v>4</v>
      </c>
      <c r="H72" s="319">
        <f>F72/VLOOKUP(D72,游戏时长规划!$B$12:$R$36,4,FALSE)/游戏时长规划!$C$5</f>
        <v>45</v>
      </c>
      <c r="I72" s="319">
        <f>SUM(H$35:H72)</f>
        <v>842</v>
      </c>
      <c r="J72" s="534">
        <f>H72/游戏时长规划!$C$4</f>
        <v>3</v>
      </c>
      <c r="K72" s="534">
        <f>I72/游戏时长规划!$C$4</f>
        <v>56.133333333333333</v>
      </c>
      <c r="L72" s="534">
        <f t="shared" si="7"/>
        <v>465</v>
      </c>
      <c r="M72" s="552">
        <f t="shared" si="4"/>
        <v>250</v>
      </c>
      <c r="N72" s="535" t="s">
        <v>1463</v>
      </c>
      <c r="O72" s="228">
        <v>250</v>
      </c>
      <c r="P72" s="607">
        <f t="shared" si="5"/>
        <v>101</v>
      </c>
      <c r="Q72" s="706" t="str">
        <f t="shared" si="8"/>
        <v>[101]</v>
      </c>
      <c r="R72" s="706" t="str">
        <f t="shared" si="9"/>
        <v>[250]</v>
      </c>
    </row>
    <row r="73" spans="2:18" x14ac:dyDescent="0.35">
      <c r="B73" s="319">
        <f t="shared" si="6"/>
        <v>1080</v>
      </c>
      <c r="C73" s="319">
        <f>VLOOKUP(B73,游戏时长规划!$C$39:$G$63,MATCH("联赛等级",游戏时长规划!$C$39:$G$39,0),TRUE)</f>
        <v>10</v>
      </c>
      <c r="D73" s="319">
        <f>IF(B73=VLOOKUP(C73,游戏时长规划!$B$39:$C$63,2,FALSE),C73-1,C73)</f>
        <v>9</v>
      </c>
      <c r="E73" s="319">
        <f>VLOOKUP(D73,游戏时长规划!$B$12:$R$36,MATCH(E$34,游戏时长规划!$B$12:$R$12,0),FALSE)</f>
        <v>1080</v>
      </c>
      <c r="F73" s="319">
        <f t="shared" si="10"/>
        <v>45</v>
      </c>
      <c r="G73" s="319">
        <f t="shared" si="3"/>
        <v>4</v>
      </c>
      <c r="H73" s="319">
        <f>F73/VLOOKUP(D73,游戏时长规划!$B$12:$R$36,4,FALSE)/游戏时长规划!$C$5</f>
        <v>45</v>
      </c>
      <c r="I73" s="319">
        <f>SUM(H$35:H73)</f>
        <v>887</v>
      </c>
      <c r="J73" s="534">
        <f>H73/游戏时长规划!$C$4</f>
        <v>3</v>
      </c>
      <c r="K73" s="534">
        <f>I73/游戏时长规划!$C$4</f>
        <v>59.133333333333333</v>
      </c>
      <c r="L73" s="534">
        <f t="shared" si="7"/>
        <v>465</v>
      </c>
      <c r="M73" s="552">
        <f t="shared" si="4"/>
        <v>600</v>
      </c>
      <c r="N73" s="623" t="s">
        <v>2973</v>
      </c>
      <c r="O73" s="228">
        <v>1</v>
      </c>
      <c r="P73" s="607">
        <f t="shared" si="5"/>
        <v>25159</v>
      </c>
      <c r="Q73" s="706" t="str">
        <f t="shared" si="8"/>
        <v>[25159]</v>
      </c>
      <c r="R73" s="706" t="str">
        <f t="shared" si="9"/>
        <v>[1]</v>
      </c>
    </row>
    <row r="74" spans="2:18" x14ac:dyDescent="0.35">
      <c r="B74" s="319">
        <f t="shared" si="6"/>
        <v>1140</v>
      </c>
      <c r="C74" s="319">
        <f>VLOOKUP(B74,游戏时长规划!$C$39:$G$63,MATCH("联赛等级",游戏时长规划!$C$39:$G$39,0),TRUE)</f>
        <v>10</v>
      </c>
      <c r="D74" s="319">
        <f>IF(B74=VLOOKUP(C74,游戏时长规划!$B$39:$C$63,2,FALSE),C74-1,C74)</f>
        <v>10</v>
      </c>
      <c r="E74" s="319">
        <f>VLOOKUP(D74,游戏时长规划!$B$12:$R$36,MATCH(E$34,游戏时长规划!$B$12:$R$12,0),FALSE)</f>
        <v>1320</v>
      </c>
      <c r="F74" s="319">
        <f t="shared" si="10"/>
        <v>60</v>
      </c>
      <c r="G74" s="319">
        <f t="shared" si="3"/>
        <v>4</v>
      </c>
      <c r="H74" s="319">
        <f>F74/VLOOKUP(D74,游戏时长规划!$B$12:$R$36,4,FALSE)/游戏时长规划!$C$5</f>
        <v>60</v>
      </c>
      <c r="I74" s="319">
        <f>SUM(H$35:H74)</f>
        <v>947</v>
      </c>
      <c r="J74" s="534">
        <f>H74/游戏时长规划!$C$4</f>
        <v>4</v>
      </c>
      <c r="K74" s="534">
        <f>I74/游戏时长规划!$C$4</f>
        <v>63.133333333333333</v>
      </c>
      <c r="L74" s="534">
        <f t="shared" si="7"/>
        <v>620</v>
      </c>
      <c r="M74" s="552">
        <f t="shared" si="4"/>
        <v>450</v>
      </c>
      <c r="N74" s="551" t="s">
        <v>2891</v>
      </c>
      <c r="O74" s="228">
        <v>600</v>
      </c>
      <c r="P74" s="607">
        <f t="shared" si="5"/>
        <v>111</v>
      </c>
      <c r="Q74" s="706" t="str">
        <f t="shared" si="8"/>
        <v>[111]</v>
      </c>
      <c r="R74" s="706" t="str">
        <f t="shared" si="9"/>
        <v>[600]</v>
      </c>
    </row>
    <row r="75" spans="2:18" x14ac:dyDescent="0.35">
      <c r="B75" s="319">
        <f t="shared" si="6"/>
        <v>1200</v>
      </c>
      <c r="C75" s="319">
        <f>VLOOKUP(B75,游戏时长规划!$C$39:$G$63,MATCH("联赛等级",游戏时长规划!$C$39:$G$39,0),TRUE)</f>
        <v>10</v>
      </c>
      <c r="D75" s="319">
        <f>IF(B75=VLOOKUP(C75,游戏时长规划!$B$39:$C$63,2,FALSE),C75-1,C75)</f>
        <v>10</v>
      </c>
      <c r="E75" s="319">
        <f>VLOOKUP(D75,游戏时长规划!$B$12:$R$36,MATCH(E$34,游戏时长规划!$B$12:$R$12,0),FALSE)</f>
        <v>1320</v>
      </c>
      <c r="F75" s="319">
        <f t="shared" si="10"/>
        <v>60</v>
      </c>
      <c r="G75" s="319">
        <f t="shared" si="3"/>
        <v>4</v>
      </c>
      <c r="H75" s="319">
        <f>F75/VLOOKUP(D75,游戏时长规划!$B$12:$R$36,4,FALSE)/游戏时长规划!$C$5</f>
        <v>60</v>
      </c>
      <c r="I75" s="319">
        <f>SUM(H$35:H75)</f>
        <v>1007</v>
      </c>
      <c r="J75" s="534">
        <f>H75/游戏时长规划!$C$4</f>
        <v>4</v>
      </c>
      <c r="K75" s="534">
        <f>I75/游戏时长规划!$C$4</f>
        <v>67.13333333333334</v>
      </c>
      <c r="L75" s="534">
        <f t="shared" si="7"/>
        <v>620</v>
      </c>
      <c r="M75" s="552">
        <f t="shared" si="4"/>
        <v>100</v>
      </c>
      <c r="N75" s="535" t="s">
        <v>2484</v>
      </c>
      <c r="O75" s="228">
        <v>1</v>
      </c>
      <c r="P75" s="607">
        <f t="shared" si="5"/>
        <v>24010</v>
      </c>
      <c r="Q75" s="706" t="str">
        <f t="shared" si="8"/>
        <v>[24010]</v>
      </c>
      <c r="R75" s="706" t="str">
        <f t="shared" si="9"/>
        <v>[1]</v>
      </c>
    </row>
    <row r="76" spans="2:18" x14ac:dyDescent="0.35">
      <c r="B76" s="319">
        <f t="shared" si="6"/>
        <v>1260</v>
      </c>
      <c r="C76" s="319">
        <f>VLOOKUP(B76,游戏时长规划!$C$39:$G$63,MATCH("联赛等级",游戏时长规划!$C$39:$G$39,0),TRUE)</f>
        <v>10</v>
      </c>
      <c r="D76" s="319">
        <f>IF(B76=VLOOKUP(C76,游戏时长规划!$B$39:$C$63,2,FALSE),C76-1,C76)</f>
        <v>10</v>
      </c>
      <c r="E76" s="319">
        <f>VLOOKUP(D76,游戏时长规划!$B$12:$R$36,MATCH(E$34,游戏时长规划!$B$12:$R$12,0),FALSE)</f>
        <v>1320</v>
      </c>
      <c r="F76" s="319">
        <f t="shared" si="10"/>
        <v>60</v>
      </c>
      <c r="G76" s="319">
        <f t="shared" si="3"/>
        <v>4</v>
      </c>
      <c r="H76" s="319">
        <f>F76/VLOOKUP(D76,游戏时长规划!$B$12:$R$36,4,FALSE)/游戏时长规划!$C$5</f>
        <v>60</v>
      </c>
      <c r="I76" s="319">
        <f>SUM(H$35:H76)</f>
        <v>1067</v>
      </c>
      <c r="J76" s="534">
        <f>H76/游戏时长规划!$C$4</f>
        <v>4</v>
      </c>
      <c r="K76" s="534">
        <f>I76/游戏时长规划!$C$4</f>
        <v>71.13333333333334</v>
      </c>
      <c r="L76" s="534">
        <f t="shared" si="7"/>
        <v>620</v>
      </c>
      <c r="M76" s="552">
        <f t="shared" si="4"/>
        <v>360</v>
      </c>
      <c r="N76" s="551" t="s">
        <v>2783</v>
      </c>
      <c r="O76" s="228">
        <v>6</v>
      </c>
      <c r="P76" s="607">
        <f t="shared" si="5"/>
        <v>100302</v>
      </c>
      <c r="Q76" s="706" t="str">
        <f t="shared" si="8"/>
        <v>[100302]</v>
      </c>
      <c r="R76" s="706" t="str">
        <f t="shared" si="9"/>
        <v>[6]</v>
      </c>
    </row>
    <row r="77" spans="2:18" x14ac:dyDescent="0.35">
      <c r="B77" s="319">
        <f t="shared" si="6"/>
        <v>1320</v>
      </c>
      <c r="C77" s="319">
        <f>VLOOKUP(B77,游戏时长规划!$C$39:$G$63,MATCH("联赛等级",游戏时长规划!$C$39:$G$39,0),TRUE)</f>
        <v>11</v>
      </c>
      <c r="D77" s="319">
        <f>IF(B77=VLOOKUP(C77,游戏时长规划!$B$39:$C$63,2,FALSE),C77-1,C77)</f>
        <v>10</v>
      </c>
      <c r="E77" s="319">
        <f>VLOOKUP(D77,游戏时长规划!$B$12:$R$36,MATCH(E$34,游戏时长规划!$B$12:$R$12,0),FALSE)</f>
        <v>1320</v>
      </c>
      <c r="F77" s="319">
        <f t="shared" si="10"/>
        <v>60</v>
      </c>
      <c r="G77" s="319">
        <f t="shared" si="3"/>
        <v>4</v>
      </c>
      <c r="H77" s="319">
        <f>F77/VLOOKUP(D77,游戏时长规划!$B$12:$R$36,4,FALSE)/游戏时长规划!$C$5</f>
        <v>60</v>
      </c>
      <c r="I77" s="319">
        <f>SUM(H$35:H77)</f>
        <v>1127</v>
      </c>
      <c r="J77" s="534">
        <f>H77/游戏时长规划!$C$4</f>
        <v>4</v>
      </c>
      <c r="K77" s="534">
        <f>I77/游戏时长规划!$C$4</f>
        <v>75.13333333333334</v>
      </c>
      <c r="L77" s="534">
        <f t="shared" si="7"/>
        <v>620</v>
      </c>
      <c r="M77" s="552">
        <f t="shared" si="4"/>
        <v>600</v>
      </c>
      <c r="N77" s="623" t="s">
        <v>2974</v>
      </c>
      <c r="O77" s="228">
        <v>1</v>
      </c>
      <c r="P77" s="607">
        <f t="shared" si="5"/>
        <v>25160</v>
      </c>
      <c r="Q77" s="706" t="str">
        <f t="shared" si="8"/>
        <v>[25160]</v>
      </c>
      <c r="R77" s="706" t="str">
        <f t="shared" si="9"/>
        <v>[1]</v>
      </c>
    </row>
    <row r="78" spans="2:18" x14ac:dyDescent="0.35">
      <c r="B78" s="319">
        <f t="shared" si="6"/>
        <v>1380</v>
      </c>
      <c r="C78" s="319">
        <f>VLOOKUP(B78,游戏时长规划!$C$39:$G$63,MATCH("联赛等级",游戏时长规划!$C$39:$G$39,0),TRUE)</f>
        <v>11</v>
      </c>
      <c r="D78" s="319">
        <f>IF(B78=VLOOKUP(C78,游戏时长规划!$B$39:$C$63,2,FALSE),C78-1,C78)</f>
        <v>11</v>
      </c>
      <c r="E78" s="319">
        <f>VLOOKUP(D78,游戏时长规划!$B$12:$R$36,MATCH(E$34,游戏时长规划!$B$12:$R$12,0),FALSE)</f>
        <v>1560</v>
      </c>
      <c r="F78" s="319">
        <f t="shared" si="10"/>
        <v>60</v>
      </c>
      <c r="G78" s="319">
        <f t="shared" si="3"/>
        <v>4</v>
      </c>
      <c r="H78" s="319">
        <f>F78/VLOOKUP(D78,游戏时长规划!$B$12:$R$36,4,FALSE)/游戏时长规划!$C$5</f>
        <v>60</v>
      </c>
      <c r="I78" s="319">
        <f>SUM(H$35:H78)</f>
        <v>1187</v>
      </c>
      <c r="J78" s="534">
        <f>H78/游戏时长规划!$C$4</f>
        <v>4</v>
      </c>
      <c r="K78" s="534">
        <f>I78/游戏时长规划!$C$4</f>
        <v>79.13333333333334</v>
      </c>
      <c r="L78" s="534">
        <f t="shared" si="7"/>
        <v>620</v>
      </c>
      <c r="M78" s="552">
        <f t="shared" si="4"/>
        <v>62.5</v>
      </c>
      <c r="N78" s="535" t="s">
        <v>1467</v>
      </c>
      <c r="O78" s="228">
        <v>50</v>
      </c>
      <c r="P78" s="607">
        <f t="shared" si="5"/>
        <v>105</v>
      </c>
      <c r="Q78" s="706" t="str">
        <f t="shared" si="8"/>
        <v>[105]</v>
      </c>
      <c r="R78" s="706" t="str">
        <f t="shared" si="9"/>
        <v>[50]</v>
      </c>
    </row>
    <row r="79" spans="2:18" x14ac:dyDescent="0.35">
      <c r="B79" s="319">
        <f t="shared" si="6"/>
        <v>1440</v>
      </c>
      <c r="C79" s="319">
        <f>VLOOKUP(B79,游戏时长规划!$C$39:$G$63,MATCH("联赛等级",游戏时长规划!$C$39:$G$39,0),TRUE)</f>
        <v>11</v>
      </c>
      <c r="D79" s="319">
        <f>IF(B79=VLOOKUP(C79,游戏时长规划!$B$39:$C$63,2,FALSE),C79-1,C79)</f>
        <v>11</v>
      </c>
      <c r="E79" s="319">
        <f>VLOOKUP(D79,游戏时长规划!$B$12:$R$36,MATCH(E$34,游戏时长规划!$B$12:$R$12,0),FALSE)</f>
        <v>1560</v>
      </c>
      <c r="F79" s="319">
        <f t="shared" si="10"/>
        <v>60</v>
      </c>
      <c r="G79" s="319">
        <f t="shared" si="3"/>
        <v>4</v>
      </c>
      <c r="H79" s="319">
        <f>F79/VLOOKUP(D79,游戏时长规划!$B$12:$R$36,4,FALSE)/游戏时长规划!$C$5</f>
        <v>60</v>
      </c>
      <c r="I79" s="319">
        <f>SUM(H$35:H79)</f>
        <v>1247</v>
      </c>
      <c r="J79" s="534">
        <f>H79/游戏时长规划!$C$4</f>
        <v>4</v>
      </c>
      <c r="K79" s="534">
        <f>I79/游戏时长规划!$C$4</f>
        <v>83.13333333333334</v>
      </c>
      <c r="L79" s="534">
        <f t="shared" si="7"/>
        <v>620</v>
      </c>
      <c r="M79" s="552">
        <f t="shared" si="4"/>
        <v>100</v>
      </c>
      <c r="N79" s="551" t="s">
        <v>2474</v>
      </c>
      <c r="O79" s="228">
        <v>1</v>
      </c>
      <c r="P79" s="607">
        <f t="shared" si="5"/>
        <v>23010</v>
      </c>
      <c r="Q79" s="706" t="str">
        <f t="shared" si="8"/>
        <v>[23010]</v>
      </c>
      <c r="R79" s="706" t="str">
        <f t="shared" si="9"/>
        <v>[1]</v>
      </c>
    </row>
    <row r="80" spans="2:18" x14ac:dyDescent="0.35">
      <c r="B80" s="319">
        <f t="shared" si="6"/>
        <v>1500</v>
      </c>
      <c r="C80" s="319">
        <f>VLOOKUP(B80,游戏时长规划!$C$39:$G$63,MATCH("联赛等级",游戏时长规划!$C$39:$G$39,0),TRUE)</f>
        <v>11</v>
      </c>
      <c r="D80" s="319">
        <f>IF(B80=VLOOKUP(C80,游戏时长规划!$B$39:$C$63,2,FALSE),C80-1,C80)</f>
        <v>11</v>
      </c>
      <c r="E80" s="319">
        <f>VLOOKUP(D80,游戏时长规划!$B$12:$R$36,MATCH(E$34,游戏时长规划!$B$12:$R$12,0),FALSE)</f>
        <v>1560</v>
      </c>
      <c r="F80" s="319">
        <f t="shared" si="10"/>
        <v>60</v>
      </c>
      <c r="G80" s="319">
        <f t="shared" si="3"/>
        <v>4</v>
      </c>
      <c r="H80" s="319">
        <f>F80/VLOOKUP(D80,游戏时长规划!$B$12:$R$36,4,FALSE)/游戏时长规划!$C$5</f>
        <v>60</v>
      </c>
      <c r="I80" s="319">
        <f>SUM(H$35:H80)</f>
        <v>1307</v>
      </c>
      <c r="J80" s="534">
        <f>H80/游戏时长规划!$C$4</f>
        <v>4</v>
      </c>
      <c r="K80" s="534">
        <f>I80/游戏时长规划!$C$4</f>
        <v>87.13333333333334</v>
      </c>
      <c r="L80" s="534">
        <f t="shared" si="7"/>
        <v>620</v>
      </c>
      <c r="M80" s="552">
        <f t="shared" si="4"/>
        <v>300</v>
      </c>
      <c r="N80" s="551" t="s">
        <v>1463</v>
      </c>
      <c r="O80" s="228">
        <v>300</v>
      </c>
      <c r="P80" s="607">
        <f t="shared" si="5"/>
        <v>101</v>
      </c>
      <c r="Q80" s="706" t="str">
        <f t="shared" si="8"/>
        <v>[101]</v>
      </c>
      <c r="R80" s="706" t="str">
        <f t="shared" si="9"/>
        <v>[300]</v>
      </c>
    </row>
    <row r="81" spans="2:18" x14ac:dyDescent="0.35">
      <c r="B81" s="319">
        <f t="shared" si="6"/>
        <v>1560</v>
      </c>
      <c r="C81" s="319">
        <f>VLOOKUP(B81,游戏时长规划!$C$39:$G$63,MATCH("联赛等级",游戏时长规划!$C$39:$G$39,0),TRUE)</f>
        <v>12</v>
      </c>
      <c r="D81" s="319">
        <f>IF(B81=VLOOKUP(C81,游戏时长规划!$B$39:$C$63,2,FALSE),C81-1,C81)</f>
        <v>11</v>
      </c>
      <c r="E81" s="319">
        <f>VLOOKUP(D81,游戏时长规划!$B$12:$R$36,MATCH(E$34,游戏时长规划!$B$12:$R$12,0),FALSE)</f>
        <v>1560</v>
      </c>
      <c r="F81" s="319">
        <f t="shared" si="10"/>
        <v>60</v>
      </c>
      <c r="G81" s="319">
        <f t="shared" si="3"/>
        <v>4</v>
      </c>
      <c r="H81" s="319">
        <f>F81/VLOOKUP(D81,游戏时长规划!$B$12:$R$36,4,FALSE)/游戏时长规划!$C$5</f>
        <v>60</v>
      </c>
      <c r="I81" s="319">
        <f>SUM(H$35:H81)</f>
        <v>1367</v>
      </c>
      <c r="J81" s="534">
        <f>H81/游戏时长规划!$C$4</f>
        <v>4</v>
      </c>
      <c r="K81" s="534">
        <f>I81/游戏时长规划!$C$4</f>
        <v>91.13333333333334</v>
      </c>
      <c r="L81" s="534">
        <f t="shared" si="7"/>
        <v>620</v>
      </c>
      <c r="M81" s="552">
        <f t="shared" si="4"/>
        <v>2000</v>
      </c>
      <c r="N81" s="623" t="s">
        <v>2976</v>
      </c>
      <c r="O81" s="228">
        <v>1</v>
      </c>
      <c r="P81" s="607">
        <f t="shared" si="5"/>
        <v>25260</v>
      </c>
      <c r="Q81" s="706" t="str">
        <f t="shared" si="8"/>
        <v>[25260]</v>
      </c>
      <c r="R81" s="706" t="str">
        <f t="shared" si="9"/>
        <v>[1]</v>
      </c>
    </row>
    <row r="83" spans="2:18" x14ac:dyDescent="0.35">
      <c r="L83" s="688" t="s">
        <v>3419</v>
      </c>
    </row>
    <row r="84" spans="2:18" x14ac:dyDescent="0.35">
      <c r="B84" s="529" t="s">
        <v>2375</v>
      </c>
      <c r="C84" s="529" t="s">
        <v>2376</v>
      </c>
      <c r="D84" s="529" t="s">
        <v>2377</v>
      </c>
      <c r="E84" s="529" t="s">
        <v>2378</v>
      </c>
      <c r="F84" s="529" t="s">
        <v>2379</v>
      </c>
      <c r="G84" s="529" t="s">
        <v>2368</v>
      </c>
      <c r="H84" s="529" t="s">
        <v>2398</v>
      </c>
      <c r="I84" s="529" t="s">
        <v>2400</v>
      </c>
      <c r="J84" s="529" t="s">
        <v>2401</v>
      </c>
      <c r="K84" s="550" t="s">
        <v>2531</v>
      </c>
      <c r="L84" s="708" t="s">
        <v>3351</v>
      </c>
    </row>
    <row r="85" spans="2:18" x14ac:dyDescent="0.35">
      <c r="B85" s="319">
        <v>1</v>
      </c>
      <c r="C85" s="319">
        <f>游戏时长规划!V13</f>
        <v>0</v>
      </c>
      <c r="D85" s="319">
        <f>SUM(C$85:C85)</f>
        <v>0</v>
      </c>
      <c r="E85" s="534">
        <f>C85/基础经济系数!$C$5</f>
        <v>0</v>
      </c>
      <c r="F85" s="534">
        <f>D85/基础经济系数!$C$5</f>
        <v>0</v>
      </c>
      <c r="G85" s="319">
        <f>E85*$C$5</f>
        <v>0</v>
      </c>
      <c r="H85" s="529" t="s">
        <v>2399</v>
      </c>
      <c r="I85" s="608">
        <v>0</v>
      </c>
      <c r="J85" s="544">
        <v>0</v>
      </c>
      <c r="K85" s="543">
        <v>0</v>
      </c>
      <c r="L85" s="706"/>
    </row>
    <row r="86" spans="2:18" x14ac:dyDescent="0.35">
      <c r="B86" s="319">
        <v>2</v>
      </c>
      <c r="C86" s="319">
        <f>游戏时长规划!V14</f>
        <v>1</v>
      </c>
      <c r="D86" s="319">
        <f>SUM(C$85:C86)</f>
        <v>1</v>
      </c>
      <c r="E86" s="534">
        <f>C86/基础经济系数!$C$5</f>
        <v>0.05</v>
      </c>
      <c r="F86" s="534">
        <f>D86/基础经济系数!$C$5</f>
        <v>0.05</v>
      </c>
      <c r="G86" s="319">
        <f t="shared" ref="G86:G114" si="11">E86*$C$5</f>
        <v>1.75</v>
      </c>
      <c r="H86" s="529" t="s">
        <v>1467</v>
      </c>
      <c r="I86" s="608">
        <f>J86*VLOOKUP(H86,$T$34:$U$63,2,FALSE)</f>
        <v>37.5</v>
      </c>
      <c r="J86" s="228">
        <v>30</v>
      </c>
      <c r="K86" s="607">
        <f t="shared" ref="K86:K114" si="12">VLOOKUP(H86,道具ID,2,FALSE)</f>
        <v>105</v>
      </c>
      <c r="L86" s="706" t="str">
        <f>"["&amp;K86&amp;","&amp;J86&amp;"]"</f>
        <v>[105,30]</v>
      </c>
      <c r="N86" s="611"/>
    </row>
    <row r="87" spans="2:18" x14ac:dyDescent="0.35">
      <c r="B87" s="319">
        <v>3</v>
      </c>
      <c r="C87" s="319">
        <f>游戏时长规划!V15</f>
        <v>1</v>
      </c>
      <c r="D87" s="319">
        <f>SUM(C$85:C87)</f>
        <v>2</v>
      </c>
      <c r="E87" s="534">
        <f>C87/基础经济系数!$C$5</f>
        <v>0.05</v>
      </c>
      <c r="F87" s="534">
        <f>D87/基础经济系数!$C$5</f>
        <v>0.1</v>
      </c>
      <c r="G87" s="319">
        <f t="shared" si="11"/>
        <v>1.75</v>
      </c>
      <c r="H87" s="529" t="s">
        <v>1464</v>
      </c>
      <c r="I87" s="608">
        <f t="shared" ref="I87:I114" si="13">J87*VLOOKUP(H87,$T$34:$U$63,2,FALSE)</f>
        <v>7.5</v>
      </c>
      <c r="J87" s="228">
        <v>3000</v>
      </c>
      <c r="K87" s="607">
        <f t="shared" si="12"/>
        <v>102</v>
      </c>
      <c r="L87" s="706" t="str">
        <f t="shared" ref="L87:L114" si="14">"["&amp;K87&amp;","&amp;J87&amp;"]"</f>
        <v>[102,3000]</v>
      </c>
      <c r="N87" s="611"/>
    </row>
    <row r="88" spans="2:18" x14ac:dyDescent="0.35">
      <c r="B88" s="319">
        <v>4</v>
      </c>
      <c r="C88" s="319">
        <f>游戏时长规划!V16</f>
        <v>1</v>
      </c>
      <c r="D88" s="319">
        <f>SUM(C$85:C88)</f>
        <v>3</v>
      </c>
      <c r="E88" s="534">
        <f>C88/基础经济系数!$C$5</f>
        <v>0.05</v>
      </c>
      <c r="F88" s="534">
        <f>D88/基础经济系数!$C$5</f>
        <v>0.15</v>
      </c>
      <c r="G88" s="319">
        <f t="shared" si="11"/>
        <v>1.75</v>
      </c>
      <c r="H88" s="529" t="s">
        <v>2782</v>
      </c>
      <c r="I88" s="608">
        <f t="shared" si="13"/>
        <v>35</v>
      </c>
      <c r="J88" s="228">
        <v>1</v>
      </c>
      <c r="K88" s="607">
        <f t="shared" si="12"/>
        <v>100301</v>
      </c>
      <c r="L88" s="706" t="str">
        <f t="shared" si="14"/>
        <v>[100301,1]</v>
      </c>
      <c r="N88" s="611"/>
    </row>
    <row r="89" spans="2:18" x14ac:dyDescent="0.35">
      <c r="B89" s="319">
        <v>5</v>
      </c>
      <c r="C89" s="319">
        <f>游戏时长规划!V17</f>
        <v>2</v>
      </c>
      <c r="D89" s="319">
        <f>SUM(C$85:C89)</f>
        <v>5</v>
      </c>
      <c r="E89" s="534">
        <f>C89/基础经济系数!$C$5</f>
        <v>0.1</v>
      </c>
      <c r="F89" s="534">
        <f>D89/基础经济系数!$C$5</f>
        <v>0.25</v>
      </c>
      <c r="G89" s="319">
        <f t="shared" si="11"/>
        <v>3.5</v>
      </c>
      <c r="H89" s="529" t="s">
        <v>1463</v>
      </c>
      <c r="I89" s="608">
        <f t="shared" si="13"/>
        <v>20</v>
      </c>
      <c r="J89" s="228">
        <v>20</v>
      </c>
      <c r="K89" s="607">
        <f t="shared" si="12"/>
        <v>101</v>
      </c>
      <c r="L89" s="706" t="str">
        <f t="shared" si="14"/>
        <v>[101,20]</v>
      </c>
      <c r="N89" s="611"/>
    </row>
    <row r="90" spans="2:18" x14ac:dyDescent="0.35">
      <c r="B90" s="319">
        <v>6</v>
      </c>
      <c r="C90" s="319">
        <f>游戏时长规划!V18</f>
        <v>2</v>
      </c>
      <c r="D90" s="319">
        <f>SUM(C$85:C90)</f>
        <v>7</v>
      </c>
      <c r="E90" s="534">
        <f>C90/基础经济系数!$C$5</f>
        <v>0.1</v>
      </c>
      <c r="F90" s="534">
        <f>D90/基础经济系数!$C$5</f>
        <v>0.35</v>
      </c>
      <c r="G90" s="319">
        <f t="shared" si="11"/>
        <v>3.5</v>
      </c>
      <c r="H90" s="529" t="s">
        <v>2891</v>
      </c>
      <c r="I90" s="608">
        <f t="shared" si="13"/>
        <v>150</v>
      </c>
      <c r="J90" s="228">
        <v>200</v>
      </c>
      <c r="K90" s="607">
        <f t="shared" si="12"/>
        <v>111</v>
      </c>
      <c r="L90" s="706" t="str">
        <f t="shared" si="14"/>
        <v>[111,200]</v>
      </c>
      <c r="N90" s="611"/>
    </row>
    <row r="91" spans="2:18" x14ac:dyDescent="0.35">
      <c r="B91" s="319">
        <v>7</v>
      </c>
      <c r="C91" s="319">
        <f>游戏时长规划!V19</f>
        <v>2</v>
      </c>
      <c r="D91" s="319">
        <f>SUM(C$85:C91)</f>
        <v>9</v>
      </c>
      <c r="E91" s="534">
        <f>C91/基础经济系数!$C$5</f>
        <v>0.1</v>
      </c>
      <c r="F91" s="534">
        <f>D91/基础经济系数!$C$5</f>
        <v>0.45</v>
      </c>
      <c r="G91" s="319">
        <f t="shared" si="11"/>
        <v>3.5</v>
      </c>
      <c r="H91" s="529" t="s">
        <v>1464</v>
      </c>
      <c r="I91" s="608">
        <f t="shared" si="13"/>
        <v>15</v>
      </c>
      <c r="J91" s="228">
        <v>6000</v>
      </c>
      <c r="K91" s="607">
        <f t="shared" si="12"/>
        <v>102</v>
      </c>
      <c r="L91" s="706" t="str">
        <f t="shared" si="14"/>
        <v>[102,6000]</v>
      </c>
      <c r="N91" s="611"/>
    </row>
    <row r="92" spans="2:18" x14ac:dyDescent="0.35">
      <c r="B92" s="319">
        <v>8</v>
      </c>
      <c r="C92" s="319">
        <f>游戏时长规划!V20</f>
        <v>2</v>
      </c>
      <c r="D92" s="319">
        <f>SUM(C$85:C92)</f>
        <v>11</v>
      </c>
      <c r="E92" s="534">
        <f>C92/基础经济系数!$C$5</f>
        <v>0.1</v>
      </c>
      <c r="F92" s="534">
        <f>D92/基础经济系数!$C$5</f>
        <v>0.55000000000000004</v>
      </c>
      <c r="G92" s="319">
        <f t="shared" si="11"/>
        <v>3.5</v>
      </c>
      <c r="H92" s="529" t="s">
        <v>2782</v>
      </c>
      <c r="I92" s="608">
        <f t="shared" si="13"/>
        <v>35</v>
      </c>
      <c r="J92" s="228">
        <v>1</v>
      </c>
      <c r="K92" s="607">
        <f t="shared" si="12"/>
        <v>100301</v>
      </c>
      <c r="L92" s="706" t="str">
        <f t="shared" si="14"/>
        <v>[100301,1]</v>
      </c>
      <c r="N92" s="611"/>
    </row>
    <row r="93" spans="2:18" x14ac:dyDescent="0.35">
      <c r="B93" s="319">
        <v>9</v>
      </c>
      <c r="C93" s="319">
        <f>游戏时长规划!V21</f>
        <v>3</v>
      </c>
      <c r="D93" s="319">
        <f>SUM(C$85:C93)</f>
        <v>14</v>
      </c>
      <c r="E93" s="534">
        <f>C93/基础经济系数!$C$5</f>
        <v>0.15</v>
      </c>
      <c r="F93" s="534">
        <f>D93/基础经济系数!$C$5</f>
        <v>0.7</v>
      </c>
      <c r="G93" s="319">
        <f t="shared" si="11"/>
        <v>5.25</v>
      </c>
      <c r="H93" s="529" t="s">
        <v>1463</v>
      </c>
      <c r="I93" s="608">
        <f t="shared" si="13"/>
        <v>40</v>
      </c>
      <c r="J93" s="228">
        <v>40</v>
      </c>
      <c r="K93" s="607">
        <f t="shared" si="12"/>
        <v>101</v>
      </c>
      <c r="L93" s="706" t="str">
        <f t="shared" si="14"/>
        <v>[101,40]</v>
      </c>
      <c r="N93" s="611"/>
    </row>
    <row r="94" spans="2:18" x14ac:dyDescent="0.35">
      <c r="B94" s="319">
        <v>10</v>
      </c>
      <c r="C94" s="319">
        <f>游戏时长规划!V22</f>
        <v>4</v>
      </c>
      <c r="D94" s="319">
        <f>SUM(C$85:C94)</f>
        <v>18</v>
      </c>
      <c r="E94" s="534">
        <f>C94/基础经济系数!$C$5</f>
        <v>0.2</v>
      </c>
      <c r="F94" s="534">
        <f>D94/基础经济系数!$C$5</f>
        <v>0.9</v>
      </c>
      <c r="G94" s="319">
        <f t="shared" si="11"/>
        <v>7</v>
      </c>
      <c r="H94" s="529" t="s">
        <v>1467</v>
      </c>
      <c r="I94" s="608">
        <f t="shared" si="13"/>
        <v>37.5</v>
      </c>
      <c r="J94" s="228">
        <v>30</v>
      </c>
      <c r="K94" s="607">
        <f t="shared" si="12"/>
        <v>105</v>
      </c>
      <c r="L94" s="706" t="str">
        <f t="shared" si="14"/>
        <v>[105,30]</v>
      </c>
      <c r="N94" s="611"/>
    </row>
    <row r="95" spans="2:18" x14ac:dyDescent="0.35">
      <c r="B95" s="319">
        <v>11</v>
      </c>
      <c r="C95" s="319">
        <f>游戏时长规划!V23</f>
        <v>5</v>
      </c>
      <c r="D95" s="319">
        <f>SUM(C$85:C95)</f>
        <v>23</v>
      </c>
      <c r="E95" s="534">
        <f>C95/基础经济系数!$C$5</f>
        <v>0.25</v>
      </c>
      <c r="F95" s="534">
        <f>D95/基础经济系数!$C$5</f>
        <v>1.1499999999999999</v>
      </c>
      <c r="G95" s="319">
        <f t="shared" si="11"/>
        <v>8.75</v>
      </c>
      <c r="H95" s="529" t="s">
        <v>1464</v>
      </c>
      <c r="I95" s="608">
        <f t="shared" si="13"/>
        <v>25</v>
      </c>
      <c r="J95" s="228">
        <v>10000</v>
      </c>
      <c r="K95" s="607">
        <f t="shared" si="12"/>
        <v>102</v>
      </c>
      <c r="L95" s="706" t="str">
        <f t="shared" si="14"/>
        <v>[102,10000]</v>
      </c>
      <c r="N95" s="611"/>
    </row>
    <row r="96" spans="2:18" x14ac:dyDescent="0.35">
      <c r="B96" s="319">
        <v>12</v>
      </c>
      <c r="C96" s="319">
        <f>游戏时长规划!V24</f>
        <v>6</v>
      </c>
      <c r="D96" s="319">
        <f>SUM(C$85:C96)</f>
        <v>29</v>
      </c>
      <c r="E96" s="534">
        <f>C96/基础经济系数!$C$5</f>
        <v>0.3</v>
      </c>
      <c r="F96" s="534">
        <f>D96/基础经济系数!$C$5</f>
        <v>1.45</v>
      </c>
      <c r="G96" s="319">
        <f t="shared" si="11"/>
        <v>10.5</v>
      </c>
      <c r="H96" s="529" t="s">
        <v>2782</v>
      </c>
      <c r="I96" s="608">
        <f t="shared" si="13"/>
        <v>70</v>
      </c>
      <c r="J96" s="228">
        <v>2</v>
      </c>
      <c r="K96" s="607">
        <f t="shared" si="12"/>
        <v>100301</v>
      </c>
      <c r="L96" s="706" t="str">
        <f t="shared" si="14"/>
        <v>[100301,2]</v>
      </c>
      <c r="N96" s="611"/>
    </row>
    <row r="97" spans="2:14" x14ac:dyDescent="0.35">
      <c r="B97" s="319">
        <v>13</v>
      </c>
      <c r="C97" s="319">
        <f>游戏时长规划!V25</f>
        <v>8</v>
      </c>
      <c r="D97" s="319">
        <f>SUM(C$85:C97)</f>
        <v>37</v>
      </c>
      <c r="E97" s="534">
        <f>C97/基础经济系数!$C$5</f>
        <v>0.4</v>
      </c>
      <c r="F97" s="534">
        <f>D97/基础经济系数!$C$5</f>
        <v>1.85</v>
      </c>
      <c r="G97" s="319">
        <f t="shared" si="11"/>
        <v>14</v>
      </c>
      <c r="H97" s="529" t="s">
        <v>1463</v>
      </c>
      <c r="I97" s="608">
        <f t="shared" si="13"/>
        <v>60</v>
      </c>
      <c r="J97" s="228">
        <v>60</v>
      </c>
      <c r="K97" s="607">
        <f t="shared" si="12"/>
        <v>101</v>
      </c>
      <c r="L97" s="706" t="str">
        <f t="shared" si="14"/>
        <v>[101,60]</v>
      </c>
      <c r="N97" s="611"/>
    </row>
    <row r="98" spans="2:14" x14ac:dyDescent="0.35">
      <c r="B98" s="319">
        <v>14</v>
      </c>
      <c r="C98" s="319">
        <f>游戏时长规划!V26</f>
        <v>10</v>
      </c>
      <c r="D98" s="319">
        <f>SUM(C$85:C98)</f>
        <v>47</v>
      </c>
      <c r="E98" s="534">
        <f>C98/基础经济系数!$C$5</f>
        <v>0.5</v>
      </c>
      <c r="F98" s="534">
        <f>D98/基础经济系数!$C$5</f>
        <v>2.35</v>
      </c>
      <c r="G98" s="319">
        <f t="shared" si="11"/>
        <v>17.5</v>
      </c>
      <c r="H98" s="529" t="s">
        <v>2891</v>
      </c>
      <c r="I98" s="608">
        <f t="shared" si="13"/>
        <v>300</v>
      </c>
      <c r="J98" s="228">
        <v>400</v>
      </c>
      <c r="K98" s="607">
        <f t="shared" si="12"/>
        <v>111</v>
      </c>
      <c r="L98" s="706" t="str">
        <f t="shared" si="14"/>
        <v>[111,400]</v>
      </c>
      <c r="N98" s="611"/>
    </row>
    <row r="99" spans="2:14" x14ac:dyDescent="0.35">
      <c r="B99" s="319">
        <v>15</v>
      </c>
      <c r="C99" s="319">
        <f>游戏时长规划!V27</f>
        <v>15</v>
      </c>
      <c r="D99" s="319">
        <f>SUM(C$85:C99)</f>
        <v>62</v>
      </c>
      <c r="E99" s="534">
        <f>C99/基础经济系数!$C$5</f>
        <v>0.75</v>
      </c>
      <c r="F99" s="534">
        <f>D99/基础经济系数!$C$5</f>
        <v>3.1</v>
      </c>
      <c r="G99" s="319">
        <f t="shared" si="11"/>
        <v>26.25</v>
      </c>
      <c r="H99" s="529" t="s">
        <v>1464</v>
      </c>
      <c r="I99" s="608">
        <f t="shared" si="13"/>
        <v>35</v>
      </c>
      <c r="J99" s="228">
        <v>14000</v>
      </c>
      <c r="K99" s="607">
        <f t="shared" si="12"/>
        <v>102</v>
      </c>
      <c r="L99" s="706" t="str">
        <f t="shared" si="14"/>
        <v>[102,14000]</v>
      </c>
      <c r="N99" s="611"/>
    </row>
    <row r="100" spans="2:14" x14ac:dyDescent="0.35">
      <c r="B100" s="319">
        <v>16</v>
      </c>
      <c r="C100" s="319">
        <f>游戏时长规划!V28</f>
        <v>15</v>
      </c>
      <c r="D100" s="319">
        <f>SUM(C$85:C100)</f>
        <v>77</v>
      </c>
      <c r="E100" s="534">
        <f>C100/基础经济系数!$C$5</f>
        <v>0.75</v>
      </c>
      <c r="F100" s="534">
        <f>D100/基础经济系数!$C$5</f>
        <v>3.85</v>
      </c>
      <c r="G100" s="319">
        <f t="shared" si="11"/>
        <v>26.25</v>
      </c>
      <c r="H100" s="529" t="s">
        <v>2782</v>
      </c>
      <c r="I100" s="608">
        <f t="shared" si="13"/>
        <v>70</v>
      </c>
      <c r="J100" s="228">
        <v>2</v>
      </c>
      <c r="K100" s="607">
        <f t="shared" si="12"/>
        <v>100301</v>
      </c>
      <c r="L100" s="706" t="str">
        <f t="shared" si="14"/>
        <v>[100301,2]</v>
      </c>
      <c r="N100" s="611"/>
    </row>
    <row r="101" spans="2:14" x14ac:dyDescent="0.35">
      <c r="B101" s="319">
        <v>17</v>
      </c>
      <c r="C101" s="319">
        <f>游戏时长规划!V29</f>
        <v>20</v>
      </c>
      <c r="D101" s="319">
        <f>SUM(C$85:C101)</f>
        <v>97</v>
      </c>
      <c r="E101" s="534">
        <f>C101/基础经济系数!$C$5</f>
        <v>1</v>
      </c>
      <c r="F101" s="534">
        <f>D101/基础经济系数!$C$5</f>
        <v>4.8499999999999996</v>
      </c>
      <c r="G101" s="319">
        <f t="shared" si="11"/>
        <v>35</v>
      </c>
      <c r="H101" s="529" t="s">
        <v>1463</v>
      </c>
      <c r="I101" s="608">
        <f t="shared" si="13"/>
        <v>80</v>
      </c>
      <c r="J101" s="228">
        <v>80</v>
      </c>
      <c r="K101" s="607">
        <f t="shared" si="12"/>
        <v>101</v>
      </c>
      <c r="L101" s="706" t="str">
        <f t="shared" si="14"/>
        <v>[101,80]</v>
      </c>
      <c r="N101" s="611"/>
    </row>
    <row r="102" spans="2:14" x14ac:dyDescent="0.35">
      <c r="B102" s="319">
        <v>18</v>
      </c>
      <c r="C102" s="319">
        <f>游戏时长规划!V30</f>
        <v>25</v>
      </c>
      <c r="D102" s="319">
        <f>SUM(C$85:C102)</f>
        <v>122</v>
      </c>
      <c r="E102" s="534">
        <f>C102/基础经济系数!$C$5</f>
        <v>1.25</v>
      </c>
      <c r="F102" s="534">
        <f>D102/基础经济系数!$C$5</f>
        <v>6.1</v>
      </c>
      <c r="G102" s="319">
        <f t="shared" si="11"/>
        <v>43.75</v>
      </c>
      <c r="H102" s="529" t="s">
        <v>1467</v>
      </c>
      <c r="I102" s="608">
        <f t="shared" si="13"/>
        <v>37.5</v>
      </c>
      <c r="J102" s="228">
        <v>30</v>
      </c>
      <c r="K102" s="607">
        <f t="shared" si="12"/>
        <v>105</v>
      </c>
      <c r="L102" s="706" t="str">
        <f t="shared" si="14"/>
        <v>[105,30]</v>
      </c>
      <c r="N102" s="611"/>
    </row>
    <row r="103" spans="2:14" x14ac:dyDescent="0.35">
      <c r="B103" s="319">
        <v>19</v>
      </c>
      <c r="C103" s="319">
        <f>游戏时长规划!V31</f>
        <v>30</v>
      </c>
      <c r="D103" s="319">
        <f>SUM(C$85:C103)</f>
        <v>152</v>
      </c>
      <c r="E103" s="534">
        <f>C103/基础经济系数!$C$5</f>
        <v>1.5</v>
      </c>
      <c r="F103" s="534">
        <f>D103/基础经济系数!$C$5</f>
        <v>7.6</v>
      </c>
      <c r="G103" s="319">
        <f t="shared" si="11"/>
        <v>52.5</v>
      </c>
      <c r="H103" s="529" t="s">
        <v>1464</v>
      </c>
      <c r="I103" s="608">
        <f t="shared" si="13"/>
        <v>45</v>
      </c>
      <c r="J103" s="228">
        <v>18000</v>
      </c>
      <c r="K103" s="607">
        <f t="shared" si="12"/>
        <v>102</v>
      </c>
      <c r="L103" s="706" t="str">
        <f t="shared" si="14"/>
        <v>[102,18000]</v>
      </c>
      <c r="N103" s="611"/>
    </row>
    <row r="104" spans="2:14" x14ac:dyDescent="0.35">
      <c r="B104" s="319">
        <v>20</v>
      </c>
      <c r="C104" s="319">
        <f>游戏时长规划!V32</f>
        <v>40</v>
      </c>
      <c r="D104" s="319">
        <f>SUM(C$85:C104)</f>
        <v>192</v>
      </c>
      <c r="E104" s="534">
        <f>C104/基础经济系数!$C$5</f>
        <v>2</v>
      </c>
      <c r="F104" s="534">
        <f>D104/基础经济系数!$C$5</f>
        <v>9.6</v>
      </c>
      <c r="G104" s="319">
        <f t="shared" si="11"/>
        <v>70</v>
      </c>
      <c r="H104" s="529" t="s">
        <v>2782</v>
      </c>
      <c r="I104" s="608">
        <f t="shared" si="13"/>
        <v>105</v>
      </c>
      <c r="J104" s="228">
        <v>3</v>
      </c>
      <c r="K104" s="607">
        <f t="shared" si="12"/>
        <v>100301</v>
      </c>
      <c r="L104" s="706" t="str">
        <f t="shared" si="14"/>
        <v>[100301,3]</v>
      </c>
      <c r="N104" s="611"/>
    </row>
    <row r="105" spans="2:14" x14ac:dyDescent="0.35">
      <c r="B105" s="319">
        <v>21</v>
      </c>
      <c r="C105" s="319">
        <f>游戏时长规划!V33</f>
        <v>50</v>
      </c>
      <c r="D105" s="319">
        <f>SUM(C$85:C105)</f>
        <v>242</v>
      </c>
      <c r="E105" s="534">
        <f>C105/基础经济系数!$C$5</f>
        <v>2.5</v>
      </c>
      <c r="F105" s="534">
        <f>D105/基础经济系数!$C$5</f>
        <v>12.1</v>
      </c>
      <c r="G105" s="319">
        <f t="shared" si="11"/>
        <v>87.5</v>
      </c>
      <c r="H105" s="529" t="s">
        <v>1463</v>
      </c>
      <c r="I105" s="608">
        <f t="shared" si="13"/>
        <v>100</v>
      </c>
      <c r="J105" s="228">
        <v>100</v>
      </c>
      <c r="K105" s="607">
        <f t="shared" si="12"/>
        <v>101</v>
      </c>
      <c r="L105" s="706" t="str">
        <f t="shared" si="14"/>
        <v>[101,100]</v>
      </c>
      <c r="N105" s="611"/>
    </row>
    <row r="106" spans="2:14" x14ac:dyDescent="0.35">
      <c r="B106" s="319">
        <v>22</v>
      </c>
      <c r="C106" s="319">
        <f>游戏时长规划!V34</f>
        <v>65</v>
      </c>
      <c r="D106" s="319">
        <f>SUM(C$85:C106)</f>
        <v>307</v>
      </c>
      <c r="E106" s="534">
        <f>C106/基础经济系数!$C$5</f>
        <v>3.25</v>
      </c>
      <c r="F106" s="534">
        <f>D106/基础经济系数!$C$5</f>
        <v>15.35</v>
      </c>
      <c r="G106" s="319">
        <f t="shared" si="11"/>
        <v>113.75</v>
      </c>
      <c r="H106" s="529" t="s">
        <v>2891</v>
      </c>
      <c r="I106" s="608">
        <f t="shared" si="13"/>
        <v>450</v>
      </c>
      <c r="J106" s="228">
        <v>600</v>
      </c>
      <c r="K106" s="607">
        <f t="shared" si="12"/>
        <v>111</v>
      </c>
      <c r="L106" s="706" t="str">
        <f t="shared" si="14"/>
        <v>[111,600]</v>
      </c>
      <c r="N106" s="611"/>
    </row>
    <row r="107" spans="2:14" x14ac:dyDescent="0.35">
      <c r="B107" s="319">
        <v>23</v>
      </c>
      <c r="C107" s="319">
        <f>游戏时长规划!V35</f>
        <v>80</v>
      </c>
      <c r="D107" s="319">
        <f>SUM(C$85:C107)</f>
        <v>387</v>
      </c>
      <c r="E107" s="534">
        <f>C107/基础经济系数!$C$5</f>
        <v>4</v>
      </c>
      <c r="F107" s="534">
        <f>D107/基础经济系数!$C$5</f>
        <v>19.350000000000001</v>
      </c>
      <c r="G107" s="319">
        <f t="shared" si="11"/>
        <v>140</v>
      </c>
      <c r="H107" s="529" t="s">
        <v>1464</v>
      </c>
      <c r="I107" s="608">
        <f t="shared" si="13"/>
        <v>55</v>
      </c>
      <c r="J107" s="228">
        <v>22000</v>
      </c>
      <c r="K107" s="607">
        <f t="shared" si="12"/>
        <v>102</v>
      </c>
      <c r="L107" s="706" t="str">
        <f t="shared" si="14"/>
        <v>[102,22000]</v>
      </c>
      <c r="N107" s="611"/>
    </row>
    <row r="108" spans="2:14" x14ac:dyDescent="0.35">
      <c r="B108" s="319">
        <v>24</v>
      </c>
      <c r="C108" s="319">
        <f>游戏时长规划!V36</f>
        <v>105</v>
      </c>
      <c r="D108" s="319">
        <f>SUM(C$85:C108)</f>
        <v>492</v>
      </c>
      <c r="E108" s="534">
        <f>C108/基础经济系数!$C$5</f>
        <v>5.25</v>
      </c>
      <c r="F108" s="534">
        <f>D108/基础经济系数!$C$5</f>
        <v>24.6</v>
      </c>
      <c r="G108" s="319">
        <f t="shared" si="11"/>
        <v>183.75</v>
      </c>
      <c r="H108" s="529" t="s">
        <v>2782</v>
      </c>
      <c r="I108" s="608">
        <f t="shared" si="13"/>
        <v>105</v>
      </c>
      <c r="J108" s="228">
        <v>3</v>
      </c>
      <c r="K108" s="607">
        <f t="shared" si="12"/>
        <v>100301</v>
      </c>
      <c r="L108" s="706" t="str">
        <f t="shared" si="14"/>
        <v>[100301,3]</v>
      </c>
      <c r="N108" s="611"/>
    </row>
    <row r="109" spans="2:14" x14ac:dyDescent="0.35">
      <c r="B109" s="319">
        <v>25</v>
      </c>
      <c r="C109" s="319">
        <f>游戏时长规划!V37</f>
        <v>130</v>
      </c>
      <c r="D109" s="319">
        <f>SUM(C$85:C109)</f>
        <v>622</v>
      </c>
      <c r="E109" s="534">
        <f>C109/基础经济系数!$C$5</f>
        <v>6.5</v>
      </c>
      <c r="F109" s="534">
        <f>D109/基础经济系数!$C$5</f>
        <v>31.1</v>
      </c>
      <c r="G109" s="319">
        <f t="shared" si="11"/>
        <v>227.5</v>
      </c>
      <c r="H109" s="529" t="s">
        <v>1463</v>
      </c>
      <c r="I109" s="608">
        <f t="shared" si="13"/>
        <v>120</v>
      </c>
      <c r="J109" s="228">
        <v>120</v>
      </c>
      <c r="K109" s="607">
        <f t="shared" si="12"/>
        <v>101</v>
      </c>
      <c r="L109" s="706" t="str">
        <f t="shared" si="14"/>
        <v>[101,120]</v>
      </c>
      <c r="N109" s="611"/>
    </row>
    <row r="110" spans="2:14" x14ac:dyDescent="0.35">
      <c r="B110" s="319">
        <v>26</v>
      </c>
      <c r="C110" s="319">
        <f>游戏时长规划!V38</f>
        <v>165</v>
      </c>
      <c r="D110" s="319">
        <f>SUM(C$85:C110)</f>
        <v>787</v>
      </c>
      <c r="E110" s="534">
        <f>C110/基础经济系数!$C$5</f>
        <v>8.25</v>
      </c>
      <c r="F110" s="534">
        <f>D110/基础经济系数!$C$5</f>
        <v>39.35</v>
      </c>
      <c r="G110" s="319">
        <f t="shared" si="11"/>
        <v>288.75</v>
      </c>
      <c r="H110" s="529" t="s">
        <v>1467</v>
      </c>
      <c r="I110" s="608">
        <f t="shared" si="13"/>
        <v>37.5</v>
      </c>
      <c r="J110" s="228">
        <v>30</v>
      </c>
      <c r="K110" s="607">
        <f t="shared" si="12"/>
        <v>105</v>
      </c>
      <c r="L110" s="706" t="str">
        <f t="shared" si="14"/>
        <v>[105,30]</v>
      </c>
      <c r="N110" s="611"/>
    </row>
    <row r="111" spans="2:14" x14ac:dyDescent="0.35">
      <c r="B111" s="319">
        <v>27</v>
      </c>
      <c r="C111" s="319">
        <f>游戏时长规划!V39</f>
        <v>205</v>
      </c>
      <c r="D111" s="319">
        <f>SUM(C$85:C111)</f>
        <v>992</v>
      </c>
      <c r="E111" s="534">
        <f>C111/基础经济系数!$C$5</f>
        <v>10.25</v>
      </c>
      <c r="F111" s="534">
        <f>D111/基础经济系数!$C$5</f>
        <v>49.6</v>
      </c>
      <c r="G111" s="319">
        <f t="shared" si="11"/>
        <v>358.75</v>
      </c>
      <c r="H111" s="529" t="s">
        <v>1464</v>
      </c>
      <c r="I111" s="608">
        <f t="shared" si="13"/>
        <v>65</v>
      </c>
      <c r="J111" s="228">
        <v>26000</v>
      </c>
      <c r="K111" s="607">
        <f t="shared" si="12"/>
        <v>102</v>
      </c>
      <c r="L111" s="706" t="str">
        <f t="shared" si="14"/>
        <v>[102,26000]</v>
      </c>
      <c r="N111" s="611"/>
    </row>
    <row r="112" spans="2:14" x14ac:dyDescent="0.35">
      <c r="B112" s="319">
        <v>28</v>
      </c>
      <c r="C112" s="319">
        <f>游戏时长规划!V40</f>
        <v>260</v>
      </c>
      <c r="D112" s="319">
        <f>SUM(C$85:C112)</f>
        <v>1252</v>
      </c>
      <c r="E112" s="534">
        <f>C112/基础经济系数!$C$5</f>
        <v>13</v>
      </c>
      <c r="F112" s="534">
        <f>D112/基础经济系数!$C$5</f>
        <v>62.6</v>
      </c>
      <c r="G112" s="319">
        <f t="shared" si="11"/>
        <v>455</v>
      </c>
      <c r="H112" s="529" t="s">
        <v>2782</v>
      </c>
      <c r="I112" s="608">
        <f t="shared" si="13"/>
        <v>140</v>
      </c>
      <c r="J112" s="228">
        <v>4</v>
      </c>
      <c r="K112" s="607">
        <f t="shared" si="12"/>
        <v>100301</v>
      </c>
      <c r="L112" s="706" t="str">
        <f t="shared" si="14"/>
        <v>[100301,4]</v>
      </c>
      <c r="N112" s="611"/>
    </row>
    <row r="113" spans="2:14" x14ac:dyDescent="0.35">
      <c r="B113" s="319">
        <v>29</v>
      </c>
      <c r="C113" s="319">
        <f>游戏时长规划!V41</f>
        <v>330</v>
      </c>
      <c r="D113" s="319">
        <f>SUM(C$85:C113)</f>
        <v>1582</v>
      </c>
      <c r="E113" s="534">
        <f>C113/基础经济系数!$C$5</f>
        <v>16.5</v>
      </c>
      <c r="F113" s="534">
        <f>D113/基础经济系数!$C$5</f>
        <v>79.099999999999994</v>
      </c>
      <c r="G113" s="319">
        <f t="shared" si="11"/>
        <v>577.5</v>
      </c>
      <c r="H113" s="529" t="s">
        <v>1463</v>
      </c>
      <c r="I113" s="608">
        <f t="shared" si="13"/>
        <v>140</v>
      </c>
      <c r="J113" s="228">
        <v>140</v>
      </c>
      <c r="K113" s="607">
        <f t="shared" si="12"/>
        <v>101</v>
      </c>
      <c r="L113" s="706" t="str">
        <f t="shared" si="14"/>
        <v>[101,140]</v>
      </c>
      <c r="N113" s="611"/>
    </row>
    <row r="114" spans="2:14" x14ac:dyDescent="0.35">
      <c r="B114" s="319">
        <v>30</v>
      </c>
      <c r="C114" s="319">
        <f>游戏时长规划!V42</f>
        <v>420</v>
      </c>
      <c r="D114" s="319">
        <f>SUM(C$85:C114)</f>
        <v>2002</v>
      </c>
      <c r="E114" s="534">
        <f>C114/基础经济系数!$C$5</f>
        <v>21</v>
      </c>
      <c r="F114" s="534">
        <f>D114/基础经济系数!$C$5</f>
        <v>100.1</v>
      </c>
      <c r="G114" s="319">
        <f t="shared" si="11"/>
        <v>735</v>
      </c>
      <c r="H114" s="529" t="s">
        <v>2891</v>
      </c>
      <c r="I114" s="608">
        <f t="shared" si="13"/>
        <v>600</v>
      </c>
      <c r="J114" s="228">
        <v>800</v>
      </c>
      <c r="K114" s="607">
        <f t="shared" si="12"/>
        <v>111</v>
      </c>
      <c r="L114" s="706" t="str">
        <f t="shared" si="14"/>
        <v>[111,800]</v>
      </c>
      <c r="N114" s="611"/>
    </row>
    <row r="115" spans="2:14" x14ac:dyDescent="0.35">
      <c r="N115" s="611"/>
    </row>
    <row r="116" spans="2:14" x14ac:dyDescent="0.35">
      <c r="N116" s="611"/>
    </row>
    <row r="117" spans="2:14" x14ac:dyDescent="0.35">
      <c r="N117" s="611"/>
    </row>
  </sheetData>
  <mergeCells count="5">
    <mergeCell ref="N33:P33"/>
    <mergeCell ref="B33:G33"/>
    <mergeCell ref="B19:E19"/>
    <mergeCell ref="H33:M33"/>
    <mergeCell ref="B7:I7"/>
  </mergeCells>
  <phoneticPr fontId="10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B2:AI168"/>
  <sheetViews>
    <sheetView workbookViewId="0">
      <selection activeCell="T1" sqref="T1:T1048576"/>
    </sheetView>
  </sheetViews>
  <sheetFormatPr defaultColWidth="9" defaultRowHeight="13" x14ac:dyDescent="0.35"/>
  <cols>
    <col min="1" max="3" width="9" style="158"/>
    <col min="4" max="4" width="10.453125" style="158" bestFit="1" customWidth="1"/>
    <col min="5" max="6" width="9" style="158"/>
    <col min="7" max="9" width="10.453125" style="158" bestFit="1" customWidth="1"/>
    <col min="10" max="10" width="11.26953125" style="158" bestFit="1" customWidth="1"/>
    <col min="11" max="16384" width="9" style="158"/>
  </cols>
  <sheetData>
    <row r="2" spans="2:35" x14ac:dyDescent="0.35">
      <c r="B2" s="671" t="s">
        <v>3170</v>
      </c>
      <c r="C2" s="8">
        <v>3</v>
      </c>
      <c r="D2" s="671" t="s">
        <v>3173</v>
      </c>
      <c r="E2" s="8">
        <v>300</v>
      </c>
    </row>
    <row r="3" spans="2:35" x14ac:dyDescent="0.35">
      <c r="Q3" s="205" t="s">
        <v>1101</v>
      </c>
      <c r="R3" s="156" t="s">
        <v>893</v>
      </c>
      <c r="S3" s="156" t="s">
        <v>894</v>
      </c>
      <c r="T3" s="156" t="s">
        <v>897</v>
      </c>
      <c r="U3" s="156" t="s">
        <v>895</v>
      </c>
      <c r="V3" s="156" t="s">
        <v>901</v>
      </c>
      <c r="W3" s="156" t="s">
        <v>896</v>
      </c>
      <c r="X3" s="156" t="s">
        <v>898</v>
      </c>
      <c r="Y3" s="338" t="s">
        <v>1689</v>
      </c>
      <c r="Z3" s="338" t="s">
        <v>1687</v>
      </c>
      <c r="AA3" s="338" t="s">
        <v>1688</v>
      </c>
      <c r="AB3" s="330" t="s">
        <v>785</v>
      </c>
      <c r="AC3" s="578" t="s">
        <v>2652</v>
      </c>
      <c r="AD3" s="578" t="s">
        <v>2653</v>
      </c>
      <c r="AE3" s="578" t="s">
        <v>2651</v>
      </c>
      <c r="AF3" s="674"/>
      <c r="AG3" s="427" t="s">
        <v>2015</v>
      </c>
      <c r="AH3" s="338" t="s">
        <v>1688</v>
      </c>
      <c r="AI3" s="427" t="s">
        <v>2016</v>
      </c>
    </row>
    <row r="4" spans="2:35" x14ac:dyDescent="0.35">
      <c r="B4" s="777" t="s">
        <v>3248</v>
      </c>
      <c r="C4" s="778"/>
      <c r="D4" s="778"/>
      <c r="E4" s="778"/>
      <c r="F4" s="778"/>
      <c r="G4" s="778"/>
      <c r="H4" s="778"/>
      <c r="I4" s="778"/>
      <c r="J4" s="778"/>
      <c r="K4" s="778"/>
      <c r="L4" s="778"/>
      <c r="M4" s="779"/>
      <c r="N4" s="157"/>
      <c r="O4" s="157"/>
      <c r="Q4" s="189">
        <v>1</v>
      </c>
      <c r="R4" s="205" t="str">
        <f t="shared" ref="R4:S23" si="0">VLOOKUP($Q4,$C$20:$I$32,MATCH(R$3,$C$20:$I$20,0),FALSE)</f>
        <v>T1</v>
      </c>
      <c r="S4" s="205" t="str">
        <f t="shared" si="0"/>
        <v>低</v>
      </c>
      <c r="T4" s="156">
        <f>VLOOKUP(R4&amp;S4,$B$20:$F$32,5,FALSE)</f>
        <v>4</v>
      </c>
      <c r="U4" s="156">
        <f>IF(Q4&lt;&gt;Q3,0,IF(U3&lt;T3,U3+1,0))</f>
        <v>0</v>
      </c>
      <c r="V4" s="8">
        <v>0</v>
      </c>
      <c r="W4" s="156">
        <f>ROUNDUP(IF(U4=0,VLOOKUP(R4&amp;S4,$B$20:$G$32,6,FALSE),VLOOKUP(R4&amp;S4,$B$20:$G$32,6,FALSE)*V4)/5,0)*5</f>
        <v>5</v>
      </c>
      <c r="X4" s="159">
        <f>W4*VLOOKUP(R4&amp;S4,$B$20:$H$32,7,FALSE)</f>
        <v>300</v>
      </c>
      <c r="Y4" s="159" t="str">
        <f t="shared" ref="Y4:Y35" si="1">R4&amp;S4</f>
        <v>T1低</v>
      </c>
      <c r="Z4" s="330">
        <f>IF(Y4&lt;&gt;Y3,W4,W4+Z3)</f>
        <v>5</v>
      </c>
      <c r="AA4" s="339">
        <f>Z4*VLOOKUP(R4&amp;S4,$B$20:$K$32,10,FALSE)</f>
        <v>1</v>
      </c>
      <c r="AB4" s="330">
        <f>U4</f>
        <v>0</v>
      </c>
      <c r="AC4" s="8">
        <v>0</v>
      </c>
      <c r="AD4" s="571">
        <f>AC4*VLOOKUP(R4&amp;S4,游戏时长规划!$B$66:$D$78,3,FALSE)</f>
        <v>0</v>
      </c>
      <c r="AE4" s="571">
        <f>ROUND(AD4*VLOOKUP(R4&amp;S4,$C$50:$D$62,2,FALSE)/500,0)*500</f>
        <v>0</v>
      </c>
      <c r="AF4" s="157"/>
      <c r="AG4" s="423" t="str">
        <f>Q4&amp;R4&amp;S4&amp;U4</f>
        <v>1T1低0</v>
      </c>
      <c r="AH4" s="339">
        <f t="shared" ref="AH4:AH35" si="2">AA4</f>
        <v>1</v>
      </c>
      <c r="AI4" s="423">
        <f t="shared" ref="AI4:AI35" si="3">IF(U4=0,0,X4+AI3)</f>
        <v>0</v>
      </c>
    </row>
    <row r="5" spans="2:35" x14ac:dyDescent="0.35">
      <c r="B5" s="644" t="s">
        <v>836</v>
      </c>
      <c r="C5" s="645" t="s">
        <v>890</v>
      </c>
      <c r="D5" s="645" t="s">
        <v>891</v>
      </c>
      <c r="E5" s="671" t="s">
        <v>3167</v>
      </c>
      <c r="F5" s="671" t="s">
        <v>3168</v>
      </c>
      <c r="G5" s="671" t="s">
        <v>3171</v>
      </c>
      <c r="H5" s="671" t="s">
        <v>3172</v>
      </c>
      <c r="I5" s="671" t="s">
        <v>3174</v>
      </c>
      <c r="J5" s="671" t="s">
        <v>3175</v>
      </c>
      <c r="K5" s="645" t="s">
        <v>892</v>
      </c>
      <c r="L5" s="645" t="s">
        <v>899</v>
      </c>
      <c r="M5" s="671" t="s">
        <v>3176</v>
      </c>
      <c r="N5" s="210" t="s">
        <v>3406</v>
      </c>
      <c r="O5" s="712" t="s">
        <v>3408</v>
      </c>
      <c r="Q5" s="189">
        <f>IF(T4=U4,Q4+1,Q4)</f>
        <v>1</v>
      </c>
      <c r="R5" s="205" t="str">
        <f t="shared" si="0"/>
        <v>T1</v>
      </c>
      <c r="S5" s="205" t="str">
        <f t="shared" si="0"/>
        <v>低</v>
      </c>
      <c r="T5" s="423">
        <f>VLOOKUP(R5&amp;S5,$B$20:$F$32,5,FALSE)</f>
        <v>4</v>
      </c>
      <c r="U5" s="189">
        <f>IF(R5&amp;S5&lt;&gt;R4&amp;S4,0,IF(U4&lt;T4,U4+1,0))</f>
        <v>1</v>
      </c>
      <c r="V5" s="8">
        <v>0.88100000000000001</v>
      </c>
      <c r="W5" s="645">
        <f>ROUNDUP(IF(U5=0,VLOOKUP(R5&amp;S5,$B$20:$G$32,6,FALSE),VLOOKUP(R5&amp;S5,$B$20:$G$32,6,FALSE)*V5)/5,0)*5</f>
        <v>5</v>
      </c>
      <c r="X5" s="159">
        <f>W5*VLOOKUP(R5&amp;S5,$B$20:$H$32,7,FALSE)</f>
        <v>300</v>
      </c>
      <c r="Y5" s="159" t="str">
        <f t="shared" si="1"/>
        <v>T1低</v>
      </c>
      <c r="Z5" s="423">
        <f>IF(Y5&lt;&gt;Y4,W5,W5+Z4)</f>
        <v>10</v>
      </c>
      <c r="AA5" s="339">
        <f>Z5*VLOOKUP(R5&amp;S5,$B$20:$K$32,10,FALSE)</f>
        <v>2</v>
      </c>
      <c r="AB5" s="330">
        <f t="shared" ref="AB5:AB68" si="4">U5</f>
        <v>1</v>
      </c>
      <c r="AC5" s="8">
        <v>0.1</v>
      </c>
      <c r="AD5" s="571">
        <f>AC5*VLOOKUP(R5&amp;S5,游戏时长规划!$B$66:$D$78,3,FALSE)</f>
        <v>0.70000000000000007</v>
      </c>
      <c r="AE5" s="571">
        <f>ROUND(AD5*VLOOKUP(R5&amp;S5,$C$50:$D$62,2,FALSE)/500,0)*500</f>
        <v>14000</v>
      </c>
      <c r="AF5" s="157"/>
      <c r="AG5" s="423" t="str">
        <f>Q5&amp;R5&amp;S5&amp;U5</f>
        <v>1T1低1</v>
      </c>
      <c r="AH5" s="339">
        <f t="shared" si="2"/>
        <v>2</v>
      </c>
      <c r="AI5" s="423">
        <f>IF(U5=0,0,X5+AI4)</f>
        <v>300</v>
      </c>
    </row>
    <row r="6" spans="2:35" x14ac:dyDescent="0.35">
      <c r="B6" s="655" t="s">
        <v>1099</v>
      </c>
      <c r="C6" s="652" t="s">
        <v>12</v>
      </c>
      <c r="D6" s="645">
        <f>坦克等级成长!S13</f>
        <v>4</v>
      </c>
      <c r="E6" s="645">
        <f>坦克等级成长!J13</f>
        <v>1</v>
      </c>
      <c r="F6" s="645">
        <f>坦克等级成长!K13</f>
        <v>1.4</v>
      </c>
      <c r="G6" s="720">
        <f t="shared" ref="G6:G17" si="5">E6^N6</f>
        <v>1</v>
      </c>
      <c r="H6" s="720">
        <f>F6^N6</f>
        <v>2.7439999999999993</v>
      </c>
      <c r="I6" s="645">
        <f>G6*$E$2*O6</f>
        <v>300</v>
      </c>
      <c r="J6" s="645">
        <f>H6*$E$2*O6</f>
        <v>823.19999999999982</v>
      </c>
      <c r="K6" s="8">
        <v>5</v>
      </c>
      <c r="L6" s="210">
        <f>MROUND(I6/K6,5)</f>
        <v>60</v>
      </c>
      <c r="M6" s="210">
        <f>K6*L6</f>
        <v>300</v>
      </c>
      <c r="N6" s="9">
        <v>3</v>
      </c>
      <c r="O6" s="835">
        <v>1</v>
      </c>
      <c r="Q6" s="189">
        <f>IF(T5=U5,Q5+1,Q5)</f>
        <v>1</v>
      </c>
      <c r="R6" s="205" t="str">
        <f t="shared" si="0"/>
        <v>T1</v>
      </c>
      <c r="S6" s="205" t="str">
        <f t="shared" si="0"/>
        <v>低</v>
      </c>
      <c r="T6" s="423">
        <f>VLOOKUP(R6&amp;S6,$B$20:$F$32,5,FALSE)</f>
        <v>4</v>
      </c>
      <c r="U6" s="189">
        <f>IF(R6&amp;S6&lt;&gt;R5&amp;S5,0,IF(U5&lt;T5,U5+1,0))</f>
        <v>2</v>
      </c>
      <c r="V6" s="8">
        <v>0.88100000000000001</v>
      </c>
      <c r="W6" s="645">
        <f>ROUNDUP(IF(U6=0,VLOOKUP(R6&amp;S6,$B$20:$G$32,6,FALSE),VLOOKUP(R6&amp;S6,$B$20:$G$32,6,FALSE)*V6)/5,0)*5</f>
        <v>5</v>
      </c>
      <c r="X6" s="159">
        <f>W6*VLOOKUP(R6&amp;S6,$B$20:$H$32,7,FALSE)</f>
        <v>300</v>
      </c>
      <c r="Y6" s="159" t="str">
        <f t="shared" si="1"/>
        <v>T1低</v>
      </c>
      <c r="Z6" s="423">
        <f t="shared" ref="Z6:Z68" si="6">IF(Y6&lt;&gt;Y5,W6,W6+Z5)</f>
        <v>15</v>
      </c>
      <c r="AA6" s="339">
        <f>Z6*VLOOKUP(R6&amp;S6,$B$20:$K$32,10,FALSE)</f>
        <v>3</v>
      </c>
      <c r="AB6" s="330">
        <f t="shared" si="4"/>
        <v>2</v>
      </c>
      <c r="AC6" s="8">
        <v>0.2</v>
      </c>
      <c r="AD6" s="571">
        <f>AC6*VLOOKUP(R6&amp;S6,游戏时长规划!$B$66:$D$78,3,FALSE)</f>
        <v>1.4000000000000001</v>
      </c>
      <c r="AE6" s="571">
        <f>ROUND(AD6*VLOOKUP(R6&amp;S6,$C$50:$D$62,2,FALSE)/500,0)*500</f>
        <v>27500</v>
      </c>
      <c r="AF6" s="157"/>
      <c r="AG6" s="423" t="str">
        <f>Q6&amp;R6&amp;S6&amp;U6</f>
        <v>1T1低2</v>
      </c>
      <c r="AH6" s="339">
        <f t="shared" si="2"/>
        <v>3</v>
      </c>
      <c r="AI6" s="423">
        <f t="shared" si="3"/>
        <v>600</v>
      </c>
    </row>
    <row r="7" spans="2:35" x14ac:dyDescent="0.35">
      <c r="B7" s="655" t="s">
        <v>921</v>
      </c>
      <c r="C7" s="652" t="s">
        <v>12</v>
      </c>
      <c r="D7" s="645">
        <f>坦克等级成长!S14</f>
        <v>6</v>
      </c>
      <c r="E7" s="645">
        <f>坦克等级成长!J14</f>
        <v>1.2</v>
      </c>
      <c r="F7" s="645">
        <f>坦克等级成长!K14</f>
        <v>1.8</v>
      </c>
      <c r="G7" s="720">
        <f t="shared" si="5"/>
        <v>1.728</v>
      </c>
      <c r="H7" s="720">
        <f t="shared" ref="H7:H17" si="7">F7^N7</f>
        <v>5.8320000000000007</v>
      </c>
      <c r="I7" s="713">
        <f t="shared" ref="I7:I17" si="8">G7*$E$2*O7</f>
        <v>622.07999999999993</v>
      </c>
      <c r="J7" s="713">
        <f t="shared" ref="J7:J17" si="9">H7*$E$2*O7</f>
        <v>2099.52</v>
      </c>
      <c r="K7" s="8">
        <v>10</v>
      </c>
      <c r="L7" s="210">
        <f t="shared" ref="L7:L17" si="10">MROUND(I7/K7,5)</f>
        <v>60</v>
      </c>
      <c r="M7" s="210">
        <f t="shared" ref="M7:M17" si="11">K7*L7</f>
        <v>600</v>
      </c>
      <c r="N7" s="9">
        <v>3</v>
      </c>
      <c r="O7" s="835">
        <v>1.2</v>
      </c>
      <c r="Q7" s="189">
        <f>IF(T6=U6,Q6+1,Q6)</f>
        <v>1</v>
      </c>
      <c r="R7" s="205" t="str">
        <f t="shared" si="0"/>
        <v>T1</v>
      </c>
      <c r="S7" s="205" t="str">
        <f t="shared" si="0"/>
        <v>低</v>
      </c>
      <c r="T7" s="423">
        <f>VLOOKUP(R7&amp;S7,$B$20:$F$32,5,FALSE)</f>
        <v>4</v>
      </c>
      <c r="U7" s="189">
        <f>IF(R7&amp;S7&lt;&gt;R6&amp;S6,0,IF(U6&lt;T6,U6+1,0))</f>
        <v>3</v>
      </c>
      <c r="V7" s="8">
        <v>1.3220000000000001</v>
      </c>
      <c r="W7" s="645">
        <f>ROUNDUP(IF(U7=0,VLOOKUP(R7&amp;S7,$B$20:$G$32,6,FALSE),VLOOKUP(R7&amp;S7,$B$20:$G$32,6,FALSE)*V7)/5,0)*5</f>
        <v>10</v>
      </c>
      <c r="X7" s="159">
        <f>W7*VLOOKUP(R7&amp;S7,$B$20:$H$32,7,FALSE)</f>
        <v>600</v>
      </c>
      <c r="Y7" s="159" t="str">
        <f t="shared" si="1"/>
        <v>T1低</v>
      </c>
      <c r="Z7" s="423">
        <f t="shared" si="6"/>
        <v>25</v>
      </c>
      <c r="AA7" s="339">
        <f>Z7*VLOOKUP(R7&amp;S7,$B$20:$K$32,10,FALSE)</f>
        <v>5</v>
      </c>
      <c r="AB7" s="330">
        <f t="shared" si="4"/>
        <v>3</v>
      </c>
      <c r="AC7" s="8">
        <v>0.3</v>
      </c>
      <c r="AD7" s="571">
        <f>AC7*VLOOKUP(R7&amp;S7,游戏时长规划!$B$66:$D$78,3,FALSE)</f>
        <v>2.1</v>
      </c>
      <c r="AE7" s="571">
        <f>ROUND(AD7*VLOOKUP(R7&amp;S7,$C$50:$D$62,2,FALSE)/500,0)*500</f>
        <v>41500</v>
      </c>
      <c r="AF7" s="157"/>
      <c r="AG7" s="423" t="str">
        <f>Q7&amp;R7&amp;S7&amp;U7</f>
        <v>1T1低3</v>
      </c>
      <c r="AH7" s="339">
        <f t="shared" si="2"/>
        <v>5</v>
      </c>
      <c r="AI7" s="423">
        <f t="shared" si="3"/>
        <v>1200</v>
      </c>
    </row>
    <row r="8" spans="2:35" x14ac:dyDescent="0.35">
      <c r="B8" s="655" t="s">
        <v>921</v>
      </c>
      <c r="C8" s="652" t="s">
        <v>989</v>
      </c>
      <c r="D8" s="645">
        <f>坦克等级成长!S15</f>
        <v>11</v>
      </c>
      <c r="E8" s="645">
        <f>坦克等级成长!J15</f>
        <v>1.23</v>
      </c>
      <c r="F8" s="645">
        <f>坦克等级成长!K15</f>
        <v>2.39</v>
      </c>
      <c r="G8" s="720">
        <f t="shared" si="5"/>
        <v>1.8608669999999998</v>
      </c>
      <c r="H8" s="720">
        <f t="shared" si="7"/>
        <v>13.651919000000001</v>
      </c>
      <c r="I8" s="713">
        <f t="shared" si="8"/>
        <v>837.39014999999995</v>
      </c>
      <c r="J8" s="713">
        <f t="shared" si="9"/>
        <v>6143.36355</v>
      </c>
      <c r="K8" s="8">
        <v>10</v>
      </c>
      <c r="L8" s="210">
        <f t="shared" si="10"/>
        <v>85</v>
      </c>
      <c r="M8" s="210">
        <f t="shared" si="11"/>
        <v>850</v>
      </c>
      <c r="N8" s="9">
        <v>3</v>
      </c>
      <c r="O8" s="835">
        <v>1.5</v>
      </c>
      <c r="Q8" s="189">
        <f>IF(T7=U7,Q7+1,Q7)</f>
        <v>1</v>
      </c>
      <c r="R8" s="205" t="str">
        <f t="shared" si="0"/>
        <v>T1</v>
      </c>
      <c r="S8" s="205" t="str">
        <f t="shared" si="0"/>
        <v>低</v>
      </c>
      <c r="T8" s="423">
        <f>VLOOKUP(R8&amp;S8,$B$20:$F$32,5,FALSE)</f>
        <v>4</v>
      </c>
      <c r="U8" s="189">
        <f>IF(R8&amp;S8&lt;&gt;R7&amp;S7,0,IF(U7&lt;T7,U7+1,0))</f>
        <v>4</v>
      </c>
      <c r="V8" s="8">
        <v>1.3220000000000001</v>
      </c>
      <c r="W8" s="645">
        <f>ROUNDUP(IF(U8=0,VLOOKUP(R8&amp;S8,$B$20:$G$32,6,FALSE),VLOOKUP(R8&amp;S8,$B$20:$G$32,6,FALSE)*V8)/5,0)*5</f>
        <v>10</v>
      </c>
      <c r="X8" s="159">
        <f>W8*VLOOKUP(R8&amp;S8,$B$20:$H$32,7,FALSE)</f>
        <v>600</v>
      </c>
      <c r="Y8" s="159" t="str">
        <f t="shared" si="1"/>
        <v>T1低</v>
      </c>
      <c r="Z8" s="423">
        <f t="shared" si="6"/>
        <v>35</v>
      </c>
      <c r="AA8" s="339">
        <f>Z8*VLOOKUP(R8&amp;S8,$B$20:$K$32,10,FALSE)</f>
        <v>7</v>
      </c>
      <c r="AB8" s="330">
        <f t="shared" si="4"/>
        <v>4</v>
      </c>
      <c r="AC8" s="8">
        <v>0.4</v>
      </c>
      <c r="AD8" s="571">
        <f>AC8*VLOOKUP(R8&amp;S8,游戏时长规划!$B$66:$D$78,3,FALSE)</f>
        <v>2.8000000000000003</v>
      </c>
      <c r="AE8" s="571">
        <f>ROUND(AD8*VLOOKUP(R8&amp;S8,$C$50:$D$62,2,FALSE)/500,0)*500</f>
        <v>55500</v>
      </c>
      <c r="AF8" s="157"/>
      <c r="AG8" s="423" t="str">
        <f>Q8&amp;R8&amp;S8&amp;U8</f>
        <v>1T1低4</v>
      </c>
      <c r="AH8" s="339">
        <f t="shared" si="2"/>
        <v>7</v>
      </c>
      <c r="AI8" s="423">
        <f t="shared" si="3"/>
        <v>1800</v>
      </c>
    </row>
    <row r="9" spans="2:35" x14ac:dyDescent="0.35">
      <c r="B9" s="655" t="s">
        <v>922</v>
      </c>
      <c r="C9" s="652" t="s">
        <v>12</v>
      </c>
      <c r="D9" s="645">
        <f>坦克等级成长!S16</f>
        <v>8</v>
      </c>
      <c r="E9" s="645">
        <f>坦克等级成长!J16</f>
        <v>1.5</v>
      </c>
      <c r="F9" s="645">
        <f>坦克等级成长!K16</f>
        <v>2.2999999999999998</v>
      </c>
      <c r="G9" s="720">
        <f t="shared" si="5"/>
        <v>3.375</v>
      </c>
      <c r="H9" s="720">
        <f t="shared" si="7"/>
        <v>12.166999999999996</v>
      </c>
      <c r="I9" s="713">
        <f t="shared" si="8"/>
        <v>1754.9999999999966</v>
      </c>
      <c r="J9" s="713">
        <f t="shared" si="9"/>
        <v>6326.8399999999865</v>
      </c>
      <c r="K9" s="8">
        <v>30</v>
      </c>
      <c r="L9" s="210">
        <f t="shared" si="10"/>
        <v>60</v>
      </c>
      <c r="M9" s="210">
        <f t="shared" si="11"/>
        <v>1800</v>
      </c>
      <c r="N9" s="9">
        <v>3</v>
      </c>
      <c r="O9" s="835">
        <v>1.7333333333333301</v>
      </c>
      <c r="Q9" s="189">
        <f>IF(T8=U8,Q8+1,Q8)</f>
        <v>2</v>
      </c>
      <c r="R9" s="205" t="str">
        <f t="shared" si="0"/>
        <v>T2</v>
      </c>
      <c r="S9" s="205" t="str">
        <f t="shared" si="0"/>
        <v>低</v>
      </c>
      <c r="T9" s="423">
        <f>VLOOKUP(R9&amp;S9,$B$20:$F$32,5,FALSE)</f>
        <v>6</v>
      </c>
      <c r="U9" s="189">
        <f>IF(R9&amp;S9&lt;&gt;R8&amp;S8,0,IF(U8&lt;T8,U8+1,0))</f>
        <v>0</v>
      </c>
      <c r="V9" s="8">
        <v>0</v>
      </c>
      <c r="W9" s="645">
        <f>ROUNDUP(IF(U9=0,VLOOKUP(R9&amp;S9,$B$20:$G$32,6,FALSE),VLOOKUP(R9&amp;S9,$B$20:$G$32,6,FALSE)*V9)/5,0)*5</f>
        <v>10</v>
      </c>
      <c r="X9" s="159">
        <f>W9*VLOOKUP(R9&amp;S9,$B$20:$H$32,7,FALSE)</f>
        <v>600</v>
      </c>
      <c r="Y9" s="159" t="str">
        <f t="shared" si="1"/>
        <v>T2低</v>
      </c>
      <c r="Z9" s="423">
        <f t="shared" si="6"/>
        <v>10</v>
      </c>
      <c r="AA9" s="339">
        <f>Z9*VLOOKUP(R9&amp;S9,$B$20:$K$32,10,FALSE)</f>
        <v>1.9</v>
      </c>
      <c r="AB9" s="330">
        <f t="shared" si="4"/>
        <v>0</v>
      </c>
      <c r="AC9" s="8">
        <v>0</v>
      </c>
      <c r="AD9" s="571">
        <f>AC9*VLOOKUP(R9&amp;S9,游戏时长规划!$B$66:$D$78,3,FALSE)</f>
        <v>0</v>
      </c>
      <c r="AE9" s="571">
        <f>ROUND(AD9*VLOOKUP(R9&amp;S9,$C$50:$D$62,2,FALSE)/500,0)*500</f>
        <v>0</v>
      </c>
      <c r="AF9" s="157"/>
      <c r="AG9" s="423" t="str">
        <f>Q9&amp;R9&amp;S9&amp;U9</f>
        <v>2T2低0</v>
      </c>
      <c r="AH9" s="339">
        <f t="shared" si="2"/>
        <v>1.9</v>
      </c>
      <c r="AI9" s="423">
        <f t="shared" si="3"/>
        <v>0</v>
      </c>
    </row>
    <row r="10" spans="2:35" x14ac:dyDescent="0.35">
      <c r="B10" s="655" t="s">
        <v>922</v>
      </c>
      <c r="C10" s="652" t="s">
        <v>989</v>
      </c>
      <c r="D10" s="645">
        <f>坦克等级成长!S17</f>
        <v>14</v>
      </c>
      <c r="E10" s="645">
        <f>坦克等级成长!J17</f>
        <v>1.5449999999999999</v>
      </c>
      <c r="F10" s="645">
        <f>坦克等级成长!K17</f>
        <v>3.02</v>
      </c>
      <c r="G10" s="720">
        <f t="shared" si="5"/>
        <v>3.6879536249999996</v>
      </c>
      <c r="H10" s="720">
        <f t="shared" si="7"/>
        <v>27.543607999999999</v>
      </c>
      <c r="I10" s="713">
        <f t="shared" si="8"/>
        <v>2194.3324068749962</v>
      </c>
      <c r="J10" s="713">
        <f t="shared" si="9"/>
        <v>16388.446759999973</v>
      </c>
      <c r="K10" s="8">
        <v>30</v>
      </c>
      <c r="L10" s="210">
        <f t="shared" si="10"/>
        <v>75</v>
      </c>
      <c r="M10" s="210">
        <f t="shared" si="11"/>
        <v>2250</v>
      </c>
      <c r="N10" s="9">
        <v>3</v>
      </c>
      <c r="O10" s="835">
        <v>1.9833333333333301</v>
      </c>
      <c r="Q10" s="189">
        <f>IF(T9=U9,Q9+1,Q9)</f>
        <v>2</v>
      </c>
      <c r="R10" s="205" t="str">
        <f t="shared" si="0"/>
        <v>T2</v>
      </c>
      <c r="S10" s="205" t="str">
        <f t="shared" si="0"/>
        <v>低</v>
      </c>
      <c r="T10" s="423">
        <f>VLOOKUP(R10&amp;S10,$B$20:$F$32,5,FALSE)</f>
        <v>6</v>
      </c>
      <c r="U10" s="189">
        <f>IF(R10&amp;S10&lt;&gt;R9&amp;S9,0,IF(U9&lt;T9,U9+1,0))</f>
        <v>1</v>
      </c>
      <c r="V10" s="8">
        <v>0.72699999999999998</v>
      </c>
      <c r="W10" s="645">
        <f>ROUNDUP(IF(U10=0,VLOOKUP(R10&amp;S10,$B$20:$G$32,6,FALSE),VLOOKUP(R10&amp;S10,$B$20:$G$32,6,FALSE)*V10)/5,0)*5</f>
        <v>10</v>
      </c>
      <c r="X10" s="159">
        <f>W10*VLOOKUP(R10&amp;S10,$B$20:$H$32,7,FALSE)</f>
        <v>600</v>
      </c>
      <c r="Y10" s="159" t="str">
        <f t="shared" si="1"/>
        <v>T2低</v>
      </c>
      <c r="Z10" s="423">
        <f t="shared" si="6"/>
        <v>20</v>
      </c>
      <c r="AA10" s="339">
        <f>Z10*VLOOKUP(R10&amp;S10,$B$20:$K$32,10,FALSE)</f>
        <v>3.8</v>
      </c>
      <c r="AB10" s="330">
        <f t="shared" si="4"/>
        <v>1</v>
      </c>
      <c r="AC10" s="8">
        <v>0.08</v>
      </c>
      <c r="AD10" s="571">
        <f>AC10*VLOOKUP(R10&amp;S10,游戏时长规划!$B$66:$D$78,3,FALSE)</f>
        <v>1.296</v>
      </c>
      <c r="AE10" s="571">
        <f>ROUND(AD10*VLOOKUP(R10&amp;S10,$C$50:$D$62,2,FALSE)/500,0)*500</f>
        <v>28000</v>
      </c>
      <c r="AF10" s="157"/>
      <c r="AG10" s="423" t="str">
        <f>Q10&amp;R10&amp;S10&amp;U10</f>
        <v>2T2低1</v>
      </c>
      <c r="AH10" s="339">
        <f t="shared" si="2"/>
        <v>3.8</v>
      </c>
      <c r="AI10" s="423">
        <f t="shared" si="3"/>
        <v>600</v>
      </c>
    </row>
    <row r="11" spans="2:35" x14ac:dyDescent="0.35">
      <c r="B11" s="655" t="s">
        <v>922</v>
      </c>
      <c r="C11" s="652" t="s">
        <v>990</v>
      </c>
      <c r="D11" s="645">
        <f>坦克等级成长!S18</f>
        <v>14</v>
      </c>
      <c r="E11" s="645">
        <f>坦克等级成长!J18</f>
        <v>1.62</v>
      </c>
      <c r="F11" s="645">
        <f>坦克等级成长!K18</f>
        <v>3.22</v>
      </c>
      <c r="G11" s="720">
        <f t="shared" si="5"/>
        <v>4.2515280000000013</v>
      </c>
      <c r="H11" s="720">
        <f t="shared" si="7"/>
        <v>33.386248000000009</v>
      </c>
      <c r="I11" s="713">
        <f t="shared" si="8"/>
        <v>2848.5237599999964</v>
      </c>
      <c r="J11" s="713">
        <f t="shared" si="9"/>
        <v>22368.786159999971</v>
      </c>
      <c r="K11" s="8">
        <v>30</v>
      </c>
      <c r="L11" s="210">
        <f t="shared" si="10"/>
        <v>95</v>
      </c>
      <c r="M11" s="210">
        <f t="shared" si="11"/>
        <v>2850</v>
      </c>
      <c r="N11" s="9">
        <v>3</v>
      </c>
      <c r="O11" s="835">
        <v>2.2333333333333298</v>
      </c>
      <c r="Q11" s="189">
        <f>IF(T10=U10,Q10+1,Q10)</f>
        <v>2</v>
      </c>
      <c r="R11" s="205" t="str">
        <f t="shared" si="0"/>
        <v>T2</v>
      </c>
      <c r="S11" s="205" t="str">
        <f t="shared" si="0"/>
        <v>低</v>
      </c>
      <c r="T11" s="423">
        <f>VLOOKUP(R11&amp;S11,$B$20:$F$32,5,FALSE)</f>
        <v>6</v>
      </c>
      <c r="U11" s="189">
        <f>IF(R11&amp;S11&lt;&gt;R10&amp;S10,0,IF(U10&lt;T10,U10+1,0))</f>
        <v>2</v>
      </c>
      <c r="V11" s="8">
        <v>0.72699999999999998</v>
      </c>
      <c r="W11" s="645">
        <f>ROUNDUP(IF(U11=0,VLOOKUP(R11&amp;S11,$B$20:$G$32,6,FALSE),VLOOKUP(R11&amp;S11,$B$20:$G$32,6,FALSE)*V11)/5,0)*5</f>
        <v>10</v>
      </c>
      <c r="X11" s="159">
        <f>W11*VLOOKUP(R11&amp;S11,$B$20:$H$32,7,FALSE)</f>
        <v>600</v>
      </c>
      <c r="Y11" s="159" t="str">
        <f t="shared" si="1"/>
        <v>T2低</v>
      </c>
      <c r="Z11" s="423">
        <f t="shared" si="6"/>
        <v>30</v>
      </c>
      <c r="AA11" s="339">
        <f>Z11*VLOOKUP(R11&amp;S11,$B$20:$K$32,10,FALSE)</f>
        <v>5.7</v>
      </c>
      <c r="AB11" s="330">
        <f t="shared" si="4"/>
        <v>2</v>
      </c>
      <c r="AC11" s="8">
        <v>0.115</v>
      </c>
      <c r="AD11" s="571">
        <f>AC11*VLOOKUP(R11&amp;S11,游戏时长规划!$B$66:$D$78,3,FALSE)</f>
        <v>1.863</v>
      </c>
      <c r="AE11" s="571">
        <f>ROUND(AD11*VLOOKUP(R11&amp;S11,$C$50:$D$62,2,FALSE)/500,0)*500</f>
        <v>40000</v>
      </c>
      <c r="AF11" s="157"/>
      <c r="AG11" s="423" t="str">
        <f>Q11&amp;R11&amp;S11&amp;U11</f>
        <v>2T2低2</v>
      </c>
      <c r="AH11" s="339">
        <f t="shared" si="2"/>
        <v>5.7</v>
      </c>
      <c r="AI11" s="423">
        <f t="shared" si="3"/>
        <v>1200</v>
      </c>
    </row>
    <row r="12" spans="2:35" x14ac:dyDescent="0.35">
      <c r="B12" s="655" t="s">
        <v>923</v>
      </c>
      <c r="C12" s="652" t="s">
        <v>12</v>
      </c>
      <c r="D12" s="645">
        <f>坦克等级成长!S19</f>
        <v>10</v>
      </c>
      <c r="E12" s="645">
        <f>坦克等级成长!J19</f>
        <v>1.9</v>
      </c>
      <c r="F12" s="645">
        <f>坦克等级成长!K19</f>
        <v>2.9</v>
      </c>
      <c r="G12" s="720">
        <f t="shared" si="5"/>
        <v>6.8589999999999991</v>
      </c>
      <c r="H12" s="720">
        <f t="shared" si="7"/>
        <v>24.388999999999999</v>
      </c>
      <c r="I12" s="713">
        <f t="shared" si="8"/>
        <v>5109.9549999999927</v>
      </c>
      <c r="J12" s="713">
        <f t="shared" si="9"/>
        <v>18169.804999999975</v>
      </c>
      <c r="K12" s="8">
        <v>50</v>
      </c>
      <c r="L12" s="210">
        <f t="shared" si="10"/>
        <v>100</v>
      </c>
      <c r="M12" s="210">
        <f t="shared" si="11"/>
        <v>5000</v>
      </c>
      <c r="N12" s="9">
        <v>3</v>
      </c>
      <c r="O12" s="835">
        <v>2.4833333333333298</v>
      </c>
      <c r="Q12" s="189">
        <f>IF(T11=U11,Q11+1,Q11)</f>
        <v>2</v>
      </c>
      <c r="R12" s="205" t="str">
        <f t="shared" si="0"/>
        <v>T2</v>
      </c>
      <c r="S12" s="205" t="str">
        <f t="shared" si="0"/>
        <v>低</v>
      </c>
      <c r="T12" s="423">
        <f>VLOOKUP(R12&amp;S12,$B$20:$F$32,5,FALSE)</f>
        <v>6</v>
      </c>
      <c r="U12" s="189">
        <f>IF(R12&amp;S12&lt;&gt;R11&amp;S11,0,IF(U11&lt;T11,U11+1,0))</f>
        <v>3</v>
      </c>
      <c r="V12" s="8">
        <v>0.72699999999999998</v>
      </c>
      <c r="W12" s="645">
        <f>ROUNDUP(IF(U12=0,VLOOKUP(R12&amp;S12,$B$20:$G$32,6,FALSE),VLOOKUP(R12&amp;S12,$B$20:$G$32,6,FALSE)*V12)/5,0)*5</f>
        <v>10</v>
      </c>
      <c r="X12" s="159">
        <f>W12*VLOOKUP(R12&amp;S12,$B$20:$H$32,7,FALSE)</f>
        <v>600</v>
      </c>
      <c r="Y12" s="159" t="str">
        <f t="shared" si="1"/>
        <v>T2低</v>
      </c>
      <c r="Z12" s="423">
        <f t="shared" si="6"/>
        <v>40</v>
      </c>
      <c r="AA12" s="339">
        <f>Z12*VLOOKUP(R12&amp;S12,$B$20:$K$32,10,FALSE)</f>
        <v>7.6</v>
      </c>
      <c r="AB12" s="330">
        <f t="shared" si="4"/>
        <v>3</v>
      </c>
      <c r="AC12" s="8">
        <v>0.15</v>
      </c>
      <c r="AD12" s="571">
        <f>AC12*VLOOKUP(R12&amp;S12,游戏时长规划!$B$66:$D$78,3,FALSE)</f>
        <v>2.4299999999999997</v>
      </c>
      <c r="AE12" s="571">
        <f>ROUND(AD12*VLOOKUP(R12&amp;S12,$C$50:$D$62,2,FALSE)/500,0)*500</f>
        <v>52500</v>
      </c>
      <c r="AF12" s="157"/>
      <c r="AG12" s="423" t="str">
        <f>Q12&amp;R12&amp;S12&amp;U12</f>
        <v>2T2低3</v>
      </c>
      <c r="AH12" s="339">
        <f t="shared" si="2"/>
        <v>7.6</v>
      </c>
      <c r="AI12" s="423">
        <f t="shared" si="3"/>
        <v>1800</v>
      </c>
    </row>
    <row r="13" spans="2:35" x14ac:dyDescent="0.35">
      <c r="B13" s="655" t="s">
        <v>923</v>
      </c>
      <c r="C13" s="652" t="s">
        <v>989</v>
      </c>
      <c r="D13" s="645">
        <f>坦克等级成长!S20</f>
        <v>17</v>
      </c>
      <c r="E13" s="645">
        <f>坦克等级成长!J20</f>
        <v>1.96</v>
      </c>
      <c r="F13" s="645">
        <f>坦克等级成长!K20</f>
        <v>3.75</v>
      </c>
      <c r="G13" s="720">
        <f t="shared" si="5"/>
        <v>7.5295359999999993</v>
      </c>
      <c r="H13" s="720">
        <f t="shared" si="7"/>
        <v>52.734375</v>
      </c>
      <c r="I13" s="713">
        <f t="shared" si="8"/>
        <v>6174.2195199999915</v>
      </c>
      <c r="J13" s="713">
        <f t="shared" si="9"/>
        <v>43242.187499999942</v>
      </c>
      <c r="K13" s="8">
        <v>50</v>
      </c>
      <c r="L13" s="210">
        <f t="shared" si="10"/>
        <v>125</v>
      </c>
      <c r="M13" s="210">
        <f t="shared" si="11"/>
        <v>6250</v>
      </c>
      <c r="N13" s="9">
        <v>3</v>
      </c>
      <c r="O13" s="835">
        <v>2.7333333333333298</v>
      </c>
      <c r="Q13" s="189">
        <f>IF(T12=U12,Q12+1,Q12)</f>
        <v>2</v>
      </c>
      <c r="R13" s="205" t="str">
        <f t="shared" si="0"/>
        <v>T2</v>
      </c>
      <c r="S13" s="205" t="str">
        <f t="shared" si="0"/>
        <v>低</v>
      </c>
      <c r="T13" s="423">
        <f>VLOOKUP(R13&amp;S13,$B$20:$F$32,5,FALSE)</f>
        <v>6</v>
      </c>
      <c r="U13" s="189">
        <f>IF(R13&amp;S13&lt;&gt;R12&amp;S12,0,IF(U12&lt;T12,U12+1,0))</f>
        <v>4</v>
      </c>
      <c r="V13" s="8">
        <v>1.0940000000000001</v>
      </c>
      <c r="W13" s="645">
        <f>ROUNDUP(IF(U13=0,VLOOKUP(R13&amp;S13,$B$20:$G$32,6,FALSE),VLOOKUP(R13&amp;S13,$B$20:$G$32,6,FALSE)*V13)/5,0)*5</f>
        <v>15</v>
      </c>
      <c r="X13" s="159">
        <f>W13*VLOOKUP(R13&amp;S13,$B$20:$H$32,7,FALSE)</f>
        <v>900</v>
      </c>
      <c r="Y13" s="159" t="str">
        <f t="shared" si="1"/>
        <v>T2低</v>
      </c>
      <c r="Z13" s="423">
        <f t="shared" si="6"/>
        <v>55</v>
      </c>
      <c r="AA13" s="339">
        <f>Z13*VLOOKUP(R13&amp;S13,$B$20:$K$32,10,FALSE)</f>
        <v>10.45</v>
      </c>
      <c r="AB13" s="330">
        <f t="shared" si="4"/>
        <v>4</v>
      </c>
      <c r="AC13" s="8">
        <v>0.185</v>
      </c>
      <c r="AD13" s="571">
        <f>AC13*VLOOKUP(R13&amp;S13,游戏时长规划!$B$66:$D$78,3,FALSE)</f>
        <v>2.9969999999999999</v>
      </c>
      <c r="AE13" s="571">
        <f>ROUND(AD13*VLOOKUP(R13&amp;S13,$C$50:$D$62,2,FALSE)/500,0)*500</f>
        <v>64500</v>
      </c>
      <c r="AF13" s="157"/>
      <c r="AG13" s="423" t="str">
        <f>Q13&amp;R13&amp;S13&amp;U13</f>
        <v>2T2低4</v>
      </c>
      <c r="AH13" s="339">
        <f t="shared" si="2"/>
        <v>10.45</v>
      </c>
      <c r="AI13" s="423">
        <f t="shared" si="3"/>
        <v>2700</v>
      </c>
    </row>
    <row r="14" spans="2:35" x14ac:dyDescent="0.35">
      <c r="B14" s="655" t="s">
        <v>923</v>
      </c>
      <c r="C14" s="652" t="s">
        <v>990</v>
      </c>
      <c r="D14" s="645">
        <f>坦克等级成长!S21</f>
        <v>17</v>
      </c>
      <c r="E14" s="645">
        <f>坦克等级成长!J21</f>
        <v>2.06</v>
      </c>
      <c r="F14" s="645">
        <f>坦克等级成长!K21</f>
        <v>4</v>
      </c>
      <c r="G14" s="720">
        <f t="shared" si="5"/>
        <v>8.741816</v>
      </c>
      <c r="H14" s="720">
        <f t="shared" si="7"/>
        <v>64</v>
      </c>
      <c r="I14" s="713">
        <f t="shared" si="8"/>
        <v>7823.9253199999912</v>
      </c>
      <c r="J14" s="713">
        <f t="shared" si="9"/>
        <v>57279.999999999935</v>
      </c>
      <c r="K14" s="8">
        <v>50</v>
      </c>
      <c r="L14" s="210">
        <f t="shared" si="10"/>
        <v>155</v>
      </c>
      <c r="M14" s="210">
        <f t="shared" si="11"/>
        <v>7750</v>
      </c>
      <c r="N14" s="9">
        <v>3</v>
      </c>
      <c r="O14" s="835">
        <v>2.9833333333333298</v>
      </c>
      <c r="Q14" s="189">
        <f>IF(T13=U13,Q13+1,Q13)</f>
        <v>2</v>
      </c>
      <c r="R14" s="205" t="str">
        <f t="shared" si="0"/>
        <v>T2</v>
      </c>
      <c r="S14" s="205" t="str">
        <f t="shared" si="0"/>
        <v>低</v>
      </c>
      <c r="T14" s="423">
        <f>VLOOKUP(R14&amp;S14,$B$20:$F$32,5,FALSE)</f>
        <v>6</v>
      </c>
      <c r="U14" s="189">
        <f>IF(R14&amp;S14&lt;&gt;R13&amp;S13,0,IF(U13&lt;T13,U13+1,0))</f>
        <v>5</v>
      </c>
      <c r="V14" s="8">
        <v>1.0940000000000001</v>
      </c>
      <c r="W14" s="645">
        <f>ROUNDUP(IF(U14=0,VLOOKUP(R14&amp;S14,$B$20:$G$32,6,FALSE),VLOOKUP(R14&amp;S14,$B$20:$G$32,6,FALSE)*V14)/5,0)*5</f>
        <v>15</v>
      </c>
      <c r="X14" s="159">
        <f>W14*VLOOKUP(R14&amp;S14,$B$20:$H$32,7,FALSE)</f>
        <v>900</v>
      </c>
      <c r="Y14" s="159" t="str">
        <f t="shared" si="1"/>
        <v>T2低</v>
      </c>
      <c r="Z14" s="423">
        <f t="shared" si="6"/>
        <v>70</v>
      </c>
      <c r="AA14" s="339">
        <f>Z14*VLOOKUP(R14&amp;S14,$B$20:$K$32,10,FALSE)</f>
        <v>13.3</v>
      </c>
      <c r="AB14" s="330">
        <f t="shared" si="4"/>
        <v>5</v>
      </c>
      <c r="AC14" s="8">
        <v>0.22</v>
      </c>
      <c r="AD14" s="571">
        <f>AC14*VLOOKUP(R14&amp;S14,游戏时长规划!$B$66:$D$78,3,FALSE)</f>
        <v>3.5640000000000001</v>
      </c>
      <c r="AE14" s="571">
        <f>ROUND(AD14*VLOOKUP(R14&amp;S14,$C$50:$D$62,2,FALSE)/500,0)*500</f>
        <v>76500</v>
      </c>
      <c r="AF14" s="157"/>
      <c r="AG14" s="423" t="str">
        <f>Q14&amp;R14&amp;S14&amp;U14</f>
        <v>2T2低5</v>
      </c>
      <c r="AH14" s="339">
        <f t="shared" si="2"/>
        <v>13.3</v>
      </c>
      <c r="AI14" s="423">
        <f t="shared" si="3"/>
        <v>3600</v>
      </c>
    </row>
    <row r="15" spans="2:35" x14ac:dyDescent="0.35">
      <c r="B15" s="655" t="s">
        <v>924</v>
      </c>
      <c r="C15" s="652" t="s">
        <v>12</v>
      </c>
      <c r="D15" s="645">
        <f>坦克等级成长!S22</f>
        <v>12</v>
      </c>
      <c r="E15" s="645">
        <f>坦克等级成长!J22</f>
        <v>2.4</v>
      </c>
      <c r="F15" s="645">
        <f>坦克等级成长!K22</f>
        <v>3.6</v>
      </c>
      <c r="G15" s="720">
        <f t="shared" si="5"/>
        <v>13.824</v>
      </c>
      <c r="H15" s="720">
        <f t="shared" si="7"/>
        <v>46.656000000000006</v>
      </c>
      <c r="I15" s="713">
        <f t="shared" si="8"/>
        <v>13409.279999999984</v>
      </c>
      <c r="J15" s="713">
        <f t="shared" si="9"/>
        <v>45256.319999999956</v>
      </c>
      <c r="K15" s="8">
        <v>80</v>
      </c>
      <c r="L15" s="210">
        <f t="shared" si="10"/>
        <v>170</v>
      </c>
      <c r="M15" s="210">
        <f t="shared" si="11"/>
        <v>13600</v>
      </c>
      <c r="N15" s="9">
        <v>3</v>
      </c>
      <c r="O15" s="835">
        <v>3.2333333333333298</v>
      </c>
      <c r="Q15" s="189">
        <f>IF(T14=U14,Q14+1,Q14)</f>
        <v>2</v>
      </c>
      <c r="R15" s="205" t="str">
        <f t="shared" si="0"/>
        <v>T2</v>
      </c>
      <c r="S15" s="205" t="str">
        <f t="shared" si="0"/>
        <v>低</v>
      </c>
      <c r="T15" s="423">
        <f>VLOOKUP(R15&amp;S15,$B$20:$F$32,5,FALSE)</f>
        <v>6</v>
      </c>
      <c r="U15" s="189">
        <f>IF(R15&amp;S15&lt;&gt;R14&amp;S14,0,IF(U14&lt;T14,U14+1,0))</f>
        <v>6</v>
      </c>
      <c r="V15" s="8">
        <v>1.0940000000000001</v>
      </c>
      <c r="W15" s="645">
        <f>ROUNDUP(IF(U15=0,VLOOKUP(R15&amp;S15,$B$20:$G$32,6,FALSE),VLOOKUP(R15&amp;S15,$B$20:$G$32,6,FALSE)*V15)/5,0)*5</f>
        <v>15</v>
      </c>
      <c r="X15" s="159">
        <f>W15*VLOOKUP(R15&amp;S15,$B$20:$H$32,7,FALSE)</f>
        <v>900</v>
      </c>
      <c r="Y15" s="159" t="str">
        <f t="shared" si="1"/>
        <v>T2低</v>
      </c>
      <c r="Z15" s="423">
        <f t="shared" si="6"/>
        <v>85</v>
      </c>
      <c r="AA15" s="339">
        <f>Z15*VLOOKUP(R15&amp;S15,$B$20:$K$32,10,FALSE)</f>
        <v>16.149999999999999</v>
      </c>
      <c r="AB15" s="330">
        <f t="shared" si="4"/>
        <v>6</v>
      </c>
      <c r="AC15" s="8">
        <v>0.255</v>
      </c>
      <c r="AD15" s="571">
        <f>AC15*VLOOKUP(R15&amp;S15,游戏时长规划!$B$66:$D$78,3,FALSE)</f>
        <v>4.1310000000000002</v>
      </c>
      <c r="AE15" s="571">
        <f>ROUND(AD15*VLOOKUP(R15&amp;S15,$C$50:$D$62,2,FALSE)/500,0)*500</f>
        <v>89000</v>
      </c>
      <c r="AF15" s="157"/>
      <c r="AG15" s="423" t="str">
        <f>Q15&amp;R15&amp;S15&amp;U15</f>
        <v>2T2低6</v>
      </c>
      <c r="AH15" s="339">
        <f t="shared" si="2"/>
        <v>16.149999999999999</v>
      </c>
      <c r="AI15" s="423">
        <f t="shared" si="3"/>
        <v>4500</v>
      </c>
    </row>
    <row r="16" spans="2:35" x14ac:dyDescent="0.35">
      <c r="B16" s="655" t="s">
        <v>924</v>
      </c>
      <c r="C16" s="652" t="s">
        <v>989</v>
      </c>
      <c r="D16" s="645">
        <f>坦克等级成长!S23</f>
        <v>20</v>
      </c>
      <c r="E16" s="645">
        <f>坦克等级成长!J23</f>
        <v>2.4750000000000001</v>
      </c>
      <c r="F16" s="645">
        <f>坦克等级成长!K23</f>
        <v>4.58</v>
      </c>
      <c r="G16" s="720">
        <f t="shared" si="5"/>
        <v>15.160921875000001</v>
      </c>
      <c r="H16" s="720">
        <f t="shared" si="7"/>
        <v>96.071912000000012</v>
      </c>
      <c r="I16" s="713">
        <f t="shared" si="8"/>
        <v>15843.163359374985</v>
      </c>
      <c r="J16" s="713">
        <f t="shared" si="9"/>
        <v>100395.14803999991</v>
      </c>
      <c r="K16" s="8">
        <v>80</v>
      </c>
      <c r="L16" s="210">
        <f t="shared" si="10"/>
        <v>200</v>
      </c>
      <c r="M16" s="210">
        <f t="shared" si="11"/>
        <v>16000</v>
      </c>
      <c r="N16" s="9">
        <v>3</v>
      </c>
      <c r="O16" s="835">
        <v>3.4833333333333298</v>
      </c>
      <c r="Q16" s="189">
        <f>IF(T15=U15,Q15+1,Q15)</f>
        <v>3</v>
      </c>
      <c r="R16" s="205" t="str">
        <f t="shared" si="0"/>
        <v>T2</v>
      </c>
      <c r="S16" s="205" t="str">
        <f t="shared" si="0"/>
        <v>中</v>
      </c>
      <c r="T16" s="423">
        <f>VLOOKUP(R16&amp;S16,$B$20:$F$32,5,FALSE)</f>
        <v>11</v>
      </c>
      <c r="U16" s="189">
        <f>IF(R16&amp;S16&lt;&gt;R15&amp;S15,0,IF(U15&lt;T15,U15+1,0))</f>
        <v>0</v>
      </c>
      <c r="V16" s="9">
        <v>0</v>
      </c>
      <c r="W16" s="645">
        <f>ROUNDUP(IF(U16=0,VLOOKUP(R16&amp;S16,$B$20:$G$32,6,FALSE),VLOOKUP(R16&amp;S16,$B$20:$G$32,6,FALSE)*V16)/5,0)*5</f>
        <v>10</v>
      </c>
      <c r="X16" s="159">
        <f>W16*VLOOKUP(R16&amp;S16,$B$20:$H$32,7,FALSE)</f>
        <v>850</v>
      </c>
      <c r="Y16" s="159" t="str">
        <f t="shared" si="1"/>
        <v>T2中</v>
      </c>
      <c r="Z16" s="423">
        <f t="shared" si="6"/>
        <v>10</v>
      </c>
      <c r="AA16" s="339">
        <f>Z16*VLOOKUP(R16&amp;S16,$B$20:$K$32,10,FALSE)</f>
        <v>2.7</v>
      </c>
      <c r="AB16" s="330">
        <f t="shared" si="4"/>
        <v>0</v>
      </c>
      <c r="AC16" s="8">
        <v>0</v>
      </c>
      <c r="AD16" s="571">
        <f>AC16*VLOOKUP(R16&amp;S16,游戏时长规划!$B$66:$D$78,3,FALSE)</f>
        <v>0</v>
      </c>
      <c r="AE16" s="571">
        <f>ROUND(AD16*VLOOKUP(R16&amp;S16,$C$50:$D$62,2,FALSE)/500,0)*500</f>
        <v>0</v>
      </c>
      <c r="AF16" s="157"/>
      <c r="AG16" s="423" t="str">
        <f>Q16&amp;R16&amp;S16&amp;U16</f>
        <v>3T2中0</v>
      </c>
      <c r="AH16" s="339">
        <f t="shared" si="2"/>
        <v>2.7</v>
      </c>
      <c r="AI16" s="423">
        <f t="shared" si="3"/>
        <v>0</v>
      </c>
    </row>
    <row r="17" spans="2:35" x14ac:dyDescent="0.35">
      <c r="B17" s="655" t="s">
        <v>924</v>
      </c>
      <c r="C17" s="652" t="s">
        <v>990</v>
      </c>
      <c r="D17" s="645">
        <f>坦克等级成长!S24</f>
        <v>20</v>
      </c>
      <c r="E17" s="645">
        <f>坦克等级成长!J24</f>
        <v>2.6</v>
      </c>
      <c r="F17" s="645">
        <f>坦克等级成长!K24</f>
        <v>4.8800000000000008</v>
      </c>
      <c r="G17" s="720">
        <f t="shared" si="5"/>
        <v>17.576000000000004</v>
      </c>
      <c r="H17" s="720">
        <f t="shared" si="7"/>
        <v>116.21427200000005</v>
      </c>
      <c r="I17" s="713">
        <f t="shared" si="8"/>
        <v>19685.119999999984</v>
      </c>
      <c r="J17" s="713">
        <f t="shared" si="9"/>
        <v>130159.98463999994</v>
      </c>
      <c r="K17" s="8">
        <v>80</v>
      </c>
      <c r="L17" s="210">
        <f t="shared" si="10"/>
        <v>245</v>
      </c>
      <c r="M17" s="210">
        <f t="shared" si="11"/>
        <v>19600</v>
      </c>
      <c r="N17" s="9">
        <v>3</v>
      </c>
      <c r="O17" s="835">
        <v>3.7333333333333298</v>
      </c>
      <c r="Q17" s="189">
        <f>IF(T16=U16,Q16+1,Q16)</f>
        <v>3</v>
      </c>
      <c r="R17" s="205" t="str">
        <f t="shared" si="0"/>
        <v>T2</v>
      </c>
      <c r="S17" s="205" t="str">
        <f t="shared" si="0"/>
        <v>中</v>
      </c>
      <c r="T17" s="423">
        <f>VLOOKUP(R17&amp;S17,$B$20:$F$32,5,FALSE)</f>
        <v>11</v>
      </c>
      <c r="U17" s="189">
        <f>IF(R17&amp;S17&lt;&gt;R16&amp;S16,0,IF(U16&lt;T16,U16+1,0))</f>
        <v>1</v>
      </c>
      <c r="V17" s="9">
        <v>0.91700000000000004</v>
      </c>
      <c r="W17" s="645">
        <f>ROUNDUP(IF(U17=0,VLOOKUP(R17&amp;S17,$B$20:$G$32,6,FALSE),VLOOKUP(R17&amp;S17,$B$20:$G$32,6,FALSE)*V17)/5,0)*5</f>
        <v>10</v>
      </c>
      <c r="X17" s="159">
        <f>W17*VLOOKUP(R17&amp;S17,$B$20:$H$32,7,FALSE)</f>
        <v>850</v>
      </c>
      <c r="Y17" s="159" t="str">
        <f t="shared" si="1"/>
        <v>T2中</v>
      </c>
      <c r="Z17" s="423">
        <f t="shared" si="6"/>
        <v>20</v>
      </c>
      <c r="AA17" s="339">
        <f>Z17*VLOOKUP(R17&amp;S17,$B$20:$K$32,10,FALSE)</f>
        <v>5.4</v>
      </c>
      <c r="AB17" s="330">
        <f t="shared" si="4"/>
        <v>1</v>
      </c>
      <c r="AC17" s="8">
        <v>2.5999999999999999E-2</v>
      </c>
      <c r="AD17" s="571">
        <f>AC17*VLOOKUP(R17&amp;S17,游戏时长规划!$B$66:$D$78,3,FALSE)</f>
        <v>1.2636000000000001</v>
      </c>
      <c r="AE17" s="571">
        <f>ROUND(AD17*VLOOKUP(R17&amp;S17,$C$50:$D$62,2,FALSE)/500,0)*500</f>
        <v>29500</v>
      </c>
      <c r="AF17" s="157"/>
      <c r="AG17" s="423" t="str">
        <f>Q17&amp;R17&amp;S17&amp;U17</f>
        <v>3T2中1</v>
      </c>
      <c r="AH17" s="339">
        <f t="shared" si="2"/>
        <v>5.4</v>
      </c>
      <c r="AI17" s="423">
        <f t="shared" si="3"/>
        <v>850</v>
      </c>
    </row>
    <row r="18" spans="2:35" x14ac:dyDescent="0.35">
      <c r="Q18" s="189">
        <f>IF(T17=U17,Q17+1,Q17)</f>
        <v>3</v>
      </c>
      <c r="R18" s="205" t="str">
        <f t="shared" si="0"/>
        <v>T2</v>
      </c>
      <c r="S18" s="205" t="str">
        <f t="shared" si="0"/>
        <v>中</v>
      </c>
      <c r="T18" s="423">
        <f>VLOOKUP(R18&amp;S18,$B$20:$F$32,5,FALSE)</f>
        <v>11</v>
      </c>
      <c r="U18" s="189">
        <f>IF(R18&amp;S18&lt;&gt;R17&amp;S17,0,IF(U17&lt;T17,U17+1,0))</f>
        <v>2</v>
      </c>
      <c r="V18" s="9">
        <v>0.91700000000000004</v>
      </c>
      <c r="W18" s="645">
        <f>ROUNDUP(IF(U18=0,VLOOKUP(R18&amp;S18,$B$20:$G$32,6,FALSE),VLOOKUP(R18&amp;S18,$B$20:$G$32,6,FALSE)*V18)/5,0)*5</f>
        <v>10</v>
      </c>
      <c r="X18" s="159">
        <f>W18*VLOOKUP(R18&amp;S18,$B$20:$H$32,7,FALSE)</f>
        <v>850</v>
      </c>
      <c r="Y18" s="159" t="str">
        <f t="shared" si="1"/>
        <v>T2中</v>
      </c>
      <c r="Z18" s="423">
        <f>IF(Y18&lt;&gt;Y17,W18,W18+Z17)</f>
        <v>30</v>
      </c>
      <c r="AA18" s="339">
        <f>Z18*VLOOKUP(R18&amp;S18,$B$20:$K$32,10,FALSE)</f>
        <v>8.1000000000000014</v>
      </c>
      <c r="AB18" s="330">
        <f t="shared" si="4"/>
        <v>2</v>
      </c>
      <c r="AC18" s="8">
        <v>3.9E-2</v>
      </c>
      <c r="AD18" s="571">
        <f>AC18*VLOOKUP(R18&amp;S18,游戏时长规划!$B$66:$D$78,3,FALSE)</f>
        <v>1.8954</v>
      </c>
      <c r="AE18" s="571">
        <f>ROUND(AD18*VLOOKUP(R18&amp;S18,$C$50:$D$62,2,FALSE)/500,0)*500</f>
        <v>44000</v>
      </c>
      <c r="AF18" s="157"/>
      <c r="AG18" s="423" t="str">
        <f>Q18&amp;R18&amp;S18&amp;U18</f>
        <v>3T2中2</v>
      </c>
      <c r="AH18" s="339">
        <f t="shared" si="2"/>
        <v>8.1000000000000014</v>
      </c>
      <c r="AI18" s="423">
        <f>IF(U18=0,0,X18+AI17)</f>
        <v>1700</v>
      </c>
    </row>
    <row r="19" spans="2:35" x14ac:dyDescent="0.35">
      <c r="B19" s="731" t="s">
        <v>3249</v>
      </c>
      <c r="C19" s="744"/>
      <c r="D19" s="744"/>
      <c r="E19" s="744"/>
      <c r="F19" s="744"/>
      <c r="G19" s="744"/>
      <c r="H19" s="744"/>
      <c r="I19" s="744"/>
      <c r="J19" s="744"/>
      <c r="K19" s="744"/>
      <c r="L19" s="744"/>
      <c r="Q19" s="189">
        <f>IF(T18=U18,Q18+1,Q18)</f>
        <v>3</v>
      </c>
      <c r="R19" s="205" t="str">
        <f t="shared" si="0"/>
        <v>T2</v>
      </c>
      <c r="S19" s="205" t="str">
        <f t="shared" si="0"/>
        <v>中</v>
      </c>
      <c r="T19" s="423">
        <f>VLOOKUP(R19&amp;S19,$B$20:$F$32,5,FALSE)</f>
        <v>11</v>
      </c>
      <c r="U19" s="189">
        <f>IF(R19&amp;S19&lt;&gt;R18&amp;S18,0,IF(U18&lt;T18,U18+1,0))</f>
        <v>3</v>
      </c>
      <c r="V19" s="8">
        <v>0.91700000000000004</v>
      </c>
      <c r="W19" s="645">
        <f>ROUNDUP(IF(U19=0,VLOOKUP(R19&amp;S19,$B$20:$G$32,6,FALSE),VLOOKUP(R19&amp;S19,$B$20:$G$32,6,FALSE)*V19)/5,0)*5</f>
        <v>10</v>
      </c>
      <c r="X19" s="159">
        <f>W19*VLOOKUP(R19&amp;S19,$B$20:$H$32,7,FALSE)</f>
        <v>850</v>
      </c>
      <c r="Y19" s="159" t="str">
        <f t="shared" si="1"/>
        <v>T2中</v>
      </c>
      <c r="Z19" s="423">
        <f t="shared" si="6"/>
        <v>40</v>
      </c>
      <c r="AA19" s="339">
        <f>Z19*VLOOKUP(R19&amp;S19,$B$20:$K$32,10,FALSE)</f>
        <v>10.8</v>
      </c>
      <c r="AB19" s="330">
        <f t="shared" si="4"/>
        <v>3</v>
      </c>
      <c r="AC19" s="8">
        <v>5.1999999999999998E-2</v>
      </c>
      <c r="AD19" s="571">
        <f>AC19*VLOOKUP(R19&amp;S19,游戏时长规划!$B$66:$D$78,3,FALSE)</f>
        <v>2.5272000000000001</v>
      </c>
      <c r="AE19" s="571">
        <f>ROUND(AD19*VLOOKUP(R19&amp;S19,$C$50:$D$62,2,FALSE)/500,0)*500</f>
        <v>59000</v>
      </c>
      <c r="AF19" s="157"/>
      <c r="AG19" s="423" t="str">
        <f>Q19&amp;R19&amp;S19&amp;U19</f>
        <v>3T2中3</v>
      </c>
      <c r="AH19" s="339">
        <f t="shared" si="2"/>
        <v>10.8</v>
      </c>
      <c r="AI19" s="423">
        <f t="shared" si="3"/>
        <v>2550</v>
      </c>
    </row>
    <row r="20" spans="2:35" x14ac:dyDescent="0.35">
      <c r="B20" s="427" t="s">
        <v>2014</v>
      </c>
      <c r="C20" s="205" t="s">
        <v>1100</v>
      </c>
      <c r="D20" s="153" t="s">
        <v>836</v>
      </c>
      <c r="E20" s="156" t="s">
        <v>890</v>
      </c>
      <c r="F20" s="156" t="s">
        <v>891</v>
      </c>
      <c r="G20" s="156" t="s">
        <v>892</v>
      </c>
      <c r="H20" s="156" t="s">
        <v>899</v>
      </c>
      <c r="I20" s="156" t="s">
        <v>900</v>
      </c>
      <c r="J20" s="289" t="s">
        <v>1292</v>
      </c>
      <c r="K20" s="338" t="s">
        <v>1686</v>
      </c>
      <c r="L20" s="407" t="s">
        <v>1854</v>
      </c>
      <c r="M20" s="673"/>
      <c r="N20" s="673"/>
      <c r="O20" s="673"/>
      <c r="Q20" s="189">
        <f>IF(T19=U19,Q19+1,Q19)</f>
        <v>3</v>
      </c>
      <c r="R20" s="205" t="str">
        <f t="shared" si="0"/>
        <v>T2</v>
      </c>
      <c r="S20" s="205" t="str">
        <f t="shared" si="0"/>
        <v>中</v>
      </c>
      <c r="T20" s="423">
        <f>VLOOKUP(R20&amp;S20,$B$20:$F$32,5,FALSE)</f>
        <v>11</v>
      </c>
      <c r="U20" s="189">
        <f>IF(R20&amp;S20&lt;&gt;R19&amp;S19,0,IF(U19&lt;T19,U19+1,0))</f>
        <v>4</v>
      </c>
      <c r="V20" s="8">
        <v>1.375</v>
      </c>
      <c r="W20" s="645">
        <f>ROUNDUP(IF(U20=0,VLOOKUP(R20&amp;S20,$B$20:$G$32,6,FALSE),VLOOKUP(R20&amp;S20,$B$20:$G$32,6,FALSE)*V20)/5,0)*5</f>
        <v>15</v>
      </c>
      <c r="X20" s="159">
        <f>W20*VLOOKUP(R20&amp;S20,$B$20:$H$32,7,FALSE)</f>
        <v>1275</v>
      </c>
      <c r="Y20" s="159" t="str">
        <f t="shared" si="1"/>
        <v>T2中</v>
      </c>
      <c r="Z20" s="423">
        <f t="shared" si="6"/>
        <v>55</v>
      </c>
      <c r="AA20" s="339">
        <f>Z20*VLOOKUP(R20&amp;S20,$B$20:$K$32,10,FALSE)</f>
        <v>14.850000000000001</v>
      </c>
      <c r="AB20" s="330">
        <f t="shared" si="4"/>
        <v>4</v>
      </c>
      <c r="AC20" s="8">
        <v>6.5000000000000002E-2</v>
      </c>
      <c r="AD20" s="571">
        <f>AC20*VLOOKUP(R20&amp;S20,游戏时长规划!$B$66:$D$78,3,FALSE)</f>
        <v>3.1590000000000003</v>
      </c>
      <c r="AE20" s="571">
        <f>ROUND(AD20*VLOOKUP(R20&amp;S20,$C$50:$D$62,2,FALSE)/500,0)*500</f>
        <v>73500</v>
      </c>
      <c r="AF20" s="157"/>
      <c r="AG20" s="423" t="str">
        <f>Q20&amp;R20&amp;S20&amp;U20</f>
        <v>3T2中4</v>
      </c>
      <c r="AH20" s="339">
        <f t="shared" si="2"/>
        <v>14.850000000000001</v>
      </c>
      <c r="AI20" s="423">
        <f t="shared" si="3"/>
        <v>3825</v>
      </c>
    </row>
    <row r="21" spans="2:35" x14ac:dyDescent="0.35">
      <c r="B21" s="423" t="str">
        <f>D21&amp;E21</f>
        <v>T1低</v>
      </c>
      <c r="C21" s="189">
        <v>1</v>
      </c>
      <c r="D21" s="205" t="s">
        <v>1099</v>
      </c>
      <c r="E21" s="199" t="s">
        <v>12</v>
      </c>
      <c r="F21" s="156">
        <f>坦克等级成长!S13</f>
        <v>4</v>
      </c>
      <c r="G21" s="156">
        <f t="shared" ref="G21:G32" si="12">K6</f>
        <v>5</v>
      </c>
      <c r="H21" s="210">
        <f t="shared" ref="H21:H32" si="13">L6</f>
        <v>60</v>
      </c>
      <c r="I21" s="210">
        <f>VLOOKUP(C21&amp;D21&amp;E21&amp;F21,$AG$3:$AI$168,3,FALSE)</f>
        <v>1800</v>
      </c>
      <c r="J21" s="272">
        <f>I21/H21/G21</f>
        <v>6</v>
      </c>
      <c r="K21" s="214">
        <f>游戏时长规划!C67/G21</f>
        <v>0.2</v>
      </c>
      <c r="L21" s="401">
        <f>I21+H21*G21</f>
        <v>2100</v>
      </c>
      <c r="M21" s="672"/>
      <c r="N21" s="672"/>
      <c r="O21" s="672"/>
      <c r="Q21" s="189">
        <f>IF(T20=U20,Q20+1,Q20)</f>
        <v>3</v>
      </c>
      <c r="R21" s="205" t="str">
        <f t="shared" si="0"/>
        <v>T2</v>
      </c>
      <c r="S21" s="205" t="str">
        <f t="shared" si="0"/>
        <v>中</v>
      </c>
      <c r="T21" s="423">
        <f>VLOOKUP(R21&amp;S21,$B$20:$F$32,5,FALSE)</f>
        <v>11</v>
      </c>
      <c r="U21" s="189">
        <f>IF(R21&amp;S21&lt;&gt;R20&amp;S20,0,IF(U20&lt;T20,U20+1,0))</f>
        <v>5</v>
      </c>
      <c r="V21" s="8">
        <v>1.375</v>
      </c>
      <c r="W21" s="645">
        <f>ROUNDUP(IF(U21=0,VLOOKUP(R21&amp;S21,$B$20:$G$32,6,FALSE),VLOOKUP(R21&amp;S21,$B$20:$G$32,6,FALSE)*V21)/5,0)*5</f>
        <v>15</v>
      </c>
      <c r="X21" s="159">
        <f>W21*VLOOKUP(R21&amp;S21,$B$20:$H$32,7,FALSE)</f>
        <v>1275</v>
      </c>
      <c r="Y21" s="159" t="str">
        <f t="shared" si="1"/>
        <v>T2中</v>
      </c>
      <c r="Z21" s="423">
        <f t="shared" si="6"/>
        <v>70</v>
      </c>
      <c r="AA21" s="339">
        <f>Z21*VLOOKUP(R21&amp;S21,$B$20:$K$32,10,FALSE)</f>
        <v>18.900000000000002</v>
      </c>
      <c r="AB21" s="330">
        <f t="shared" si="4"/>
        <v>5</v>
      </c>
      <c r="AC21" s="8">
        <v>7.8E-2</v>
      </c>
      <c r="AD21" s="571">
        <f>AC21*VLOOKUP(R21&amp;S21,游戏时长规划!$B$66:$D$78,3,FALSE)</f>
        <v>3.7907999999999999</v>
      </c>
      <c r="AE21" s="571">
        <f>ROUND(AD21*VLOOKUP(R21&amp;S21,$C$50:$D$62,2,FALSE)/500,0)*500</f>
        <v>88000</v>
      </c>
      <c r="AF21" s="157"/>
      <c r="AG21" s="423" t="str">
        <f>Q21&amp;R21&amp;S21&amp;U21</f>
        <v>3T2中5</v>
      </c>
      <c r="AH21" s="339">
        <f t="shared" si="2"/>
        <v>18.900000000000002</v>
      </c>
      <c r="AI21" s="423">
        <f t="shared" si="3"/>
        <v>5100</v>
      </c>
    </row>
    <row r="22" spans="2:35" x14ac:dyDescent="0.35">
      <c r="B22" s="423" t="str">
        <f t="shared" ref="B22:B32" si="14">D22&amp;E22</f>
        <v>T2低</v>
      </c>
      <c r="C22" s="189">
        <v>2</v>
      </c>
      <c r="D22" s="205" t="s">
        <v>921</v>
      </c>
      <c r="E22" s="199" t="s">
        <v>12</v>
      </c>
      <c r="F22" s="189">
        <f>坦克等级成长!S14</f>
        <v>6</v>
      </c>
      <c r="G22" s="645">
        <f t="shared" si="12"/>
        <v>10</v>
      </c>
      <c r="H22" s="210">
        <f t="shared" si="13"/>
        <v>60</v>
      </c>
      <c r="I22" s="210">
        <f>VLOOKUP(C22&amp;D22&amp;E22&amp;F22,$AG$3:$AI$168,3,FALSE)</f>
        <v>4500</v>
      </c>
      <c r="J22" s="272">
        <f t="shared" ref="J22:J32" si="15">I22/H22/G22</f>
        <v>7.5</v>
      </c>
      <c r="K22" s="214">
        <f>游戏时长规划!C68/G22</f>
        <v>0.19</v>
      </c>
      <c r="L22" s="401">
        <f t="shared" ref="L22:L32" si="16">I22+H22*G22</f>
        <v>5100</v>
      </c>
      <c r="M22" s="672"/>
      <c r="N22" s="672"/>
      <c r="O22" s="672"/>
      <c r="Q22" s="189">
        <f>IF(T21=U21,Q21+1,Q21)</f>
        <v>3</v>
      </c>
      <c r="R22" s="205" t="str">
        <f t="shared" si="0"/>
        <v>T2</v>
      </c>
      <c r="S22" s="205" t="str">
        <f t="shared" si="0"/>
        <v>中</v>
      </c>
      <c r="T22" s="423">
        <f>VLOOKUP(R22&amp;S22,$B$20:$F$32,5,FALSE)</f>
        <v>11</v>
      </c>
      <c r="U22" s="189">
        <f>IF(R22&amp;S22&lt;&gt;R21&amp;S21,0,IF(U21&lt;T21,U21+1,0))</f>
        <v>6</v>
      </c>
      <c r="V22" s="8">
        <v>1.375</v>
      </c>
      <c r="W22" s="645">
        <f>ROUNDUP(IF(U22=0,VLOOKUP(R22&amp;S22,$B$20:$G$32,6,FALSE),VLOOKUP(R22&amp;S22,$B$20:$G$32,6,FALSE)*V22)/5,0)*5</f>
        <v>15</v>
      </c>
      <c r="X22" s="159">
        <f>W22*VLOOKUP(R22&amp;S22,$B$20:$H$32,7,FALSE)</f>
        <v>1275</v>
      </c>
      <c r="Y22" s="159" t="str">
        <f t="shared" si="1"/>
        <v>T2中</v>
      </c>
      <c r="Z22" s="423">
        <f t="shared" si="6"/>
        <v>85</v>
      </c>
      <c r="AA22" s="339">
        <f>Z22*VLOOKUP(R22&amp;S22,$B$20:$K$32,10,FALSE)</f>
        <v>22.950000000000003</v>
      </c>
      <c r="AB22" s="330">
        <f t="shared" si="4"/>
        <v>6</v>
      </c>
      <c r="AC22" s="8">
        <v>9.0999999999999998E-2</v>
      </c>
      <c r="AD22" s="571">
        <f>AC22*VLOOKUP(R22&amp;S22,游戏时长规划!$B$66:$D$78,3,FALSE)</f>
        <v>4.4226000000000001</v>
      </c>
      <c r="AE22" s="571">
        <f>ROUND(AD22*VLOOKUP(R22&amp;S22,$C$50:$D$62,2,FALSE)/500,0)*500</f>
        <v>103000</v>
      </c>
      <c r="AF22" s="157"/>
      <c r="AG22" s="423" t="str">
        <f>Q22&amp;R22&amp;S22&amp;U22</f>
        <v>3T2中6</v>
      </c>
      <c r="AH22" s="339">
        <f t="shared" si="2"/>
        <v>22.950000000000003</v>
      </c>
      <c r="AI22" s="423">
        <f t="shared" si="3"/>
        <v>6375</v>
      </c>
    </row>
    <row r="23" spans="2:35" x14ac:dyDescent="0.35">
      <c r="B23" s="423" t="str">
        <f t="shared" si="14"/>
        <v>T2中</v>
      </c>
      <c r="C23" s="189">
        <v>3</v>
      </c>
      <c r="D23" s="205" t="s">
        <v>921</v>
      </c>
      <c r="E23" s="199" t="s">
        <v>989</v>
      </c>
      <c r="F23" s="189">
        <f>坦克等级成长!S15</f>
        <v>11</v>
      </c>
      <c r="G23" s="645">
        <f t="shared" si="12"/>
        <v>10</v>
      </c>
      <c r="H23" s="210">
        <f t="shared" si="13"/>
        <v>85</v>
      </c>
      <c r="I23" s="210">
        <f>VLOOKUP(C23&amp;D23&amp;E23&amp;F23,$AG$3:$AI$168,3,FALSE)</f>
        <v>14450</v>
      </c>
      <c r="J23" s="272">
        <f t="shared" si="15"/>
        <v>17</v>
      </c>
      <c r="K23" s="214">
        <f>游戏时长规划!C69/G23</f>
        <v>0.27</v>
      </c>
      <c r="L23" s="401">
        <f t="shared" si="16"/>
        <v>15300</v>
      </c>
      <c r="M23" s="672"/>
      <c r="N23" s="672"/>
      <c r="O23" s="672"/>
      <c r="Q23" s="189">
        <f>IF(T22=U22,Q22+1,Q22)</f>
        <v>3</v>
      </c>
      <c r="R23" s="205" t="str">
        <f t="shared" si="0"/>
        <v>T2</v>
      </c>
      <c r="S23" s="205" t="str">
        <f t="shared" si="0"/>
        <v>中</v>
      </c>
      <c r="T23" s="423">
        <f>VLOOKUP(R23&amp;S23,$B$20:$F$32,5,FALSE)</f>
        <v>11</v>
      </c>
      <c r="U23" s="189">
        <f>IF(R23&amp;S23&lt;&gt;R22&amp;S22,0,IF(U22&lt;T22,U22+1,0))</f>
        <v>7</v>
      </c>
      <c r="V23" s="8">
        <v>1.375</v>
      </c>
      <c r="W23" s="645">
        <f>ROUNDUP(IF(U23=0,VLOOKUP(R23&amp;S23,$B$20:$G$32,6,FALSE),VLOOKUP(R23&amp;S23,$B$20:$G$32,6,FALSE)*V23)/5,0)*5</f>
        <v>15</v>
      </c>
      <c r="X23" s="159">
        <f>W23*VLOOKUP(R23&amp;S23,$B$20:$H$32,7,FALSE)</f>
        <v>1275</v>
      </c>
      <c r="Y23" s="159" t="str">
        <f t="shared" si="1"/>
        <v>T2中</v>
      </c>
      <c r="Z23" s="423">
        <f t="shared" si="6"/>
        <v>100</v>
      </c>
      <c r="AA23" s="339">
        <f>Z23*VLOOKUP(R23&amp;S23,$B$20:$K$32,10,FALSE)</f>
        <v>27</v>
      </c>
      <c r="AB23" s="330">
        <f t="shared" si="4"/>
        <v>7</v>
      </c>
      <c r="AC23" s="8">
        <v>0.104</v>
      </c>
      <c r="AD23" s="571">
        <f>AC23*VLOOKUP(R23&amp;S23,游戏时长规划!$B$66:$D$78,3,FALSE)</f>
        <v>5.0544000000000002</v>
      </c>
      <c r="AE23" s="571">
        <f>ROUND(AD23*VLOOKUP(R23&amp;S23,$C$50:$D$62,2,FALSE)/500,0)*500</f>
        <v>117500</v>
      </c>
      <c r="AF23" s="157"/>
      <c r="AG23" s="423" t="str">
        <f>Q23&amp;R23&amp;S23&amp;U23</f>
        <v>3T2中7</v>
      </c>
      <c r="AH23" s="339">
        <f t="shared" si="2"/>
        <v>27</v>
      </c>
      <c r="AI23" s="423">
        <f t="shared" si="3"/>
        <v>7650</v>
      </c>
    </row>
    <row r="24" spans="2:35" x14ac:dyDescent="0.35">
      <c r="B24" s="423" t="str">
        <f t="shared" si="14"/>
        <v>T3低</v>
      </c>
      <c r="C24" s="189">
        <v>4</v>
      </c>
      <c r="D24" s="205" t="s">
        <v>922</v>
      </c>
      <c r="E24" s="199" t="s">
        <v>12</v>
      </c>
      <c r="F24" s="189">
        <f>坦克等级成长!S16</f>
        <v>8</v>
      </c>
      <c r="G24" s="645">
        <f t="shared" si="12"/>
        <v>30</v>
      </c>
      <c r="H24" s="210">
        <f t="shared" si="13"/>
        <v>60</v>
      </c>
      <c r="I24" s="210">
        <f>VLOOKUP(C24&amp;D24&amp;E24&amp;F24,$AG$3:$AI$168,3,FALSE)</f>
        <v>9600</v>
      </c>
      <c r="J24" s="272">
        <f t="shared" si="15"/>
        <v>5.333333333333333</v>
      </c>
      <c r="K24" s="214">
        <f>游戏时长规划!C70/G24</f>
        <v>0.19333333333333333</v>
      </c>
      <c r="L24" s="401">
        <f t="shared" si="16"/>
        <v>11400</v>
      </c>
      <c r="M24" s="672"/>
      <c r="N24" s="672"/>
      <c r="O24" s="672"/>
      <c r="Q24" s="189">
        <f>IF(T23=U23,Q23+1,Q23)</f>
        <v>3</v>
      </c>
      <c r="R24" s="205" t="str">
        <f t="shared" ref="R24:S43" si="17">VLOOKUP($Q24,$C$20:$I$32,MATCH(R$3,$C$20:$I$20,0),FALSE)</f>
        <v>T2</v>
      </c>
      <c r="S24" s="205" t="str">
        <f t="shared" si="17"/>
        <v>中</v>
      </c>
      <c r="T24" s="423">
        <f>VLOOKUP(R24&amp;S24,$B$20:$F$32,5,FALSE)</f>
        <v>11</v>
      </c>
      <c r="U24" s="189">
        <f>IF(R24&amp;S24&lt;&gt;R23&amp;S23,0,IF(U23&lt;T23,U23+1,0))</f>
        <v>8</v>
      </c>
      <c r="V24" s="8">
        <v>1.8340000000000001</v>
      </c>
      <c r="W24" s="645">
        <f>ROUNDUP(IF(U24=0,VLOOKUP(R24&amp;S24,$B$20:$G$32,6,FALSE),VLOOKUP(R24&amp;S24,$B$20:$G$32,6,FALSE)*V24)/5,0)*5</f>
        <v>20</v>
      </c>
      <c r="X24" s="159">
        <f>W24*VLOOKUP(R24&amp;S24,$B$20:$H$32,7,FALSE)</f>
        <v>1700</v>
      </c>
      <c r="Y24" s="159" t="str">
        <f t="shared" si="1"/>
        <v>T2中</v>
      </c>
      <c r="Z24" s="423">
        <f t="shared" si="6"/>
        <v>120</v>
      </c>
      <c r="AA24" s="339">
        <f>Z24*VLOOKUP(R24&amp;S24,$B$20:$K$32,10,FALSE)</f>
        <v>32.400000000000006</v>
      </c>
      <c r="AB24" s="330">
        <f t="shared" si="4"/>
        <v>8</v>
      </c>
      <c r="AC24" s="8">
        <v>0.11700000000000001</v>
      </c>
      <c r="AD24" s="571">
        <f>AC24*VLOOKUP(R24&amp;S24,游戏时长规划!$B$66:$D$78,3,FALSE)</f>
        <v>5.6862000000000004</v>
      </c>
      <c r="AE24" s="571">
        <f>ROUND(AD24*VLOOKUP(R24&amp;S24,$C$50:$D$62,2,FALSE)/500,0)*500</f>
        <v>132500</v>
      </c>
      <c r="AF24" s="157"/>
      <c r="AG24" s="423" t="str">
        <f>Q24&amp;R24&amp;S24&amp;U24</f>
        <v>3T2中8</v>
      </c>
      <c r="AH24" s="339">
        <f t="shared" si="2"/>
        <v>32.400000000000006</v>
      </c>
      <c r="AI24" s="423">
        <f t="shared" si="3"/>
        <v>9350</v>
      </c>
    </row>
    <row r="25" spans="2:35" x14ac:dyDescent="0.35">
      <c r="B25" s="423" t="str">
        <f t="shared" si="14"/>
        <v>T3中</v>
      </c>
      <c r="C25" s="189">
        <v>5</v>
      </c>
      <c r="D25" s="205" t="s">
        <v>922</v>
      </c>
      <c r="E25" s="199" t="s">
        <v>989</v>
      </c>
      <c r="F25" s="189">
        <f>坦克等级成长!S17</f>
        <v>14</v>
      </c>
      <c r="G25" s="645">
        <f t="shared" si="12"/>
        <v>30</v>
      </c>
      <c r="H25" s="210">
        <f t="shared" si="13"/>
        <v>75</v>
      </c>
      <c r="I25" s="210">
        <f>VLOOKUP(C25&amp;D25&amp;E25&amp;F25,$AG$3:$AI$168,3,FALSE)</f>
        <v>32250</v>
      </c>
      <c r="J25" s="272">
        <f t="shared" si="15"/>
        <v>14.333333333333334</v>
      </c>
      <c r="K25" s="214">
        <f>游戏时长规划!C71/G25</f>
        <v>0.24000000000000002</v>
      </c>
      <c r="L25" s="401">
        <f t="shared" si="16"/>
        <v>34500</v>
      </c>
      <c r="M25" s="672"/>
      <c r="N25" s="672"/>
      <c r="O25" s="672"/>
      <c r="Q25" s="189">
        <f>IF(T24=U24,Q24+1,Q24)</f>
        <v>3</v>
      </c>
      <c r="R25" s="205" t="str">
        <f t="shared" si="17"/>
        <v>T2</v>
      </c>
      <c r="S25" s="205" t="str">
        <f t="shared" si="17"/>
        <v>中</v>
      </c>
      <c r="T25" s="423">
        <f>VLOOKUP(R25&amp;S25,$B$20:$F$32,5,FALSE)</f>
        <v>11</v>
      </c>
      <c r="U25" s="189">
        <f>IF(R25&amp;S25&lt;&gt;R24&amp;S24,0,IF(U24&lt;T24,U24+1,0))</f>
        <v>9</v>
      </c>
      <c r="V25" s="8">
        <v>1.8340000000000001</v>
      </c>
      <c r="W25" s="645">
        <f>ROUNDUP(IF(U25=0,VLOOKUP(R25&amp;S25,$B$20:$G$32,6,FALSE),VLOOKUP(R25&amp;S25,$B$20:$G$32,6,FALSE)*V25)/5,0)*5</f>
        <v>20</v>
      </c>
      <c r="X25" s="159">
        <f>W25*VLOOKUP(R25&amp;S25,$B$20:$H$32,7,FALSE)</f>
        <v>1700</v>
      </c>
      <c r="Y25" s="159" t="str">
        <f t="shared" si="1"/>
        <v>T2中</v>
      </c>
      <c r="Z25" s="423">
        <f t="shared" si="6"/>
        <v>140</v>
      </c>
      <c r="AA25" s="339">
        <f>Z25*VLOOKUP(R25&amp;S25,$B$20:$K$32,10,FALSE)</f>
        <v>37.800000000000004</v>
      </c>
      <c r="AB25" s="330">
        <f t="shared" si="4"/>
        <v>9</v>
      </c>
      <c r="AC25" s="8">
        <v>0.13</v>
      </c>
      <c r="AD25" s="571">
        <f>AC25*VLOOKUP(R25&amp;S25,游戏时长规划!$B$66:$D$78,3,FALSE)</f>
        <v>6.3180000000000005</v>
      </c>
      <c r="AE25" s="571">
        <f>ROUND(AD25*VLOOKUP(R25&amp;S25,$C$50:$D$62,2,FALSE)/500,0)*500</f>
        <v>147000</v>
      </c>
      <c r="AF25" s="157"/>
      <c r="AG25" s="423" t="str">
        <f>Q25&amp;R25&amp;S25&amp;U25</f>
        <v>3T2中9</v>
      </c>
      <c r="AH25" s="339">
        <f t="shared" si="2"/>
        <v>37.800000000000004</v>
      </c>
      <c r="AI25" s="423">
        <f t="shared" si="3"/>
        <v>11050</v>
      </c>
    </row>
    <row r="26" spans="2:35" x14ac:dyDescent="0.35">
      <c r="B26" s="423" t="str">
        <f t="shared" si="14"/>
        <v>T3高</v>
      </c>
      <c r="C26" s="189">
        <v>6</v>
      </c>
      <c r="D26" s="205" t="s">
        <v>922</v>
      </c>
      <c r="E26" s="199" t="s">
        <v>990</v>
      </c>
      <c r="F26" s="189">
        <f>坦克等级成长!S18</f>
        <v>14</v>
      </c>
      <c r="G26" s="645">
        <f t="shared" si="12"/>
        <v>30</v>
      </c>
      <c r="H26" s="210">
        <f t="shared" si="13"/>
        <v>95</v>
      </c>
      <c r="I26" s="210">
        <f>VLOOKUP(C26&amp;D26&amp;E26&amp;F26,$AG$3:$AI$168,3,FALSE)</f>
        <v>38475</v>
      </c>
      <c r="J26" s="272">
        <f t="shared" si="15"/>
        <v>13.5</v>
      </c>
      <c r="K26" s="214">
        <f>游戏时长规划!C72/G26</f>
        <v>0.30666666666666664</v>
      </c>
      <c r="L26" s="401">
        <f t="shared" si="16"/>
        <v>41325</v>
      </c>
      <c r="M26" s="672"/>
      <c r="N26" s="672"/>
      <c r="O26" s="672"/>
      <c r="Q26" s="189">
        <f>IF(T25=U25,Q25+1,Q25)</f>
        <v>3</v>
      </c>
      <c r="R26" s="205" t="str">
        <f t="shared" si="17"/>
        <v>T2</v>
      </c>
      <c r="S26" s="205" t="str">
        <f t="shared" si="17"/>
        <v>中</v>
      </c>
      <c r="T26" s="423">
        <f>VLOOKUP(R26&amp;S26,$B$20:$F$32,5,FALSE)</f>
        <v>11</v>
      </c>
      <c r="U26" s="189">
        <f>IF(R26&amp;S26&lt;&gt;R25&amp;S25,0,IF(U25&lt;T25,U25+1,0))</f>
        <v>10</v>
      </c>
      <c r="V26" s="8">
        <v>1.8340000000000001</v>
      </c>
      <c r="W26" s="645">
        <f>ROUNDUP(IF(U26=0,VLOOKUP(R26&amp;S26,$B$20:$G$32,6,FALSE),VLOOKUP(R26&amp;S26,$B$20:$G$32,6,FALSE)*V26)/5,0)*5</f>
        <v>20</v>
      </c>
      <c r="X26" s="159">
        <f>W26*VLOOKUP(R26&amp;S26,$B$20:$H$32,7,FALSE)</f>
        <v>1700</v>
      </c>
      <c r="Y26" s="159" t="str">
        <f t="shared" si="1"/>
        <v>T2中</v>
      </c>
      <c r="Z26" s="423">
        <f t="shared" si="6"/>
        <v>160</v>
      </c>
      <c r="AA26" s="339">
        <f>Z26*VLOOKUP(R26&amp;S26,$B$20:$K$32,10,FALSE)</f>
        <v>43.2</v>
      </c>
      <c r="AB26" s="330">
        <f t="shared" si="4"/>
        <v>10</v>
      </c>
      <c r="AC26" s="8">
        <v>0.14299999999999999</v>
      </c>
      <c r="AD26" s="571">
        <f>AC26*VLOOKUP(R26&amp;S26,游戏时长规划!$B$66:$D$78,3,FALSE)</f>
        <v>6.9497999999999998</v>
      </c>
      <c r="AE26" s="571">
        <f>ROUND(AD26*VLOOKUP(R26&amp;S26,$C$50:$D$62,2,FALSE)/500,0)*500</f>
        <v>161500</v>
      </c>
      <c r="AF26" s="157"/>
      <c r="AG26" s="423" t="str">
        <f>Q26&amp;R26&amp;S26&amp;U26</f>
        <v>3T2中10</v>
      </c>
      <c r="AH26" s="339">
        <f t="shared" si="2"/>
        <v>43.2</v>
      </c>
      <c r="AI26" s="423">
        <f t="shared" si="3"/>
        <v>12750</v>
      </c>
    </row>
    <row r="27" spans="2:35" x14ac:dyDescent="0.35">
      <c r="B27" s="423" t="str">
        <f t="shared" si="14"/>
        <v>T4低</v>
      </c>
      <c r="C27" s="189">
        <v>7</v>
      </c>
      <c r="D27" s="205" t="s">
        <v>923</v>
      </c>
      <c r="E27" s="199" t="s">
        <v>12</v>
      </c>
      <c r="F27" s="189">
        <f>坦克等级成长!S19</f>
        <v>10</v>
      </c>
      <c r="G27" s="645">
        <f t="shared" si="12"/>
        <v>50</v>
      </c>
      <c r="H27" s="210">
        <f t="shared" si="13"/>
        <v>100</v>
      </c>
      <c r="I27" s="210">
        <f>VLOOKUP(C27&amp;D27&amp;E27&amp;F27,$AG$3:$AI$168,3,FALSE)</f>
        <v>22500</v>
      </c>
      <c r="J27" s="272">
        <f t="shared" si="15"/>
        <v>4.5</v>
      </c>
      <c r="K27" s="214">
        <f>游戏时长规划!C73/G27</f>
        <v>0.32200000000000001</v>
      </c>
      <c r="L27" s="401">
        <f t="shared" si="16"/>
        <v>27500</v>
      </c>
      <c r="M27" s="672"/>
      <c r="N27" s="672"/>
      <c r="O27" s="672"/>
      <c r="Q27" s="189">
        <f>IF(T26=U26,Q26+1,Q26)</f>
        <v>3</v>
      </c>
      <c r="R27" s="205" t="str">
        <f t="shared" si="17"/>
        <v>T2</v>
      </c>
      <c r="S27" s="205" t="str">
        <f t="shared" si="17"/>
        <v>中</v>
      </c>
      <c r="T27" s="423">
        <f>VLOOKUP(R27&amp;S27,$B$20:$F$32,5,FALSE)</f>
        <v>11</v>
      </c>
      <c r="U27" s="189">
        <f>IF(R27&amp;S27&lt;&gt;R26&amp;S26,0,IF(U26&lt;T26,U26+1,0))</f>
        <v>11</v>
      </c>
      <c r="V27" s="8">
        <v>1.8340000000000001</v>
      </c>
      <c r="W27" s="645">
        <f>ROUNDUP(IF(U27=0,VLOOKUP(R27&amp;S27,$B$20:$G$32,6,FALSE),VLOOKUP(R27&amp;S27,$B$20:$G$32,6,FALSE)*V27)/5,0)*5</f>
        <v>20</v>
      </c>
      <c r="X27" s="159">
        <f>W27*VLOOKUP(R27&amp;S27,$B$20:$H$32,7,FALSE)</f>
        <v>1700</v>
      </c>
      <c r="Y27" s="159" t="str">
        <f t="shared" si="1"/>
        <v>T2中</v>
      </c>
      <c r="Z27" s="423">
        <f t="shared" si="6"/>
        <v>180</v>
      </c>
      <c r="AA27" s="339">
        <f>Z27*VLOOKUP(R27&amp;S27,$B$20:$K$32,10,FALSE)</f>
        <v>48.6</v>
      </c>
      <c r="AB27" s="330">
        <f t="shared" si="4"/>
        <v>11</v>
      </c>
      <c r="AC27" s="8">
        <v>0.156</v>
      </c>
      <c r="AD27" s="571">
        <f>AC27*VLOOKUP(R27&amp;S27,游戏时长规划!$B$66:$D$78,3,FALSE)</f>
        <v>7.5815999999999999</v>
      </c>
      <c r="AE27" s="571">
        <f>ROUND(AD27*VLOOKUP(R27&amp;S27,$C$50:$D$62,2,FALSE)/500,0)*500</f>
        <v>176500</v>
      </c>
      <c r="AF27" s="157"/>
      <c r="AG27" s="423" t="str">
        <f>Q27&amp;R27&amp;S27&amp;U27</f>
        <v>3T2中11</v>
      </c>
      <c r="AH27" s="339">
        <f t="shared" si="2"/>
        <v>48.6</v>
      </c>
      <c r="AI27" s="423">
        <f t="shared" si="3"/>
        <v>14450</v>
      </c>
    </row>
    <row r="28" spans="2:35" x14ac:dyDescent="0.35">
      <c r="B28" s="423" t="str">
        <f t="shared" si="14"/>
        <v>T4中</v>
      </c>
      <c r="C28" s="189">
        <v>8</v>
      </c>
      <c r="D28" s="205" t="s">
        <v>923</v>
      </c>
      <c r="E28" s="199" t="s">
        <v>989</v>
      </c>
      <c r="F28" s="189">
        <f>坦克等级成长!S20</f>
        <v>17</v>
      </c>
      <c r="G28" s="645">
        <f t="shared" si="12"/>
        <v>50</v>
      </c>
      <c r="H28" s="210">
        <f t="shared" si="13"/>
        <v>125</v>
      </c>
      <c r="I28" s="210">
        <f>VLOOKUP(C28&amp;D28&amp;E28&amp;F28,$AG$3:$AI$168,3,FALSE)</f>
        <v>61250</v>
      </c>
      <c r="J28" s="272">
        <f t="shared" si="15"/>
        <v>9.8000000000000007</v>
      </c>
      <c r="K28" s="214">
        <f>游戏时长规划!C74/G28</f>
        <v>0.40200000000000002</v>
      </c>
      <c r="L28" s="401">
        <f t="shared" si="16"/>
        <v>67500</v>
      </c>
      <c r="M28" s="672"/>
      <c r="N28" s="672"/>
      <c r="O28" s="672"/>
      <c r="Q28" s="189">
        <f>IF(T27=U27,Q27+1,Q27)</f>
        <v>4</v>
      </c>
      <c r="R28" s="205" t="str">
        <f t="shared" si="17"/>
        <v>T3</v>
      </c>
      <c r="S28" s="205" t="str">
        <f t="shared" si="17"/>
        <v>低</v>
      </c>
      <c r="T28" s="423">
        <f>VLOOKUP(R28&amp;S28,$B$20:$F$32,5,FALSE)</f>
        <v>8</v>
      </c>
      <c r="U28" s="189">
        <f>IF(R28&amp;S28&lt;&gt;R27&amp;S27,0,IF(U27&lt;T27,U27+1,0))</f>
        <v>0</v>
      </c>
      <c r="V28" s="8">
        <v>0</v>
      </c>
      <c r="W28" s="645">
        <f>ROUNDUP(IF(U28=0,VLOOKUP(R28&amp;S28,$B$20:$G$32,6,FALSE),VLOOKUP(R28&amp;S28,$B$20:$G$32,6,FALSE)*V28)/5,0)*5</f>
        <v>30</v>
      </c>
      <c r="X28" s="159">
        <f>W28*VLOOKUP(R28&amp;S28,$B$20:$H$32,7,FALSE)</f>
        <v>1800</v>
      </c>
      <c r="Y28" s="159" t="str">
        <f t="shared" si="1"/>
        <v>T3低</v>
      </c>
      <c r="Z28" s="423">
        <f t="shared" si="6"/>
        <v>30</v>
      </c>
      <c r="AA28" s="339">
        <f>Z28*VLOOKUP(R28&amp;S28,$B$20:$K$32,10,FALSE)</f>
        <v>5.8</v>
      </c>
      <c r="AB28" s="330">
        <f t="shared" si="4"/>
        <v>0</v>
      </c>
      <c r="AC28" s="8">
        <v>0</v>
      </c>
      <c r="AD28" s="571">
        <f>AC28*VLOOKUP(R28&amp;S28,游戏时长规划!$B$66:$D$78,3,FALSE)</f>
        <v>0</v>
      </c>
      <c r="AE28" s="571">
        <f>ROUND(AD28*VLOOKUP(R28&amp;S28,$C$50:$D$62,2,FALSE)/500,0)*500</f>
        <v>0</v>
      </c>
      <c r="AF28" s="157"/>
      <c r="AG28" s="423" t="str">
        <f>Q28&amp;R28&amp;S28&amp;U28</f>
        <v>4T3低0</v>
      </c>
      <c r="AH28" s="339">
        <f t="shared" si="2"/>
        <v>5.8</v>
      </c>
      <c r="AI28" s="423">
        <f t="shared" si="3"/>
        <v>0</v>
      </c>
    </row>
    <row r="29" spans="2:35" x14ac:dyDescent="0.35">
      <c r="B29" s="423" t="str">
        <f t="shared" si="14"/>
        <v>T4高</v>
      </c>
      <c r="C29" s="189">
        <v>9</v>
      </c>
      <c r="D29" s="205" t="s">
        <v>923</v>
      </c>
      <c r="E29" s="199" t="s">
        <v>990</v>
      </c>
      <c r="F29" s="189">
        <f>坦克等级成长!S21</f>
        <v>17</v>
      </c>
      <c r="G29" s="645">
        <f t="shared" si="12"/>
        <v>50</v>
      </c>
      <c r="H29" s="210">
        <f t="shared" si="13"/>
        <v>155</v>
      </c>
      <c r="I29" s="210">
        <f>VLOOKUP(C29&amp;D29&amp;E29&amp;F29,$AG$3:$AI$168,3,FALSE)</f>
        <v>80600</v>
      </c>
      <c r="J29" s="272">
        <f t="shared" si="15"/>
        <v>10.4</v>
      </c>
      <c r="K29" s="214">
        <f>游戏时长规划!C75/G29</f>
        <v>0.498</v>
      </c>
      <c r="L29" s="401">
        <f t="shared" si="16"/>
        <v>88350</v>
      </c>
      <c r="M29" s="672"/>
      <c r="N29" s="672"/>
      <c r="O29" s="672"/>
      <c r="Q29" s="189">
        <f>IF(T28=U28,Q28+1,Q28)</f>
        <v>4</v>
      </c>
      <c r="R29" s="205" t="str">
        <f t="shared" si="17"/>
        <v>T3</v>
      </c>
      <c r="S29" s="205" t="str">
        <f t="shared" si="17"/>
        <v>低</v>
      </c>
      <c r="T29" s="423">
        <f>VLOOKUP(R29&amp;S29,$B$20:$F$32,5,FALSE)</f>
        <v>8</v>
      </c>
      <c r="U29" s="189">
        <f>IF(R29&amp;S29&lt;&gt;R28&amp;S28,0,IF(U28&lt;T28,U28+1,0))</f>
        <v>1</v>
      </c>
      <c r="V29" s="8">
        <v>0.45600000000000002</v>
      </c>
      <c r="W29" s="645">
        <f>ROUNDUP(IF(U29=0,VLOOKUP(R29&amp;S29,$B$20:$G$32,6,FALSE),VLOOKUP(R29&amp;S29,$B$20:$G$32,6,FALSE)*V29)/5,0)*5</f>
        <v>15</v>
      </c>
      <c r="X29" s="159">
        <f>W29*VLOOKUP(R29&amp;S29,$B$20:$H$32,7,FALSE)</f>
        <v>900</v>
      </c>
      <c r="Y29" s="159" t="str">
        <f t="shared" si="1"/>
        <v>T3低</v>
      </c>
      <c r="Z29" s="423">
        <f t="shared" si="6"/>
        <v>45</v>
      </c>
      <c r="AA29" s="339">
        <f>Z29*VLOOKUP(R29&amp;S29,$B$20:$K$32,10,FALSE)</f>
        <v>8.6999999999999993</v>
      </c>
      <c r="AB29" s="330">
        <f t="shared" si="4"/>
        <v>1</v>
      </c>
      <c r="AC29" s="8">
        <v>0.02</v>
      </c>
      <c r="AD29" s="571">
        <f>AC29*VLOOKUP(R29&amp;S29,游戏时长规划!$B$66:$D$78,3,FALSE)</f>
        <v>0.7340000000000001</v>
      </c>
      <c r="AE29" s="571">
        <f>ROUND(AD29*VLOOKUP(R29&amp;S29,$C$50:$D$62,2,FALSE)/500,0)*500</f>
        <v>18000</v>
      </c>
      <c r="AF29" s="157"/>
      <c r="AG29" s="423" t="str">
        <f>Q29&amp;R29&amp;S29&amp;U29</f>
        <v>4T3低1</v>
      </c>
      <c r="AH29" s="339">
        <f t="shared" si="2"/>
        <v>8.6999999999999993</v>
      </c>
      <c r="AI29" s="423">
        <f t="shared" si="3"/>
        <v>900</v>
      </c>
    </row>
    <row r="30" spans="2:35" x14ac:dyDescent="0.35">
      <c r="B30" s="423" t="str">
        <f t="shared" si="14"/>
        <v>T5低</v>
      </c>
      <c r="C30" s="189">
        <v>10</v>
      </c>
      <c r="D30" s="205" t="s">
        <v>924</v>
      </c>
      <c r="E30" s="199" t="s">
        <v>12</v>
      </c>
      <c r="F30" s="189">
        <f>坦克等级成长!S22</f>
        <v>12</v>
      </c>
      <c r="G30" s="645">
        <f t="shared" si="12"/>
        <v>80</v>
      </c>
      <c r="H30" s="210">
        <f t="shared" si="13"/>
        <v>170</v>
      </c>
      <c r="I30" s="210">
        <f>VLOOKUP(C30&amp;D30&amp;E30&amp;F30,$AG$3:$AI$168,3,FALSE)</f>
        <v>51000</v>
      </c>
      <c r="J30" s="272">
        <f t="shared" si="15"/>
        <v>3.75</v>
      </c>
      <c r="K30" s="214">
        <f>游戏时长规划!C76/G30</f>
        <v>0.54625000000000001</v>
      </c>
      <c r="L30" s="401">
        <f t="shared" si="16"/>
        <v>64600</v>
      </c>
      <c r="M30" s="672"/>
      <c r="N30" s="672"/>
      <c r="O30" s="672"/>
      <c r="Q30" s="189">
        <f>IF(T29=U29,Q29+1,Q29)</f>
        <v>4</v>
      </c>
      <c r="R30" s="205" t="str">
        <f t="shared" si="17"/>
        <v>T3</v>
      </c>
      <c r="S30" s="205" t="str">
        <f t="shared" si="17"/>
        <v>低</v>
      </c>
      <c r="T30" s="423">
        <f>VLOOKUP(R30&amp;S30,$B$20:$F$32,5,FALSE)</f>
        <v>8</v>
      </c>
      <c r="U30" s="189">
        <f>IF(R30&amp;S30&lt;&gt;R29&amp;S29,0,IF(U29&lt;T29,U29+1,0))</f>
        <v>2</v>
      </c>
      <c r="V30" s="9">
        <v>0.45600000000000002</v>
      </c>
      <c r="W30" s="645">
        <f>ROUNDUP(IF(U30=0,VLOOKUP(R30&amp;S30,$B$20:$G$32,6,FALSE),VLOOKUP(R30&amp;S30,$B$20:$G$32,6,FALSE)*V30)/5,0)*5</f>
        <v>15</v>
      </c>
      <c r="X30" s="159">
        <f>W30*VLOOKUP(R30&amp;S30,$B$20:$H$32,7,FALSE)</f>
        <v>900</v>
      </c>
      <c r="Y30" s="159" t="str">
        <f t="shared" si="1"/>
        <v>T3低</v>
      </c>
      <c r="Z30" s="423">
        <f t="shared" si="6"/>
        <v>60</v>
      </c>
      <c r="AA30" s="339">
        <f>Z30*VLOOKUP(R30&amp;S30,$B$20:$K$32,10,FALSE)</f>
        <v>11.6</v>
      </c>
      <c r="AB30" s="330">
        <f t="shared" si="4"/>
        <v>2</v>
      </c>
      <c r="AC30" s="8">
        <v>0.05</v>
      </c>
      <c r="AD30" s="571">
        <f>AC30*VLOOKUP(R30&amp;S30,游戏时长规划!$B$66:$D$78,3,FALSE)</f>
        <v>1.8350000000000002</v>
      </c>
      <c r="AE30" s="571">
        <f>ROUND(AD30*VLOOKUP(R30&amp;S30,$C$50:$D$62,2,FALSE)/500,0)*500</f>
        <v>45000</v>
      </c>
      <c r="AF30" s="157"/>
      <c r="AG30" s="423" t="str">
        <f>Q30&amp;R30&amp;S30&amp;U30</f>
        <v>4T3低2</v>
      </c>
      <c r="AH30" s="339">
        <f t="shared" si="2"/>
        <v>11.6</v>
      </c>
      <c r="AI30" s="423">
        <f t="shared" si="3"/>
        <v>1800</v>
      </c>
    </row>
    <row r="31" spans="2:35" x14ac:dyDescent="0.35">
      <c r="B31" s="423" t="str">
        <f t="shared" si="14"/>
        <v>T5中</v>
      </c>
      <c r="C31" s="189">
        <v>11</v>
      </c>
      <c r="D31" s="205" t="s">
        <v>924</v>
      </c>
      <c r="E31" s="199" t="s">
        <v>989</v>
      </c>
      <c r="F31" s="189">
        <f>坦克等级成长!S23</f>
        <v>20</v>
      </c>
      <c r="G31" s="645">
        <f t="shared" si="12"/>
        <v>80</v>
      </c>
      <c r="H31" s="210">
        <f t="shared" si="13"/>
        <v>200</v>
      </c>
      <c r="I31" s="210">
        <f>VLOOKUP(C31&amp;D31&amp;E31&amp;F31,$AG$3:$AI$168,3,FALSE)</f>
        <v>128000</v>
      </c>
      <c r="J31" s="272">
        <f t="shared" si="15"/>
        <v>8</v>
      </c>
      <c r="K31" s="214">
        <f>游戏时长规划!C77/G31</f>
        <v>0.64249999999999996</v>
      </c>
      <c r="L31" s="401">
        <f t="shared" si="16"/>
        <v>144000</v>
      </c>
      <c r="M31" s="672"/>
      <c r="N31" s="672"/>
      <c r="O31" s="672"/>
      <c r="Q31" s="189">
        <f>IF(T30=U30,Q30+1,Q30)</f>
        <v>4</v>
      </c>
      <c r="R31" s="205" t="str">
        <f t="shared" si="17"/>
        <v>T3</v>
      </c>
      <c r="S31" s="205" t="str">
        <f t="shared" si="17"/>
        <v>低</v>
      </c>
      <c r="T31" s="423">
        <f>VLOOKUP(R31&amp;S31,$B$20:$F$32,5,FALSE)</f>
        <v>8</v>
      </c>
      <c r="U31" s="189">
        <f>IF(R31&amp;S31&lt;&gt;R30&amp;S30,0,IF(U30&lt;T30,U30+1,0))</f>
        <v>3</v>
      </c>
      <c r="V31" s="8">
        <v>0.45600000000000002</v>
      </c>
      <c r="W31" s="645">
        <f>ROUNDUP(IF(U31=0,VLOOKUP(R31&amp;S31,$B$20:$G$32,6,FALSE),VLOOKUP(R31&amp;S31,$B$20:$G$32,6,FALSE)*V31)/5,0)*5</f>
        <v>15</v>
      </c>
      <c r="X31" s="159">
        <f>W31*VLOOKUP(R31&amp;S31,$B$20:$H$32,7,FALSE)</f>
        <v>900</v>
      </c>
      <c r="Y31" s="159" t="str">
        <f t="shared" si="1"/>
        <v>T3低</v>
      </c>
      <c r="Z31" s="423">
        <f t="shared" si="6"/>
        <v>75</v>
      </c>
      <c r="AA31" s="339">
        <f>Z31*VLOOKUP(R31&amp;S31,$B$20:$K$32,10,FALSE)</f>
        <v>14.5</v>
      </c>
      <c r="AB31" s="330">
        <f t="shared" si="4"/>
        <v>3</v>
      </c>
      <c r="AC31" s="8">
        <v>0.08</v>
      </c>
      <c r="AD31" s="571">
        <f>AC31*VLOOKUP(R31&amp;S31,游戏时长规划!$B$66:$D$78,3,FALSE)</f>
        <v>2.9360000000000004</v>
      </c>
      <c r="AE31" s="571">
        <f>ROUND(AD31*VLOOKUP(R31&amp;S31,$C$50:$D$62,2,FALSE)/500,0)*500</f>
        <v>72000</v>
      </c>
      <c r="AF31" s="157"/>
      <c r="AG31" s="423" t="str">
        <f>Q31&amp;R31&amp;S31&amp;U31</f>
        <v>4T3低3</v>
      </c>
      <c r="AH31" s="339">
        <f t="shared" si="2"/>
        <v>14.5</v>
      </c>
      <c r="AI31" s="423">
        <f t="shared" si="3"/>
        <v>2700</v>
      </c>
    </row>
    <row r="32" spans="2:35" x14ac:dyDescent="0.35">
      <c r="B32" s="423" t="str">
        <f t="shared" si="14"/>
        <v>T5高</v>
      </c>
      <c r="C32" s="189">
        <v>12</v>
      </c>
      <c r="D32" s="205" t="s">
        <v>924</v>
      </c>
      <c r="E32" s="199" t="s">
        <v>990</v>
      </c>
      <c r="F32" s="189">
        <f>坦克等级成长!S24</f>
        <v>20</v>
      </c>
      <c r="G32" s="645">
        <f t="shared" si="12"/>
        <v>80</v>
      </c>
      <c r="H32" s="210">
        <f t="shared" si="13"/>
        <v>245</v>
      </c>
      <c r="I32" s="210">
        <f>VLOOKUP(C32&amp;D32&amp;E32&amp;F32,$AG$3:$AI$168,3,FALSE)</f>
        <v>173950</v>
      </c>
      <c r="J32" s="272">
        <f t="shared" si="15"/>
        <v>8.875</v>
      </c>
      <c r="K32" s="214">
        <f>游戏时长规划!C78/G32</f>
        <v>0.78749999999999998</v>
      </c>
      <c r="L32" s="401">
        <f t="shared" si="16"/>
        <v>193550</v>
      </c>
      <c r="M32" s="672"/>
      <c r="N32" s="672"/>
      <c r="O32" s="672"/>
      <c r="Q32" s="189">
        <f>IF(T31=U31,Q31+1,Q31)</f>
        <v>4</v>
      </c>
      <c r="R32" s="205" t="str">
        <f t="shared" si="17"/>
        <v>T3</v>
      </c>
      <c r="S32" s="205" t="str">
        <f t="shared" si="17"/>
        <v>低</v>
      </c>
      <c r="T32" s="423">
        <f>VLOOKUP(R32&amp;S32,$B$20:$F$32,5,FALSE)</f>
        <v>8</v>
      </c>
      <c r="U32" s="189">
        <f>IF(R32&amp;S32&lt;&gt;R31&amp;S31,0,IF(U31&lt;T31,U31+1,0))</f>
        <v>4</v>
      </c>
      <c r="V32" s="9">
        <v>0.45600000000000002</v>
      </c>
      <c r="W32" s="645">
        <f>ROUNDUP(IF(U32=0,VLOOKUP(R32&amp;S32,$B$20:$G$32,6,FALSE),VLOOKUP(R32&amp;S32,$B$20:$G$32,6,FALSE)*V32)/5,0)*5</f>
        <v>15</v>
      </c>
      <c r="X32" s="159">
        <f>W32*VLOOKUP(R32&amp;S32,$B$20:$H$32,7,FALSE)</f>
        <v>900</v>
      </c>
      <c r="Y32" s="159" t="str">
        <f t="shared" si="1"/>
        <v>T3低</v>
      </c>
      <c r="Z32" s="423">
        <f t="shared" si="6"/>
        <v>90</v>
      </c>
      <c r="AA32" s="339">
        <f>Z32*VLOOKUP(R32&amp;S32,$B$20:$K$32,10,FALSE)</f>
        <v>17.399999999999999</v>
      </c>
      <c r="AB32" s="330">
        <f t="shared" si="4"/>
        <v>4</v>
      </c>
      <c r="AC32" s="8">
        <v>0.11</v>
      </c>
      <c r="AD32" s="571">
        <f>AC32*VLOOKUP(R32&amp;S32,游戏时长规划!$B$66:$D$78,3,FALSE)</f>
        <v>4.0369999999999999</v>
      </c>
      <c r="AE32" s="571">
        <f>ROUND(AD32*VLOOKUP(R32&amp;S32,$C$50:$D$62,2,FALSE)/500,0)*500</f>
        <v>99000</v>
      </c>
      <c r="AF32" s="157"/>
      <c r="AG32" s="423" t="str">
        <f>Q32&amp;R32&amp;S32&amp;U32</f>
        <v>4T3低4</v>
      </c>
      <c r="AH32" s="339">
        <f t="shared" si="2"/>
        <v>17.399999999999999</v>
      </c>
      <c r="AI32" s="423">
        <f t="shared" si="3"/>
        <v>3600</v>
      </c>
    </row>
    <row r="33" spans="2:35" x14ac:dyDescent="0.35">
      <c r="Q33" s="189">
        <f>IF(T32=U32,Q32+1,Q32)</f>
        <v>4</v>
      </c>
      <c r="R33" s="205" t="str">
        <f t="shared" si="17"/>
        <v>T3</v>
      </c>
      <c r="S33" s="205" t="str">
        <f t="shared" si="17"/>
        <v>低</v>
      </c>
      <c r="T33" s="423">
        <f>VLOOKUP(R33&amp;S33,$B$20:$F$32,5,FALSE)</f>
        <v>8</v>
      </c>
      <c r="U33" s="189">
        <f>IF(R33&amp;S33&lt;&gt;R32&amp;S32,0,IF(U32&lt;T32,U32+1,0))</f>
        <v>5</v>
      </c>
      <c r="V33" s="9">
        <v>0.68899999999999995</v>
      </c>
      <c r="W33" s="645">
        <f>ROUNDUP(IF(U33=0,VLOOKUP(R33&amp;S33,$B$20:$G$32,6,FALSE),VLOOKUP(R33&amp;S33,$B$20:$G$32,6,FALSE)*V33)/5,0)*5</f>
        <v>25</v>
      </c>
      <c r="X33" s="159">
        <f>W33*VLOOKUP(R33&amp;S33,$B$20:$H$32,7,FALSE)</f>
        <v>1500</v>
      </c>
      <c r="Y33" s="159" t="str">
        <f t="shared" si="1"/>
        <v>T3低</v>
      </c>
      <c r="Z33" s="423">
        <f t="shared" si="6"/>
        <v>115</v>
      </c>
      <c r="AA33" s="339">
        <f>Z33*VLOOKUP(R33&amp;S33,$B$20:$K$32,10,FALSE)</f>
        <v>22.233333333333334</v>
      </c>
      <c r="AB33" s="330">
        <f t="shared" si="4"/>
        <v>5</v>
      </c>
      <c r="AC33" s="8">
        <v>0.14000000000000001</v>
      </c>
      <c r="AD33" s="571">
        <f>AC33*VLOOKUP(R33&amp;S33,游戏时长规划!$B$66:$D$78,3,FALSE)</f>
        <v>5.1380000000000008</v>
      </c>
      <c r="AE33" s="571">
        <f>ROUND(AD33*VLOOKUP(R33&amp;S33,$C$50:$D$62,2,FALSE)/500,0)*500</f>
        <v>126500</v>
      </c>
      <c r="AF33" s="157"/>
      <c r="AG33" s="423" t="str">
        <f>Q33&amp;R33&amp;S33&amp;U33</f>
        <v>4T3低5</v>
      </c>
      <c r="AH33" s="339">
        <f t="shared" si="2"/>
        <v>22.233333333333334</v>
      </c>
      <c r="AI33" s="423">
        <f t="shared" si="3"/>
        <v>5100</v>
      </c>
    </row>
    <row r="34" spans="2:35" x14ac:dyDescent="0.35">
      <c r="B34" s="731" t="s">
        <v>3250</v>
      </c>
      <c r="C34" s="744"/>
      <c r="D34" s="744"/>
      <c r="E34" s="744"/>
      <c r="F34" s="744"/>
      <c r="Q34" s="189">
        <f>IF(T33=U33,Q33+1,Q33)</f>
        <v>4</v>
      </c>
      <c r="R34" s="205" t="str">
        <f t="shared" si="17"/>
        <v>T3</v>
      </c>
      <c r="S34" s="205" t="str">
        <f t="shared" si="17"/>
        <v>低</v>
      </c>
      <c r="T34" s="423">
        <f>VLOOKUP(R34&amp;S34,$B$20:$F$32,5,FALSE)</f>
        <v>8</v>
      </c>
      <c r="U34" s="189">
        <f>IF(R34&amp;S34&lt;&gt;R33&amp;S33,0,IF(U33&lt;T33,U33+1,0))</f>
        <v>6</v>
      </c>
      <c r="V34" s="9">
        <v>0.68899999999999995</v>
      </c>
      <c r="W34" s="645">
        <f>ROUNDUP(IF(U34=0,VLOOKUP(R34&amp;S34,$B$20:$G$32,6,FALSE),VLOOKUP(R34&amp;S34,$B$20:$G$32,6,FALSE)*V34)/5,0)*5</f>
        <v>25</v>
      </c>
      <c r="X34" s="159">
        <f>W34*VLOOKUP(R34&amp;S34,$B$20:$H$32,7,FALSE)</f>
        <v>1500</v>
      </c>
      <c r="Y34" s="159" t="str">
        <f t="shared" si="1"/>
        <v>T3低</v>
      </c>
      <c r="Z34" s="423">
        <f t="shared" si="6"/>
        <v>140</v>
      </c>
      <c r="AA34" s="339">
        <f>Z34*VLOOKUP(R34&amp;S34,$B$20:$K$32,10,FALSE)</f>
        <v>27.066666666666666</v>
      </c>
      <c r="AB34" s="330">
        <f t="shared" si="4"/>
        <v>6</v>
      </c>
      <c r="AC34" s="8">
        <v>0.17</v>
      </c>
      <c r="AD34" s="571">
        <f>AC34*VLOOKUP(R34&amp;S34,游戏时长规划!$B$66:$D$78,3,FALSE)</f>
        <v>6.2390000000000008</v>
      </c>
      <c r="AE34" s="571">
        <f>ROUND(AD34*VLOOKUP(R34&amp;S34,$C$50:$D$62,2,FALSE)/500,0)*500</f>
        <v>153500</v>
      </c>
      <c r="AF34" s="157"/>
      <c r="AG34" s="423" t="str">
        <f>Q34&amp;R34&amp;S34&amp;U34</f>
        <v>4T3低6</v>
      </c>
      <c r="AH34" s="339">
        <f t="shared" si="2"/>
        <v>27.066666666666666</v>
      </c>
      <c r="AI34" s="423">
        <f t="shared" si="3"/>
        <v>6600</v>
      </c>
    </row>
    <row r="35" spans="2:35" x14ac:dyDescent="0.35">
      <c r="B35" s="343" t="s">
        <v>792</v>
      </c>
      <c r="C35" s="153" t="s">
        <v>836</v>
      </c>
      <c r="D35" s="341" t="s">
        <v>576</v>
      </c>
      <c r="E35" s="341" t="s">
        <v>785</v>
      </c>
      <c r="F35" s="355" t="s">
        <v>1754</v>
      </c>
      <c r="Q35" s="189">
        <f>IF(T34=U34,Q34+1,Q34)</f>
        <v>4</v>
      </c>
      <c r="R35" s="205" t="str">
        <f t="shared" si="17"/>
        <v>T3</v>
      </c>
      <c r="S35" s="205" t="str">
        <f t="shared" si="17"/>
        <v>低</v>
      </c>
      <c r="T35" s="423">
        <f>VLOOKUP(R35&amp;S35,$B$20:$F$32,5,FALSE)</f>
        <v>8</v>
      </c>
      <c r="U35" s="189">
        <f>IF(R35&amp;S35&lt;&gt;R34&amp;S34,0,IF(U34&lt;T34,U34+1,0))</f>
        <v>7</v>
      </c>
      <c r="V35" s="9">
        <v>0.68899999999999995</v>
      </c>
      <c r="W35" s="645">
        <f>ROUNDUP(IF(U35=0,VLOOKUP(R35&amp;S35,$B$20:$G$32,6,FALSE),VLOOKUP(R35&amp;S35,$B$20:$G$32,6,FALSE)*V35)/5,0)*5</f>
        <v>25</v>
      </c>
      <c r="X35" s="159">
        <f>W35*VLOOKUP(R35&amp;S35,$B$20:$H$32,7,FALSE)</f>
        <v>1500</v>
      </c>
      <c r="Y35" s="159" t="str">
        <f t="shared" si="1"/>
        <v>T3低</v>
      </c>
      <c r="Z35" s="423">
        <f t="shared" si="6"/>
        <v>165</v>
      </c>
      <c r="AA35" s="339">
        <f>Z35*VLOOKUP(R35&amp;S35,$B$20:$K$32,10,FALSE)</f>
        <v>31.9</v>
      </c>
      <c r="AB35" s="330">
        <f t="shared" si="4"/>
        <v>7</v>
      </c>
      <c r="AC35" s="8">
        <v>0.2</v>
      </c>
      <c r="AD35" s="571">
        <f>AC35*VLOOKUP(R35&amp;S35,游戏时长规划!$B$66:$D$78,3,FALSE)</f>
        <v>7.3400000000000007</v>
      </c>
      <c r="AE35" s="571">
        <f>ROUND(AD35*VLOOKUP(R35&amp;S35,$C$50:$D$62,2,FALSE)/500,0)*500</f>
        <v>180500</v>
      </c>
      <c r="AF35" s="157"/>
      <c r="AG35" s="423" t="str">
        <f>Q35&amp;R35&amp;S35&amp;U35</f>
        <v>4T3低7</v>
      </c>
      <c r="AH35" s="339">
        <f t="shared" si="2"/>
        <v>31.9</v>
      </c>
      <c r="AI35" s="423">
        <f t="shared" si="3"/>
        <v>8100</v>
      </c>
    </row>
    <row r="36" spans="2:35" x14ac:dyDescent="0.35">
      <c r="B36" s="341">
        <v>1</v>
      </c>
      <c r="C36" s="343" t="s">
        <v>925</v>
      </c>
      <c r="D36" s="342" t="s">
        <v>12</v>
      </c>
      <c r="E36" s="341">
        <f t="shared" ref="E36:E47" si="18">F21</f>
        <v>4</v>
      </c>
      <c r="F36" s="341">
        <f>VLOOKUP(B36&amp;C36&amp;D36&amp;E36,$AG$3:$AH$168,2,FALSE)</f>
        <v>7</v>
      </c>
      <c r="Q36" s="189">
        <f>IF(T35=U35,Q35+1,Q35)</f>
        <v>4</v>
      </c>
      <c r="R36" s="205" t="str">
        <f t="shared" si="17"/>
        <v>T3</v>
      </c>
      <c r="S36" s="205" t="str">
        <f t="shared" si="17"/>
        <v>低</v>
      </c>
      <c r="T36" s="423">
        <f>VLOOKUP(R36&amp;S36,$B$20:$F$32,5,FALSE)</f>
        <v>8</v>
      </c>
      <c r="U36" s="189">
        <f>IF(R36&amp;S36&lt;&gt;R35&amp;S35,0,IF(U35&lt;T35,U35+1,0))</f>
        <v>8</v>
      </c>
      <c r="V36" s="9">
        <v>0.68899999999999995</v>
      </c>
      <c r="W36" s="645">
        <f>ROUNDUP(IF(U36=0,VLOOKUP(R36&amp;S36,$B$20:$G$32,6,FALSE),VLOOKUP(R36&amp;S36,$B$20:$G$32,6,FALSE)*V36)/5,0)*5</f>
        <v>25</v>
      </c>
      <c r="X36" s="159">
        <f>W36*VLOOKUP(R36&amp;S36,$B$20:$H$32,7,FALSE)</f>
        <v>1500</v>
      </c>
      <c r="Y36" s="159" t="str">
        <f t="shared" ref="Y36:Y67" si="19">R36&amp;S36</f>
        <v>T3低</v>
      </c>
      <c r="Z36" s="423">
        <f t="shared" si="6"/>
        <v>190</v>
      </c>
      <c r="AA36" s="339">
        <f>Z36*VLOOKUP(R36&amp;S36,$B$20:$K$32,10,FALSE)</f>
        <v>36.733333333333334</v>
      </c>
      <c r="AB36" s="330">
        <f t="shared" si="4"/>
        <v>8</v>
      </c>
      <c r="AC36" s="8">
        <v>0.23</v>
      </c>
      <c r="AD36" s="571">
        <f>AC36*VLOOKUP(R36&amp;S36,游戏时长规划!$B$66:$D$78,3,FALSE)</f>
        <v>8.4410000000000007</v>
      </c>
      <c r="AE36" s="571">
        <f>ROUND(AD36*VLOOKUP(R36&amp;S36,$C$50:$D$62,2,FALSE)/500,0)*500</f>
        <v>207500</v>
      </c>
      <c r="AF36" s="157"/>
      <c r="AG36" s="423" t="str">
        <f>Q36&amp;R36&amp;S36&amp;U36</f>
        <v>4T3低8</v>
      </c>
      <c r="AH36" s="339">
        <f t="shared" ref="AH36:AH67" si="20">AA36</f>
        <v>36.733333333333334</v>
      </c>
      <c r="AI36" s="423">
        <f t="shared" ref="AI36:AI67" si="21">IF(U36=0,0,X36+AI35)</f>
        <v>9600</v>
      </c>
    </row>
    <row r="37" spans="2:35" x14ac:dyDescent="0.35">
      <c r="B37" s="341">
        <v>2</v>
      </c>
      <c r="C37" s="343" t="s">
        <v>921</v>
      </c>
      <c r="D37" s="342" t="s">
        <v>12</v>
      </c>
      <c r="E37" s="341">
        <f t="shared" si="18"/>
        <v>6</v>
      </c>
      <c r="F37" s="645">
        <f>VLOOKUP(B37&amp;C37&amp;D37&amp;E37,$AG$3:$AH$168,2,FALSE)</f>
        <v>16.149999999999999</v>
      </c>
      <c r="Q37" s="189">
        <f>IF(T36=U36,Q36+1,Q36)</f>
        <v>5</v>
      </c>
      <c r="R37" s="205" t="str">
        <f t="shared" si="17"/>
        <v>T3</v>
      </c>
      <c r="S37" s="205" t="str">
        <f t="shared" si="17"/>
        <v>中</v>
      </c>
      <c r="T37" s="423">
        <f>VLOOKUP(R37&amp;S37,$B$20:$F$32,5,FALSE)</f>
        <v>14</v>
      </c>
      <c r="U37" s="189">
        <f>IF(R37&amp;S37&lt;&gt;R36&amp;S36,0,IF(U36&lt;T36,U36+1,0))</f>
        <v>0</v>
      </c>
      <c r="V37" s="8">
        <v>0</v>
      </c>
      <c r="W37" s="645">
        <f>ROUNDUP(IF(U37=0,VLOOKUP(R37&amp;S37,$B$20:$G$32,6,FALSE),VLOOKUP(R37&amp;S37,$B$20:$G$32,6,FALSE)*V37)/5,0)*5</f>
        <v>30</v>
      </c>
      <c r="X37" s="159">
        <f>W37*VLOOKUP(R37&amp;S37,$B$20:$H$32,7,FALSE)</f>
        <v>2250</v>
      </c>
      <c r="Y37" s="159" t="str">
        <f t="shared" si="19"/>
        <v>T3中</v>
      </c>
      <c r="Z37" s="423">
        <f t="shared" si="6"/>
        <v>30</v>
      </c>
      <c r="AA37" s="339">
        <f>Z37*VLOOKUP(R37&amp;S37,$B$20:$K$32,10,FALSE)</f>
        <v>7.2</v>
      </c>
      <c r="AB37" s="330">
        <f t="shared" si="4"/>
        <v>0</v>
      </c>
      <c r="AC37" s="8">
        <v>0</v>
      </c>
      <c r="AD37" s="571">
        <f>AC37*VLOOKUP(R37&amp;S37,游戏时长规划!$B$66:$D$78,3,FALSE)</f>
        <v>0</v>
      </c>
      <c r="AE37" s="571">
        <f>ROUND(AD37*VLOOKUP(R37&amp;S37,$C$50:$D$62,2,FALSE)/500,0)*500</f>
        <v>0</v>
      </c>
      <c r="AF37" s="157"/>
      <c r="AG37" s="423" t="str">
        <f>Q37&amp;R37&amp;S37&amp;U37</f>
        <v>5T3中0</v>
      </c>
      <c r="AH37" s="339">
        <f t="shared" si="20"/>
        <v>7.2</v>
      </c>
      <c r="AI37" s="423">
        <f t="shared" si="21"/>
        <v>0</v>
      </c>
    </row>
    <row r="38" spans="2:35" x14ac:dyDescent="0.35">
      <c r="B38" s="341">
        <v>3</v>
      </c>
      <c r="C38" s="343" t="s">
        <v>921</v>
      </c>
      <c r="D38" s="342" t="s">
        <v>22</v>
      </c>
      <c r="E38" s="341">
        <f t="shared" si="18"/>
        <v>11</v>
      </c>
      <c r="F38" s="645">
        <f>VLOOKUP(B38&amp;C38&amp;D38&amp;E38,$AG$3:$AH$168,2,FALSE)</f>
        <v>48.6</v>
      </c>
      <c r="Q38" s="189">
        <f>IF(T37=U37,Q37+1,Q37)</f>
        <v>5</v>
      </c>
      <c r="R38" s="205" t="str">
        <f t="shared" si="17"/>
        <v>T3</v>
      </c>
      <c r="S38" s="205" t="str">
        <f t="shared" si="17"/>
        <v>中</v>
      </c>
      <c r="T38" s="423">
        <f>VLOOKUP(R38&amp;S38,$B$20:$F$32,5,FALSE)</f>
        <v>14</v>
      </c>
      <c r="U38" s="189">
        <f>IF(R38&amp;S38&lt;&gt;R37&amp;S37,0,IF(U37&lt;T37,U37+1,0))</f>
        <v>1</v>
      </c>
      <c r="V38" s="8">
        <v>0.58699999999999997</v>
      </c>
      <c r="W38" s="645">
        <f>ROUNDUP(IF(U38=0,VLOOKUP(R38&amp;S38,$B$20:$G$32,6,FALSE),VLOOKUP(R38&amp;S38,$B$20:$G$32,6,FALSE)*V38)/5,0)*5</f>
        <v>20</v>
      </c>
      <c r="X38" s="159">
        <f>W38*VLOOKUP(R38&amp;S38,$B$20:$H$32,7,FALSE)</f>
        <v>1500</v>
      </c>
      <c r="Y38" s="159" t="str">
        <f t="shared" si="19"/>
        <v>T3中</v>
      </c>
      <c r="Z38" s="423">
        <f t="shared" si="6"/>
        <v>50</v>
      </c>
      <c r="AA38" s="339">
        <f>Z38*VLOOKUP(R38&amp;S38,$B$20:$K$32,10,FALSE)</f>
        <v>12.000000000000002</v>
      </c>
      <c r="AB38" s="330">
        <f t="shared" si="4"/>
        <v>1</v>
      </c>
      <c r="AC38" s="8">
        <v>2.5999999999999999E-2</v>
      </c>
      <c r="AD38" s="571">
        <f>AC38*VLOOKUP(R38&amp;S38,游戏时长规划!$B$66:$D$78,3,FALSE)</f>
        <v>2.8704000000000001</v>
      </c>
      <c r="AE38" s="571">
        <f>ROUND(AD38*VLOOKUP(R38&amp;S38,$C$50:$D$62,2,FALSE)/500,0)*500</f>
        <v>75500</v>
      </c>
      <c r="AF38" s="157"/>
      <c r="AG38" s="423" t="str">
        <f>Q38&amp;R38&amp;S38&amp;U38</f>
        <v>5T3中1</v>
      </c>
      <c r="AH38" s="339">
        <f t="shared" si="20"/>
        <v>12.000000000000002</v>
      </c>
      <c r="AI38" s="423">
        <f t="shared" si="21"/>
        <v>1500</v>
      </c>
    </row>
    <row r="39" spans="2:35" x14ac:dyDescent="0.35">
      <c r="B39" s="341">
        <v>4</v>
      </c>
      <c r="C39" s="343" t="s">
        <v>922</v>
      </c>
      <c r="D39" s="342" t="s">
        <v>12</v>
      </c>
      <c r="E39" s="341">
        <f t="shared" si="18"/>
        <v>8</v>
      </c>
      <c r="F39" s="645">
        <f>VLOOKUP(B39&amp;C39&amp;D39&amp;E39,$AG$3:$AH$168,2,FALSE)</f>
        <v>36.733333333333334</v>
      </c>
      <c r="Q39" s="189">
        <f>IF(T38=U38,Q38+1,Q38)</f>
        <v>5</v>
      </c>
      <c r="R39" s="205" t="str">
        <f t="shared" si="17"/>
        <v>T3</v>
      </c>
      <c r="S39" s="205" t="str">
        <f t="shared" si="17"/>
        <v>中</v>
      </c>
      <c r="T39" s="423">
        <f>VLOOKUP(R39&amp;S39,$B$20:$F$32,5,FALSE)</f>
        <v>14</v>
      </c>
      <c r="U39" s="189">
        <f>IF(R39&amp;S39&lt;&gt;R38&amp;S38,0,IF(U38&lt;T38,U38+1,0))</f>
        <v>2</v>
      </c>
      <c r="V39" s="9">
        <v>0.58699999999999997</v>
      </c>
      <c r="W39" s="645">
        <f>ROUNDUP(IF(U39=0,VLOOKUP(R39&amp;S39,$B$20:$G$32,6,FALSE),VLOOKUP(R39&amp;S39,$B$20:$G$32,6,FALSE)*V39)/5,0)*5</f>
        <v>20</v>
      </c>
      <c r="X39" s="159">
        <f>W39*VLOOKUP(R39&amp;S39,$B$20:$H$32,7,FALSE)</f>
        <v>1500</v>
      </c>
      <c r="Y39" s="159" t="str">
        <f t="shared" si="19"/>
        <v>T3中</v>
      </c>
      <c r="Z39" s="423">
        <f t="shared" si="6"/>
        <v>70</v>
      </c>
      <c r="AA39" s="339">
        <f>Z39*VLOOKUP(R39&amp;S39,$B$20:$K$32,10,FALSE)</f>
        <v>16.8</v>
      </c>
      <c r="AB39" s="330">
        <f t="shared" si="4"/>
        <v>2</v>
      </c>
      <c r="AC39" s="8">
        <v>3.3000000000000002E-2</v>
      </c>
      <c r="AD39" s="571">
        <f>AC39*VLOOKUP(R39&amp;S39,游戏时长规划!$B$66:$D$78,3,FALSE)</f>
        <v>3.6432000000000002</v>
      </c>
      <c r="AE39" s="571">
        <f>ROUND(AD39*VLOOKUP(R39&amp;S39,$C$50:$D$62,2,FALSE)/500,0)*500</f>
        <v>96000</v>
      </c>
      <c r="AF39" s="157"/>
      <c r="AG39" s="423" t="str">
        <f>Q39&amp;R39&amp;S39&amp;U39</f>
        <v>5T3中2</v>
      </c>
      <c r="AH39" s="339">
        <f t="shared" si="20"/>
        <v>16.8</v>
      </c>
      <c r="AI39" s="423">
        <f t="shared" si="21"/>
        <v>3000</v>
      </c>
    </row>
    <row r="40" spans="2:35" x14ac:dyDescent="0.35">
      <c r="B40" s="341">
        <v>5</v>
      </c>
      <c r="C40" s="343" t="s">
        <v>922</v>
      </c>
      <c r="D40" s="342" t="s">
        <v>22</v>
      </c>
      <c r="E40" s="341">
        <f t="shared" si="18"/>
        <v>14</v>
      </c>
      <c r="F40" s="645">
        <f>VLOOKUP(B40&amp;C40&amp;D40&amp;E40,$AG$3:$AH$168,2,FALSE)</f>
        <v>110.4</v>
      </c>
      <c r="Q40" s="189">
        <f>IF(T39=U39,Q39+1,Q39)</f>
        <v>5</v>
      </c>
      <c r="R40" s="205" t="str">
        <f t="shared" si="17"/>
        <v>T3</v>
      </c>
      <c r="S40" s="205" t="str">
        <f t="shared" si="17"/>
        <v>中</v>
      </c>
      <c r="T40" s="423">
        <f>VLOOKUP(R40&amp;S40,$B$20:$F$32,5,FALSE)</f>
        <v>14</v>
      </c>
      <c r="U40" s="189">
        <f>IF(R40&amp;S40&lt;&gt;R39&amp;S39,0,IF(U39&lt;T39,U39+1,0))</f>
        <v>3</v>
      </c>
      <c r="V40" s="8">
        <v>0.58699999999999997</v>
      </c>
      <c r="W40" s="645">
        <f>ROUNDUP(IF(U40=0,VLOOKUP(R40&amp;S40,$B$20:$G$32,6,FALSE),VLOOKUP(R40&amp;S40,$B$20:$G$32,6,FALSE)*V40)/5,0)*5</f>
        <v>20</v>
      </c>
      <c r="X40" s="159">
        <f>W40*VLOOKUP(R40&amp;S40,$B$20:$H$32,7,FALSE)</f>
        <v>1500</v>
      </c>
      <c r="Y40" s="159" t="str">
        <f t="shared" si="19"/>
        <v>T3中</v>
      </c>
      <c r="Z40" s="423">
        <f t="shared" si="6"/>
        <v>90</v>
      </c>
      <c r="AA40" s="339">
        <f>Z40*VLOOKUP(R40&amp;S40,$B$20:$K$32,10,FALSE)</f>
        <v>21.6</v>
      </c>
      <c r="AB40" s="330">
        <f t="shared" si="4"/>
        <v>3</v>
      </c>
      <c r="AC40" s="8">
        <v>0.04</v>
      </c>
      <c r="AD40" s="571">
        <f>AC40*VLOOKUP(R40&amp;S40,游戏时长规划!$B$66:$D$78,3,FALSE)</f>
        <v>4.4160000000000004</v>
      </c>
      <c r="AE40" s="571">
        <f>ROUND(AD40*VLOOKUP(R40&amp;S40,$C$50:$D$62,2,FALSE)/500,0)*500</f>
        <v>116500</v>
      </c>
      <c r="AF40" s="157"/>
      <c r="AG40" s="423" t="str">
        <f>Q40&amp;R40&amp;S40&amp;U40</f>
        <v>5T3中3</v>
      </c>
      <c r="AH40" s="339">
        <f t="shared" si="20"/>
        <v>21.6</v>
      </c>
      <c r="AI40" s="423">
        <f t="shared" si="21"/>
        <v>4500</v>
      </c>
    </row>
    <row r="41" spans="2:35" x14ac:dyDescent="0.35">
      <c r="B41" s="341">
        <v>6</v>
      </c>
      <c r="C41" s="343" t="s">
        <v>922</v>
      </c>
      <c r="D41" s="342" t="s">
        <v>14</v>
      </c>
      <c r="E41" s="341">
        <f t="shared" si="18"/>
        <v>14</v>
      </c>
      <c r="F41" s="645">
        <f>VLOOKUP(B41&amp;C41&amp;D41&amp;E41,$AG$3:$AH$168,2,FALSE)</f>
        <v>133.39999999999998</v>
      </c>
      <c r="Q41" s="189">
        <f>IF(T40=U40,Q40+1,Q40)</f>
        <v>5</v>
      </c>
      <c r="R41" s="205" t="str">
        <f t="shared" si="17"/>
        <v>T3</v>
      </c>
      <c r="S41" s="205" t="str">
        <f t="shared" si="17"/>
        <v>中</v>
      </c>
      <c r="T41" s="423">
        <f>VLOOKUP(R41&amp;S41,$B$20:$F$32,5,FALSE)</f>
        <v>14</v>
      </c>
      <c r="U41" s="189">
        <f>IF(R41&amp;S41&lt;&gt;R40&amp;S40,0,IF(U40&lt;T40,U40+1,0))</f>
        <v>4</v>
      </c>
      <c r="V41" s="9">
        <v>0.58699999999999997</v>
      </c>
      <c r="W41" s="645">
        <f>ROUNDUP(IF(U41=0,VLOOKUP(R41&amp;S41,$B$20:$G$32,6,FALSE),VLOOKUP(R41&amp;S41,$B$20:$G$32,6,FALSE)*V41)/5,0)*5</f>
        <v>20</v>
      </c>
      <c r="X41" s="159">
        <f>W41*VLOOKUP(R41&amp;S41,$B$20:$H$32,7,FALSE)</f>
        <v>1500</v>
      </c>
      <c r="Y41" s="159" t="str">
        <f t="shared" si="19"/>
        <v>T3中</v>
      </c>
      <c r="Z41" s="423">
        <f t="shared" si="6"/>
        <v>110</v>
      </c>
      <c r="AA41" s="339">
        <f>Z41*VLOOKUP(R41&amp;S41,$B$20:$K$32,10,FALSE)</f>
        <v>26.400000000000002</v>
      </c>
      <c r="AB41" s="330">
        <f t="shared" si="4"/>
        <v>4</v>
      </c>
      <c r="AC41" s="8">
        <v>4.7E-2</v>
      </c>
      <c r="AD41" s="571">
        <f>AC41*VLOOKUP(R41&amp;S41,游戏时长规划!$B$66:$D$78,3,FALSE)</f>
        <v>5.1888000000000005</v>
      </c>
      <c r="AE41" s="571">
        <f>ROUND(AD41*VLOOKUP(R41&amp;S41,$C$50:$D$62,2,FALSE)/500,0)*500</f>
        <v>136500</v>
      </c>
      <c r="AF41" s="157"/>
      <c r="AG41" s="423" t="str">
        <f>Q41&amp;R41&amp;S41&amp;U41</f>
        <v>5T3中4</v>
      </c>
      <c r="AH41" s="339">
        <f t="shared" si="20"/>
        <v>26.400000000000002</v>
      </c>
      <c r="AI41" s="423">
        <f t="shared" si="21"/>
        <v>6000</v>
      </c>
    </row>
    <row r="42" spans="2:35" x14ac:dyDescent="0.35">
      <c r="B42" s="341">
        <v>7</v>
      </c>
      <c r="C42" s="343" t="s">
        <v>923</v>
      </c>
      <c r="D42" s="342" t="s">
        <v>12</v>
      </c>
      <c r="E42" s="341">
        <f t="shared" si="18"/>
        <v>10</v>
      </c>
      <c r="F42" s="645">
        <f>VLOOKUP(B42&amp;C42&amp;D42&amp;E42,$AG$3:$AH$168,2,FALSE)</f>
        <v>88.55</v>
      </c>
      <c r="Q42" s="189">
        <f>IF(T41=U41,Q41+1,Q41)</f>
        <v>5</v>
      </c>
      <c r="R42" s="205" t="str">
        <f t="shared" si="17"/>
        <v>T3</v>
      </c>
      <c r="S42" s="205" t="str">
        <f t="shared" si="17"/>
        <v>中</v>
      </c>
      <c r="T42" s="423">
        <f>VLOOKUP(R42&amp;S42,$B$20:$F$32,5,FALSE)</f>
        <v>14</v>
      </c>
      <c r="U42" s="189">
        <f>IF(R42&amp;S42&lt;&gt;R41&amp;S41,0,IF(U41&lt;T41,U41+1,0))</f>
        <v>5</v>
      </c>
      <c r="V42" s="9">
        <v>0.88100000000000001</v>
      </c>
      <c r="W42" s="645">
        <f>ROUNDUP(IF(U42=0,VLOOKUP(R42&amp;S42,$B$20:$G$32,6,FALSE),VLOOKUP(R42&amp;S42,$B$20:$G$32,6,FALSE)*V42)/5,0)*5</f>
        <v>30</v>
      </c>
      <c r="X42" s="159">
        <f>W42*VLOOKUP(R42&amp;S42,$B$20:$H$32,7,FALSE)</f>
        <v>2250</v>
      </c>
      <c r="Y42" s="159" t="str">
        <f t="shared" si="19"/>
        <v>T3中</v>
      </c>
      <c r="Z42" s="423">
        <f t="shared" si="6"/>
        <v>140</v>
      </c>
      <c r="AA42" s="339">
        <f>Z42*VLOOKUP(R42&amp;S42,$B$20:$K$32,10,FALSE)</f>
        <v>33.6</v>
      </c>
      <c r="AB42" s="330">
        <f t="shared" si="4"/>
        <v>5</v>
      </c>
      <c r="AC42" s="8">
        <v>5.3999999999999999E-2</v>
      </c>
      <c r="AD42" s="571">
        <f>AC42*VLOOKUP(R42&amp;S42,游戏时长规划!$B$66:$D$78,3,FALSE)</f>
        <v>5.9616000000000007</v>
      </c>
      <c r="AE42" s="571">
        <f>ROUND(AD42*VLOOKUP(R42&amp;S42,$C$50:$D$62,2,FALSE)/500,0)*500</f>
        <v>157000</v>
      </c>
      <c r="AF42" s="157"/>
      <c r="AG42" s="423" t="str">
        <f>Q42&amp;R42&amp;S42&amp;U42</f>
        <v>5T3中5</v>
      </c>
      <c r="AH42" s="339">
        <f t="shared" si="20"/>
        <v>33.6</v>
      </c>
      <c r="AI42" s="423">
        <f t="shared" si="21"/>
        <v>8250</v>
      </c>
    </row>
    <row r="43" spans="2:35" x14ac:dyDescent="0.35">
      <c r="B43" s="341">
        <v>8</v>
      </c>
      <c r="C43" s="343" t="s">
        <v>923</v>
      </c>
      <c r="D43" s="342" t="s">
        <v>22</v>
      </c>
      <c r="E43" s="341">
        <f t="shared" si="18"/>
        <v>17</v>
      </c>
      <c r="F43" s="645">
        <f>VLOOKUP(B43&amp;C43&amp;D43&amp;E43,$AG$3:$AH$168,2,FALSE)</f>
        <v>217.08</v>
      </c>
      <c r="Q43" s="189">
        <f>IF(T42=U42,Q42+1,Q42)</f>
        <v>5</v>
      </c>
      <c r="R43" s="205" t="str">
        <f t="shared" si="17"/>
        <v>T3</v>
      </c>
      <c r="S43" s="205" t="str">
        <f t="shared" si="17"/>
        <v>中</v>
      </c>
      <c r="T43" s="423">
        <f>VLOOKUP(R43&amp;S43,$B$20:$F$32,5,FALSE)</f>
        <v>14</v>
      </c>
      <c r="U43" s="189">
        <f>IF(R43&amp;S43&lt;&gt;R42&amp;S42,0,IF(U42&lt;T42,U42+1,0))</f>
        <v>6</v>
      </c>
      <c r="V43" s="9">
        <v>0.88100000000000001</v>
      </c>
      <c r="W43" s="645">
        <f>ROUNDUP(IF(U43=0,VLOOKUP(R43&amp;S43,$B$20:$G$32,6,FALSE),VLOOKUP(R43&amp;S43,$B$20:$G$32,6,FALSE)*V43)/5,0)*5</f>
        <v>30</v>
      </c>
      <c r="X43" s="159">
        <f>W43*VLOOKUP(R43&amp;S43,$B$20:$H$32,7,FALSE)</f>
        <v>2250</v>
      </c>
      <c r="Y43" s="159" t="str">
        <f t="shared" si="19"/>
        <v>T3中</v>
      </c>
      <c r="Z43" s="423">
        <f t="shared" si="6"/>
        <v>170</v>
      </c>
      <c r="AA43" s="339">
        <f>Z43*VLOOKUP(R43&amp;S43,$B$20:$K$32,10,FALSE)</f>
        <v>40.800000000000004</v>
      </c>
      <c r="AB43" s="330">
        <f t="shared" si="4"/>
        <v>6</v>
      </c>
      <c r="AC43" s="8">
        <v>6.0999999999999999E-2</v>
      </c>
      <c r="AD43" s="571">
        <f>AC43*VLOOKUP(R43&amp;S43,游戏时长规划!$B$66:$D$78,3,FALSE)</f>
        <v>6.7343999999999999</v>
      </c>
      <c r="AE43" s="571">
        <f>ROUND(AD43*VLOOKUP(R43&amp;S43,$C$50:$D$62,2,FALSE)/500,0)*500</f>
        <v>177500</v>
      </c>
      <c r="AF43" s="157"/>
      <c r="AG43" s="423" t="str">
        <f>Q43&amp;R43&amp;S43&amp;U43</f>
        <v>5T3中6</v>
      </c>
      <c r="AH43" s="339">
        <f t="shared" si="20"/>
        <v>40.800000000000004</v>
      </c>
      <c r="AI43" s="423">
        <f t="shared" si="21"/>
        <v>10500</v>
      </c>
    </row>
    <row r="44" spans="2:35" x14ac:dyDescent="0.35">
      <c r="B44" s="341">
        <v>9</v>
      </c>
      <c r="C44" s="343" t="s">
        <v>923</v>
      </c>
      <c r="D44" s="342" t="s">
        <v>14</v>
      </c>
      <c r="E44" s="341">
        <f t="shared" si="18"/>
        <v>17</v>
      </c>
      <c r="F44" s="645">
        <f>VLOOKUP(B44&amp;C44&amp;D44&amp;E44,$AG$3:$AH$168,2,FALSE)</f>
        <v>283.86</v>
      </c>
      <c r="Q44" s="189">
        <f>IF(T43=U43,Q43+1,Q43)</f>
        <v>5</v>
      </c>
      <c r="R44" s="205" t="str">
        <f t="shared" ref="R44:S63" si="22">VLOOKUP($Q44,$C$20:$I$32,MATCH(R$3,$C$20:$I$20,0),FALSE)</f>
        <v>T3</v>
      </c>
      <c r="S44" s="205" t="str">
        <f t="shared" si="22"/>
        <v>中</v>
      </c>
      <c r="T44" s="423">
        <f>VLOOKUP(R44&amp;S44,$B$20:$F$32,5,FALSE)</f>
        <v>14</v>
      </c>
      <c r="U44" s="189">
        <f>IF(R44&amp;S44&lt;&gt;R43&amp;S43,0,IF(U43&lt;T43,U43+1,0))</f>
        <v>7</v>
      </c>
      <c r="V44" s="9">
        <v>0.88100000000000001</v>
      </c>
      <c r="W44" s="645">
        <f>ROUNDUP(IF(U44=0,VLOOKUP(R44&amp;S44,$B$20:$G$32,6,FALSE),VLOOKUP(R44&amp;S44,$B$20:$G$32,6,FALSE)*V44)/5,0)*5</f>
        <v>30</v>
      </c>
      <c r="X44" s="159">
        <f>W44*VLOOKUP(R44&amp;S44,$B$20:$H$32,7,FALSE)</f>
        <v>2250</v>
      </c>
      <c r="Y44" s="159" t="str">
        <f t="shared" si="19"/>
        <v>T3中</v>
      </c>
      <c r="Z44" s="423">
        <f t="shared" si="6"/>
        <v>200</v>
      </c>
      <c r="AA44" s="339">
        <f>Z44*VLOOKUP(R44&amp;S44,$B$20:$K$32,10,FALSE)</f>
        <v>48.000000000000007</v>
      </c>
      <c r="AB44" s="330">
        <f t="shared" si="4"/>
        <v>7</v>
      </c>
      <c r="AC44" s="8">
        <v>6.8000000000000005E-2</v>
      </c>
      <c r="AD44" s="571">
        <f>AC44*VLOOKUP(R44&amp;S44,游戏时长规划!$B$66:$D$78,3,FALSE)</f>
        <v>7.507200000000001</v>
      </c>
      <c r="AE44" s="571">
        <f>ROUND(AD44*VLOOKUP(R44&amp;S44,$C$50:$D$62,2,FALSE)/500,0)*500</f>
        <v>197500</v>
      </c>
      <c r="AF44" s="157"/>
      <c r="AG44" s="423" t="str">
        <f>Q44&amp;R44&amp;S44&amp;U44</f>
        <v>5T3中7</v>
      </c>
      <c r="AH44" s="339">
        <f t="shared" si="20"/>
        <v>48.000000000000007</v>
      </c>
      <c r="AI44" s="423">
        <f t="shared" si="21"/>
        <v>12750</v>
      </c>
    </row>
    <row r="45" spans="2:35" x14ac:dyDescent="0.35">
      <c r="B45" s="341">
        <v>10</v>
      </c>
      <c r="C45" s="343" t="s">
        <v>924</v>
      </c>
      <c r="D45" s="342" t="s">
        <v>12</v>
      </c>
      <c r="E45" s="341">
        <f t="shared" si="18"/>
        <v>12</v>
      </c>
      <c r="F45" s="645">
        <f>VLOOKUP(B45&amp;C45&amp;D45&amp;E45,$AG$3:$AH$168,2,FALSE)</f>
        <v>207.57500000000002</v>
      </c>
      <c r="Q45" s="189">
        <f>IF(T44=U44,Q44+1,Q44)</f>
        <v>5</v>
      </c>
      <c r="R45" s="205" t="str">
        <f t="shared" si="22"/>
        <v>T3</v>
      </c>
      <c r="S45" s="205" t="str">
        <f t="shared" si="22"/>
        <v>中</v>
      </c>
      <c r="T45" s="423">
        <f>VLOOKUP(R45&amp;S45,$B$20:$F$32,5,FALSE)</f>
        <v>14</v>
      </c>
      <c r="U45" s="189">
        <f>IF(R45&amp;S45&lt;&gt;R44&amp;S44,0,IF(U44&lt;T44,U44+1,0))</f>
        <v>8</v>
      </c>
      <c r="V45" s="9">
        <v>0.88100000000000001</v>
      </c>
      <c r="W45" s="645">
        <f>ROUNDUP(IF(U45=0,VLOOKUP(R45&amp;S45,$B$20:$G$32,6,FALSE),VLOOKUP(R45&amp;S45,$B$20:$G$32,6,FALSE)*V45)/5,0)*5</f>
        <v>30</v>
      </c>
      <c r="X45" s="159">
        <f>W45*VLOOKUP(R45&amp;S45,$B$20:$H$32,7,FALSE)</f>
        <v>2250</v>
      </c>
      <c r="Y45" s="159" t="str">
        <f t="shared" si="19"/>
        <v>T3中</v>
      </c>
      <c r="Z45" s="423">
        <f t="shared" si="6"/>
        <v>230</v>
      </c>
      <c r="AA45" s="339">
        <f>Z45*VLOOKUP(R45&amp;S45,$B$20:$K$32,10,FALSE)</f>
        <v>55.2</v>
      </c>
      <c r="AB45" s="330">
        <f t="shared" si="4"/>
        <v>8</v>
      </c>
      <c r="AC45" s="8">
        <v>7.4999999999999997E-2</v>
      </c>
      <c r="AD45" s="571">
        <f>AC45*VLOOKUP(R45&amp;S45,游戏时长规划!$B$66:$D$78,3,FALSE)</f>
        <v>8.2799999999999994</v>
      </c>
      <c r="AE45" s="571">
        <f>ROUND(AD45*VLOOKUP(R45&amp;S45,$C$50:$D$62,2,FALSE)/500,0)*500</f>
        <v>218000</v>
      </c>
      <c r="AF45" s="157"/>
      <c r="AG45" s="423" t="str">
        <f>Q45&amp;R45&amp;S45&amp;U45</f>
        <v>5T3中8</v>
      </c>
      <c r="AH45" s="339">
        <f t="shared" si="20"/>
        <v>55.2</v>
      </c>
      <c r="AI45" s="423">
        <f t="shared" si="21"/>
        <v>15000</v>
      </c>
    </row>
    <row r="46" spans="2:35" x14ac:dyDescent="0.35">
      <c r="B46" s="341">
        <v>11</v>
      </c>
      <c r="C46" s="343" t="s">
        <v>924</v>
      </c>
      <c r="D46" s="342" t="s">
        <v>22</v>
      </c>
      <c r="E46" s="341">
        <f t="shared" si="18"/>
        <v>20</v>
      </c>
      <c r="F46" s="645">
        <f>VLOOKUP(B46&amp;C46&amp;D46&amp;E46,$AG$3:$AH$168,2,FALSE)</f>
        <v>462.59999999999997</v>
      </c>
      <c r="Q46" s="189">
        <f>IF(T45=U45,Q45+1,Q45)</f>
        <v>5</v>
      </c>
      <c r="R46" s="205" t="str">
        <f t="shared" si="22"/>
        <v>T3</v>
      </c>
      <c r="S46" s="205" t="str">
        <f t="shared" si="22"/>
        <v>中</v>
      </c>
      <c r="T46" s="423">
        <f>VLOOKUP(R46&amp;S46,$B$20:$F$32,5,FALSE)</f>
        <v>14</v>
      </c>
      <c r="U46" s="189">
        <f>IF(R46&amp;S46&lt;&gt;R45&amp;S45,0,IF(U45&lt;T45,U45+1,0))</f>
        <v>9</v>
      </c>
      <c r="V46" s="9">
        <v>0.88100000000000001</v>
      </c>
      <c r="W46" s="645">
        <f>ROUNDUP(IF(U46=0,VLOOKUP(R46&amp;S46,$B$20:$G$32,6,FALSE),VLOOKUP(R46&amp;S46,$B$20:$G$32,6,FALSE)*V46)/5,0)*5</f>
        <v>30</v>
      </c>
      <c r="X46" s="159">
        <f>W46*VLOOKUP(R46&amp;S46,$B$20:$H$32,7,FALSE)</f>
        <v>2250</v>
      </c>
      <c r="Y46" s="159" t="str">
        <f t="shared" si="19"/>
        <v>T3中</v>
      </c>
      <c r="Z46" s="423">
        <f t="shared" si="6"/>
        <v>260</v>
      </c>
      <c r="AA46" s="339">
        <f>Z46*VLOOKUP(R46&amp;S46,$B$20:$K$32,10,FALSE)</f>
        <v>62.400000000000006</v>
      </c>
      <c r="AB46" s="330">
        <f t="shared" si="4"/>
        <v>9</v>
      </c>
      <c r="AC46" s="8">
        <v>8.2000000000000003E-2</v>
      </c>
      <c r="AD46" s="571">
        <f>AC46*VLOOKUP(R46&amp;S46,游戏时长规划!$B$66:$D$78,3,FALSE)</f>
        <v>9.0528000000000013</v>
      </c>
      <c r="AE46" s="571">
        <f>ROUND(AD46*VLOOKUP(R46&amp;S46,$C$50:$D$62,2,FALSE)/500,0)*500</f>
        <v>238500</v>
      </c>
      <c r="AF46" s="157"/>
      <c r="AG46" s="423" t="str">
        <f>Q46&amp;R46&amp;S46&amp;U46</f>
        <v>5T3中9</v>
      </c>
      <c r="AH46" s="339">
        <f t="shared" si="20"/>
        <v>62.400000000000006</v>
      </c>
      <c r="AI46" s="423">
        <f t="shared" si="21"/>
        <v>17250</v>
      </c>
    </row>
    <row r="47" spans="2:35" x14ac:dyDescent="0.35">
      <c r="B47" s="341">
        <v>12</v>
      </c>
      <c r="C47" s="343" t="s">
        <v>924</v>
      </c>
      <c r="D47" s="342" t="s">
        <v>14</v>
      </c>
      <c r="E47" s="341">
        <f t="shared" si="18"/>
        <v>20</v>
      </c>
      <c r="F47" s="645">
        <f>VLOOKUP(B47&amp;C47&amp;D47&amp;E47,$AG$3:$AH$168,2,FALSE)</f>
        <v>622.125</v>
      </c>
      <c r="Q47" s="189">
        <f>IF(T46=U46,Q46+1,Q46)</f>
        <v>5</v>
      </c>
      <c r="R47" s="205" t="str">
        <f t="shared" si="22"/>
        <v>T3</v>
      </c>
      <c r="S47" s="205" t="str">
        <f t="shared" si="22"/>
        <v>中</v>
      </c>
      <c r="T47" s="423">
        <f>VLOOKUP(R47&amp;S47,$B$20:$F$32,5,FALSE)</f>
        <v>14</v>
      </c>
      <c r="U47" s="189">
        <f>IF(R47&amp;S47&lt;&gt;R46&amp;S46,0,IF(U46&lt;T46,U46+1,0))</f>
        <v>10</v>
      </c>
      <c r="V47" s="9">
        <v>1.1739999999999999</v>
      </c>
      <c r="W47" s="645">
        <f>ROUNDUP(IF(U47=0,VLOOKUP(R47&amp;S47,$B$20:$G$32,6,FALSE),VLOOKUP(R47&amp;S47,$B$20:$G$32,6,FALSE)*V47)/5,0)*5</f>
        <v>40</v>
      </c>
      <c r="X47" s="159">
        <f>W47*VLOOKUP(R47&amp;S47,$B$20:$H$32,7,FALSE)</f>
        <v>3000</v>
      </c>
      <c r="Y47" s="159" t="str">
        <f t="shared" si="19"/>
        <v>T3中</v>
      </c>
      <c r="Z47" s="423">
        <f t="shared" si="6"/>
        <v>300</v>
      </c>
      <c r="AA47" s="339">
        <f>Z47*VLOOKUP(R47&amp;S47,$B$20:$K$32,10,FALSE)</f>
        <v>72</v>
      </c>
      <c r="AB47" s="330">
        <f t="shared" si="4"/>
        <v>10</v>
      </c>
      <c r="AC47" s="8">
        <v>8.8999999999999996E-2</v>
      </c>
      <c r="AD47" s="571">
        <f>AC47*VLOOKUP(R47&amp;S47,游戏时长规划!$B$66:$D$78,3,FALSE)</f>
        <v>9.8255999999999997</v>
      </c>
      <c r="AE47" s="571">
        <f>ROUND(AD47*VLOOKUP(R47&amp;S47,$C$50:$D$62,2,FALSE)/500,0)*500</f>
        <v>259000</v>
      </c>
      <c r="AF47" s="157"/>
      <c r="AG47" s="423" t="str">
        <f>Q47&amp;R47&amp;S47&amp;U47</f>
        <v>5T3中10</v>
      </c>
      <c r="AH47" s="339">
        <f t="shared" si="20"/>
        <v>72</v>
      </c>
      <c r="AI47" s="423">
        <f t="shared" si="21"/>
        <v>20250</v>
      </c>
    </row>
    <row r="48" spans="2:35" x14ac:dyDescent="0.35">
      <c r="Q48" s="189">
        <f>IF(T47=U47,Q47+1,Q47)</f>
        <v>5</v>
      </c>
      <c r="R48" s="205" t="str">
        <f t="shared" si="22"/>
        <v>T3</v>
      </c>
      <c r="S48" s="205" t="str">
        <f t="shared" si="22"/>
        <v>中</v>
      </c>
      <c r="T48" s="423">
        <f>VLOOKUP(R48&amp;S48,$B$20:$F$32,5,FALSE)</f>
        <v>14</v>
      </c>
      <c r="U48" s="189">
        <f>IF(R48&amp;S48&lt;&gt;R47&amp;S47,0,IF(U47&lt;T47,U47+1,0))</f>
        <v>11</v>
      </c>
      <c r="V48" s="9">
        <v>1.1739999999999999</v>
      </c>
      <c r="W48" s="645">
        <f>ROUNDUP(IF(U48=0,VLOOKUP(R48&amp;S48,$B$20:$G$32,6,FALSE),VLOOKUP(R48&amp;S48,$B$20:$G$32,6,FALSE)*V48)/5,0)*5</f>
        <v>40</v>
      </c>
      <c r="X48" s="159">
        <f>W48*VLOOKUP(R48&amp;S48,$B$20:$H$32,7,FALSE)</f>
        <v>3000</v>
      </c>
      <c r="Y48" s="159" t="str">
        <f t="shared" si="19"/>
        <v>T3中</v>
      </c>
      <c r="Z48" s="423">
        <f t="shared" si="6"/>
        <v>340</v>
      </c>
      <c r="AA48" s="339">
        <f>Z48*VLOOKUP(R48&amp;S48,$B$20:$K$32,10,FALSE)</f>
        <v>81.600000000000009</v>
      </c>
      <c r="AB48" s="330">
        <f t="shared" si="4"/>
        <v>11</v>
      </c>
      <c r="AC48" s="8">
        <v>9.6000000000000002E-2</v>
      </c>
      <c r="AD48" s="571">
        <f>AC48*VLOOKUP(R48&amp;S48,游戏时长规划!$B$66:$D$78,3,FALSE)</f>
        <v>10.598400000000002</v>
      </c>
      <c r="AE48" s="571">
        <f>ROUND(AD48*VLOOKUP(R48&amp;S48,$C$50:$D$62,2,FALSE)/500,0)*500</f>
        <v>279000</v>
      </c>
      <c r="AF48" s="157"/>
      <c r="AG48" s="423" t="str">
        <f>Q48&amp;R48&amp;S48&amp;U48</f>
        <v>5T3中11</v>
      </c>
      <c r="AH48" s="339">
        <f t="shared" si="20"/>
        <v>81.600000000000009</v>
      </c>
      <c r="AI48" s="423">
        <f t="shared" si="21"/>
        <v>23250</v>
      </c>
    </row>
    <row r="49" spans="2:35" x14ac:dyDescent="0.35">
      <c r="B49" s="731" t="s">
        <v>3251</v>
      </c>
      <c r="C49" s="744"/>
      <c r="D49" s="744"/>
      <c r="Q49" s="189">
        <f>IF(T48=U48,Q48+1,Q48)</f>
        <v>5</v>
      </c>
      <c r="R49" s="205" t="str">
        <f t="shared" si="22"/>
        <v>T3</v>
      </c>
      <c r="S49" s="205" t="str">
        <f t="shared" si="22"/>
        <v>中</v>
      </c>
      <c r="T49" s="423">
        <f>VLOOKUP(R49&amp;S49,$B$20:$F$32,5,FALSE)</f>
        <v>14</v>
      </c>
      <c r="U49" s="189">
        <f>IF(R49&amp;S49&lt;&gt;R48&amp;S48,0,IF(U48&lt;T48,U48+1,0))</f>
        <v>12</v>
      </c>
      <c r="V49" s="9">
        <v>1.1739999999999999</v>
      </c>
      <c r="W49" s="645">
        <f>ROUNDUP(IF(U49=0,VLOOKUP(R49&amp;S49,$B$20:$G$32,6,FALSE),VLOOKUP(R49&amp;S49,$B$20:$G$32,6,FALSE)*V49)/5,0)*5</f>
        <v>40</v>
      </c>
      <c r="X49" s="159">
        <f>W49*VLOOKUP(R49&amp;S49,$B$20:$H$32,7,FALSE)</f>
        <v>3000</v>
      </c>
      <c r="Y49" s="159" t="str">
        <f t="shared" si="19"/>
        <v>T3中</v>
      </c>
      <c r="Z49" s="423">
        <f t="shared" si="6"/>
        <v>380</v>
      </c>
      <c r="AA49" s="339">
        <f>Z49*VLOOKUP(R49&amp;S49,$B$20:$K$32,10,FALSE)</f>
        <v>91.2</v>
      </c>
      <c r="AB49" s="330">
        <f t="shared" si="4"/>
        <v>12</v>
      </c>
      <c r="AC49" s="8">
        <v>0.10299999999999999</v>
      </c>
      <c r="AD49" s="571">
        <f>AC49*VLOOKUP(R49&amp;S49,游戏时长规划!$B$66:$D$78,3,FALSE)</f>
        <v>11.3712</v>
      </c>
      <c r="AE49" s="571">
        <f>ROUND(AD49*VLOOKUP(R49&amp;S49,$C$50:$D$62,2,FALSE)/500,0)*500</f>
        <v>299500</v>
      </c>
      <c r="AF49" s="157"/>
      <c r="AG49" s="423" t="str">
        <f>Q49&amp;R49&amp;S49&amp;U49</f>
        <v>5T3中12</v>
      </c>
      <c r="AH49" s="339">
        <f t="shared" si="20"/>
        <v>91.2</v>
      </c>
      <c r="AI49" s="423">
        <f t="shared" si="21"/>
        <v>26250</v>
      </c>
    </row>
    <row r="50" spans="2:35" x14ac:dyDescent="0.35">
      <c r="B50" s="578" t="s">
        <v>2654</v>
      </c>
      <c r="C50" s="578" t="s">
        <v>2655</v>
      </c>
      <c r="D50" s="578" t="s">
        <v>2656</v>
      </c>
      <c r="Q50" s="189">
        <f>IF(T49=U49,Q49+1,Q49)</f>
        <v>5</v>
      </c>
      <c r="R50" s="205" t="str">
        <f t="shared" si="22"/>
        <v>T3</v>
      </c>
      <c r="S50" s="205" t="str">
        <f t="shared" si="22"/>
        <v>中</v>
      </c>
      <c r="T50" s="423">
        <f>VLOOKUP(R50&amp;S50,$B$20:$F$32,5,FALSE)</f>
        <v>14</v>
      </c>
      <c r="U50" s="189">
        <f>IF(R50&amp;S50&lt;&gt;R49&amp;S49,0,IF(U49&lt;T49,U49+1,0))</f>
        <v>13</v>
      </c>
      <c r="V50" s="9">
        <v>1.1739999999999999</v>
      </c>
      <c r="W50" s="645">
        <f>ROUNDUP(IF(U50=0,VLOOKUP(R50&amp;S50,$B$20:$G$32,6,FALSE),VLOOKUP(R50&amp;S50,$B$20:$G$32,6,FALSE)*V50)/5,0)*5</f>
        <v>40</v>
      </c>
      <c r="X50" s="159">
        <f>W50*VLOOKUP(R50&amp;S50,$B$20:$H$32,7,FALSE)</f>
        <v>3000</v>
      </c>
      <c r="Y50" s="159" t="str">
        <f t="shared" si="19"/>
        <v>T3中</v>
      </c>
      <c r="Z50" s="423">
        <f t="shared" si="6"/>
        <v>420</v>
      </c>
      <c r="AA50" s="339">
        <f>Z50*VLOOKUP(R50&amp;S50,$B$20:$K$32,10,FALSE)</f>
        <v>100.80000000000001</v>
      </c>
      <c r="AB50" s="330">
        <f t="shared" si="4"/>
        <v>13</v>
      </c>
      <c r="AC50" s="8">
        <v>0.11</v>
      </c>
      <c r="AD50" s="571">
        <f>AC50*VLOOKUP(R50&amp;S50,游戏时长规划!$B$66:$D$78,3,FALSE)</f>
        <v>12.144</v>
      </c>
      <c r="AE50" s="571">
        <f>ROUND(AD50*VLOOKUP(R50&amp;S50,$C$50:$D$62,2,FALSE)/500,0)*500</f>
        <v>320000</v>
      </c>
      <c r="AF50" s="157"/>
      <c r="AG50" s="423" t="str">
        <f>Q50&amp;R50&amp;S50&amp;U50</f>
        <v>5T3中13</v>
      </c>
      <c r="AH50" s="339">
        <f t="shared" si="20"/>
        <v>100.80000000000001</v>
      </c>
      <c r="AI50" s="423">
        <f t="shared" si="21"/>
        <v>29250</v>
      </c>
    </row>
    <row r="51" spans="2:35" x14ac:dyDescent="0.35">
      <c r="B51" s="571">
        <v>1</v>
      </c>
      <c r="C51" s="571" t="s">
        <v>1102</v>
      </c>
      <c r="D51" s="159">
        <f>基础经济系数!G83*基础经济系数!$F$21</f>
        <v>19753.124999999993</v>
      </c>
      <c r="Q51" s="189">
        <f>IF(T50=U50,Q50+1,Q50)</f>
        <v>5</v>
      </c>
      <c r="R51" s="205" t="str">
        <f t="shared" si="22"/>
        <v>T3</v>
      </c>
      <c r="S51" s="205" t="str">
        <f t="shared" si="22"/>
        <v>中</v>
      </c>
      <c r="T51" s="423">
        <f>VLOOKUP(R51&amp;S51,$B$20:$F$32,5,FALSE)</f>
        <v>14</v>
      </c>
      <c r="U51" s="189">
        <f>IF(R51&amp;S51&lt;&gt;R50&amp;S50,0,IF(U50&lt;T50,U50+1,0))</f>
        <v>14</v>
      </c>
      <c r="V51" s="9">
        <v>1.1739999999999999</v>
      </c>
      <c r="W51" s="645">
        <f>ROUNDUP(IF(U51=0,VLOOKUP(R51&amp;S51,$B$20:$G$32,6,FALSE),VLOOKUP(R51&amp;S51,$B$20:$G$32,6,FALSE)*V51)/5,0)*5</f>
        <v>40</v>
      </c>
      <c r="X51" s="159">
        <f>W51*VLOOKUP(R51&amp;S51,$B$20:$H$32,7,FALSE)</f>
        <v>3000</v>
      </c>
      <c r="Y51" s="159" t="str">
        <f t="shared" si="19"/>
        <v>T3中</v>
      </c>
      <c r="Z51" s="423">
        <f t="shared" si="6"/>
        <v>460</v>
      </c>
      <c r="AA51" s="339">
        <f>Z51*VLOOKUP(R51&amp;S51,$B$20:$K$32,10,FALSE)</f>
        <v>110.4</v>
      </c>
      <c r="AB51" s="330">
        <f t="shared" si="4"/>
        <v>14</v>
      </c>
      <c r="AC51" s="8">
        <v>0.11700000000000001</v>
      </c>
      <c r="AD51" s="571">
        <f>AC51*VLOOKUP(R51&amp;S51,游戏时长规划!$B$66:$D$78,3,FALSE)</f>
        <v>12.916800000000002</v>
      </c>
      <c r="AE51" s="571">
        <f>ROUND(AD51*VLOOKUP(R51&amp;S51,$C$50:$D$62,2,FALSE)/500,0)*500</f>
        <v>340000</v>
      </c>
      <c r="AF51" s="157"/>
      <c r="AG51" s="423" t="str">
        <f>Q51&amp;R51&amp;S51&amp;U51</f>
        <v>5T3中14</v>
      </c>
      <c r="AH51" s="339">
        <f t="shared" si="20"/>
        <v>110.4</v>
      </c>
      <c r="AI51" s="423">
        <f t="shared" si="21"/>
        <v>32250</v>
      </c>
    </row>
    <row r="52" spans="2:35" x14ac:dyDescent="0.35">
      <c r="B52" s="571">
        <v>2</v>
      </c>
      <c r="C52" s="571" t="s">
        <v>1103</v>
      </c>
      <c r="D52" s="159">
        <f>基础经济系数!G84*基础经济系数!$F$21</f>
        <v>21508.958333333325</v>
      </c>
      <c r="Q52" s="189">
        <f>IF(T51=U51,Q51+1,Q51)</f>
        <v>6</v>
      </c>
      <c r="R52" s="205" t="str">
        <f t="shared" si="22"/>
        <v>T3</v>
      </c>
      <c r="S52" s="205" t="str">
        <f t="shared" si="22"/>
        <v>高</v>
      </c>
      <c r="T52" s="423">
        <f>VLOOKUP(R52&amp;S52,$B$20:$F$32,5,FALSE)</f>
        <v>14</v>
      </c>
      <c r="U52" s="189">
        <f>IF(R52&amp;S52&lt;&gt;R51&amp;S51,0,IF(U51&lt;T51,U51+1,0))</f>
        <v>0</v>
      </c>
      <c r="V52" s="8">
        <v>0</v>
      </c>
      <c r="W52" s="645">
        <f>ROUNDUP(IF(U52=0,VLOOKUP(R52&amp;S52,$B$20:$G$32,6,FALSE),VLOOKUP(R52&amp;S52,$B$20:$G$32,6,FALSE)*V52)/5,0)*5</f>
        <v>30</v>
      </c>
      <c r="X52" s="159">
        <f>W52*VLOOKUP(R52&amp;S52,$B$20:$H$32,7,FALSE)</f>
        <v>2850</v>
      </c>
      <c r="Y52" s="159" t="str">
        <f t="shared" si="19"/>
        <v>T3高</v>
      </c>
      <c r="Z52" s="423">
        <f t="shared" si="6"/>
        <v>30</v>
      </c>
      <c r="AA52" s="339">
        <f>Z52*VLOOKUP(R52&amp;S52,$B$20:$K$32,10,FALSE)</f>
        <v>9.1999999999999993</v>
      </c>
      <c r="AB52" s="330">
        <f t="shared" si="4"/>
        <v>0</v>
      </c>
      <c r="AC52" s="8">
        <v>0</v>
      </c>
      <c r="AD52" s="571">
        <f>AC52*VLOOKUP(R52&amp;S52,游戏时长规划!$B$66:$D$78,3,FALSE)</f>
        <v>0</v>
      </c>
      <c r="AE52" s="571">
        <f>ROUND(AD52*VLOOKUP(R52&amp;S52,$C$50:$D$62,2,FALSE)/500,0)*500</f>
        <v>0</v>
      </c>
      <c r="AF52" s="157"/>
      <c r="AG52" s="423" t="str">
        <f>Q52&amp;R52&amp;S52&amp;U52</f>
        <v>6T3高0</v>
      </c>
      <c r="AH52" s="339">
        <f t="shared" si="20"/>
        <v>9.1999999999999993</v>
      </c>
      <c r="AI52" s="423">
        <f t="shared" si="21"/>
        <v>0</v>
      </c>
    </row>
    <row r="53" spans="2:35" x14ac:dyDescent="0.35">
      <c r="B53" s="571">
        <v>3</v>
      </c>
      <c r="C53" s="571" t="s">
        <v>1104</v>
      </c>
      <c r="D53" s="159">
        <f>基础经济系数!G85*基础经济系数!$F$21</f>
        <v>23264.791666666657</v>
      </c>
      <c r="Q53" s="189">
        <f>IF(T52=U52,Q52+1,Q52)</f>
        <v>6</v>
      </c>
      <c r="R53" s="205" t="str">
        <f t="shared" si="22"/>
        <v>T3</v>
      </c>
      <c r="S53" s="205" t="str">
        <f t="shared" si="22"/>
        <v>高</v>
      </c>
      <c r="T53" s="423">
        <f>VLOOKUP(R53&amp;S53,$B$20:$F$32,5,FALSE)</f>
        <v>14</v>
      </c>
      <c r="U53" s="189">
        <f>IF(R53&amp;S53&lt;&gt;R52&amp;S52,0,IF(U52&lt;T52,U52+1,0))</f>
        <v>1</v>
      </c>
      <c r="V53" s="8">
        <v>0.57899999999999996</v>
      </c>
      <c r="W53" s="645">
        <f>ROUNDUP(IF(U53=0,VLOOKUP(R53&amp;S53,$B$20:$G$32,6,FALSE),VLOOKUP(R53&amp;S53,$B$20:$G$32,6,FALSE)*V53)/5,0)*5</f>
        <v>20</v>
      </c>
      <c r="X53" s="159">
        <f>W53*VLOOKUP(R53&amp;S53,$B$20:$H$32,7,FALSE)</f>
        <v>1900</v>
      </c>
      <c r="Y53" s="159" t="str">
        <f t="shared" si="19"/>
        <v>T3高</v>
      </c>
      <c r="Z53" s="423">
        <f t="shared" si="6"/>
        <v>50</v>
      </c>
      <c r="AA53" s="339">
        <f>Z53*VLOOKUP(R53&amp;S53,$B$20:$K$32,10,FALSE)</f>
        <v>15.333333333333332</v>
      </c>
      <c r="AB53" s="330">
        <f t="shared" si="4"/>
        <v>1</v>
      </c>
      <c r="AC53" s="8">
        <v>2.5999999999999999E-2</v>
      </c>
      <c r="AD53" s="571">
        <f>AC53*VLOOKUP(R53&amp;S53,游戏时长规划!$B$66:$D$78,3,FALSE)</f>
        <v>3.4683999999999999</v>
      </c>
      <c r="AE53" s="571">
        <f>ROUND(AD53*VLOOKUP(R53&amp;S53,$C$50:$D$62,2,FALSE)/500,0)*500</f>
        <v>97500</v>
      </c>
      <c r="AF53" s="157"/>
      <c r="AG53" s="423" t="str">
        <f>Q53&amp;R53&amp;S53&amp;U53</f>
        <v>6T3高1</v>
      </c>
      <c r="AH53" s="339">
        <f t="shared" si="20"/>
        <v>15.333333333333332</v>
      </c>
      <c r="AI53" s="423">
        <f t="shared" si="21"/>
        <v>1900</v>
      </c>
    </row>
    <row r="54" spans="2:35" x14ac:dyDescent="0.35">
      <c r="B54" s="571">
        <v>4</v>
      </c>
      <c r="C54" s="571" t="s">
        <v>1105</v>
      </c>
      <c r="D54" s="159">
        <f>基础经济系数!G86*基础经济系数!$F$21</f>
        <v>24581.666666666657</v>
      </c>
      <c r="Q54" s="189">
        <f>IF(T53=U53,Q53+1,Q53)</f>
        <v>6</v>
      </c>
      <c r="R54" s="205" t="str">
        <f t="shared" si="22"/>
        <v>T3</v>
      </c>
      <c r="S54" s="205" t="str">
        <f t="shared" si="22"/>
        <v>高</v>
      </c>
      <c r="T54" s="423">
        <f>VLOOKUP(R54&amp;S54,$B$20:$F$32,5,FALSE)</f>
        <v>14</v>
      </c>
      <c r="U54" s="189">
        <f>IF(R54&amp;S54&lt;&gt;R53&amp;S53,0,IF(U53&lt;T53,U53+1,0))</f>
        <v>2</v>
      </c>
      <c r="V54" s="9">
        <v>0.57899999999999996</v>
      </c>
      <c r="W54" s="645">
        <f>ROUNDUP(IF(U54=0,VLOOKUP(R54&amp;S54,$B$20:$G$32,6,FALSE),VLOOKUP(R54&amp;S54,$B$20:$G$32,6,FALSE)*V54)/5,0)*5</f>
        <v>20</v>
      </c>
      <c r="X54" s="159">
        <f>W54*VLOOKUP(R54&amp;S54,$B$20:$H$32,7,FALSE)</f>
        <v>1900</v>
      </c>
      <c r="Y54" s="159" t="str">
        <f t="shared" si="19"/>
        <v>T3高</v>
      </c>
      <c r="Z54" s="423">
        <f t="shared" si="6"/>
        <v>70</v>
      </c>
      <c r="AA54" s="339">
        <f>Z54*VLOOKUP(R54&amp;S54,$B$20:$K$32,10,FALSE)</f>
        <v>21.466666666666665</v>
      </c>
      <c r="AB54" s="330">
        <f t="shared" si="4"/>
        <v>2</v>
      </c>
      <c r="AC54" s="8">
        <v>3.3000000000000002E-2</v>
      </c>
      <c r="AD54" s="571">
        <f>AC54*VLOOKUP(R54&amp;S54,游戏时长规划!$B$66:$D$78,3,FALSE)</f>
        <v>4.4022000000000006</v>
      </c>
      <c r="AE54" s="571">
        <f>ROUND(AD54*VLOOKUP(R54&amp;S54,$C$50:$D$62,2,FALSE)/500,0)*500</f>
        <v>123500</v>
      </c>
      <c r="AF54" s="157"/>
      <c r="AG54" s="423" t="str">
        <f>Q54&amp;R54&amp;S54&amp;U54</f>
        <v>6T3高2</v>
      </c>
      <c r="AH54" s="339">
        <f t="shared" si="20"/>
        <v>21.466666666666665</v>
      </c>
      <c r="AI54" s="423">
        <f t="shared" si="21"/>
        <v>3800</v>
      </c>
    </row>
    <row r="55" spans="2:35" x14ac:dyDescent="0.35">
      <c r="B55" s="571">
        <v>5</v>
      </c>
      <c r="C55" s="571" t="s">
        <v>1106</v>
      </c>
      <c r="D55" s="159">
        <f>基础经济系数!G87*基础经济系数!$F$21</f>
        <v>26337.499999999989</v>
      </c>
      <c r="Q55" s="189">
        <f>IF(T54=U54,Q54+1,Q54)</f>
        <v>6</v>
      </c>
      <c r="R55" s="205" t="str">
        <f t="shared" si="22"/>
        <v>T3</v>
      </c>
      <c r="S55" s="205" t="str">
        <f t="shared" si="22"/>
        <v>高</v>
      </c>
      <c r="T55" s="423">
        <f>VLOOKUP(R55&amp;S55,$B$20:$F$32,5,FALSE)</f>
        <v>14</v>
      </c>
      <c r="U55" s="189">
        <f>IF(R55&amp;S55&lt;&gt;R54&amp;S54,0,IF(U54&lt;T54,U54+1,0))</f>
        <v>3</v>
      </c>
      <c r="V55" s="8">
        <v>0.57899999999999996</v>
      </c>
      <c r="W55" s="645">
        <f>ROUNDUP(IF(U55=0,VLOOKUP(R55&amp;S55,$B$20:$G$32,6,FALSE),VLOOKUP(R55&amp;S55,$B$20:$G$32,6,FALSE)*V55)/5,0)*5</f>
        <v>20</v>
      </c>
      <c r="X55" s="159">
        <f>W55*VLOOKUP(R55&amp;S55,$B$20:$H$32,7,FALSE)</f>
        <v>1900</v>
      </c>
      <c r="Y55" s="159" t="str">
        <f t="shared" si="19"/>
        <v>T3高</v>
      </c>
      <c r="Z55" s="423">
        <f t="shared" si="6"/>
        <v>90</v>
      </c>
      <c r="AA55" s="339">
        <f>Z55*VLOOKUP(R55&amp;S55,$B$20:$K$32,10,FALSE)</f>
        <v>27.599999999999998</v>
      </c>
      <c r="AB55" s="330">
        <f t="shared" si="4"/>
        <v>3</v>
      </c>
      <c r="AC55" s="8">
        <v>0.04</v>
      </c>
      <c r="AD55" s="571">
        <f>AC55*VLOOKUP(R55&amp;S55,游戏时长规划!$B$66:$D$78,3,FALSE)</f>
        <v>5.3360000000000003</v>
      </c>
      <c r="AE55" s="571">
        <f>ROUND(AD55*VLOOKUP(R55&amp;S55,$C$50:$D$62,2,FALSE)/500,0)*500</f>
        <v>150000</v>
      </c>
      <c r="AF55" s="157"/>
      <c r="AG55" s="423" t="str">
        <f>Q55&amp;R55&amp;S55&amp;U55</f>
        <v>6T3高3</v>
      </c>
      <c r="AH55" s="339">
        <f t="shared" si="20"/>
        <v>27.599999999999998</v>
      </c>
      <c r="AI55" s="423">
        <f t="shared" si="21"/>
        <v>5700</v>
      </c>
    </row>
    <row r="56" spans="2:35" x14ac:dyDescent="0.35">
      <c r="B56" s="571">
        <v>6</v>
      </c>
      <c r="C56" s="571" t="s">
        <v>1107</v>
      </c>
      <c r="D56" s="159">
        <f>基础经济系数!G88*基础经济系数!$F$21</f>
        <v>28093.333333333321</v>
      </c>
      <c r="Q56" s="189">
        <f>IF(T55=U55,Q55+1,Q55)</f>
        <v>6</v>
      </c>
      <c r="R56" s="205" t="str">
        <f t="shared" si="22"/>
        <v>T3</v>
      </c>
      <c r="S56" s="205" t="str">
        <f t="shared" si="22"/>
        <v>高</v>
      </c>
      <c r="T56" s="423">
        <f>VLOOKUP(R56&amp;S56,$B$20:$F$32,5,FALSE)</f>
        <v>14</v>
      </c>
      <c r="U56" s="189">
        <f>IF(R56&amp;S56&lt;&gt;R55&amp;S55,0,IF(U55&lt;T55,U55+1,0))</f>
        <v>4</v>
      </c>
      <c r="V56" s="9">
        <v>0.57899999999999996</v>
      </c>
      <c r="W56" s="645">
        <f>ROUNDUP(IF(U56=0,VLOOKUP(R56&amp;S56,$B$20:$G$32,6,FALSE),VLOOKUP(R56&amp;S56,$B$20:$G$32,6,FALSE)*V56)/5,0)*5</f>
        <v>20</v>
      </c>
      <c r="X56" s="159">
        <f>W56*VLOOKUP(R56&amp;S56,$B$20:$H$32,7,FALSE)</f>
        <v>1900</v>
      </c>
      <c r="Y56" s="159" t="str">
        <f t="shared" si="19"/>
        <v>T3高</v>
      </c>
      <c r="Z56" s="423">
        <f t="shared" si="6"/>
        <v>110</v>
      </c>
      <c r="AA56" s="339">
        <f>Z56*VLOOKUP(R56&amp;S56,$B$20:$K$32,10,FALSE)</f>
        <v>33.733333333333334</v>
      </c>
      <c r="AB56" s="330">
        <f t="shared" si="4"/>
        <v>4</v>
      </c>
      <c r="AC56" s="8">
        <v>4.7E-2</v>
      </c>
      <c r="AD56" s="571">
        <f>AC56*VLOOKUP(R56&amp;S56,游戏时长规划!$B$66:$D$78,3,FALSE)</f>
        <v>6.2698</v>
      </c>
      <c r="AE56" s="571">
        <f>ROUND(AD56*VLOOKUP(R56&amp;S56,$C$50:$D$62,2,FALSE)/500,0)*500</f>
        <v>176000</v>
      </c>
      <c r="AF56" s="157"/>
      <c r="AG56" s="423" t="str">
        <f>Q56&amp;R56&amp;S56&amp;U56</f>
        <v>6T3高4</v>
      </c>
      <c r="AH56" s="339">
        <f t="shared" si="20"/>
        <v>33.733333333333334</v>
      </c>
      <c r="AI56" s="423">
        <f t="shared" si="21"/>
        <v>7600</v>
      </c>
    </row>
    <row r="57" spans="2:35" x14ac:dyDescent="0.35">
      <c r="B57" s="571">
        <v>7</v>
      </c>
      <c r="C57" s="571" t="s">
        <v>1108</v>
      </c>
      <c r="D57" s="159">
        <f>基础经济系数!G89*基础经济系数!$F$21</f>
        <v>29849.166666666653</v>
      </c>
      <c r="Q57" s="189">
        <f>IF(T56=U56,Q56+1,Q56)</f>
        <v>6</v>
      </c>
      <c r="R57" s="205" t="str">
        <f t="shared" si="22"/>
        <v>T3</v>
      </c>
      <c r="S57" s="205" t="str">
        <f t="shared" si="22"/>
        <v>高</v>
      </c>
      <c r="T57" s="423">
        <f>VLOOKUP(R57&amp;S57,$B$20:$F$32,5,FALSE)</f>
        <v>14</v>
      </c>
      <c r="U57" s="189">
        <f>IF(R57&amp;S57&lt;&gt;R56&amp;S56,0,IF(U56&lt;T56,U56+1,0))</f>
        <v>5</v>
      </c>
      <c r="V57" s="9">
        <v>0.86799999999999999</v>
      </c>
      <c r="W57" s="645">
        <f>ROUNDUP(IF(U57=0,VLOOKUP(R57&amp;S57,$B$20:$G$32,6,FALSE),VLOOKUP(R57&amp;S57,$B$20:$G$32,6,FALSE)*V57)/5,0)*5</f>
        <v>30</v>
      </c>
      <c r="X57" s="159">
        <f>W57*VLOOKUP(R57&amp;S57,$B$20:$H$32,7,FALSE)</f>
        <v>2850</v>
      </c>
      <c r="Y57" s="159" t="str">
        <f t="shared" si="19"/>
        <v>T3高</v>
      </c>
      <c r="Z57" s="423">
        <f t="shared" si="6"/>
        <v>140</v>
      </c>
      <c r="AA57" s="339">
        <f>Z57*VLOOKUP(R57&amp;S57,$B$20:$K$32,10,FALSE)</f>
        <v>42.93333333333333</v>
      </c>
      <c r="AB57" s="330">
        <f t="shared" si="4"/>
        <v>5</v>
      </c>
      <c r="AC57" s="8">
        <v>5.3999999999999999E-2</v>
      </c>
      <c r="AD57" s="571">
        <f>AC57*VLOOKUP(R57&amp;S57,游戏时长规划!$B$66:$D$78,3,FALSE)</f>
        <v>7.2036000000000007</v>
      </c>
      <c r="AE57" s="571">
        <f>ROUND(AD57*VLOOKUP(R57&amp;S57,$C$50:$D$62,2,FALSE)/500,0)*500</f>
        <v>202500</v>
      </c>
      <c r="AF57" s="157"/>
      <c r="AG57" s="423" t="str">
        <f>Q57&amp;R57&amp;S57&amp;U57</f>
        <v>6T3高5</v>
      </c>
      <c r="AH57" s="339">
        <f t="shared" si="20"/>
        <v>42.93333333333333</v>
      </c>
      <c r="AI57" s="423">
        <f t="shared" si="21"/>
        <v>10450</v>
      </c>
    </row>
    <row r="58" spans="2:35" x14ac:dyDescent="0.35">
      <c r="B58" s="571">
        <v>8</v>
      </c>
      <c r="C58" s="571" t="s">
        <v>1109</v>
      </c>
      <c r="D58" s="159">
        <f>基础经济系数!G90*基础经济系数!$F$21</f>
        <v>31166.041666666653</v>
      </c>
      <c r="Q58" s="189">
        <f>IF(T57=U57,Q57+1,Q57)</f>
        <v>6</v>
      </c>
      <c r="R58" s="205" t="str">
        <f t="shared" si="22"/>
        <v>T3</v>
      </c>
      <c r="S58" s="205" t="str">
        <f t="shared" si="22"/>
        <v>高</v>
      </c>
      <c r="T58" s="423">
        <f>VLOOKUP(R58&amp;S58,$B$20:$F$32,5,FALSE)</f>
        <v>14</v>
      </c>
      <c r="U58" s="189">
        <f>IF(R58&amp;S58&lt;&gt;R57&amp;S57,0,IF(U57&lt;T57,U57+1,0))</f>
        <v>6</v>
      </c>
      <c r="V58" s="9">
        <v>0.86799999999999999</v>
      </c>
      <c r="W58" s="645">
        <f>ROUNDUP(IF(U58=0,VLOOKUP(R58&amp;S58,$B$20:$G$32,6,FALSE),VLOOKUP(R58&amp;S58,$B$20:$G$32,6,FALSE)*V58)/5,0)*5</f>
        <v>30</v>
      </c>
      <c r="X58" s="159">
        <f>W58*VLOOKUP(R58&amp;S58,$B$20:$H$32,7,FALSE)</f>
        <v>2850</v>
      </c>
      <c r="Y58" s="159" t="str">
        <f t="shared" si="19"/>
        <v>T3高</v>
      </c>
      <c r="Z58" s="423">
        <f t="shared" si="6"/>
        <v>170</v>
      </c>
      <c r="AA58" s="339">
        <f>Z58*VLOOKUP(R58&amp;S58,$B$20:$K$32,10,FALSE)</f>
        <v>52.133333333333326</v>
      </c>
      <c r="AB58" s="330">
        <f t="shared" si="4"/>
        <v>6</v>
      </c>
      <c r="AC58" s="8">
        <v>6.0999999999999999E-2</v>
      </c>
      <c r="AD58" s="571">
        <f>AC58*VLOOKUP(R58&amp;S58,游戏时长规划!$B$66:$D$78,3,FALSE)</f>
        <v>8.1373999999999995</v>
      </c>
      <c r="AE58" s="571">
        <f>ROUND(AD58*VLOOKUP(R58&amp;S58,$C$50:$D$62,2,FALSE)/500,0)*500</f>
        <v>228500</v>
      </c>
      <c r="AF58" s="157"/>
      <c r="AG58" s="423" t="str">
        <f>Q58&amp;R58&amp;S58&amp;U58</f>
        <v>6T3高6</v>
      </c>
      <c r="AH58" s="339">
        <f t="shared" si="20"/>
        <v>52.133333333333326</v>
      </c>
      <c r="AI58" s="423">
        <f t="shared" si="21"/>
        <v>13300</v>
      </c>
    </row>
    <row r="59" spans="2:35" x14ac:dyDescent="0.35">
      <c r="B59" s="571">
        <v>9</v>
      </c>
      <c r="C59" s="571" t="s">
        <v>1110</v>
      </c>
      <c r="D59" s="159">
        <f>基础经济系数!G91*基础经济系数!$F$21</f>
        <v>32921.874999999985</v>
      </c>
      <c r="Q59" s="189">
        <f>IF(T58=U58,Q58+1,Q58)</f>
        <v>6</v>
      </c>
      <c r="R59" s="205" t="str">
        <f t="shared" si="22"/>
        <v>T3</v>
      </c>
      <c r="S59" s="205" t="str">
        <f t="shared" si="22"/>
        <v>高</v>
      </c>
      <c r="T59" s="423">
        <f>VLOOKUP(R59&amp;S59,$B$20:$F$32,5,FALSE)</f>
        <v>14</v>
      </c>
      <c r="U59" s="189">
        <f>IF(R59&amp;S59&lt;&gt;R58&amp;S58,0,IF(U58&lt;T58,U58+1,0))</f>
        <v>7</v>
      </c>
      <c r="V59" s="9">
        <v>0.86799999999999999</v>
      </c>
      <c r="W59" s="645">
        <f>ROUNDUP(IF(U59=0,VLOOKUP(R59&amp;S59,$B$20:$G$32,6,FALSE),VLOOKUP(R59&amp;S59,$B$20:$G$32,6,FALSE)*V59)/5,0)*5</f>
        <v>30</v>
      </c>
      <c r="X59" s="159">
        <f>W59*VLOOKUP(R59&amp;S59,$B$20:$H$32,7,FALSE)</f>
        <v>2850</v>
      </c>
      <c r="Y59" s="159" t="str">
        <f t="shared" si="19"/>
        <v>T3高</v>
      </c>
      <c r="Z59" s="423">
        <f t="shared" si="6"/>
        <v>200</v>
      </c>
      <c r="AA59" s="339">
        <f>Z59*VLOOKUP(R59&amp;S59,$B$20:$K$32,10,FALSE)</f>
        <v>61.333333333333329</v>
      </c>
      <c r="AB59" s="330">
        <f t="shared" si="4"/>
        <v>7</v>
      </c>
      <c r="AC59" s="8">
        <v>6.8000000000000005E-2</v>
      </c>
      <c r="AD59" s="571">
        <f>AC59*VLOOKUP(R59&amp;S59,游戏时长规划!$B$66:$D$78,3,FALSE)</f>
        <v>9.071200000000001</v>
      </c>
      <c r="AE59" s="571">
        <f>ROUND(AD59*VLOOKUP(R59&amp;S59,$C$50:$D$62,2,FALSE)/500,0)*500</f>
        <v>255000</v>
      </c>
      <c r="AF59" s="157"/>
      <c r="AG59" s="423" t="str">
        <f>Q59&amp;R59&amp;S59&amp;U59</f>
        <v>6T3高7</v>
      </c>
      <c r="AH59" s="339">
        <f t="shared" si="20"/>
        <v>61.333333333333329</v>
      </c>
      <c r="AI59" s="423">
        <f t="shared" si="21"/>
        <v>16150</v>
      </c>
    </row>
    <row r="60" spans="2:35" x14ac:dyDescent="0.35">
      <c r="B60" s="571">
        <v>10</v>
      </c>
      <c r="C60" s="571" t="s">
        <v>1111</v>
      </c>
      <c r="D60" s="159">
        <f>基础经济系数!G92*基础经济系数!$F$21</f>
        <v>34677.708333333321</v>
      </c>
      <c r="Q60" s="189">
        <f>IF(T59=U59,Q59+1,Q59)</f>
        <v>6</v>
      </c>
      <c r="R60" s="205" t="str">
        <f t="shared" si="22"/>
        <v>T3</v>
      </c>
      <c r="S60" s="205" t="str">
        <f t="shared" si="22"/>
        <v>高</v>
      </c>
      <c r="T60" s="423">
        <f>VLOOKUP(R60&amp;S60,$B$20:$F$32,5,FALSE)</f>
        <v>14</v>
      </c>
      <c r="U60" s="189">
        <f>IF(R60&amp;S60&lt;&gt;R59&amp;S59,0,IF(U59&lt;T59,U59+1,0))</f>
        <v>8</v>
      </c>
      <c r="V60" s="9">
        <v>0.86799999999999999</v>
      </c>
      <c r="W60" s="645">
        <f>ROUNDUP(IF(U60=0,VLOOKUP(R60&amp;S60,$B$20:$G$32,6,FALSE),VLOOKUP(R60&amp;S60,$B$20:$G$32,6,FALSE)*V60)/5,0)*5</f>
        <v>30</v>
      </c>
      <c r="X60" s="159">
        <f>W60*VLOOKUP(R60&amp;S60,$B$20:$H$32,7,FALSE)</f>
        <v>2850</v>
      </c>
      <c r="Y60" s="159" t="str">
        <f t="shared" si="19"/>
        <v>T3高</v>
      </c>
      <c r="Z60" s="423">
        <f t="shared" si="6"/>
        <v>230</v>
      </c>
      <c r="AA60" s="339">
        <f>Z60*VLOOKUP(R60&amp;S60,$B$20:$K$32,10,FALSE)</f>
        <v>70.533333333333331</v>
      </c>
      <c r="AB60" s="330">
        <f t="shared" si="4"/>
        <v>8</v>
      </c>
      <c r="AC60" s="8">
        <v>7.4999999999999997E-2</v>
      </c>
      <c r="AD60" s="571">
        <f>AC60*VLOOKUP(R60&amp;S60,游戏时长规划!$B$66:$D$78,3,FALSE)</f>
        <v>10.005000000000001</v>
      </c>
      <c r="AE60" s="571">
        <f>ROUND(AD60*VLOOKUP(R60&amp;S60,$C$50:$D$62,2,FALSE)/500,0)*500</f>
        <v>281000</v>
      </c>
      <c r="AF60" s="157"/>
      <c r="AG60" s="423" t="str">
        <f>Q60&amp;R60&amp;S60&amp;U60</f>
        <v>6T3高8</v>
      </c>
      <c r="AH60" s="339">
        <f t="shared" si="20"/>
        <v>70.533333333333331</v>
      </c>
      <c r="AI60" s="423">
        <f t="shared" si="21"/>
        <v>19000</v>
      </c>
    </row>
    <row r="61" spans="2:35" x14ac:dyDescent="0.35">
      <c r="B61" s="571">
        <v>11</v>
      </c>
      <c r="C61" s="571" t="s">
        <v>1112</v>
      </c>
      <c r="D61" s="159">
        <f>基础经济系数!G93*基础经济系数!$F$21</f>
        <v>36433.54166666665</v>
      </c>
      <c r="Q61" s="189">
        <f>IF(T60=U60,Q60+1,Q60)</f>
        <v>6</v>
      </c>
      <c r="R61" s="205" t="str">
        <f t="shared" si="22"/>
        <v>T3</v>
      </c>
      <c r="S61" s="205" t="str">
        <f t="shared" si="22"/>
        <v>高</v>
      </c>
      <c r="T61" s="423">
        <f>VLOOKUP(R61&amp;S61,$B$20:$F$32,5,FALSE)</f>
        <v>14</v>
      </c>
      <c r="U61" s="189">
        <f>IF(R61&amp;S61&lt;&gt;R60&amp;S60,0,IF(U60&lt;T60,U60+1,0))</f>
        <v>9</v>
      </c>
      <c r="V61" s="9">
        <v>0.86799999999999999</v>
      </c>
      <c r="W61" s="645">
        <f>ROUNDUP(IF(U61=0,VLOOKUP(R61&amp;S61,$B$20:$G$32,6,FALSE),VLOOKUP(R61&amp;S61,$B$20:$G$32,6,FALSE)*V61)/5,0)*5</f>
        <v>30</v>
      </c>
      <c r="X61" s="159">
        <f>W61*VLOOKUP(R61&amp;S61,$B$20:$H$32,7,FALSE)</f>
        <v>2850</v>
      </c>
      <c r="Y61" s="159" t="str">
        <f t="shared" si="19"/>
        <v>T3高</v>
      </c>
      <c r="Z61" s="423">
        <f t="shared" si="6"/>
        <v>260</v>
      </c>
      <c r="AA61" s="339">
        <f>Z61*VLOOKUP(R61&amp;S61,$B$20:$K$32,10,FALSE)</f>
        <v>79.73333333333332</v>
      </c>
      <c r="AB61" s="330">
        <f t="shared" si="4"/>
        <v>9</v>
      </c>
      <c r="AC61" s="8">
        <v>8.2000000000000003E-2</v>
      </c>
      <c r="AD61" s="571">
        <f>AC61*VLOOKUP(R61&amp;S61,游戏时长规划!$B$66:$D$78,3,FALSE)</f>
        <v>10.938800000000001</v>
      </c>
      <c r="AE61" s="571">
        <f>ROUND(AD61*VLOOKUP(R61&amp;S61,$C$50:$D$62,2,FALSE)/500,0)*500</f>
        <v>307500</v>
      </c>
      <c r="AF61" s="157"/>
      <c r="AG61" s="423" t="str">
        <f>Q61&amp;R61&amp;S61&amp;U61</f>
        <v>6T3高9</v>
      </c>
      <c r="AH61" s="339">
        <f t="shared" si="20"/>
        <v>79.73333333333332</v>
      </c>
      <c r="AI61" s="423">
        <f t="shared" si="21"/>
        <v>21850</v>
      </c>
    </row>
    <row r="62" spans="2:35" x14ac:dyDescent="0.35">
      <c r="B62" s="571">
        <v>12</v>
      </c>
      <c r="C62" s="571" t="s">
        <v>1113</v>
      </c>
      <c r="D62" s="159">
        <f>基础经济系数!G94*基础经济系数!$F$21</f>
        <v>37750.41666666665</v>
      </c>
      <c r="Q62" s="189">
        <f>IF(T61=U61,Q61+1,Q61)</f>
        <v>6</v>
      </c>
      <c r="R62" s="205" t="str">
        <f t="shared" si="22"/>
        <v>T3</v>
      </c>
      <c r="S62" s="205" t="str">
        <f t="shared" si="22"/>
        <v>高</v>
      </c>
      <c r="T62" s="423">
        <f>VLOOKUP(R62&amp;S62,$B$20:$F$32,5,FALSE)</f>
        <v>14</v>
      </c>
      <c r="U62" s="189">
        <f>IF(R62&amp;S62&lt;&gt;R61&amp;S61,0,IF(U61&lt;T61,U61+1,0))</f>
        <v>10</v>
      </c>
      <c r="V62" s="9">
        <v>1.155</v>
      </c>
      <c r="W62" s="645">
        <f>ROUNDUP(IF(U62=0,VLOOKUP(R62&amp;S62,$B$20:$G$32,6,FALSE),VLOOKUP(R62&amp;S62,$B$20:$G$32,6,FALSE)*V62)/5,0)*5</f>
        <v>35</v>
      </c>
      <c r="X62" s="159">
        <f>W62*VLOOKUP(R62&amp;S62,$B$20:$H$32,7,FALSE)</f>
        <v>3325</v>
      </c>
      <c r="Y62" s="159" t="str">
        <f t="shared" si="19"/>
        <v>T3高</v>
      </c>
      <c r="Z62" s="423">
        <f t="shared" si="6"/>
        <v>295</v>
      </c>
      <c r="AA62" s="339">
        <f>Z62*VLOOKUP(R62&amp;S62,$B$20:$K$32,10,FALSE)</f>
        <v>90.466666666666654</v>
      </c>
      <c r="AB62" s="330">
        <f t="shared" si="4"/>
        <v>10</v>
      </c>
      <c r="AC62" s="8">
        <v>8.8999999999999996E-2</v>
      </c>
      <c r="AD62" s="571">
        <f>AC62*VLOOKUP(R62&amp;S62,游戏时长规划!$B$66:$D$78,3,FALSE)</f>
        <v>11.8726</v>
      </c>
      <c r="AE62" s="571">
        <f>ROUND(AD62*VLOOKUP(R62&amp;S62,$C$50:$D$62,2,FALSE)/500,0)*500</f>
        <v>333500</v>
      </c>
      <c r="AF62" s="157"/>
      <c r="AG62" s="423" t="str">
        <f>Q62&amp;R62&amp;S62&amp;U62</f>
        <v>6T3高10</v>
      </c>
      <c r="AH62" s="339">
        <f t="shared" si="20"/>
        <v>90.466666666666654</v>
      </c>
      <c r="AI62" s="423">
        <f t="shared" si="21"/>
        <v>25175</v>
      </c>
    </row>
    <row r="63" spans="2:35" x14ac:dyDescent="0.35">
      <c r="Q63" s="189">
        <f>IF(T62=U62,Q62+1,Q62)</f>
        <v>6</v>
      </c>
      <c r="R63" s="205" t="str">
        <f t="shared" si="22"/>
        <v>T3</v>
      </c>
      <c r="S63" s="205" t="str">
        <f t="shared" si="22"/>
        <v>高</v>
      </c>
      <c r="T63" s="423">
        <f>VLOOKUP(R63&amp;S63,$B$20:$F$32,5,FALSE)</f>
        <v>14</v>
      </c>
      <c r="U63" s="189">
        <f>IF(R63&amp;S63&lt;&gt;R62&amp;S62,0,IF(U62&lt;T62,U62+1,0))</f>
        <v>11</v>
      </c>
      <c r="V63" s="9">
        <v>1.155</v>
      </c>
      <c r="W63" s="645">
        <f>ROUNDUP(IF(U63=0,VLOOKUP(R63&amp;S63,$B$20:$G$32,6,FALSE),VLOOKUP(R63&amp;S63,$B$20:$G$32,6,FALSE)*V63)/5,0)*5</f>
        <v>35</v>
      </c>
      <c r="X63" s="159">
        <f>W63*VLOOKUP(R63&amp;S63,$B$20:$H$32,7,FALSE)</f>
        <v>3325</v>
      </c>
      <c r="Y63" s="159" t="str">
        <f t="shared" si="19"/>
        <v>T3高</v>
      </c>
      <c r="Z63" s="423">
        <f t="shared" si="6"/>
        <v>330</v>
      </c>
      <c r="AA63" s="339">
        <f>Z63*VLOOKUP(R63&amp;S63,$B$20:$K$32,10,FALSE)</f>
        <v>101.19999999999999</v>
      </c>
      <c r="AB63" s="330">
        <f t="shared" si="4"/>
        <v>11</v>
      </c>
      <c r="AC63" s="8">
        <v>9.6000000000000002E-2</v>
      </c>
      <c r="AD63" s="571">
        <f>AC63*VLOOKUP(R63&amp;S63,游戏时长规划!$B$66:$D$78,3,FALSE)</f>
        <v>12.8064</v>
      </c>
      <c r="AE63" s="571">
        <f>ROUND(AD63*VLOOKUP(R63&amp;S63,$C$50:$D$62,2,FALSE)/500,0)*500</f>
        <v>360000</v>
      </c>
      <c r="AF63" s="157"/>
      <c r="AG63" s="423" t="str">
        <f>Q63&amp;R63&amp;S63&amp;U63</f>
        <v>6T3高11</v>
      </c>
      <c r="AH63" s="339">
        <f t="shared" si="20"/>
        <v>101.19999999999999</v>
      </c>
      <c r="AI63" s="423">
        <f t="shared" si="21"/>
        <v>28500</v>
      </c>
    </row>
    <row r="64" spans="2:35" x14ac:dyDescent="0.35">
      <c r="Q64" s="189">
        <f>IF(T63=U63,Q63+1,Q63)</f>
        <v>6</v>
      </c>
      <c r="R64" s="205" t="str">
        <f t="shared" ref="R64:S83" si="23">VLOOKUP($Q64,$C$20:$I$32,MATCH(R$3,$C$20:$I$20,0),FALSE)</f>
        <v>T3</v>
      </c>
      <c r="S64" s="205" t="str">
        <f t="shared" si="23"/>
        <v>高</v>
      </c>
      <c r="T64" s="423">
        <f>VLOOKUP(R64&amp;S64,$B$20:$F$32,5,FALSE)</f>
        <v>14</v>
      </c>
      <c r="U64" s="189">
        <f>IF(R64&amp;S64&lt;&gt;R63&amp;S63,0,IF(U63&lt;T63,U63+1,0))</f>
        <v>12</v>
      </c>
      <c r="V64" s="9">
        <v>1.155</v>
      </c>
      <c r="W64" s="645">
        <f>ROUNDUP(IF(U64=0,VLOOKUP(R64&amp;S64,$B$20:$G$32,6,FALSE),VLOOKUP(R64&amp;S64,$B$20:$G$32,6,FALSE)*V64)/5,0)*5</f>
        <v>35</v>
      </c>
      <c r="X64" s="159">
        <f>W64*VLOOKUP(R64&amp;S64,$B$20:$H$32,7,FALSE)</f>
        <v>3325</v>
      </c>
      <c r="Y64" s="159" t="str">
        <f t="shared" si="19"/>
        <v>T3高</v>
      </c>
      <c r="Z64" s="423">
        <f t="shared" si="6"/>
        <v>365</v>
      </c>
      <c r="AA64" s="339">
        <f>Z64*VLOOKUP(R64&amp;S64,$B$20:$K$32,10,FALSE)</f>
        <v>111.93333333333332</v>
      </c>
      <c r="AB64" s="330">
        <f t="shared" si="4"/>
        <v>12</v>
      </c>
      <c r="AC64" s="8">
        <v>0.10299999999999999</v>
      </c>
      <c r="AD64" s="571">
        <f>AC64*VLOOKUP(R64&amp;S64,游戏时长规划!$B$66:$D$78,3,FALSE)</f>
        <v>13.7402</v>
      </c>
      <c r="AE64" s="571">
        <f>ROUND(AD64*VLOOKUP(R64&amp;S64,$C$50:$D$62,2,FALSE)/500,0)*500</f>
        <v>386000</v>
      </c>
      <c r="AF64" s="157"/>
      <c r="AG64" s="423" t="str">
        <f>Q64&amp;R64&amp;S64&amp;U64</f>
        <v>6T3高12</v>
      </c>
      <c r="AH64" s="339">
        <f t="shared" si="20"/>
        <v>111.93333333333332</v>
      </c>
      <c r="AI64" s="423">
        <f t="shared" si="21"/>
        <v>31825</v>
      </c>
    </row>
    <row r="65" spans="17:35" x14ac:dyDescent="0.35">
      <c r="Q65" s="189">
        <f>IF(T64=U64,Q64+1,Q64)</f>
        <v>6</v>
      </c>
      <c r="R65" s="205" t="str">
        <f t="shared" si="23"/>
        <v>T3</v>
      </c>
      <c r="S65" s="205" t="str">
        <f t="shared" si="23"/>
        <v>高</v>
      </c>
      <c r="T65" s="423">
        <f>VLOOKUP(R65&amp;S65,$B$20:$F$32,5,FALSE)</f>
        <v>14</v>
      </c>
      <c r="U65" s="189">
        <f>IF(R65&amp;S65&lt;&gt;R64&amp;S64,0,IF(U64&lt;T64,U64+1,0))</f>
        <v>13</v>
      </c>
      <c r="V65" s="9">
        <v>1.155</v>
      </c>
      <c r="W65" s="645">
        <f>ROUNDUP(IF(U65=0,VLOOKUP(R65&amp;S65,$B$20:$G$32,6,FALSE),VLOOKUP(R65&amp;S65,$B$20:$G$32,6,FALSE)*V65)/5,0)*5</f>
        <v>35</v>
      </c>
      <c r="X65" s="159">
        <f>W65*VLOOKUP(R65&amp;S65,$B$20:$H$32,7,FALSE)</f>
        <v>3325</v>
      </c>
      <c r="Y65" s="159" t="str">
        <f t="shared" si="19"/>
        <v>T3高</v>
      </c>
      <c r="Z65" s="423">
        <f t="shared" si="6"/>
        <v>400</v>
      </c>
      <c r="AA65" s="339">
        <f>Z65*VLOOKUP(R65&amp;S65,$B$20:$K$32,10,FALSE)</f>
        <v>122.66666666666666</v>
      </c>
      <c r="AB65" s="330">
        <f t="shared" si="4"/>
        <v>13</v>
      </c>
      <c r="AC65" s="8">
        <v>0.11</v>
      </c>
      <c r="AD65" s="571">
        <f>AC65*VLOOKUP(R65&amp;S65,游戏时长规划!$B$66:$D$78,3,FALSE)</f>
        <v>14.674000000000001</v>
      </c>
      <c r="AE65" s="571">
        <f>ROUND(AD65*VLOOKUP(R65&amp;S65,$C$50:$D$62,2,FALSE)/500,0)*500</f>
        <v>412000</v>
      </c>
      <c r="AF65" s="157"/>
      <c r="AG65" s="423" t="str">
        <f>Q65&amp;R65&amp;S65&amp;U65</f>
        <v>6T3高13</v>
      </c>
      <c r="AH65" s="339">
        <f t="shared" si="20"/>
        <v>122.66666666666666</v>
      </c>
      <c r="AI65" s="423">
        <f t="shared" si="21"/>
        <v>35150</v>
      </c>
    </row>
    <row r="66" spans="17:35" x14ac:dyDescent="0.35">
      <c r="Q66" s="189">
        <f>IF(T65=U65,Q65+1,Q65)</f>
        <v>6</v>
      </c>
      <c r="R66" s="205" t="str">
        <f t="shared" si="23"/>
        <v>T3</v>
      </c>
      <c r="S66" s="205" t="str">
        <f t="shared" si="23"/>
        <v>高</v>
      </c>
      <c r="T66" s="423">
        <f>VLOOKUP(R66&amp;S66,$B$20:$F$32,5,FALSE)</f>
        <v>14</v>
      </c>
      <c r="U66" s="189">
        <f>IF(R66&amp;S66&lt;&gt;R65&amp;S65,0,IF(U65&lt;T65,U65+1,0))</f>
        <v>14</v>
      </c>
      <c r="V66" s="9">
        <v>1.155</v>
      </c>
      <c r="W66" s="645">
        <f>ROUNDUP(IF(U66=0,VLOOKUP(R66&amp;S66,$B$20:$G$32,6,FALSE),VLOOKUP(R66&amp;S66,$B$20:$G$32,6,FALSE)*V66)/5,0)*5</f>
        <v>35</v>
      </c>
      <c r="X66" s="159">
        <f>W66*VLOOKUP(R66&amp;S66,$B$20:$H$32,7,FALSE)</f>
        <v>3325</v>
      </c>
      <c r="Y66" s="159" t="str">
        <f t="shared" si="19"/>
        <v>T3高</v>
      </c>
      <c r="Z66" s="423">
        <f t="shared" si="6"/>
        <v>435</v>
      </c>
      <c r="AA66" s="339">
        <f>Z66*VLOOKUP(R66&amp;S66,$B$20:$K$32,10,FALSE)</f>
        <v>133.39999999999998</v>
      </c>
      <c r="AB66" s="330">
        <f t="shared" si="4"/>
        <v>14</v>
      </c>
      <c r="AC66" s="8">
        <v>0.11700000000000001</v>
      </c>
      <c r="AD66" s="571">
        <f>AC66*VLOOKUP(R66&amp;S66,游戏时长规划!$B$66:$D$78,3,FALSE)</f>
        <v>15.607800000000001</v>
      </c>
      <c r="AE66" s="571">
        <f>ROUND(AD66*VLOOKUP(R66&amp;S66,$C$50:$D$62,2,FALSE)/500,0)*500</f>
        <v>438500</v>
      </c>
      <c r="AF66" s="157"/>
      <c r="AG66" s="423" t="str">
        <f>Q66&amp;R66&amp;S66&amp;U66</f>
        <v>6T3高14</v>
      </c>
      <c r="AH66" s="339">
        <f t="shared" si="20"/>
        <v>133.39999999999998</v>
      </c>
      <c r="AI66" s="423">
        <f t="shared" si="21"/>
        <v>38475</v>
      </c>
    </row>
    <row r="67" spans="17:35" x14ac:dyDescent="0.35">
      <c r="Q67" s="189">
        <f>IF(T66=U66,Q66+1,Q66)</f>
        <v>7</v>
      </c>
      <c r="R67" s="205" t="str">
        <f t="shared" si="23"/>
        <v>T4</v>
      </c>
      <c r="S67" s="205" t="str">
        <f t="shared" si="23"/>
        <v>低</v>
      </c>
      <c r="T67" s="423">
        <f>VLOOKUP(R67&amp;S67,$B$20:$F$32,5,FALSE)</f>
        <v>10</v>
      </c>
      <c r="U67" s="189">
        <f>IF(R67&amp;S67&lt;&gt;R66&amp;S66,0,IF(U66&lt;T66,U66+1,0))</f>
        <v>0</v>
      </c>
      <c r="V67" s="8">
        <v>0</v>
      </c>
      <c r="W67" s="645">
        <f>ROUNDUP(IF(U67=0,VLOOKUP(R67&amp;S67,$B$20:$G$32,6,FALSE),VLOOKUP(R67&amp;S67,$B$20:$G$32,6,FALSE)*V67)/5,0)*5</f>
        <v>50</v>
      </c>
      <c r="X67" s="159">
        <f>W67*VLOOKUP(R67&amp;S67,$B$20:$H$32,7,FALSE)</f>
        <v>5000</v>
      </c>
      <c r="Y67" s="159" t="str">
        <f t="shared" si="19"/>
        <v>T4低</v>
      </c>
      <c r="Z67" s="423">
        <f t="shared" si="6"/>
        <v>50</v>
      </c>
      <c r="AA67" s="339">
        <f>Z67*VLOOKUP(R67&amp;S67,$B$20:$K$32,10,FALSE)</f>
        <v>16.100000000000001</v>
      </c>
      <c r="AB67" s="330">
        <f t="shared" si="4"/>
        <v>0</v>
      </c>
      <c r="AC67" s="8">
        <v>0</v>
      </c>
      <c r="AD67" s="571">
        <f>AC67*VLOOKUP(R67&amp;S67,游戏时长规划!$B$66:$D$78,3,FALSE)</f>
        <v>0</v>
      </c>
      <c r="AE67" s="571">
        <f>ROUND(AD67*VLOOKUP(R67&amp;S67,$C$50:$D$62,2,FALSE)/500,0)*500</f>
        <v>0</v>
      </c>
      <c r="AF67" s="157"/>
      <c r="AG67" s="423" t="str">
        <f>Q67&amp;R67&amp;S67&amp;U67</f>
        <v>7T4低0</v>
      </c>
      <c r="AH67" s="339">
        <f t="shared" si="20"/>
        <v>16.100000000000001</v>
      </c>
      <c r="AI67" s="423">
        <f t="shared" si="21"/>
        <v>0</v>
      </c>
    </row>
    <row r="68" spans="17:35" x14ac:dyDescent="0.35">
      <c r="Q68" s="189">
        <f>IF(T67=U67,Q67+1,Q67)</f>
        <v>7</v>
      </c>
      <c r="R68" s="205" t="str">
        <f t="shared" si="23"/>
        <v>T4</v>
      </c>
      <c r="S68" s="205" t="str">
        <f t="shared" si="23"/>
        <v>低</v>
      </c>
      <c r="T68" s="423">
        <f>VLOOKUP(R68&amp;S68,$B$20:$F$32,5,FALSE)</f>
        <v>10</v>
      </c>
      <c r="U68" s="189">
        <f>IF(R68&amp;S68&lt;&gt;R67&amp;S67,0,IF(U67&lt;T67,U67+1,0))</f>
        <v>1</v>
      </c>
      <c r="V68" s="8">
        <v>0.30499999999999999</v>
      </c>
      <c r="W68" s="645">
        <f>ROUNDUP(IF(U68=0,VLOOKUP(R68&amp;S68,$B$20:$G$32,6,FALSE),VLOOKUP(R68&amp;S68,$B$20:$G$32,6,FALSE)*V68)/5,0)*5</f>
        <v>20</v>
      </c>
      <c r="X68" s="159">
        <f>W68*VLOOKUP(R68&amp;S68,$B$20:$H$32,7,FALSE)</f>
        <v>2000</v>
      </c>
      <c r="Y68" s="159" t="str">
        <f t="shared" ref="Y68:Y99" si="24">R68&amp;S68</f>
        <v>T4低</v>
      </c>
      <c r="Z68" s="423">
        <f t="shared" si="6"/>
        <v>70</v>
      </c>
      <c r="AA68" s="339">
        <f>Z68*VLOOKUP(R68&amp;S68,$B$20:$K$32,10,FALSE)</f>
        <v>22.54</v>
      </c>
      <c r="AB68" s="330">
        <f t="shared" si="4"/>
        <v>1</v>
      </c>
      <c r="AC68" s="8">
        <v>3.6999999999999998E-2</v>
      </c>
      <c r="AD68" s="571">
        <f>AC68*VLOOKUP(R68&amp;S68,游戏时长规划!$B$66:$D$78,3,FALSE)</f>
        <v>3.2781999999999996</v>
      </c>
      <c r="AE68" s="571">
        <f>ROUND(AD68*VLOOKUP(R68&amp;S68,$C$50:$D$62,2,FALSE)/500,0)*500</f>
        <v>98000</v>
      </c>
      <c r="AF68" s="157"/>
      <c r="AG68" s="423" t="str">
        <f>Q68&amp;R68&amp;S68&amp;U68</f>
        <v>7T4低1</v>
      </c>
      <c r="AH68" s="339">
        <f t="shared" ref="AH68:AH99" si="25">AA68</f>
        <v>22.54</v>
      </c>
      <c r="AI68" s="423">
        <f t="shared" ref="AI68:AI99" si="26">IF(U68=0,0,X68+AI67)</f>
        <v>2000</v>
      </c>
    </row>
    <row r="69" spans="17:35" x14ac:dyDescent="0.35">
      <c r="Q69" s="189">
        <f>IF(T68=U68,Q68+1,Q68)</f>
        <v>7</v>
      </c>
      <c r="R69" s="205" t="str">
        <f t="shared" si="23"/>
        <v>T4</v>
      </c>
      <c r="S69" s="205" t="str">
        <f t="shared" si="23"/>
        <v>低</v>
      </c>
      <c r="T69" s="423">
        <f>VLOOKUP(R69&amp;S69,$B$20:$F$32,5,FALSE)</f>
        <v>10</v>
      </c>
      <c r="U69" s="189">
        <f>IF(R69&amp;S69&lt;&gt;R68&amp;S68,0,IF(U68&lt;T68,U68+1,0))</f>
        <v>2</v>
      </c>
      <c r="V69" s="8">
        <v>0.30499999999999999</v>
      </c>
      <c r="W69" s="645">
        <f>ROUNDUP(IF(U69=0,VLOOKUP(R69&amp;S69,$B$20:$G$32,6,FALSE),VLOOKUP(R69&amp;S69,$B$20:$G$32,6,FALSE)*V69)/5,0)*5</f>
        <v>20</v>
      </c>
      <c r="X69" s="159">
        <f>W69*VLOOKUP(R69&amp;S69,$B$20:$H$32,7,FALSE)</f>
        <v>2000</v>
      </c>
      <c r="Y69" s="159" t="str">
        <f t="shared" si="24"/>
        <v>T4低</v>
      </c>
      <c r="Z69" s="423">
        <f t="shared" ref="Z69:Z81" si="27">IF(Y69&lt;&gt;Y68,W69,W69+Z68)</f>
        <v>90</v>
      </c>
      <c r="AA69" s="339">
        <f>Z69*VLOOKUP(R69&amp;S69,$B$20:$K$32,10,FALSE)</f>
        <v>28.98</v>
      </c>
      <c r="AB69" s="330">
        <f t="shared" ref="AB69:AB81" si="28">U69</f>
        <v>2</v>
      </c>
      <c r="AC69" s="8">
        <v>5.0999999999999997E-2</v>
      </c>
      <c r="AD69" s="571">
        <f>AC69*VLOOKUP(R69&amp;S69,游戏时长规划!$B$66:$D$78,3,FALSE)</f>
        <v>4.5185999999999993</v>
      </c>
      <c r="AE69" s="571">
        <f>ROUND(AD69*VLOOKUP(R69&amp;S69,$C$50:$D$62,2,FALSE)/500,0)*500</f>
        <v>135000</v>
      </c>
      <c r="AF69" s="157"/>
      <c r="AG69" s="423" t="str">
        <f>Q69&amp;R69&amp;S69&amp;U69</f>
        <v>7T4低2</v>
      </c>
      <c r="AH69" s="339">
        <f t="shared" si="25"/>
        <v>28.98</v>
      </c>
      <c r="AI69" s="423">
        <f t="shared" si="26"/>
        <v>4000</v>
      </c>
    </row>
    <row r="70" spans="17:35" x14ac:dyDescent="0.35">
      <c r="Q70" s="189">
        <f>IF(T69=U69,Q69+1,Q69)</f>
        <v>7</v>
      </c>
      <c r="R70" s="205" t="str">
        <f t="shared" si="23"/>
        <v>T4</v>
      </c>
      <c r="S70" s="205" t="str">
        <f t="shared" si="23"/>
        <v>低</v>
      </c>
      <c r="T70" s="423">
        <f>VLOOKUP(R70&amp;S70,$B$20:$F$32,5,FALSE)</f>
        <v>10</v>
      </c>
      <c r="U70" s="189">
        <f>IF(R70&amp;S70&lt;&gt;R69&amp;S69,0,IF(U69&lt;T69,U69+1,0))</f>
        <v>3</v>
      </c>
      <c r="V70" s="8">
        <v>0.30499999999999999</v>
      </c>
      <c r="W70" s="645">
        <f>ROUNDUP(IF(U70=0,VLOOKUP(R70&amp;S70,$B$20:$G$32,6,FALSE),VLOOKUP(R70&amp;S70,$B$20:$G$32,6,FALSE)*V70)/5,0)*5</f>
        <v>20</v>
      </c>
      <c r="X70" s="159">
        <f>W70*VLOOKUP(R70&amp;S70,$B$20:$H$32,7,FALSE)</f>
        <v>2000</v>
      </c>
      <c r="Y70" s="159" t="str">
        <f t="shared" si="24"/>
        <v>T4低</v>
      </c>
      <c r="Z70" s="423">
        <f t="shared" si="27"/>
        <v>110</v>
      </c>
      <c r="AA70" s="339">
        <f>Z70*VLOOKUP(R70&amp;S70,$B$20:$K$32,10,FALSE)</f>
        <v>35.42</v>
      </c>
      <c r="AB70" s="330">
        <f t="shared" si="28"/>
        <v>3</v>
      </c>
      <c r="AC70" s="8">
        <v>6.5000000000000002E-2</v>
      </c>
      <c r="AD70" s="571">
        <f>AC70*VLOOKUP(R70&amp;S70,游戏时长规划!$B$66:$D$78,3,FALSE)</f>
        <v>5.7589999999999995</v>
      </c>
      <c r="AE70" s="571">
        <f>ROUND(AD70*VLOOKUP(R70&amp;S70,$C$50:$D$62,2,FALSE)/500,0)*500</f>
        <v>172000</v>
      </c>
      <c r="AF70" s="157"/>
      <c r="AG70" s="423" t="str">
        <f>Q70&amp;R70&amp;S70&amp;U70</f>
        <v>7T4低3</v>
      </c>
      <c r="AH70" s="339">
        <f t="shared" si="25"/>
        <v>35.42</v>
      </c>
      <c r="AI70" s="423">
        <f t="shared" si="26"/>
        <v>6000</v>
      </c>
    </row>
    <row r="71" spans="17:35" x14ac:dyDescent="0.35">
      <c r="Q71" s="189">
        <f>IF(T70=U70,Q70+1,Q70)</f>
        <v>7</v>
      </c>
      <c r="R71" s="205" t="str">
        <f t="shared" si="23"/>
        <v>T4</v>
      </c>
      <c r="S71" s="205" t="str">
        <f t="shared" si="23"/>
        <v>低</v>
      </c>
      <c r="T71" s="423">
        <f>VLOOKUP(R71&amp;S71,$B$20:$F$32,5,FALSE)</f>
        <v>10</v>
      </c>
      <c r="U71" s="189">
        <f>IF(R71&amp;S71&lt;&gt;R70&amp;S70,0,IF(U70&lt;T70,U70+1,0))</f>
        <v>4</v>
      </c>
      <c r="V71" s="8">
        <v>0.30499999999999999</v>
      </c>
      <c r="W71" s="645">
        <f>ROUNDUP(IF(U71=0,VLOOKUP(R71&amp;S71,$B$20:$G$32,6,FALSE),VLOOKUP(R71&amp;S71,$B$20:$G$32,6,FALSE)*V71)/5,0)*5</f>
        <v>20</v>
      </c>
      <c r="X71" s="159">
        <f>W71*VLOOKUP(R71&amp;S71,$B$20:$H$32,7,FALSE)</f>
        <v>2000</v>
      </c>
      <c r="Y71" s="159" t="str">
        <f t="shared" si="24"/>
        <v>T4低</v>
      </c>
      <c r="Z71" s="423">
        <f t="shared" si="27"/>
        <v>130</v>
      </c>
      <c r="AA71" s="339">
        <f>Z71*VLOOKUP(R71&amp;S71,$B$20:$K$32,10,FALSE)</f>
        <v>41.86</v>
      </c>
      <c r="AB71" s="330">
        <f t="shared" si="28"/>
        <v>4</v>
      </c>
      <c r="AC71" s="8">
        <v>7.9000000000000001E-2</v>
      </c>
      <c r="AD71" s="571">
        <f>AC71*VLOOKUP(R71&amp;S71,游戏时长规划!$B$66:$D$78,3,FALSE)</f>
        <v>6.9993999999999996</v>
      </c>
      <c r="AE71" s="571">
        <f>ROUND(AD71*VLOOKUP(R71&amp;S71,$C$50:$D$62,2,FALSE)/500,0)*500</f>
        <v>209000</v>
      </c>
      <c r="AF71" s="157"/>
      <c r="AG71" s="423" t="str">
        <f>Q71&amp;R71&amp;S71&amp;U71</f>
        <v>7T4低4</v>
      </c>
      <c r="AH71" s="339">
        <f t="shared" si="25"/>
        <v>41.86</v>
      </c>
      <c r="AI71" s="423">
        <f t="shared" si="26"/>
        <v>8000</v>
      </c>
    </row>
    <row r="72" spans="17:35" x14ac:dyDescent="0.35">
      <c r="Q72" s="189">
        <f>IF(T71=U71,Q71+1,Q71)</f>
        <v>7</v>
      </c>
      <c r="R72" s="205" t="str">
        <f t="shared" si="23"/>
        <v>T4</v>
      </c>
      <c r="S72" s="205" t="str">
        <f t="shared" si="23"/>
        <v>低</v>
      </c>
      <c r="T72" s="423">
        <f>VLOOKUP(R72&amp;S72,$B$20:$F$32,5,FALSE)</f>
        <v>10</v>
      </c>
      <c r="U72" s="189">
        <f>IF(R72&amp;S72&lt;&gt;R71&amp;S71,0,IF(U71&lt;T71,U71+1,0))</f>
        <v>5</v>
      </c>
      <c r="V72" s="8">
        <v>0.30499999999999999</v>
      </c>
      <c r="W72" s="645">
        <f>ROUNDUP(IF(U72=0,VLOOKUP(R72&amp;S72,$B$20:$G$32,6,FALSE),VLOOKUP(R72&amp;S72,$B$20:$G$32,6,FALSE)*V72)/5,0)*5</f>
        <v>20</v>
      </c>
      <c r="X72" s="159">
        <f>W72*VLOOKUP(R72&amp;S72,$B$20:$H$32,7,FALSE)</f>
        <v>2000</v>
      </c>
      <c r="Y72" s="159" t="str">
        <f t="shared" si="24"/>
        <v>T4低</v>
      </c>
      <c r="Z72" s="423">
        <f t="shared" si="27"/>
        <v>150</v>
      </c>
      <c r="AA72" s="339">
        <f>Z72*VLOOKUP(R72&amp;S72,$B$20:$K$32,10,FALSE)</f>
        <v>48.300000000000004</v>
      </c>
      <c r="AB72" s="330">
        <f t="shared" si="28"/>
        <v>5</v>
      </c>
      <c r="AC72" s="8">
        <v>9.2999999999999999E-2</v>
      </c>
      <c r="AD72" s="571">
        <f>AC72*VLOOKUP(R72&amp;S72,游戏时长规划!$B$66:$D$78,3,FALSE)</f>
        <v>8.2397999999999989</v>
      </c>
      <c r="AE72" s="571">
        <f>ROUND(AD72*VLOOKUP(R72&amp;S72,$C$50:$D$62,2,FALSE)/500,0)*500</f>
        <v>246000</v>
      </c>
      <c r="AF72" s="157"/>
      <c r="AG72" s="423" t="str">
        <f>Q72&amp;R72&amp;S72&amp;U72</f>
        <v>7T4低5</v>
      </c>
      <c r="AH72" s="339">
        <f t="shared" si="25"/>
        <v>48.300000000000004</v>
      </c>
      <c r="AI72" s="423">
        <f t="shared" si="26"/>
        <v>10000</v>
      </c>
    </row>
    <row r="73" spans="17:35" x14ac:dyDescent="0.35">
      <c r="Q73" s="189">
        <f>IF(T72=U72,Q72+1,Q72)</f>
        <v>7</v>
      </c>
      <c r="R73" s="205" t="str">
        <f t="shared" si="23"/>
        <v>T4</v>
      </c>
      <c r="S73" s="205" t="str">
        <f t="shared" si="23"/>
        <v>低</v>
      </c>
      <c r="T73" s="423">
        <f>VLOOKUP(R73&amp;S73,$B$20:$F$32,5,FALSE)</f>
        <v>10</v>
      </c>
      <c r="U73" s="189">
        <f>IF(R73&amp;S73&lt;&gt;R72&amp;S72,0,IF(U72&lt;T72,U72+1,0))</f>
        <v>6</v>
      </c>
      <c r="V73" s="8">
        <v>0.45700000000000002</v>
      </c>
      <c r="W73" s="645">
        <f>ROUNDUP(IF(U73=0,VLOOKUP(R73&amp;S73,$B$20:$G$32,6,FALSE),VLOOKUP(R73&amp;S73,$B$20:$G$32,6,FALSE)*V73)/5,0)*5</f>
        <v>25</v>
      </c>
      <c r="X73" s="159">
        <f>W73*VLOOKUP(R73&amp;S73,$B$20:$H$32,7,FALSE)</f>
        <v>2500</v>
      </c>
      <c r="Y73" s="159" t="str">
        <f t="shared" si="24"/>
        <v>T4低</v>
      </c>
      <c r="Z73" s="423">
        <f t="shared" si="27"/>
        <v>175</v>
      </c>
      <c r="AA73" s="339">
        <f>Z73*VLOOKUP(R73&amp;S73,$B$20:$K$32,10,FALSE)</f>
        <v>56.35</v>
      </c>
      <c r="AB73" s="330">
        <f t="shared" si="28"/>
        <v>6</v>
      </c>
      <c r="AC73" s="8">
        <v>0.107</v>
      </c>
      <c r="AD73" s="571">
        <f>AC73*VLOOKUP(R73&amp;S73,游戏时长规划!$B$66:$D$78,3,FALSE)</f>
        <v>9.4802</v>
      </c>
      <c r="AE73" s="571">
        <f>ROUND(AD73*VLOOKUP(R73&amp;S73,$C$50:$D$62,2,FALSE)/500,0)*500</f>
        <v>283000</v>
      </c>
      <c r="AF73" s="157"/>
      <c r="AG73" s="423" t="str">
        <f>Q73&amp;R73&amp;S73&amp;U73</f>
        <v>7T4低6</v>
      </c>
      <c r="AH73" s="339">
        <f t="shared" si="25"/>
        <v>56.35</v>
      </c>
      <c r="AI73" s="423">
        <f t="shared" si="26"/>
        <v>12500</v>
      </c>
    </row>
    <row r="74" spans="17:35" x14ac:dyDescent="0.35">
      <c r="Q74" s="189">
        <f>IF(T73=U73,Q73+1,Q73)</f>
        <v>7</v>
      </c>
      <c r="R74" s="205" t="str">
        <f t="shared" si="23"/>
        <v>T4</v>
      </c>
      <c r="S74" s="205" t="str">
        <f t="shared" si="23"/>
        <v>低</v>
      </c>
      <c r="T74" s="423">
        <f>VLOOKUP(R74&amp;S74,$B$20:$F$32,5,FALSE)</f>
        <v>10</v>
      </c>
      <c r="U74" s="189">
        <f>IF(R74&amp;S74&lt;&gt;R73&amp;S73,0,IF(U73&lt;T73,U73+1,0))</f>
        <v>7</v>
      </c>
      <c r="V74" s="8">
        <v>0.45700000000000002</v>
      </c>
      <c r="W74" s="645">
        <f>ROUNDUP(IF(U74=0,VLOOKUP(R74&amp;S74,$B$20:$G$32,6,FALSE),VLOOKUP(R74&amp;S74,$B$20:$G$32,6,FALSE)*V74)/5,0)*5</f>
        <v>25</v>
      </c>
      <c r="X74" s="159">
        <f>W74*VLOOKUP(R74&amp;S74,$B$20:$H$32,7,FALSE)</f>
        <v>2500</v>
      </c>
      <c r="Y74" s="159" t="str">
        <f t="shared" si="24"/>
        <v>T4低</v>
      </c>
      <c r="Z74" s="423">
        <f t="shared" si="27"/>
        <v>200</v>
      </c>
      <c r="AA74" s="339">
        <f>Z74*VLOOKUP(R74&amp;S74,$B$20:$K$32,10,FALSE)</f>
        <v>64.400000000000006</v>
      </c>
      <c r="AB74" s="330">
        <f t="shared" si="28"/>
        <v>7</v>
      </c>
      <c r="AC74" s="8">
        <v>0.121</v>
      </c>
      <c r="AD74" s="571">
        <f>AC74*VLOOKUP(R74&amp;S74,游戏时长规划!$B$66:$D$78,3,FALSE)</f>
        <v>10.720599999999999</v>
      </c>
      <c r="AE74" s="571">
        <f>ROUND(AD74*VLOOKUP(R74&amp;S74,$C$50:$D$62,2,FALSE)/500,0)*500</f>
        <v>320000</v>
      </c>
      <c r="AF74" s="157"/>
      <c r="AG74" s="423" t="str">
        <f>Q74&amp;R74&amp;S74&amp;U74</f>
        <v>7T4低7</v>
      </c>
      <c r="AH74" s="339">
        <f t="shared" si="25"/>
        <v>64.400000000000006</v>
      </c>
      <c r="AI74" s="423">
        <f t="shared" si="26"/>
        <v>15000</v>
      </c>
    </row>
    <row r="75" spans="17:35" x14ac:dyDescent="0.35">
      <c r="Q75" s="189">
        <f>IF(T74=U74,Q74+1,Q74)</f>
        <v>7</v>
      </c>
      <c r="R75" s="205" t="str">
        <f t="shared" si="23"/>
        <v>T4</v>
      </c>
      <c r="S75" s="205" t="str">
        <f t="shared" si="23"/>
        <v>低</v>
      </c>
      <c r="T75" s="423">
        <f>VLOOKUP(R75&amp;S75,$B$20:$F$32,5,FALSE)</f>
        <v>10</v>
      </c>
      <c r="U75" s="189">
        <f>IF(R75&amp;S75&lt;&gt;R74&amp;S74,0,IF(U74&lt;T74,U74+1,0))</f>
        <v>8</v>
      </c>
      <c r="V75" s="8">
        <v>0.45700000000000002</v>
      </c>
      <c r="W75" s="645">
        <f>ROUNDUP(IF(U75=0,VLOOKUP(R75&amp;S75,$B$20:$G$32,6,FALSE),VLOOKUP(R75&amp;S75,$B$20:$G$32,6,FALSE)*V75)/5,0)*5</f>
        <v>25</v>
      </c>
      <c r="X75" s="159">
        <f>W75*VLOOKUP(R75&amp;S75,$B$20:$H$32,7,FALSE)</f>
        <v>2500</v>
      </c>
      <c r="Y75" s="159" t="str">
        <f t="shared" si="24"/>
        <v>T4低</v>
      </c>
      <c r="Z75" s="423">
        <f t="shared" si="27"/>
        <v>225</v>
      </c>
      <c r="AA75" s="339">
        <f>Z75*VLOOKUP(R75&amp;S75,$B$20:$K$32,10,FALSE)</f>
        <v>72.45</v>
      </c>
      <c r="AB75" s="330">
        <f t="shared" si="28"/>
        <v>8</v>
      </c>
      <c r="AC75" s="8">
        <v>0.13500000000000001</v>
      </c>
      <c r="AD75" s="571">
        <f>AC75*VLOOKUP(R75&amp;S75,游戏时长规划!$B$66:$D$78,3,FALSE)</f>
        <v>11.961</v>
      </c>
      <c r="AE75" s="571">
        <f>ROUND(AD75*VLOOKUP(R75&amp;S75,$C$50:$D$62,2,FALSE)/500,0)*500</f>
        <v>357000</v>
      </c>
      <c r="AF75" s="157"/>
      <c r="AG75" s="423" t="str">
        <f>Q75&amp;R75&amp;S75&amp;U75</f>
        <v>7T4低8</v>
      </c>
      <c r="AH75" s="339">
        <f t="shared" si="25"/>
        <v>72.45</v>
      </c>
      <c r="AI75" s="423">
        <f t="shared" si="26"/>
        <v>17500</v>
      </c>
    </row>
    <row r="76" spans="17:35" x14ac:dyDescent="0.35">
      <c r="Q76" s="189">
        <f>IF(T75=U75,Q75+1,Q75)</f>
        <v>7</v>
      </c>
      <c r="R76" s="205" t="str">
        <f t="shared" si="23"/>
        <v>T4</v>
      </c>
      <c r="S76" s="205" t="str">
        <f t="shared" si="23"/>
        <v>低</v>
      </c>
      <c r="T76" s="423">
        <f>VLOOKUP(R76&amp;S76,$B$20:$F$32,5,FALSE)</f>
        <v>10</v>
      </c>
      <c r="U76" s="189">
        <f>IF(R76&amp;S76&lt;&gt;R75&amp;S75,0,IF(U75&lt;T75,U75+1,0))</f>
        <v>9</v>
      </c>
      <c r="V76" s="8">
        <v>0.45700000000000002</v>
      </c>
      <c r="W76" s="645">
        <f>ROUNDUP(IF(U76=0,VLOOKUP(R76&amp;S76,$B$20:$G$32,6,FALSE),VLOOKUP(R76&amp;S76,$B$20:$G$32,6,FALSE)*V76)/5,0)*5</f>
        <v>25</v>
      </c>
      <c r="X76" s="159">
        <f>W76*VLOOKUP(R76&amp;S76,$B$20:$H$32,7,FALSE)</f>
        <v>2500</v>
      </c>
      <c r="Y76" s="159" t="str">
        <f t="shared" si="24"/>
        <v>T4低</v>
      </c>
      <c r="Z76" s="423">
        <f t="shared" si="27"/>
        <v>250</v>
      </c>
      <c r="AA76" s="339">
        <f>Z76*VLOOKUP(R76&amp;S76,$B$20:$K$32,10,FALSE)</f>
        <v>80.5</v>
      </c>
      <c r="AB76" s="330">
        <f t="shared" si="28"/>
        <v>9</v>
      </c>
      <c r="AC76" s="8">
        <v>0.14899999999999999</v>
      </c>
      <c r="AD76" s="571">
        <f>AC76*VLOOKUP(R76&amp;S76,游戏时长规划!$B$66:$D$78,3,FALSE)</f>
        <v>13.201399999999998</v>
      </c>
      <c r="AE76" s="571">
        <f>ROUND(AD76*VLOOKUP(R76&amp;S76,$C$50:$D$62,2,FALSE)/500,0)*500</f>
        <v>394000</v>
      </c>
      <c r="AF76" s="157"/>
      <c r="AG76" s="423" t="str">
        <f>Q76&amp;R76&amp;S76&amp;U76</f>
        <v>7T4低9</v>
      </c>
      <c r="AH76" s="339">
        <f t="shared" si="25"/>
        <v>80.5</v>
      </c>
      <c r="AI76" s="423">
        <f t="shared" si="26"/>
        <v>20000</v>
      </c>
    </row>
    <row r="77" spans="17:35" x14ac:dyDescent="0.35">
      <c r="Q77" s="189">
        <f>IF(T76=U76,Q76+1,Q76)</f>
        <v>7</v>
      </c>
      <c r="R77" s="205" t="str">
        <f t="shared" si="23"/>
        <v>T4</v>
      </c>
      <c r="S77" s="205" t="str">
        <f t="shared" si="23"/>
        <v>低</v>
      </c>
      <c r="T77" s="423">
        <f>VLOOKUP(R77&amp;S77,$B$20:$F$32,5,FALSE)</f>
        <v>10</v>
      </c>
      <c r="U77" s="189">
        <f>IF(R77&amp;S77&lt;&gt;R76&amp;S76,0,IF(U76&lt;T76,U76+1,0))</f>
        <v>10</v>
      </c>
      <c r="V77" s="8">
        <v>0.45700000000000002</v>
      </c>
      <c r="W77" s="645">
        <f>ROUNDUP(IF(U77=0,VLOOKUP(R77&amp;S77,$B$20:$G$32,6,FALSE),VLOOKUP(R77&amp;S77,$B$20:$G$32,6,FALSE)*V77)/5,0)*5</f>
        <v>25</v>
      </c>
      <c r="X77" s="159">
        <f>W77*VLOOKUP(R77&amp;S77,$B$20:$H$32,7,FALSE)</f>
        <v>2500</v>
      </c>
      <c r="Y77" s="159" t="str">
        <f t="shared" si="24"/>
        <v>T4低</v>
      </c>
      <c r="Z77" s="423">
        <f t="shared" si="27"/>
        <v>275</v>
      </c>
      <c r="AA77" s="339">
        <f>Z77*VLOOKUP(R77&amp;S77,$B$20:$K$32,10,FALSE)</f>
        <v>88.55</v>
      </c>
      <c r="AB77" s="330">
        <f t="shared" si="28"/>
        <v>10</v>
      </c>
      <c r="AC77" s="8">
        <v>0.16300000000000001</v>
      </c>
      <c r="AD77" s="571">
        <f>AC77*VLOOKUP(R77&amp;S77,游戏时长规划!$B$66:$D$78,3,FALSE)</f>
        <v>14.441799999999999</v>
      </c>
      <c r="AE77" s="571">
        <f>ROUND(AD77*VLOOKUP(R77&amp;S77,$C$50:$D$62,2,FALSE)/500,0)*500</f>
        <v>431000</v>
      </c>
      <c r="AF77" s="157"/>
      <c r="AG77" s="423" t="str">
        <f>Q77&amp;R77&amp;S77&amp;U77</f>
        <v>7T4低10</v>
      </c>
      <c r="AH77" s="339">
        <f t="shared" si="25"/>
        <v>88.55</v>
      </c>
      <c r="AI77" s="423">
        <f t="shared" si="26"/>
        <v>22500</v>
      </c>
    </row>
    <row r="78" spans="17:35" x14ac:dyDescent="0.35">
      <c r="Q78" s="189">
        <f>IF(T77=U77,Q77+1,Q77)</f>
        <v>8</v>
      </c>
      <c r="R78" s="205" t="str">
        <f t="shared" si="23"/>
        <v>T4</v>
      </c>
      <c r="S78" s="205" t="str">
        <f t="shared" si="23"/>
        <v>中</v>
      </c>
      <c r="T78" s="423">
        <f>VLOOKUP(R78&amp;S78,$B$20:$F$32,5,FALSE)</f>
        <v>17</v>
      </c>
      <c r="U78" s="189">
        <f>IF(R78&amp;S78&lt;&gt;R77&amp;S77,0,IF(U77&lt;T77,U77+1,0))</f>
        <v>0</v>
      </c>
      <c r="V78" s="8">
        <v>0</v>
      </c>
      <c r="W78" s="645">
        <f>ROUNDUP(IF(U78=0,VLOOKUP(R78&amp;S78,$B$20:$G$32,6,FALSE),VLOOKUP(R78&amp;S78,$B$20:$G$32,6,FALSE)*V78)/5,0)*5</f>
        <v>50</v>
      </c>
      <c r="X78" s="159">
        <f>W78*VLOOKUP(R78&amp;S78,$B$20:$H$32,7,FALSE)</f>
        <v>6250</v>
      </c>
      <c r="Y78" s="159" t="str">
        <f t="shared" si="24"/>
        <v>T4中</v>
      </c>
      <c r="Z78" s="423">
        <f t="shared" si="27"/>
        <v>50</v>
      </c>
      <c r="AA78" s="339">
        <f>Z78*VLOOKUP(R78&amp;S78,$B$20:$K$32,10,FALSE)</f>
        <v>20.100000000000001</v>
      </c>
      <c r="AB78" s="330">
        <f t="shared" si="28"/>
        <v>0</v>
      </c>
      <c r="AC78" s="8">
        <v>0</v>
      </c>
      <c r="AD78" s="571">
        <f>AC78*VLOOKUP(R78&amp;S78,游戏时长规划!$B$66:$D$78,3,FALSE)</f>
        <v>0</v>
      </c>
      <c r="AE78" s="571">
        <f>ROUND(AD78*VLOOKUP(R78&amp;S78,$C$50:$D$62,2,FALSE)/500,0)*500</f>
        <v>0</v>
      </c>
      <c r="AF78" s="157"/>
      <c r="AG78" s="423" t="str">
        <f>Q78&amp;R78&amp;S78&amp;U78</f>
        <v>8T4中0</v>
      </c>
      <c r="AH78" s="339">
        <f t="shared" si="25"/>
        <v>20.100000000000001</v>
      </c>
      <c r="AI78" s="423">
        <f t="shared" si="26"/>
        <v>0</v>
      </c>
    </row>
    <row r="79" spans="17:35" x14ac:dyDescent="0.35">
      <c r="Q79" s="189">
        <f>IF(T78=U78,Q78+1,Q78)</f>
        <v>8</v>
      </c>
      <c r="R79" s="205" t="str">
        <f t="shared" si="23"/>
        <v>T4</v>
      </c>
      <c r="S79" s="205" t="str">
        <f t="shared" si="23"/>
        <v>中</v>
      </c>
      <c r="T79" s="423">
        <f>VLOOKUP(R79&amp;S79,$B$20:$F$32,5,FALSE)</f>
        <v>17</v>
      </c>
      <c r="U79" s="189">
        <f>IF(R79&amp;S79&lt;&gt;R78&amp;S78,0,IF(U78&lt;T78,U78+1,0))</f>
        <v>1</v>
      </c>
      <c r="V79" s="8">
        <v>0.35</v>
      </c>
      <c r="W79" s="645">
        <f>ROUNDUP(IF(U79=0,VLOOKUP(R79&amp;S79,$B$20:$G$32,6,FALSE),VLOOKUP(R79&amp;S79,$B$20:$G$32,6,FALSE)*V79)/5,0)*5</f>
        <v>20</v>
      </c>
      <c r="X79" s="159">
        <f>W79*VLOOKUP(R79&amp;S79,$B$20:$H$32,7,FALSE)</f>
        <v>2500</v>
      </c>
      <c r="Y79" s="159" t="str">
        <f t="shared" si="24"/>
        <v>T4中</v>
      </c>
      <c r="Z79" s="423">
        <f t="shared" si="27"/>
        <v>70</v>
      </c>
      <c r="AA79" s="339">
        <f>Z79*VLOOKUP(R79&amp;S79,$B$20:$K$32,10,FALSE)</f>
        <v>28.14</v>
      </c>
      <c r="AB79" s="330">
        <f t="shared" si="28"/>
        <v>1</v>
      </c>
      <c r="AC79" s="8">
        <v>1.0800000000000001E-2</v>
      </c>
      <c r="AD79" s="571">
        <f>AC79*VLOOKUP(R79&amp;S79,游戏时长规划!$B$66:$D$78,3,FALSE)</f>
        <v>2.3446799999999999</v>
      </c>
      <c r="AE79" s="571">
        <f>ROUND(AD79*VLOOKUP(R79&amp;S79,$C$50:$D$62,2,FALSE)/500,0)*500</f>
        <v>73000</v>
      </c>
      <c r="AF79" s="157"/>
      <c r="AG79" s="423" t="str">
        <f>Q79&amp;R79&amp;S79&amp;U79</f>
        <v>8T4中1</v>
      </c>
      <c r="AH79" s="339">
        <f t="shared" si="25"/>
        <v>28.14</v>
      </c>
      <c r="AI79" s="423">
        <f t="shared" si="26"/>
        <v>2500</v>
      </c>
    </row>
    <row r="80" spans="17:35" x14ac:dyDescent="0.35">
      <c r="Q80" s="189">
        <f>IF(T79=U79,Q79+1,Q79)</f>
        <v>8</v>
      </c>
      <c r="R80" s="205" t="str">
        <f t="shared" si="23"/>
        <v>T4</v>
      </c>
      <c r="S80" s="205" t="str">
        <f t="shared" si="23"/>
        <v>中</v>
      </c>
      <c r="T80" s="423">
        <f>VLOOKUP(R80&amp;S80,$B$20:$F$32,5,FALSE)</f>
        <v>17</v>
      </c>
      <c r="U80" s="189">
        <f>IF(R80&amp;S80&lt;&gt;R79&amp;S79,0,IF(U79&lt;T79,U79+1,0))</f>
        <v>2</v>
      </c>
      <c r="V80" s="8">
        <v>0.35</v>
      </c>
      <c r="W80" s="645">
        <f>ROUNDUP(IF(U80=0,VLOOKUP(R80&amp;S80,$B$20:$G$32,6,FALSE),VLOOKUP(R80&amp;S80,$B$20:$G$32,6,FALSE)*V80)/5,0)*5</f>
        <v>20</v>
      </c>
      <c r="X80" s="159">
        <f>W80*VLOOKUP(R80&amp;S80,$B$20:$H$32,7,FALSE)</f>
        <v>2500</v>
      </c>
      <c r="Y80" s="159" t="str">
        <f t="shared" si="24"/>
        <v>T4中</v>
      </c>
      <c r="Z80" s="423">
        <f t="shared" si="27"/>
        <v>90</v>
      </c>
      <c r="AA80" s="339">
        <f>Z80*VLOOKUP(R80&amp;S80,$B$20:$K$32,10,FALSE)</f>
        <v>36.18</v>
      </c>
      <c r="AB80" s="330">
        <f t="shared" si="28"/>
        <v>2</v>
      </c>
      <c r="AC80" s="8">
        <v>1.6799999999999999E-2</v>
      </c>
      <c r="AD80" s="571">
        <f>AC80*VLOOKUP(R80&amp;S80,游戏时长规划!$B$66:$D$78,3,FALSE)</f>
        <v>3.6472799999999999</v>
      </c>
      <c r="AE80" s="571">
        <f>ROUND(AD80*VLOOKUP(R80&amp;S80,$C$50:$D$62,2,FALSE)/500,0)*500</f>
        <v>113500</v>
      </c>
      <c r="AF80" s="157"/>
      <c r="AG80" s="423" t="str">
        <f>Q80&amp;R80&amp;S80&amp;U80</f>
        <v>8T4中2</v>
      </c>
      <c r="AH80" s="339">
        <f t="shared" si="25"/>
        <v>36.18</v>
      </c>
      <c r="AI80" s="423">
        <f t="shared" si="26"/>
        <v>5000</v>
      </c>
    </row>
    <row r="81" spans="17:35" x14ac:dyDescent="0.35">
      <c r="Q81" s="189">
        <f>IF(T80=U80,Q80+1,Q80)</f>
        <v>8</v>
      </c>
      <c r="R81" s="205" t="str">
        <f t="shared" si="23"/>
        <v>T4</v>
      </c>
      <c r="S81" s="205" t="str">
        <f t="shared" si="23"/>
        <v>中</v>
      </c>
      <c r="T81" s="423">
        <f>VLOOKUP(R81&amp;S81,$B$20:$F$32,5,FALSE)</f>
        <v>17</v>
      </c>
      <c r="U81" s="189">
        <f>IF(R81&amp;S81&lt;&gt;R80&amp;S80,0,IF(U80&lt;T80,U80+1,0))</f>
        <v>3</v>
      </c>
      <c r="V81" s="8">
        <v>0.35</v>
      </c>
      <c r="W81" s="645">
        <f>ROUNDUP(IF(U81=0,VLOOKUP(R81&amp;S81,$B$20:$G$32,6,FALSE),VLOOKUP(R81&amp;S81,$B$20:$G$32,6,FALSE)*V81)/5,0)*5</f>
        <v>20</v>
      </c>
      <c r="X81" s="159">
        <f>W81*VLOOKUP(R81&amp;S81,$B$20:$H$32,7,FALSE)</f>
        <v>2500</v>
      </c>
      <c r="Y81" s="159" t="str">
        <f t="shared" si="24"/>
        <v>T4中</v>
      </c>
      <c r="Z81" s="423">
        <f t="shared" si="27"/>
        <v>110</v>
      </c>
      <c r="AA81" s="339">
        <f>Z81*VLOOKUP(R81&amp;S81,$B$20:$K$32,10,FALSE)</f>
        <v>44.220000000000006</v>
      </c>
      <c r="AB81" s="330">
        <f t="shared" si="28"/>
        <v>3</v>
      </c>
      <c r="AC81" s="8">
        <v>2.2800000000000001E-2</v>
      </c>
      <c r="AD81" s="571">
        <f>AC81*VLOOKUP(R81&amp;S81,游戏时长规划!$B$66:$D$78,3,FALSE)</f>
        <v>4.9498800000000003</v>
      </c>
      <c r="AE81" s="571">
        <f>ROUND(AD81*VLOOKUP(R81&amp;S81,$C$50:$D$62,2,FALSE)/500,0)*500</f>
        <v>154500</v>
      </c>
      <c r="AF81" s="157"/>
      <c r="AG81" s="423" t="str">
        <f>Q81&amp;R81&amp;S81&amp;U81</f>
        <v>8T4中3</v>
      </c>
      <c r="AH81" s="339">
        <f t="shared" si="25"/>
        <v>44.220000000000006</v>
      </c>
      <c r="AI81" s="423">
        <f t="shared" si="26"/>
        <v>7500</v>
      </c>
    </row>
    <row r="82" spans="17:35" x14ac:dyDescent="0.35">
      <c r="Q82" s="645">
        <f>IF(T81=U81,Q81+1,Q81)</f>
        <v>8</v>
      </c>
      <c r="R82" s="655" t="str">
        <f t="shared" si="23"/>
        <v>T4</v>
      </c>
      <c r="S82" s="655" t="str">
        <f t="shared" si="23"/>
        <v>中</v>
      </c>
      <c r="T82" s="645">
        <f>VLOOKUP(R82&amp;S82,$B$20:$F$32,5,FALSE)</f>
        <v>17</v>
      </c>
      <c r="U82" s="645">
        <f>IF(R82&amp;S82&lt;&gt;R81&amp;S81,0,IF(U81&lt;T81,U81+1,0))</f>
        <v>4</v>
      </c>
      <c r="V82" s="8">
        <v>0.35</v>
      </c>
      <c r="W82" s="645">
        <f>ROUNDUP(IF(U82=0,VLOOKUP(R82&amp;S82,$B$20:$G$32,6,FALSE),VLOOKUP(R82&amp;S82,$B$20:$G$32,6,FALSE)*V82)/5,0)*5</f>
        <v>20</v>
      </c>
      <c r="X82" s="159">
        <f>W82*VLOOKUP(R82&amp;S82,$B$20:$H$32,7,FALSE)</f>
        <v>2500</v>
      </c>
      <c r="Y82" s="159" t="str">
        <f t="shared" si="24"/>
        <v>T4中</v>
      </c>
      <c r="Z82" s="645">
        <f t="shared" ref="Z82:Z124" si="29">IF(Y82&lt;&gt;Y81,W82,W82+Z81)</f>
        <v>130</v>
      </c>
      <c r="AA82" s="339">
        <f>Z82*VLOOKUP(R82&amp;S82,$B$20:$K$32,10,FALSE)</f>
        <v>52.260000000000005</v>
      </c>
      <c r="AB82" s="645">
        <f t="shared" ref="AB82:AB124" si="30">U82</f>
        <v>4</v>
      </c>
      <c r="AC82" s="8">
        <v>2.8799999999999999E-2</v>
      </c>
      <c r="AD82" s="645">
        <f>AC82*VLOOKUP(R82&amp;S82,游戏时长规划!$B$66:$D$78,3,FALSE)</f>
        <v>6.2524799999999994</v>
      </c>
      <c r="AE82" s="645">
        <f>ROUND(AD82*VLOOKUP(R82&amp;S82,$C$50:$D$62,2,FALSE)/500,0)*500</f>
        <v>195000</v>
      </c>
      <c r="AF82" s="157"/>
      <c r="AG82" s="645" t="str">
        <f>Q82&amp;R82&amp;S82&amp;U82</f>
        <v>8T4中4</v>
      </c>
      <c r="AH82" s="339">
        <f t="shared" si="25"/>
        <v>52.260000000000005</v>
      </c>
      <c r="AI82" s="645">
        <f t="shared" si="26"/>
        <v>10000</v>
      </c>
    </row>
    <row r="83" spans="17:35" x14ac:dyDescent="0.35">
      <c r="Q83" s="645">
        <f>IF(T82=U82,Q82+1,Q82)</f>
        <v>8</v>
      </c>
      <c r="R83" s="655" t="str">
        <f t="shared" si="23"/>
        <v>T4</v>
      </c>
      <c r="S83" s="655" t="str">
        <f t="shared" si="23"/>
        <v>中</v>
      </c>
      <c r="T83" s="645">
        <f>VLOOKUP(R83&amp;S83,$B$20:$F$32,5,FALSE)</f>
        <v>17</v>
      </c>
      <c r="U83" s="645">
        <f>IF(R83&amp;S83&lt;&gt;R82&amp;S82,0,IF(U82&lt;T82,U82+1,0))</f>
        <v>5</v>
      </c>
      <c r="V83" s="8">
        <v>0.35</v>
      </c>
      <c r="W83" s="645">
        <f>ROUNDUP(IF(U83=0,VLOOKUP(R83&amp;S83,$B$20:$G$32,6,FALSE),VLOOKUP(R83&amp;S83,$B$20:$G$32,6,FALSE)*V83)/5,0)*5</f>
        <v>20</v>
      </c>
      <c r="X83" s="159">
        <f>W83*VLOOKUP(R83&amp;S83,$B$20:$H$32,7,FALSE)</f>
        <v>2500</v>
      </c>
      <c r="Y83" s="159" t="str">
        <f t="shared" si="24"/>
        <v>T4中</v>
      </c>
      <c r="Z83" s="645">
        <f t="shared" si="29"/>
        <v>150</v>
      </c>
      <c r="AA83" s="339">
        <f>Z83*VLOOKUP(R83&amp;S83,$B$20:$K$32,10,FALSE)</f>
        <v>60.300000000000004</v>
      </c>
      <c r="AB83" s="645">
        <f t="shared" si="30"/>
        <v>5</v>
      </c>
      <c r="AC83" s="8">
        <v>3.4799999999999998E-2</v>
      </c>
      <c r="AD83" s="645">
        <f>AC83*VLOOKUP(R83&amp;S83,游戏时长规划!$B$66:$D$78,3,FALSE)</f>
        <v>7.5550799999999994</v>
      </c>
      <c r="AE83" s="645">
        <f>ROUND(AD83*VLOOKUP(R83&amp;S83,$C$50:$D$62,2,FALSE)/500,0)*500</f>
        <v>235500</v>
      </c>
      <c r="AF83" s="157"/>
      <c r="AG83" s="645" t="str">
        <f>Q83&amp;R83&amp;S83&amp;U83</f>
        <v>8T4中5</v>
      </c>
      <c r="AH83" s="339">
        <f t="shared" si="25"/>
        <v>60.300000000000004</v>
      </c>
      <c r="AI83" s="645">
        <f t="shared" si="26"/>
        <v>12500</v>
      </c>
    </row>
    <row r="84" spans="17:35" x14ac:dyDescent="0.35">
      <c r="Q84" s="645">
        <f>IF(T83=U83,Q83+1,Q83)</f>
        <v>8</v>
      </c>
      <c r="R84" s="655" t="str">
        <f t="shared" ref="R84:S103" si="31">VLOOKUP($Q84,$C$20:$I$32,MATCH(R$3,$C$20:$I$20,0),FALSE)</f>
        <v>T4</v>
      </c>
      <c r="S84" s="655" t="str">
        <f t="shared" si="31"/>
        <v>中</v>
      </c>
      <c r="T84" s="645">
        <f>VLOOKUP(R84&amp;S84,$B$20:$F$32,5,FALSE)</f>
        <v>17</v>
      </c>
      <c r="U84" s="645">
        <f>IF(R84&amp;S84&lt;&gt;R83&amp;S83,0,IF(U83&lt;T83,U83+1,0))</f>
        <v>6</v>
      </c>
      <c r="V84" s="8">
        <v>0.52400000000000002</v>
      </c>
      <c r="W84" s="645">
        <f>ROUNDUP(IF(U84=0,VLOOKUP(R84&amp;S84,$B$20:$G$32,6,FALSE),VLOOKUP(R84&amp;S84,$B$20:$G$32,6,FALSE)*V84)/5,0)*5</f>
        <v>30</v>
      </c>
      <c r="X84" s="159">
        <f>W84*VLOOKUP(R84&amp;S84,$B$20:$H$32,7,FALSE)</f>
        <v>3750</v>
      </c>
      <c r="Y84" s="159" t="str">
        <f t="shared" si="24"/>
        <v>T4中</v>
      </c>
      <c r="Z84" s="645">
        <f t="shared" si="29"/>
        <v>180</v>
      </c>
      <c r="AA84" s="339">
        <f>Z84*VLOOKUP(R84&amp;S84,$B$20:$K$32,10,FALSE)</f>
        <v>72.36</v>
      </c>
      <c r="AB84" s="645">
        <f t="shared" si="30"/>
        <v>6</v>
      </c>
      <c r="AC84" s="8">
        <v>4.0800000000000003E-2</v>
      </c>
      <c r="AD84" s="645">
        <f>AC84*VLOOKUP(R84&amp;S84,游戏时长规划!$B$66:$D$78,3,FALSE)</f>
        <v>8.8576800000000002</v>
      </c>
      <c r="AE84" s="645">
        <f>ROUND(AD84*VLOOKUP(R84&amp;S84,$C$50:$D$62,2,FALSE)/500,0)*500</f>
        <v>276000</v>
      </c>
      <c r="AF84" s="157"/>
      <c r="AG84" s="645" t="str">
        <f>Q84&amp;R84&amp;S84&amp;U84</f>
        <v>8T4中6</v>
      </c>
      <c r="AH84" s="339">
        <f t="shared" si="25"/>
        <v>72.36</v>
      </c>
      <c r="AI84" s="645">
        <f t="shared" si="26"/>
        <v>16250</v>
      </c>
    </row>
    <row r="85" spans="17:35" x14ac:dyDescent="0.35">
      <c r="Q85" s="645">
        <f>IF(T84=U84,Q84+1,Q84)</f>
        <v>8</v>
      </c>
      <c r="R85" s="655" t="str">
        <f t="shared" si="31"/>
        <v>T4</v>
      </c>
      <c r="S85" s="655" t="str">
        <f t="shared" si="31"/>
        <v>中</v>
      </c>
      <c r="T85" s="645">
        <f>VLOOKUP(R85&amp;S85,$B$20:$F$32,5,FALSE)</f>
        <v>17</v>
      </c>
      <c r="U85" s="645">
        <f>IF(R85&amp;S85&lt;&gt;R84&amp;S84,0,IF(U84&lt;T84,U84+1,0))</f>
        <v>7</v>
      </c>
      <c r="V85" s="8">
        <v>0.52400000000000002</v>
      </c>
      <c r="W85" s="645">
        <f>ROUNDUP(IF(U85=0,VLOOKUP(R85&amp;S85,$B$20:$G$32,6,FALSE),VLOOKUP(R85&amp;S85,$B$20:$G$32,6,FALSE)*V85)/5,0)*5</f>
        <v>30</v>
      </c>
      <c r="X85" s="159">
        <f>W85*VLOOKUP(R85&amp;S85,$B$20:$H$32,7,FALSE)</f>
        <v>3750</v>
      </c>
      <c r="Y85" s="159" t="str">
        <f t="shared" si="24"/>
        <v>T4中</v>
      </c>
      <c r="Z85" s="645">
        <f t="shared" si="29"/>
        <v>210</v>
      </c>
      <c r="AA85" s="339">
        <f>Z85*VLOOKUP(R85&amp;S85,$B$20:$K$32,10,FALSE)</f>
        <v>84.42</v>
      </c>
      <c r="AB85" s="645">
        <f t="shared" si="30"/>
        <v>7</v>
      </c>
      <c r="AC85" s="8">
        <v>4.6800000000000001E-2</v>
      </c>
      <c r="AD85" s="645">
        <f>AC85*VLOOKUP(R85&amp;S85,游戏时长规划!$B$66:$D$78,3,FALSE)</f>
        <v>10.16028</v>
      </c>
      <c r="AE85" s="645">
        <f>ROUND(AD85*VLOOKUP(R85&amp;S85,$C$50:$D$62,2,FALSE)/500,0)*500</f>
        <v>316500</v>
      </c>
      <c r="AF85" s="157"/>
      <c r="AG85" s="645" t="str">
        <f>Q85&amp;R85&amp;S85&amp;U85</f>
        <v>8T4中7</v>
      </c>
      <c r="AH85" s="339">
        <f t="shared" si="25"/>
        <v>84.42</v>
      </c>
      <c r="AI85" s="645">
        <f t="shared" si="26"/>
        <v>20000</v>
      </c>
    </row>
    <row r="86" spans="17:35" x14ac:dyDescent="0.35">
      <c r="Q86" s="645">
        <f>IF(T85=U85,Q85+1,Q85)</f>
        <v>8</v>
      </c>
      <c r="R86" s="655" t="str">
        <f t="shared" si="31"/>
        <v>T4</v>
      </c>
      <c r="S86" s="655" t="str">
        <f t="shared" si="31"/>
        <v>中</v>
      </c>
      <c r="T86" s="645">
        <f>VLOOKUP(R86&amp;S86,$B$20:$F$32,5,FALSE)</f>
        <v>17</v>
      </c>
      <c r="U86" s="645">
        <f>IF(R86&amp;S86&lt;&gt;R85&amp;S85,0,IF(U85&lt;T85,U85+1,0))</f>
        <v>8</v>
      </c>
      <c r="V86" s="8">
        <v>0.52400000000000002</v>
      </c>
      <c r="W86" s="645">
        <f>ROUNDUP(IF(U86=0,VLOOKUP(R86&amp;S86,$B$20:$G$32,6,FALSE),VLOOKUP(R86&amp;S86,$B$20:$G$32,6,FALSE)*V86)/5,0)*5</f>
        <v>30</v>
      </c>
      <c r="X86" s="159">
        <f>W86*VLOOKUP(R86&amp;S86,$B$20:$H$32,7,FALSE)</f>
        <v>3750</v>
      </c>
      <c r="Y86" s="159" t="str">
        <f t="shared" si="24"/>
        <v>T4中</v>
      </c>
      <c r="Z86" s="645">
        <f t="shared" si="29"/>
        <v>240</v>
      </c>
      <c r="AA86" s="339">
        <f>Z86*VLOOKUP(R86&amp;S86,$B$20:$K$32,10,FALSE)</f>
        <v>96.48</v>
      </c>
      <c r="AB86" s="645">
        <f t="shared" si="30"/>
        <v>8</v>
      </c>
      <c r="AC86" s="8">
        <v>5.28E-2</v>
      </c>
      <c r="AD86" s="645">
        <f>AC86*VLOOKUP(R86&amp;S86,游戏时长规划!$B$66:$D$78,3,FALSE)</f>
        <v>11.46288</v>
      </c>
      <c r="AE86" s="645">
        <f>ROUND(AD86*VLOOKUP(R86&amp;S86,$C$50:$D$62,2,FALSE)/500,0)*500</f>
        <v>357500</v>
      </c>
      <c r="AF86" s="157"/>
      <c r="AG86" s="645" t="str">
        <f>Q86&amp;R86&amp;S86&amp;U86</f>
        <v>8T4中8</v>
      </c>
      <c r="AH86" s="339">
        <f t="shared" si="25"/>
        <v>96.48</v>
      </c>
      <c r="AI86" s="645">
        <f t="shared" si="26"/>
        <v>23750</v>
      </c>
    </row>
    <row r="87" spans="17:35" x14ac:dyDescent="0.35">
      <c r="Q87" s="645">
        <f>IF(T86=U86,Q86+1,Q86)</f>
        <v>8</v>
      </c>
      <c r="R87" s="655" t="str">
        <f t="shared" si="31"/>
        <v>T4</v>
      </c>
      <c r="S87" s="655" t="str">
        <f t="shared" si="31"/>
        <v>中</v>
      </c>
      <c r="T87" s="645">
        <f>VLOOKUP(R87&amp;S87,$B$20:$F$32,5,FALSE)</f>
        <v>17</v>
      </c>
      <c r="U87" s="645">
        <f>IF(R87&amp;S87&lt;&gt;R86&amp;S86,0,IF(U86&lt;T86,U86+1,0))</f>
        <v>9</v>
      </c>
      <c r="V87" s="8">
        <v>0.52400000000000002</v>
      </c>
      <c r="W87" s="645">
        <f>ROUNDUP(IF(U87=0,VLOOKUP(R87&amp;S87,$B$20:$G$32,6,FALSE),VLOOKUP(R87&amp;S87,$B$20:$G$32,6,FALSE)*V87)/5,0)*5</f>
        <v>30</v>
      </c>
      <c r="X87" s="159">
        <f>W87*VLOOKUP(R87&amp;S87,$B$20:$H$32,7,FALSE)</f>
        <v>3750</v>
      </c>
      <c r="Y87" s="159" t="str">
        <f t="shared" si="24"/>
        <v>T4中</v>
      </c>
      <c r="Z87" s="645">
        <f t="shared" si="29"/>
        <v>270</v>
      </c>
      <c r="AA87" s="339">
        <f>Z87*VLOOKUP(R87&amp;S87,$B$20:$K$32,10,FALSE)</f>
        <v>108.54</v>
      </c>
      <c r="AB87" s="645">
        <f t="shared" si="30"/>
        <v>9</v>
      </c>
      <c r="AC87" s="8">
        <v>5.8799999999999998E-2</v>
      </c>
      <c r="AD87" s="645">
        <f>AC87*VLOOKUP(R87&amp;S87,游戏时长规划!$B$66:$D$78,3,FALSE)</f>
        <v>12.765479999999998</v>
      </c>
      <c r="AE87" s="645">
        <f>ROUND(AD87*VLOOKUP(R87&amp;S87,$C$50:$D$62,2,FALSE)/500,0)*500</f>
        <v>398000</v>
      </c>
      <c r="AF87" s="157"/>
      <c r="AG87" s="645" t="str">
        <f>Q87&amp;R87&amp;S87&amp;U87</f>
        <v>8T4中9</v>
      </c>
      <c r="AH87" s="339">
        <f t="shared" si="25"/>
        <v>108.54</v>
      </c>
      <c r="AI87" s="645">
        <f t="shared" si="26"/>
        <v>27500</v>
      </c>
    </row>
    <row r="88" spans="17:35" x14ac:dyDescent="0.35">
      <c r="Q88" s="645">
        <f>IF(T87=U87,Q87+1,Q87)</f>
        <v>8</v>
      </c>
      <c r="R88" s="655" t="str">
        <f t="shared" si="31"/>
        <v>T4</v>
      </c>
      <c r="S88" s="655" t="str">
        <f t="shared" si="31"/>
        <v>中</v>
      </c>
      <c r="T88" s="645">
        <f>VLOOKUP(R88&amp;S88,$B$20:$F$32,5,FALSE)</f>
        <v>17</v>
      </c>
      <c r="U88" s="645">
        <f>IF(R88&amp;S88&lt;&gt;R87&amp;S87,0,IF(U87&lt;T87,U87+1,0))</f>
        <v>10</v>
      </c>
      <c r="V88" s="8">
        <v>0.52400000000000002</v>
      </c>
      <c r="W88" s="645">
        <f>ROUNDUP(IF(U88=0,VLOOKUP(R88&amp;S88,$B$20:$G$32,6,FALSE),VLOOKUP(R88&amp;S88,$B$20:$G$32,6,FALSE)*V88)/5,0)*5</f>
        <v>30</v>
      </c>
      <c r="X88" s="159">
        <f>W88*VLOOKUP(R88&amp;S88,$B$20:$H$32,7,FALSE)</f>
        <v>3750</v>
      </c>
      <c r="Y88" s="159" t="str">
        <f t="shared" si="24"/>
        <v>T4中</v>
      </c>
      <c r="Z88" s="645">
        <f t="shared" si="29"/>
        <v>300</v>
      </c>
      <c r="AA88" s="339">
        <f>Z88*VLOOKUP(R88&amp;S88,$B$20:$K$32,10,FALSE)</f>
        <v>120.60000000000001</v>
      </c>
      <c r="AB88" s="645">
        <f t="shared" si="30"/>
        <v>10</v>
      </c>
      <c r="AC88" s="8">
        <v>6.4799999999999996E-2</v>
      </c>
      <c r="AD88" s="645">
        <f>AC88*VLOOKUP(R88&amp;S88,游戏时长规划!$B$66:$D$78,3,FALSE)</f>
        <v>14.068079999999998</v>
      </c>
      <c r="AE88" s="645">
        <f>ROUND(AD88*VLOOKUP(R88&amp;S88,$C$50:$D$62,2,FALSE)/500,0)*500</f>
        <v>438500</v>
      </c>
      <c r="AF88" s="157"/>
      <c r="AG88" s="645" t="str">
        <f>Q88&amp;R88&amp;S88&amp;U88</f>
        <v>8T4中10</v>
      </c>
      <c r="AH88" s="339">
        <f t="shared" si="25"/>
        <v>120.60000000000001</v>
      </c>
      <c r="AI88" s="645">
        <f t="shared" si="26"/>
        <v>31250</v>
      </c>
    </row>
    <row r="89" spans="17:35" x14ac:dyDescent="0.35">
      <c r="Q89" s="645">
        <f>IF(T88=U88,Q88+1,Q88)</f>
        <v>8</v>
      </c>
      <c r="R89" s="655" t="str">
        <f t="shared" si="31"/>
        <v>T4</v>
      </c>
      <c r="S89" s="655" t="str">
        <f t="shared" si="31"/>
        <v>中</v>
      </c>
      <c r="T89" s="645">
        <f>VLOOKUP(R89&amp;S89,$B$20:$F$32,5,FALSE)</f>
        <v>17</v>
      </c>
      <c r="U89" s="645">
        <f>IF(R89&amp;S89&lt;&gt;R88&amp;S88,0,IF(U88&lt;T88,U88+1,0))</f>
        <v>11</v>
      </c>
      <c r="V89" s="8">
        <v>0.52400000000000002</v>
      </c>
      <c r="W89" s="645">
        <f>ROUNDUP(IF(U89=0,VLOOKUP(R89&amp;S89,$B$20:$G$32,6,FALSE),VLOOKUP(R89&amp;S89,$B$20:$G$32,6,FALSE)*V89)/5,0)*5</f>
        <v>30</v>
      </c>
      <c r="X89" s="159">
        <f>W89*VLOOKUP(R89&amp;S89,$B$20:$H$32,7,FALSE)</f>
        <v>3750</v>
      </c>
      <c r="Y89" s="159" t="str">
        <f t="shared" si="24"/>
        <v>T4中</v>
      </c>
      <c r="Z89" s="645">
        <f t="shared" si="29"/>
        <v>330</v>
      </c>
      <c r="AA89" s="339">
        <f>Z89*VLOOKUP(R89&amp;S89,$B$20:$K$32,10,FALSE)</f>
        <v>132.66</v>
      </c>
      <c r="AB89" s="645">
        <f t="shared" si="30"/>
        <v>11</v>
      </c>
      <c r="AC89" s="8">
        <v>7.0800000000000002E-2</v>
      </c>
      <c r="AD89" s="645">
        <f>AC89*VLOOKUP(R89&amp;S89,游戏时长规划!$B$66:$D$78,3,FALSE)</f>
        <v>15.37068</v>
      </c>
      <c r="AE89" s="645">
        <f>ROUND(AD89*VLOOKUP(R89&amp;S89,$C$50:$D$62,2,FALSE)/500,0)*500</f>
        <v>479000</v>
      </c>
      <c r="AF89" s="157"/>
      <c r="AG89" s="645" t="str">
        <f>Q89&amp;R89&amp;S89&amp;U89</f>
        <v>8T4中11</v>
      </c>
      <c r="AH89" s="339">
        <f t="shared" si="25"/>
        <v>132.66</v>
      </c>
      <c r="AI89" s="645">
        <f t="shared" si="26"/>
        <v>35000</v>
      </c>
    </row>
    <row r="90" spans="17:35" x14ac:dyDescent="0.35">
      <c r="Q90" s="645">
        <f>IF(T89=U89,Q89+1,Q89)</f>
        <v>8</v>
      </c>
      <c r="R90" s="655" t="str">
        <f t="shared" si="31"/>
        <v>T4</v>
      </c>
      <c r="S90" s="655" t="str">
        <f t="shared" si="31"/>
        <v>中</v>
      </c>
      <c r="T90" s="645">
        <f>VLOOKUP(R90&amp;S90,$B$20:$F$32,5,FALSE)</f>
        <v>17</v>
      </c>
      <c r="U90" s="645">
        <f>IF(R90&amp;S90&lt;&gt;R89&amp;S89,0,IF(U89&lt;T89,U89+1,0))</f>
        <v>12</v>
      </c>
      <c r="V90" s="8">
        <v>0.7</v>
      </c>
      <c r="W90" s="645">
        <f>ROUNDUP(IF(U90=0,VLOOKUP(R90&amp;S90,$B$20:$G$32,6,FALSE),VLOOKUP(R90&amp;S90,$B$20:$G$32,6,FALSE)*V90)/5,0)*5</f>
        <v>35</v>
      </c>
      <c r="X90" s="159">
        <f>W90*VLOOKUP(R90&amp;S90,$B$20:$H$32,7,FALSE)</f>
        <v>4375</v>
      </c>
      <c r="Y90" s="159" t="str">
        <f t="shared" si="24"/>
        <v>T4中</v>
      </c>
      <c r="Z90" s="645">
        <f t="shared" si="29"/>
        <v>365</v>
      </c>
      <c r="AA90" s="339">
        <f>Z90*VLOOKUP(R90&amp;S90,$B$20:$K$32,10,FALSE)</f>
        <v>146.73000000000002</v>
      </c>
      <c r="AB90" s="645">
        <f t="shared" si="30"/>
        <v>12</v>
      </c>
      <c r="AC90" s="8">
        <v>7.6799999999999993E-2</v>
      </c>
      <c r="AD90" s="645">
        <f>AC90*VLOOKUP(R90&amp;S90,游戏时长规划!$B$66:$D$78,3,FALSE)</f>
        <v>16.673279999999998</v>
      </c>
      <c r="AE90" s="645">
        <f>ROUND(AD90*VLOOKUP(R90&amp;S90,$C$50:$D$62,2,FALSE)/500,0)*500</f>
        <v>519500</v>
      </c>
      <c r="AF90" s="157"/>
      <c r="AG90" s="645" t="str">
        <f>Q90&amp;R90&amp;S90&amp;U90</f>
        <v>8T4中12</v>
      </c>
      <c r="AH90" s="339">
        <f t="shared" si="25"/>
        <v>146.73000000000002</v>
      </c>
      <c r="AI90" s="645">
        <f t="shared" si="26"/>
        <v>39375</v>
      </c>
    </row>
    <row r="91" spans="17:35" x14ac:dyDescent="0.35">
      <c r="Q91" s="645">
        <f>IF(T90=U90,Q90+1,Q90)</f>
        <v>8</v>
      </c>
      <c r="R91" s="655" t="str">
        <f t="shared" si="31"/>
        <v>T4</v>
      </c>
      <c r="S91" s="655" t="str">
        <f t="shared" si="31"/>
        <v>中</v>
      </c>
      <c r="T91" s="645">
        <f>VLOOKUP(R91&amp;S91,$B$20:$F$32,5,FALSE)</f>
        <v>17</v>
      </c>
      <c r="U91" s="645">
        <f>IF(R91&amp;S91&lt;&gt;R90&amp;S90,0,IF(U90&lt;T90,U90+1,0))</f>
        <v>13</v>
      </c>
      <c r="V91" s="8">
        <v>0.7</v>
      </c>
      <c r="W91" s="645">
        <f>ROUNDUP(IF(U91=0,VLOOKUP(R91&amp;S91,$B$20:$G$32,6,FALSE),VLOOKUP(R91&amp;S91,$B$20:$G$32,6,FALSE)*V91)/5,0)*5</f>
        <v>35</v>
      </c>
      <c r="X91" s="159">
        <f>W91*VLOOKUP(R91&amp;S91,$B$20:$H$32,7,FALSE)</f>
        <v>4375</v>
      </c>
      <c r="Y91" s="159" t="str">
        <f t="shared" si="24"/>
        <v>T4中</v>
      </c>
      <c r="Z91" s="645">
        <f t="shared" si="29"/>
        <v>400</v>
      </c>
      <c r="AA91" s="339">
        <f>Z91*VLOOKUP(R91&amp;S91,$B$20:$K$32,10,FALSE)</f>
        <v>160.80000000000001</v>
      </c>
      <c r="AB91" s="645">
        <f t="shared" si="30"/>
        <v>13</v>
      </c>
      <c r="AC91" s="8">
        <v>8.2799999999999999E-2</v>
      </c>
      <c r="AD91" s="645">
        <f>AC91*VLOOKUP(R91&amp;S91,游戏时长规划!$B$66:$D$78,3,FALSE)</f>
        <v>17.97588</v>
      </c>
      <c r="AE91" s="645">
        <f>ROUND(AD91*VLOOKUP(R91&amp;S91,$C$50:$D$62,2,FALSE)/500,0)*500</f>
        <v>560000</v>
      </c>
      <c r="AF91" s="157"/>
      <c r="AG91" s="645" t="str">
        <f>Q91&amp;R91&amp;S91&amp;U91</f>
        <v>8T4中13</v>
      </c>
      <c r="AH91" s="339">
        <f t="shared" si="25"/>
        <v>160.80000000000001</v>
      </c>
      <c r="AI91" s="645">
        <f t="shared" si="26"/>
        <v>43750</v>
      </c>
    </row>
    <row r="92" spans="17:35" x14ac:dyDescent="0.35">
      <c r="Q92" s="645">
        <f>IF(T91=U91,Q91+1,Q91)</f>
        <v>8</v>
      </c>
      <c r="R92" s="655" t="str">
        <f t="shared" si="31"/>
        <v>T4</v>
      </c>
      <c r="S92" s="655" t="str">
        <f t="shared" si="31"/>
        <v>中</v>
      </c>
      <c r="T92" s="645">
        <f>VLOOKUP(R92&amp;S92,$B$20:$F$32,5,FALSE)</f>
        <v>17</v>
      </c>
      <c r="U92" s="645">
        <f>IF(R92&amp;S92&lt;&gt;R91&amp;S91,0,IF(U91&lt;T91,U91+1,0))</f>
        <v>14</v>
      </c>
      <c r="V92" s="8">
        <v>0.7</v>
      </c>
      <c r="W92" s="645">
        <f>ROUNDUP(IF(U92=0,VLOOKUP(R92&amp;S92,$B$20:$G$32,6,FALSE),VLOOKUP(R92&amp;S92,$B$20:$G$32,6,FALSE)*V92)/5,0)*5</f>
        <v>35</v>
      </c>
      <c r="X92" s="159">
        <f>W92*VLOOKUP(R92&amp;S92,$B$20:$H$32,7,FALSE)</f>
        <v>4375</v>
      </c>
      <c r="Y92" s="159" t="str">
        <f t="shared" si="24"/>
        <v>T4中</v>
      </c>
      <c r="Z92" s="645">
        <f t="shared" si="29"/>
        <v>435</v>
      </c>
      <c r="AA92" s="339">
        <f>Z92*VLOOKUP(R92&amp;S92,$B$20:$K$32,10,FALSE)</f>
        <v>174.87</v>
      </c>
      <c r="AB92" s="645">
        <f t="shared" si="30"/>
        <v>14</v>
      </c>
      <c r="AC92" s="8">
        <v>8.8800000000000004E-2</v>
      </c>
      <c r="AD92" s="645">
        <f>AC92*VLOOKUP(R92&amp;S92,游戏时长规划!$B$66:$D$78,3,FALSE)</f>
        <v>19.278480000000002</v>
      </c>
      <c r="AE92" s="645">
        <f>ROUND(AD92*VLOOKUP(R92&amp;S92,$C$50:$D$62,2,FALSE)/500,0)*500</f>
        <v>601000</v>
      </c>
      <c r="AF92" s="157"/>
      <c r="AG92" s="645" t="str">
        <f>Q92&amp;R92&amp;S92&amp;U92</f>
        <v>8T4中14</v>
      </c>
      <c r="AH92" s="339">
        <f t="shared" si="25"/>
        <v>174.87</v>
      </c>
      <c r="AI92" s="645">
        <f t="shared" si="26"/>
        <v>48125</v>
      </c>
    </row>
    <row r="93" spans="17:35" x14ac:dyDescent="0.35">
      <c r="Q93" s="645">
        <f>IF(T92=U92,Q92+1,Q92)</f>
        <v>8</v>
      </c>
      <c r="R93" s="655" t="str">
        <f t="shared" si="31"/>
        <v>T4</v>
      </c>
      <c r="S93" s="655" t="str">
        <f t="shared" si="31"/>
        <v>中</v>
      </c>
      <c r="T93" s="645">
        <f>VLOOKUP(R93&amp;S93,$B$20:$F$32,5,FALSE)</f>
        <v>17</v>
      </c>
      <c r="U93" s="645">
        <f>IF(R93&amp;S93&lt;&gt;R92&amp;S92,0,IF(U92&lt;T92,U92+1,0))</f>
        <v>15</v>
      </c>
      <c r="V93" s="8">
        <v>0.7</v>
      </c>
      <c r="W93" s="645">
        <f>ROUNDUP(IF(U93=0,VLOOKUP(R93&amp;S93,$B$20:$G$32,6,FALSE),VLOOKUP(R93&amp;S93,$B$20:$G$32,6,FALSE)*V93)/5,0)*5</f>
        <v>35</v>
      </c>
      <c r="X93" s="159">
        <f>W93*VLOOKUP(R93&amp;S93,$B$20:$H$32,7,FALSE)</f>
        <v>4375</v>
      </c>
      <c r="Y93" s="159" t="str">
        <f t="shared" si="24"/>
        <v>T4中</v>
      </c>
      <c r="Z93" s="645">
        <f t="shared" si="29"/>
        <v>470</v>
      </c>
      <c r="AA93" s="339">
        <f>Z93*VLOOKUP(R93&amp;S93,$B$20:$K$32,10,FALSE)</f>
        <v>188.94</v>
      </c>
      <c r="AB93" s="645">
        <f t="shared" si="30"/>
        <v>15</v>
      </c>
      <c r="AC93" s="8">
        <v>9.4799999999999995E-2</v>
      </c>
      <c r="AD93" s="645">
        <f>AC93*VLOOKUP(R93&amp;S93,游戏时长规划!$B$66:$D$78,3,FALSE)</f>
        <v>20.58108</v>
      </c>
      <c r="AE93" s="645">
        <f>ROUND(AD93*VLOOKUP(R93&amp;S93,$C$50:$D$62,2,FALSE)/500,0)*500</f>
        <v>641500</v>
      </c>
      <c r="AF93" s="157"/>
      <c r="AG93" s="645" t="str">
        <f>Q93&amp;R93&amp;S93&amp;U93</f>
        <v>8T4中15</v>
      </c>
      <c r="AH93" s="339">
        <f t="shared" si="25"/>
        <v>188.94</v>
      </c>
      <c r="AI93" s="645">
        <f t="shared" si="26"/>
        <v>52500</v>
      </c>
    </row>
    <row r="94" spans="17:35" x14ac:dyDescent="0.35">
      <c r="Q94" s="645">
        <f>IF(T93=U93,Q93+1,Q93)</f>
        <v>8</v>
      </c>
      <c r="R94" s="655" t="str">
        <f t="shared" si="31"/>
        <v>T4</v>
      </c>
      <c r="S94" s="655" t="str">
        <f t="shared" si="31"/>
        <v>中</v>
      </c>
      <c r="T94" s="645">
        <f>VLOOKUP(R94&amp;S94,$B$20:$F$32,5,FALSE)</f>
        <v>17</v>
      </c>
      <c r="U94" s="645">
        <f>IF(R94&amp;S94&lt;&gt;R93&amp;S93,0,IF(U93&lt;T93,U93+1,0))</f>
        <v>16</v>
      </c>
      <c r="V94" s="8">
        <v>0.7</v>
      </c>
      <c r="W94" s="645">
        <f>ROUNDUP(IF(U94=0,VLOOKUP(R94&amp;S94,$B$20:$G$32,6,FALSE),VLOOKUP(R94&amp;S94,$B$20:$G$32,6,FALSE)*V94)/5,0)*5</f>
        <v>35</v>
      </c>
      <c r="X94" s="159">
        <f>W94*VLOOKUP(R94&amp;S94,$B$20:$H$32,7,FALSE)</f>
        <v>4375</v>
      </c>
      <c r="Y94" s="159" t="str">
        <f t="shared" si="24"/>
        <v>T4中</v>
      </c>
      <c r="Z94" s="645">
        <f t="shared" si="29"/>
        <v>505</v>
      </c>
      <c r="AA94" s="339">
        <f>Z94*VLOOKUP(R94&amp;S94,$B$20:$K$32,10,FALSE)</f>
        <v>203.01000000000002</v>
      </c>
      <c r="AB94" s="645">
        <f t="shared" si="30"/>
        <v>16</v>
      </c>
      <c r="AC94" s="8">
        <v>0.1008</v>
      </c>
      <c r="AD94" s="645">
        <f>AC94*VLOOKUP(R94&amp;S94,游戏时长规划!$B$66:$D$78,3,FALSE)</f>
        <v>21.883679999999998</v>
      </c>
      <c r="AE94" s="645">
        <f>ROUND(AD94*VLOOKUP(R94&amp;S94,$C$50:$D$62,2,FALSE)/500,0)*500</f>
        <v>682000</v>
      </c>
      <c r="AF94" s="157"/>
      <c r="AG94" s="645" t="str">
        <f>Q94&amp;R94&amp;S94&amp;U94</f>
        <v>8T4中16</v>
      </c>
      <c r="AH94" s="339">
        <f t="shared" si="25"/>
        <v>203.01000000000002</v>
      </c>
      <c r="AI94" s="645">
        <f t="shared" si="26"/>
        <v>56875</v>
      </c>
    </row>
    <row r="95" spans="17:35" x14ac:dyDescent="0.35">
      <c r="Q95" s="645">
        <f>IF(T94=U94,Q94+1,Q94)</f>
        <v>8</v>
      </c>
      <c r="R95" s="655" t="str">
        <f t="shared" si="31"/>
        <v>T4</v>
      </c>
      <c r="S95" s="655" t="str">
        <f t="shared" si="31"/>
        <v>中</v>
      </c>
      <c r="T95" s="645">
        <f>VLOOKUP(R95&amp;S95,$B$20:$F$32,5,FALSE)</f>
        <v>17</v>
      </c>
      <c r="U95" s="645">
        <f>IF(R95&amp;S95&lt;&gt;R94&amp;S94,0,IF(U94&lt;T94,U94+1,0))</f>
        <v>17</v>
      </c>
      <c r="V95" s="8">
        <v>0.7</v>
      </c>
      <c r="W95" s="645">
        <f>ROUNDUP(IF(U95=0,VLOOKUP(R95&amp;S95,$B$20:$G$32,6,FALSE),VLOOKUP(R95&amp;S95,$B$20:$G$32,6,FALSE)*V95)/5,0)*5</f>
        <v>35</v>
      </c>
      <c r="X95" s="159">
        <f>W95*VLOOKUP(R95&amp;S95,$B$20:$H$32,7,FALSE)</f>
        <v>4375</v>
      </c>
      <c r="Y95" s="159" t="str">
        <f t="shared" si="24"/>
        <v>T4中</v>
      </c>
      <c r="Z95" s="645">
        <f t="shared" si="29"/>
        <v>540</v>
      </c>
      <c r="AA95" s="339">
        <f>Z95*VLOOKUP(R95&amp;S95,$B$20:$K$32,10,FALSE)</f>
        <v>217.08</v>
      </c>
      <c r="AB95" s="645">
        <f t="shared" si="30"/>
        <v>17</v>
      </c>
      <c r="AC95" s="8">
        <v>0.10680000000000001</v>
      </c>
      <c r="AD95" s="645">
        <f>AC95*VLOOKUP(R95&amp;S95,游戏时长规划!$B$66:$D$78,3,FALSE)</f>
        <v>23.18628</v>
      </c>
      <c r="AE95" s="645">
        <f>ROUND(AD95*VLOOKUP(R95&amp;S95,$C$50:$D$62,2,FALSE)/500,0)*500</f>
        <v>722500</v>
      </c>
      <c r="AF95" s="157"/>
      <c r="AG95" s="645" t="str">
        <f>Q95&amp;R95&amp;S95&amp;U95</f>
        <v>8T4中17</v>
      </c>
      <c r="AH95" s="339">
        <f t="shared" si="25"/>
        <v>217.08</v>
      </c>
      <c r="AI95" s="645">
        <f t="shared" si="26"/>
        <v>61250</v>
      </c>
    </row>
    <row r="96" spans="17:35" x14ac:dyDescent="0.35">
      <c r="Q96" s="645">
        <f>IF(T95=U95,Q95+1,Q95)</f>
        <v>9</v>
      </c>
      <c r="R96" s="655" t="str">
        <f t="shared" si="31"/>
        <v>T4</v>
      </c>
      <c r="S96" s="655" t="str">
        <f t="shared" si="31"/>
        <v>高</v>
      </c>
      <c r="T96" s="645">
        <f>VLOOKUP(R96&amp;S96,$B$20:$F$32,5,FALSE)</f>
        <v>17</v>
      </c>
      <c r="U96" s="645">
        <f>IF(R96&amp;S96&lt;&gt;R95&amp;S95,0,IF(U95&lt;T95,U95+1,0))</f>
        <v>0</v>
      </c>
      <c r="V96" s="8">
        <v>0</v>
      </c>
      <c r="W96" s="645">
        <f>ROUNDUP(IF(U96=0,VLOOKUP(R96&amp;S96,$B$20:$G$32,6,FALSE),VLOOKUP(R96&amp;S96,$B$20:$G$32,6,FALSE)*V96)/5,0)*5</f>
        <v>50</v>
      </c>
      <c r="X96" s="159">
        <f>W96*VLOOKUP(R96&amp;S96,$B$20:$H$32,7,FALSE)</f>
        <v>7750</v>
      </c>
      <c r="Y96" s="159" t="str">
        <f t="shared" si="24"/>
        <v>T4高</v>
      </c>
      <c r="Z96" s="645">
        <f t="shared" si="29"/>
        <v>50</v>
      </c>
      <c r="AA96" s="339">
        <f>Z96*VLOOKUP(R96&amp;S96,$B$20:$K$32,10,FALSE)</f>
        <v>24.9</v>
      </c>
      <c r="AB96" s="645">
        <f t="shared" si="30"/>
        <v>0</v>
      </c>
      <c r="AC96" s="8">
        <v>0</v>
      </c>
      <c r="AD96" s="645">
        <f>AC96*VLOOKUP(R96&amp;S96,游戏时长规划!$B$66:$D$78,3,FALSE)</f>
        <v>0</v>
      </c>
      <c r="AE96" s="645">
        <f>ROUND(AD96*VLOOKUP(R96&amp;S96,$C$50:$D$62,2,FALSE)/500,0)*500</f>
        <v>0</v>
      </c>
      <c r="AF96" s="157"/>
      <c r="AG96" s="645" t="str">
        <f>Q96&amp;R96&amp;S96&amp;U96</f>
        <v>9T4高0</v>
      </c>
      <c r="AH96" s="339">
        <f t="shared" si="25"/>
        <v>24.9</v>
      </c>
      <c r="AI96" s="645">
        <f t="shared" si="26"/>
        <v>0</v>
      </c>
    </row>
    <row r="97" spans="17:35" x14ac:dyDescent="0.35">
      <c r="Q97" s="645">
        <f>IF(T96=U96,Q96+1,Q96)</f>
        <v>9</v>
      </c>
      <c r="R97" s="655" t="str">
        <f t="shared" si="31"/>
        <v>T4</v>
      </c>
      <c r="S97" s="655" t="str">
        <f t="shared" si="31"/>
        <v>高</v>
      </c>
      <c r="T97" s="645">
        <f>VLOOKUP(R97&amp;S97,$B$20:$F$32,5,FALSE)</f>
        <v>17</v>
      </c>
      <c r="U97" s="645">
        <f>IF(R97&amp;S97&lt;&gt;R96&amp;S96,0,IF(U96&lt;T96,U96+1,0))</f>
        <v>1</v>
      </c>
      <c r="V97" s="8">
        <v>0.378</v>
      </c>
      <c r="W97" s="645">
        <f>ROUNDUP(IF(U97=0,VLOOKUP(R97&amp;S97,$B$20:$G$32,6,FALSE),VLOOKUP(R97&amp;S97,$B$20:$G$32,6,FALSE)*V97)/5,0)*5</f>
        <v>20</v>
      </c>
      <c r="X97" s="159">
        <f>W97*VLOOKUP(R97&amp;S97,$B$20:$H$32,7,FALSE)</f>
        <v>3100</v>
      </c>
      <c r="Y97" s="159" t="str">
        <f t="shared" si="24"/>
        <v>T4高</v>
      </c>
      <c r="Z97" s="645">
        <f t="shared" si="29"/>
        <v>70</v>
      </c>
      <c r="AA97" s="339">
        <f>Z97*VLOOKUP(R97&amp;S97,$B$20:$K$32,10,FALSE)</f>
        <v>34.86</v>
      </c>
      <c r="AB97" s="645">
        <f t="shared" si="30"/>
        <v>1</v>
      </c>
      <c r="AC97" s="8">
        <v>1.0800000000000001E-2</v>
      </c>
      <c r="AD97" s="645">
        <f>AC97*VLOOKUP(R97&amp;S97,游戏时长规划!$B$66:$D$78,3,FALSE)</f>
        <v>3.0661199999999997</v>
      </c>
      <c r="AE97" s="645">
        <f>ROUND(AD97*VLOOKUP(R97&amp;S97,$C$50:$D$62,2,FALSE)/500,0)*500</f>
        <v>101000</v>
      </c>
      <c r="AF97" s="157"/>
      <c r="AG97" s="645" t="str">
        <f>Q97&amp;R97&amp;S97&amp;U97</f>
        <v>9T4高1</v>
      </c>
      <c r="AH97" s="339">
        <f t="shared" si="25"/>
        <v>34.86</v>
      </c>
      <c r="AI97" s="645">
        <f t="shared" si="26"/>
        <v>3100</v>
      </c>
    </row>
    <row r="98" spans="17:35" x14ac:dyDescent="0.35">
      <c r="Q98" s="645">
        <f>IF(T97=U97,Q97+1,Q97)</f>
        <v>9</v>
      </c>
      <c r="R98" s="655" t="str">
        <f t="shared" si="31"/>
        <v>T4</v>
      </c>
      <c r="S98" s="655" t="str">
        <f t="shared" si="31"/>
        <v>高</v>
      </c>
      <c r="T98" s="645">
        <f>VLOOKUP(R98&amp;S98,$B$20:$F$32,5,FALSE)</f>
        <v>17</v>
      </c>
      <c r="U98" s="645">
        <f>IF(R98&amp;S98&lt;&gt;R97&amp;S97,0,IF(U97&lt;T97,U97+1,0))</f>
        <v>2</v>
      </c>
      <c r="V98" s="8">
        <v>0.378</v>
      </c>
      <c r="W98" s="645">
        <f>ROUNDUP(IF(U98=0,VLOOKUP(R98&amp;S98,$B$20:$G$32,6,FALSE),VLOOKUP(R98&amp;S98,$B$20:$G$32,6,FALSE)*V98)/5,0)*5</f>
        <v>20</v>
      </c>
      <c r="X98" s="159">
        <f>W98*VLOOKUP(R98&amp;S98,$B$20:$H$32,7,FALSE)</f>
        <v>3100</v>
      </c>
      <c r="Y98" s="159" t="str">
        <f t="shared" si="24"/>
        <v>T4高</v>
      </c>
      <c r="Z98" s="645">
        <f t="shared" si="29"/>
        <v>90</v>
      </c>
      <c r="AA98" s="339">
        <f>Z98*VLOOKUP(R98&amp;S98,$B$20:$K$32,10,FALSE)</f>
        <v>44.82</v>
      </c>
      <c r="AB98" s="645">
        <f t="shared" si="30"/>
        <v>2</v>
      </c>
      <c r="AC98" s="8">
        <v>1.6799999999999999E-2</v>
      </c>
      <c r="AD98" s="645">
        <f>AC98*VLOOKUP(R98&amp;S98,游戏时长规划!$B$66:$D$78,3,FALSE)</f>
        <v>4.7695199999999991</v>
      </c>
      <c r="AE98" s="645">
        <f>ROUND(AD98*VLOOKUP(R98&amp;S98,$C$50:$D$62,2,FALSE)/500,0)*500</f>
        <v>157000</v>
      </c>
      <c r="AF98" s="157"/>
      <c r="AG98" s="645" t="str">
        <f>Q98&amp;R98&amp;S98&amp;U98</f>
        <v>9T4高2</v>
      </c>
      <c r="AH98" s="339">
        <f t="shared" si="25"/>
        <v>44.82</v>
      </c>
      <c r="AI98" s="645">
        <f t="shared" si="26"/>
        <v>6200</v>
      </c>
    </row>
    <row r="99" spans="17:35" x14ac:dyDescent="0.35">
      <c r="Q99" s="645">
        <f>IF(T98=U98,Q98+1,Q98)</f>
        <v>9</v>
      </c>
      <c r="R99" s="655" t="str">
        <f t="shared" si="31"/>
        <v>T4</v>
      </c>
      <c r="S99" s="655" t="str">
        <f t="shared" si="31"/>
        <v>高</v>
      </c>
      <c r="T99" s="645">
        <f>VLOOKUP(R99&amp;S99,$B$20:$F$32,5,FALSE)</f>
        <v>17</v>
      </c>
      <c r="U99" s="645">
        <f>IF(R99&amp;S99&lt;&gt;R98&amp;S98,0,IF(U98&lt;T98,U98+1,0))</f>
        <v>3</v>
      </c>
      <c r="V99" s="8">
        <v>0.378</v>
      </c>
      <c r="W99" s="645">
        <f>ROUNDUP(IF(U99=0,VLOOKUP(R99&amp;S99,$B$20:$G$32,6,FALSE),VLOOKUP(R99&amp;S99,$B$20:$G$32,6,FALSE)*V99)/5,0)*5</f>
        <v>20</v>
      </c>
      <c r="X99" s="159">
        <f>W99*VLOOKUP(R99&amp;S99,$B$20:$H$32,7,FALSE)</f>
        <v>3100</v>
      </c>
      <c r="Y99" s="159" t="str">
        <f t="shared" si="24"/>
        <v>T4高</v>
      </c>
      <c r="Z99" s="645">
        <f t="shared" si="29"/>
        <v>110</v>
      </c>
      <c r="AA99" s="339">
        <f>Z99*VLOOKUP(R99&amp;S99,$B$20:$K$32,10,FALSE)</f>
        <v>54.78</v>
      </c>
      <c r="AB99" s="645">
        <f t="shared" si="30"/>
        <v>3</v>
      </c>
      <c r="AC99" s="8">
        <v>2.2800000000000001E-2</v>
      </c>
      <c r="AD99" s="645">
        <f>AC99*VLOOKUP(R99&amp;S99,游戏时长规划!$B$66:$D$78,3,FALSE)</f>
        <v>6.4729199999999993</v>
      </c>
      <c r="AE99" s="645">
        <f>ROUND(AD99*VLOOKUP(R99&amp;S99,$C$50:$D$62,2,FALSE)/500,0)*500</f>
        <v>213000</v>
      </c>
      <c r="AF99" s="157"/>
      <c r="AG99" s="645" t="str">
        <f>Q99&amp;R99&amp;S99&amp;U99</f>
        <v>9T4高3</v>
      </c>
      <c r="AH99" s="339">
        <f t="shared" si="25"/>
        <v>54.78</v>
      </c>
      <c r="AI99" s="645">
        <f t="shared" si="26"/>
        <v>9300</v>
      </c>
    </row>
    <row r="100" spans="17:35" x14ac:dyDescent="0.35">
      <c r="Q100" s="645">
        <f>IF(T99=U99,Q99+1,Q99)</f>
        <v>9</v>
      </c>
      <c r="R100" s="655" t="str">
        <f t="shared" si="31"/>
        <v>T4</v>
      </c>
      <c r="S100" s="655" t="str">
        <f t="shared" si="31"/>
        <v>高</v>
      </c>
      <c r="T100" s="645">
        <f>VLOOKUP(R100&amp;S100,$B$20:$F$32,5,FALSE)</f>
        <v>17</v>
      </c>
      <c r="U100" s="645">
        <f>IF(R100&amp;S100&lt;&gt;R99&amp;S99,0,IF(U99&lt;T99,U99+1,0))</f>
        <v>4</v>
      </c>
      <c r="V100" s="8">
        <v>0.378</v>
      </c>
      <c r="W100" s="645">
        <f>ROUNDUP(IF(U100=0,VLOOKUP(R100&amp;S100,$B$20:$G$32,6,FALSE),VLOOKUP(R100&amp;S100,$B$20:$G$32,6,FALSE)*V100)/5,0)*5</f>
        <v>20</v>
      </c>
      <c r="X100" s="159">
        <f>W100*VLOOKUP(R100&amp;S100,$B$20:$H$32,7,FALSE)</f>
        <v>3100</v>
      </c>
      <c r="Y100" s="159" t="str">
        <f t="shared" ref="Y100:Y131" si="32">R100&amp;S100</f>
        <v>T4高</v>
      </c>
      <c r="Z100" s="645">
        <f t="shared" si="29"/>
        <v>130</v>
      </c>
      <c r="AA100" s="339">
        <f>Z100*VLOOKUP(R100&amp;S100,$B$20:$K$32,10,FALSE)</f>
        <v>64.739999999999995</v>
      </c>
      <c r="AB100" s="645">
        <f t="shared" si="30"/>
        <v>4</v>
      </c>
      <c r="AC100" s="8">
        <v>2.8799999999999999E-2</v>
      </c>
      <c r="AD100" s="645">
        <f>AC100*VLOOKUP(R100&amp;S100,游戏时长规划!$B$66:$D$78,3,FALSE)</f>
        <v>8.1763199999999987</v>
      </c>
      <c r="AE100" s="645">
        <f>ROUND(AD100*VLOOKUP(R100&amp;S100,$C$50:$D$62,2,FALSE)/500,0)*500</f>
        <v>269000</v>
      </c>
      <c r="AF100" s="157"/>
      <c r="AG100" s="645" t="str">
        <f>Q100&amp;R100&amp;S100&amp;U100</f>
        <v>9T4高4</v>
      </c>
      <c r="AH100" s="339">
        <f t="shared" ref="AH100:AH131" si="33">AA100</f>
        <v>64.739999999999995</v>
      </c>
      <c r="AI100" s="645">
        <f t="shared" ref="AI100:AI131" si="34">IF(U100=0,0,X100+AI99)</f>
        <v>12400</v>
      </c>
    </row>
    <row r="101" spans="17:35" x14ac:dyDescent="0.35">
      <c r="Q101" s="645">
        <f>IF(T100=U100,Q100+1,Q100)</f>
        <v>9</v>
      </c>
      <c r="R101" s="655" t="str">
        <f t="shared" si="31"/>
        <v>T4</v>
      </c>
      <c r="S101" s="655" t="str">
        <f t="shared" si="31"/>
        <v>高</v>
      </c>
      <c r="T101" s="645">
        <f>VLOOKUP(R101&amp;S101,$B$20:$F$32,5,FALSE)</f>
        <v>17</v>
      </c>
      <c r="U101" s="645">
        <f>IF(R101&amp;S101&lt;&gt;R100&amp;S100,0,IF(U100&lt;T100,U100+1,0))</f>
        <v>5</v>
      </c>
      <c r="V101" s="8">
        <v>0.378</v>
      </c>
      <c r="W101" s="645">
        <f>ROUNDUP(IF(U101=0,VLOOKUP(R101&amp;S101,$B$20:$G$32,6,FALSE),VLOOKUP(R101&amp;S101,$B$20:$G$32,6,FALSE)*V101)/5,0)*5</f>
        <v>20</v>
      </c>
      <c r="X101" s="159">
        <f>W101*VLOOKUP(R101&amp;S101,$B$20:$H$32,7,FALSE)</f>
        <v>3100</v>
      </c>
      <c r="Y101" s="159" t="str">
        <f t="shared" si="32"/>
        <v>T4高</v>
      </c>
      <c r="Z101" s="645">
        <f t="shared" si="29"/>
        <v>150</v>
      </c>
      <c r="AA101" s="339">
        <f>Z101*VLOOKUP(R101&amp;S101,$B$20:$K$32,10,FALSE)</f>
        <v>74.7</v>
      </c>
      <c r="AB101" s="645">
        <f t="shared" si="30"/>
        <v>5</v>
      </c>
      <c r="AC101" s="8">
        <v>3.4799999999999998E-2</v>
      </c>
      <c r="AD101" s="645">
        <f>AC101*VLOOKUP(R101&amp;S101,游戏时长规划!$B$66:$D$78,3,FALSE)</f>
        <v>9.8797199999999989</v>
      </c>
      <c r="AE101" s="645">
        <f>ROUND(AD101*VLOOKUP(R101&amp;S101,$C$50:$D$62,2,FALSE)/500,0)*500</f>
        <v>325500</v>
      </c>
      <c r="AF101" s="157"/>
      <c r="AG101" s="645" t="str">
        <f>Q101&amp;R101&amp;S101&amp;U101</f>
        <v>9T4高5</v>
      </c>
      <c r="AH101" s="339">
        <f t="shared" si="33"/>
        <v>74.7</v>
      </c>
      <c r="AI101" s="645">
        <f t="shared" si="34"/>
        <v>15500</v>
      </c>
    </row>
    <row r="102" spans="17:35" x14ac:dyDescent="0.35">
      <c r="Q102" s="645">
        <f>IF(T101=U101,Q101+1,Q101)</f>
        <v>9</v>
      </c>
      <c r="R102" s="655" t="str">
        <f t="shared" si="31"/>
        <v>T4</v>
      </c>
      <c r="S102" s="655" t="str">
        <f t="shared" si="31"/>
        <v>高</v>
      </c>
      <c r="T102" s="645">
        <f>VLOOKUP(R102&amp;S102,$B$20:$F$32,5,FALSE)</f>
        <v>17</v>
      </c>
      <c r="U102" s="645">
        <f>IF(R102&amp;S102&lt;&gt;R101&amp;S101,0,IF(U101&lt;T101,U101+1,0))</f>
        <v>6</v>
      </c>
      <c r="V102" s="8">
        <v>0.56899999999999995</v>
      </c>
      <c r="W102" s="645">
        <f>ROUNDUP(IF(U102=0,VLOOKUP(R102&amp;S102,$B$20:$G$32,6,FALSE),VLOOKUP(R102&amp;S102,$B$20:$G$32,6,FALSE)*V102)/5,0)*5</f>
        <v>30</v>
      </c>
      <c r="X102" s="159">
        <f>W102*VLOOKUP(R102&amp;S102,$B$20:$H$32,7,FALSE)</f>
        <v>4650</v>
      </c>
      <c r="Y102" s="159" t="str">
        <f t="shared" si="32"/>
        <v>T4高</v>
      </c>
      <c r="Z102" s="645">
        <f t="shared" si="29"/>
        <v>180</v>
      </c>
      <c r="AA102" s="339">
        <f>Z102*VLOOKUP(R102&amp;S102,$B$20:$K$32,10,FALSE)</f>
        <v>89.64</v>
      </c>
      <c r="AB102" s="645">
        <f t="shared" si="30"/>
        <v>6</v>
      </c>
      <c r="AC102" s="8">
        <v>4.0800000000000003E-2</v>
      </c>
      <c r="AD102" s="645">
        <f>AC102*VLOOKUP(R102&amp;S102,游戏时长规划!$B$66:$D$78,3,FALSE)</f>
        <v>11.583119999999999</v>
      </c>
      <c r="AE102" s="645">
        <f>ROUND(AD102*VLOOKUP(R102&amp;S102,$C$50:$D$62,2,FALSE)/500,0)*500</f>
        <v>381500</v>
      </c>
      <c r="AF102" s="157"/>
      <c r="AG102" s="645" t="str">
        <f>Q102&amp;R102&amp;S102&amp;U102</f>
        <v>9T4高6</v>
      </c>
      <c r="AH102" s="339">
        <f t="shared" si="33"/>
        <v>89.64</v>
      </c>
      <c r="AI102" s="645">
        <f t="shared" si="34"/>
        <v>20150</v>
      </c>
    </row>
    <row r="103" spans="17:35" x14ac:dyDescent="0.35">
      <c r="Q103" s="645">
        <f>IF(T102=U102,Q102+1,Q102)</f>
        <v>9</v>
      </c>
      <c r="R103" s="655" t="str">
        <f t="shared" si="31"/>
        <v>T4</v>
      </c>
      <c r="S103" s="655" t="str">
        <f t="shared" si="31"/>
        <v>高</v>
      </c>
      <c r="T103" s="645">
        <f>VLOOKUP(R103&amp;S103,$B$20:$F$32,5,FALSE)</f>
        <v>17</v>
      </c>
      <c r="U103" s="645">
        <f>IF(R103&amp;S103&lt;&gt;R102&amp;S102,0,IF(U102&lt;T102,U102+1,0))</f>
        <v>7</v>
      </c>
      <c r="V103" s="8">
        <v>0.56899999999999995</v>
      </c>
      <c r="W103" s="645">
        <f>ROUNDUP(IF(U103=0,VLOOKUP(R103&amp;S103,$B$20:$G$32,6,FALSE),VLOOKUP(R103&amp;S103,$B$20:$G$32,6,FALSE)*V103)/5,0)*5</f>
        <v>30</v>
      </c>
      <c r="X103" s="159">
        <f>W103*VLOOKUP(R103&amp;S103,$B$20:$H$32,7,FALSE)</f>
        <v>4650</v>
      </c>
      <c r="Y103" s="159" t="str">
        <f t="shared" si="32"/>
        <v>T4高</v>
      </c>
      <c r="Z103" s="645">
        <f t="shared" si="29"/>
        <v>210</v>
      </c>
      <c r="AA103" s="339">
        <f>Z103*VLOOKUP(R103&amp;S103,$B$20:$K$32,10,FALSE)</f>
        <v>104.58</v>
      </c>
      <c r="AB103" s="645">
        <f t="shared" si="30"/>
        <v>7</v>
      </c>
      <c r="AC103" s="8">
        <v>4.6800000000000001E-2</v>
      </c>
      <c r="AD103" s="645">
        <f>AC103*VLOOKUP(R103&amp;S103,游戏时长规划!$B$66:$D$78,3,FALSE)</f>
        <v>13.286519999999999</v>
      </c>
      <c r="AE103" s="645">
        <f>ROUND(AD103*VLOOKUP(R103&amp;S103,$C$50:$D$62,2,FALSE)/500,0)*500</f>
        <v>437500</v>
      </c>
      <c r="AF103" s="157"/>
      <c r="AG103" s="645" t="str">
        <f>Q103&amp;R103&amp;S103&amp;U103</f>
        <v>9T4高7</v>
      </c>
      <c r="AH103" s="339">
        <f t="shared" si="33"/>
        <v>104.58</v>
      </c>
      <c r="AI103" s="645">
        <f t="shared" si="34"/>
        <v>24800</v>
      </c>
    </row>
    <row r="104" spans="17:35" x14ac:dyDescent="0.35">
      <c r="Q104" s="645">
        <f>IF(T103=U103,Q103+1,Q103)</f>
        <v>9</v>
      </c>
      <c r="R104" s="655" t="str">
        <f t="shared" ref="R104:S123" si="35">VLOOKUP($Q104,$C$20:$I$32,MATCH(R$3,$C$20:$I$20,0),FALSE)</f>
        <v>T4</v>
      </c>
      <c r="S104" s="655" t="str">
        <f t="shared" si="35"/>
        <v>高</v>
      </c>
      <c r="T104" s="645">
        <f>VLOOKUP(R104&amp;S104,$B$20:$F$32,5,FALSE)</f>
        <v>17</v>
      </c>
      <c r="U104" s="645">
        <f>IF(R104&amp;S104&lt;&gt;R103&amp;S103,0,IF(U103&lt;T103,U103+1,0))</f>
        <v>8</v>
      </c>
      <c r="V104" s="8">
        <v>0.56899999999999995</v>
      </c>
      <c r="W104" s="645">
        <f>ROUNDUP(IF(U104=0,VLOOKUP(R104&amp;S104,$B$20:$G$32,6,FALSE),VLOOKUP(R104&amp;S104,$B$20:$G$32,6,FALSE)*V104)/5,0)*5</f>
        <v>30</v>
      </c>
      <c r="X104" s="159">
        <f>W104*VLOOKUP(R104&amp;S104,$B$20:$H$32,7,FALSE)</f>
        <v>4650</v>
      </c>
      <c r="Y104" s="159" t="str">
        <f t="shared" si="32"/>
        <v>T4高</v>
      </c>
      <c r="Z104" s="645">
        <f t="shared" si="29"/>
        <v>240</v>
      </c>
      <c r="AA104" s="339">
        <f>Z104*VLOOKUP(R104&amp;S104,$B$20:$K$32,10,FALSE)</f>
        <v>119.52</v>
      </c>
      <c r="AB104" s="645">
        <f t="shared" si="30"/>
        <v>8</v>
      </c>
      <c r="AC104" s="8">
        <v>5.28E-2</v>
      </c>
      <c r="AD104" s="645">
        <f>AC104*VLOOKUP(R104&amp;S104,游戏时长规划!$B$66:$D$78,3,FALSE)</f>
        <v>14.989919999999998</v>
      </c>
      <c r="AE104" s="645">
        <f>ROUND(AD104*VLOOKUP(R104&amp;S104,$C$50:$D$62,2,FALSE)/500,0)*500</f>
        <v>493500</v>
      </c>
      <c r="AF104" s="157"/>
      <c r="AG104" s="645" t="str">
        <f>Q104&amp;R104&amp;S104&amp;U104</f>
        <v>9T4高8</v>
      </c>
      <c r="AH104" s="339">
        <f t="shared" si="33"/>
        <v>119.52</v>
      </c>
      <c r="AI104" s="645">
        <f t="shared" si="34"/>
        <v>29450</v>
      </c>
    </row>
    <row r="105" spans="17:35" x14ac:dyDescent="0.35">
      <c r="Q105" s="645">
        <f>IF(T104=U104,Q104+1,Q104)</f>
        <v>9</v>
      </c>
      <c r="R105" s="655" t="str">
        <f t="shared" si="35"/>
        <v>T4</v>
      </c>
      <c r="S105" s="655" t="str">
        <f t="shared" si="35"/>
        <v>高</v>
      </c>
      <c r="T105" s="645">
        <f>VLOOKUP(R105&amp;S105,$B$20:$F$32,5,FALSE)</f>
        <v>17</v>
      </c>
      <c r="U105" s="645">
        <f>IF(R105&amp;S105&lt;&gt;R104&amp;S104,0,IF(U104&lt;T104,U104+1,0))</f>
        <v>9</v>
      </c>
      <c r="V105" s="8">
        <v>0.56899999999999995</v>
      </c>
      <c r="W105" s="645">
        <f>ROUNDUP(IF(U105=0,VLOOKUP(R105&amp;S105,$B$20:$G$32,6,FALSE),VLOOKUP(R105&amp;S105,$B$20:$G$32,6,FALSE)*V105)/5,0)*5</f>
        <v>30</v>
      </c>
      <c r="X105" s="159">
        <f>W105*VLOOKUP(R105&amp;S105,$B$20:$H$32,7,FALSE)</f>
        <v>4650</v>
      </c>
      <c r="Y105" s="159" t="str">
        <f t="shared" si="32"/>
        <v>T4高</v>
      </c>
      <c r="Z105" s="645">
        <f t="shared" si="29"/>
        <v>270</v>
      </c>
      <c r="AA105" s="339">
        <f>Z105*VLOOKUP(R105&amp;S105,$B$20:$K$32,10,FALSE)</f>
        <v>134.46</v>
      </c>
      <c r="AB105" s="645">
        <f t="shared" si="30"/>
        <v>9</v>
      </c>
      <c r="AC105" s="8">
        <v>5.8799999999999998E-2</v>
      </c>
      <c r="AD105" s="645">
        <f>AC105*VLOOKUP(R105&amp;S105,游戏时长规划!$B$66:$D$78,3,FALSE)</f>
        <v>16.693319999999996</v>
      </c>
      <c r="AE105" s="645">
        <f>ROUND(AD105*VLOOKUP(R105&amp;S105,$C$50:$D$62,2,FALSE)/500,0)*500</f>
        <v>549500</v>
      </c>
      <c r="AF105" s="157"/>
      <c r="AG105" s="645" t="str">
        <f>Q105&amp;R105&amp;S105&amp;U105</f>
        <v>9T4高9</v>
      </c>
      <c r="AH105" s="339">
        <f t="shared" si="33"/>
        <v>134.46</v>
      </c>
      <c r="AI105" s="645">
        <f t="shared" si="34"/>
        <v>34100</v>
      </c>
    </row>
    <row r="106" spans="17:35" x14ac:dyDescent="0.35">
      <c r="Q106" s="645">
        <f>IF(T105=U105,Q105+1,Q105)</f>
        <v>9</v>
      </c>
      <c r="R106" s="655" t="str">
        <f t="shared" si="35"/>
        <v>T4</v>
      </c>
      <c r="S106" s="655" t="str">
        <f t="shared" si="35"/>
        <v>高</v>
      </c>
      <c r="T106" s="645">
        <f>VLOOKUP(R106&amp;S106,$B$20:$F$32,5,FALSE)</f>
        <v>17</v>
      </c>
      <c r="U106" s="645">
        <f>IF(R106&amp;S106&lt;&gt;R105&amp;S105,0,IF(U105&lt;T105,U105+1,0))</f>
        <v>10</v>
      </c>
      <c r="V106" s="8">
        <v>0.56899999999999995</v>
      </c>
      <c r="W106" s="645">
        <f>ROUNDUP(IF(U106=0,VLOOKUP(R106&amp;S106,$B$20:$G$32,6,FALSE),VLOOKUP(R106&amp;S106,$B$20:$G$32,6,FALSE)*V106)/5,0)*5</f>
        <v>30</v>
      </c>
      <c r="X106" s="159">
        <f>W106*VLOOKUP(R106&amp;S106,$B$20:$H$32,7,FALSE)</f>
        <v>4650</v>
      </c>
      <c r="Y106" s="159" t="str">
        <f t="shared" si="32"/>
        <v>T4高</v>
      </c>
      <c r="Z106" s="645">
        <f t="shared" si="29"/>
        <v>300</v>
      </c>
      <c r="AA106" s="339">
        <f>Z106*VLOOKUP(R106&amp;S106,$B$20:$K$32,10,FALSE)</f>
        <v>149.4</v>
      </c>
      <c r="AB106" s="645">
        <f t="shared" si="30"/>
        <v>10</v>
      </c>
      <c r="AC106" s="8">
        <v>6.4799999999999996E-2</v>
      </c>
      <c r="AD106" s="645">
        <f>AC106*VLOOKUP(R106&amp;S106,游戏时长规划!$B$66:$D$78,3,FALSE)</f>
        <v>18.396719999999998</v>
      </c>
      <c r="AE106" s="645">
        <f>ROUND(AD106*VLOOKUP(R106&amp;S106,$C$50:$D$62,2,FALSE)/500,0)*500</f>
        <v>605500</v>
      </c>
      <c r="AF106" s="157"/>
      <c r="AG106" s="645" t="str">
        <f>Q106&amp;R106&amp;S106&amp;U106</f>
        <v>9T4高10</v>
      </c>
      <c r="AH106" s="339">
        <f t="shared" si="33"/>
        <v>149.4</v>
      </c>
      <c r="AI106" s="645">
        <f t="shared" si="34"/>
        <v>38750</v>
      </c>
    </row>
    <row r="107" spans="17:35" x14ac:dyDescent="0.35">
      <c r="Q107" s="645">
        <f>IF(T106=U106,Q106+1,Q106)</f>
        <v>9</v>
      </c>
      <c r="R107" s="655" t="str">
        <f t="shared" si="35"/>
        <v>T4</v>
      </c>
      <c r="S107" s="655" t="str">
        <f t="shared" si="35"/>
        <v>高</v>
      </c>
      <c r="T107" s="645">
        <f>VLOOKUP(R107&amp;S107,$B$20:$F$32,5,FALSE)</f>
        <v>17</v>
      </c>
      <c r="U107" s="645">
        <f>IF(R107&amp;S107&lt;&gt;R106&amp;S106,0,IF(U106&lt;T106,U106+1,0))</f>
        <v>11</v>
      </c>
      <c r="V107" s="8">
        <v>0.56899999999999995</v>
      </c>
      <c r="W107" s="645">
        <f>ROUNDUP(IF(U107=0,VLOOKUP(R107&amp;S107,$B$20:$G$32,6,FALSE),VLOOKUP(R107&amp;S107,$B$20:$G$32,6,FALSE)*V107)/5,0)*5</f>
        <v>30</v>
      </c>
      <c r="X107" s="159">
        <f>W107*VLOOKUP(R107&amp;S107,$B$20:$H$32,7,FALSE)</f>
        <v>4650</v>
      </c>
      <c r="Y107" s="159" t="str">
        <f t="shared" si="32"/>
        <v>T4高</v>
      </c>
      <c r="Z107" s="645">
        <f t="shared" si="29"/>
        <v>330</v>
      </c>
      <c r="AA107" s="339">
        <f>Z107*VLOOKUP(R107&amp;S107,$B$20:$K$32,10,FALSE)</f>
        <v>164.34</v>
      </c>
      <c r="AB107" s="645">
        <f t="shared" si="30"/>
        <v>11</v>
      </c>
      <c r="AC107" s="8">
        <v>7.0800000000000002E-2</v>
      </c>
      <c r="AD107" s="645">
        <f>AC107*VLOOKUP(R107&amp;S107,游戏时长规划!$B$66:$D$78,3,FALSE)</f>
        <v>20.10012</v>
      </c>
      <c r="AE107" s="645">
        <f>ROUND(AD107*VLOOKUP(R107&amp;S107,$C$50:$D$62,2,FALSE)/500,0)*500</f>
        <v>661500</v>
      </c>
      <c r="AF107" s="157"/>
      <c r="AG107" s="645" t="str">
        <f>Q107&amp;R107&amp;S107&amp;U107</f>
        <v>9T4高11</v>
      </c>
      <c r="AH107" s="339">
        <f t="shared" si="33"/>
        <v>164.34</v>
      </c>
      <c r="AI107" s="645">
        <f t="shared" si="34"/>
        <v>43400</v>
      </c>
    </row>
    <row r="108" spans="17:35" x14ac:dyDescent="0.35">
      <c r="Q108" s="645">
        <f>IF(T107=U107,Q107+1,Q107)</f>
        <v>9</v>
      </c>
      <c r="R108" s="655" t="str">
        <f t="shared" si="35"/>
        <v>T4</v>
      </c>
      <c r="S108" s="655" t="str">
        <f t="shared" si="35"/>
        <v>高</v>
      </c>
      <c r="T108" s="645">
        <f>VLOOKUP(R108&amp;S108,$B$20:$F$32,5,FALSE)</f>
        <v>17</v>
      </c>
      <c r="U108" s="645">
        <f>IF(R108&amp;S108&lt;&gt;R107&amp;S107,0,IF(U107&lt;T107,U107+1,0))</f>
        <v>12</v>
      </c>
      <c r="V108" s="8">
        <v>0.75600000000000001</v>
      </c>
      <c r="W108" s="645">
        <f>ROUNDUP(IF(U108=0,VLOOKUP(R108&amp;S108,$B$20:$G$32,6,FALSE),VLOOKUP(R108&amp;S108,$B$20:$G$32,6,FALSE)*V108)/5,0)*5</f>
        <v>40</v>
      </c>
      <c r="X108" s="159">
        <f>W108*VLOOKUP(R108&amp;S108,$B$20:$H$32,7,FALSE)</f>
        <v>6200</v>
      </c>
      <c r="Y108" s="159" t="str">
        <f t="shared" si="32"/>
        <v>T4高</v>
      </c>
      <c r="Z108" s="645">
        <f t="shared" si="29"/>
        <v>370</v>
      </c>
      <c r="AA108" s="339">
        <f>Z108*VLOOKUP(R108&amp;S108,$B$20:$K$32,10,FALSE)</f>
        <v>184.26</v>
      </c>
      <c r="AB108" s="645">
        <f t="shared" si="30"/>
        <v>12</v>
      </c>
      <c r="AC108" s="8">
        <v>7.6799999999999993E-2</v>
      </c>
      <c r="AD108" s="645">
        <f>AC108*VLOOKUP(R108&amp;S108,游戏时长规划!$B$66:$D$78,3,FALSE)</f>
        <v>21.803519999999995</v>
      </c>
      <c r="AE108" s="645">
        <f>ROUND(AD108*VLOOKUP(R108&amp;S108,$C$50:$D$62,2,FALSE)/500,0)*500</f>
        <v>718000</v>
      </c>
      <c r="AF108" s="157"/>
      <c r="AG108" s="645" t="str">
        <f>Q108&amp;R108&amp;S108&amp;U108</f>
        <v>9T4高12</v>
      </c>
      <c r="AH108" s="339">
        <f t="shared" si="33"/>
        <v>184.26</v>
      </c>
      <c r="AI108" s="645">
        <f t="shared" si="34"/>
        <v>49600</v>
      </c>
    </row>
    <row r="109" spans="17:35" x14ac:dyDescent="0.35">
      <c r="Q109" s="645">
        <f>IF(T108=U108,Q108+1,Q108)</f>
        <v>9</v>
      </c>
      <c r="R109" s="655" t="str">
        <f t="shared" si="35"/>
        <v>T4</v>
      </c>
      <c r="S109" s="655" t="str">
        <f t="shared" si="35"/>
        <v>高</v>
      </c>
      <c r="T109" s="645">
        <f>VLOOKUP(R109&amp;S109,$B$20:$F$32,5,FALSE)</f>
        <v>17</v>
      </c>
      <c r="U109" s="645">
        <f>IF(R109&amp;S109&lt;&gt;R108&amp;S108,0,IF(U108&lt;T108,U108+1,0))</f>
        <v>13</v>
      </c>
      <c r="V109" s="8">
        <v>0.75600000000000001</v>
      </c>
      <c r="W109" s="645">
        <f>ROUNDUP(IF(U109=0,VLOOKUP(R109&amp;S109,$B$20:$G$32,6,FALSE),VLOOKUP(R109&amp;S109,$B$20:$G$32,6,FALSE)*V109)/5,0)*5</f>
        <v>40</v>
      </c>
      <c r="X109" s="159">
        <f>W109*VLOOKUP(R109&amp;S109,$B$20:$H$32,7,FALSE)</f>
        <v>6200</v>
      </c>
      <c r="Y109" s="159" t="str">
        <f t="shared" si="32"/>
        <v>T4高</v>
      </c>
      <c r="Z109" s="645">
        <f t="shared" si="29"/>
        <v>410</v>
      </c>
      <c r="AA109" s="339">
        <f>Z109*VLOOKUP(R109&amp;S109,$B$20:$K$32,10,FALSE)</f>
        <v>204.18</v>
      </c>
      <c r="AB109" s="645">
        <f t="shared" si="30"/>
        <v>13</v>
      </c>
      <c r="AC109" s="8">
        <v>8.2799999999999999E-2</v>
      </c>
      <c r="AD109" s="645">
        <f>AC109*VLOOKUP(R109&amp;S109,游戏时长规划!$B$66:$D$78,3,FALSE)</f>
        <v>23.506919999999997</v>
      </c>
      <c r="AE109" s="645">
        <f>ROUND(AD109*VLOOKUP(R109&amp;S109,$C$50:$D$62,2,FALSE)/500,0)*500</f>
        <v>774000</v>
      </c>
      <c r="AF109" s="157"/>
      <c r="AG109" s="645" t="str">
        <f>Q109&amp;R109&amp;S109&amp;U109</f>
        <v>9T4高13</v>
      </c>
      <c r="AH109" s="339">
        <f t="shared" si="33"/>
        <v>204.18</v>
      </c>
      <c r="AI109" s="645">
        <f t="shared" si="34"/>
        <v>55800</v>
      </c>
    </row>
    <row r="110" spans="17:35" x14ac:dyDescent="0.35">
      <c r="Q110" s="645">
        <f>IF(T109=U109,Q109+1,Q109)</f>
        <v>9</v>
      </c>
      <c r="R110" s="655" t="str">
        <f t="shared" si="35"/>
        <v>T4</v>
      </c>
      <c r="S110" s="655" t="str">
        <f t="shared" si="35"/>
        <v>高</v>
      </c>
      <c r="T110" s="645">
        <f>VLOOKUP(R110&amp;S110,$B$20:$F$32,5,FALSE)</f>
        <v>17</v>
      </c>
      <c r="U110" s="645">
        <f>IF(R110&amp;S110&lt;&gt;R109&amp;S109,0,IF(U109&lt;T109,U109+1,0))</f>
        <v>14</v>
      </c>
      <c r="V110" s="8">
        <v>0.75600000000000001</v>
      </c>
      <c r="W110" s="645">
        <f>ROUNDUP(IF(U110=0,VLOOKUP(R110&amp;S110,$B$20:$G$32,6,FALSE),VLOOKUP(R110&amp;S110,$B$20:$G$32,6,FALSE)*V110)/5,0)*5</f>
        <v>40</v>
      </c>
      <c r="X110" s="159">
        <f>W110*VLOOKUP(R110&amp;S110,$B$20:$H$32,7,FALSE)</f>
        <v>6200</v>
      </c>
      <c r="Y110" s="159" t="str">
        <f t="shared" si="32"/>
        <v>T4高</v>
      </c>
      <c r="Z110" s="645">
        <f t="shared" si="29"/>
        <v>450</v>
      </c>
      <c r="AA110" s="339">
        <f>Z110*VLOOKUP(R110&amp;S110,$B$20:$K$32,10,FALSE)</f>
        <v>224.1</v>
      </c>
      <c r="AB110" s="645">
        <f t="shared" si="30"/>
        <v>14</v>
      </c>
      <c r="AC110" s="8">
        <v>8.8800000000000004E-2</v>
      </c>
      <c r="AD110" s="645">
        <f>AC110*VLOOKUP(R110&amp;S110,游戏时长规划!$B$66:$D$78,3,FALSE)</f>
        <v>25.210319999999999</v>
      </c>
      <c r="AE110" s="645">
        <f>ROUND(AD110*VLOOKUP(R110&amp;S110,$C$50:$D$62,2,FALSE)/500,0)*500</f>
        <v>830000</v>
      </c>
      <c r="AF110" s="157"/>
      <c r="AG110" s="645" t="str">
        <f>Q110&amp;R110&amp;S110&amp;U110</f>
        <v>9T4高14</v>
      </c>
      <c r="AH110" s="339">
        <f t="shared" si="33"/>
        <v>224.1</v>
      </c>
      <c r="AI110" s="645">
        <f t="shared" si="34"/>
        <v>62000</v>
      </c>
    </row>
    <row r="111" spans="17:35" x14ac:dyDescent="0.35">
      <c r="Q111" s="645">
        <f>IF(T110=U110,Q110+1,Q110)</f>
        <v>9</v>
      </c>
      <c r="R111" s="655" t="str">
        <f t="shared" si="35"/>
        <v>T4</v>
      </c>
      <c r="S111" s="655" t="str">
        <f t="shared" si="35"/>
        <v>高</v>
      </c>
      <c r="T111" s="645">
        <f>VLOOKUP(R111&amp;S111,$B$20:$F$32,5,FALSE)</f>
        <v>17</v>
      </c>
      <c r="U111" s="645">
        <f>IF(R111&amp;S111&lt;&gt;R110&amp;S110,0,IF(U110&lt;T110,U110+1,0))</f>
        <v>15</v>
      </c>
      <c r="V111" s="8">
        <v>0.75600000000000001</v>
      </c>
      <c r="W111" s="645">
        <f>ROUNDUP(IF(U111=0,VLOOKUP(R111&amp;S111,$B$20:$G$32,6,FALSE),VLOOKUP(R111&amp;S111,$B$20:$G$32,6,FALSE)*V111)/5,0)*5</f>
        <v>40</v>
      </c>
      <c r="X111" s="159">
        <f>W111*VLOOKUP(R111&amp;S111,$B$20:$H$32,7,FALSE)</f>
        <v>6200</v>
      </c>
      <c r="Y111" s="159" t="str">
        <f t="shared" si="32"/>
        <v>T4高</v>
      </c>
      <c r="Z111" s="645">
        <f t="shared" si="29"/>
        <v>490</v>
      </c>
      <c r="AA111" s="339">
        <f>Z111*VLOOKUP(R111&amp;S111,$B$20:$K$32,10,FALSE)</f>
        <v>244.02</v>
      </c>
      <c r="AB111" s="645">
        <f t="shared" si="30"/>
        <v>15</v>
      </c>
      <c r="AC111" s="8">
        <v>9.4799999999999995E-2</v>
      </c>
      <c r="AD111" s="645">
        <f>AC111*VLOOKUP(R111&amp;S111,游戏时长规划!$B$66:$D$78,3,FALSE)</f>
        <v>26.913719999999998</v>
      </c>
      <c r="AE111" s="645">
        <f>ROUND(AD111*VLOOKUP(R111&amp;S111,$C$50:$D$62,2,FALSE)/500,0)*500</f>
        <v>886000</v>
      </c>
      <c r="AF111" s="157"/>
      <c r="AG111" s="645" t="str">
        <f>Q111&amp;R111&amp;S111&amp;U111</f>
        <v>9T4高15</v>
      </c>
      <c r="AH111" s="339">
        <f t="shared" si="33"/>
        <v>244.02</v>
      </c>
      <c r="AI111" s="645">
        <f t="shared" si="34"/>
        <v>68200</v>
      </c>
    </row>
    <row r="112" spans="17:35" x14ac:dyDescent="0.35">
      <c r="Q112" s="645">
        <f>IF(T111=U111,Q111+1,Q111)</f>
        <v>9</v>
      </c>
      <c r="R112" s="655" t="str">
        <f t="shared" si="35"/>
        <v>T4</v>
      </c>
      <c r="S112" s="655" t="str">
        <f t="shared" si="35"/>
        <v>高</v>
      </c>
      <c r="T112" s="645">
        <f>VLOOKUP(R112&amp;S112,$B$20:$F$32,5,FALSE)</f>
        <v>17</v>
      </c>
      <c r="U112" s="645">
        <f>IF(R112&amp;S112&lt;&gt;R111&amp;S111,0,IF(U111&lt;T111,U111+1,0))</f>
        <v>16</v>
      </c>
      <c r="V112" s="8">
        <v>0.75600000000000001</v>
      </c>
      <c r="W112" s="645">
        <f>ROUNDUP(IF(U112=0,VLOOKUP(R112&amp;S112,$B$20:$G$32,6,FALSE),VLOOKUP(R112&amp;S112,$B$20:$G$32,6,FALSE)*V112)/5,0)*5</f>
        <v>40</v>
      </c>
      <c r="X112" s="159">
        <f>W112*VLOOKUP(R112&amp;S112,$B$20:$H$32,7,FALSE)</f>
        <v>6200</v>
      </c>
      <c r="Y112" s="159" t="str">
        <f t="shared" si="32"/>
        <v>T4高</v>
      </c>
      <c r="Z112" s="645">
        <f t="shared" si="29"/>
        <v>530</v>
      </c>
      <c r="AA112" s="339">
        <f>Z112*VLOOKUP(R112&amp;S112,$B$20:$K$32,10,FALSE)</f>
        <v>263.94</v>
      </c>
      <c r="AB112" s="645">
        <f t="shared" si="30"/>
        <v>16</v>
      </c>
      <c r="AC112" s="8">
        <v>0.1008</v>
      </c>
      <c r="AD112" s="645">
        <f>AC112*VLOOKUP(R112&amp;S112,游戏时长规划!$B$66:$D$78,3,FALSE)</f>
        <v>28.617119999999996</v>
      </c>
      <c r="AE112" s="645">
        <f>ROUND(AD112*VLOOKUP(R112&amp;S112,$C$50:$D$62,2,FALSE)/500,0)*500</f>
        <v>942000</v>
      </c>
      <c r="AF112" s="157"/>
      <c r="AG112" s="645" t="str">
        <f>Q112&amp;R112&amp;S112&amp;U112</f>
        <v>9T4高16</v>
      </c>
      <c r="AH112" s="339">
        <f t="shared" si="33"/>
        <v>263.94</v>
      </c>
      <c r="AI112" s="645">
        <f t="shared" si="34"/>
        <v>74400</v>
      </c>
    </row>
    <row r="113" spans="17:35" x14ac:dyDescent="0.35">
      <c r="Q113" s="645">
        <f>IF(T112=U112,Q112+1,Q112)</f>
        <v>9</v>
      </c>
      <c r="R113" s="655" t="str">
        <f t="shared" si="35"/>
        <v>T4</v>
      </c>
      <c r="S113" s="655" t="str">
        <f t="shared" si="35"/>
        <v>高</v>
      </c>
      <c r="T113" s="645">
        <f>VLOOKUP(R113&amp;S113,$B$20:$F$32,5,FALSE)</f>
        <v>17</v>
      </c>
      <c r="U113" s="645">
        <f>IF(R113&amp;S113&lt;&gt;R112&amp;S112,0,IF(U112&lt;T112,U112+1,0))</f>
        <v>17</v>
      </c>
      <c r="V113" s="8">
        <v>0.75600000000000001</v>
      </c>
      <c r="W113" s="645">
        <f>ROUNDUP(IF(U113=0,VLOOKUP(R113&amp;S113,$B$20:$G$32,6,FALSE),VLOOKUP(R113&amp;S113,$B$20:$G$32,6,FALSE)*V113)/5,0)*5</f>
        <v>40</v>
      </c>
      <c r="X113" s="159">
        <f>W113*VLOOKUP(R113&amp;S113,$B$20:$H$32,7,FALSE)</f>
        <v>6200</v>
      </c>
      <c r="Y113" s="159" t="str">
        <f t="shared" si="32"/>
        <v>T4高</v>
      </c>
      <c r="Z113" s="645">
        <f t="shared" si="29"/>
        <v>570</v>
      </c>
      <c r="AA113" s="339">
        <f>Z113*VLOOKUP(R113&amp;S113,$B$20:$K$32,10,FALSE)</f>
        <v>283.86</v>
      </c>
      <c r="AB113" s="645">
        <f t="shared" si="30"/>
        <v>17</v>
      </c>
      <c r="AC113" s="8">
        <v>0.10680000000000001</v>
      </c>
      <c r="AD113" s="645">
        <f>AC113*VLOOKUP(R113&amp;S113,游戏时长规划!$B$66:$D$78,3,FALSE)</f>
        <v>30.320519999999998</v>
      </c>
      <c r="AE113" s="645">
        <f>ROUND(AD113*VLOOKUP(R113&amp;S113,$C$50:$D$62,2,FALSE)/500,0)*500</f>
        <v>998000</v>
      </c>
      <c r="AF113" s="157"/>
      <c r="AG113" s="645" t="str">
        <f>Q113&amp;R113&amp;S113&amp;U113</f>
        <v>9T4高17</v>
      </c>
      <c r="AH113" s="339">
        <f t="shared" si="33"/>
        <v>283.86</v>
      </c>
      <c r="AI113" s="645">
        <f t="shared" si="34"/>
        <v>80600</v>
      </c>
    </row>
    <row r="114" spans="17:35" x14ac:dyDescent="0.35">
      <c r="Q114" s="645">
        <f>IF(T113=U113,Q113+1,Q113)</f>
        <v>10</v>
      </c>
      <c r="R114" s="655" t="str">
        <f t="shared" si="35"/>
        <v>T5</v>
      </c>
      <c r="S114" s="655" t="str">
        <f t="shared" si="35"/>
        <v>低</v>
      </c>
      <c r="T114" s="645">
        <f>VLOOKUP(R114&amp;S114,$B$20:$F$32,5,FALSE)</f>
        <v>12</v>
      </c>
      <c r="U114" s="645">
        <f>IF(R114&amp;S114&lt;&gt;R113&amp;S113,0,IF(U113&lt;T113,U113+1,0))</f>
        <v>0</v>
      </c>
      <c r="V114" s="8">
        <v>0</v>
      </c>
      <c r="W114" s="645">
        <f>ROUNDUP(IF(U114=0,VLOOKUP(R114&amp;S114,$B$20:$G$32,6,FALSE),VLOOKUP(R114&amp;S114,$B$20:$G$32,6,FALSE)*V114)/5,0)*5</f>
        <v>80</v>
      </c>
      <c r="X114" s="159">
        <f>W114*VLOOKUP(R114&amp;S114,$B$20:$H$32,7,FALSE)</f>
        <v>13600</v>
      </c>
      <c r="Y114" s="159" t="str">
        <f t="shared" si="32"/>
        <v>T5低</v>
      </c>
      <c r="Z114" s="645">
        <f t="shared" si="29"/>
        <v>80</v>
      </c>
      <c r="AA114" s="339">
        <f>Z114*VLOOKUP(R114&amp;S114,$B$20:$K$32,10,FALSE)</f>
        <v>43.7</v>
      </c>
      <c r="AB114" s="645">
        <f t="shared" si="30"/>
        <v>0</v>
      </c>
      <c r="AC114" s="8">
        <v>0</v>
      </c>
      <c r="AD114" s="645">
        <f>AC114*VLOOKUP(R114&amp;S114,游戏时长规划!$B$66:$D$78,3,FALSE)</f>
        <v>0</v>
      </c>
      <c r="AE114" s="645">
        <f>ROUND(AD114*VLOOKUP(R114&amp;S114,$C$50:$D$62,2,FALSE)/500,0)*500</f>
        <v>0</v>
      </c>
      <c r="AF114" s="157"/>
      <c r="AG114" s="645" t="str">
        <f>Q114&amp;R114&amp;S114&amp;U114</f>
        <v>10T5低0</v>
      </c>
      <c r="AH114" s="339">
        <f t="shared" si="33"/>
        <v>43.7</v>
      </c>
      <c r="AI114" s="645">
        <f t="shared" si="34"/>
        <v>0</v>
      </c>
    </row>
    <row r="115" spans="17:35" x14ac:dyDescent="0.35">
      <c r="Q115" s="645">
        <f>IF(T114=U114,Q114+1,Q114)</f>
        <v>10</v>
      </c>
      <c r="R115" s="655" t="str">
        <f t="shared" si="35"/>
        <v>T5</v>
      </c>
      <c r="S115" s="655" t="str">
        <f t="shared" si="35"/>
        <v>低</v>
      </c>
      <c r="T115" s="645">
        <f>VLOOKUP(R115&amp;S115,$B$20:$F$32,5,FALSE)</f>
        <v>12</v>
      </c>
      <c r="U115" s="645">
        <f>IF(R115&amp;S115&lt;&gt;R114&amp;S114,0,IF(U114&lt;T114,U114+1,0))</f>
        <v>1</v>
      </c>
      <c r="V115" s="8">
        <v>0.215</v>
      </c>
      <c r="W115" s="645">
        <f>ROUNDUP(IF(U115=0,VLOOKUP(R115&amp;S115,$B$20:$G$32,6,FALSE),VLOOKUP(R115&amp;S115,$B$20:$G$32,6,FALSE)*V115)/5,0)*5</f>
        <v>20</v>
      </c>
      <c r="X115" s="159">
        <f>W115*VLOOKUP(R115&amp;S115,$B$20:$H$32,7,FALSE)</f>
        <v>3400</v>
      </c>
      <c r="Y115" s="159" t="str">
        <f t="shared" si="32"/>
        <v>T5低</v>
      </c>
      <c r="Z115" s="645">
        <f t="shared" si="29"/>
        <v>100</v>
      </c>
      <c r="AA115" s="339">
        <f>Z115*VLOOKUP(R115&amp;S115,$B$20:$K$32,10,FALSE)</f>
        <v>54.625</v>
      </c>
      <c r="AB115" s="645">
        <f t="shared" si="30"/>
        <v>1</v>
      </c>
      <c r="AC115" s="8">
        <v>4.4999999999999998E-2</v>
      </c>
      <c r="AD115" s="645">
        <f>AC115*VLOOKUP(R115&amp;S115,游戏时长规划!$B$66:$D$78,3,FALSE)</f>
        <v>9.3419999999999987</v>
      </c>
      <c r="AE115" s="645">
        <f>ROUND(AD115*VLOOKUP(R115&amp;S115,$C$50:$D$62,2,FALSE)/500,0)*500</f>
        <v>324000</v>
      </c>
      <c r="AF115" s="157"/>
      <c r="AG115" s="645" t="str">
        <f>Q115&amp;R115&amp;S115&amp;U115</f>
        <v>10T5低1</v>
      </c>
      <c r="AH115" s="339">
        <f t="shared" si="33"/>
        <v>54.625</v>
      </c>
      <c r="AI115" s="645">
        <f t="shared" si="34"/>
        <v>3400</v>
      </c>
    </row>
    <row r="116" spans="17:35" x14ac:dyDescent="0.35">
      <c r="Q116" s="645">
        <f>IF(T115=U115,Q115+1,Q115)</f>
        <v>10</v>
      </c>
      <c r="R116" s="655" t="str">
        <f t="shared" si="35"/>
        <v>T5</v>
      </c>
      <c r="S116" s="655" t="str">
        <f t="shared" si="35"/>
        <v>低</v>
      </c>
      <c r="T116" s="645">
        <f>VLOOKUP(R116&amp;S116,$B$20:$F$32,5,FALSE)</f>
        <v>12</v>
      </c>
      <c r="U116" s="645">
        <f>IF(R116&amp;S116&lt;&gt;R115&amp;S115,0,IF(U115&lt;T115,U115+1,0))</f>
        <v>2</v>
      </c>
      <c r="V116" s="8">
        <v>0.215</v>
      </c>
      <c r="W116" s="645">
        <f>ROUNDUP(IF(U116=0,VLOOKUP(R116&amp;S116,$B$20:$G$32,6,FALSE),VLOOKUP(R116&amp;S116,$B$20:$G$32,6,FALSE)*V116)/5,0)*5</f>
        <v>20</v>
      </c>
      <c r="X116" s="159">
        <f>W116*VLOOKUP(R116&amp;S116,$B$20:$H$32,7,FALSE)</f>
        <v>3400</v>
      </c>
      <c r="Y116" s="159" t="str">
        <f t="shared" si="32"/>
        <v>T5低</v>
      </c>
      <c r="Z116" s="645">
        <f t="shared" si="29"/>
        <v>120</v>
      </c>
      <c r="AA116" s="339">
        <f>Z116*VLOOKUP(R116&amp;S116,$B$20:$K$32,10,FALSE)</f>
        <v>65.55</v>
      </c>
      <c r="AB116" s="645">
        <f t="shared" si="30"/>
        <v>2</v>
      </c>
      <c r="AC116" s="8">
        <v>5.1999999999999998E-2</v>
      </c>
      <c r="AD116" s="645">
        <f>AC116*VLOOKUP(R116&amp;S116,游戏时长规划!$B$66:$D$78,3,FALSE)</f>
        <v>10.795199999999999</v>
      </c>
      <c r="AE116" s="645">
        <f>ROUND(AD116*VLOOKUP(R116&amp;S116,$C$50:$D$62,2,FALSE)/500,0)*500</f>
        <v>374500</v>
      </c>
      <c r="AF116" s="157"/>
      <c r="AG116" s="645" t="str">
        <f>Q116&amp;R116&amp;S116&amp;U116</f>
        <v>10T5低2</v>
      </c>
      <c r="AH116" s="339">
        <f t="shared" si="33"/>
        <v>65.55</v>
      </c>
      <c r="AI116" s="645">
        <f t="shared" si="34"/>
        <v>6800</v>
      </c>
    </row>
    <row r="117" spans="17:35" x14ac:dyDescent="0.35">
      <c r="Q117" s="645">
        <f>IF(T116=U116,Q116+1,Q116)</f>
        <v>10</v>
      </c>
      <c r="R117" s="655" t="str">
        <f t="shared" si="35"/>
        <v>T5</v>
      </c>
      <c r="S117" s="655" t="str">
        <f t="shared" si="35"/>
        <v>低</v>
      </c>
      <c r="T117" s="645">
        <f>VLOOKUP(R117&amp;S117,$B$20:$F$32,5,FALSE)</f>
        <v>12</v>
      </c>
      <c r="U117" s="645">
        <f>IF(R117&amp;S117&lt;&gt;R116&amp;S116,0,IF(U116&lt;T116,U116+1,0))</f>
        <v>3</v>
      </c>
      <c r="V117" s="8">
        <v>0.215</v>
      </c>
      <c r="W117" s="645">
        <f>ROUNDUP(IF(U117=0,VLOOKUP(R117&amp;S117,$B$20:$G$32,6,FALSE),VLOOKUP(R117&amp;S117,$B$20:$G$32,6,FALSE)*V117)/5,0)*5</f>
        <v>20</v>
      </c>
      <c r="X117" s="159">
        <f>W117*VLOOKUP(R117&amp;S117,$B$20:$H$32,7,FALSE)</f>
        <v>3400</v>
      </c>
      <c r="Y117" s="159" t="str">
        <f t="shared" si="32"/>
        <v>T5低</v>
      </c>
      <c r="Z117" s="645">
        <f t="shared" si="29"/>
        <v>140</v>
      </c>
      <c r="AA117" s="339">
        <f>Z117*VLOOKUP(R117&amp;S117,$B$20:$K$32,10,FALSE)</f>
        <v>76.475000000000009</v>
      </c>
      <c r="AB117" s="645">
        <f t="shared" si="30"/>
        <v>3</v>
      </c>
      <c r="AC117" s="8">
        <v>5.8999999999999997E-2</v>
      </c>
      <c r="AD117" s="645">
        <f>AC117*VLOOKUP(R117&amp;S117,游戏时长规划!$B$66:$D$78,3,FALSE)</f>
        <v>12.248399999999998</v>
      </c>
      <c r="AE117" s="645">
        <f>ROUND(AD117*VLOOKUP(R117&amp;S117,$C$50:$D$62,2,FALSE)/500,0)*500</f>
        <v>424500</v>
      </c>
      <c r="AF117" s="157"/>
      <c r="AG117" s="645" t="str">
        <f>Q117&amp;R117&amp;S117&amp;U117</f>
        <v>10T5低3</v>
      </c>
      <c r="AH117" s="339">
        <f t="shared" si="33"/>
        <v>76.475000000000009</v>
      </c>
      <c r="AI117" s="645">
        <f t="shared" si="34"/>
        <v>10200</v>
      </c>
    </row>
    <row r="118" spans="17:35" x14ac:dyDescent="0.35">
      <c r="Q118" s="645">
        <f>IF(T117=U117,Q117+1,Q117)</f>
        <v>10</v>
      </c>
      <c r="R118" s="655" t="str">
        <f t="shared" si="35"/>
        <v>T5</v>
      </c>
      <c r="S118" s="655" t="str">
        <f t="shared" si="35"/>
        <v>低</v>
      </c>
      <c r="T118" s="645">
        <f>VLOOKUP(R118&amp;S118,$B$20:$F$32,5,FALSE)</f>
        <v>12</v>
      </c>
      <c r="U118" s="645">
        <f>IF(R118&amp;S118&lt;&gt;R117&amp;S117,0,IF(U117&lt;T117,U117+1,0))</f>
        <v>4</v>
      </c>
      <c r="V118" s="8">
        <v>0.215</v>
      </c>
      <c r="W118" s="645">
        <f>ROUNDUP(IF(U118=0,VLOOKUP(R118&amp;S118,$B$20:$G$32,6,FALSE),VLOOKUP(R118&amp;S118,$B$20:$G$32,6,FALSE)*V118)/5,0)*5</f>
        <v>20</v>
      </c>
      <c r="X118" s="159">
        <f>W118*VLOOKUP(R118&amp;S118,$B$20:$H$32,7,FALSE)</f>
        <v>3400</v>
      </c>
      <c r="Y118" s="159" t="str">
        <f t="shared" si="32"/>
        <v>T5低</v>
      </c>
      <c r="Z118" s="645">
        <f t="shared" si="29"/>
        <v>160</v>
      </c>
      <c r="AA118" s="339">
        <f>Z118*VLOOKUP(R118&amp;S118,$B$20:$K$32,10,FALSE)</f>
        <v>87.4</v>
      </c>
      <c r="AB118" s="645">
        <f t="shared" si="30"/>
        <v>4</v>
      </c>
      <c r="AC118" s="8">
        <v>6.6000000000000003E-2</v>
      </c>
      <c r="AD118" s="645">
        <f>AC118*VLOOKUP(R118&amp;S118,游戏时长规划!$B$66:$D$78,3,FALSE)</f>
        <v>13.701600000000001</v>
      </c>
      <c r="AE118" s="645">
        <f>ROUND(AD118*VLOOKUP(R118&amp;S118,$C$50:$D$62,2,FALSE)/500,0)*500</f>
        <v>475000</v>
      </c>
      <c r="AF118" s="157"/>
      <c r="AG118" s="645" t="str">
        <f>Q118&amp;R118&amp;S118&amp;U118</f>
        <v>10T5低4</v>
      </c>
      <c r="AH118" s="339">
        <f t="shared" si="33"/>
        <v>87.4</v>
      </c>
      <c r="AI118" s="645">
        <f t="shared" si="34"/>
        <v>13600</v>
      </c>
    </row>
    <row r="119" spans="17:35" x14ac:dyDescent="0.35">
      <c r="Q119" s="645">
        <f>IF(T118=U118,Q118+1,Q118)</f>
        <v>10</v>
      </c>
      <c r="R119" s="655" t="str">
        <f t="shared" si="35"/>
        <v>T5</v>
      </c>
      <c r="S119" s="655" t="str">
        <f t="shared" si="35"/>
        <v>低</v>
      </c>
      <c r="T119" s="645">
        <f>VLOOKUP(R119&amp;S119,$B$20:$F$32,5,FALSE)</f>
        <v>12</v>
      </c>
      <c r="U119" s="645">
        <f>IF(R119&amp;S119&lt;&gt;R118&amp;S118,0,IF(U118&lt;T118,U118+1,0))</f>
        <v>5</v>
      </c>
      <c r="V119" s="8">
        <v>0.215</v>
      </c>
      <c r="W119" s="645">
        <f>ROUNDUP(IF(U119=0,VLOOKUP(R119&amp;S119,$B$20:$G$32,6,FALSE),VLOOKUP(R119&amp;S119,$B$20:$G$32,6,FALSE)*V119)/5,0)*5</f>
        <v>20</v>
      </c>
      <c r="X119" s="159">
        <f>W119*VLOOKUP(R119&amp;S119,$B$20:$H$32,7,FALSE)</f>
        <v>3400</v>
      </c>
      <c r="Y119" s="159" t="str">
        <f t="shared" si="32"/>
        <v>T5低</v>
      </c>
      <c r="Z119" s="645">
        <f t="shared" si="29"/>
        <v>180</v>
      </c>
      <c r="AA119" s="339">
        <f>Z119*VLOOKUP(R119&amp;S119,$B$20:$K$32,10,FALSE)</f>
        <v>98.325000000000003</v>
      </c>
      <c r="AB119" s="645">
        <f t="shared" si="30"/>
        <v>5</v>
      </c>
      <c r="AC119" s="8">
        <v>7.2999999999999995E-2</v>
      </c>
      <c r="AD119" s="645">
        <f>AC119*VLOOKUP(R119&amp;S119,游戏时长规划!$B$66:$D$78,3,FALSE)</f>
        <v>15.154799999999998</v>
      </c>
      <c r="AE119" s="645">
        <f>ROUND(AD119*VLOOKUP(R119&amp;S119,$C$50:$D$62,2,FALSE)/500,0)*500</f>
        <v>525500</v>
      </c>
      <c r="AF119" s="157"/>
      <c r="AG119" s="645" t="str">
        <f>Q119&amp;R119&amp;S119&amp;U119</f>
        <v>10T5低5</v>
      </c>
      <c r="AH119" s="339">
        <f t="shared" si="33"/>
        <v>98.325000000000003</v>
      </c>
      <c r="AI119" s="645">
        <f t="shared" si="34"/>
        <v>17000</v>
      </c>
    </row>
    <row r="120" spans="17:35" x14ac:dyDescent="0.35">
      <c r="Q120" s="645">
        <f>IF(T119=U119,Q119+1,Q119)</f>
        <v>10</v>
      </c>
      <c r="R120" s="655" t="str">
        <f t="shared" si="35"/>
        <v>T5</v>
      </c>
      <c r="S120" s="655" t="str">
        <f t="shared" si="35"/>
        <v>低</v>
      </c>
      <c r="T120" s="645">
        <f>VLOOKUP(R120&amp;S120,$B$20:$F$32,5,FALSE)</f>
        <v>12</v>
      </c>
      <c r="U120" s="645">
        <f>IF(R120&amp;S120&lt;&gt;R119&amp;S119,0,IF(U119&lt;T119,U119+1,0))</f>
        <v>6</v>
      </c>
      <c r="V120" s="8">
        <v>0.215</v>
      </c>
      <c r="W120" s="645">
        <f>ROUNDUP(IF(U120=0,VLOOKUP(R120&amp;S120,$B$20:$G$32,6,FALSE),VLOOKUP(R120&amp;S120,$B$20:$G$32,6,FALSE)*V120)/5,0)*5</f>
        <v>20</v>
      </c>
      <c r="X120" s="159">
        <f>W120*VLOOKUP(R120&amp;S120,$B$20:$H$32,7,FALSE)</f>
        <v>3400</v>
      </c>
      <c r="Y120" s="159" t="str">
        <f t="shared" si="32"/>
        <v>T5低</v>
      </c>
      <c r="Z120" s="645">
        <f t="shared" si="29"/>
        <v>200</v>
      </c>
      <c r="AA120" s="339">
        <f>Z120*VLOOKUP(R120&amp;S120,$B$20:$K$32,10,FALSE)</f>
        <v>109.25</v>
      </c>
      <c r="AB120" s="645">
        <f t="shared" si="30"/>
        <v>6</v>
      </c>
      <c r="AC120" s="8">
        <v>0.08</v>
      </c>
      <c r="AD120" s="645">
        <f>AC120*VLOOKUP(R120&amp;S120,游戏时长规划!$B$66:$D$78,3,FALSE)</f>
        <v>16.608000000000001</v>
      </c>
      <c r="AE120" s="645">
        <f>ROUND(AD120*VLOOKUP(R120&amp;S120,$C$50:$D$62,2,FALSE)/500,0)*500</f>
        <v>576000</v>
      </c>
      <c r="AF120" s="157"/>
      <c r="AG120" s="645" t="str">
        <f>Q120&amp;R120&amp;S120&amp;U120</f>
        <v>10T5低6</v>
      </c>
      <c r="AH120" s="339">
        <f t="shared" si="33"/>
        <v>109.25</v>
      </c>
      <c r="AI120" s="645">
        <f t="shared" si="34"/>
        <v>20400</v>
      </c>
    </row>
    <row r="121" spans="17:35" x14ac:dyDescent="0.35">
      <c r="Q121" s="645">
        <f>IF(T120=U120,Q120+1,Q120)</f>
        <v>10</v>
      </c>
      <c r="R121" s="655" t="str">
        <f t="shared" si="35"/>
        <v>T5</v>
      </c>
      <c r="S121" s="655" t="str">
        <f t="shared" si="35"/>
        <v>低</v>
      </c>
      <c r="T121" s="645">
        <f>VLOOKUP(R121&amp;S121,$B$20:$F$32,5,FALSE)</f>
        <v>12</v>
      </c>
      <c r="U121" s="645">
        <f>IF(R121&amp;S121&lt;&gt;R120&amp;S120,0,IF(U120&lt;T120,U120+1,0))</f>
        <v>7</v>
      </c>
      <c r="V121" s="8">
        <v>0.32300000000000001</v>
      </c>
      <c r="W121" s="645">
        <f>ROUNDUP(IF(U121=0,VLOOKUP(R121&amp;S121,$B$20:$G$32,6,FALSE),VLOOKUP(R121&amp;S121,$B$20:$G$32,6,FALSE)*V121)/5,0)*5</f>
        <v>30</v>
      </c>
      <c r="X121" s="159">
        <f>W121*VLOOKUP(R121&amp;S121,$B$20:$H$32,7,FALSE)</f>
        <v>5100</v>
      </c>
      <c r="Y121" s="159" t="str">
        <f t="shared" si="32"/>
        <v>T5低</v>
      </c>
      <c r="Z121" s="645">
        <f t="shared" si="29"/>
        <v>230</v>
      </c>
      <c r="AA121" s="339">
        <f>Z121*VLOOKUP(R121&amp;S121,$B$20:$K$32,10,FALSE)</f>
        <v>125.6375</v>
      </c>
      <c r="AB121" s="645">
        <f t="shared" si="30"/>
        <v>7</v>
      </c>
      <c r="AC121" s="8">
        <v>8.6999999999999994E-2</v>
      </c>
      <c r="AD121" s="645">
        <f>AC121*VLOOKUP(R121&amp;S121,游戏时长规划!$B$66:$D$78,3,FALSE)</f>
        <v>18.061199999999999</v>
      </c>
      <c r="AE121" s="645">
        <f>ROUND(AD121*VLOOKUP(R121&amp;S121,$C$50:$D$62,2,FALSE)/500,0)*500</f>
        <v>626500</v>
      </c>
      <c r="AF121" s="157"/>
      <c r="AG121" s="645" t="str">
        <f>Q121&amp;R121&amp;S121&amp;U121</f>
        <v>10T5低7</v>
      </c>
      <c r="AH121" s="339">
        <f t="shared" si="33"/>
        <v>125.6375</v>
      </c>
      <c r="AI121" s="645">
        <f t="shared" si="34"/>
        <v>25500</v>
      </c>
    </row>
    <row r="122" spans="17:35" x14ac:dyDescent="0.35">
      <c r="Q122" s="645">
        <f>IF(T121=U121,Q121+1,Q121)</f>
        <v>10</v>
      </c>
      <c r="R122" s="655" t="str">
        <f t="shared" si="35"/>
        <v>T5</v>
      </c>
      <c r="S122" s="655" t="str">
        <f t="shared" si="35"/>
        <v>低</v>
      </c>
      <c r="T122" s="645">
        <f>VLOOKUP(R122&amp;S122,$B$20:$F$32,5,FALSE)</f>
        <v>12</v>
      </c>
      <c r="U122" s="645">
        <f>IF(R122&amp;S122&lt;&gt;R121&amp;S121,0,IF(U121&lt;T121,U121+1,0))</f>
        <v>8</v>
      </c>
      <c r="V122" s="8">
        <v>0.32300000000000001</v>
      </c>
      <c r="W122" s="645">
        <f>ROUNDUP(IF(U122=0,VLOOKUP(R122&amp;S122,$B$20:$G$32,6,FALSE),VLOOKUP(R122&amp;S122,$B$20:$G$32,6,FALSE)*V122)/5,0)*5</f>
        <v>30</v>
      </c>
      <c r="X122" s="159">
        <f>W122*VLOOKUP(R122&amp;S122,$B$20:$H$32,7,FALSE)</f>
        <v>5100</v>
      </c>
      <c r="Y122" s="159" t="str">
        <f t="shared" si="32"/>
        <v>T5低</v>
      </c>
      <c r="Z122" s="645">
        <f t="shared" si="29"/>
        <v>260</v>
      </c>
      <c r="AA122" s="339">
        <f>Z122*VLOOKUP(R122&amp;S122,$B$20:$K$32,10,FALSE)</f>
        <v>142.02500000000001</v>
      </c>
      <c r="AB122" s="645">
        <f t="shared" si="30"/>
        <v>8</v>
      </c>
      <c r="AC122" s="8">
        <v>9.4E-2</v>
      </c>
      <c r="AD122" s="645">
        <f>AC122*VLOOKUP(R122&amp;S122,游戏时长规划!$B$66:$D$78,3,FALSE)</f>
        <v>19.514399999999998</v>
      </c>
      <c r="AE122" s="645">
        <f>ROUND(AD122*VLOOKUP(R122&amp;S122,$C$50:$D$62,2,FALSE)/500,0)*500</f>
        <v>676500</v>
      </c>
      <c r="AF122" s="157"/>
      <c r="AG122" s="645" t="str">
        <f>Q122&amp;R122&amp;S122&amp;U122</f>
        <v>10T5低8</v>
      </c>
      <c r="AH122" s="339">
        <f t="shared" si="33"/>
        <v>142.02500000000001</v>
      </c>
      <c r="AI122" s="645">
        <f t="shared" si="34"/>
        <v>30600</v>
      </c>
    </row>
    <row r="123" spans="17:35" x14ac:dyDescent="0.35">
      <c r="Q123" s="645">
        <f>IF(T122=U122,Q122+1,Q122)</f>
        <v>10</v>
      </c>
      <c r="R123" s="655" t="str">
        <f t="shared" si="35"/>
        <v>T5</v>
      </c>
      <c r="S123" s="655" t="str">
        <f t="shared" si="35"/>
        <v>低</v>
      </c>
      <c r="T123" s="645">
        <f>VLOOKUP(R123&amp;S123,$B$20:$F$32,5,FALSE)</f>
        <v>12</v>
      </c>
      <c r="U123" s="645">
        <f>IF(R123&amp;S123&lt;&gt;R122&amp;S122,0,IF(U122&lt;T122,U122+1,0))</f>
        <v>9</v>
      </c>
      <c r="V123" s="8">
        <v>0.32300000000000001</v>
      </c>
      <c r="W123" s="645">
        <f>ROUNDUP(IF(U123=0,VLOOKUP(R123&amp;S123,$B$20:$G$32,6,FALSE),VLOOKUP(R123&amp;S123,$B$20:$G$32,6,FALSE)*V123)/5,0)*5</f>
        <v>30</v>
      </c>
      <c r="X123" s="159">
        <f>W123*VLOOKUP(R123&amp;S123,$B$20:$H$32,7,FALSE)</f>
        <v>5100</v>
      </c>
      <c r="Y123" s="159" t="str">
        <f t="shared" si="32"/>
        <v>T5低</v>
      </c>
      <c r="Z123" s="645">
        <f t="shared" si="29"/>
        <v>290</v>
      </c>
      <c r="AA123" s="339">
        <f>Z123*VLOOKUP(R123&amp;S123,$B$20:$K$32,10,FALSE)</f>
        <v>158.41249999999999</v>
      </c>
      <c r="AB123" s="645">
        <f t="shared" si="30"/>
        <v>9</v>
      </c>
      <c r="AC123" s="8">
        <v>0.10100000000000001</v>
      </c>
      <c r="AD123" s="645">
        <f>AC123*VLOOKUP(R123&amp;S123,游戏时长规划!$B$66:$D$78,3,FALSE)</f>
        <v>20.967600000000001</v>
      </c>
      <c r="AE123" s="645">
        <f>ROUND(AD123*VLOOKUP(R123&amp;S123,$C$50:$D$62,2,FALSE)/500,0)*500</f>
        <v>727000</v>
      </c>
      <c r="AF123" s="157"/>
      <c r="AG123" s="645" t="str">
        <f>Q123&amp;R123&amp;S123&amp;U123</f>
        <v>10T5低9</v>
      </c>
      <c r="AH123" s="339">
        <f t="shared" si="33"/>
        <v>158.41249999999999</v>
      </c>
      <c r="AI123" s="645">
        <f t="shared" si="34"/>
        <v>35700</v>
      </c>
    </row>
    <row r="124" spans="17:35" x14ac:dyDescent="0.35">
      <c r="Q124" s="645">
        <f>IF(T123=U123,Q123+1,Q123)</f>
        <v>10</v>
      </c>
      <c r="R124" s="655" t="str">
        <f t="shared" ref="R124:S143" si="36">VLOOKUP($Q124,$C$20:$I$32,MATCH(R$3,$C$20:$I$20,0),FALSE)</f>
        <v>T5</v>
      </c>
      <c r="S124" s="655" t="str">
        <f t="shared" si="36"/>
        <v>低</v>
      </c>
      <c r="T124" s="645">
        <f>VLOOKUP(R124&amp;S124,$B$20:$F$32,5,FALSE)</f>
        <v>12</v>
      </c>
      <c r="U124" s="645">
        <f>IF(R124&amp;S124&lt;&gt;R123&amp;S123,0,IF(U123&lt;T123,U123+1,0))</f>
        <v>10</v>
      </c>
      <c r="V124" s="8">
        <v>0.32300000000000001</v>
      </c>
      <c r="W124" s="645">
        <f>ROUNDUP(IF(U124=0,VLOOKUP(R124&amp;S124,$B$20:$G$32,6,FALSE),VLOOKUP(R124&amp;S124,$B$20:$G$32,6,FALSE)*V124)/5,0)*5</f>
        <v>30</v>
      </c>
      <c r="X124" s="159">
        <f>W124*VLOOKUP(R124&amp;S124,$B$20:$H$32,7,FALSE)</f>
        <v>5100</v>
      </c>
      <c r="Y124" s="159" t="str">
        <f t="shared" si="32"/>
        <v>T5低</v>
      </c>
      <c r="Z124" s="645">
        <f t="shared" si="29"/>
        <v>320</v>
      </c>
      <c r="AA124" s="339">
        <f>Z124*VLOOKUP(R124&amp;S124,$B$20:$K$32,10,FALSE)</f>
        <v>174.8</v>
      </c>
      <c r="AB124" s="645">
        <f t="shared" si="30"/>
        <v>10</v>
      </c>
      <c r="AC124" s="8">
        <v>0.108</v>
      </c>
      <c r="AD124" s="645">
        <f>AC124*VLOOKUP(R124&amp;S124,游戏时长规划!$B$66:$D$78,3,FALSE)</f>
        <v>22.4208</v>
      </c>
      <c r="AE124" s="645">
        <f>ROUND(AD124*VLOOKUP(R124&amp;S124,$C$50:$D$62,2,FALSE)/500,0)*500</f>
        <v>777500</v>
      </c>
      <c r="AF124" s="157"/>
      <c r="AG124" s="645" t="str">
        <f>Q124&amp;R124&amp;S124&amp;U124</f>
        <v>10T5低10</v>
      </c>
      <c r="AH124" s="339">
        <f t="shared" si="33"/>
        <v>174.8</v>
      </c>
      <c r="AI124" s="645">
        <f t="shared" si="34"/>
        <v>40800</v>
      </c>
    </row>
    <row r="125" spans="17:35" x14ac:dyDescent="0.35">
      <c r="Q125" s="645">
        <f>IF(T124=U124,Q124+1,Q124)</f>
        <v>10</v>
      </c>
      <c r="R125" s="655" t="str">
        <f t="shared" si="36"/>
        <v>T5</v>
      </c>
      <c r="S125" s="655" t="str">
        <f t="shared" si="36"/>
        <v>低</v>
      </c>
      <c r="T125" s="645">
        <f>VLOOKUP(R125&amp;S125,$B$20:$F$32,5,FALSE)</f>
        <v>12</v>
      </c>
      <c r="U125" s="645">
        <f>IF(R125&amp;S125&lt;&gt;R124&amp;S124,0,IF(U124&lt;T124,U124+1,0))</f>
        <v>11</v>
      </c>
      <c r="V125" s="8">
        <v>0.32300000000000001</v>
      </c>
      <c r="W125" s="645">
        <f>ROUNDUP(IF(U125=0,VLOOKUP(R125&amp;S125,$B$20:$G$32,6,FALSE),VLOOKUP(R125&amp;S125,$B$20:$G$32,6,FALSE)*V125)/5,0)*5</f>
        <v>30</v>
      </c>
      <c r="X125" s="159">
        <f>W125*VLOOKUP(R125&amp;S125,$B$20:$H$32,7,FALSE)</f>
        <v>5100</v>
      </c>
      <c r="Y125" s="159" t="str">
        <f t="shared" si="32"/>
        <v>T5低</v>
      </c>
      <c r="Z125" s="645">
        <f t="shared" ref="Z125:Z168" si="37">IF(Y125&lt;&gt;Y124,W125,W125+Z124)</f>
        <v>350</v>
      </c>
      <c r="AA125" s="339">
        <f>Z125*VLOOKUP(R125&amp;S125,$B$20:$K$32,10,FALSE)</f>
        <v>191.1875</v>
      </c>
      <c r="AB125" s="645">
        <f t="shared" ref="AB125:AB168" si="38">U125</f>
        <v>11</v>
      </c>
      <c r="AC125" s="8">
        <v>0.115</v>
      </c>
      <c r="AD125" s="645">
        <f>AC125*VLOOKUP(R125&amp;S125,游戏时长规划!$B$66:$D$78,3,FALSE)</f>
        <v>23.873999999999999</v>
      </c>
      <c r="AE125" s="645">
        <f>ROUND(AD125*VLOOKUP(R125&amp;S125,$C$50:$D$62,2,FALSE)/500,0)*500</f>
        <v>828000</v>
      </c>
      <c r="AF125" s="157"/>
      <c r="AG125" s="645" t="str">
        <f>Q125&amp;R125&amp;S125&amp;U125</f>
        <v>10T5低11</v>
      </c>
      <c r="AH125" s="339">
        <f t="shared" si="33"/>
        <v>191.1875</v>
      </c>
      <c r="AI125" s="645">
        <f t="shared" si="34"/>
        <v>45900</v>
      </c>
    </row>
    <row r="126" spans="17:35" x14ac:dyDescent="0.35">
      <c r="Q126" s="645">
        <f>IF(T125=U125,Q125+1,Q125)</f>
        <v>10</v>
      </c>
      <c r="R126" s="655" t="str">
        <f t="shared" si="36"/>
        <v>T5</v>
      </c>
      <c r="S126" s="655" t="str">
        <f t="shared" si="36"/>
        <v>低</v>
      </c>
      <c r="T126" s="645">
        <f>VLOOKUP(R126&amp;S126,$B$20:$F$32,5,FALSE)</f>
        <v>12</v>
      </c>
      <c r="U126" s="645">
        <f>IF(R126&amp;S126&lt;&gt;R125&amp;S125,0,IF(U125&lt;T125,U125+1,0))</f>
        <v>12</v>
      </c>
      <c r="V126" s="8">
        <v>0.32300000000000001</v>
      </c>
      <c r="W126" s="645">
        <f>ROUNDUP(IF(U126=0,VLOOKUP(R126&amp;S126,$B$20:$G$32,6,FALSE),VLOOKUP(R126&amp;S126,$B$20:$G$32,6,FALSE)*V126)/5,0)*5</f>
        <v>30</v>
      </c>
      <c r="X126" s="159">
        <f>W126*VLOOKUP(R126&amp;S126,$B$20:$H$32,7,FALSE)</f>
        <v>5100</v>
      </c>
      <c r="Y126" s="159" t="str">
        <f t="shared" si="32"/>
        <v>T5低</v>
      </c>
      <c r="Z126" s="645">
        <f t="shared" si="37"/>
        <v>380</v>
      </c>
      <c r="AA126" s="339">
        <f>Z126*VLOOKUP(R126&amp;S126,$B$20:$K$32,10,FALSE)</f>
        <v>207.57500000000002</v>
      </c>
      <c r="AB126" s="645">
        <f t="shared" si="38"/>
        <v>12</v>
      </c>
      <c r="AC126" s="8">
        <v>0.122</v>
      </c>
      <c r="AD126" s="645">
        <f>AC126*VLOOKUP(R126&amp;S126,游戏时长规划!$B$66:$D$78,3,FALSE)</f>
        <v>25.327199999999998</v>
      </c>
      <c r="AE126" s="645">
        <f>ROUND(AD126*VLOOKUP(R126&amp;S126,$C$50:$D$62,2,FALSE)/500,0)*500</f>
        <v>878500</v>
      </c>
      <c r="AF126" s="157"/>
      <c r="AG126" s="645" t="str">
        <f>Q126&amp;R126&amp;S126&amp;U126</f>
        <v>10T5低12</v>
      </c>
      <c r="AH126" s="339">
        <f t="shared" si="33"/>
        <v>207.57500000000002</v>
      </c>
      <c r="AI126" s="645">
        <f t="shared" si="34"/>
        <v>51000</v>
      </c>
    </row>
    <row r="127" spans="17:35" x14ac:dyDescent="0.35">
      <c r="Q127" s="645">
        <f>IF(T126=U126,Q126+1,Q126)</f>
        <v>11</v>
      </c>
      <c r="R127" s="655" t="str">
        <f t="shared" si="36"/>
        <v>T5</v>
      </c>
      <c r="S127" s="655" t="str">
        <f t="shared" si="36"/>
        <v>中</v>
      </c>
      <c r="T127" s="645">
        <f>VLOOKUP(R127&amp;S127,$B$20:$F$32,5,FALSE)</f>
        <v>20</v>
      </c>
      <c r="U127" s="645">
        <f>IF(R127&amp;S127&lt;&gt;R126&amp;S126,0,IF(U126&lt;T126,U126+1,0))</f>
        <v>0</v>
      </c>
      <c r="V127" s="8">
        <v>0</v>
      </c>
      <c r="W127" s="645">
        <f>ROUNDUP(IF(U127=0,VLOOKUP(R127&amp;S127,$B$20:$G$32,6,FALSE),VLOOKUP(R127&amp;S127,$B$20:$G$32,6,FALSE)*V127)/5,0)*5</f>
        <v>80</v>
      </c>
      <c r="X127" s="159">
        <f>W127*VLOOKUP(R127&amp;S127,$B$20:$H$32,7,FALSE)</f>
        <v>16000</v>
      </c>
      <c r="Y127" s="159" t="str">
        <f t="shared" si="32"/>
        <v>T5中</v>
      </c>
      <c r="Z127" s="645">
        <f t="shared" si="37"/>
        <v>80</v>
      </c>
      <c r="AA127" s="339">
        <f>Z127*VLOOKUP(R127&amp;S127,$B$20:$K$32,10,FALSE)</f>
        <v>51.4</v>
      </c>
      <c r="AB127" s="645">
        <f t="shared" si="38"/>
        <v>0</v>
      </c>
      <c r="AC127" s="8">
        <v>0</v>
      </c>
      <c r="AD127" s="645">
        <f>AC127*VLOOKUP(R127&amp;S127,游戏时长规划!$B$66:$D$78,3,FALSE)</f>
        <v>0</v>
      </c>
      <c r="AE127" s="645">
        <f>ROUND(AD127*VLOOKUP(R127&amp;S127,$C$50:$D$62,2,FALSE)/500,0)*500</f>
        <v>0</v>
      </c>
      <c r="AF127" s="157"/>
      <c r="AG127" s="645" t="str">
        <f>Q127&amp;R127&amp;S127&amp;U127</f>
        <v>11T5中0</v>
      </c>
      <c r="AH127" s="339">
        <f t="shared" si="33"/>
        <v>51.4</v>
      </c>
      <c r="AI127" s="645">
        <f t="shared" si="34"/>
        <v>0</v>
      </c>
    </row>
    <row r="128" spans="17:35" x14ac:dyDescent="0.35">
      <c r="Q128" s="645">
        <f>IF(T127=U127,Q127+1,Q127)</f>
        <v>11</v>
      </c>
      <c r="R128" s="655" t="str">
        <f t="shared" si="36"/>
        <v>T5</v>
      </c>
      <c r="S128" s="655" t="str">
        <f t="shared" si="36"/>
        <v>中</v>
      </c>
      <c r="T128" s="645">
        <f>VLOOKUP(R128&amp;S128,$B$20:$F$32,5,FALSE)</f>
        <v>20</v>
      </c>
      <c r="U128" s="645">
        <f>IF(R128&amp;S128&lt;&gt;R127&amp;S127,0,IF(U127&lt;T127,U127+1,0))</f>
        <v>1</v>
      </c>
      <c r="V128" s="8">
        <v>0.251</v>
      </c>
      <c r="W128" s="645">
        <f>ROUNDUP(IF(U128=0,VLOOKUP(R128&amp;S128,$B$20:$G$32,6,FALSE),VLOOKUP(R128&amp;S128,$B$20:$G$32,6,FALSE)*V128)/5,0)*5</f>
        <v>25</v>
      </c>
      <c r="X128" s="159">
        <f>W128*VLOOKUP(R128&amp;S128,$B$20:$H$32,7,FALSE)</f>
        <v>5000</v>
      </c>
      <c r="Y128" s="159" t="str">
        <f t="shared" si="32"/>
        <v>T5中</v>
      </c>
      <c r="Z128" s="645">
        <f t="shared" si="37"/>
        <v>105</v>
      </c>
      <c r="AA128" s="339">
        <f>Z128*VLOOKUP(R128&amp;S128,$B$20:$K$32,10,FALSE)</f>
        <v>67.462499999999991</v>
      </c>
      <c r="AB128" s="645">
        <f t="shared" si="38"/>
        <v>1</v>
      </c>
      <c r="AC128" s="8">
        <v>1.2E-2</v>
      </c>
      <c r="AD128" s="645">
        <f>AC128*VLOOKUP(R128&amp;S128,游戏时长规划!$B$66:$D$78,3,FALSE)</f>
        <v>5.5512000000000006</v>
      </c>
      <c r="AE128" s="645">
        <f>ROUND(AD128*VLOOKUP(R128&amp;S128,$C$50:$D$62,2,FALSE)/500,0)*500</f>
        <v>202000</v>
      </c>
      <c r="AF128" s="157"/>
      <c r="AG128" s="645" t="str">
        <f>Q128&amp;R128&amp;S128&amp;U128</f>
        <v>11T5中1</v>
      </c>
      <c r="AH128" s="339">
        <f t="shared" si="33"/>
        <v>67.462499999999991</v>
      </c>
      <c r="AI128" s="645">
        <f t="shared" si="34"/>
        <v>5000</v>
      </c>
    </row>
    <row r="129" spans="17:35" x14ac:dyDescent="0.35">
      <c r="Q129" s="645">
        <f>IF(T128=U128,Q128+1,Q128)</f>
        <v>11</v>
      </c>
      <c r="R129" s="655" t="str">
        <f t="shared" si="36"/>
        <v>T5</v>
      </c>
      <c r="S129" s="655" t="str">
        <f t="shared" si="36"/>
        <v>中</v>
      </c>
      <c r="T129" s="645">
        <f>VLOOKUP(R129&amp;S129,$B$20:$F$32,5,FALSE)</f>
        <v>20</v>
      </c>
      <c r="U129" s="645">
        <f>IF(R129&amp;S129&lt;&gt;R128&amp;S128,0,IF(U128&lt;T128,U128+1,0))</f>
        <v>2</v>
      </c>
      <c r="V129" s="8">
        <v>0.251</v>
      </c>
      <c r="W129" s="645">
        <f>ROUNDUP(IF(U129=0,VLOOKUP(R129&amp;S129,$B$20:$G$32,6,FALSE),VLOOKUP(R129&amp;S129,$B$20:$G$32,6,FALSE)*V129)/5,0)*5</f>
        <v>25</v>
      </c>
      <c r="X129" s="159">
        <f>W129*VLOOKUP(R129&amp;S129,$B$20:$H$32,7,FALSE)</f>
        <v>5000</v>
      </c>
      <c r="Y129" s="159" t="str">
        <f t="shared" si="32"/>
        <v>T5中</v>
      </c>
      <c r="Z129" s="645">
        <f t="shared" si="37"/>
        <v>130</v>
      </c>
      <c r="AA129" s="339">
        <f>Z129*VLOOKUP(R129&amp;S129,$B$20:$K$32,10,FALSE)</f>
        <v>83.524999999999991</v>
      </c>
      <c r="AB129" s="645">
        <f t="shared" si="38"/>
        <v>2</v>
      </c>
      <c r="AC129" s="8">
        <v>1.6E-2</v>
      </c>
      <c r="AD129" s="645">
        <f>AC129*VLOOKUP(R129&amp;S129,游戏时长规划!$B$66:$D$78,3,FALSE)</f>
        <v>7.4016000000000002</v>
      </c>
      <c r="AE129" s="645">
        <f>ROUND(AD129*VLOOKUP(R129&amp;S129,$C$50:$D$62,2,FALSE)/500,0)*500</f>
        <v>269500</v>
      </c>
      <c r="AF129" s="157"/>
      <c r="AG129" s="645" t="str">
        <f>Q129&amp;R129&amp;S129&amp;U129</f>
        <v>11T5中2</v>
      </c>
      <c r="AH129" s="339">
        <f t="shared" si="33"/>
        <v>83.524999999999991</v>
      </c>
      <c r="AI129" s="645">
        <f t="shared" si="34"/>
        <v>10000</v>
      </c>
    </row>
    <row r="130" spans="17:35" x14ac:dyDescent="0.35">
      <c r="Q130" s="645">
        <f>IF(T129=U129,Q129+1,Q129)</f>
        <v>11</v>
      </c>
      <c r="R130" s="655" t="str">
        <f t="shared" si="36"/>
        <v>T5</v>
      </c>
      <c r="S130" s="655" t="str">
        <f t="shared" si="36"/>
        <v>中</v>
      </c>
      <c r="T130" s="645">
        <f>VLOOKUP(R130&amp;S130,$B$20:$F$32,5,FALSE)</f>
        <v>20</v>
      </c>
      <c r="U130" s="645">
        <f>IF(R130&amp;S130&lt;&gt;R129&amp;S129,0,IF(U129&lt;T129,U129+1,0))</f>
        <v>3</v>
      </c>
      <c r="V130" s="8">
        <v>0.251</v>
      </c>
      <c r="W130" s="645">
        <f>ROUNDUP(IF(U130=0,VLOOKUP(R130&amp;S130,$B$20:$G$32,6,FALSE),VLOOKUP(R130&amp;S130,$B$20:$G$32,6,FALSE)*V130)/5,0)*5</f>
        <v>25</v>
      </c>
      <c r="X130" s="159">
        <f>W130*VLOOKUP(R130&amp;S130,$B$20:$H$32,7,FALSE)</f>
        <v>5000</v>
      </c>
      <c r="Y130" s="159" t="str">
        <f t="shared" si="32"/>
        <v>T5中</v>
      </c>
      <c r="Z130" s="645">
        <f t="shared" si="37"/>
        <v>155</v>
      </c>
      <c r="AA130" s="339">
        <f>Z130*VLOOKUP(R130&amp;S130,$B$20:$K$32,10,FALSE)</f>
        <v>99.587499999999991</v>
      </c>
      <c r="AB130" s="645">
        <f t="shared" si="38"/>
        <v>3</v>
      </c>
      <c r="AC130" s="8">
        <v>0.02</v>
      </c>
      <c r="AD130" s="645">
        <f>AC130*VLOOKUP(R130&amp;S130,游戏时长规划!$B$66:$D$78,3,FALSE)</f>
        <v>9.2520000000000007</v>
      </c>
      <c r="AE130" s="645">
        <f>ROUND(AD130*VLOOKUP(R130&amp;S130,$C$50:$D$62,2,FALSE)/500,0)*500</f>
        <v>337000</v>
      </c>
      <c r="AF130" s="157"/>
      <c r="AG130" s="645" t="str">
        <f>Q130&amp;R130&amp;S130&amp;U130</f>
        <v>11T5中3</v>
      </c>
      <c r="AH130" s="339">
        <f t="shared" si="33"/>
        <v>99.587499999999991</v>
      </c>
      <c r="AI130" s="645">
        <f t="shared" si="34"/>
        <v>15000</v>
      </c>
    </row>
    <row r="131" spans="17:35" x14ac:dyDescent="0.35">
      <c r="Q131" s="645">
        <f>IF(T130=U130,Q130+1,Q130)</f>
        <v>11</v>
      </c>
      <c r="R131" s="655" t="str">
        <f t="shared" si="36"/>
        <v>T5</v>
      </c>
      <c r="S131" s="655" t="str">
        <f t="shared" si="36"/>
        <v>中</v>
      </c>
      <c r="T131" s="645">
        <f>VLOOKUP(R131&amp;S131,$B$20:$F$32,5,FALSE)</f>
        <v>20</v>
      </c>
      <c r="U131" s="645">
        <f>IF(R131&amp;S131&lt;&gt;R130&amp;S130,0,IF(U130&lt;T130,U130+1,0))</f>
        <v>4</v>
      </c>
      <c r="V131" s="8">
        <v>0.251</v>
      </c>
      <c r="W131" s="645">
        <f>ROUNDUP(IF(U131=0,VLOOKUP(R131&amp;S131,$B$20:$G$32,6,FALSE),VLOOKUP(R131&amp;S131,$B$20:$G$32,6,FALSE)*V131)/5,0)*5</f>
        <v>25</v>
      </c>
      <c r="X131" s="159">
        <f>W131*VLOOKUP(R131&amp;S131,$B$20:$H$32,7,FALSE)</f>
        <v>5000</v>
      </c>
      <c r="Y131" s="159" t="str">
        <f t="shared" si="32"/>
        <v>T5中</v>
      </c>
      <c r="Z131" s="645">
        <f t="shared" si="37"/>
        <v>180</v>
      </c>
      <c r="AA131" s="339">
        <f>Z131*VLOOKUP(R131&amp;S131,$B$20:$K$32,10,FALSE)</f>
        <v>115.64999999999999</v>
      </c>
      <c r="AB131" s="645">
        <f t="shared" si="38"/>
        <v>4</v>
      </c>
      <c r="AC131" s="8">
        <v>2.4E-2</v>
      </c>
      <c r="AD131" s="645">
        <f>AC131*VLOOKUP(R131&amp;S131,游戏时长规划!$B$66:$D$78,3,FALSE)</f>
        <v>11.102400000000001</v>
      </c>
      <c r="AE131" s="645">
        <f>ROUND(AD131*VLOOKUP(R131&amp;S131,$C$50:$D$62,2,FALSE)/500,0)*500</f>
        <v>404500</v>
      </c>
      <c r="AF131" s="157"/>
      <c r="AG131" s="645" t="str">
        <f>Q131&amp;R131&amp;S131&amp;U131</f>
        <v>11T5中4</v>
      </c>
      <c r="AH131" s="339">
        <f t="shared" si="33"/>
        <v>115.64999999999999</v>
      </c>
      <c r="AI131" s="645">
        <f t="shared" si="34"/>
        <v>20000</v>
      </c>
    </row>
    <row r="132" spans="17:35" x14ac:dyDescent="0.35">
      <c r="Q132" s="645">
        <f>IF(T131=U131,Q131+1,Q131)</f>
        <v>11</v>
      </c>
      <c r="R132" s="655" t="str">
        <f t="shared" si="36"/>
        <v>T5</v>
      </c>
      <c r="S132" s="655" t="str">
        <f t="shared" si="36"/>
        <v>中</v>
      </c>
      <c r="T132" s="645">
        <f>VLOOKUP(R132&amp;S132,$B$20:$F$32,5,FALSE)</f>
        <v>20</v>
      </c>
      <c r="U132" s="645">
        <f>IF(R132&amp;S132&lt;&gt;R131&amp;S131,0,IF(U131&lt;T131,U131+1,0))</f>
        <v>5</v>
      </c>
      <c r="V132" s="8">
        <v>0.251</v>
      </c>
      <c r="W132" s="645">
        <f>ROUNDUP(IF(U132=0,VLOOKUP(R132&amp;S132,$B$20:$G$32,6,FALSE),VLOOKUP(R132&amp;S132,$B$20:$G$32,6,FALSE)*V132)/5,0)*5</f>
        <v>25</v>
      </c>
      <c r="X132" s="159">
        <f>W132*VLOOKUP(R132&amp;S132,$B$20:$H$32,7,FALSE)</f>
        <v>5000</v>
      </c>
      <c r="Y132" s="159" t="str">
        <f t="shared" ref="Y132:Y168" si="39">R132&amp;S132</f>
        <v>T5中</v>
      </c>
      <c r="Z132" s="645">
        <f t="shared" si="37"/>
        <v>205</v>
      </c>
      <c r="AA132" s="339">
        <f>Z132*VLOOKUP(R132&amp;S132,$B$20:$K$32,10,FALSE)</f>
        <v>131.71250000000001</v>
      </c>
      <c r="AB132" s="645">
        <f t="shared" si="38"/>
        <v>5</v>
      </c>
      <c r="AC132" s="8">
        <v>2.8000000000000001E-2</v>
      </c>
      <c r="AD132" s="645">
        <f>AC132*VLOOKUP(R132&amp;S132,游戏时长规划!$B$66:$D$78,3,FALSE)</f>
        <v>12.952800000000002</v>
      </c>
      <c r="AE132" s="645">
        <f>ROUND(AD132*VLOOKUP(R132&amp;S132,$C$50:$D$62,2,FALSE)/500,0)*500</f>
        <v>472000</v>
      </c>
      <c r="AF132" s="157"/>
      <c r="AG132" s="645" t="str">
        <f>Q132&amp;R132&amp;S132&amp;U132</f>
        <v>11T5中5</v>
      </c>
      <c r="AH132" s="339">
        <f t="shared" ref="AH132:AH168" si="40">AA132</f>
        <v>131.71250000000001</v>
      </c>
      <c r="AI132" s="645">
        <f t="shared" ref="AI132:AI168" si="41">IF(U132=0,0,X132+AI131)</f>
        <v>25000</v>
      </c>
    </row>
    <row r="133" spans="17:35" x14ac:dyDescent="0.35">
      <c r="Q133" s="645">
        <f>IF(T132=U132,Q132+1,Q132)</f>
        <v>11</v>
      </c>
      <c r="R133" s="655" t="str">
        <f t="shared" si="36"/>
        <v>T5</v>
      </c>
      <c r="S133" s="655" t="str">
        <f t="shared" si="36"/>
        <v>中</v>
      </c>
      <c r="T133" s="645">
        <f>VLOOKUP(R133&amp;S133,$B$20:$F$32,5,FALSE)</f>
        <v>20</v>
      </c>
      <c r="U133" s="645">
        <f>IF(R133&amp;S133&lt;&gt;R132&amp;S132,0,IF(U132&lt;T132,U132+1,0))</f>
        <v>6</v>
      </c>
      <c r="V133" s="8">
        <v>0.251</v>
      </c>
      <c r="W133" s="645">
        <f>ROUNDUP(IF(U133=0,VLOOKUP(R133&amp;S133,$B$20:$G$32,6,FALSE),VLOOKUP(R133&amp;S133,$B$20:$G$32,6,FALSE)*V133)/5,0)*5</f>
        <v>25</v>
      </c>
      <c r="X133" s="159">
        <f>W133*VLOOKUP(R133&amp;S133,$B$20:$H$32,7,FALSE)</f>
        <v>5000</v>
      </c>
      <c r="Y133" s="159" t="str">
        <f t="shared" si="39"/>
        <v>T5中</v>
      </c>
      <c r="Z133" s="645">
        <f t="shared" si="37"/>
        <v>230</v>
      </c>
      <c r="AA133" s="339">
        <f>Z133*VLOOKUP(R133&amp;S133,$B$20:$K$32,10,FALSE)</f>
        <v>147.77499999999998</v>
      </c>
      <c r="AB133" s="645">
        <f t="shared" si="38"/>
        <v>6</v>
      </c>
      <c r="AC133" s="8">
        <v>3.2000000000000001E-2</v>
      </c>
      <c r="AD133" s="645">
        <f>AC133*VLOOKUP(R133&amp;S133,游戏时长规划!$B$66:$D$78,3,FALSE)</f>
        <v>14.8032</v>
      </c>
      <c r="AE133" s="645">
        <f>ROUND(AD133*VLOOKUP(R133&amp;S133,$C$50:$D$62,2,FALSE)/500,0)*500</f>
        <v>539500</v>
      </c>
      <c r="AF133" s="157"/>
      <c r="AG133" s="645" t="str">
        <f>Q133&amp;R133&amp;S133&amp;U133</f>
        <v>11T5中6</v>
      </c>
      <c r="AH133" s="339">
        <f t="shared" si="40"/>
        <v>147.77499999999998</v>
      </c>
      <c r="AI133" s="645">
        <f t="shared" si="41"/>
        <v>30000</v>
      </c>
    </row>
    <row r="134" spans="17:35" x14ac:dyDescent="0.35">
      <c r="Q134" s="645">
        <f>IF(T133=U133,Q133+1,Q133)</f>
        <v>11</v>
      </c>
      <c r="R134" s="655" t="str">
        <f t="shared" si="36"/>
        <v>T5</v>
      </c>
      <c r="S134" s="655" t="str">
        <f t="shared" si="36"/>
        <v>中</v>
      </c>
      <c r="T134" s="645">
        <f>VLOOKUP(R134&amp;S134,$B$20:$F$32,5,FALSE)</f>
        <v>20</v>
      </c>
      <c r="U134" s="645">
        <f>IF(R134&amp;S134&lt;&gt;R133&amp;S133,0,IF(U133&lt;T133,U133+1,0))</f>
        <v>7</v>
      </c>
      <c r="V134" s="8">
        <v>0.375</v>
      </c>
      <c r="W134" s="645">
        <f>ROUNDUP(IF(U134=0,VLOOKUP(R134&amp;S134,$B$20:$G$32,6,FALSE),VLOOKUP(R134&amp;S134,$B$20:$G$32,6,FALSE)*V134)/5,0)*5</f>
        <v>30</v>
      </c>
      <c r="X134" s="159">
        <f>W134*VLOOKUP(R134&amp;S134,$B$20:$H$32,7,FALSE)</f>
        <v>6000</v>
      </c>
      <c r="Y134" s="159" t="str">
        <f t="shared" si="39"/>
        <v>T5中</v>
      </c>
      <c r="Z134" s="645">
        <f t="shared" si="37"/>
        <v>260</v>
      </c>
      <c r="AA134" s="339">
        <f>Z134*VLOOKUP(R134&amp;S134,$B$20:$K$32,10,FALSE)</f>
        <v>167.04999999999998</v>
      </c>
      <c r="AB134" s="645">
        <f t="shared" si="38"/>
        <v>7</v>
      </c>
      <c r="AC134" s="8">
        <v>3.5999999999999997E-2</v>
      </c>
      <c r="AD134" s="645">
        <f>AC134*VLOOKUP(R134&amp;S134,游戏时长规划!$B$66:$D$78,3,FALSE)</f>
        <v>16.653600000000001</v>
      </c>
      <c r="AE134" s="645">
        <f>ROUND(AD134*VLOOKUP(R134&amp;S134,$C$50:$D$62,2,FALSE)/500,0)*500</f>
        <v>606500</v>
      </c>
      <c r="AF134" s="157"/>
      <c r="AG134" s="645" t="str">
        <f>Q134&amp;R134&amp;S134&amp;U134</f>
        <v>11T5中7</v>
      </c>
      <c r="AH134" s="339">
        <f t="shared" si="40"/>
        <v>167.04999999999998</v>
      </c>
      <c r="AI134" s="645">
        <f t="shared" si="41"/>
        <v>36000</v>
      </c>
    </row>
    <row r="135" spans="17:35" x14ac:dyDescent="0.35">
      <c r="Q135" s="645">
        <f>IF(T134=U134,Q134+1,Q134)</f>
        <v>11</v>
      </c>
      <c r="R135" s="655" t="str">
        <f t="shared" si="36"/>
        <v>T5</v>
      </c>
      <c r="S135" s="655" t="str">
        <f t="shared" si="36"/>
        <v>中</v>
      </c>
      <c r="T135" s="645">
        <f>VLOOKUP(R135&amp;S135,$B$20:$F$32,5,FALSE)</f>
        <v>20</v>
      </c>
      <c r="U135" s="645">
        <f>IF(R135&amp;S135&lt;&gt;R134&amp;S134,0,IF(U134&lt;T134,U134+1,0))</f>
        <v>8</v>
      </c>
      <c r="V135" s="8">
        <v>0.375</v>
      </c>
      <c r="W135" s="645">
        <f>ROUNDUP(IF(U135=0,VLOOKUP(R135&amp;S135,$B$20:$G$32,6,FALSE),VLOOKUP(R135&amp;S135,$B$20:$G$32,6,FALSE)*V135)/5,0)*5</f>
        <v>30</v>
      </c>
      <c r="X135" s="159">
        <f>W135*VLOOKUP(R135&amp;S135,$B$20:$H$32,7,FALSE)</f>
        <v>6000</v>
      </c>
      <c r="Y135" s="159" t="str">
        <f t="shared" si="39"/>
        <v>T5中</v>
      </c>
      <c r="Z135" s="645">
        <f t="shared" si="37"/>
        <v>290</v>
      </c>
      <c r="AA135" s="339">
        <f>Z135*VLOOKUP(R135&amp;S135,$B$20:$K$32,10,FALSE)</f>
        <v>186.32499999999999</v>
      </c>
      <c r="AB135" s="645">
        <f t="shared" si="38"/>
        <v>8</v>
      </c>
      <c r="AC135" s="8">
        <v>0.04</v>
      </c>
      <c r="AD135" s="645">
        <f>AC135*VLOOKUP(R135&amp;S135,游戏时长规划!$B$66:$D$78,3,FALSE)</f>
        <v>18.504000000000001</v>
      </c>
      <c r="AE135" s="645">
        <f>ROUND(AD135*VLOOKUP(R135&amp;S135,$C$50:$D$62,2,FALSE)/500,0)*500</f>
        <v>674000</v>
      </c>
      <c r="AF135" s="157"/>
      <c r="AG135" s="645" t="str">
        <f>Q135&amp;R135&amp;S135&amp;U135</f>
        <v>11T5中8</v>
      </c>
      <c r="AH135" s="339">
        <f t="shared" si="40"/>
        <v>186.32499999999999</v>
      </c>
      <c r="AI135" s="645">
        <f t="shared" si="41"/>
        <v>42000</v>
      </c>
    </row>
    <row r="136" spans="17:35" x14ac:dyDescent="0.35">
      <c r="Q136" s="645">
        <f>IF(T135=U135,Q135+1,Q135)</f>
        <v>11</v>
      </c>
      <c r="R136" s="655" t="str">
        <f t="shared" si="36"/>
        <v>T5</v>
      </c>
      <c r="S136" s="655" t="str">
        <f t="shared" si="36"/>
        <v>中</v>
      </c>
      <c r="T136" s="645">
        <f>VLOOKUP(R136&amp;S136,$B$20:$F$32,5,FALSE)</f>
        <v>20</v>
      </c>
      <c r="U136" s="645">
        <f>IF(R136&amp;S136&lt;&gt;R135&amp;S135,0,IF(U135&lt;T135,U135+1,0))</f>
        <v>9</v>
      </c>
      <c r="V136" s="8">
        <v>0.375</v>
      </c>
      <c r="W136" s="645">
        <f>ROUNDUP(IF(U136=0,VLOOKUP(R136&amp;S136,$B$20:$G$32,6,FALSE),VLOOKUP(R136&amp;S136,$B$20:$G$32,6,FALSE)*V136)/5,0)*5</f>
        <v>30</v>
      </c>
      <c r="X136" s="159">
        <f>W136*VLOOKUP(R136&amp;S136,$B$20:$H$32,7,FALSE)</f>
        <v>6000</v>
      </c>
      <c r="Y136" s="159" t="str">
        <f t="shared" si="39"/>
        <v>T5中</v>
      </c>
      <c r="Z136" s="645">
        <f t="shared" si="37"/>
        <v>320</v>
      </c>
      <c r="AA136" s="339">
        <f>Z136*VLOOKUP(R136&amp;S136,$B$20:$K$32,10,FALSE)</f>
        <v>205.6</v>
      </c>
      <c r="AB136" s="645">
        <f t="shared" si="38"/>
        <v>9</v>
      </c>
      <c r="AC136" s="8">
        <v>4.3999999999999997E-2</v>
      </c>
      <c r="AD136" s="645">
        <f>AC136*VLOOKUP(R136&amp;S136,游戏时长规划!$B$66:$D$78,3,FALSE)</f>
        <v>20.354399999999998</v>
      </c>
      <c r="AE136" s="645">
        <f>ROUND(AD136*VLOOKUP(R136&amp;S136,$C$50:$D$62,2,FALSE)/500,0)*500</f>
        <v>741500</v>
      </c>
      <c r="AF136" s="157"/>
      <c r="AG136" s="645" t="str">
        <f>Q136&amp;R136&amp;S136&amp;U136</f>
        <v>11T5中9</v>
      </c>
      <c r="AH136" s="339">
        <f t="shared" si="40"/>
        <v>205.6</v>
      </c>
      <c r="AI136" s="645">
        <f t="shared" si="41"/>
        <v>48000</v>
      </c>
    </row>
    <row r="137" spans="17:35" x14ac:dyDescent="0.35">
      <c r="Q137" s="645">
        <f>IF(T136=U136,Q136+1,Q136)</f>
        <v>11</v>
      </c>
      <c r="R137" s="655" t="str">
        <f t="shared" si="36"/>
        <v>T5</v>
      </c>
      <c r="S137" s="655" t="str">
        <f t="shared" si="36"/>
        <v>中</v>
      </c>
      <c r="T137" s="645">
        <f>VLOOKUP(R137&amp;S137,$B$20:$F$32,5,FALSE)</f>
        <v>20</v>
      </c>
      <c r="U137" s="645">
        <f>IF(R137&amp;S137&lt;&gt;R136&amp;S136,0,IF(U136&lt;T136,U136+1,0))</f>
        <v>10</v>
      </c>
      <c r="V137" s="8">
        <v>0.375</v>
      </c>
      <c r="W137" s="645">
        <f>ROUNDUP(IF(U137=0,VLOOKUP(R137&amp;S137,$B$20:$G$32,6,FALSE),VLOOKUP(R137&amp;S137,$B$20:$G$32,6,FALSE)*V137)/5,0)*5</f>
        <v>30</v>
      </c>
      <c r="X137" s="159">
        <f>W137*VLOOKUP(R137&amp;S137,$B$20:$H$32,7,FALSE)</f>
        <v>6000</v>
      </c>
      <c r="Y137" s="159" t="str">
        <f t="shared" si="39"/>
        <v>T5中</v>
      </c>
      <c r="Z137" s="645">
        <f t="shared" si="37"/>
        <v>350</v>
      </c>
      <c r="AA137" s="339">
        <f>Z137*VLOOKUP(R137&amp;S137,$B$20:$K$32,10,FALSE)</f>
        <v>224.875</v>
      </c>
      <c r="AB137" s="645">
        <f t="shared" si="38"/>
        <v>10</v>
      </c>
      <c r="AC137" s="8">
        <v>4.8000000000000001E-2</v>
      </c>
      <c r="AD137" s="645">
        <f>AC137*VLOOKUP(R137&amp;S137,游戏时长规划!$B$66:$D$78,3,FALSE)</f>
        <v>22.204800000000002</v>
      </c>
      <c r="AE137" s="645">
        <f>ROUND(AD137*VLOOKUP(R137&amp;S137,$C$50:$D$62,2,FALSE)/500,0)*500</f>
        <v>809000</v>
      </c>
      <c r="AF137" s="157"/>
      <c r="AG137" s="645" t="str">
        <f>Q137&amp;R137&amp;S137&amp;U137</f>
        <v>11T5中10</v>
      </c>
      <c r="AH137" s="339">
        <f t="shared" si="40"/>
        <v>224.875</v>
      </c>
      <c r="AI137" s="645">
        <f t="shared" si="41"/>
        <v>54000</v>
      </c>
    </row>
    <row r="138" spans="17:35" x14ac:dyDescent="0.35">
      <c r="Q138" s="645">
        <f>IF(T137=U137,Q137+1,Q137)</f>
        <v>11</v>
      </c>
      <c r="R138" s="655" t="str">
        <f t="shared" si="36"/>
        <v>T5</v>
      </c>
      <c r="S138" s="655" t="str">
        <f t="shared" si="36"/>
        <v>中</v>
      </c>
      <c r="T138" s="645">
        <f>VLOOKUP(R138&amp;S138,$B$20:$F$32,5,FALSE)</f>
        <v>20</v>
      </c>
      <c r="U138" s="645">
        <f>IF(R138&amp;S138&lt;&gt;R137&amp;S137,0,IF(U137&lt;T137,U137+1,0))</f>
        <v>11</v>
      </c>
      <c r="V138" s="8">
        <v>0.375</v>
      </c>
      <c r="W138" s="645">
        <f>ROUNDUP(IF(U138=0,VLOOKUP(R138&amp;S138,$B$20:$G$32,6,FALSE),VLOOKUP(R138&amp;S138,$B$20:$G$32,6,FALSE)*V138)/5,0)*5</f>
        <v>30</v>
      </c>
      <c r="X138" s="159">
        <f>W138*VLOOKUP(R138&amp;S138,$B$20:$H$32,7,FALSE)</f>
        <v>6000</v>
      </c>
      <c r="Y138" s="159" t="str">
        <f t="shared" si="39"/>
        <v>T5中</v>
      </c>
      <c r="Z138" s="645">
        <f t="shared" si="37"/>
        <v>380</v>
      </c>
      <c r="AA138" s="339">
        <f>Z138*VLOOKUP(R138&amp;S138,$B$20:$K$32,10,FALSE)</f>
        <v>244.14999999999998</v>
      </c>
      <c r="AB138" s="645">
        <f t="shared" si="38"/>
        <v>11</v>
      </c>
      <c r="AC138" s="8">
        <v>5.1999999999999998E-2</v>
      </c>
      <c r="AD138" s="645">
        <f>AC138*VLOOKUP(R138&amp;S138,游戏时长规划!$B$66:$D$78,3,FALSE)</f>
        <v>24.055199999999999</v>
      </c>
      <c r="AE138" s="645">
        <f>ROUND(AD138*VLOOKUP(R138&amp;S138,$C$50:$D$62,2,FALSE)/500,0)*500</f>
        <v>876500</v>
      </c>
      <c r="AF138" s="157"/>
      <c r="AG138" s="645" t="str">
        <f>Q138&amp;R138&amp;S138&amp;U138</f>
        <v>11T5中11</v>
      </c>
      <c r="AH138" s="339">
        <f t="shared" si="40"/>
        <v>244.14999999999998</v>
      </c>
      <c r="AI138" s="645">
        <f t="shared" si="41"/>
        <v>60000</v>
      </c>
    </row>
    <row r="139" spans="17:35" x14ac:dyDescent="0.35">
      <c r="Q139" s="645">
        <f>IF(T138=U138,Q138+1,Q138)</f>
        <v>11</v>
      </c>
      <c r="R139" s="655" t="str">
        <f t="shared" si="36"/>
        <v>T5</v>
      </c>
      <c r="S139" s="655" t="str">
        <f t="shared" si="36"/>
        <v>中</v>
      </c>
      <c r="T139" s="645">
        <f>VLOOKUP(R139&amp;S139,$B$20:$F$32,5,FALSE)</f>
        <v>20</v>
      </c>
      <c r="U139" s="645">
        <f>IF(R139&amp;S139&lt;&gt;R138&amp;S138,0,IF(U138&lt;T138,U138+1,0))</f>
        <v>12</v>
      </c>
      <c r="V139" s="8">
        <v>0.375</v>
      </c>
      <c r="W139" s="645">
        <f>ROUNDUP(IF(U139=0,VLOOKUP(R139&amp;S139,$B$20:$G$32,6,FALSE),VLOOKUP(R139&amp;S139,$B$20:$G$32,6,FALSE)*V139)/5,0)*5</f>
        <v>30</v>
      </c>
      <c r="X139" s="159">
        <f>W139*VLOOKUP(R139&amp;S139,$B$20:$H$32,7,FALSE)</f>
        <v>6000</v>
      </c>
      <c r="Y139" s="159" t="str">
        <f t="shared" si="39"/>
        <v>T5中</v>
      </c>
      <c r="Z139" s="645">
        <f t="shared" si="37"/>
        <v>410</v>
      </c>
      <c r="AA139" s="339">
        <f>Z139*VLOOKUP(R139&amp;S139,$B$20:$K$32,10,FALSE)</f>
        <v>263.42500000000001</v>
      </c>
      <c r="AB139" s="645">
        <f t="shared" si="38"/>
        <v>12</v>
      </c>
      <c r="AC139" s="8">
        <v>5.6000000000000001E-2</v>
      </c>
      <c r="AD139" s="645">
        <f>AC139*VLOOKUP(R139&amp;S139,游戏时长规划!$B$66:$D$78,3,FALSE)</f>
        <v>25.905600000000003</v>
      </c>
      <c r="AE139" s="645">
        <f>ROUND(AD139*VLOOKUP(R139&amp;S139,$C$50:$D$62,2,FALSE)/500,0)*500</f>
        <v>944000</v>
      </c>
      <c r="AF139" s="157"/>
      <c r="AG139" s="645" t="str">
        <f>Q139&amp;R139&amp;S139&amp;U139</f>
        <v>11T5中12</v>
      </c>
      <c r="AH139" s="339">
        <f t="shared" si="40"/>
        <v>263.42500000000001</v>
      </c>
      <c r="AI139" s="645">
        <f t="shared" si="41"/>
        <v>66000</v>
      </c>
    </row>
    <row r="140" spans="17:35" x14ac:dyDescent="0.35">
      <c r="Q140" s="645">
        <f>IF(T139=U139,Q139+1,Q139)</f>
        <v>11</v>
      </c>
      <c r="R140" s="655" t="str">
        <f t="shared" si="36"/>
        <v>T5</v>
      </c>
      <c r="S140" s="655" t="str">
        <f t="shared" si="36"/>
        <v>中</v>
      </c>
      <c r="T140" s="645">
        <f>VLOOKUP(R140&amp;S140,$B$20:$F$32,5,FALSE)</f>
        <v>20</v>
      </c>
      <c r="U140" s="645">
        <f>IF(R140&amp;S140&lt;&gt;R139&amp;S139,0,IF(U139&lt;T139,U139+1,0))</f>
        <v>13</v>
      </c>
      <c r="V140" s="8">
        <v>0.375</v>
      </c>
      <c r="W140" s="645">
        <f>ROUNDUP(IF(U140=0,VLOOKUP(R140&amp;S140,$B$20:$G$32,6,FALSE),VLOOKUP(R140&amp;S140,$B$20:$G$32,6,FALSE)*V140)/5,0)*5</f>
        <v>30</v>
      </c>
      <c r="X140" s="159">
        <f>W140*VLOOKUP(R140&amp;S140,$B$20:$H$32,7,FALSE)</f>
        <v>6000</v>
      </c>
      <c r="Y140" s="159" t="str">
        <f t="shared" si="39"/>
        <v>T5中</v>
      </c>
      <c r="Z140" s="645">
        <f t="shared" si="37"/>
        <v>440</v>
      </c>
      <c r="AA140" s="339">
        <f>Z140*VLOOKUP(R140&amp;S140,$B$20:$K$32,10,FALSE)</f>
        <v>282.7</v>
      </c>
      <c r="AB140" s="645">
        <f t="shared" si="38"/>
        <v>13</v>
      </c>
      <c r="AC140" s="8">
        <v>0.06</v>
      </c>
      <c r="AD140" s="645">
        <f>AC140*VLOOKUP(R140&amp;S140,游戏时长规划!$B$66:$D$78,3,FALSE)</f>
        <v>27.756</v>
      </c>
      <c r="AE140" s="645">
        <f>ROUND(AD140*VLOOKUP(R140&amp;S140,$C$50:$D$62,2,FALSE)/500,0)*500</f>
        <v>1011000</v>
      </c>
      <c r="AF140" s="157"/>
      <c r="AG140" s="645" t="str">
        <f>Q140&amp;R140&amp;S140&amp;U140</f>
        <v>11T5中13</v>
      </c>
      <c r="AH140" s="339">
        <f t="shared" si="40"/>
        <v>282.7</v>
      </c>
      <c r="AI140" s="645">
        <f t="shared" si="41"/>
        <v>72000</v>
      </c>
    </row>
    <row r="141" spans="17:35" x14ac:dyDescent="0.35">
      <c r="Q141" s="645">
        <f>IF(T140=U140,Q140+1,Q140)</f>
        <v>11</v>
      </c>
      <c r="R141" s="655" t="str">
        <f t="shared" si="36"/>
        <v>T5</v>
      </c>
      <c r="S141" s="655" t="str">
        <f t="shared" si="36"/>
        <v>中</v>
      </c>
      <c r="T141" s="645">
        <f>VLOOKUP(R141&amp;S141,$B$20:$F$32,5,FALSE)</f>
        <v>20</v>
      </c>
      <c r="U141" s="645">
        <f>IF(R141&amp;S141&lt;&gt;R140&amp;S140,0,IF(U140&lt;T140,U140+1,0))</f>
        <v>14</v>
      </c>
      <c r="V141" s="8">
        <v>0.497</v>
      </c>
      <c r="W141" s="645">
        <f>ROUNDUP(IF(U141=0,VLOOKUP(R141&amp;S141,$B$20:$G$32,6,FALSE),VLOOKUP(R141&amp;S141,$B$20:$G$32,6,FALSE)*V141)/5,0)*5</f>
        <v>40</v>
      </c>
      <c r="X141" s="159">
        <f>W141*VLOOKUP(R141&amp;S141,$B$20:$H$32,7,FALSE)</f>
        <v>8000</v>
      </c>
      <c r="Y141" s="159" t="str">
        <f t="shared" si="39"/>
        <v>T5中</v>
      </c>
      <c r="Z141" s="645">
        <f t="shared" si="37"/>
        <v>480</v>
      </c>
      <c r="AA141" s="339">
        <f>Z141*VLOOKUP(R141&amp;S141,$B$20:$K$32,10,FALSE)</f>
        <v>308.39999999999998</v>
      </c>
      <c r="AB141" s="645">
        <f t="shared" si="38"/>
        <v>14</v>
      </c>
      <c r="AC141" s="8">
        <v>6.4000000000000001E-2</v>
      </c>
      <c r="AD141" s="645">
        <f>AC141*VLOOKUP(R141&amp;S141,游戏时长规划!$B$66:$D$78,3,FALSE)</f>
        <v>29.606400000000001</v>
      </c>
      <c r="AE141" s="645">
        <f>ROUND(AD141*VLOOKUP(R141&amp;S141,$C$50:$D$62,2,FALSE)/500,0)*500</f>
        <v>1078500</v>
      </c>
      <c r="AF141" s="157"/>
      <c r="AG141" s="645" t="str">
        <f>Q141&amp;R141&amp;S141&amp;U141</f>
        <v>11T5中14</v>
      </c>
      <c r="AH141" s="339">
        <f t="shared" si="40"/>
        <v>308.39999999999998</v>
      </c>
      <c r="AI141" s="645">
        <f t="shared" si="41"/>
        <v>80000</v>
      </c>
    </row>
    <row r="142" spans="17:35" x14ac:dyDescent="0.35">
      <c r="Q142" s="645">
        <f>IF(T141=U141,Q141+1,Q141)</f>
        <v>11</v>
      </c>
      <c r="R142" s="655" t="str">
        <f t="shared" si="36"/>
        <v>T5</v>
      </c>
      <c r="S142" s="655" t="str">
        <f t="shared" si="36"/>
        <v>中</v>
      </c>
      <c r="T142" s="645">
        <f>VLOOKUP(R142&amp;S142,$B$20:$F$32,5,FALSE)</f>
        <v>20</v>
      </c>
      <c r="U142" s="645">
        <f>IF(R142&amp;S142&lt;&gt;R141&amp;S141,0,IF(U141&lt;T141,U141+1,0))</f>
        <v>15</v>
      </c>
      <c r="V142" s="8">
        <v>0.497</v>
      </c>
      <c r="W142" s="645">
        <f>ROUNDUP(IF(U142=0,VLOOKUP(R142&amp;S142,$B$20:$G$32,6,FALSE),VLOOKUP(R142&amp;S142,$B$20:$G$32,6,FALSE)*V142)/5,0)*5</f>
        <v>40</v>
      </c>
      <c r="X142" s="159">
        <f>W142*VLOOKUP(R142&amp;S142,$B$20:$H$32,7,FALSE)</f>
        <v>8000</v>
      </c>
      <c r="Y142" s="159" t="str">
        <f t="shared" si="39"/>
        <v>T5中</v>
      </c>
      <c r="Z142" s="645">
        <f t="shared" si="37"/>
        <v>520</v>
      </c>
      <c r="AA142" s="339">
        <f>Z142*VLOOKUP(R142&amp;S142,$B$20:$K$32,10,FALSE)</f>
        <v>334.09999999999997</v>
      </c>
      <c r="AB142" s="645">
        <f t="shared" si="38"/>
        <v>15</v>
      </c>
      <c r="AC142" s="8">
        <v>6.8000000000000005E-2</v>
      </c>
      <c r="AD142" s="645">
        <f>AC142*VLOOKUP(R142&amp;S142,游戏时长规划!$B$66:$D$78,3,FALSE)</f>
        <v>31.456800000000005</v>
      </c>
      <c r="AE142" s="645">
        <f>ROUND(AD142*VLOOKUP(R142&amp;S142,$C$50:$D$62,2,FALSE)/500,0)*500</f>
        <v>1146000</v>
      </c>
      <c r="AF142" s="157"/>
      <c r="AG142" s="645" t="str">
        <f>Q142&amp;R142&amp;S142&amp;U142</f>
        <v>11T5中15</v>
      </c>
      <c r="AH142" s="339">
        <f t="shared" si="40"/>
        <v>334.09999999999997</v>
      </c>
      <c r="AI142" s="645">
        <f t="shared" si="41"/>
        <v>88000</v>
      </c>
    </row>
    <row r="143" spans="17:35" x14ac:dyDescent="0.35">
      <c r="Q143" s="645">
        <f>IF(T142=U142,Q142+1,Q142)</f>
        <v>11</v>
      </c>
      <c r="R143" s="655" t="str">
        <f t="shared" si="36"/>
        <v>T5</v>
      </c>
      <c r="S143" s="655" t="str">
        <f t="shared" si="36"/>
        <v>中</v>
      </c>
      <c r="T143" s="645">
        <f>VLOOKUP(R143&amp;S143,$B$20:$F$32,5,FALSE)</f>
        <v>20</v>
      </c>
      <c r="U143" s="645">
        <f>IF(R143&amp;S143&lt;&gt;R142&amp;S142,0,IF(U142&lt;T142,U142+1,0))</f>
        <v>16</v>
      </c>
      <c r="V143" s="8">
        <v>0.497</v>
      </c>
      <c r="W143" s="645">
        <f>ROUNDUP(IF(U143=0,VLOOKUP(R143&amp;S143,$B$20:$G$32,6,FALSE),VLOOKUP(R143&amp;S143,$B$20:$G$32,6,FALSE)*V143)/5,0)*5</f>
        <v>40</v>
      </c>
      <c r="X143" s="159">
        <f>W143*VLOOKUP(R143&amp;S143,$B$20:$H$32,7,FALSE)</f>
        <v>8000</v>
      </c>
      <c r="Y143" s="159" t="str">
        <f t="shared" si="39"/>
        <v>T5中</v>
      </c>
      <c r="Z143" s="645">
        <f t="shared" si="37"/>
        <v>560</v>
      </c>
      <c r="AA143" s="339">
        <f>Z143*VLOOKUP(R143&amp;S143,$B$20:$K$32,10,FALSE)</f>
        <v>359.79999999999995</v>
      </c>
      <c r="AB143" s="645">
        <f t="shared" si="38"/>
        <v>16</v>
      </c>
      <c r="AC143" s="8">
        <v>7.1999999999999995E-2</v>
      </c>
      <c r="AD143" s="645">
        <f>AC143*VLOOKUP(R143&amp;S143,游戏时长规划!$B$66:$D$78,3,FALSE)</f>
        <v>33.307200000000002</v>
      </c>
      <c r="AE143" s="645">
        <f>ROUND(AD143*VLOOKUP(R143&amp;S143,$C$50:$D$62,2,FALSE)/500,0)*500</f>
        <v>1213500</v>
      </c>
      <c r="AF143" s="157"/>
      <c r="AG143" s="645" t="str">
        <f>Q143&amp;R143&amp;S143&amp;U143</f>
        <v>11T5中16</v>
      </c>
      <c r="AH143" s="339">
        <f t="shared" si="40"/>
        <v>359.79999999999995</v>
      </c>
      <c r="AI143" s="645">
        <f t="shared" si="41"/>
        <v>96000</v>
      </c>
    </row>
    <row r="144" spans="17:35" x14ac:dyDescent="0.35">
      <c r="Q144" s="645">
        <f>IF(T143=U143,Q143+1,Q143)</f>
        <v>11</v>
      </c>
      <c r="R144" s="655" t="str">
        <f t="shared" ref="R144:S168" si="42">VLOOKUP($Q144,$C$20:$I$32,MATCH(R$3,$C$20:$I$20,0),FALSE)</f>
        <v>T5</v>
      </c>
      <c r="S144" s="655" t="str">
        <f t="shared" si="42"/>
        <v>中</v>
      </c>
      <c r="T144" s="645">
        <f>VLOOKUP(R144&amp;S144,$B$20:$F$32,5,FALSE)</f>
        <v>20</v>
      </c>
      <c r="U144" s="645">
        <f>IF(R144&amp;S144&lt;&gt;R143&amp;S143,0,IF(U143&lt;T143,U143+1,0))</f>
        <v>17</v>
      </c>
      <c r="V144" s="8">
        <v>0.497</v>
      </c>
      <c r="W144" s="645">
        <f>ROUNDUP(IF(U144=0,VLOOKUP(R144&amp;S144,$B$20:$G$32,6,FALSE),VLOOKUP(R144&amp;S144,$B$20:$G$32,6,FALSE)*V144)/5,0)*5</f>
        <v>40</v>
      </c>
      <c r="X144" s="159">
        <f>W144*VLOOKUP(R144&amp;S144,$B$20:$H$32,7,FALSE)</f>
        <v>8000</v>
      </c>
      <c r="Y144" s="159" t="str">
        <f t="shared" si="39"/>
        <v>T5中</v>
      </c>
      <c r="Z144" s="645">
        <f t="shared" si="37"/>
        <v>600</v>
      </c>
      <c r="AA144" s="339">
        <f>Z144*VLOOKUP(R144&amp;S144,$B$20:$K$32,10,FALSE)</f>
        <v>385.5</v>
      </c>
      <c r="AB144" s="645">
        <f t="shared" si="38"/>
        <v>17</v>
      </c>
      <c r="AC144" s="8">
        <v>7.5999999999999998E-2</v>
      </c>
      <c r="AD144" s="645">
        <f>AC144*VLOOKUP(R144&amp;S144,游戏时长规划!$B$66:$D$78,3,FALSE)</f>
        <v>35.157600000000002</v>
      </c>
      <c r="AE144" s="645">
        <f>ROUND(AD144*VLOOKUP(R144&amp;S144,$C$50:$D$62,2,FALSE)/500,0)*500</f>
        <v>1281000</v>
      </c>
      <c r="AF144" s="157"/>
      <c r="AG144" s="645" t="str">
        <f>Q144&amp;R144&amp;S144&amp;U144</f>
        <v>11T5中17</v>
      </c>
      <c r="AH144" s="339">
        <f t="shared" si="40"/>
        <v>385.5</v>
      </c>
      <c r="AI144" s="645">
        <f t="shared" si="41"/>
        <v>104000</v>
      </c>
    </row>
    <row r="145" spans="17:35" x14ac:dyDescent="0.35">
      <c r="Q145" s="645">
        <f>IF(T144=U144,Q144+1,Q144)</f>
        <v>11</v>
      </c>
      <c r="R145" s="655" t="str">
        <f t="shared" si="42"/>
        <v>T5</v>
      </c>
      <c r="S145" s="655" t="str">
        <f t="shared" si="42"/>
        <v>中</v>
      </c>
      <c r="T145" s="645">
        <f>VLOOKUP(R145&amp;S145,$B$20:$F$32,5,FALSE)</f>
        <v>20</v>
      </c>
      <c r="U145" s="645">
        <f>IF(R145&amp;S145&lt;&gt;R144&amp;S144,0,IF(U144&lt;T144,U144+1,0))</f>
        <v>18</v>
      </c>
      <c r="V145" s="8">
        <v>0.497</v>
      </c>
      <c r="W145" s="645">
        <f>ROUNDUP(IF(U145=0,VLOOKUP(R145&amp;S145,$B$20:$G$32,6,FALSE),VLOOKUP(R145&amp;S145,$B$20:$G$32,6,FALSE)*V145)/5,0)*5</f>
        <v>40</v>
      </c>
      <c r="X145" s="159">
        <f>W145*VLOOKUP(R145&amp;S145,$B$20:$H$32,7,FALSE)</f>
        <v>8000</v>
      </c>
      <c r="Y145" s="159" t="str">
        <f t="shared" si="39"/>
        <v>T5中</v>
      </c>
      <c r="Z145" s="645">
        <f t="shared" si="37"/>
        <v>640</v>
      </c>
      <c r="AA145" s="339">
        <f>Z145*VLOOKUP(R145&amp;S145,$B$20:$K$32,10,FALSE)</f>
        <v>411.2</v>
      </c>
      <c r="AB145" s="645">
        <f t="shared" si="38"/>
        <v>18</v>
      </c>
      <c r="AC145" s="8">
        <v>0.08</v>
      </c>
      <c r="AD145" s="645">
        <f>AC145*VLOOKUP(R145&amp;S145,游戏时长规划!$B$66:$D$78,3,FALSE)</f>
        <v>37.008000000000003</v>
      </c>
      <c r="AE145" s="645">
        <f>ROUND(AD145*VLOOKUP(R145&amp;S145,$C$50:$D$62,2,FALSE)/500,0)*500</f>
        <v>1348500</v>
      </c>
      <c r="AF145" s="157"/>
      <c r="AG145" s="645" t="str">
        <f>Q145&amp;R145&amp;S145&amp;U145</f>
        <v>11T5中18</v>
      </c>
      <c r="AH145" s="339">
        <f t="shared" si="40"/>
        <v>411.2</v>
      </c>
      <c r="AI145" s="645">
        <f t="shared" si="41"/>
        <v>112000</v>
      </c>
    </row>
    <row r="146" spans="17:35" x14ac:dyDescent="0.35">
      <c r="Q146" s="645">
        <f>IF(T145=U145,Q145+1,Q145)</f>
        <v>11</v>
      </c>
      <c r="R146" s="655" t="str">
        <f t="shared" si="42"/>
        <v>T5</v>
      </c>
      <c r="S146" s="655" t="str">
        <f t="shared" si="42"/>
        <v>中</v>
      </c>
      <c r="T146" s="645">
        <f>VLOOKUP(R146&amp;S146,$B$20:$F$32,5,FALSE)</f>
        <v>20</v>
      </c>
      <c r="U146" s="645">
        <f>IF(R146&amp;S146&lt;&gt;R145&amp;S145,0,IF(U145&lt;T145,U145+1,0))</f>
        <v>19</v>
      </c>
      <c r="V146" s="8">
        <v>0.497</v>
      </c>
      <c r="W146" s="645">
        <f>ROUNDUP(IF(U146=0,VLOOKUP(R146&amp;S146,$B$20:$G$32,6,FALSE),VLOOKUP(R146&amp;S146,$B$20:$G$32,6,FALSE)*V146)/5,0)*5</f>
        <v>40</v>
      </c>
      <c r="X146" s="159">
        <f>W146*VLOOKUP(R146&amp;S146,$B$20:$H$32,7,FALSE)</f>
        <v>8000</v>
      </c>
      <c r="Y146" s="159" t="str">
        <f t="shared" si="39"/>
        <v>T5中</v>
      </c>
      <c r="Z146" s="645">
        <f t="shared" si="37"/>
        <v>680</v>
      </c>
      <c r="AA146" s="339">
        <f>Z146*VLOOKUP(R146&amp;S146,$B$20:$K$32,10,FALSE)</f>
        <v>436.9</v>
      </c>
      <c r="AB146" s="645">
        <f t="shared" si="38"/>
        <v>19</v>
      </c>
      <c r="AC146" s="8">
        <v>8.4000000000000005E-2</v>
      </c>
      <c r="AD146" s="645">
        <f>AC146*VLOOKUP(R146&amp;S146,游戏时长规划!$B$66:$D$78,3,FALSE)</f>
        <v>38.858400000000003</v>
      </c>
      <c r="AE146" s="645">
        <f>ROUND(AD146*VLOOKUP(R146&amp;S146,$C$50:$D$62,2,FALSE)/500,0)*500</f>
        <v>1415500</v>
      </c>
      <c r="AF146" s="157"/>
      <c r="AG146" s="645" t="str">
        <f>Q146&amp;R146&amp;S146&amp;U146</f>
        <v>11T5中19</v>
      </c>
      <c r="AH146" s="339">
        <f t="shared" si="40"/>
        <v>436.9</v>
      </c>
      <c r="AI146" s="645">
        <f t="shared" si="41"/>
        <v>120000</v>
      </c>
    </row>
    <row r="147" spans="17:35" x14ac:dyDescent="0.35">
      <c r="Q147" s="645">
        <f>IF(T146=U146,Q146+1,Q146)</f>
        <v>11</v>
      </c>
      <c r="R147" s="655" t="str">
        <f t="shared" si="42"/>
        <v>T5</v>
      </c>
      <c r="S147" s="655" t="str">
        <f t="shared" si="42"/>
        <v>中</v>
      </c>
      <c r="T147" s="645">
        <f>VLOOKUP(R147&amp;S147,$B$20:$F$32,5,FALSE)</f>
        <v>20</v>
      </c>
      <c r="U147" s="645">
        <f>IF(R147&amp;S147&lt;&gt;R146&amp;S146,0,IF(U146&lt;T146,U146+1,0))</f>
        <v>20</v>
      </c>
      <c r="V147" s="8">
        <v>0.497</v>
      </c>
      <c r="W147" s="645">
        <f>ROUNDUP(IF(U147=0,VLOOKUP(R147&amp;S147,$B$20:$G$32,6,FALSE),VLOOKUP(R147&amp;S147,$B$20:$G$32,6,FALSE)*V147)/5,0)*5</f>
        <v>40</v>
      </c>
      <c r="X147" s="159">
        <f>W147*VLOOKUP(R147&amp;S147,$B$20:$H$32,7,FALSE)</f>
        <v>8000</v>
      </c>
      <c r="Y147" s="159" t="str">
        <f t="shared" si="39"/>
        <v>T5中</v>
      </c>
      <c r="Z147" s="645">
        <f t="shared" si="37"/>
        <v>720</v>
      </c>
      <c r="AA147" s="339">
        <f>Z147*VLOOKUP(R147&amp;S147,$B$20:$K$32,10,FALSE)</f>
        <v>462.59999999999997</v>
      </c>
      <c r="AB147" s="645">
        <f t="shared" si="38"/>
        <v>20</v>
      </c>
      <c r="AC147" s="8">
        <v>8.7999999999999995E-2</v>
      </c>
      <c r="AD147" s="645">
        <f>AC147*VLOOKUP(R147&amp;S147,游戏时长规划!$B$66:$D$78,3,FALSE)</f>
        <v>40.708799999999997</v>
      </c>
      <c r="AE147" s="645">
        <f>ROUND(AD147*VLOOKUP(R147&amp;S147,$C$50:$D$62,2,FALSE)/500,0)*500</f>
        <v>1483000</v>
      </c>
      <c r="AF147" s="157"/>
      <c r="AG147" s="645" t="str">
        <f>Q147&amp;R147&amp;S147&amp;U147</f>
        <v>11T5中20</v>
      </c>
      <c r="AH147" s="339">
        <f t="shared" si="40"/>
        <v>462.59999999999997</v>
      </c>
      <c r="AI147" s="645">
        <f t="shared" si="41"/>
        <v>128000</v>
      </c>
    </row>
    <row r="148" spans="17:35" x14ac:dyDescent="0.35">
      <c r="Q148" s="645">
        <f>IF(T147=U147,Q147+1,Q147)</f>
        <v>12</v>
      </c>
      <c r="R148" s="655" t="str">
        <f t="shared" si="42"/>
        <v>T5</v>
      </c>
      <c r="S148" s="655" t="str">
        <f t="shared" si="42"/>
        <v>高</v>
      </c>
      <c r="T148" s="645">
        <f>VLOOKUP(R148&amp;S148,$B$20:$F$32,5,FALSE)</f>
        <v>20</v>
      </c>
      <c r="U148" s="645">
        <f>IF(R148&amp;S148&lt;&gt;R147&amp;S147,0,IF(U147&lt;T147,U147+1,0))</f>
        <v>0</v>
      </c>
      <c r="V148" s="8">
        <v>0</v>
      </c>
      <c r="W148" s="645">
        <f>ROUNDUP(IF(U148=0,VLOOKUP(R148&amp;S148,$B$20:$G$32,6,FALSE),VLOOKUP(R148&amp;S148,$B$20:$G$32,6,FALSE)*V148)/5,0)*5</f>
        <v>80</v>
      </c>
      <c r="X148" s="159">
        <f>W148*VLOOKUP(R148&amp;S148,$B$20:$H$32,7,FALSE)</f>
        <v>19600</v>
      </c>
      <c r="Y148" s="159" t="str">
        <f t="shared" si="39"/>
        <v>T5高</v>
      </c>
      <c r="Z148" s="645">
        <f t="shared" si="37"/>
        <v>80</v>
      </c>
      <c r="AA148" s="339">
        <f>Z148*VLOOKUP(R148&amp;S148,$B$20:$K$32,10,FALSE)</f>
        <v>63</v>
      </c>
      <c r="AB148" s="645">
        <f t="shared" si="38"/>
        <v>0</v>
      </c>
      <c r="AC148" s="8">
        <v>0</v>
      </c>
      <c r="AD148" s="645">
        <f>AC148*VLOOKUP(R148&amp;S148,游戏时长规划!$B$66:$D$78,3,FALSE)</f>
        <v>0</v>
      </c>
      <c r="AE148" s="645">
        <f>ROUND(AD148*VLOOKUP(R148&amp;S148,$C$50:$D$62,2,FALSE)/500,0)*500</f>
        <v>0</v>
      </c>
      <c r="AF148" s="157"/>
      <c r="AG148" s="645" t="str">
        <f>Q148&amp;R148&amp;S148&amp;U148</f>
        <v>12T5高0</v>
      </c>
      <c r="AH148" s="339">
        <f t="shared" si="40"/>
        <v>63</v>
      </c>
      <c r="AI148" s="645">
        <f t="shared" si="41"/>
        <v>0</v>
      </c>
    </row>
    <row r="149" spans="17:35" x14ac:dyDescent="0.35">
      <c r="Q149" s="645">
        <f>IF(T148=U148,Q148+1,Q148)</f>
        <v>12</v>
      </c>
      <c r="R149" s="655" t="str">
        <f t="shared" si="42"/>
        <v>T5</v>
      </c>
      <c r="S149" s="655" t="str">
        <f t="shared" si="42"/>
        <v>高</v>
      </c>
      <c r="T149" s="645">
        <f>VLOOKUP(R149&amp;S149,$B$20:$F$32,5,FALSE)</f>
        <v>20</v>
      </c>
      <c r="U149" s="645">
        <f>IF(R149&amp;S149&lt;&gt;R148&amp;S148,0,IF(U148&lt;T148,U148+1,0))</f>
        <v>1</v>
      </c>
      <c r="V149" s="8">
        <v>0.254</v>
      </c>
      <c r="W149" s="645">
        <f>ROUNDUP(IF(U149=0,VLOOKUP(R149&amp;S149,$B$20:$G$32,6,FALSE),VLOOKUP(R149&amp;S149,$B$20:$G$32,6,FALSE)*V149)/5,0)*5</f>
        <v>25</v>
      </c>
      <c r="X149" s="159">
        <f>W149*VLOOKUP(R149&amp;S149,$B$20:$H$32,7,FALSE)</f>
        <v>6125</v>
      </c>
      <c r="Y149" s="159" t="str">
        <f t="shared" si="39"/>
        <v>T5高</v>
      </c>
      <c r="Z149" s="645">
        <f t="shared" si="37"/>
        <v>105</v>
      </c>
      <c r="AA149" s="339">
        <f>Z149*VLOOKUP(R149&amp;S149,$B$20:$K$32,10,FALSE)</f>
        <v>82.6875</v>
      </c>
      <c r="AB149" s="645">
        <f t="shared" si="38"/>
        <v>1</v>
      </c>
      <c r="AC149" s="8">
        <v>1.2E-2</v>
      </c>
      <c r="AD149" s="645">
        <f>AC149*VLOOKUP(R149&amp;S149,游戏时长规划!$B$66:$D$78,3,FALSE)</f>
        <v>7.4652000000000003</v>
      </c>
      <c r="AE149" s="645">
        <f>ROUND(AD149*VLOOKUP(R149&amp;S149,$C$50:$D$62,2,FALSE)/500,0)*500</f>
        <v>282000</v>
      </c>
      <c r="AF149" s="157"/>
      <c r="AG149" s="645" t="str">
        <f>Q149&amp;R149&amp;S149&amp;U149</f>
        <v>12T5高1</v>
      </c>
      <c r="AH149" s="339">
        <f t="shared" si="40"/>
        <v>82.6875</v>
      </c>
      <c r="AI149" s="645">
        <f t="shared" si="41"/>
        <v>6125</v>
      </c>
    </row>
    <row r="150" spans="17:35" x14ac:dyDescent="0.35">
      <c r="Q150" s="645">
        <f>IF(T149=U149,Q149+1,Q149)</f>
        <v>12</v>
      </c>
      <c r="R150" s="655" t="str">
        <f t="shared" si="42"/>
        <v>T5</v>
      </c>
      <c r="S150" s="655" t="str">
        <f t="shared" si="42"/>
        <v>高</v>
      </c>
      <c r="T150" s="645">
        <f>VLOOKUP(R150&amp;S150,$B$20:$F$32,5,FALSE)</f>
        <v>20</v>
      </c>
      <c r="U150" s="645">
        <f>IF(R150&amp;S150&lt;&gt;R149&amp;S149,0,IF(U149&lt;T149,U149+1,0))</f>
        <v>2</v>
      </c>
      <c r="V150" s="8">
        <v>0.254</v>
      </c>
      <c r="W150" s="645">
        <f>ROUNDUP(IF(U150=0,VLOOKUP(R150&amp;S150,$B$20:$G$32,6,FALSE),VLOOKUP(R150&amp;S150,$B$20:$G$32,6,FALSE)*V150)/5,0)*5</f>
        <v>25</v>
      </c>
      <c r="X150" s="159">
        <f>W150*VLOOKUP(R150&amp;S150,$B$20:$H$32,7,FALSE)</f>
        <v>6125</v>
      </c>
      <c r="Y150" s="159" t="str">
        <f t="shared" si="39"/>
        <v>T5高</v>
      </c>
      <c r="Z150" s="645">
        <f t="shared" si="37"/>
        <v>130</v>
      </c>
      <c r="AA150" s="339">
        <f>Z150*VLOOKUP(R150&amp;S150,$B$20:$K$32,10,FALSE)</f>
        <v>102.375</v>
      </c>
      <c r="AB150" s="645">
        <f t="shared" si="38"/>
        <v>2</v>
      </c>
      <c r="AC150" s="8">
        <v>1.6E-2</v>
      </c>
      <c r="AD150" s="645">
        <f>AC150*VLOOKUP(R150&amp;S150,游戏时长规划!$B$66:$D$78,3,FALSE)</f>
        <v>9.9535999999999998</v>
      </c>
      <c r="AE150" s="645">
        <f>ROUND(AD150*VLOOKUP(R150&amp;S150,$C$50:$D$62,2,FALSE)/500,0)*500</f>
        <v>376000</v>
      </c>
      <c r="AF150" s="157"/>
      <c r="AG150" s="645" t="str">
        <f>Q150&amp;R150&amp;S150&amp;U150</f>
        <v>12T5高2</v>
      </c>
      <c r="AH150" s="339">
        <f t="shared" si="40"/>
        <v>102.375</v>
      </c>
      <c r="AI150" s="645">
        <f t="shared" si="41"/>
        <v>12250</v>
      </c>
    </row>
    <row r="151" spans="17:35" x14ac:dyDescent="0.35">
      <c r="Q151" s="645">
        <f>IF(T150=U150,Q150+1,Q150)</f>
        <v>12</v>
      </c>
      <c r="R151" s="655" t="str">
        <f t="shared" si="42"/>
        <v>T5</v>
      </c>
      <c r="S151" s="655" t="str">
        <f t="shared" si="42"/>
        <v>高</v>
      </c>
      <c r="T151" s="645">
        <f>VLOOKUP(R151&amp;S151,$B$20:$F$32,5,FALSE)</f>
        <v>20</v>
      </c>
      <c r="U151" s="645">
        <f>IF(R151&amp;S151&lt;&gt;R150&amp;S150,0,IF(U150&lt;T150,U150+1,0))</f>
        <v>3</v>
      </c>
      <c r="V151" s="8">
        <v>0.254</v>
      </c>
      <c r="W151" s="645">
        <f>ROUNDUP(IF(U151=0,VLOOKUP(R151&amp;S151,$B$20:$G$32,6,FALSE),VLOOKUP(R151&amp;S151,$B$20:$G$32,6,FALSE)*V151)/5,0)*5</f>
        <v>25</v>
      </c>
      <c r="X151" s="159">
        <f>W151*VLOOKUP(R151&amp;S151,$B$20:$H$32,7,FALSE)</f>
        <v>6125</v>
      </c>
      <c r="Y151" s="159" t="str">
        <f t="shared" si="39"/>
        <v>T5高</v>
      </c>
      <c r="Z151" s="645">
        <f t="shared" si="37"/>
        <v>155</v>
      </c>
      <c r="AA151" s="339">
        <f>Z151*VLOOKUP(R151&amp;S151,$B$20:$K$32,10,FALSE)</f>
        <v>122.0625</v>
      </c>
      <c r="AB151" s="645">
        <f t="shared" si="38"/>
        <v>3</v>
      </c>
      <c r="AC151" s="8">
        <v>0.02</v>
      </c>
      <c r="AD151" s="645">
        <f>AC151*VLOOKUP(R151&amp;S151,游戏时长规划!$B$66:$D$78,3,FALSE)</f>
        <v>12.442</v>
      </c>
      <c r="AE151" s="645">
        <f>ROUND(AD151*VLOOKUP(R151&amp;S151,$C$50:$D$62,2,FALSE)/500,0)*500</f>
        <v>469500</v>
      </c>
      <c r="AF151" s="157"/>
      <c r="AG151" s="645" t="str">
        <f>Q151&amp;R151&amp;S151&amp;U151</f>
        <v>12T5高3</v>
      </c>
      <c r="AH151" s="339">
        <f t="shared" si="40"/>
        <v>122.0625</v>
      </c>
      <c r="AI151" s="645">
        <f t="shared" si="41"/>
        <v>18375</v>
      </c>
    </row>
    <row r="152" spans="17:35" x14ac:dyDescent="0.35">
      <c r="Q152" s="645">
        <f>IF(T151=U151,Q151+1,Q151)</f>
        <v>12</v>
      </c>
      <c r="R152" s="655" t="str">
        <f t="shared" si="42"/>
        <v>T5</v>
      </c>
      <c r="S152" s="655" t="str">
        <f t="shared" si="42"/>
        <v>高</v>
      </c>
      <c r="T152" s="645">
        <f>VLOOKUP(R152&amp;S152,$B$20:$F$32,5,FALSE)</f>
        <v>20</v>
      </c>
      <c r="U152" s="645">
        <f>IF(R152&amp;S152&lt;&gt;R151&amp;S151,0,IF(U151&lt;T151,U151+1,0))</f>
        <v>4</v>
      </c>
      <c r="V152" s="8">
        <v>0.254</v>
      </c>
      <c r="W152" s="645">
        <f>ROUNDUP(IF(U152=0,VLOOKUP(R152&amp;S152,$B$20:$G$32,6,FALSE),VLOOKUP(R152&amp;S152,$B$20:$G$32,6,FALSE)*V152)/5,0)*5</f>
        <v>25</v>
      </c>
      <c r="X152" s="159">
        <f>W152*VLOOKUP(R152&amp;S152,$B$20:$H$32,7,FALSE)</f>
        <v>6125</v>
      </c>
      <c r="Y152" s="159" t="str">
        <f t="shared" si="39"/>
        <v>T5高</v>
      </c>
      <c r="Z152" s="645">
        <f t="shared" si="37"/>
        <v>180</v>
      </c>
      <c r="AA152" s="339">
        <f>Z152*VLOOKUP(R152&amp;S152,$B$20:$K$32,10,FALSE)</f>
        <v>141.75</v>
      </c>
      <c r="AB152" s="645">
        <f t="shared" si="38"/>
        <v>4</v>
      </c>
      <c r="AC152" s="8">
        <v>2.4E-2</v>
      </c>
      <c r="AD152" s="645">
        <f>AC152*VLOOKUP(R152&amp;S152,游戏时长规划!$B$66:$D$78,3,FALSE)</f>
        <v>14.930400000000001</v>
      </c>
      <c r="AE152" s="645">
        <f>ROUND(AD152*VLOOKUP(R152&amp;S152,$C$50:$D$62,2,FALSE)/500,0)*500</f>
        <v>563500</v>
      </c>
      <c r="AF152" s="157"/>
      <c r="AG152" s="645" t="str">
        <f>Q152&amp;R152&amp;S152&amp;U152</f>
        <v>12T5高4</v>
      </c>
      <c r="AH152" s="339">
        <f t="shared" si="40"/>
        <v>141.75</v>
      </c>
      <c r="AI152" s="645">
        <f t="shared" si="41"/>
        <v>24500</v>
      </c>
    </row>
    <row r="153" spans="17:35" x14ac:dyDescent="0.35">
      <c r="Q153" s="645">
        <f>IF(T152=U152,Q152+1,Q152)</f>
        <v>12</v>
      </c>
      <c r="R153" s="655" t="str">
        <f t="shared" si="42"/>
        <v>T5</v>
      </c>
      <c r="S153" s="655" t="str">
        <f t="shared" si="42"/>
        <v>高</v>
      </c>
      <c r="T153" s="645">
        <f>VLOOKUP(R153&amp;S153,$B$20:$F$32,5,FALSE)</f>
        <v>20</v>
      </c>
      <c r="U153" s="645">
        <f>IF(R153&amp;S153&lt;&gt;R152&amp;S152,0,IF(U152&lt;T152,U152+1,0))</f>
        <v>5</v>
      </c>
      <c r="V153" s="8">
        <v>0.254</v>
      </c>
      <c r="W153" s="645">
        <f>ROUNDUP(IF(U153=0,VLOOKUP(R153&amp;S153,$B$20:$G$32,6,FALSE),VLOOKUP(R153&amp;S153,$B$20:$G$32,6,FALSE)*V153)/5,0)*5</f>
        <v>25</v>
      </c>
      <c r="X153" s="159">
        <f>W153*VLOOKUP(R153&amp;S153,$B$20:$H$32,7,FALSE)</f>
        <v>6125</v>
      </c>
      <c r="Y153" s="159" t="str">
        <f t="shared" si="39"/>
        <v>T5高</v>
      </c>
      <c r="Z153" s="645">
        <f t="shared" si="37"/>
        <v>205</v>
      </c>
      <c r="AA153" s="339">
        <f>Z153*VLOOKUP(R153&amp;S153,$B$20:$K$32,10,FALSE)</f>
        <v>161.4375</v>
      </c>
      <c r="AB153" s="645">
        <f t="shared" si="38"/>
        <v>5</v>
      </c>
      <c r="AC153" s="8">
        <v>2.8000000000000001E-2</v>
      </c>
      <c r="AD153" s="645">
        <f>AC153*VLOOKUP(R153&amp;S153,游戏时长规划!$B$66:$D$78,3,FALSE)</f>
        <v>17.418800000000001</v>
      </c>
      <c r="AE153" s="645">
        <f>ROUND(AD153*VLOOKUP(R153&amp;S153,$C$50:$D$62,2,FALSE)/500,0)*500</f>
        <v>657500</v>
      </c>
      <c r="AF153" s="157"/>
      <c r="AG153" s="645" t="str">
        <f>Q153&amp;R153&amp;S153&amp;U153</f>
        <v>12T5高5</v>
      </c>
      <c r="AH153" s="339">
        <f t="shared" si="40"/>
        <v>161.4375</v>
      </c>
      <c r="AI153" s="645">
        <f t="shared" si="41"/>
        <v>30625</v>
      </c>
    </row>
    <row r="154" spans="17:35" x14ac:dyDescent="0.35">
      <c r="Q154" s="645">
        <f>IF(T153=U153,Q153+1,Q153)</f>
        <v>12</v>
      </c>
      <c r="R154" s="655" t="str">
        <f t="shared" si="42"/>
        <v>T5</v>
      </c>
      <c r="S154" s="655" t="str">
        <f t="shared" si="42"/>
        <v>高</v>
      </c>
      <c r="T154" s="645">
        <f>VLOOKUP(R154&amp;S154,$B$20:$F$32,5,FALSE)</f>
        <v>20</v>
      </c>
      <c r="U154" s="645">
        <f>IF(R154&amp;S154&lt;&gt;R153&amp;S153,0,IF(U153&lt;T153,U153+1,0))</f>
        <v>6</v>
      </c>
      <c r="V154" s="8">
        <v>0.254</v>
      </c>
      <c r="W154" s="645">
        <f>ROUNDUP(IF(U154=0,VLOOKUP(R154&amp;S154,$B$20:$G$32,6,FALSE),VLOOKUP(R154&amp;S154,$B$20:$G$32,6,FALSE)*V154)/5,0)*5</f>
        <v>25</v>
      </c>
      <c r="X154" s="159">
        <f>W154*VLOOKUP(R154&amp;S154,$B$20:$H$32,7,FALSE)</f>
        <v>6125</v>
      </c>
      <c r="Y154" s="159" t="str">
        <f t="shared" si="39"/>
        <v>T5高</v>
      </c>
      <c r="Z154" s="645">
        <f t="shared" si="37"/>
        <v>230</v>
      </c>
      <c r="AA154" s="339">
        <f>Z154*VLOOKUP(R154&amp;S154,$B$20:$K$32,10,FALSE)</f>
        <v>181.125</v>
      </c>
      <c r="AB154" s="645">
        <f t="shared" si="38"/>
        <v>6</v>
      </c>
      <c r="AC154" s="8">
        <v>3.2000000000000001E-2</v>
      </c>
      <c r="AD154" s="645">
        <f>AC154*VLOOKUP(R154&amp;S154,游戏时长规划!$B$66:$D$78,3,FALSE)</f>
        <v>19.9072</v>
      </c>
      <c r="AE154" s="645">
        <f>ROUND(AD154*VLOOKUP(R154&amp;S154,$C$50:$D$62,2,FALSE)/500,0)*500</f>
        <v>751500</v>
      </c>
      <c r="AF154" s="157"/>
      <c r="AG154" s="645" t="str">
        <f>Q154&amp;R154&amp;S154&amp;U154</f>
        <v>12T5高6</v>
      </c>
      <c r="AH154" s="339">
        <f t="shared" si="40"/>
        <v>181.125</v>
      </c>
      <c r="AI154" s="645">
        <f t="shared" si="41"/>
        <v>36750</v>
      </c>
    </row>
    <row r="155" spans="17:35" x14ac:dyDescent="0.35">
      <c r="Q155" s="645">
        <f>IF(T154=U154,Q154+1,Q154)</f>
        <v>12</v>
      </c>
      <c r="R155" s="655" t="str">
        <f t="shared" si="42"/>
        <v>T5</v>
      </c>
      <c r="S155" s="655" t="str">
        <f t="shared" si="42"/>
        <v>高</v>
      </c>
      <c r="T155" s="645">
        <f>VLOOKUP(R155&amp;S155,$B$20:$F$32,5,FALSE)</f>
        <v>20</v>
      </c>
      <c r="U155" s="645">
        <f>IF(R155&amp;S155&lt;&gt;R154&amp;S154,0,IF(U154&lt;T154,U154+1,0))</f>
        <v>7</v>
      </c>
      <c r="V155" s="8">
        <v>0.38200000000000001</v>
      </c>
      <c r="W155" s="645">
        <f>ROUNDUP(IF(U155=0,VLOOKUP(R155&amp;S155,$B$20:$G$32,6,FALSE),VLOOKUP(R155&amp;S155,$B$20:$G$32,6,FALSE)*V155)/5,0)*5</f>
        <v>35</v>
      </c>
      <c r="X155" s="159">
        <f>W155*VLOOKUP(R155&amp;S155,$B$20:$H$32,7,FALSE)</f>
        <v>8575</v>
      </c>
      <c r="Y155" s="159" t="str">
        <f t="shared" si="39"/>
        <v>T5高</v>
      </c>
      <c r="Z155" s="645">
        <f t="shared" si="37"/>
        <v>265</v>
      </c>
      <c r="AA155" s="339">
        <f>Z155*VLOOKUP(R155&amp;S155,$B$20:$K$32,10,FALSE)</f>
        <v>208.6875</v>
      </c>
      <c r="AB155" s="645">
        <f t="shared" si="38"/>
        <v>7</v>
      </c>
      <c r="AC155" s="8">
        <v>3.5999999999999997E-2</v>
      </c>
      <c r="AD155" s="645">
        <f>AC155*VLOOKUP(R155&amp;S155,游戏时长规划!$B$66:$D$78,3,FALSE)</f>
        <v>22.395599999999998</v>
      </c>
      <c r="AE155" s="645">
        <f>ROUND(AD155*VLOOKUP(R155&amp;S155,$C$50:$D$62,2,FALSE)/500,0)*500</f>
        <v>845500</v>
      </c>
      <c r="AF155" s="157"/>
      <c r="AG155" s="645" t="str">
        <f>Q155&amp;R155&amp;S155&amp;U155</f>
        <v>12T5高7</v>
      </c>
      <c r="AH155" s="339">
        <f t="shared" si="40"/>
        <v>208.6875</v>
      </c>
      <c r="AI155" s="645">
        <f t="shared" si="41"/>
        <v>45325</v>
      </c>
    </row>
    <row r="156" spans="17:35" x14ac:dyDescent="0.35">
      <c r="Q156" s="645">
        <f>IF(T155=U155,Q155+1,Q155)</f>
        <v>12</v>
      </c>
      <c r="R156" s="655" t="str">
        <f t="shared" si="42"/>
        <v>T5</v>
      </c>
      <c r="S156" s="655" t="str">
        <f t="shared" si="42"/>
        <v>高</v>
      </c>
      <c r="T156" s="645">
        <f>VLOOKUP(R156&amp;S156,$B$20:$F$32,5,FALSE)</f>
        <v>20</v>
      </c>
      <c r="U156" s="645">
        <f>IF(R156&amp;S156&lt;&gt;R155&amp;S155,0,IF(U155&lt;T155,U155+1,0))</f>
        <v>8</v>
      </c>
      <c r="V156" s="8">
        <v>0.38200000000000001</v>
      </c>
      <c r="W156" s="645">
        <f>ROUNDUP(IF(U156=0,VLOOKUP(R156&amp;S156,$B$20:$G$32,6,FALSE),VLOOKUP(R156&amp;S156,$B$20:$G$32,6,FALSE)*V156)/5,0)*5</f>
        <v>35</v>
      </c>
      <c r="X156" s="159">
        <f>W156*VLOOKUP(R156&amp;S156,$B$20:$H$32,7,FALSE)</f>
        <v>8575</v>
      </c>
      <c r="Y156" s="159" t="str">
        <f t="shared" si="39"/>
        <v>T5高</v>
      </c>
      <c r="Z156" s="645">
        <f t="shared" si="37"/>
        <v>300</v>
      </c>
      <c r="AA156" s="339">
        <f>Z156*VLOOKUP(R156&amp;S156,$B$20:$K$32,10,FALSE)</f>
        <v>236.25</v>
      </c>
      <c r="AB156" s="645">
        <f t="shared" si="38"/>
        <v>8</v>
      </c>
      <c r="AC156" s="8">
        <v>0.04</v>
      </c>
      <c r="AD156" s="645">
        <f>AC156*VLOOKUP(R156&amp;S156,游戏时长规划!$B$66:$D$78,3,FALSE)</f>
        <v>24.884</v>
      </c>
      <c r="AE156" s="645">
        <f>ROUND(AD156*VLOOKUP(R156&amp;S156,$C$50:$D$62,2,FALSE)/500,0)*500</f>
        <v>939500</v>
      </c>
      <c r="AF156" s="157"/>
      <c r="AG156" s="645" t="str">
        <f>Q156&amp;R156&amp;S156&amp;U156</f>
        <v>12T5高8</v>
      </c>
      <c r="AH156" s="339">
        <f t="shared" si="40"/>
        <v>236.25</v>
      </c>
      <c r="AI156" s="645">
        <f t="shared" si="41"/>
        <v>53900</v>
      </c>
    </row>
    <row r="157" spans="17:35" x14ac:dyDescent="0.35">
      <c r="Q157" s="645">
        <f>IF(T156=U156,Q156+1,Q156)</f>
        <v>12</v>
      </c>
      <c r="R157" s="655" t="str">
        <f t="shared" si="42"/>
        <v>T5</v>
      </c>
      <c r="S157" s="655" t="str">
        <f t="shared" si="42"/>
        <v>高</v>
      </c>
      <c r="T157" s="645">
        <f>VLOOKUP(R157&amp;S157,$B$20:$F$32,5,FALSE)</f>
        <v>20</v>
      </c>
      <c r="U157" s="645">
        <f>IF(R157&amp;S157&lt;&gt;R156&amp;S156,0,IF(U156&lt;T156,U156+1,0))</f>
        <v>9</v>
      </c>
      <c r="V157" s="8">
        <v>0.38200000000000001</v>
      </c>
      <c r="W157" s="645">
        <f>ROUNDUP(IF(U157=0,VLOOKUP(R157&amp;S157,$B$20:$G$32,6,FALSE),VLOOKUP(R157&amp;S157,$B$20:$G$32,6,FALSE)*V157)/5,0)*5</f>
        <v>35</v>
      </c>
      <c r="X157" s="159">
        <f>W157*VLOOKUP(R157&amp;S157,$B$20:$H$32,7,FALSE)</f>
        <v>8575</v>
      </c>
      <c r="Y157" s="159" t="str">
        <f t="shared" si="39"/>
        <v>T5高</v>
      </c>
      <c r="Z157" s="645">
        <f t="shared" si="37"/>
        <v>335</v>
      </c>
      <c r="AA157" s="339">
        <f>Z157*VLOOKUP(R157&amp;S157,$B$20:$K$32,10,FALSE)</f>
        <v>263.8125</v>
      </c>
      <c r="AB157" s="645">
        <f t="shared" si="38"/>
        <v>9</v>
      </c>
      <c r="AC157" s="8">
        <v>4.3999999999999997E-2</v>
      </c>
      <c r="AD157" s="645">
        <f>AC157*VLOOKUP(R157&amp;S157,游戏时长规划!$B$66:$D$78,3,FALSE)</f>
        <v>27.372399999999999</v>
      </c>
      <c r="AE157" s="645">
        <f>ROUND(AD157*VLOOKUP(R157&amp;S157,$C$50:$D$62,2,FALSE)/500,0)*500</f>
        <v>1033500</v>
      </c>
      <c r="AF157" s="157"/>
      <c r="AG157" s="645" t="str">
        <f>Q157&amp;R157&amp;S157&amp;U157</f>
        <v>12T5高9</v>
      </c>
      <c r="AH157" s="339">
        <f t="shared" si="40"/>
        <v>263.8125</v>
      </c>
      <c r="AI157" s="645">
        <f t="shared" si="41"/>
        <v>62475</v>
      </c>
    </row>
    <row r="158" spans="17:35" x14ac:dyDescent="0.35">
      <c r="Q158" s="645">
        <f>IF(T157=U157,Q157+1,Q157)</f>
        <v>12</v>
      </c>
      <c r="R158" s="655" t="str">
        <f t="shared" si="42"/>
        <v>T5</v>
      </c>
      <c r="S158" s="655" t="str">
        <f t="shared" si="42"/>
        <v>高</v>
      </c>
      <c r="T158" s="645">
        <f>VLOOKUP(R158&amp;S158,$B$20:$F$32,5,FALSE)</f>
        <v>20</v>
      </c>
      <c r="U158" s="645">
        <f>IF(R158&amp;S158&lt;&gt;R157&amp;S157,0,IF(U157&lt;T157,U157+1,0))</f>
        <v>10</v>
      </c>
      <c r="V158" s="8">
        <v>0.38200000000000001</v>
      </c>
      <c r="W158" s="645">
        <f>ROUNDUP(IF(U158=0,VLOOKUP(R158&amp;S158,$B$20:$G$32,6,FALSE),VLOOKUP(R158&amp;S158,$B$20:$G$32,6,FALSE)*V158)/5,0)*5</f>
        <v>35</v>
      </c>
      <c r="X158" s="159">
        <f>W158*VLOOKUP(R158&amp;S158,$B$20:$H$32,7,FALSE)</f>
        <v>8575</v>
      </c>
      <c r="Y158" s="159" t="str">
        <f t="shared" si="39"/>
        <v>T5高</v>
      </c>
      <c r="Z158" s="645">
        <f t="shared" si="37"/>
        <v>370</v>
      </c>
      <c r="AA158" s="339">
        <f>Z158*VLOOKUP(R158&amp;S158,$B$20:$K$32,10,FALSE)</f>
        <v>291.375</v>
      </c>
      <c r="AB158" s="645">
        <f t="shared" si="38"/>
        <v>10</v>
      </c>
      <c r="AC158" s="8">
        <v>4.8000000000000001E-2</v>
      </c>
      <c r="AD158" s="645">
        <f>AC158*VLOOKUP(R158&amp;S158,游戏时长规划!$B$66:$D$78,3,FALSE)</f>
        <v>29.860800000000001</v>
      </c>
      <c r="AE158" s="645">
        <f>ROUND(AD158*VLOOKUP(R158&amp;S158,$C$50:$D$62,2,FALSE)/500,0)*500</f>
        <v>1127500</v>
      </c>
      <c r="AF158" s="157"/>
      <c r="AG158" s="645" t="str">
        <f>Q158&amp;R158&amp;S158&amp;U158</f>
        <v>12T5高10</v>
      </c>
      <c r="AH158" s="339">
        <f t="shared" si="40"/>
        <v>291.375</v>
      </c>
      <c r="AI158" s="645">
        <f t="shared" si="41"/>
        <v>71050</v>
      </c>
    </row>
    <row r="159" spans="17:35" x14ac:dyDescent="0.35">
      <c r="Q159" s="645">
        <f>IF(T158=U158,Q158+1,Q158)</f>
        <v>12</v>
      </c>
      <c r="R159" s="655" t="str">
        <f t="shared" si="42"/>
        <v>T5</v>
      </c>
      <c r="S159" s="655" t="str">
        <f t="shared" si="42"/>
        <v>高</v>
      </c>
      <c r="T159" s="645">
        <f>VLOOKUP(R159&amp;S159,$B$20:$F$32,5,FALSE)</f>
        <v>20</v>
      </c>
      <c r="U159" s="645">
        <f>IF(R159&amp;S159&lt;&gt;R158&amp;S158,0,IF(U158&lt;T158,U158+1,0))</f>
        <v>11</v>
      </c>
      <c r="V159" s="8">
        <v>0.38200000000000001</v>
      </c>
      <c r="W159" s="645">
        <f>ROUNDUP(IF(U159=0,VLOOKUP(R159&amp;S159,$B$20:$G$32,6,FALSE),VLOOKUP(R159&amp;S159,$B$20:$G$32,6,FALSE)*V159)/5,0)*5</f>
        <v>35</v>
      </c>
      <c r="X159" s="159">
        <f>W159*VLOOKUP(R159&amp;S159,$B$20:$H$32,7,FALSE)</f>
        <v>8575</v>
      </c>
      <c r="Y159" s="159" t="str">
        <f t="shared" si="39"/>
        <v>T5高</v>
      </c>
      <c r="Z159" s="645">
        <f t="shared" si="37"/>
        <v>405</v>
      </c>
      <c r="AA159" s="339">
        <f>Z159*VLOOKUP(R159&amp;S159,$B$20:$K$32,10,FALSE)</f>
        <v>318.9375</v>
      </c>
      <c r="AB159" s="645">
        <f t="shared" si="38"/>
        <v>11</v>
      </c>
      <c r="AC159" s="8">
        <v>5.1999999999999998E-2</v>
      </c>
      <c r="AD159" s="645">
        <f>AC159*VLOOKUP(R159&amp;S159,游戏时长规划!$B$66:$D$78,3,FALSE)</f>
        <v>32.349199999999996</v>
      </c>
      <c r="AE159" s="645">
        <f>ROUND(AD159*VLOOKUP(R159&amp;S159,$C$50:$D$62,2,FALSE)/500,0)*500</f>
        <v>1221000</v>
      </c>
      <c r="AF159" s="157"/>
      <c r="AG159" s="645" t="str">
        <f>Q159&amp;R159&amp;S159&amp;U159</f>
        <v>12T5高11</v>
      </c>
      <c r="AH159" s="339">
        <f t="shared" si="40"/>
        <v>318.9375</v>
      </c>
      <c r="AI159" s="645">
        <f t="shared" si="41"/>
        <v>79625</v>
      </c>
    </row>
    <row r="160" spans="17:35" x14ac:dyDescent="0.35">
      <c r="Q160" s="645">
        <f>IF(T159=U159,Q159+1,Q159)</f>
        <v>12</v>
      </c>
      <c r="R160" s="655" t="str">
        <f t="shared" si="42"/>
        <v>T5</v>
      </c>
      <c r="S160" s="655" t="str">
        <f t="shared" si="42"/>
        <v>高</v>
      </c>
      <c r="T160" s="645">
        <f>VLOOKUP(R160&amp;S160,$B$20:$F$32,5,FALSE)</f>
        <v>20</v>
      </c>
      <c r="U160" s="645">
        <f>IF(R160&amp;S160&lt;&gt;R159&amp;S159,0,IF(U159&lt;T159,U159+1,0))</f>
        <v>12</v>
      </c>
      <c r="V160" s="8">
        <v>0.38200000000000001</v>
      </c>
      <c r="W160" s="645">
        <f>ROUNDUP(IF(U160=0,VLOOKUP(R160&amp;S160,$B$20:$G$32,6,FALSE),VLOOKUP(R160&amp;S160,$B$20:$G$32,6,FALSE)*V160)/5,0)*5</f>
        <v>35</v>
      </c>
      <c r="X160" s="159">
        <f>W160*VLOOKUP(R160&amp;S160,$B$20:$H$32,7,FALSE)</f>
        <v>8575</v>
      </c>
      <c r="Y160" s="159" t="str">
        <f t="shared" si="39"/>
        <v>T5高</v>
      </c>
      <c r="Z160" s="645">
        <f t="shared" si="37"/>
        <v>440</v>
      </c>
      <c r="AA160" s="339">
        <f>Z160*VLOOKUP(R160&amp;S160,$B$20:$K$32,10,FALSE)</f>
        <v>346.5</v>
      </c>
      <c r="AB160" s="645">
        <f t="shared" si="38"/>
        <v>12</v>
      </c>
      <c r="AC160" s="8">
        <v>5.6000000000000001E-2</v>
      </c>
      <c r="AD160" s="645">
        <f>AC160*VLOOKUP(R160&amp;S160,游戏时长规划!$B$66:$D$78,3,FALSE)</f>
        <v>34.837600000000002</v>
      </c>
      <c r="AE160" s="645">
        <f>ROUND(AD160*VLOOKUP(R160&amp;S160,$C$50:$D$62,2,FALSE)/500,0)*500</f>
        <v>1315000</v>
      </c>
      <c r="AF160" s="157"/>
      <c r="AG160" s="645" t="str">
        <f>Q160&amp;R160&amp;S160&amp;U160</f>
        <v>12T5高12</v>
      </c>
      <c r="AH160" s="339">
        <f t="shared" si="40"/>
        <v>346.5</v>
      </c>
      <c r="AI160" s="645">
        <f t="shared" si="41"/>
        <v>88200</v>
      </c>
    </row>
    <row r="161" spans="17:35" x14ac:dyDescent="0.35">
      <c r="Q161" s="645">
        <f>IF(T160=U160,Q160+1,Q160)</f>
        <v>12</v>
      </c>
      <c r="R161" s="655" t="str">
        <f t="shared" si="42"/>
        <v>T5</v>
      </c>
      <c r="S161" s="655" t="str">
        <f t="shared" si="42"/>
        <v>高</v>
      </c>
      <c r="T161" s="645">
        <f>VLOOKUP(R161&amp;S161,$B$20:$F$32,5,FALSE)</f>
        <v>20</v>
      </c>
      <c r="U161" s="645">
        <f>IF(R161&amp;S161&lt;&gt;R160&amp;S160,0,IF(U160&lt;T160,U160+1,0))</f>
        <v>13</v>
      </c>
      <c r="V161" s="8">
        <v>0.38200000000000001</v>
      </c>
      <c r="W161" s="645">
        <f>ROUNDUP(IF(U161=0,VLOOKUP(R161&amp;S161,$B$20:$G$32,6,FALSE),VLOOKUP(R161&amp;S161,$B$20:$G$32,6,FALSE)*V161)/5,0)*5</f>
        <v>35</v>
      </c>
      <c r="X161" s="159">
        <f>W161*VLOOKUP(R161&amp;S161,$B$20:$H$32,7,FALSE)</f>
        <v>8575</v>
      </c>
      <c r="Y161" s="159" t="str">
        <f t="shared" si="39"/>
        <v>T5高</v>
      </c>
      <c r="Z161" s="645">
        <f t="shared" si="37"/>
        <v>475</v>
      </c>
      <c r="AA161" s="339">
        <f>Z161*VLOOKUP(R161&amp;S161,$B$20:$K$32,10,FALSE)</f>
        <v>374.0625</v>
      </c>
      <c r="AB161" s="645">
        <f t="shared" si="38"/>
        <v>13</v>
      </c>
      <c r="AC161" s="8">
        <v>0.06</v>
      </c>
      <c r="AD161" s="645">
        <f>AC161*VLOOKUP(R161&amp;S161,游戏时长规划!$B$66:$D$78,3,FALSE)</f>
        <v>37.326000000000001</v>
      </c>
      <c r="AE161" s="645">
        <f>ROUND(AD161*VLOOKUP(R161&amp;S161,$C$50:$D$62,2,FALSE)/500,0)*500</f>
        <v>1409000</v>
      </c>
      <c r="AF161" s="157"/>
      <c r="AG161" s="645" t="str">
        <f>Q161&amp;R161&amp;S161&amp;U161</f>
        <v>12T5高13</v>
      </c>
      <c r="AH161" s="339">
        <f t="shared" si="40"/>
        <v>374.0625</v>
      </c>
      <c r="AI161" s="645">
        <f t="shared" si="41"/>
        <v>96775</v>
      </c>
    </row>
    <row r="162" spans="17:35" x14ac:dyDescent="0.35">
      <c r="Q162" s="645">
        <f>IF(T161=U161,Q161+1,Q161)</f>
        <v>12</v>
      </c>
      <c r="R162" s="655" t="str">
        <f t="shared" si="42"/>
        <v>T5</v>
      </c>
      <c r="S162" s="655" t="str">
        <f t="shared" si="42"/>
        <v>高</v>
      </c>
      <c r="T162" s="645">
        <f>VLOOKUP(R162&amp;S162,$B$20:$F$32,5,FALSE)</f>
        <v>20</v>
      </c>
      <c r="U162" s="645">
        <f>IF(R162&amp;S162&lt;&gt;R161&amp;S161,0,IF(U161&lt;T161,U161+1,0))</f>
        <v>14</v>
      </c>
      <c r="V162" s="8">
        <v>0.50900000000000001</v>
      </c>
      <c r="W162" s="645">
        <f>ROUNDUP(IF(U162=0,VLOOKUP(R162&amp;S162,$B$20:$G$32,6,FALSE),VLOOKUP(R162&amp;S162,$B$20:$G$32,6,FALSE)*V162)/5,0)*5</f>
        <v>45</v>
      </c>
      <c r="X162" s="159">
        <f>W162*VLOOKUP(R162&amp;S162,$B$20:$H$32,7,FALSE)</f>
        <v>11025</v>
      </c>
      <c r="Y162" s="159" t="str">
        <f t="shared" si="39"/>
        <v>T5高</v>
      </c>
      <c r="Z162" s="645">
        <f t="shared" si="37"/>
        <v>520</v>
      </c>
      <c r="AA162" s="339">
        <f>Z162*VLOOKUP(R162&amp;S162,$B$20:$K$32,10,FALSE)</f>
        <v>409.5</v>
      </c>
      <c r="AB162" s="645">
        <f t="shared" si="38"/>
        <v>14</v>
      </c>
      <c r="AC162" s="8">
        <v>6.4000000000000001E-2</v>
      </c>
      <c r="AD162" s="645">
        <f>AC162*VLOOKUP(R162&amp;S162,游戏时长规划!$B$66:$D$78,3,FALSE)</f>
        <v>39.814399999999999</v>
      </c>
      <c r="AE162" s="645">
        <f>ROUND(AD162*VLOOKUP(R162&amp;S162,$C$50:$D$62,2,FALSE)/500,0)*500</f>
        <v>1503000</v>
      </c>
      <c r="AF162" s="157"/>
      <c r="AG162" s="645" t="str">
        <f>Q162&amp;R162&amp;S162&amp;U162</f>
        <v>12T5高14</v>
      </c>
      <c r="AH162" s="339">
        <f t="shared" si="40"/>
        <v>409.5</v>
      </c>
      <c r="AI162" s="645">
        <f t="shared" si="41"/>
        <v>107800</v>
      </c>
    </row>
    <row r="163" spans="17:35" x14ac:dyDescent="0.35">
      <c r="Q163" s="645">
        <f>IF(T162=U162,Q162+1,Q162)</f>
        <v>12</v>
      </c>
      <c r="R163" s="655" t="str">
        <f t="shared" si="42"/>
        <v>T5</v>
      </c>
      <c r="S163" s="655" t="str">
        <f t="shared" si="42"/>
        <v>高</v>
      </c>
      <c r="T163" s="645">
        <f>VLOOKUP(R163&amp;S163,$B$20:$F$32,5,FALSE)</f>
        <v>20</v>
      </c>
      <c r="U163" s="645">
        <f>IF(R163&amp;S163&lt;&gt;R162&amp;S162,0,IF(U162&lt;T162,U162+1,0))</f>
        <v>15</v>
      </c>
      <c r="V163" s="8">
        <v>0.50900000000000001</v>
      </c>
      <c r="W163" s="645">
        <f>ROUNDUP(IF(U163=0,VLOOKUP(R163&amp;S163,$B$20:$G$32,6,FALSE),VLOOKUP(R163&amp;S163,$B$20:$G$32,6,FALSE)*V163)/5,0)*5</f>
        <v>45</v>
      </c>
      <c r="X163" s="159">
        <f>W163*VLOOKUP(R163&amp;S163,$B$20:$H$32,7,FALSE)</f>
        <v>11025</v>
      </c>
      <c r="Y163" s="159" t="str">
        <f t="shared" si="39"/>
        <v>T5高</v>
      </c>
      <c r="Z163" s="645">
        <f t="shared" si="37"/>
        <v>565</v>
      </c>
      <c r="AA163" s="339">
        <f>Z163*VLOOKUP(R163&amp;S163,$B$20:$K$32,10,FALSE)</f>
        <v>444.9375</v>
      </c>
      <c r="AB163" s="645">
        <f t="shared" si="38"/>
        <v>15</v>
      </c>
      <c r="AC163" s="8">
        <v>6.8000000000000005E-2</v>
      </c>
      <c r="AD163" s="645">
        <f>AC163*VLOOKUP(R163&amp;S163,游戏时长规划!$B$66:$D$78,3,FALSE)</f>
        <v>42.302800000000005</v>
      </c>
      <c r="AE163" s="645">
        <f>ROUND(AD163*VLOOKUP(R163&amp;S163,$C$50:$D$62,2,FALSE)/500,0)*500</f>
        <v>1597000</v>
      </c>
      <c r="AF163" s="157"/>
      <c r="AG163" s="645" t="str">
        <f>Q163&amp;R163&amp;S163&amp;U163</f>
        <v>12T5高15</v>
      </c>
      <c r="AH163" s="339">
        <f t="shared" si="40"/>
        <v>444.9375</v>
      </c>
      <c r="AI163" s="645">
        <f t="shared" si="41"/>
        <v>118825</v>
      </c>
    </row>
    <row r="164" spans="17:35" x14ac:dyDescent="0.35">
      <c r="Q164" s="645">
        <f>IF(T163=U163,Q163+1,Q163)</f>
        <v>12</v>
      </c>
      <c r="R164" s="655" t="str">
        <f t="shared" si="42"/>
        <v>T5</v>
      </c>
      <c r="S164" s="655" t="str">
        <f t="shared" si="42"/>
        <v>高</v>
      </c>
      <c r="T164" s="645">
        <f>VLOOKUP(R164&amp;S164,$B$20:$F$32,5,FALSE)</f>
        <v>20</v>
      </c>
      <c r="U164" s="645">
        <f>IF(R164&amp;S164&lt;&gt;R163&amp;S163,0,IF(U163&lt;T163,U163+1,0))</f>
        <v>16</v>
      </c>
      <c r="V164" s="8">
        <v>0.50900000000000001</v>
      </c>
      <c r="W164" s="645">
        <f>ROUNDUP(IF(U164=0,VLOOKUP(R164&amp;S164,$B$20:$G$32,6,FALSE),VLOOKUP(R164&amp;S164,$B$20:$G$32,6,FALSE)*V164)/5,0)*5</f>
        <v>45</v>
      </c>
      <c r="X164" s="159">
        <f>W164*VLOOKUP(R164&amp;S164,$B$20:$H$32,7,FALSE)</f>
        <v>11025</v>
      </c>
      <c r="Y164" s="159" t="str">
        <f t="shared" si="39"/>
        <v>T5高</v>
      </c>
      <c r="Z164" s="645">
        <f t="shared" si="37"/>
        <v>610</v>
      </c>
      <c r="AA164" s="339">
        <f>Z164*VLOOKUP(R164&amp;S164,$B$20:$K$32,10,FALSE)</f>
        <v>480.375</v>
      </c>
      <c r="AB164" s="645">
        <f t="shared" si="38"/>
        <v>16</v>
      </c>
      <c r="AC164" s="8">
        <v>7.1999999999999995E-2</v>
      </c>
      <c r="AD164" s="645">
        <f>AC164*VLOOKUP(R164&amp;S164,游戏时长规划!$B$66:$D$78,3,FALSE)</f>
        <v>44.791199999999996</v>
      </c>
      <c r="AE164" s="645">
        <f>ROUND(AD164*VLOOKUP(R164&amp;S164,$C$50:$D$62,2,FALSE)/500,0)*500</f>
        <v>1691000</v>
      </c>
      <c r="AF164" s="157"/>
      <c r="AG164" s="645" t="str">
        <f>Q164&amp;R164&amp;S164&amp;U164</f>
        <v>12T5高16</v>
      </c>
      <c r="AH164" s="339">
        <f t="shared" si="40"/>
        <v>480.375</v>
      </c>
      <c r="AI164" s="645">
        <f t="shared" si="41"/>
        <v>129850</v>
      </c>
    </row>
    <row r="165" spans="17:35" x14ac:dyDescent="0.35">
      <c r="Q165" s="645">
        <f>IF(T164=U164,Q164+1,Q164)</f>
        <v>12</v>
      </c>
      <c r="R165" s="655" t="str">
        <f t="shared" si="42"/>
        <v>T5</v>
      </c>
      <c r="S165" s="655" t="str">
        <f t="shared" si="42"/>
        <v>高</v>
      </c>
      <c r="T165" s="645">
        <f>VLOOKUP(R165&amp;S165,$B$20:$F$32,5,FALSE)</f>
        <v>20</v>
      </c>
      <c r="U165" s="645">
        <f>IF(R165&amp;S165&lt;&gt;R164&amp;S164,0,IF(U164&lt;T164,U164+1,0))</f>
        <v>17</v>
      </c>
      <c r="V165" s="8">
        <v>0.50900000000000001</v>
      </c>
      <c r="W165" s="645">
        <f>ROUNDUP(IF(U165=0,VLOOKUP(R165&amp;S165,$B$20:$G$32,6,FALSE),VLOOKUP(R165&amp;S165,$B$20:$G$32,6,FALSE)*V165)/5,0)*5</f>
        <v>45</v>
      </c>
      <c r="X165" s="159">
        <f>W165*VLOOKUP(R165&amp;S165,$B$20:$H$32,7,FALSE)</f>
        <v>11025</v>
      </c>
      <c r="Y165" s="159" t="str">
        <f t="shared" si="39"/>
        <v>T5高</v>
      </c>
      <c r="Z165" s="645">
        <f t="shared" si="37"/>
        <v>655</v>
      </c>
      <c r="AA165" s="339">
        <f>Z165*VLOOKUP(R165&amp;S165,$B$20:$K$32,10,FALSE)</f>
        <v>515.8125</v>
      </c>
      <c r="AB165" s="645">
        <f t="shared" si="38"/>
        <v>17</v>
      </c>
      <c r="AC165" s="8">
        <v>7.5999999999999998E-2</v>
      </c>
      <c r="AD165" s="645">
        <f>AC165*VLOOKUP(R165&amp;S165,游戏时长规划!$B$66:$D$78,3,FALSE)</f>
        <v>47.279600000000002</v>
      </c>
      <c r="AE165" s="645">
        <f>ROUND(AD165*VLOOKUP(R165&amp;S165,$C$50:$D$62,2,FALSE)/500,0)*500</f>
        <v>1785000</v>
      </c>
      <c r="AF165" s="157"/>
      <c r="AG165" s="645" t="str">
        <f>Q165&amp;R165&amp;S165&amp;U165</f>
        <v>12T5高17</v>
      </c>
      <c r="AH165" s="339">
        <f t="shared" si="40"/>
        <v>515.8125</v>
      </c>
      <c r="AI165" s="645">
        <f t="shared" si="41"/>
        <v>140875</v>
      </c>
    </row>
    <row r="166" spans="17:35" x14ac:dyDescent="0.35">
      <c r="Q166" s="645">
        <f>IF(T165=U165,Q165+1,Q165)</f>
        <v>12</v>
      </c>
      <c r="R166" s="655" t="str">
        <f t="shared" si="42"/>
        <v>T5</v>
      </c>
      <c r="S166" s="655" t="str">
        <f t="shared" si="42"/>
        <v>高</v>
      </c>
      <c r="T166" s="645">
        <f>VLOOKUP(R166&amp;S166,$B$20:$F$32,5,FALSE)</f>
        <v>20</v>
      </c>
      <c r="U166" s="645">
        <f>IF(R166&amp;S166&lt;&gt;R165&amp;S165,0,IF(U165&lt;T165,U165+1,0))</f>
        <v>18</v>
      </c>
      <c r="V166" s="8">
        <v>0.50900000000000001</v>
      </c>
      <c r="W166" s="645">
        <f>ROUNDUP(IF(U166=0,VLOOKUP(R166&amp;S166,$B$20:$G$32,6,FALSE),VLOOKUP(R166&amp;S166,$B$20:$G$32,6,FALSE)*V166)/5,0)*5</f>
        <v>45</v>
      </c>
      <c r="X166" s="159">
        <f>W166*VLOOKUP(R166&amp;S166,$B$20:$H$32,7,FALSE)</f>
        <v>11025</v>
      </c>
      <c r="Y166" s="159" t="str">
        <f t="shared" si="39"/>
        <v>T5高</v>
      </c>
      <c r="Z166" s="645">
        <f t="shared" si="37"/>
        <v>700</v>
      </c>
      <c r="AA166" s="339">
        <f>Z166*VLOOKUP(R166&amp;S166,$B$20:$K$32,10,FALSE)</f>
        <v>551.25</v>
      </c>
      <c r="AB166" s="645">
        <f t="shared" si="38"/>
        <v>18</v>
      </c>
      <c r="AC166" s="8">
        <v>0.08</v>
      </c>
      <c r="AD166" s="645">
        <f>AC166*VLOOKUP(R166&amp;S166,游戏时长规划!$B$66:$D$78,3,FALSE)</f>
        <v>49.768000000000001</v>
      </c>
      <c r="AE166" s="645">
        <f>ROUND(AD166*VLOOKUP(R166&amp;S166,$C$50:$D$62,2,FALSE)/500,0)*500</f>
        <v>1879000</v>
      </c>
      <c r="AF166" s="157"/>
      <c r="AG166" s="645" t="str">
        <f>Q166&amp;R166&amp;S166&amp;U166</f>
        <v>12T5高18</v>
      </c>
      <c r="AH166" s="339">
        <f t="shared" si="40"/>
        <v>551.25</v>
      </c>
      <c r="AI166" s="645">
        <f t="shared" si="41"/>
        <v>151900</v>
      </c>
    </row>
    <row r="167" spans="17:35" x14ac:dyDescent="0.35">
      <c r="Q167" s="645">
        <f>IF(T166=U166,Q166+1,Q166)</f>
        <v>12</v>
      </c>
      <c r="R167" s="655" t="str">
        <f t="shared" si="42"/>
        <v>T5</v>
      </c>
      <c r="S167" s="655" t="str">
        <f t="shared" si="42"/>
        <v>高</v>
      </c>
      <c r="T167" s="645">
        <f>VLOOKUP(R167&amp;S167,$B$20:$F$32,5,FALSE)</f>
        <v>20</v>
      </c>
      <c r="U167" s="645">
        <f>IF(R167&amp;S167&lt;&gt;R166&amp;S166,0,IF(U166&lt;T166,U166+1,0))</f>
        <v>19</v>
      </c>
      <c r="V167" s="8">
        <v>0.50900000000000001</v>
      </c>
      <c r="W167" s="645">
        <f>ROUNDUP(IF(U167=0,VLOOKUP(R167&amp;S167,$B$20:$G$32,6,FALSE),VLOOKUP(R167&amp;S167,$B$20:$G$32,6,FALSE)*V167)/5,0)*5</f>
        <v>45</v>
      </c>
      <c r="X167" s="159">
        <f>W167*VLOOKUP(R167&amp;S167,$B$20:$H$32,7,FALSE)</f>
        <v>11025</v>
      </c>
      <c r="Y167" s="159" t="str">
        <f t="shared" si="39"/>
        <v>T5高</v>
      </c>
      <c r="Z167" s="645">
        <f t="shared" si="37"/>
        <v>745</v>
      </c>
      <c r="AA167" s="339">
        <f>Z167*VLOOKUP(R167&amp;S167,$B$20:$K$32,10,FALSE)</f>
        <v>586.6875</v>
      </c>
      <c r="AB167" s="645">
        <f t="shared" si="38"/>
        <v>19</v>
      </c>
      <c r="AC167" s="8">
        <v>8.4000000000000005E-2</v>
      </c>
      <c r="AD167" s="645">
        <f>AC167*VLOOKUP(R167&amp;S167,游戏时长规划!$B$66:$D$78,3,FALSE)</f>
        <v>52.256400000000006</v>
      </c>
      <c r="AE167" s="645">
        <f>ROUND(AD167*VLOOKUP(R167&amp;S167,$C$50:$D$62,2,FALSE)/500,0)*500</f>
        <v>1972500</v>
      </c>
      <c r="AF167" s="157"/>
      <c r="AG167" s="645" t="str">
        <f>Q167&amp;R167&amp;S167&amp;U167</f>
        <v>12T5高19</v>
      </c>
      <c r="AH167" s="339">
        <f t="shared" si="40"/>
        <v>586.6875</v>
      </c>
      <c r="AI167" s="645">
        <f t="shared" si="41"/>
        <v>162925</v>
      </c>
    </row>
    <row r="168" spans="17:35" x14ac:dyDescent="0.35">
      <c r="Q168" s="645">
        <f>IF(T167=U167,Q167+1,Q167)</f>
        <v>12</v>
      </c>
      <c r="R168" s="655" t="str">
        <f t="shared" si="42"/>
        <v>T5</v>
      </c>
      <c r="S168" s="655" t="str">
        <f t="shared" si="42"/>
        <v>高</v>
      </c>
      <c r="T168" s="645">
        <f>VLOOKUP(R168&amp;S168,$B$20:$F$32,5,FALSE)</f>
        <v>20</v>
      </c>
      <c r="U168" s="645">
        <f>IF(R168&amp;S168&lt;&gt;R167&amp;S167,0,IF(U167&lt;T167,U167+1,0))</f>
        <v>20</v>
      </c>
      <c r="V168" s="8">
        <v>0.50900000000000001</v>
      </c>
      <c r="W168" s="645">
        <f>ROUNDUP(IF(U168=0,VLOOKUP(R168&amp;S168,$B$20:$G$32,6,FALSE),VLOOKUP(R168&amp;S168,$B$20:$G$32,6,FALSE)*V168)/5,0)*5</f>
        <v>45</v>
      </c>
      <c r="X168" s="159">
        <f>W168*VLOOKUP(R168&amp;S168,$B$20:$H$32,7,FALSE)</f>
        <v>11025</v>
      </c>
      <c r="Y168" s="159" t="str">
        <f t="shared" si="39"/>
        <v>T5高</v>
      </c>
      <c r="Z168" s="645">
        <f t="shared" si="37"/>
        <v>790</v>
      </c>
      <c r="AA168" s="339">
        <f>Z168*VLOOKUP(R168&amp;S168,$B$20:$K$32,10,FALSE)</f>
        <v>622.125</v>
      </c>
      <c r="AB168" s="645">
        <f t="shared" si="38"/>
        <v>20</v>
      </c>
      <c r="AC168" s="8">
        <v>8.7999999999999995E-2</v>
      </c>
      <c r="AD168" s="645">
        <f>AC168*VLOOKUP(R168&amp;S168,游戏时长规划!$B$66:$D$78,3,FALSE)</f>
        <v>54.744799999999998</v>
      </c>
      <c r="AE168" s="645">
        <f>ROUND(AD168*VLOOKUP(R168&amp;S168,$C$50:$D$62,2,FALSE)/500,0)*500</f>
        <v>2066500</v>
      </c>
      <c r="AF168" s="157"/>
      <c r="AG168" s="645" t="str">
        <f>Q168&amp;R168&amp;S168&amp;U168</f>
        <v>12T5高20</v>
      </c>
      <c r="AH168" s="339">
        <f t="shared" si="40"/>
        <v>622.125</v>
      </c>
      <c r="AI168" s="645">
        <f t="shared" si="41"/>
        <v>173950</v>
      </c>
    </row>
  </sheetData>
  <mergeCells count="4">
    <mergeCell ref="B4:M4"/>
    <mergeCell ref="B19:L19"/>
    <mergeCell ref="B34:F34"/>
    <mergeCell ref="B49:D49"/>
  </mergeCells>
  <phoneticPr fontId="101" type="noConversion"/>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2:Y235"/>
  <sheetViews>
    <sheetView workbookViewId="0">
      <selection activeCell="T51" sqref="T51"/>
    </sheetView>
  </sheetViews>
  <sheetFormatPr defaultColWidth="9" defaultRowHeight="13" x14ac:dyDescent="0.35"/>
  <cols>
    <col min="1" max="16384" width="9" style="158"/>
  </cols>
  <sheetData>
    <row r="2" spans="1:22" x14ac:dyDescent="0.35">
      <c r="B2" s="765" t="s">
        <v>1165</v>
      </c>
      <c r="C2" s="744"/>
      <c r="D2" s="744"/>
      <c r="E2" s="744"/>
      <c r="F2" s="744"/>
      <c r="G2" s="744"/>
      <c r="H2" s="744"/>
      <c r="I2" s="752" t="s">
        <v>2443</v>
      </c>
      <c r="J2" s="737"/>
      <c r="K2" s="733" t="s">
        <v>2445</v>
      </c>
      <c r="L2" s="733"/>
      <c r="N2" s="105" t="s">
        <v>3079</v>
      </c>
      <c r="V2" s="531"/>
    </row>
    <row r="3" spans="1:22" x14ac:dyDescent="0.35">
      <c r="B3" s="314" t="s">
        <v>1212</v>
      </c>
      <c r="C3" s="313" t="s">
        <v>960</v>
      </c>
      <c r="D3" s="312" t="s">
        <v>902</v>
      </c>
      <c r="E3" s="313" t="s">
        <v>844</v>
      </c>
      <c r="F3" s="313" t="s">
        <v>948</v>
      </c>
      <c r="G3" s="313" t="s">
        <v>944</v>
      </c>
      <c r="H3" s="313" t="s">
        <v>961</v>
      </c>
      <c r="I3" s="365" t="s">
        <v>1767</v>
      </c>
      <c r="J3" s="365" t="s">
        <v>1768</v>
      </c>
      <c r="K3" s="529" t="s">
        <v>2441</v>
      </c>
      <c r="L3" s="529" t="s">
        <v>2442</v>
      </c>
      <c r="V3" s="531"/>
    </row>
    <row r="4" spans="1:22" x14ac:dyDescent="0.35">
      <c r="A4" s="158">
        <f>C4/D4</f>
        <v>62.5</v>
      </c>
      <c r="B4" s="529" t="s">
        <v>2404</v>
      </c>
      <c r="C4" s="312">
        <f>基础经济系数!F15</f>
        <v>125</v>
      </c>
      <c r="D4" s="8">
        <v>2</v>
      </c>
      <c r="E4" s="312">
        <f>基础经济系数!L15/基础经济系数!E15</f>
        <v>2.5</v>
      </c>
      <c r="F4" s="312">
        <f>基础经济系数!N15/基础经济系数!E15</f>
        <v>5</v>
      </c>
      <c r="G4" s="312">
        <f>C4-E4-F4</f>
        <v>117.5</v>
      </c>
      <c r="H4" s="312">
        <f>G4/D4</f>
        <v>58.75</v>
      </c>
      <c r="I4" s="365" t="s">
        <v>1761</v>
      </c>
      <c r="J4" s="365" t="s">
        <v>1762</v>
      </c>
      <c r="K4" s="466">
        <f>基础经济系数!$C$21</f>
        <v>0.7</v>
      </c>
      <c r="L4" s="466">
        <f>基础经济系数!$C$22</f>
        <v>0.30000000000000004</v>
      </c>
    </row>
    <row r="5" spans="1:22" x14ac:dyDescent="0.35">
      <c r="A5" s="158">
        <f t="shared" ref="A5:A9" si="0">C5/D5</f>
        <v>54</v>
      </c>
      <c r="B5" s="312" t="s">
        <v>855</v>
      </c>
      <c r="C5" s="312">
        <f>任务设定!F19</f>
        <v>54</v>
      </c>
      <c r="D5" s="8">
        <v>1</v>
      </c>
      <c r="E5" s="312">
        <f>任务设定!G19</f>
        <v>5</v>
      </c>
      <c r="F5" s="312">
        <f>任务设定!H19</f>
        <v>2</v>
      </c>
      <c r="G5" s="312">
        <f t="shared" ref="G5:G13" si="1">C5-E5-F5</f>
        <v>47</v>
      </c>
      <c r="H5" s="312">
        <f t="shared" ref="H5:H13" si="2">G5/D5</f>
        <v>47</v>
      </c>
      <c r="I5" s="365" t="s">
        <v>1763</v>
      </c>
      <c r="J5" s="365" t="s">
        <v>1764</v>
      </c>
      <c r="K5" s="466">
        <f>基础经济系数!$C$21</f>
        <v>0.7</v>
      </c>
      <c r="L5" s="466">
        <f>基础经济系数!$C$22</f>
        <v>0.30000000000000004</v>
      </c>
    </row>
    <row r="6" spans="1:22" x14ac:dyDescent="0.35">
      <c r="A6" s="158">
        <f t="shared" si="0"/>
        <v>54</v>
      </c>
      <c r="B6" s="312" t="s">
        <v>856</v>
      </c>
      <c r="C6" s="312">
        <f>任务设定!F20</f>
        <v>108</v>
      </c>
      <c r="D6" s="8">
        <v>2</v>
      </c>
      <c r="E6" s="312">
        <f>任务设定!G20</f>
        <v>9</v>
      </c>
      <c r="F6" s="312">
        <f>任务设定!H20</f>
        <v>4</v>
      </c>
      <c r="G6" s="312">
        <f t="shared" si="1"/>
        <v>95</v>
      </c>
      <c r="H6" s="312">
        <f t="shared" si="2"/>
        <v>47.5</v>
      </c>
      <c r="I6" s="365" t="s">
        <v>1763</v>
      </c>
      <c r="J6" s="365" t="s">
        <v>1764</v>
      </c>
      <c r="K6" s="466">
        <f>基础经济系数!$C$21</f>
        <v>0.7</v>
      </c>
      <c r="L6" s="466">
        <f>基础经济系数!$C$22</f>
        <v>0.30000000000000004</v>
      </c>
    </row>
    <row r="7" spans="1:22" x14ac:dyDescent="0.35">
      <c r="A7" s="158">
        <f t="shared" si="0"/>
        <v>72</v>
      </c>
      <c r="B7" s="312" t="s">
        <v>857</v>
      </c>
      <c r="C7" s="312">
        <f>任务设定!F21</f>
        <v>216</v>
      </c>
      <c r="D7" s="8">
        <v>3</v>
      </c>
      <c r="E7" s="312">
        <f>任务设定!G21</f>
        <v>18</v>
      </c>
      <c r="F7" s="312">
        <f>任务设定!H21</f>
        <v>6</v>
      </c>
      <c r="G7" s="312">
        <f t="shared" si="1"/>
        <v>192</v>
      </c>
      <c r="H7" s="312">
        <f t="shared" si="2"/>
        <v>64</v>
      </c>
      <c r="I7" s="365" t="s">
        <v>1763</v>
      </c>
      <c r="J7" s="365" t="s">
        <v>1764</v>
      </c>
      <c r="K7" s="466">
        <f>基础经济系数!$C$21</f>
        <v>0.7</v>
      </c>
      <c r="L7" s="466">
        <f>基础经济系数!$C$22</f>
        <v>0.30000000000000004</v>
      </c>
    </row>
    <row r="8" spans="1:22" x14ac:dyDescent="0.35">
      <c r="A8" s="158">
        <f t="shared" si="0"/>
        <v>108</v>
      </c>
      <c r="B8" s="312" t="s">
        <v>858</v>
      </c>
      <c r="C8" s="312">
        <f>任务设定!F22</f>
        <v>432</v>
      </c>
      <c r="D8" s="8">
        <v>4</v>
      </c>
      <c r="E8" s="312">
        <f>任务设定!G22</f>
        <v>36</v>
      </c>
      <c r="F8" s="312">
        <f>任务设定!H22</f>
        <v>8</v>
      </c>
      <c r="G8" s="312">
        <f t="shared" si="1"/>
        <v>388</v>
      </c>
      <c r="H8" s="312">
        <f t="shared" si="2"/>
        <v>97</v>
      </c>
      <c r="I8" s="365" t="s">
        <v>1763</v>
      </c>
      <c r="J8" s="365" t="s">
        <v>1764</v>
      </c>
      <c r="K8" s="466">
        <f>基础经济系数!$C$21</f>
        <v>0.7</v>
      </c>
      <c r="L8" s="466">
        <f>基础经济系数!$C$22</f>
        <v>0.30000000000000004</v>
      </c>
    </row>
    <row r="9" spans="1:22" x14ac:dyDescent="0.35">
      <c r="A9" s="158">
        <f t="shared" si="0"/>
        <v>66.666666666666671</v>
      </c>
      <c r="B9" s="226" t="s">
        <v>962</v>
      </c>
      <c r="C9" s="8">
        <v>200</v>
      </c>
      <c r="D9" s="8">
        <v>3</v>
      </c>
      <c r="E9" s="312">
        <v>0</v>
      </c>
      <c r="F9" s="8">
        <v>5</v>
      </c>
      <c r="G9" s="312">
        <f t="shared" si="1"/>
        <v>195</v>
      </c>
      <c r="H9" s="312">
        <f t="shared" si="2"/>
        <v>65</v>
      </c>
      <c r="I9" s="365" t="s">
        <v>1765</v>
      </c>
      <c r="J9" s="365" t="s">
        <v>1766</v>
      </c>
      <c r="K9" s="503">
        <v>0.5</v>
      </c>
      <c r="L9" s="466">
        <f>1-K9</f>
        <v>0.5</v>
      </c>
    </row>
    <row r="10" spans="1:22" x14ac:dyDescent="0.35">
      <c r="A10" s="158">
        <f t="shared" ref="A10:A13" si="3">C10/D10</f>
        <v>150</v>
      </c>
      <c r="B10" s="226" t="s">
        <v>1162</v>
      </c>
      <c r="C10" s="8">
        <v>600</v>
      </c>
      <c r="D10" s="8">
        <v>4</v>
      </c>
      <c r="E10" s="312">
        <v>0</v>
      </c>
      <c r="F10" s="8">
        <v>10</v>
      </c>
      <c r="G10" s="312">
        <f t="shared" si="1"/>
        <v>590</v>
      </c>
      <c r="H10" s="312">
        <f t="shared" si="2"/>
        <v>147.5</v>
      </c>
      <c r="I10" s="365" t="s">
        <v>1765</v>
      </c>
      <c r="J10" s="365" t="s">
        <v>1766</v>
      </c>
      <c r="K10" s="466">
        <f>基础经济系数!$C$21</f>
        <v>0.7</v>
      </c>
      <c r="L10" s="466">
        <f>基础经济系数!$C$22</f>
        <v>0.30000000000000004</v>
      </c>
    </row>
    <row r="11" spans="1:22" x14ac:dyDescent="0.35">
      <c r="A11" s="158">
        <f t="shared" si="3"/>
        <v>333.33333333333331</v>
      </c>
      <c r="B11" s="660" t="s">
        <v>3080</v>
      </c>
      <c r="C11" s="8">
        <v>2000</v>
      </c>
      <c r="D11" s="8">
        <v>6</v>
      </c>
      <c r="E11" s="508">
        <v>0</v>
      </c>
      <c r="F11" s="8">
        <v>20</v>
      </c>
      <c r="G11" s="508">
        <f>C11-E11-F11</f>
        <v>1980</v>
      </c>
      <c r="H11" s="508">
        <f>G11/D11</f>
        <v>330</v>
      </c>
      <c r="I11" s="365" t="s">
        <v>1765</v>
      </c>
      <c r="J11" s="365" t="s">
        <v>1766</v>
      </c>
      <c r="K11" s="503">
        <v>0.5</v>
      </c>
      <c r="L11" s="466">
        <f>1-K11</f>
        <v>0.5</v>
      </c>
    </row>
    <row r="12" spans="1:22" x14ac:dyDescent="0.35">
      <c r="A12" s="158">
        <f t="shared" si="3"/>
        <v>50</v>
      </c>
      <c r="B12" s="536" t="s">
        <v>2402</v>
      </c>
      <c r="C12" s="8">
        <v>100</v>
      </c>
      <c r="D12" s="8">
        <v>2</v>
      </c>
      <c r="E12" s="312">
        <v>0</v>
      </c>
      <c r="F12" s="8">
        <v>0</v>
      </c>
      <c r="G12" s="312">
        <f t="shared" si="1"/>
        <v>100</v>
      </c>
      <c r="H12" s="312">
        <f t="shared" si="2"/>
        <v>50</v>
      </c>
      <c r="I12" s="365" t="s">
        <v>1761</v>
      </c>
      <c r="J12" s="365" t="s">
        <v>1762</v>
      </c>
      <c r="K12" s="544">
        <v>0</v>
      </c>
      <c r="L12" s="544">
        <v>1</v>
      </c>
    </row>
    <row r="13" spans="1:22" x14ac:dyDescent="0.35">
      <c r="A13" s="158">
        <f t="shared" si="3"/>
        <v>50</v>
      </c>
      <c r="B13" s="536" t="s">
        <v>2403</v>
      </c>
      <c r="C13" s="8">
        <v>100</v>
      </c>
      <c r="D13" s="8">
        <v>2</v>
      </c>
      <c r="E13" s="508">
        <v>0</v>
      </c>
      <c r="F13" s="8">
        <v>0</v>
      </c>
      <c r="G13" s="508">
        <f t="shared" si="1"/>
        <v>100</v>
      </c>
      <c r="H13" s="508">
        <f t="shared" si="2"/>
        <v>50</v>
      </c>
      <c r="I13" s="365" t="s">
        <v>1761</v>
      </c>
      <c r="J13" s="365" t="s">
        <v>1762</v>
      </c>
      <c r="K13" s="544">
        <v>1</v>
      </c>
      <c r="L13" s="544">
        <v>0</v>
      </c>
    </row>
    <row r="14" spans="1:22" x14ac:dyDescent="0.35">
      <c r="B14" s="659"/>
      <c r="C14" s="10"/>
      <c r="D14" s="10"/>
      <c r="E14" s="157"/>
      <c r="F14" s="10"/>
      <c r="G14" s="157"/>
      <c r="H14" s="157"/>
      <c r="I14" s="658"/>
      <c r="J14" s="658"/>
      <c r="K14" s="48"/>
      <c r="L14" s="48"/>
    </row>
    <row r="15" spans="1:22" x14ac:dyDescent="0.35">
      <c r="B15" s="657"/>
      <c r="C15" s="10"/>
      <c r="D15" s="10"/>
      <c r="E15" s="157"/>
      <c r="F15" s="157"/>
      <c r="G15" s="157"/>
      <c r="H15" s="157"/>
      <c r="I15" s="658"/>
      <c r="J15" s="658"/>
      <c r="K15" s="48"/>
      <c r="L15" s="48"/>
    </row>
    <row r="16" spans="1:22" x14ac:dyDescent="0.35">
      <c r="B16" s="630" t="s">
        <v>2998</v>
      </c>
      <c r="C16" s="630" t="s">
        <v>2978</v>
      </c>
      <c r="D16" s="630" t="s">
        <v>2979</v>
      </c>
      <c r="E16" s="630" t="s">
        <v>2978</v>
      </c>
      <c r="F16" s="630" t="s">
        <v>2979</v>
      </c>
      <c r="G16" s="630" t="s">
        <v>2980</v>
      </c>
      <c r="H16" s="630" t="s">
        <v>2985</v>
      </c>
      <c r="I16" s="630" t="s">
        <v>2994</v>
      </c>
      <c r="J16" s="630" t="s">
        <v>2995</v>
      </c>
      <c r="K16" s="636" t="s">
        <v>3030</v>
      </c>
      <c r="L16" s="48"/>
    </row>
    <row r="17" spans="2:12" x14ac:dyDescent="0.35">
      <c r="B17" s="630" t="s">
        <v>2986</v>
      </c>
      <c r="C17" s="617" t="s">
        <v>2981</v>
      </c>
      <c r="D17" s="617">
        <v>5</v>
      </c>
      <c r="E17" s="617"/>
      <c r="F17" s="617"/>
      <c r="G17" s="616">
        <f>VLOOKUP(C17,道具价值!$B$28:$C$30,2,FALSE)*D17+IFERROR(VLOOKUP(E17,道具价值!$B$28:$C$30,2,FALSE)*F17,0)</f>
        <v>67.5</v>
      </c>
      <c r="H17" s="617">
        <f>VLOOKUP(C17,道具价值!$U$98:$X$101,4,FALSE)*D17+IFERROR(VLOOKUP(E17,道具价值!$U$98:$X$101,4,FALSE)*F17,0)</f>
        <v>90</v>
      </c>
      <c r="I17" s="617">
        <f>D17+F17</f>
        <v>5</v>
      </c>
      <c r="J17" s="617">
        <v>4</v>
      </c>
      <c r="K17" s="634">
        <v>1</v>
      </c>
      <c r="L17" s="48"/>
    </row>
    <row r="18" spans="2:12" x14ac:dyDescent="0.35">
      <c r="B18" s="630" t="s">
        <v>2997</v>
      </c>
      <c r="C18" s="617" t="s">
        <v>2981</v>
      </c>
      <c r="D18" s="617">
        <v>4</v>
      </c>
      <c r="E18" s="617"/>
      <c r="F18" s="617"/>
      <c r="G18" s="616">
        <f>VLOOKUP(C18,道具价值!$B$28:$C$30,2,FALSE)*D18+IFERROR(VLOOKUP(E18,道具价值!$B$28:$C$30,2,FALSE)*F18,0)</f>
        <v>54</v>
      </c>
      <c r="H18" s="617">
        <f>VLOOKUP(C18,道具价值!$U$98:$X$101,4,FALSE)*D18+IFERROR(VLOOKUP(E18,道具价值!$U$98:$X$101,4,FALSE)*F18,0)</f>
        <v>72</v>
      </c>
      <c r="I18" s="617">
        <f>D18+F18</f>
        <v>4</v>
      </c>
      <c r="J18" s="617">
        <v>4</v>
      </c>
      <c r="K18" s="634">
        <v>2</v>
      </c>
      <c r="L18" s="48"/>
    </row>
    <row r="19" spans="2:12" x14ac:dyDescent="0.35">
      <c r="B19" s="630" t="s">
        <v>2988</v>
      </c>
      <c r="C19" s="617" t="s">
        <v>2981</v>
      </c>
      <c r="D19" s="617">
        <v>2</v>
      </c>
      <c r="E19" s="630" t="s">
        <v>2982</v>
      </c>
      <c r="F19" s="617">
        <v>2</v>
      </c>
      <c r="G19" s="616">
        <f>VLOOKUP(C19,道具价值!$B$28:$C$30,2,FALSE)*D19+IFERROR(VLOOKUP(E19,道具价值!$B$28:$C$30,2,FALSE)*F19,0)</f>
        <v>27</v>
      </c>
      <c r="H19" s="617">
        <f>VLOOKUP(C19,道具价值!$U$98:$X$101,4,FALSE)*D19+IFERROR(VLOOKUP(E19,道具价值!$U$98:$X$101,4,FALSE)*F19,0)</f>
        <v>36</v>
      </c>
      <c r="I19" s="617">
        <f t="shared" ref="I19:I25" si="4">D19+F19</f>
        <v>4</v>
      </c>
      <c r="J19" s="617">
        <v>4</v>
      </c>
      <c r="K19" s="634">
        <v>3</v>
      </c>
      <c r="L19" s="48"/>
    </row>
    <row r="20" spans="2:12" x14ac:dyDescent="0.35">
      <c r="B20" s="630" t="s">
        <v>2989</v>
      </c>
      <c r="C20" s="630" t="s">
        <v>2982</v>
      </c>
      <c r="D20" s="617">
        <v>4</v>
      </c>
      <c r="E20" s="630"/>
      <c r="F20" s="617"/>
      <c r="G20" s="616" t="e">
        <f>VLOOKUP(C20,道具价值!$B$28:$C$30,2,FALSE)*D20+IFERROR(VLOOKUP(E20,道具价值!$B$28:$C$30,2,FALSE)*F20,0)</f>
        <v>#N/A</v>
      </c>
      <c r="H20" s="617" t="e">
        <f>VLOOKUP(C20,道具价值!$U$98:$X$101,4,FALSE)*D20+IFERROR(VLOOKUP(E20,道具价值!$U$98:$X$101,4,FALSE)*F20,0)</f>
        <v>#N/A</v>
      </c>
      <c r="I20" s="617">
        <f t="shared" si="4"/>
        <v>4</v>
      </c>
      <c r="J20" s="617">
        <v>4</v>
      </c>
      <c r="K20" s="634">
        <v>4</v>
      </c>
      <c r="L20" s="48"/>
    </row>
    <row r="21" spans="2:12" x14ac:dyDescent="0.35">
      <c r="B21" s="630" t="s">
        <v>2990</v>
      </c>
      <c r="C21" s="630" t="s">
        <v>2982</v>
      </c>
      <c r="D21" s="617">
        <v>6</v>
      </c>
      <c r="E21" s="630"/>
      <c r="F21" s="617"/>
      <c r="G21" s="616" t="e">
        <f>VLOOKUP(C21,道具价值!$B$28:$C$30,2,FALSE)*D21+IFERROR(VLOOKUP(E21,道具价值!$B$28:$C$30,2,FALSE)*F21,0)</f>
        <v>#N/A</v>
      </c>
      <c r="H21" s="617" t="e">
        <f>VLOOKUP(C21,道具价值!$U$98:$X$101,4,FALSE)*D21+IFERROR(VLOOKUP(E21,道具价值!$U$98:$X$101,4,FALSE)*F21,0)</f>
        <v>#N/A</v>
      </c>
      <c r="I21" s="617">
        <f t="shared" si="4"/>
        <v>6</v>
      </c>
      <c r="J21" s="617">
        <v>3</v>
      </c>
      <c r="K21" s="634">
        <v>5</v>
      </c>
      <c r="L21" s="48"/>
    </row>
    <row r="22" spans="2:12" x14ac:dyDescent="0.35">
      <c r="B22" s="630" t="s">
        <v>2991</v>
      </c>
      <c r="C22" s="630" t="s">
        <v>2982</v>
      </c>
      <c r="D22" s="617">
        <v>4</v>
      </c>
      <c r="E22" s="630" t="s">
        <v>2983</v>
      </c>
      <c r="F22" s="617">
        <v>1</v>
      </c>
      <c r="G22" s="616" t="e">
        <f>VLOOKUP(C22,道具价值!$B$28:$C$30,2,FALSE)*D22+IFERROR(VLOOKUP(E22,道具价值!$B$28:$C$30,2,FALSE)*F22,0)</f>
        <v>#N/A</v>
      </c>
      <c r="H22" s="617" t="e">
        <f>VLOOKUP(C22,道具价值!$U$98:$X$101,4,FALSE)*D22+IFERROR(VLOOKUP(E22,道具价值!$U$98:$X$101,4,FALSE)*F22,0)</f>
        <v>#N/A</v>
      </c>
      <c r="I22" s="617">
        <f t="shared" si="4"/>
        <v>5</v>
      </c>
      <c r="J22" s="617">
        <v>3</v>
      </c>
      <c r="K22" s="634">
        <v>6</v>
      </c>
      <c r="L22" s="48"/>
    </row>
    <row r="23" spans="2:12" x14ac:dyDescent="0.35">
      <c r="B23" s="630" t="s">
        <v>2992</v>
      </c>
      <c r="C23" s="630" t="s">
        <v>2983</v>
      </c>
      <c r="D23" s="617">
        <v>3</v>
      </c>
      <c r="E23" s="630"/>
      <c r="F23" s="617"/>
      <c r="G23" s="616" t="e">
        <f>VLOOKUP(C23,道具价值!$B$28:$C$30,2,FALSE)*D23+IFERROR(VLOOKUP(E23,道具价值!$B$28:$C$30,2,FALSE)*F23,0)</f>
        <v>#N/A</v>
      </c>
      <c r="H23" s="617" t="e">
        <f>VLOOKUP(C23,道具价值!$U$98:$X$101,4,FALSE)*D23+IFERROR(VLOOKUP(E23,道具价值!$U$98:$X$101,4,FALSE)*F23,0)</f>
        <v>#N/A</v>
      </c>
      <c r="I23" s="617">
        <f t="shared" si="4"/>
        <v>3</v>
      </c>
      <c r="J23" s="616">
        <v>3</v>
      </c>
      <c r="K23" s="634">
        <v>7</v>
      </c>
      <c r="L23" s="48"/>
    </row>
    <row r="24" spans="2:12" x14ac:dyDescent="0.35">
      <c r="B24" s="630" t="s">
        <v>2993</v>
      </c>
      <c r="C24" s="630" t="s">
        <v>2983</v>
      </c>
      <c r="D24" s="617">
        <v>4</v>
      </c>
      <c r="E24" s="630"/>
      <c r="F24" s="617"/>
      <c r="G24" s="616" t="e">
        <f>VLOOKUP(C24,道具价值!$B$28:$C$30,2,FALSE)*D24+IFERROR(VLOOKUP(E24,道具价值!$B$28:$C$30,2,FALSE)*F24,0)</f>
        <v>#N/A</v>
      </c>
      <c r="H24" s="617" t="e">
        <f>VLOOKUP(C24,道具价值!$U$98:$X$101,4,FALSE)*D24+IFERROR(VLOOKUP(E24,道具价值!$U$98:$X$101,4,FALSE)*F24,0)</f>
        <v>#N/A</v>
      </c>
      <c r="I24" s="617">
        <f t="shared" si="4"/>
        <v>4</v>
      </c>
      <c r="J24" s="616">
        <v>4</v>
      </c>
      <c r="K24" s="634">
        <v>8</v>
      </c>
      <c r="L24" s="48"/>
    </row>
    <row r="25" spans="2:12" x14ac:dyDescent="0.35">
      <c r="B25" s="630" t="s">
        <v>2996</v>
      </c>
      <c r="C25" s="630" t="s">
        <v>2983</v>
      </c>
      <c r="D25" s="617">
        <v>1</v>
      </c>
      <c r="E25" s="630" t="s">
        <v>2984</v>
      </c>
      <c r="F25" s="617">
        <v>1</v>
      </c>
      <c r="G25" s="616" t="e">
        <f>VLOOKUP(C25,道具价值!$B$28:$C$30,2,FALSE)*D25+IFERROR(VLOOKUP(E25,道具价值!$B$28:$C$30,2,FALSE)*F25,0)</f>
        <v>#N/A</v>
      </c>
      <c r="H25" s="617" t="e">
        <f>VLOOKUP(C25,道具价值!$U$98:$X$101,4,FALSE)*D25+IFERROR(VLOOKUP(E25,道具价值!$U$98:$X$101,4,FALSE)*F25,0)</f>
        <v>#N/A</v>
      </c>
      <c r="I25" s="617">
        <f t="shared" si="4"/>
        <v>2</v>
      </c>
      <c r="J25" s="616">
        <v>2</v>
      </c>
      <c r="K25" s="634">
        <v>9</v>
      </c>
      <c r="L25" s="48"/>
    </row>
    <row r="26" spans="2:12" x14ac:dyDescent="0.35">
      <c r="B26" s="629"/>
      <c r="C26" s="629"/>
      <c r="H26" s="531"/>
      <c r="J26" s="531"/>
      <c r="L26" s="48"/>
    </row>
    <row r="27" spans="2:12" x14ac:dyDescent="0.35">
      <c r="H27" s="531"/>
      <c r="L27" s="48"/>
    </row>
    <row r="28" spans="2:12" x14ac:dyDescent="0.35">
      <c r="B28" s="630" t="s">
        <v>2998</v>
      </c>
      <c r="C28" s="630" t="s">
        <v>2999</v>
      </c>
      <c r="D28" s="630" t="s">
        <v>3000</v>
      </c>
      <c r="E28" s="630" t="s">
        <v>2999</v>
      </c>
      <c r="F28" s="630" t="s">
        <v>3000</v>
      </c>
      <c r="G28" s="630" t="s">
        <v>2980</v>
      </c>
      <c r="H28" s="630" t="s">
        <v>2985</v>
      </c>
      <c r="I28" s="630" t="s">
        <v>2994</v>
      </c>
      <c r="J28" s="630" t="s">
        <v>2995</v>
      </c>
      <c r="K28" s="636" t="s">
        <v>3030</v>
      </c>
      <c r="L28" s="48"/>
    </row>
    <row r="29" spans="2:12" x14ac:dyDescent="0.35">
      <c r="B29" s="630" t="s">
        <v>3001</v>
      </c>
      <c r="C29" s="617" t="s">
        <v>1114</v>
      </c>
      <c r="D29" s="617">
        <v>3</v>
      </c>
      <c r="E29" s="617"/>
      <c r="F29" s="617"/>
      <c r="G29" s="616">
        <f>VLOOKUP(C29,道具价值!$B$16:$C$27,2,FALSE)*D29+IFERROR(VLOOKUP(E29,道具价值!$B$16:$C$27,2,FALSE)*F29,0)</f>
        <v>180</v>
      </c>
      <c r="H29" s="617">
        <f>VLOOKUP(C29,道具价值!$B$33:$E$45,4,FALSE)*D29+IFERROR(VLOOKUP(E29,道具价值!$B$33:$E$45,4,FALSE)*F29,0)</f>
        <v>210</v>
      </c>
      <c r="I29" s="617">
        <f t="shared" ref="I29:I30" si="5">D29+F29</f>
        <v>3</v>
      </c>
      <c r="J29" s="617">
        <v>1</v>
      </c>
      <c r="K29" s="634">
        <v>1</v>
      </c>
      <c r="L29" s="48"/>
    </row>
    <row r="30" spans="2:12" x14ac:dyDescent="0.35">
      <c r="B30" s="630" t="s">
        <v>3002</v>
      </c>
      <c r="C30" s="617" t="s">
        <v>1115</v>
      </c>
      <c r="D30" s="617">
        <v>3</v>
      </c>
      <c r="E30" s="617"/>
      <c r="F30" s="617"/>
      <c r="G30" s="616">
        <f>VLOOKUP(C30,道具价值!$B$16:$C$27,2,FALSE)*D30+IFERROR(VLOOKUP(E30,道具价值!$B$16:$C$27,2,FALSE)*F30,0)</f>
        <v>180</v>
      </c>
      <c r="H30" s="617">
        <f>VLOOKUP(C30,道具价值!$B$33:$E$45,4,FALSE)*D30+IFERROR(VLOOKUP(E30,道具价值!$B$33:$E$45,4,FALSE)*F30,0)</f>
        <v>315</v>
      </c>
      <c r="I30" s="617">
        <f t="shared" si="5"/>
        <v>3</v>
      </c>
      <c r="J30" s="634">
        <v>1</v>
      </c>
      <c r="K30" s="634">
        <v>2</v>
      </c>
      <c r="L30" s="48"/>
    </row>
    <row r="31" spans="2:12" x14ac:dyDescent="0.35">
      <c r="B31" s="630" t="s">
        <v>3003</v>
      </c>
      <c r="C31" s="617" t="s">
        <v>1116</v>
      </c>
      <c r="D31" s="617">
        <v>3</v>
      </c>
      <c r="E31" s="617"/>
      <c r="F31" s="617"/>
      <c r="G31" s="616">
        <f>VLOOKUP(C31,道具价值!$B$16:$C$27,2,FALSE)*D31+IFERROR(VLOOKUP(E31,道具价值!$B$16:$C$27,2,FALSE)*F31,0)</f>
        <v>255</v>
      </c>
      <c r="H31" s="617">
        <f>VLOOKUP(C31,道具价值!$B$33:$E$45,4,FALSE)*D31+IFERROR(VLOOKUP(E31,道具价值!$B$33:$E$45,4,FALSE)*F31,0)</f>
        <v>465</v>
      </c>
      <c r="I31" s="617">
        <f t="shared" ref="I31:I36" si="6">D31+F31</f>
        <v>3</v>
      </c>
      <c r="J31" s="634">
        <v>1</v>
      </c>
      <c r="K31" s="634">
        <v>3</v>
      </c>
      <c r="L31" s="48"/>
    </row>
    <row r="32" spans="2:12" x14ac:dyDescent="0.35">
      <c r="B32" s="630" t="s">
        <v>3004</v>
      </c>
      <c r="C32" s="617" t="s">
        <v>1117</v>
      </c>
      <c r="D32" s="617">
        <v>3</v>
      </c>
      <c r="E32" s="617"/>
      <c r="F32" s="617"/>
      <c r="G32" s="616">
        <f>VLOOKUP(C32,道具价值!$B$16:$C$27,2,FALSE)*D32+IFERROR(VLOOKUP(E32,道具价值!$B$16:$C$27,2,FALSE)*F32,0)</f>
        <v>180</v>
      </c>
      <c r="H32" s="617">
        <f>VLOOKUP(C32,道具价值!$B$33:$E$45,4,FALSE)*D32+IFERROR(VLOOKUP(E32,道具价值!$B$33:$E$45,4,FALSE)*F32,0)</f>
        <v>390</v>
      </c>
      <c r="I32" s="617">
        <f t="shared" si="6"/>
        <v>3</v>
      </c>
      <c r="J32" s="634">
        <v>1</v>
      </c>
      <c r="K32" s="634">
        <v>5</v>
      </c>
      <c r="L32" s="48"/>
    </row>
    <row r="33" spans="2:20" x14ac:dyDescent="0.35">
      <c r="B33" s="630" t="s">
        <v>3005</v>
      </c>
      <c r="C33" s="617" t="s">
        <v>1118</v>
      </c>
      <c r="D33" s="617">
        <v>3</v>
      </c>
      <c r="E33" s="617"/>
      <c r="F33" s="617"/>
      <c r="G33" s="616">
        <f>VLOOKUP(C33,道具价值!$B$16:$C$27,2,FALSE)*D33+IFERROR(VLOOKUP(E33,道具价值!$B$16:$C$27,2,FALSE)*F33,0)</f>
        <v>225</v>
      </c>
      <c r="H33" s="617">
        <f>VLOOKUP(C33,道具价值!$B$33:$E$45,4,FALSE)*D33+IFERROR(VLOOKUP(E33,道具价值!$B$33:$E$45,4,FALSE)*F33,0)</f>
        <v>435</v>
      </c>
      <c r="I33" s="617">
        <f t="shared" si="6"/>
        <v>3</v>
      </c>
      <c r="J33" s="634">
        <v>1</v>
      </c>
      <c r="K33" s="634">
        <v>5</v>
      </c>
      <c r="L33" s="48"/>
    </row>
    <row r="34" spans="2:20" x14ac:dyDescent="0.35">
      <c r="B34" s="630" t="s">
        <v>3006</v>
      </c>
      <c r="C34" s="617" t="s">
        <v>1120</v>
      </c>
      <c r="D34" s="617">
        <v>2</v>
      </c>
      <c r="E34" s="617"/>
      <c r="F34" s="617"/>
      <c r="G34" s="616">
        <f>VLOOKUP(C34,道具价值!$B$16:$C$27,2,FALSE)*D34+IFERROR(VLOOKUP(E34,道具价值!$B$16:$C$27,2,FALSE)*F34,0)</f>
        <v>200</v>
      </c>
      <c r="H34" s="617">
        <f>VLOOKUP(C34,道具价值!$B$33:$E$45,4,FALSE)*D34+IFERROR(VLOOKUP(E34,道具价值!$B$33:$E$45,4,FALSE)*F34,0)</f>
        <v>360</v>
      </c>
      <c r="I34" s="617">
        <f t="shared" si="6"/>
        <v>2</v>
      </c>
      <c r="J34" s="634">
        <v>1</v>
      </c>
      <c r="K34" s="634">
        <v>8</v>
      </c>
      <c r="L34" s="48"/>
    </row>
    <row r="35" spans="2:20" x14ac:dyDescent="0.35">
      <c r="B35" s="630" t="s">
        <v>3007</v>
      </c>
      <c r="C35" s="617" t="s">
        <v>1121</v>
      </c>
      <c r="D35" s="617">
        <v>2</v>
      </c>
      <c r="E35" s="617"/>
      <c r="F35" s="617"/>
      <c r="G35" s="616">
        <f>VLOOKUP(C35,道具价值!$B$16:$C$27,2,FALSE)*D35+IFERROR(VLOOKUP(E35,道具价值!$B$16:$C$27,2,FALSE)*F35,0)</f>
        <v>250</v>
      </c>
      <c r="H35" s="617">
        <f>VLOOKUP(C35,道具价值!$B$33:$E$45,4,FALSE)*D35+IFERROR(VLOOKUP(E35,道具价值!$B$33:$E$45,4,FALSE)*F35,0)</f>
        <v>420</v>
      </c>
      <c r="I35" s="617">
        <f t="shared" si="6"/>
        <v>2</v>
      </c>
      <c r="J35" s="634">
        <v>1</v>
      </c>
      <c r="K35" s="634">
        <v>10</v>
      </c>
      <c r="L35" s="48"/>
    </row>
    <row r="36" spans="2:20" x14ac:dyDescent="0.35">
      <c r="B36" s="630" t="s">
        <v>3008</v>
      </c>
      <c r="C36" s="617" t="s">
        <v>1122</v>
      </c>
      <c r="D36" s="617">
        <v>2</v>
      </c>
      <c r="E36" s="617"/>
      <c r="F36" s="617"/>
      <c r="G36" s="616">
        <f>VLOOKUP(C36,道具价值!$B$16:$C$27,2,FALSE)*D36+IFERROR(VLOOKUP(E36,道具价值!$B$16:$C$27,2,FALSE)*F36,0)</f>
        <v>310</v>
      </c>
      <c r="H36" s="617">
        <f>VLOOKUP(C36,道具价值!$B$33:$E$45,4,FALSE)*D36+IFERROR(VLOOKUP(E36,道具价值!$B$33:$E$45,4,FALSE)*F36,0)</f>
        <v>550</v>
      </c>
      <c r="I36" s="617">
        <f t="shared" si="6"/>
        <v>2</v>
      </c>
      <c r="J36" s="634">
        <v>1</v>
      </c>
      <c r="K36" s="634">
        <v>10</v>
      </c>
      <c r="L36" s="48"/>
    </row>
    <row r="37" spans="2:20" x14ac:dyDescent="0.35">
      <c r="B37" s="657"/>
      <c r="C37" s="10"/>
      <c r="D37" s="10"/>
      <c r="E37" s="157"/>
      <c r="F37" s="157"/>
      <c r="G37" s="157"/>
      <c r="H37" s="157"/>
      <c r="I37" s="658"/>
      <c r="J37" s="658"/>
      <c r="K37" s="48"/>
      <c r="L37" s="48"/>
    </row>
    <row r="38" spans="2:20" x14ac:dyDescent="0.35">
      <c r="B38" s="657"/>
      <c r="C38" s="10"/>
      <c r="D38" s="10"/>
      <c r="E38" s="157"/>
      <c r="F38" s="157"/>
      <c r="G38" s="157"/>
      <c r="H38" s="157"/>
      <c r="I38" s="658"/>
      <c r="J38" s="658"/>
      <c r="K38" s="48"/>
      <c r="L38" s="48"/>
    </row>
    <row r="39" spans="2:20" x14ac:dyDescent="0.35">
      <c r="B39" s="780" t="s">
        <v>915</v>
      </c>
      <c r="C39" s="780"/>
      <c r="D39" s="780"/>
      <c r="E39" s="780"/>
      <c r="F39" s="780"/>
      <c r="G39" s="780"/>
      <c r="H39" s="780"/>
      <c r="I39" s="780"/>
      <c r="J39" s="780"/>
      <c r="K39" s="780"/>
      <c r="L39" s="780"/>
      <c r="M39" s="780"/>
      <c r="N39" s="780"/>
      <c r="P39" s="781" t="s">
        <v>1126</v>
      </c>
      <c r="Q39" s="744"/>
      <c r="R39" s="744"/>
      <c r="S39" s="744"/>
      <c r="T39" s="744"/>
    </row>
    <row r="40" spans="2:20" x14ac:dyDescent="0.35">
      <c r="B40" s="162" t="str">
        <f>基础经济系数!B56</f>
        <v>联赛等级</v>
      </c>
      <c r="C40" s="162" t="str">
        <f>基础经济系数!C56</f>
        <v>T1低</v>
      </c>
      <c r="D40" s="162" t="str">
        <f>基础经济系数!D56</f>
        <v>T2低</v>
      </c>
      <c r="E40" s="162" t="str">
        <f>基础经济系数!E56</f>
        <v>T2中</v>
      </c>
      <c r="F40" s="162" t="str">
        <f>基础经济系数!F56</f>
        <v>T3低</v>
      </c>
      <c r="G40" s="162" t="str">
        <f>基础经济系数!G56</f>
        <v>T3中</v>
      </c>
      <c r="H40" s="162" t="str">
        <f>基础经济系数!H56</f>
        <v>T3高</v>
      </c>
      <c r="I40" s="162" t="str">
        <f>基础经济系数!I56</f>
        <v>T4低</v>
      </c>
      <c r="J40" s="162" t="str">
        <f>基础经济系数!J56</f>
        <v>T4中</v>
      </c>
      <c r="K40" s="162" t="str">
        <f>基础经济系数!K56</f>
        <v>T4高</v>
      </c>
      <c r="L40" s="162" t="str">
        <f>基础经济系数!L56</f>
        <v>T5低</v>
      </c>
      <c r="M40" s="162" t="str">
        <f>基础经济系数!M56</f>
        <v>T5中</v>
      </c>
      <c r="N40" s="162" t="str">
        <f>基础经济系数!N56</f>
        <v>T5高</v>
      </c>
      <c r="P40" s="203" t="str">
        <f>B40</f>
        <v>联赛等级</v>
      </c>
      <c r="Q40" s="212" t="s">
        <v>963</v>
      </c>
      <c r="R40" s="204" t="s">
        <v>964</v>
      </c>
      <c r="S40" s="204" t="s">
        <v>965</v>
      </c>
      <c r="T40" s="204" t="s">
        <v>966</v>
      </c>
    </row>
    <row r="41" spans="2:20" x14ac:dyDescent="0.35">
      <c r="B41" s="162">
        <f>基础经济系数!B57</f>
        <v>1</v>
      </c>
      <c r="C41" s="162" t="str">
        <f>基础经济系数!C57</f>
        <v>All</v>
      </c>
      <c r="D41" s="162" t="str">
        <f>基础经济系数!D57</f>
        <v>None</v>
      </c>
      <c r="E41" s="162" t="str">
        <f>基础经济系数!E57</f>
        <v>None</v>
      </c>
      <c r="F41" s="162" t="str">
        <f>基础经济系数!F57</f>
        <v>None</v>
      </c>
      <c r="G41" s="162" t="str">
        <f>基础经济系数!G57</f>
        <v>None</v>
      </c>
      <c r="H41" s="162" t="str">
        <f>基础经济系数!H57</f>
        <v>None</v>
      </c>
      <c r="I41" s="162" t="str">
        <f>基础经济系数!I57</f>
        <v>None</v>
      </c>
      <c r="J41" s="162" t="str">
        <f>基础经济系数!J57</f>
        <v>None</v>
      </c>
      <c r="K41" s="162" t="str">
        <f>基础经济系数!K57</f>
        <v>None</v>
      </c>
      <c r="L41" s="162" t="str">
        <f>基础经济系数!L57</f>
        <v>None</v>
      </c>
      <c r="M41" s="162" t="str">
        <f>基础经济系数!M57</f>
        <v>None</v>
      </c>
      <c r="N41" s="162" t="str">
        <f>基础经济系数!N57</f>
        <v>None</v>
      </c>
      <c r="P41" s="203">
        <f t="shared" ref="P41:P50" si="7">B41</f>
        <v>1</v>
      </c>
      <c r="Q41" s="202" t="b">
        <v>1</v>
      </c>
      <c r="R41" s="202" t="b">
        <v>1</v>
      </c>
      <c r="S41" s="202" t="b">
        <v>1</v>
      </c>
      <c r="T41" s="202" t="b">
        <v>0</v>
      </c>
    </row>
    <row r="42" spans="2:20" x14ac:dyDescent="0.35">
      <c r="B42" s="162">
        <f>基础经济系数!B58</f>
        <v>2</v>
      </c>
      <c r="C42" s="162" t="str">
        <f>基础经济系数!C58</f>
        <v>All</v>
      </c>
      <c r="D42" s="162" t="str">
        <f>基础经济系数!D58</f>
        <v>All</v>
      </c>
      <c r="E42" s="162" t="str">
        <f>基础经济系数!E58</f>
        <v>None</v>
      </c>
      <c r="F42" s="162" t="str">
        <f>基础经济系数!F58</f>
        <v>None</v>
      </c>
      <c r="G42" s="162" t="str">
        <f>基础经济系数!G58</f>
        <v>None</v>
      </c>
      <c r="H42" s="162" t="str">
        <f>基础经济系数!H58</f>
        <v>None</v>
      </c>
      <c r="I42" s="162" t="str">
        <f>基础经济系数!I58</f>
        <v>None</v>
      </c>
      <c r="J42" s="162" t="str">
        <f>基础经济系数!J58</f>
        <v>None</v>
      </c>
      <c r="K42" s="162" t="str">
        <f>基础经济系数!K58</f>
        <v>None</v>
      </c>
      <c r="L42" s="162" t="str">
        <f>基础经济系数!L58</f>
        <v>None</v>
      </c>
      <c r="M42" s="162" t="str">
        <f>基础经济系数!M58</f>
        <v>None</v>
      </c>
      <c r="N42" s="162" t="str">
        <f>基础经济系数!N58</f>
        <v>None</v>
      </c>
      <c r="P42" s="203">
        <f t="shared" si="7"/>
        <v>2</v>
      </c>
      <c r="Q42" s="202" t="b">
        <v>0</v>
      </c>
      <c r="R42" s="202" t="b">
        <v>1</v>
      </c>
      <c r="S42" s="202" t="b">
        <v>1</v>
      </c>
      <c r="T42" s="202" t="b">
        <v>1</v>
      </c>
    </row>
    <row r="43" spans="2:20" x14ac:dyDescent="0.35">
      <c r="B43" s="162">
        <f>基础经济系数!B59</f>
        <v>3</v>
      </c>
      <c r="C43" s="162" t="str">
        <f>基础经济系数!C59</f>
        <v>All</v>
      </c>
      <c r="D43" s="162" t="str">
        <f>基础经济系数!D59</f>
        <v>All</v>
      </c>
      <c r="E43" s="162" t="str">
        <f>基础经济系数!E59</f>
        <v>All</v>
      </c>
      <c r="F43" s="162" t="str">
        <f>基础经济系数!F59</f>
        <v>None</v>
      </c>
      <c r="G43" s="162" t="str">
        <f>基础经济系数!G59</f>
        <v>None</v>
      </c>
      <c r="H43" s="162" t="str">
        <f>基础经济系数!H59</f>
        <v>None</v>
      </c>
      <c r="I43" s="162" t="str">
        <f>基础经济系数!I59</f>
        <v>None</v>
      </c>
      <c r="J43" s="162" t="str">
        <f>基础经济系数!J59</f>
        <v>None</v>
      </c>
      <c r="K43" s="162" t="str">
        <f>基础经济系数!K59</f>
        <v>None</v>
      </c>
      <c r="L43" s="162" t="str">
        <f>基础经济系数!L59</f>
        <v>None</v>
      </c>
      <c r="M43" s="162" t="str">
        <f>基础经济系数!M59</f>
        <v>None</v>
      </c>
      <c r="N43" s="162" t="str">
        <f>基础经济系数!N59</f>
        <v>None</v>
      </c>
      <c r="P43" s="203">
        <f t="shared" si="7"/>
        <v>3</v>
      </c>
      <c r="Q43" s="202" t="b">
        <v>0</v>
      </c>
      <c r="R43" s="202" t="b">
        <v>1</v>
      </c>
      <c r="S43" s="202" t="b">
        <v>1</v>
      </c>
      <c r="T43" s="202" t="b">
        <v>1</v>
      </c>
    </row>
    <row r="44" spans="2:20" x14ac:dyDescent="0.35">
      <c r="B44" s="162">
        <f>基础经济系数!B60</f>
        <v>4</v>
      </c>
      <c r="C44" s="162" t="str">
        <f>基础经济系数!C60</f>
        <v>All</v>
      </c>
      <c r="D44" s="162" t="str">
        <f>基础经济系数!D60</f>
        <v>All</v>
      </c>
      <c r="E44" s="162" t="str">
        <f>基础经济系数!E60</f>
        <v>All</v>
      </c>
      <c r="F44" s="162" t="str">
        <f>基础经济系数!F60</f>
        <v>None</v>
      </c>
      <c r="G44" s="162" t="str">
        <f>基础经济系数!G60</f>
        <v>None</v>
      </c>
      <c r="H44" s="162" t="str">
        <f>基础经济系数!H60</f>
        <v>None</v>
      </c>
      <c r="I44" s="162" t="str">
        <f>基础经济系数!I60</f>
        <v>None</v>
      </c>
      <c r="J44" s="162" t="str">
        <f>基础经济系数!J60</f>
        <v>None</v>
      </c>
      <c r="K44" s="162" t="str">
        <f>基础经济系数!K60</f>
        <v>None</v>
      </c>
      <c r="L44" s="162" t="str">
        <f>基础经济系数!L60</f>
        <v>None</v>
      </c>
      <c r="M44" s="162" t="str">
        <f>基础经济系数!M60</f>
        <v>None</v>
      </c>
      <c r="N44" s="162" t="str">
        <f>基础经济系数!N60</f>
        <v>None</v>
      </c>
      <c r="P44" s="203">
        <f t="shared" si="7"/>
        <v>4</v>
      </c>
      <c r="Q44" s="202" t="b">
        <v>0</v>
      </c>
      <c r="R44" s="202" t="b">
        <v>1</v>
      </c>
      <c r="S44" s="202" t="b">
        <v>1</v>
      </c>
      <c r="T44" s="202" t="b">
        <v>1</v>
      </c>
    </row>
    <row r="45" spans="2:20" x14ac:dyDescent="0.35">
      <c r="B45" s="162">
        <f>基础经济系数!B61</f>
        <v>5</v>
      </c>
      <c r="C45" s="162" t="str">
        <f>基础经济系数!C61</f>
        <v>All</v>
      </c>
      <c r="D45" s="162" t="str">
        <f>基础经济系数!D61</f>
        <v>All</v>
      </c>
      <c r="E45" s="162" t="str">
        <f>基础经济系数!E61</f>
        <v>All</v>
      </c>
      <c r="F45" s="162" t="str">
        <f>基础经济系数!F61</f>
        <v>All</v>
      </c>
      <c r="G45" s="162" t="str">
        <f>基础经济系数!G61</f>
        <v>All</v>
      </c>
      <c r="H45" s="162" t="str">
        <f>基础经济系数!H61</f>
        <v>None</v>
      </c>
      <c r="I45" s="162" t="str">
        <f>基础经济系数!I61</f>
        <v>None</v>
      </c>
      <c r="J45" s="162" t="str">
        <f>基础经济系数!J61</f>
        <v>None</v>
      </c>
      <c r="K45" s="162" t="str">
        <f>基础经济系数!K61</f>
        <v>None</v>
      </c>
      <c r="L45" s="162" t="str">
        <f>基础经济系数!L61</f>
        <v>None</v>
      </c>
      <c r="M45" s="162" t="str">
        <f>基础经济系数!M61</f>
        <v>None</v>
      </c>
      <c r="N45" s="162" t="str">
        <f>基础经济系数!N61</f>
        <v>None</v>
      </c>
      <c r="P45" s="203">
        <f t="shared" si="7"/>
        <v>5</v>
      </c>
      <c r="Q45" s="202" t="b">
        <v>0</v>
      </c>
      <c r="R45" s="202" t="b">
        <v>1</v>
      </c>
      <c r="S45" s="202" t="b">
        <v>1</v>
      </c>
      <c r="T45" s="202" t="b">
        <v>1</v>
      </c>
    </row>
    <row r="46" spans="2:20" x14ac:dyDescent="0.35">
      <c r="B46" s="162">
        <f>基础经济系数!B62</f>
        <v>6</v>
      </c>
      <c r="C46" s="162" t="str">
        <f>基础经济系数!C62</f>
        <v>All</v>
      </c>
      <c r="D46" s="162" t="str">
        <f>基础经济系数!D62</f>
        <v>All</v>
      </c>
      <c r="E46" s="162" t="str">
        <f>基础经济系数!E62</f>
        <v>All</v>
      </c>
      <c r="F46" s="162" t="str">
        <f>基础经济系数!F62</f>
        <v>All</v>
      </c>
      <c r="G46" s="162" t="str">
        <f>基础经济系数!G62</f>
        <v>All</v>
      </c>
      <c r="H46" s="162" t="str">
        <f>基础经济系数!H62</f>
        <v>None</v>
      </c>
      <c r="I46" s="162" t="str">
        <f>基础经济系数!I62</f>
        <v>None</v>
      </c>
      <c r="J46" s="162" t="str">
        <f>基础经济系数!J62</f>
        <v>None</v>
      </c>
      <c r="K46" s="162" t="str">
        <f>基础经济系数!K62</f>
        <v>None</v>
      </c>
      <c r="L46" s="162" t="str">
        <f>基础经济系数!L62</f>
        <v>None</v>
      </c>
      <c r="M46" s="162" t="str">
        <f>基础经济系数!M62</f>
        <v>None</v>
      </c>
      <c r="N46" s="162" t="str">
        <f>基础经济系数!N62</f>
        <v>None</v>
      </c>
      <c r="P46" s="203">
        <f t="shared" si="7"/>
        <v>6</v>
      </c>
      <c r="Q46" s="202" t="b">
        <v>0</v>
      </c>
      <c r="R46" s="202" t="b">
        <v>1</v>
      </c>
      <c r="S46" s="202" t="b">
        <v>1</v>
      </c>
      <c r="T46" s="202" t="b">
        <v>1</v>
      </c>
    </row>
    <row r="47" spans="2:20" x14ac:dyDescent="0.35">
      <c r="B47" s="162">
        <f>基础经济系数!B63</f>
        <v>7</v>
      </c>
      <c r="C47" s="162" t="str">
        <f>基础经济系数!C63</f>
        <v>All</v>
      </c>
      <c r="D47" s="162" t="str">
        <f>基础经济系数!D63</f>
        <v>All</v>
      </c>
      <c r="E47" s="162" t="str">
        <f>基础经济系数!E63</f>
        <v>All</v>
      </c>
      <c r="F47" s="162" t="str">
        <f>基础经济系数!F63</f>
        <v>All</v>
      </c>
      <c r="G47" s="162" t="str">
        <f>基础经济系数!G63</f>
        <v>All</v>
      </c>
      <c r="H47" s="162" t="str">
        <f>基础经济系数!H63</f>
        <v>None</v>
      </c>
      <c r="I47" s="162" t="str">
        <f>基础经济系数!I63</f>
        <v>None</v>
      </c>
      <c r="J47" s="162" t="str">
        <f>基础经济系数!J63</f>
        <v>None</v>
      </c>
      <c r="K47" s="162" t="str">
        <f>基础经济系数!K63</f>
        <v>None</v>
      </c>
      <c r="L47" s="162" t="str">
        <f>基础经济系数!L63</f>
        <v>None</v>
      </c>
      <c r="M47" s="162" t="str">
        <f>基础经济系数!M63</f>
        <v>None</v>
      </c>
      <c r="N47" s="162" t="str">
        <f>基础经济系数!N63</f>
        <v>None</v>
      </c>
      <c r="P47" s="203">
        <f t="shared" si="7"/>
        <v>7</v>
      </c>
      <c r="Q47" s="202" t="b">
        <v>0</v>
      </c>
      <c r="R47" s="202" t="b">
        <v>1</v>
      </c>
      <c r="S47" s="202" t="b">
        <v>1</v>
      </c>
      <c r="T47" s="202" t="b">
        <v>1</v>
      </c>
    </row>
    <row r="48" spans="2:20" x14ac:dyDescent="0.35">
      <c r="B48" s="162">
        <f>基础经济系数!B64</f>
        <v>8</v>
      </c>
      <c r="C48" s="162" t="str">
        <f>基础经济系数!C64</f>
        <v>All</v>
      </c>
      <c r="D48" s="162" t="str">
        <f>基础经济系数!D64</f>
        <v>All</v>
      </c>
      <c r="E48" s="162" t="str">
        <f>基础经济系数!E64</f>
        <v>All</v>
      </c>
      <c r="F48" s="162" t="str">
        <f>基础经济系数!F64</f>
        <v>All</v>
      </c>
      <c r="G48" s="162" t="str">
        <f>基础经济系数!G64</f>
        <v>All</v>
      </c>
      <c r="H48" s="162" t="str">
        <f>基础经济系数!H64</f>
        <v>None</v>
      </c>
      <c r="I48" s="162" t="str">
        <f>基础经济系数!I64</f>
        <v>All</v>
      </c>
      <c r="J48" s="162" t="str">
        <f>基础经济系数!J64</f>
        <v>part</v>
      </c>
      <c r="K48" s="162" t="str">
        <f>基础经济系数!K64</f>
        <v>part</v>
      </c>
      <c r="L48" s="162" t="str">
        <f>基础经济系数!L64</f>
        <v>None</v>
      </c>
      <c r="M48" s="162" t="str">
        <f>基础经济系数!M64</f>
        <v>None</v>
      </c>
      <c r="N48" s="162" t="str">
        <f>基础经济系数!N64</f>
        <v>None</v>
      </c>
      <c r="P48" s="203">
        <f t="shared" si="7"/>
        <v>8</v>
      </c>
      <c r="Q48" s="202" t="b">
        <v>0</v>
      </c>
      <c r="R48" s="202" t="b">
        <v>1</v>
      </c>
      <c r="S48" s="202" t="b">
        <v>1</v>
      </c>
      <c r="T48" s="202" t="b">
        <v>1</v>
      </c>
    </row>
    <row r="49" spans="2:20" x14ac:dyDescent="0.35">
      <c r="B49" s="162">
        <f>基础经济系数!B65</f>
        <v>9</v>
      </c>
      <c r="C49" s="162" t="str">
        <f>基础经济系数!C65</f>
        <v>All</v>
      </c>
      <c r="D49" s="162" t="str">
        <f>基础经济系数!D65</f>
        <v>All</v>
      </c>
      <c r="E49" s="162" t="str">
        <f>基础经济系数!E65</f>
        <v>All</v>
      </c>
      <c r="F49" s="162" t="str">
        <f>基础经济系数!F65</f>
        <v>All</v>
      </c>
      <c r="G49" s="162" t="str">
        <f>基础经济系数!G65</f>
        <v>All</v>
      </c>
      <c r="H49" s="162" t="str">
        <f>基础经济系数!H65</f>
        <v>None</v>
      </c>
      <c r="I49" s="162" t="str">
        <f>基础经济系数!I65</f>
        <v>All</v>
      </c>
      <c r="J49" s="162" t="str">
        <f>基础经济系数!J65</f>
        <v>part</v>
      </c>
      <c r="K49" s="162" t="str">
        <f>基础经济系数!K65</f>
        <v>part</v>
      </c>
      <c r="L49" s="162" t="str">
        <f>基础经济系数!L65</f>
        <v>None</v>
      </c>
      <c r="M49" s="162" t="str">
        <f>基础经济系数!M65</f>
        <v>None</v>
      </c>
      <c r="N49" s="162" t="str">
        <f>基础经济系数!N65</f>
        <v>None</v>
      </c>
      <c r="P49" s="203">
        <f t="shared" si="7"/>
        <v>9</v>
      </c>
      <c r="Q49" s="202" t="b">
        <v>0</v>
      </c>
      <c r="R49" s="202" t="b">
        <v>1</v>
      </c>
      <c r="S49" s="202" t="b">
        <v>1</v>
      </c>
      <c r="T49" s="202" t="b">
        <v>1</v>
      </c>
    </row>
    <row r="50" spans="2:20" x14ac:dyDescent="0.35">
      <c r="B50" s="162">
        <f>基础经济系数!B66</f>
        <v>10</v>
      </c>
      <c r="C50" s="162" t="str">
        <f>基础经济系数!C66</f>
        <v>All</v>
      </c>
      <c r="D50" s="162" t="str">
        <f>基础经济系数!D66</f>
        <v>All</v>
      </c>
      <c r="E50" s="162" t="str">
        <f>基础经济系数!E66</f>
        <v>All</v>
      </c>
      <c r="F50" s="162" t="str">
        <f>基础经济系数!F66</f>
        <v>All</v>
      </c>
      <c r="G50" s="162" t="str">
        <f>基础经济系数!G66</f>
        <v>All</v>
      </c>
      <c r="H50" s="162" t="str">
        <f>基础经济系数!H66</f>
        <v>None</v>
      </c>
      <c r="I50" s="162" t="str">
        <f>基础经济系数!I66</f>
        <v>All</v>
      </c>
      <c r="J50" s="162" t="str">
        <f>基础经济系数!J66</f>
        <v>All</v>
      </c>
      <c r="K50" s="162" t="str">
        <f>基础经济系数!K66</f>
        <v>All</v>
      </c>
      <c r="L50" s="162" t="str">
        <f>基础经济系数!L66</f>
        <v>None</v>
      </c>
      <c r="M50" s="162" t="str">
        <f>基础经济系数!M66</f>
        <v>None</v>
      </c>
      <c r="N50" s="162" t="str">
        <f>基础经济系数!N66</f>
        <v>None</v>
      </c>
      <c r="P50" s="203">
        <f t="shared" si="7"/>
        <v>10</v>
      </c>
      <c r="Q50" s="202" t="b">
        <v>0</v>
      </c>
      <c r="R50" s="202" t="b">
        <v>1</v>
      </c>
      <c r="S50" s="202" t="b">
        <v>1</v>
      </c>
      <c r="T50" s="202" t="b">
        <v>1</v>
      </c>
    </row>
    <row r="53" spans="2:20" x14ac:dyDescent="0.35">
      <c r="B53" s="419" t="s">
        <v>2006</v>
      </c>
      <c r="C53" s="153" t="s">
        <v>836</v>
      </c>
      <c r="D53" s="401" t="s">
        <v>576</v>
      </c>
      <c r="E53" s="407" t="s">
        <v>1852</v>
      </c>
      <c r="F53" s="407" t="s">
        <v>1850</v>
      </c>
      <c r="G53" s="407" t="s">
        <v>1851</v>
      </c>
      <c r="H53" s="407" t="s">
        <v>1853</v>
      </c>
      <c r="I53" s="407" t="s">
        <v>1162</v>
      </c>
      <c r="J53" s="407" t="s">
        <v>1163</v>
      </c>
      <c r="K53" s="407" t="s">
        <v>1164</v>
      </c>
    </row>
    <row r="54" spans="2:20" x14ac:dyDescent="0.35">
      <c r="B54" s="415" t="str">
        <f>C54&amp;D54</f>
        <v>T1低</v>
      </c>
      <c r="C54" s="403" t="s">
        <v>925</v>
      </c>
      <c r="D54" s="402" t="s">
        <v>12</v>
      </c>
      <c r="E54" s="401">
        <f>坦克升星消耗!L21</f>
        <v>2100</v>
      </c>
      <c r="F54" s="401">
        <v>1</v>
      </c>
      <c r="G54" s="401">
        <v>1</v>
      </c>
      <c r="H54" s="401">
        <v>1</v>
      </c>
      <c r="I54" s="401">
        <v>1</v>
      </c>
      <c r="J54" s="339">
        <f>POWER(E54/$E$54,0.1)</f>
        <v>1</v>
      </c>
      <c r="K54" s="339">
        <f t="shared" ref="K54:K65" si="8">E54/$E$54</f>
        <v>1</v>
      </c>
    </row>
    <row r="55" spans="2:20" x14ac:dyDescent="0.35">
      <c r="B55" s="415" t="str">
        <f t="shared" ref="B55:B65" si="9">C55&amp;D55</f>
        <v>T2低</v>
      </c>
      <c r="C55" s="403" t="s">
        <v>921</v>
      </c>
      <c r="D55" s="402" t="s">
        <v>12</v>
      </c>
      <c r="E55" s="401">
        <f>坦克升星消耗!L22</f>
        <v>5100</v>
      </c>
      <c r="F55" s="401">
        <v>1</v>
      </c>
      <c r="G55" s="401">
        <v>1</v>
      </c>
      <c r="H55" s="401">
        <v>1</v>
      </c>
      <c r="I55" s="401">
        <v>1</v>
      </c>
      <c r="J55" s="339">
        <f t="shared" ref="J55:J65" si="10">POWER(E55/$E$54,0.1)</f>
        <v>1.0927859135334688</v>
      </c>
      <c r="K55" s="339">
        <f t="shared" si="8"/>
        <v>2.4285714285714284</v>
      </c>
    </row>
    <row r="56" spans="2:20" x14ac:dyDescent="0.35">
      <c r="B56" s="415" t="str">
        <f t="shared" si="9"/>
        <v>T2中</v>
      </c>
      <c r="C56" s="403" t="s">
        <v>921</v>
      </c>
      <c r="D56" s="402" t="s">
        <v>989</v>
      </c>
      <c r="E56" s="401">
        <f>坦克升星消耗!L23</f>
        <v>15300</v>
      </c>
      <c r="F56" s="401">
        <v>1</v>
      </c>
      <c r="G56" s="401">
        <v>1</v>
      </c>
      <c r="H56" s="401">
        <v>1</v>
      </c>
      <c r="I56" s="401">
        <v>1</v>
      </c>
      <c r="J56" s="339">
        <f t="shared" si="10"/>
        <v>1.219683682352515</v>
      </c>
      <c r="K56" s="339">
        <f t="shared" si="8"/>
        <v>7.2857142857142856</v>
      </c>
    </row>
    <row r="57" spans="2:20" x14ac:dyDescent="0.35">
      <c r="B57" s="415" t="str">
        <f t="shared" si="9"/>
        <v>T3低</v>
      </c>
      <c r="C57" s="403" t="s">
        <v>922</v>
      </c>
      <c r="D57" s="402" t="s">
        <v>12</v>
      </c>
      <c r="E57" s="401">
        <f>坦克升星消耗!L24</f>
        <v>11400</v>
      </c>
      <c r="F57" s="401">
        <v>1</v>
      </c>
      <c r="G57" s="401">
        <v>1</v>
      </c>
      <c r="H57" s="401">
        <v>1</v>
      </c>
      <c r="I57" s="401">
        <v>1</v>
      </c>
      <c r="J57" s="339">
        <f t="shared" si="10"/>
        <v>1.1843186153548024</v>
      </c>
      <c r="K57" s="339">
        <f t="shared" si="8"/>
        <v>5.4285714285714288</v>
      </c>
    </row>
    <row r="58" spans="2:20" x14ac:dyDescent="0.35">
      <c r="B58" s="415" t="str">
        <f t="shared" si="9"/>
        <v>T3中</v>
      </c>
      <c r="C58" s="403" t="s">
        <v>922</v>
      </c>
      <c r="D58" s="402" t="s">
        <v>989</v>
      </c>
      <c r="E58" s="401">
        <f>坦克升星消耗!L25</f>
        <v>34500</v>
      </c>
      <c r="F58" s="401">
        <v>1</v>
      </c>
      <c r="G58" s="401">
        <v>1</v>
      </c>
      <c r="H58" s="401">
        <v>1</v>
      </c>
      <c r="I58" s="401">
        <v>1</v>
      </c>
      <c r="J58" s="339">
        <f t="shared" si="10"/>
        <v>1.3230004138317857</v>
      </c>
      <c r="K58" s="339">
        <f t="shared" si="8"/>
        <v>16.428571428571427</v>
      </c>
    </row>
    <row r="59" spans="2:20" x14ac:dyDescent="0.35">
      <c r="B59" s="415" t="str">
        <f t="shared" si="9"/>
        <v>T3高</v>
      </c>
      <c r="C59" s="403" t="s">
        <v>922</v>
      </c>
      <c r="D59" s="402" t="s">
        <v>990</v>
      </c>
      <c r="E59" s="401">
        <f>坦克升星消耗!L26</f>
        <v>41325</v>
      </c>
      <c r="F59" s="401">
        <v>1</v>
      </c>
      <c r="G59" s="401">
        <v>1</v>
      </c>
      <c r="H59" s="401">
        <v>1</v>
      </c>
      <c r="I59" s="401">
        <v>1</v>
      </c>
      <c r="J59" s="339">
        <f t="shared" si="10"/>
        <v>1.347098513038683</v>
      </c>
      <c r="K59" s="339">
        <f t="shared" si="8"/>
        <v>19.678571428571427</v>
      </c>
    </row>
    <row r="60" spans="2:20" x14ac:dyDescent="0.35">
      <c r="B60" s="415" t="str">
        <f t="shared" si="9"/>
        <v>T4低</v>
      </c>
      <c r="C60" s="403" t="s">
        <v>923</v>
      </c>
      <c r="D60" s="402" t="s">
        <v>12</v>
      </c>
      <c r="E60" s="401">
        <f>坦克升星消耗!L27</f>
        <v>27500</v>
      </c>
      <c r="F60" s="401">
        <v>1</v>
      </c>
      <c r="G60" s="401">
        <v>1</v>
      </c>
      <c r="H60" s="401">
        <v>1</v>
      </c>
      <c r="I60" s="401">
        <v>1</v>
      </c>
      <c r="J60" s="339">
        <f t="shared" si="10"/>
        <v>1.2933359213311562</v>
      </c>
      <c r="K60" s="339">
        <f t="shared" si="8"/>
        <v>13.095238095238095</v>
      </c>
    </row>
    <row r="61" spans="2:20" x14ac:dyDescent="0.35">
      <c r="B61" s="415" t="str">
        <f t="shared" si="9"/>
        <v>T4中</v>
      </c>
      <c r="C61" s="403" t="s">
        <v>923</v>
      </c>
      <c r="D61" s="402" t="s">
        <v>989</v>
      </c>
      <c r="E61" s="401">
        <f>坦克升星消耗!L28</f>
        <v>67500</v>
      </c>
      <c r="F61" s="401">
        <v>1</v>
      </c>
      <c r="G61" s="401">
        <v>1</v>
      </c>
      <c r="H61" s="401">
        <v>1</v>
      </c>
      <c r="I61" s="401">
        <v>1</v>
      </c>
      <c r="J61" s="339">
        <f t="shared" si="10"/>
        <v>1.4148436429602269</v>
      </c>
      <c r="K61" s="339">
        <f t="shared" si="8"/>
        <v>32.142857142857146</v>
      </c>
    </row>
    <row r="62" spans="2:20" x14ac:dyDescent="0.35">
      <c r="B62" s="415" t="str">
        <f t="shared" si="9"/>
        <v>T4高</v>
      </c>
      <c r="C62" s="403" t="s">
        <v>923</v>
      </c>
      <c r="D62" s="402" t="s">
        <v>990</v>
      </c>
      <c r="E62" s="401">
        <f>坦克升星消耗!L29</f>
        <v>88350</v>
      </c>
      <c r="F62" s="401">
        <v>1</v>
      </c>
      <c r="G62" s="401">
        <v>1</v>
      </c>
      <c r="H62" s="401">
        <v>1</v>
      </c>
      <c r="I62" s="401">
        <v>1</v>
      </c>
      <c r="J62" s="339">
        <f t="shared" si="10"/>
        <v>1.4534454139412838</v>
      </c>
      <c r="K62" s="339">
        <f t="shared" si="8"/>
        <v>42.071428571428569</v>
      </c>
    </row>
    <row r="63" spans="2:20" x14ac:dyDescent="0.35">
      <c r="B63" s="415" t="str">
        <f t="shared" si="9"/>
        <v>T5低</v>
      </c>
      <c r="C63" s="403" t="s">
        <v>924</v>
      </c>
      <c r="D63" s="402" t="s">
        <v>12</v>
      </c>
      <c r="E63" s="401">
        <f>坦克升星消耗!L30</f>
        <v>64600</v>
      </c>
      <c r="F63" s="401">
        <v>1</v>
      </c>
      <c r="G63" s="401">
        <v>1</v>
      </c>
      <c r="H63" s="401">
        <v>1</v>
      </c>
      <c r="I63" s="401">
        <v>1</v>
      </c>
      <c r="J63" s="339">
        <f t="shared" si="10"/>
        <v>1.4086442353501869</v>
      </c>
      <c r="K63" s="339">
        <f t="shared" si="8"/>
        <v>30.761904761904763</v>
      </c>
    </row>
    <row r="64" spans="2:20" x14ac:dyDescent="0.35">
      <c r="B64" s="415" t="str">
        <f t="shared" si="9"/>
        <v>T5中</v>
      </c>
      <c r="C64" s="403" t="s">
        <v>924</v>
      </c>
      <c r="D64" s="402" t="s">
        <v>989</v>
      </c>
      <c r="E64" s="401">
        <f>坦克升星消耗!L31</f>
        <v>144000</v>
      </c>
      <c r="F64" s="401">
        <v>1</v>
      </c>
      <c r="G64" s="401">
        <v>1</v>
      </c>
      <c r="H64" s="401">
        <v>1</v>
      </c>
      <c r="I64" s="401">
        <v>1</v>
      </c>
      <c r="J64" s="339">
        <f t="shared" si="10"/>
        <v>1.5262100876220526</v>
      </c>
      <c r="K64" s="339">
        <f t="shared" si="8"/>
        <v>68.571428571428569</v>
      </c>
    </row>
    <row r="65" spans="2:25" x14ac:dyDescent="0.35">
      <c r="B65" s="415" t="str">
        <f t="shared" si="9"/>
        <v>T5高</v>
      </c>
      <c r="C65" s="403" t="s">
        <v>924</v>
      </c>
      <c r="D65" s="402" t="s">
        <v>990</v>
      </c>
      <c r="E65" s="401">
        <f>坦克升星消耗!L32</f>
        <v>193550</v>
      </c>
      <c r="F65" s="401">
        <v>1</v>
      </c>
      <c r="G65" s="401">
        <v>1</v>
      </c>
      <c r="H65" s="401">
        <v>1</v>
      </c>
      <c r="I65" s="401">
        <v>1</v>
      </c>
      <c r="J65" s="339">
        <f t="shared" si="10"/>
        <v>1.5720175423955129</v>
      </c>
      <c r="K65" s="339">
        <f t="shared" si="8"/>
        <v>92.166666666666671</v>
      </c>
    </row>
    <row r="68" spans="2:25" x14ac:dyDescent="0.35">
      <c r="B68" s="529" t="s">
        <v>2446</v>
      </c>
      <c r="C68" s="529" t="s">
        <v>2451</v>
      </c>
      <c r="D68" s="529" t="s">
        <v>2450</v>
      </c>
      <c r="E68" s="529" t="s">
        <v>2449</v>
      </c>
    </row>
    <row r="69" spans="2:25" x14ac:dyDescent="0.35">
      <c r="B69" s="529" t="s">
        <v>2447</v>
      </c>
      <c r="C69" s="228">
        <v>0.66</v>
      </c>
      <c r="D69" s="508">
        <v>18</v>
      </c>
      <c r="E69" s="508">
        <f>ROUND(C69/D69,3)</f>
        <v>3.6999999999999998E-2</v>
      </c>
    </row>
    <row r="70" spans="2:25" x14ac:dyDescent="0.35">
      <c r="B70" s="529" t="s">
        <v>2448</v>
      </c>
      <c r="C70" s="228">
        <v>0.66</v>
      </c>
      <c r="D70" s="508">
        <v>9</v>
      </c>
      <c r="E70" s="508">
        <f>ROUND(C70/D70,3)</f>
        <v>7.2999999999999995E-2</v>
      </c>
    </row>
    <row r="73" spans="2:25" x14ac:dyDescent="0.35">
      <c r="B73" s="416" t="s">
        <v>814</v>
      </c>
      <c r="C73" s="416" t="s">
        <v>1225</v>
      </c>
      <c r="D73" s="419" t="s">
        <v>2006</v>
      </c>
      <c r="E73" s="417" t="s">
        <v>917</v>
      </c>
      <c r="F73" s="422" t="s">
        <v>2011</v>
      </c>
      <c r="G73" s="422" t="s">
        <v>2012</v>
      </c>
      <c r="H73" s="422" t="s">
        <v>2013</v>
      </c>
      <c r="I73" s="158">
        <f>SUM(H74:H76)</f>
        <v>0.66599999999999993</v>
      </c>
      <c r="J73" s="512" t="s">
        <v>597</v>
      </c>
      <c r="K73" s="512" t="s">
        <v>1225</v>
      </c>
      <c r="L73" s="419" t="s">
        <v>792</v>
      </c>
      <c r="M73" s="513" t="s">
        <v>917</v>
      </c>
      <c r="N73" s="422" t="s">
        <v>2011</v>
      </c>
      <c r="O73" s="422" t="s">
        <v>747</v>
      </c>
      <c r="P73" s="422" t="s">
        <v>2013</v>
      </c>
      <c r="Q73" s="158">
        <f>SUM(P74:P76)</f>
        <v>0.66599999999999993</v>
      </c>
      <c r="R73" s="512" t="s">
        <v>597</v>
      </c>
      <c r="S73" s="512" t="s">
        <v>1225</v>
      </c>
      <c r="T73" s="419" t="s">
        <v>792</v>
      </c>
      <c r="U73" s="513" t="s">
        <v>917</v>
      </c>
      <c r="V73" s="422" t="s">
        <v>2011</v>
      </c>
      <c r="W73" s="422" t="s">
        <v>747</v>
      </c>
      <c r="X73" s="422" t="s">
        <v>2013</v>
      </c>
      <c r="Y73" s="158">
        <f>SUM(X74:X76)</f>
        <v>0.65699999999999992</v>
      </c>
    </row>
    <row r="74" spans="2:25" x14ac:dyDescent="0.35">
      <c r="B74" s="416">
        <v>1</v>
      </c>
      <c r="C74" s="418" t="s">
        <v>615</v>
      </c>
      <c r="D74" s="415" t="str">
        <f>IFERROR(VLOOKUP(C74,坦克个性化设定!$B$18:$E$48,4,FALSE)&amp;VLOOKUP(C74,坦克个性化细分!$I$3:$J$33,2,FALSE),"")</f>
        <v>T1低</v>
      </c>
      <c r="E74" s="416" t="s">
        <v>1211</v>
      </c>
      <c r="F74" s="508">
        <f>$E$69</f>
        <v>3.6999999999999998E-2</v>
      </c>
      <c r="G74" s="299">
        <v>6</v>
      </c>
      <c r="H74" s="415">
        <f>F74*G74</f>
        <v>0.22199999999999998</v>
      </c>
      <c r="J74" s="512">
        <v>1</v>
      </c>
      <c r="K74" s="516" t="s">
        <v>615</v>
      </c>
      <c r="L74" s="508" t="str">
        <f>IFERROR(VLOOKUP(K74,坦克个性化设定!$B$18:$E$48,4,FALSE)&amp;VLOOKUP(K74,坦克个性化细分!$I$3:$J$33,2,FALSE),"")</f>
        <v>T1低</v>
      </c>
      <c r="M74" s="512" t="s">
        <v>1211</v>
      </c>
      <c r="N74" s="508">
        <f>$E$69</f>
        <v>3.6999999999999998E-2</v>
      </c>
      <c r="O74" s="299">
        <v>6</v>
      </c>
      <c r="P74" s="508">
        <f>N74*O74</f>
        <v>0.22199999999999998</v>
      </c>
      <c r="R74" s="512">
        <v>1</v>
      </c>
      <c r="S74" s="516" t="s">
        <v>615</v>
      </c>
      <c r="T74" s="508" t="str">
        <f>IFERROR(VLOOKUP(S74,坦克个性化设定!$B$18:$E$48,4,FALSE)&amp;VLOOKUP(S74,坦克个性化细分!$I$3:$J$33,2,FALSE),"")</f>
        <v>T1低</v>
      </c>
      <c r="U74" s="512" t="s">
        <v>1211</v>
      </c>
      <c r="V74" s="508">
        <f>$E$70</f>
        <v>7.2999999999999995E-2</v>
      </c>
      <c r="W74" s="299">
        <v>3</v>
      </c>
      <c r="X74" s="508">
        <f>V74*W74</f>
        <v>0.21899999999999997</v>
      </c>
    </row>
    <row r="75" spans="2:25" x14ac:dyDescent="0.35">
      <c r="B75" s="416">
        <v>1</v>
      </c>
      <c r="C75" s="418" t="s">
        <v>623</v>
      </c>
      <c r="D75" s="415" t="str">
        <f>IFERROR(VLOOKUP(C75,坦克个性化设定!$B$18:$E$48,4,FALSE)&amp;VLOOKUP(C75,坦克个性化细分!$I$3:$J$33,2,FALSE),"")</f>
        <v>T1低</v>
      </c>
      <c r="E75" s="416" t="s">
        <v>1211</v>
      </c>
      <c r="F75" s="508">
        <f>$E$69</f>
        <v>3.6999999999999998E-2</v>
      </c>
      <c r="G75" s="299">
        <v>6</v>
      </c>
      <c r="H75" s="415">
        <f>F75*G75</f>
        <v>0.22199999999999998</v>
      </c>
      <c r="J75" s="512">
        <v>1</v>
      </c>
      <c r="K75" s="516" t="s">
        <v>623</v>
      </c>
      <c r="L75" s="508" t="str">
        <f>IFERROR(VLOOKUP(K75,坦克个性化设定!$B$18:$E$48,4,FALSE)&amp;VLOOKUP(K75,坦克个性化细分!$I$3:$J$33,2,FALSE),"")</f>
        <v>T1低</v>
      </c>
      <c r="M75" s="512" t="s">
        <v>1211</v>
      </c>
      <c r="N75" s="508">
        <f>$E$69</f>
        <v>3.6999999999999998E-2</v>
      </c>
      <c r="O75" s="299">
        <v>6</v>
      </c>
      <c r="P75" s="508">
        <f>N75*O75</f>
        <v>0.22199999999999998</v>
      </c>
      <c r="R75" s="512">
        <v>1</v>
      </c>
      <c r="S75" s="516" t="s">
        <v>623</v>
      </c>
      <c r="T75" s="508" t="str">
        <f>IFERROR(VLOOKUP(S75,坦克个性化设定!$B$18:$E$48,4,FALSE)&amp;VLOOKUP(S75,坦克个性化细分!$I$3:$J$33,2,FALSE),"")</f>
        <v>T1低</v>
      </c>
      <c r="U75" s="512" t="s">
        <v>1211</v>
      </c>
      <c r="V75" s="508">
        <f>$E$70</f>
        <v>7.2999999999999995E-2</v>
      </c>
      <c r="W75" s="299">
        <v>3</v>
      </c>
      <c r="X75" s="508">
        <f>V75*W75</f>
        <v>0.21899999999999997</v>
      </c>
    </row>
    <row r="76" spans="2:25" x14ac:dyDescent="0.35">
      <c r="B76" s="416">
        <v>1</v>
      </c>
      <c r="C76" s="418" t="s">
        <v>721</v>
      </c>
      <c r="D76" s="415" t="str">
        <f>IFERROR(VLOOKUP(C76,坦克个性化设定!$B$18:$E$48,4,FALSE)&amp;VLOOKUP(C76,坦克个性化细分!$I$3:$J$33,2,FALSE),"")</f>
        <v>T1低</v>
      </c>
      <c r="E76" s="416" t="s">
        <v>1211</v>
      </c>
      <c r="F76" s="508">
        <f>$E$69</f>
        <v>3.6999999999999998E-2</v>
      </c>
      <c r="G76" s="299">
        <v>6</v>
      </c>
      <c r="H76" s="415">
        <f>F76*G76</f>
        <v>0.22199999999999998</v>
      </c>
      <c r="J76" s="512">
        <v>1</v>
      </c>
      <c r="K76" s="516" t="s">
        <v>721</v>
      </c>
      <c r="L76" s="508" t="str">
        <f>IFERROR(VLOOKUP(K76,坦克个性化设定!$B$18:$E$48,4,FALSE)&amp;VLOOKUP(K76,坦克个性化细分!$I$3:$J$33,2,FALSE),"")</f>
        <v>T1低</v>
      </c>
      <c r="M76" s="512" t="s">
        <v>1211</v>
      </c>
      <c r="N76" s="508">
        <f>$E$69</f>
        <v>3.6999999999999998E-2</v>
      </c>
      <c r="O76" s="299">
        <v>6</v>
      </c>
      <c r="P76" s="508">
        <f>N76*O76</f>
        <v>0.22199999999999998</v>
      </c>
      <c r="R76" s="512">
        <v>1</v>
      </c>
      <c r="S76" s="516" t="s">
        <v>721</v>
      </c>
      <c r="T76" s="508" t="str">
        <f>IFERROR(VLOOKUP(S76,坦克个性化设定!$B$18:$E$48,4,FALSE)&amp;VLOOKUP(S76,坦克个性化细分!$I$3:$J$33,2,FALSE),"")</f>
        <v>T1低</v>
      </c>
      <c r="U76" s="512" t="s">
        <v>1211</v>
      </c>
      <c r="V76" s="508">
        <f>$E$70</f>
        <v>7.2999999999999995E-2</v>
      </c>
      <c r="W76" s="299">
        <v>3</v>
      </c>
      <c r="X76" s="508">
        <f>V76*W76</f>
        <v>0.21899999999999997</v>
      </c>
    </row>
    <row r="77" spans="2:25" x14ac:dyDescent="0.35">
      <c r="B77" s="274"/>
      <c r="C77" s="274"/>
      <c r="E77" s="274"/>
      <c r="J77" s="274"/>
      <c r="K77" s="274"/>
      <c r="M77" s="274"/>
      <c r="R77" s="274"/>
      <c r="S77" s="274"/>
      <c r="U77" s="274"/>
    </row>
    <row r="78" spans="2:25" x14ac:dyDescent="0.35">
      <c r="B78" s="274"/>
      <c r="C78" s="274"/>
      <c r="E78" s="274"/>
      <c r="J78" s="274"/>
      <c r="K78" s="274"/>
      <c r="M78" s="274"/>
      <c r="R78" s="274"/>
      <c r="S78" s="274"/>
      <c r="U78" s="274"/>
    </row>
    <row r="79" spans="2:25" x14ac:dyDescent="0.35">
      <c r="B79" s="416" t="s">
        <v>814</v>
      </c>
      <c r="C79" s="416" t="s">
        <v>1225</v>
      </c>
      <c r="D79" s="419" t="s">
        <v>2006</v>
      </c>
      <c r="E79" s="417" t="s">
        <v>917</v>
      </c>
      <c r="F79" s="422" t="s">
        <v>2011</v>
      </c>
      <c r="G79" s="422" t="s">
        <v>2012</v>
      </c>
      <c r="H79" s="422" t="s">
        <v>2013</v>
      </c>
      <c r="I79" s="158">
        <f>SUM(H80:H88)</f>
        <v>0.66600000000000004</v>
      </c>
      <c r="J79" s="512" t="s">
        <v>597</v>
      </c>
      <c r="K79" s="512" t="s">
        <v>1225</v>
      </c>
      <c r="L79" s="419" t="s">
        <v>792</v>
      </c>
      <c r="M79" s="513" t="s">
        <v>917</v>
      </c>
      <c r="N79" s="422" t="s">
        <v>2011</v>
      </c>
      <c r="O79" s="422" t="s">
        <v>747</v>
      </c>
      <c r="P79" s="422" t="s">
        <v>2013</v>
      </c>
      <c r="Q79" s="158">
        <f>SUM(P80:P88)</f>
        <v>0.66600000000000004</v>
      </c>
      <c r="R79" s="512" t="s">
        <v>597</v>
      </c>
      <c r="S79" s="512" t="s">
        <v>1225</v>
      </c>
      <c r="T79" s="419" t="s">
        <v>792</v>
      </c>
      <c r="U79" s="513" t="s">
        <v>917</v>
      </c>
      <c r="V79" s="422" t="s">
        <v>2011</v>
      </c>
      <c r="W79" s="422" t="s">
        <v>747</v>
      </c>
      <c r="X79" s="422" t="s">
        <v>2013</v>
      </c>
      <c r="Y79" s="158">
        <f>SUM(X80:X85)</f>
        <v>0.65699999999999981</v>
      </c>
    </row>
    <row r="80" spans="2:25" x14ac:dyDescent="0.35">
      <c r="B80" s="416">
        <v>2</v>
      </c>
      <c r="C80" s="418" t="s">
        <v>616</v>
      </c>
      <c r="D80" s="415" t="str">
        <f>IFERROR(VLOOKUP(C80,坦克个性化设定!$B$18:$E$48,4,FALSE)&amp;VLOOKUP(C80,坦克个性化细分!$I$3:$J$33,2,FALSE),"")</f>
        <v>T2低</v>
      </c>
      <c r="E80" s="295" t="s">
        <v>1328</v>
      </c>
      <c r="F80" s="508">
        <f t="shared" ref="F80:F88" si="11">$E$69</f>
        <v>3.6999999999999998E-2</v>
      </c>
      <c r="G80" s="299">
        <v>2</v>
      </c>
      <c r="H80" s="415">
        <f t="shared" ref="H80:H88" si="12">F80*G80</f>
        <v>7.3999999999999996E-2</v>
      </c>
      <c r="J80" s="512">
        <v>2</v>
      </c>
      <c r="K80" s="516" t="s">
        <v>616</v>
      </c>
      <c r="L80" s="508" t="str">
        <f>IFERROR(VLOOKUP(K80,坦克个性化设定!$B$18:$E$48,4,FALSE)&amp;VLOOKUP(K80,坦克个性化细分!$I$3:$J$33,2,FALSE),"")</f>
        <v>T2低</v>
      </c>
      <c r="M80" s="295" t="s">
        <v>918</v>
      </c>
      <c r="N80" s="508">
        <f t="shared" ref="N80:N88" si="13">$E$69</f>
        <v>3.6999999999999998E-2</v>
      </c>
      <c r="O80" s="299">
        <v>4</v>
      </c>
      <c r="P80" s="508">
        <f t="shared" ref="P80:P88" si="14">N80*O80</f>
        <v>0.14799999999999999</v>
      </c>
      <c r="R80" s="512">
        <v>2</v>
      </c>
      <c r="S80" s="516" t="s">
        <v>615</v>
      </c>
      <c r="T80" s="508" t="str">
        <f>IFERROR(VLOOKUP(S80,坦克个性化设定!$B$18:$E$48,4,FALSE)&amp;VLOOKUP(S80,坦克个性化细分!$I$3:$J$33,2,FALSE),"")</f>
        <v>T1低</v>
      </c>
      <c r="U80" s="512" t="s">
        <v>1211</v>
      </c>
      <c r="V80" s="508">
        <f t="shared" ref="V80:V85" si="15">$E$70</f>
        <v>7.2999999999999995E-2</v>
      </c>
      <c r="W80" s="299">
        <v>2</v>
      </c>
      <c r="X80" s="508">
        <f t="shared" ref="X80:X85" si="16">V80*W80</f>
        <v>0.14599999999999999</v>
      </c>
    </row>
    <row r="81" spans="2:25" x14ac:dyDescent="0.35">
      <c r="B81" s="416">
        <v>2</v>
      </c>
      <c r="C81" s="418" t="s">
        <v>624</v>
      </c>
      <c r="D81" s="415" t="str">
        <f>IFERROR(VLOOKUP(C81,坦克个性化设定!$B$18:$E$48,4,FALSE)&amp;VLOOKUP(C81,坦克个性化细分!$I$3:$J$33,2,FALSE),"")</f>
        <v>T2低</v>
      </c>
      <c r="E81" s="295" t="s">
        <v>1328</v>
      </c>
      <c r="F81" s="508">
        <f t="shared" si="11"/>
        <v>3.6999999999999998E-2</v>
      </c>
      <c r="G81" s="299">
        <v>2</v>
      </c>
      <c r="H81" s="415">
        <f t="shared" si="12"/>
        <v>7.3999999999999996E-2</v>
      </c>
      <c r="J81" s="512">
        <v>2</v>
      </c>
      <c r="K81" s="516" t="s">
        <v>624</v>
      </c>
      <c r="L81" s="508" t="str">
        <f>IFERROR(VLOOKUP(K81,坦克个性化设定!$B$18:$E$48,4,FALSE)&amp;VLOOKUP(K81,坦克个性化细分!$I$3:$J$33,2,FALSE),"")</f>
        <v>T2低</v>
      </c>
      <c r="M81" s="295" t="s">
        <v>918</v>
      </c>
      <c r="N81" s="508">
        <f t="shared" si="13"/>
        <v>3.6999999999999998E-2</v>
      </c>
      <c r="O81" s="299">
        <v>4</v>
      </c>
      <c r="P81" s="508">
        <f t="shared" si="14"/>
        <v>0.14799999999999999</v>
      </c>
      <c r="R81" s="512">
        <v>2</v>
      </c>
      <c r="S81" s="516" t="s">
        <v>623</v>
      </c>
      <c r="T81" s="508" t="str">
        <f>IFERROR(VLOOKUP(S81,坦克个性化设定!$B$18:$E$48,4,FALSE)&amp;VLOOKUP(S81,坦克个性化细分!$I$3:$J$33,2,FALSE),"")</f>
        <v>T1低</v>
      </c>
      <c r="U81" s="512" t="s">
        <v>1211</v>
      </c>
      <c r="V81" s="508">
        <f t="shared" si="15"/>
        <v>7.2999999999999995E-2</v>
      </c>
      <c r="W81" s="299">
        <v>2</v>
      </c>
      <c r="X81" s="508">
        <f t="shared" si="16"/>
        <v>0.14599999999999999</v>
      </c>
    </row>
    <row r="82" spans="2:25" x14ac:dyDescent="0.35">
      <c r="B82" s="416">
        <v>2</v>
      </c>
      <c r="C82" s="418" t="s">
        <v>630</v>
      </c>
      <c r="D82" s="415" t="str">
        <f>IFERROR(VLOOKUP(C82,坦克个性化设定!$B$18:$E$48,4,FALSE)&amp;VLOOKUP(C82,坦克个性化细分!$I$3:$J$33,2,FALSE),"")</f>
        <v>T2低</v>
      </c>
      <c r="E82" s="295" t="s">
        <v>1328</v>
      </c>
      <c r="F82" s="508">
        <f t="shared" si="11"/>
        <v>3.6999999999999998E-2</v>
      </c>
      <c r="G82" s="299">
        <v>2</v>
      </c>
      <c r="H82" s="415">
        <f t="shared" si="12"/>
        <v>7.3999999999999996E-2</v>
      </c>
      <c r="J82" s="512">
        <v>2</v>
      </c>
      <c r="K82" s="516" t="s">
        <v>630</v>
      </c>
      <c r="L82" s="508" t="str">
        <f>IFERROR(VLOOKUP(K82,坦克个性化设定!$B$18:$E$48,4,FALSE)&amp;VLOOKUP(K82,坦克个性化细分!$I$3:$J$33,2,FALSE),"")</f>
        <v>T2低</v>
      </c>
      <c r="M82" s="295" t="s">
        <v>918</v>
      </c>
      <c r="N82" s="508">
        <f t="shared" si="13"/>
        <v>3.6999999999999998E-2</v>
      </c>
      <c r="O82" s="299">
        <v>4</v>
      </c>
      <c r="P82" s="508">
        <f t="shared" si="14"/>
        <v>0.14799999999999999</v>
      </c>
      <c r="R82" s="512">
        <v>2</v>
      </c>
      <c r="S82" s="516" t="s">
        <v>721</v>
      </c>
      <c r="T82" s="508" t="str">
        <f>IFERROR(VLOOKUP(S82,坦克个性化设定!$B$18:$E$48,4,FALSE)&amp;VLOOKUP(S82,坦克个性化细分!$I$3:$J$33,2,FALSE),"")</f>
        <v>T1低</v>
      </c>
      <c r="U82" s="512" t="s">
        <v>1211</v>
      </c>
      <c r="V82" s="508">
        <f t="shared" si="15"/>
        <v>7.2999999999999995E-2</v>
      </c>
      <c r="W82" s="299">
        <v>2</v>
      </c>
      <c r="X82" s="508">
        <f t="shared" si="16"/>
        <v>0.14599999999999999</v>
      </c>
    </row>
    <row r="83" spans="2:25" x14ac:dyDescent="0.35">
      <c r="B83" s="416">
        <v>2</v>
      </c>
      <c r="C83" s="418" t="s">
        <v>615</v>
      </c>
      <c r="D83" s="415" t="str">
        <f>IFERROR(VLOOKUP(C83,坦克个性化设定!$B$18:$E$48,4,FALSE)&amp;VLOOKUP(C83,坦克个性化细分!$I$3:$J$33,2,FALSE),"")</f>
        <v>T1低</v>
      </c>
      <c r="E83" s="416" t="s">
        <v>1211</v>
      </c>
      <c r="F83" s="508">
        <f t="shared" si="11"/>
        <v>3.6999999999999998E-2</v>
      </c>
      <c r="G83" s="299">
        <v>3</v>
      </c>
      <c r="H83" s="415">
        <f t="shared" si="12"/>
        <v>0.11099999999999999</v>
      </c>
      <c r="J83" s="512">
        <v>2</v>
      </c>
      <c r="K83" s="516" t="s">
        <v>615</v>
      </c>
      <c r="L83" s="508" t="str">
        <f>IFERROR(VLOOKUP(K83,坦克个性化设定!$B$18:$E$48,4,FALSE)&amp;VLOOKUP(K83,坦克个性化细分!$I$3:$J$33,2,FALSE),"")</f>
        <v>T1低</v>
      </c>
      <c r="M83" s="512" t="s">
        <v>1211</v>
      </c>
      <c r="N83" s="508">
        <f t="shared" si="13"/>
        <v>3.6999999999999998E-2</v>
      </c>
      <c r="O83" s="299">
        <v>1</v>
      </c>
      <c r="P83" s="508">
        <f t="shared" si="14"/>
        <v>3.6999999999999998E-2</v>
      </c>
      <c r="R83" s="512">
        <v>2</v>
      </c>
      <c r="S83" s="516" t="s">
        <v>616</v>
      </c>
      <c r="T83" s="508" t="str">
        <f>IFERROR(VLOOKUP(S83,坦克个性化设定!$B$18:$E$48,4,FALSE)&amp;VLOOKUP(S83,坦克个性化细分!$I$3:$J$33,2,FALSE),"")</f>
        <v>T2低</v>
      </c>
      <c r="U83" s="512" t="s">
        <v>1211</v>
      </c>
      <c r="V83" s="508">
        <f t="shared" si="15"/>
        <v>7.2999999999999995E-2</v>
      </c>
      <c r="W83" s="299">
        <v>1</v>
      </c>
      <c r="X83" s="508">
        <f t="shared" si="16"/>
        <v>7.2999999999999995E-2</v>
      </c>
    </row>
    <row r="84" spans="2:25" x14ac:dyDescent="0.35">
      <c r="B84" s="416">
        <v>2</v>
      </c>
      <c r="C84" s="418" t="s">
        <v>623</v>
      </c>
      <c r="D84" s="415" t="str">
        <f>IFERROR(VLOOKUP(C84,坦克个性化设定!$B$18:$E$48,4,FALSE)&amp;VLOOKUP(C84,坦克个性化细分!$I$3:$J$33,2,FALSE),"")</f>
        <v>T1低</v>
      </c>
      <c r="E84" s="416" t="s">
        <v>1211</v>
      </c>
      <c r="F84" s="508">
        <f t="shared" si="11"/>
        <v>3.6999999999999998E-2</v>
      </c>
      <c r="G84" s="299">
        <v>3</v>
      </c>
      <c r="H84" s="415">
        <f t="shared" si="12"/>
        <v>0.11099999999999999</v>
      </c>
      <c r="J84" s="512">
        <v>2</v>
      </c>
      <c r="K84" s="516" t="s">
        <v>623</v>
      </c>
      <c r="L84" s="508" t="str">
        <f>IFERROR(VLOOKUP(K84,坦克个性化设定!$B$18:$E$48,4,FALSE)&amp;VLOOKUP(K84,坦克个性化细分!$I$3:$J$33,2,FALSE),"")</f>
        <v>T1低</v>
      </c>
      <c r="M84" s="512" t="s">
        <v>1211</v>
      </c>
      <c r="N84" s="508">
        <f t="shared" si="13"/>
        <v>3.6999999999999998E-2</v>
      </c>
      <c r="O84" s="299">
        <v>1</v>
      </c>
      <c r="P84" s="508">
        <f t="shared" si="14"/>
        <v>3.6999999999999998E-2</v>
      </c>
      <c r="R84" s="512">
        <v>2</v>
      </c>
      <c r="S84" s="516" t="s">
        <v>624</v>
      </c>
      <c r="T84" s="508" t="str">
        <f>IFERROR(VLOOKUP(S84,坦克个性化设定!$B$18:$E$48,4,FALSE)&amp;VLOOKUP(S84,坦克个性化细分!$I$3:$J$33,2,FALSE),"")</f>
        <v>T2低</v>
      </c>
      <c r="U84" s="512" t="s">
        <v>1211</v>
      </c>
      <c r="V84" s="508">
        <f t="shared" si="15"/>
        <v>7.2999999999999995E-2</v>
      </c>
      <c r="W84" s="299">
        <v>1</v>
      </c>
      <c r="X84" s="508">
        <f t="shared" si="16"/>
        <v>7.2999999999999995E-2</v>
      </c>
    </row>
    <row r="85" spans="2:25" x14ac:dyDescent="0.35">
      <c r="B85" s="416">
        <v>2</v>
      </c>
      <c r="C85" s="418" t="s">
        <v>721</v>
      </c>
      <c r="D85" s="415" t="str">
        <f>IFERROR(VLOOKUP(C85,坦克个性化设定!$B$18:$E$48,4,FALSE)&amp;VLOOKUP(C85,坦克个性化细分!$I$3:$J$33,2,FALSE),"")</f>
        <v>T1低</v>
      </c>
      <c r="E85" s="416" t="s">
        <v>1211</v>
      </c>
      <c r="F85" s="508">
        <f t="shared" si="11"/>
        <v>3.6999999999999998E-2</v>
      </c>
      <c r="G85" s="299">
        <v>3</v>
      </c>
      <c r="H85" s="415">
        <f t="shared" si="12"/>
        <v>0.11099999999999999</v>
      </c>
      <c r="J85" s="512">
        <v>2</v>
      </c>
      <c r="K85" s="516" t="s">
        <v>721</v>
      </c>
      <c r="L85" s="508" t="str">
        <f>IFERROR(VLOOKUP(K85,坦克个性化设定!$B$18:$E$48,4,FALSE)&amp;VLOOKUP(K85,坦克个性化细分!$I$3:$J$33,2,FALSE),"")</f>
        <v>T1低</v>
      </c>
      <c r="M85" s="512" t="s">
        <v>1211</v>
      </c>
      <c r="N85" s="508">
        <f t="shared" si="13"/>
        <v>3.6999999999999998E-2</v>
      </c>
      <c r="O85" s="299">
        <v>1</v>
      </c>
      <c r="P85" s="508">
        <f t="shared" si="14"/>
        <v>3.6999999999999998E-2</v>
      </c>
      <c r="R85" s="512">
        <v>2</v>
      </c>
      <c r="S85" s="516" t="s">
        <v>630</v>
      </c>
      <c r="T85" s="508" t="str">
        <f>IFERROR(VLOOKUP(S85,坦克个性化设定!$B$18:$E$48,4,FALSE)&amp;VLOOKUP(S85,坦克个性化细分!$I$3:$J$33,2,FALSE),"")</f>
        <v>T2低</v>
      </c>
      <c r="U85" s="512" t="s">
        <v>1211</v>
      </c>
      <c r="V85" s="508">
        <f t="shared" si="15"/>
        <v>7.2999999999999995E-2</v>
      </c>
      <c r="W85" s="299">
        <v>1</v>
      </c>
      <c r="X85" s="508">
        <f t="shared" si="16"/>
        <v>7.2999999999999995E-2</v>
      </c>
    </row>
    <row r="86" spans="2:25" x14ac:dyDescent="0.35">
      <c r="B86" s="416">
        <v>2</v>
      </c>
      <c r="C86" s="418" t="s">
        <v>616</v>
      </c>
      <c r="D86" s="415" t="str">
        <f>IFERROR(VLOOKUP(C86,坦克个性化设定!$B$18:$E$48,4,FALSE)&amp;VLOOKUP(C86,坦克个性化细分!$I$3:$J$33,2,FALSE),"")</f>
        <v>T2低</v>
      </c>
      <c r="E86" s="416" t="s">
        <v>1235</v>
      </c>
      <c r="F86" s="508">
        <f t="shared" si="11"/>
        <v>3.6999999999999998E-2</v>
      </c>
      <c r="G86" s="299">
        <v>1</v>
      </c>
      <c r="H86" s="415">
        <f t="shared" si="12"/>
        <v>3.6999999999999998E-2</v>
      </c>
      <c r="J86" s="512">
        <v>2</v>
      </c>
      <c r="K86" s="516" t="s">
        <v>616</v>
      </c>
      <c r="L86" s="508" t="str">
        <f>IFERROR(VLOOKUP(K86,坦克个性化设定!$B$18:$E$48,4,FALSE)&amp;VLOOKUP(K86,坦克个性化细分!$I$3:$J$33,2,FALSE),"")</f>
        <v>T2低</v>
      </c>
      <c r="M86" s="512" t="s">
        <v>1211</v>
      </c>
      <c r="N86" s="508">
        <f t="shared" si="13"/>
        <v>3.6999999999999998E-2</v>
      </c>
      <c r="O86" s="299">
        <v>1</v>
      </c>
      <c r="P86" s="508">
        <f t="shared" si="14"/>
        <v>3.6999999999999998E-2</v>
      </c>
      <c r="R86" s="274"/>
      <c r="S86" s="274"/>
      <c r="U86" s="274"/>
    </row>
    <row r="87" spans="2:25" x14ac:dyDescent="0.35">
      <c r="B87" s="416">
        <v>2</v>
      </c>
      <c r="C87" s="418" t="s">
        <v>624</v>
      </c>
      <c r="D87" s="415" t="str">
        <f>IFERROR(VLOOKUP(C87,坦克个性化设定!$B$18:$E$48,4,FALSE)&amp;VLOOKUP(C87,坦克个性化细分!$I$3:$J$33,2,FALSE),"")</f>
        <v>T2低</v>
      </c>
      <c r="E87" s="416" t="s">
        <v>1235</v>
      </c>
      <c r="F87" s="508">
        <f t="shared" si="11"/>
        <v>3.6999999999999998E-2</v>
      </c>
      <c r="G87" s="299">
        <v>1</v>
      </c>
      <c r="H87" s="415">
        <f t="shared" si="12"/>
        <v>3.6999999999999998E-2</v>
      </c>
      <c r="J87" s="512">
        <v>2</v>
      </c>
      <c r="K87" s="516" t="s">
        <v>624</v>
      </c>
      <c r="L87" s="508" t="str">
        <f>IFERROR(VLOOKUP(K87,坦克个性化设定!$B$18:$E$48,4,FALSE)&amp;VLOOKUP(K87,坦克个性化细分!$I$3:$J$33,2,FALSE),"")</f>
        <v>T2低</v>
      </c>
      <c r="M87" s="512" t="s">
        <v>1211</v>
      </c>
      <c r="N87" s="508">
        <f t="shared" si="13"/>
        <v>3.6999999999999998E-2</v>
      </c>
      <c r="O87" s="299">
        <v>1</v>
      </c>
      <c r="P87" s="508">
        <f t="shared" si="14"/>
        <v>3.6999999999999998E-2</v>
      </c>
      <c r="R87" s="274"/>
      <c r="S87" s="274"/>
      <c r="U87" s="274"/>
    </row>
    <row r="88" spans="2:25" x14ac:dyDescent="0.35">
      <c r="B88" s="416">
        <v>2</v>
      </c>
      <c r="C88" s="418" t="s">
        <v>630</v>
      </c>
      <c r="D88" s="415" t="str">
        <f>IFERROR(VLOOKUP(C88,坦克个性化设定!$B$18:$E$48,4,FALSE)&amp;VLOOKUP(C88,坦克个性化细分!$I$3:$J$33,2,FALSE),"")</f>
        <v>T2低</v>
      </c>
      <c r="E88" s="416" t="s">
        <v>1235</v>
      </c>
      <c r="F88" s="508">
        <f t="shared" si="11"/>
        <v>3.6999999999999998E-2</v>
      </c>
      <c r="G88" s="299">
        <v>1</v>
      </c>
      <c r="H88" s="415">
        <f t="shared" si="12"/>
        <v>3.6999999999999998E-2</v>
      </c>
      <c r="J88" s="512">
        <v>2</v>
      </c>
      <c r="K88" s="516" t="s">
        <v>630</v>
      </c>
      <c r="L88" s="508" t="str">
        <f>IFERROR(VLOOKUP(K88,坦克个性化设定!$B$18:$E$48,4,FALSE)&amp;VLOOKUP(K88,坦克个性化细分!$I$3:$J$33,2,FALSE),"")</f>
        <v>T2低</v>
      </c>
      <c r="M88" s="512" t="s">
        <v>1211</v>
      </c>
      <c r="N88" s="508">
        <f t="shared" si="13"/>
        <v>3.6999999999999998E-2</v>
      </c>
      <c r="O88" s="299">
        <v>1</v>
      </c>
      <c r="P88" s="508">
        <f t="shared" si="14"/>
        <v>3.6999999999999998E-2</v>
      </c>
      <c r="R88" s="512" t="s">
        <v>597</v>
      </c>
      <c r="S88" s="512" t="s">
        <v>1225</v>
      </c>
      <c r="T88" s="419" t="s">
        <v>792</v>
      </c>
      <c r="U88" s="513" t="s">
        <v>917</v>
      </c>
      <c r="V88" s="422" t="s">
        <v>2011</v>
      </c>
      <c r="W88" s="422" t="s">
        <v>747</v>
      </c>
      <c r="X88" s="422" t="s">
        <v>2013</v>
      </c>
      <c r="Y88" s="158">
        <f>SUM(X89:X97)</f>
        <v>0.65699999999999992</v>
      </c>
    </row>
    <row r="89" spans="2:25" x14ac:dyDescent="0.35">
      <c r="B89" s="274"/>
      <c r="C89" s="274"/>
      <c r="E89" s="274"/>
      <c r="J89" s="274"/>
      <c r="K89" s="274"/>
      <c r="M89" s="274"/>
      <c r="R89" s="512">
        <v>3</v>
      </c>
      <c r="S89" s="516" t="s">
        <v>615</v>
      </c>
      <c r="T89" s="508" t="str">
        <f>IFERROR(VLOOKUP(S89,坦克个性化设定!$B$18:$E$48,4,FALSE)&amp;VLOOKUP(S89,坦克个性化细分!$I$3:$J$33,2,FALSE),"")</f>
        <v>T1低</v>
      </c>
      <c r="U89" s="512" t="s">
        <v>1211</v>
      </c>
      <c r="V89" s="508">
        <f t="shared" ref="V89:V97" si="17">$E$70</f>
        <v>7.2999999999999995E-2</v>
      </c>
      <c r="W89" s="299">
        <v>1</v>
      </c>
      <c r="X89" s="508">
        <f>V89*W89</f>
        <v>7.2999999999999995E-2</v>
      </c>
    </row>
    <row r="90" spans="2:25" x14ac:dyDescent="0.35">
      <c r="B90" s="274"/>
      <c r="C90" s="274"/>
      <c r="E90" s="274"/>
      <c r="J90" s="274"/>
      <c r="K90" s="274"/>
      <c r="M90" s="274"/>
      <c r="R90" s="512">
        <v>3</v>
      </c>
      <c r="S90" s="516" t="s">
        <v>623</v>
      </c>
      <c r="T90" s="508" t="str">
        <f>IFERROR(VLOOKUP(S90,坦克个性化设定!$B$18:$E$48,4,FALSE)&amp;VLOOKUP(S90,坦克个性化细分!$I$3:$J$33,2,FALSE),"")</f>
        <v>T1低</v>
      </c>
      <c r="U90" s="512" t="s">
        <v>1211</v>
      </c>
      <c r="V90" s="508">
        <f t="shared" si="17"/>
        <v>7.2999999999999995E-2</v>
      </c>
      <c r="W90" s="299">
        <v>1</v>
      </c>
      <c r="X90" s="508">
        <f>V90*W90</f>
        <v>7.2999999999999995E-2</v>
      </c>
    </row>
    <row r="91" spans="2:25" x14ac:dyDescent="0.35">
      <c r="B91" s="416" t="s">
        <v>814</v>
      </c>
      <c r="C91" s="416" t="s">
        <v>1225</v>
      </c>
      <c r="D91" s="419" t="s">
        <v>2006</v>
      </c>
      <c r="E91" s="417" t="s">
        <v>917</v>
      </c>
      <c r="F91" s="422" t="s">
        <v>2011</v>
      </c>
      <c r="G91" s="422" t="s">
        <v>2012</v>
      </c>
      <c r="H91" s="422" t="s">
        <v>2013</v>
      </c>
      <c r="I91" s="158">
        <f>SUM(H92:H103)</f>
        <v>0.66600000000000004</v>
      </c>
      <c r="J91" s="512" t="s">
        <v>597</v>
      </c>
      <c r="K91" s="512" t="s">
        <v>1225</v>
      </c>
      <c r="L91" s="419" t="s">
        <v>792</v>
      </c>
      <c r="M91" s="513" t="s">
        <v>917</v>
      </c>
      <c r="N91" s="422" t="s">
        <v>2011</v>
      </c>
      <c r="O91" s="422" t="s">
        <v>747</v>
      </c>
      <c r="P91" s="422" t="s">
        <v>2013</v>
      </c>
      <c r="Q91" s="158">
        <f>SUM(P92:P103)</f>
        <v>0.63269999999999993</v>
      </c>
      <c r="R91" s="512">
        <v>3</v>
      </c>
      <c r="S91" s="516" t="s">
        <v>721</v>
      </c>
      <c r="T91" s="508" t="str">
        <f>IFERROR(VLOOKUP(S91,坦克个性化设定!$B$18:$E$48,4,FALSE)&amp;VLOOKUP(S91,坦克个性化细分!$I$3:$J$33,2,FALSE),"")</f>
        <v>T1低</v>
      </c>
      <c r="U91" s="512" t="s">
        <v>1211</v>
      </c>
      <c r="V91" s="508">
        <f t="shared" si="17"/>
        <v>7.2999999999999995E-2</v>
      </c>
      <c r="W91" s="299">
        <v>1</v>
      </c>
      <c r="X91" s="508">
        <f>V91*W91</f>
        <v>7.2999999999999995E-2</v>
      </c>
    </row>
    <row r="92" spans="2:25" x14ac:dyDescent="0.35">
      <c r="B92" s="416">
        <v>3</v>
      </c>
      <c r="C92" s="418" t="s">
        <v>616</v>
      </c>
      <c r="D92" s="415" t="str">
        <f>IFERROR(VLOOKUP(C92,坦克个性化设定!$B$18:$E$48,4,FALSE)&amp;VLOOKUP(C92,坦克个性化细分!$I$3:$J$33,2,FALSE),"")</f>
        <v>T2低</v>
      </c>
      <c r="E92" s="295" t="s">
        <v>1327</v>
      </c>
      <c r="F92" s="508">
        <f t="shared" ref="F92:F103" si="18">$E$69</f>
        <v>3.6999999999999998E-2</v>
      </c>
      <c r="G92" s="299">
        <v>1</v>
      </c>
      <c r="H92" s="415">
        <f t="shared" ref="H92:H103" si="19">F92*G92</f>
        <v>3.6999999999999998E-2</v>
      </c>
      <c r="J92" s="512">
        <v>3</v>
      </c>
      <c r="K92" s="516" t="s">
        <v>616</v>
      </c>
      <c r="L92" s="508" t="str">
        <f>IFERROR(VLOOKUP(K92,坦克个性化设定!$B$18:$E$48,4,FALSE)&amp;VLOOKUP(K92,坦克个性化细分!$I$3:$J$33,2,FALSE),"")</f>
        <v>T2低</v>
      </c>
      <c r="M92" s="295" t="s">
        <v>918</v>
      </c>
      <c r="N92" s="508">
        <f t="shared" ref="N92:N103" si="20">$E$69</f>
        <v>3.6999999999999998E-2</v>
      </c>
      <c r="O92" s="299">
        <v>2</v>
      </c>
      <c r="P92" s="508">
        <f t="shared" ref="P92:P103" si="21">N92*O92</f>
        <v>7.3999999999999996E-2</v>
      </c>
      <c r="R92" s="512">
        <v>3</v>
      </c>
      <c r="S92" s="516" t="s">
        <v>616</v>
      </c>
      <c r="T92" s="508" t="str">
        <f>IFERROR(VLOOKUP(S92,坦克个性化设定!$B$18:$E$48,4,FALSE)&amp;VLOOKUP(S92,坦克个性化细分!$I$3:$J$33,2,FALSE),"")</f>
        <v>T2低</v>
      </c>
      <c r="U92" s="512" t="s">
        <v>1211</v>
      </c>
      <c r="V92" s="508">
        <f t="shared" si="17"/>
        <v>7.2999999999999995E-2</v>
      </c>
      <c r="W92" s="299">
        <v>1</v>
      </c>
      <c r="X92" s="508">
        <f t="shared" ref="X92:X97" si="22">V92*W92</f>
        <v>7.2999999999999995E-2</v>
      </c>
    </row>
    <row r="93" spans="2:25" x14ac:dyDescent="0.35">
      <c r="B93" s="416">
        <v>3</v>
      </c>
      <c r="C93" s="418" t="s">
        <v>624</v>
      </c>
      <c r="D93" s="415" t="str">
        <f>IFERROR(VLOOKUP(C93,坦克个性化设定!$B$18:$E$48,4,FALSE)&amp;VLOOKUP(C93,坦克个性化细分!$I$3:$J$33,2,FALSE),"")</f>
        <v>T2低</v>
      </c>
      <c r="E93" s="295" t="s">
        <v>1327</v>
      </c>
      <c r="F93" s="508">
        <f t="shared" si="18"/>
        <v>3.6999999999999998E-2</v>
      </c>
      <c r="G93" s="299">
        <v>1</v>
      </c>
      <c r="H93" s="415">
        <f t="shared" si="19"/>
        <v>3.6999999999999998E-2</v>
      </c>
      <c r="J93" s="512">
        <v>3</v>
      </c>
      <c r="K93" s="516" t="s">
        <v>624</v>
      </c>
      <c r="L93" s="508" t="str">
        <f>IFERROR(VLOOKUP(K93,坦克个性化设定!$B$18:$E$48,4,FALSE)&amp;VLOOKUP(K93,坦克个性化细分!$I$3:$J$33,2,FALSE),"")</f>
        <v>T2低</v>
      </c>
      <c r="M93" s="295" t="s">
        <v>918</v>
      </c>
      <c r="N93" s="508">
        <f t="shared" si="20"/>
        <v>3.6999999999999998E-2</v>
      </c>
      <c r="O93" s="299">
        <v>2</v>
      </c>
      <c r="P93" s="508">
        <f t="shared" si="21"/>
        <v>7.3999999999999996E-2</v>
      </c>
      <c r="R93" s="512">
        <v>3</v>
      </c>
      <c r="S93" s="516" t="s">
        <v>624</v>
      </c>
      <c r="T93" s="508" t="str">
        <f>IFERROR(VLOOKUP(S93,坦克个性化设定!$B$18:$E$48,4,FALSE)&amp;VLOOKUP(S93,坦克个性化细分!$I$3:$J$33,2,FALSE),"")</f>
        <v>T2低</v>
      </c>
      <c r="U93" s="512" t="s">
        <v>1211</v>
      </c>
      <c r="V93" s="508">
        <f t="shared" si="17"/>
        <v>7.2999999999999995E-2</v>
      </c>
      <c r="W93" s="299">
        <v>1</v>
      </c>
      <c r="X93" s="508">
        <f t="shared" si="22"/>
        <v>7.2999999999999995E-2</v>
      </c>
    </row>
    <row r="94" spans="2:25" x14ac:dyDescent="0.35">
      <c r="B94" s="416">
        <v>3</v>
      </c>
      <c r="C94" s="418" t="s">
        <v>630</v>
      </c>
      <c r="D94" s="415" t="str">
        <f>IFERROR(VLOOKUP(C94,坦克个性化设定!$B$18:$E$48,4,FALSE)&amp;VLOOKUP(C94,坦克个性化细分!$I$3:$J$33,2,FALSE),"")</f>
        <v>T2低</v>
      </c>
      <c r="E94" s="295" t="s">
        <v>1327</v>
      </c>
      <c r="F94" s="508">
        <f t="shared" si="18"/>
        <v>3.6999999999999998E-2</v>
      </c>
      <c r="G94" s="299">
        <v>1</v>
      </c>
      <c r="H94" s="415">
        <f t="shared" si="19"/>
        <v>3.6999999999999998E-2</v>
      </c>
      <c r="J94" s="512">
        <v>3</v>
      </c>
      <c r="K94" s="516" t="s">
        <v>630</v>
      </c>
      <c r="L94" s="508" t="str">
        <f>IFERROR(VLOOKUP(K94,坦克个性化设定!$B$18:$E$48,4,FALSE)&amp;VLOOKUP(K94,坦克个性化细分!$I$3:$J$33,2,FALSE),"")</f>
        <v>T2低</v>
      </c>
      <c r="M94" s="295" t="s">
        <v>918</v>
      </c>
      <c r="N94" s="508">
        <f t="shared" si="20"/>
        <v>3.6999999999999998E-2</v>
      </c>
      <c r="O94" s="299">
        <v>2</v>
      </c>
      <c r="P94" s="508">
        <f t="shared" si="21"/>
        <v>7.3999999999999996E-2</v>
      </c>
      <c r="R94" s="512">
        <v>3</v>
      </c>
      <c r="S94" s="516" t="s">
        <v>630</v>
      </c>
      <c r="T94" s="508" t="str">
        <f>IFERROR(VLOOKUP(S94,坦克个性化设定!$B$18:$E$48,4,FALSE)&amp;VLOOKUP(S94,坦克个性化细分!$I$3:$J$33,2,FALSE),"")</f>
        <v>T2低</v>
      </c>
      <c r="U94" s="512" t="s">
        <v>1211</v>
      </c>
      <c r="V94" s="508">
        <f t="shared" si="17"/>
        <v>7.2999999999999995E-2</v>
      </c>
      <c r="W94" s="299">
        <v>1</v>
      </c>
      <c r="X94" s="508">
        <f t="shared" si="22"/>
        <v>7.2999999999999995E-2</v>
      </c>
    </row>
    <row r="95" spans="2:25" x14ac:dyDescent="0.35">
      <c r="B95" s="416">
        <v>3</v>
      </c>
      <c r="C95" s="418" t="s">
        <v>617</v>
      </c>
      <c r="D95" s="415" t="str">
        <f>IFERROR(VLOOKUP(C95,坦克个性化设定!$B$18:$E$48,4,FALSE)&amp;VLOOKUP(C95,坦克个性化细分!$I$3:$J$33,2,FALSE),"")</f>
        <v>T2中</v>
      </c>
      <c r="E95" s="295" t="s">
        <v>918</v>
      </c>
      <c r="F95" s="508">
        <f t="shared" si="18"/>
        <v>3.6999999999999998E-2</v>
      </c>
      <c r="G95" s="299">
        <v>1</v>
      </c>
      <c r="H95" s="415">
        <f t="shared" si="19"/>
        <v>3.6999999999999998E-2</v>
      </c>
      <c r="J95" s="512">
        <v>3</v>
      </c>
      <c r="K95" s="516" t="s">
        <v>617</v>
      </c>
      <c r="L95" s="508" t="str">
        <f>IFERROR(VLOOKUP(K95,坦克个性化设定!$B$18:$E$48,4,FALSE)&amp;VLOOKUP(K95,坦克个性化细分!$I$3:$J$33,2,FALSE),"")</f>
        <v>T2中</v>
      </c>
      <c r="M95" s="295" t="s">
        <v>918</v>
      </c>
      <c r="N95" s="508">
        <f t="shared" si="20"/>
        <v>3.6999999999999998E-2</v>
      </c>
      <c r="O95" s="299">
        <v>1.8</v>
      </c>
      <c r="P95" s="508">
        <f t="shared" si="21"/>
        <v>6.6599999999999993E-2</v>
      </c>
      <c r="R95" s="512">
        <v>3</v>
      </c>
      <c r="S95" s="516" t="s">
        <v>617</v>
      </c>
      <c r="T95" s="508" t="str">
        <f>IFERROR(VLOOKUP(S95,坦克个性化设定!$B$18:$E$48,4,FALSE)&amp;VLOOKUP(S95,坦克个性化细分!$I$3:$J$33,2,FALSE),"")</f>
        <v>T2中</v>
      </c>
      <c r="U95" s="512" t="s">
        <v>1211</v>
      </c>
      <c r="V95" s="508">
        <f t="shared" si="17"/>
        <v>7.2999999999999995E-2</v>
      </c>
      <c r="W95" s="299">
        <v>1</v>
      </c>
      <c r="X95" s="508">
        <f t="shared" si="22"/>
        <v>7.2999999999999995E-2</v>
      </c>
    </row>
    <row r="96" spans="2:25" x14ac:dyDescent="0.35">
      <c r="B96" s="416">
        <v>3</v>
      </c>
      <c r="C96" s="418" t="s">
        <v>626</v>
      </c>
      <c r="D96" s="415" t="str">
        <f>IFERROR(VLOOKUP(C96,坦克个性化设定!$B$18:$E$48,4,FALSE)&amp;VLOOKUP(C96,坦克个性化细分!$I$3:$J$33,2,FALSE),"")</f>
        <v>T2中</v>
      </c>
      <c r="E96" s="295" t="s">
        <v>918</v>
      </c>
      <c r="F96" s="508">
        <f t="shared" si="18"/>
        <v>3.6999999999999998E-2</v>
      </c>
      <c r="G96" s="299">
        <v>1</v>
      </c>
      <c r="H96" s="415">
        <f t="shared" si="19"/>
        <v>3.6999999999999998E-2</v>
      </c>
      <c r="J96" s="512">
        <v>3</v>
      </c>
      <c r="K96" s="516" t="s">
        <v>626</v>
      </c>
      <c r="L96" s="508" t="str">
        <f>IFERROR(VLOOKUP(K96,坦克个性化设定!$B$18:$E$48,4,FALSE)&amp;VLOOKUP(K96,坦克个性化细分!$I$3:$J$33,2,FALSE),"")</f>
        <v>T2中</v>
      </c>
      <c r="M96" s="295" t="s">
        <v>918</v>
      </c>
      <c r="N96" s="508">
        <f t="shared" si="20"/>
        <v>3.6999999999999998E-2</v>
      </c>
      <c r="O96" s="299">
        <v>1.8</v>
      </c>
      <c r="P96" s="508">
        <f t="shared" si="21"/>
        <v>6.6599999999999993E-2</v>
      </c>
      <c r="R96" s="512">
        <v>3</v>
      </c>
      <c r="S96" s="516" t="s">
        <v>626</v>
      </c>
      <c r="T96" s="508" t="str">
        <f>IFERROR(VLOOKUP(S96,坦克个性化设定!$B$18:$E$48,4,FALSE)&amp;VLOOKUP(S96,坦克个性化细分!$I$3:$J$33,2,FALSE),"")</f>
        <v>T2中</v>
      </c>
      <c r="U96" s="512" t="s">
        <v>1211</v>
      </c>
      <c r="V96" s="508">
        <f t="shared" si="17"/>
        <v>7.2999999999999995E-2</v>
      </c>
      <c r="W96" s="299">
        <v>1</v>
      </c>
      <c r="X96" s="508">
        <f t="shared" si="22"/>
        <v>7.2999999999999995E-2</v>
      </c>
    </row>
    <row r="97" spans="2:25" x14ac:dyDescent="0.35">
      <c r="B97" s="416">
        <v>3</v>
      </c>
      <c r="C97" s="418" t="s">
        <v>631</v>
      </c>
      <c r="D97" s="415" t="str">
        <f>IFERROR(VLOOKUP(C97,坦克个性化设定!$B$18:$E$48,4,FALSE)&amp;VLOOKUP(C97,坦克个性化细分!$I$3:$J$33,2,FALSE),"")</f>
        <v>T2中</v>
      </c>
      <c r="E97" s="295" t="s">
        <v>918</v>
      </c>
      <c r="F97" s="508">
        <f t="shared" si="18"/>
        <v>3.6999999999999998E-2</v>
      </c>
      <c r="G97" s="299">
        <v>1</v>
      </c>
      <c r="H97" s="415">
        <f t="shared" si="19"/>
        <v>3.6999999999999998E-2</v>
      </c>
      <c r="J97" s="512">
        <v>3</v>
      </c>
      <c r="K97" s="516" t="s">
        <v>631</v>
      </c>
      <c r="L97" s="508" t="str">
        <f>IFERROR(VLOOKUP(K97,坦克个性化设定!$B$18:$E$48,4,FALSE)&amp;VLOOKUP(K97,坦克个性化细分!$I$3:$J$33,2,FALSE),"")</f>
        <v>T2中</v>
      </c>
      <c r="M97" s="295" t="s">
        <v>918</v>
      </c>
      <c r="N97" s="508">
        <f t="shared" si="20"/>
        <v>3.6999999999999998E-2</v>
      </c>
      <c r="O97" s="299">
        <v>1.8</v>
      </c>
      <c r="P97" s="508">
        <f t="shared" si="21"/>
        <v>6.6599999999999993E-2</v>
      </c>
      <c r="R97" s="512">
        <v>3</v>
      </c>
      <c r="S97" s="516" t="s">
        <v>631</v>
      </c>
      <c r="T97" s="508" t="str">
        <f>IFERROR(VLOOKUP(S97,坦克个性化设定!$B$18:$E$48,4,FALSE)&amp;VLOOKUP(S97,坦克个性化细分!$I$3:$J$33,2,FALSE),"")</f>
        <v>T2中</v>
      </c>
      <c r="U97" s="512" t="s">
        <v>1211</v>
      </c>
      <c r="V97" s="508">
        <f t="shared" si="17"/>
        <v>7.2999999999999995E-2</v>
      </c>
      <c r="W97" s="299">
        <v>1</v>
      </c>
      <c r="X97" s="508">
        <f t="shared" si="22"/>
        <v>7.2999999999999995E-2</v>
      </c>
    </row>
    <row r="98" spans="2:25" x14ac:dyDescent="0.35">
      <c r="B98" s="416">
        <v>3</v>
      </c>
      <c r="C98" s="418" t="s">
        <v>616</v>
      </c>
      <c r="D98" s="415" t="str">
        <f>IFERROR(VLOOKUP(C98,坦克个性化设定!$B$18:$E$48,4,FALSE)&amp;VLOOKUP(C98,坦克个性化细分!$I$3:$J$33,2,FALSE),"")</f>
        <v>T2低</v>
      </c>
      <c r="E98" s="416" t="s">
        <v>1235</v>
      </c>
      <c r="F98" s="565">
        <f t="shared" si="18"/>
        <v>3.6999999999999998E-2</v>
      </c>
      <c r="G98" s="299">
        <v>3</v>
      </c>
      <c r="H98" s="415">
        <f t="shared" si="19"/>
        <v>0.11099999999999999</v>
      </c>
      <c r="J98" s="512">
        <v>3</v>
      </c>
      <c r="K98" s="516" t="s">
        <v>616</v>
      </c>
      <c r="L98" s="508" t="str">
        <f>IFERROR(VLOOKUP(K98,坦克个性化设定!$B$18:$E$48,4,FALSE)&amp;VLOOKUP(K98,坦克个性化细分!$I$3:$J$33,2,FALSE),"")</f>
        <v>T2低</v>
      </c>
      <c r="M98" s="512" t="s">
        <v>1211</v>
      </c>
      <c r="N98" s="508">
        <f t="shared" si="20"/>
        <v>3.6999999999999998E-2</v>
      </c>
      <c r="O98" s="299">
        <v>1</v>
      </c>
      <c r="P98" s="508">
        <f t="shared" si="21"/>
        <v>3.6999999999999998E-2</v>
      </c>
      <c r="R98" s="274"/>
      <c r="S98" s="274"/>
      <c r="U98" s="274"/>
    </row>
    <row r="99" spans="2:25" x14ac:dyDescent="0.35">
      <c r="B99" s="416">
        <v>3</v>
      </c>
      <c r="C99" s="418" t="s">
        <v>624</v>
      </c>
      <c r="D99" s="415" t="str">
        <f>IFERROR(VLOOKUP(C99,坦克个性化设定!$B$18:$E$48,4,FALSE)&amp;VLOOKUP(C99,坦克个性化细分!$I$3:$J$33,2,FALSE),"")</f>
        <v>T2低</v>
      </c>
      <c r="E99" s="416" t="s">
        <v>1235</v>
      </c>
      <c r="F99" s="508">
        <f t="shared" si="18"/>
        <v>3.6999999999999998E-2</v>
      </c>
      <c r="G99" s="299">
        <v>3</v>
      </c>
      <c r="H99" s="415">
        <f t="shared" si="19"/>
        <v>0.11099999999999999</v>
      </c>
      <c r="J99" s="512">
        <v>3</v>
      </c>
      <c r="K99" s="516" t="s">
        <v>624</v>
      </c>
      <c r="L99" s="508" t="str">
        <f>IFERROR(VLOOKUP(K99,坦克个性化设定!$B$18:$E$48,4,FALSE)&amp;VLOOKUP(K99,坦克个性化细分!$I$3:$J$33,2,FALSE),"")</f>
        <v>T2低</v>
      </c>
      <c r="M99" s="512" t="s">
        <v>1211</v>
      </c>
      <c r="N99" s="508">
        <f t="shared" si="20"/>
        <v>3.6999999999999998E-2</v>
      </c>
      <c r="O99" s="299">
        <v>1</v>
      </c>
      <c r="P99" s="508">
        <f t="shared" si="21"/>
        <v>3.6999999999999998E-2</v>
      </c>
      <c r="R99" s="274"/>
      <c r="S99" s="274"/>
      <c r="U99" s="274"/>
    </row>
    <row r="100" spans="2:25" x14ac:dyDescent="0.35">
      <c r="B100" s="416">
        <v>3</v>
      </c>
      <c r="C100" s="418" t="s">
        <v>630</v>
      </c>
      <c r="D100" s="415" t="str">
        <f>IFERROR(VLOOKUP(C100,坦克个性化设定!$B$18:$E$48,4,FALSE)&amp;VLOOKUP(C100,坦克个性化细分!$I$3:$J$33,2,FALSE),"")</f>
        <v>T2低</v>
      </c>
      <c r="E100" s="416" t="s">
        <v>1235</v>
      </c>
      <c r="F100" s="508">
        <f t="shared" si="18"/>
        <v>3.6999999999999998E-2</v>
      </c>
      <c r="G100" s="299">
        <v>3</v>
      </c>
      <c r="H100" s="415">
        <f t="shared" si="19"/>
        <v>0.11099999999999999</v>
      </c>
      <c r="J100" s="512">
        <v>3</v>
      </c>
      <c r="K100" s="516" t="s">
        <v>630</v>
      </c>
      <c r="L100" s="508" t="str">
        <f>IFERROR(VLOOKUP(K100,坦克个性化设定!$B$18:$E$48,4,FALSE)&amp;VLOOKUP(K100,坦克个性化细分!$I$3:$J$33,2,FALSE),"")</f>
        <v>T2低</v>
      </c>
      <c r="M100" s="512" t="s">
        <v>1211</v>
      </c>
      <c r="N100" s="508">
        <f t="shared" si="20"/>
        <v>3.6999999999999998E-2</v>
      </c>
      <c r="O100" s="299">
        <v>1</v>
      </c>
      <c r="P100" s="508">
        <f t="shared" si="21"/>
        <v>3.6999999999999998E-2</v>
      </c>
      <c r="R100" s="512" t="s">
        <v>597</v>
      </c>
      <c r="S100" s="512" t="s">
        <v>1225</v>
      </c>
      <c r="T100" s="419" t="s">
        <v>792</v>
      </c>
      <c r="U100" s="513" t="s">
        <v>917</v>
      </c>
      <c r="V100" s="422" t="s">
        <v>2011</v>
      </c>
      <c r="W100" s="422" t="s">
        <v>747</v>
      </c>
      <c r="X100" s="422" t="s">
        <v>2013</v>
      </c>
      <c r="Y100" s="158">
        <f>SUM(X101:X106)</f>
        <v>0.65700000000000003</v>
      </c>
    </row>
    <row r="101" spans="2:25" x14ac:dyDescent="0.35">
      <c r="B101" s="416">
        <v>3</v>
      </c>
      <c r="C101" s="418" t="s">
        <v>617</v>
      </c>
      <c r="D101" s="415" t="str">
        <f>IFERROR(VLOOKUP(C101,坦克个性化设定!$B$18:$E$48,4,FALSE)&amp;VLOOKUP(C101,坦克个性化细分!$I$3:$J$33,2,FALSE),"")</f>
        <v>T2中</v>
      </c>
      <c r="E101" s="416" t="s">
        <v>1235</v>
      </c>
      <c r="F101" s="508">
        <f t="shared" si="18"/>
        <v>3.6999999999999998E-2</v>
      </c>
      <c r="G101" s="299">
        <v>1</v>
      </c>
      <c r="H101" s="415">
        <f t="shared" si="19"/>
        <v>3.6999999999999998E-2</v>
      </c>
      <c r="J101" s="512">
        <v>3</v>
      </c>
      <c r="K101" s="516" t="s">
        <v>617</v>
      </c>
      <c r="L101" s="508" t="str">
        <f>IFERROR(VLOOKUP(K101,坦克个性化设定!$B$18:$E$48,4,FALSE)&amp;VLOOKUP(K101,坦克个性化细分!$I$3:$J$33,2,FALSE),"")</f>
        <v>T2中</v>
      </c>
      <c r="M101" s="512" t="s">
        <v>1211</v>
      </c>
      <c r="N101" s="508">
        <f t="shared" si="20"/>
        <v>3.6999999999999998E-2</v>
      </c>
      <c r="O101" s="299">
        <v>0.9</v>
      </c>
      <c r="P101" s="508">
        <f t="shared" si="21"/>
        <v>3.3299999999999996E-2</v>
      </c>
      <c r="R101" s="512">
        <v>4</v>
      </c>
      <c r="S101" s="516" t="s">
        <v>616</v>
      </c>
      <c r="T101" s="508" t="str">
        <f>IFERROR(VLOOKUP(S101,坦克个性化设定!$B$18:$E$48,4,FALSE)&amp;VLOOKUP(S101,坦克个性化细分!$I$3:$J$33,2,FALSE),"")</f>
        <v>T2低</v>
      </c>
      <c r="U101" s="512" t="s">
        <v>1211</v>
      </c>
      <c r="V101" s="508">
        <f t="shared" ref="V101:V106" si="23">$E$70</f>
        <v>7.2999999999999995E-2</v>
      </c>
      <c r="W101" s="299">
        <v>1.9</v>
      </c>
      <c r="X101" s="508">
        <f t="shared" ref="X101:X106" si="24">V101*W101</f>
        <v>0.13869999999999999</v>
      </c>
    </row>
    <row r="102" spans="2:25" x14ac:dyDescent="0.35">
      <c r="B102" s="416">
        <v>3</v>
      </c>
      <c r="C102" s="418" t="s">
        <v>626</v>
      </c>
      <c r="D102" s="415" t="str">
        <f>IFERROR(VLOOKUP(C102,坦克个性化设定!$B$18:$E$48,4,FALSE)&amp;VLOOKUP(C102,坦克个性化细分!$I$3:$J$33,2,FALSE),"")</f>
        <v>T2中</v>
      </c>
      <c r="E102" s="416" t="s">
        <v>1235</v>
      </c>
      <c r="F102" s="508">
        <f t="shared" si="18"/>
        <v>3.6999999999999998E-2</v>
      </c>
      <c r="G102" s="299">
        <v>1</v>
      </c>
      <c r="H102" s="415">
        <f t="shared" si="19"/>
        <v>3.6999999999999998E-2</v>
      </c>
      <c r="J102" s="512">
        <v>3</v>
      </c>
      <c r="K102" s="516" t="s">
        <v>626</v>
      </c>
      <c r="L102" s="508" t="str">
        <f>IFERROR(VLOOKUP(K102,坦克个性化设定!$B$18:$E$48,4,FALSE)&amp;VLOOKUP(K102,坦克个性化细分!$I$3:$J$33,2,FALSE),"")</f>
        <v>T2中</v>
      </c>
      <c r="M102" s="512" t="s">
        <v>1211</v>
      </c>
      <c r="N102" s="508">
        <f t="shared" si="20"/>
        <v>3.6999999999999998E-2</v>
      </c>
      <c r="O102" s="299">
        <v>0.9</v>
      </c>
      <c r="P102" s="508">
        <f t="shared" si="21"/>
        <v>3.3299999999999996E-2</v>
      </c>
      <c r="R102" s="512">
        <v>4</v>
      </c>
      <c r="S102" s="516" t="s">
        <v>624</v>
      </c>
      <c r="T102" s="508" t="str">
        <f>IFERROR(VLOOKUP(S102,坦克个性化设定!$B$18:$E$48,4,FALSE)&amp;VLOOKUP(S102,坦克个性化细分!$I$3:$J$33,2,FALSE),"")</f>
        <v>T2低</v>
      </c>
      <c r="U102" s="512" t="s">
        <v>1211</v>
      </c>
      <c r="V102" s="508">
        <f t="shared" si="23"/>
        <v>7.2999999999999995E-2</v>
      </c>
      <c r="W102" s="299">
        <v>1.9</v>
      </c>
      <c r="X102" s="508">
        <f t="shared" si="24"/>
        <v>0.13869999999999999</v>
      </c>
    </row>
    <row r="103" spans="2:25" x14ac:dyDescent="0.35">
      <c r="B103" s="416">
        <v>3</v>
      </c>
      <c r="C103" s="418" t="s">
        <v>631</v>
      </c>
      <c r="D103" s="415" t="str">
        <f>IFERROR(VLOOKUP(C103,坦克个性化设定!$B$18:$E$48,4,FALSE)&amp;VLOOKUP(C103,坦克个性化细分!$I$3:$J$33,2,FALSE),"")</f>
        <v>T2中</v>
      </c>
      <c r="E103" s="416" t="s">
        <v>1235</v>
      </c>
      <c r="F103" s="508">
        <f t="shared" si="18"/>
        <v>3.6999999999999998E-2</v>
      </c>
      <c r="G103" s="299">
        <v>1</v>
      </c>
      <c r="H103" s="415">
        <f t="shared" si="19"/>
        <v>3.6999999999999998E-2</v>
      </c>
      <c r="J103" s="512">
        <v>3</v>
      </c>
      <c r="K103" s="516" t="s">
        <v>631</v>
      </c>
      <c r="L103" s="508" t="str">
        <f>IFERROR(VLOOKUP(K103,坦克个性化设定!$B$18:$E$48,4,FALSE)&amp;VLOOKUP(K103,坦克个性化细分!$I$3:$J$33,2,FALSE),"")</f>
        <v>T2中</v>
      </c>
      <c r="M103" s="512" t="s">
        <v>1211</v>
      </c>
      <c r="N103" s="508">
        <f t="shared" si="20"/>
        <v>3.6999999999999998E-2</v>
      </c>
      <c r="O103" s="299">
        <v>0.9</v>
      </c>
      <c r="P103" s="508">
        <f t="shared" si="21"/>
        <v>3.3299999999999996E-2</v>
      </c>
      <c r="R103" s="512">
        <v>4</v>
      </c>
      <c r="S103" s="516" t="s">
        <v>630</v>
      </c>
      <c r="T103" s="508" t="str">
        <f>IFERROR(VLOOKUP(S103,坦克个性化设定!$B$18:$E$48,4,FALSE)&amp;VLOOKUP(S103,坦克个性化细分!$I$3:$J$33,2,FALSE),"")</f>
        <v>T2低</v>
      </c>
      <c r="U103" s="512" t="s">
        <v>1211</v>
      </c>
      <c r="V103" s="508">
        <f t="shared" si="23"/>
        <v>7.2999999999999995E-2</v>
      </c>
      <c r="W103" s="299">
        <v>1.9</v>
      </c>
      <c r="X103" s="508">
        <f t="shared" si="24"/>
        <v>0.13869999999999999</v>
      </c>
    </row>
    <row r="104" spans="2:25" x14ac:dyDescent="0.35">
      <c r="B104" s="274"/>
      <c r="C104" s="274"/>
      <c r="E104" s="274"/>
      <c r="J104" s="274"/>
      <c r="K104" s="274"/>
      <c r="M104" s="274"/>
      <c r="R104" s="512">
        <v>4</v>
      </c>
      <c r="S104" s="516" t="s">
        <v>617</v>
      </c>
      <c r="T104" s="508" t="str">
        <f>IFERROR(VLOOKUP(S104,坦克个性化设定!$B$18:$E$48,4,FALSE)&amp;VLOOKUP(S104,坦克个性化细分!$I$3:$J$33,2,FALSE),"")</f>
        <v>T2中</v>
      </c>
      <c r="U104" s="512" t="s">
        <v>1211</v>
      </c>
      <c r="V104" s="508">
        <f t="shared" si="23"/>
        <v>7.2999999999999995E-2</v>
      </c>
      <c r="W104" s="299">
        <v>1.1000000000000001</v>
      </c>
      <c r="X104" s="508">
        <f t="shared" si="24"/>
        <v>8.0299999999999996E-2</v>
      </c>
    </row>
    <row r="105" spans="2:25" x14ac:dyDescent="0.35">
      <c r="B105" s="274"/>
      <c r="C105" s="274"/>
      <c r="E105" s="274"/>
      <c r="J105" s="274"/>
      <c r="K105" s="274"/>
      <c r="M105" s="274"/>
      <c r="R105" s="512">
        <v>4</v>
      </c>
      <c r="S105" s="516" t="s">
        <v>626</v>
      </c>
      <c r="T105" s="508" t="str">
        <f>IFERROR(VLOOKUP(S105,坦克个性化设定!$B$18:$E$48,4,FALSE)&amp;VLOOKUP(S105,坦克个性化细分!$I$3:$J$33,2,FALSE),"")</f>
        <v>T2中</v>
      </c>
      <c r="U105" s="512" t="s">
        <v>1211</v>
      </c>
      <c r="V105" s="508">
        <f t="shared" si="23"/>
        <v>7.2999999999999995E-2</v>
      </c>
      <c r="W105" s="299">
        <v>1.1000000000000001</v>
      </c>
      <c r="X105" s="508">
        <f t="shared" si="24"/>
        <v>8.0299999999999996E-2</v>
      </c>
    </row>
    <row r="106" spans="2:25" x14ac:dyDescent="0.35">
      <c r="B106" s="416" t="s">
        <v>814</v>
      </c>
      <c r="C106" s="416" t="s">
        <v>1225</v>
      </c>
      <c r="D106" s="419" t="s">
        <v>2006</v>
      </c>
      <c r="E106" s="417" t="s">
        <v>917</v>
      </c>
      <c r="F106" s="422" t="s">
        <v>2011</v>
      </c>
      <c r="G106" s="422" t="s">
        <v>2012</v>
      </c>
      <c r="H106" s="422" t="s">
        <v>2013</v>
      </c>
      <c r="I106" s="158">
        <f>SUM(H107:H118)</f>
        <v>0.66600000000000015</v>
      </c>
      <c r="J106" s="512" t="s">
        <v>597</v>
      </c>
      <c r="K106" s="512" t="s">
        <v>1225</v>
      </c>
      <c r="L106" s="419" t="s">
        <v>792</v>
      </c>
      <c r="M106" s="513" t="s">
        <v>917</v>
      </c>
      <c r="N106" s="422" t="s">
        <v>2011</v>
      </c>
      <c r="O106" s="422" t="s">
        <v>747</v>
      </c>
      <c r="P106" s="422" t="s">
        <v>2013</v>
      </c>
      <c r="Q106" s="158">
        <f>SUM(P107:P118)</f>
        <v>0.66600000000000004</v>
      </c>
      <c r="R106" s="512">
        <v>4</v>
      </c>
      <c r="S106" s="516" t="s">
        <v>631</v>
      </c>
      <c r="T106" s="508" t="str">
        <f>IFERROR(VLOOKUP(S106,坦克个性化设定!$B$18:$E$48,4,FALSE)&amp;VLOOKUP(S106,坦克个性化细分!$I$3:$J$33,2,FALSE),"")</f>
        <v>T2中</v>
      </c>
      <c r="U106" s="512" t="s">
        <v>1211</v>
      </c>
      <c r="V106" s="508">
        <f t="shared" si="23"/>
        <v>7.2999999999999995E-2</v>
      </c>
      <c r="W106" s="299">
        <v>1.1000000000000001</v>
      </c>
      <c r="X106" s="508">
        <f t="shared" si="24"/>
        <v>8.0299999999999996E-2</v>
      </c>
    </row>
    <row r="107" spans="2:25" x14ac:dyDescent="0.35">
      <c r="B107" s="416">
        <v>4</v>
      </c>
      <c r="C107" s="418" t="s">
        <v>616</v>
      </c>
      <c r="D107" s="415" t="str">
        <f>IFERROR(VLOOKUP(C107,坦克个性化设定!$B$18:$E$48,4,FALSE)&amp;VLOOKUP(C107,坦克个性化细分!$I$3:$J$33,2,FALSE),"")</f>
        <v>T2低</v>
      </c>
      <c r="E107" s="295" t="s">
        <v>918</v>
      </c>
      <c r="F107" s="508">
        <f t="shared" ref="F107:F118" si="25">$E$69</f>
        <v>3.6999999999999998E-2</v>
      </c>
      <c r="G107" s="299">
        <v>1</v>
      </c>
      <c r="H107" s="415">
        <f t="shared" ref="H107:H118" si="26">F107*G107</f>
        <v>3.6999999999999998E-2</v>
      </c>
      <c r="J107" s="512">
        <v>4</v>
      </c>
      <c r="K107" s="516" t="s">
        <v>616</v>
      </c>
      <c r="L107" s="508" t="str">
        <f>IFERROR(VLOOKUP(K107,坦克个性化设定!$B$18:$E$48,4,FALSE)&amp;VLOOKUP(K107,坦克个性化细分!$I$3:$J$33,2,FALSE),"")</f>
        <v>T2低</v>
      </c>
      <c r="M107" s="295" t="s">
        <v>918</v>
      </c>
      <c r="N107" s="508">
        <f t="shared" ref="N107:N118" si="27">$E$69</f>
        <v>3.6999999999999998E-2</v>
      </c>
      <c r="O107" s="299">
        <v>1</v>
      </c>
      <c r="P107" s="508">
        <f t="shared" ref="P107:P118" si="28">N107*O107</f>
        <v>3.6999999999999998E-2</v>
      </c>
      <c r="R107" s="274"/>
      <c r="S107" s="274"/>
      <c r="U107" s="274"/>
    </row>
    <row r="108" spans="2:25" x14ac:dyDescent="0.35">
      <c r="B108" s="416">
        <v>4</v>
      </c>
      <c r="C108" s="418" t="s">
        <v>624</v>
      </c>
      <c r="D108" s="415" t="str">
        <f>IFERROR(VLOOKUP(C108,坦克个性化设定!$B$18:$E$48,4,FALSE)&amp;VLOOKUP(C108,坦克个性化细分!$I$3:$J$33,2,FALSE),"")</f>
        <v>T2低</v>
      </c>
      <c r="E108" s="295" t="s">
        <v>918</v>
      </c>
      <c r="F108" s="508">
        <f t="shared" si="25"/>
        <v>3.6999999999999998E-2</v>
      </c>
      <c r="G108" s="299">
        <v>1</v>
      </c>
      <c r="H108" s="415">
        <f t="shared" si="26"/>
        <v>3.6999999999999998E-2</v>
      </c>
      <c r="J108" s="512">
        <v>4</v>
      </c>
      <c r="K108" s="516" t="s">
        <v>624</v>
      </c>
      <c r="L108" s="508" t="str">
        <f>IFERROR(VLOOKUP(K108,坦克个性化设定!$B$18:$E$48,4,FALSE)&amp;VLOOKUP(K108,坦克个性化细分!$I$3:$J$33,2,FALSE),"")</f>
        <v>T2低</v>
      </c>
      <c r="M108" s="295" t="s">
        <v>918</v>
      </c>
      <c r="N108" s="508">
        <f t="shared" si="27"/>
        <v>3.6999999999999998E-2</v>
      </c>
      <c r="O108" s="299">
        <v>1</v>
      </c>
      <c r="P108" s="508">
        <f t="shared" si="28"/>
        <v>3.6999999999999998E-2</v>
      </c>
      <c r="R108" s="274"/>
      <c r="S108" s="274"/>
      <c r="U108" s="274"/>
    </row>
    <row r="109" spans="2:25" x14ac:dyDescent="0.35">
      <c r="B109" s="416">
        <v>4</v>
      </c>
      <c r="C109" s="418" t="s">
        <v>630</v>
      </c>
      <c r="D109" s="415" t="str">
        <f>IFERROR(VLOOKUP(C109,坦克个性化设定!$B$18:$E$48,4,FALSE)&amp;VLOOKUP(C109,坦克个性化细分!$I$3:$J$33,2,FALSE),"")</f>
        <v>T2低</v>
      </c>
      <c r="E109" s="295" t="s">
        <v>918</v>
      </c>
      <c r="F109" s="508">
        <f t="shared" si="25"/>
        <v>3.6999999999999998E-2</v>
      </c>
      <c r="G109" s="299">
        <v>1</v>
      </c>
      <c r="H109" s="415">
        <f t="shared" si="26"/>
        <v>3.6999999999999998E-2</v>
      </c>
      <c r="J109" s="512">
        <v>4</v>
      </c>
      <c r="K109" s="516" t="s">
        <v>630</v>
      </c>
      <c r="L109" s="508" t="str">
        <f>IFERROR(VLOOKUP(K109,坦克个性化设定!$B$18:$E$48,4,FALSE)&amp;VLOOKUP(K109,坦克个性化细分!$I$3:$J$33,2,FALSE),"")</f>
        <v>T2低</v>
      </c>
      <c r="M109" s="295" t="s">
        <v>918</v>
      </c>
      <c r="N109" s="508">
        <f t="shared" si="27"/>
        <v>3.6999999999999998E-2</v>
      </c>
      <c r="O109" s="299">
        <v>1</v>
      </c>
      <c r="P109" s="508">
        <f t="shared" si="28"/>
        <v>3.6999999999999998E-2</v>
      </c>
      <c r="R109" s="512" t="s">
        <v>597</v>
      </c>
      <c r="S109" s="512" t="s">
        <v>1225</v>
      </c>
      <c r="T109" s="419" t="s">
        <v>792</v>
      </c>
      <c r="U109" s="513" t="s">
        <v>917</v>
      </c>
      <c r="V109" s="422" t="s">
        <v>2011</v>
      </c>
      <c r="W109" s="422" t="s">
        <v>747</v>
      </c>
      <c r="X109" s="422" t="s">
        <v>2013</v>
      </c>
      <c r="Y109" s="158">
        <f>SUM(X110:X118)</f>
        <v>0.54749999999999999</v>
      </c>
    </row>
    <row r="110" spans="2:25" x14ac:dyDescent="0.35">
      <c r="B110" s="416">
        <v>4</v>
      </c>
      <c r="C110" s="418" t="s">
        <v>617</v>
      </c>
      <c r="D110" s="415" t="str">
        <f>IFERROR(VLOOKUP(C110,坦克个性化设定!$B$18:$E$48,4,FALSE)&amp;VLOOKUP(C110,坦克个性化细分!$I$3:$J$33,2,FALSE),"")</f>
        <v>T2中</v>
      </c>
      <c r="E110" s="295" t="s">
        <v>918</v>
      </c>
      <c r="F110" s="508">
        <f t="shared" si="25"/>
        <v>3.6999999999999998E-2</v>
      </c>
      <c r="G110" s="299">
        <v>0.9</v>
      </c>
      <c r="H110" s="415">
        <f t="shared" si="26"/>
        <v>3.3299999999999996E-2</v>
      </c>
      <c r="J110" s="512">
        <v>4</v>
      </c>
      <c r="K110" s="516" t="s">
        <v>617</v>
      </c>
      <c r="L110" s="508" t="str">
        <f>IFERROR(VLOOKUP(K110,坦克个性化设定!$B$18:$E$48,4,FALSE)&amp;VLOOKUP(K110,坦克个性化细分!$I$3:$J$33,2,FALSE),"")</f>
        <v>T2中</v>
      </c>
      <c r="M110" s="295" t="s">
        <v>918</v>
      </c>
      <c r="N110" s="508">
        <f t="shared" si="27"/>
        <v>3.6999999999999998E-2</v>
      </c>
      <c r="O110" s="299">
        <v>3</v>
      </c>
      <c r="P110" s="508">
        <f t="shared" si="28"/>
        <v>0.11099999999999999</v>
      </c>
      <c r="R110" s="512">
        <v>5</v>
      </c>
      <c r="S110" s="516" t="s">
        <v>617</v>
      </c>
      <c r="T110" s="508" t="str">
        <f>IFERROR(VLOOKUP(S110,坦克个性化设定!$B$18:$E$48,4,FALSE)&amp;VLOOKUP(S110,坦克个性化细分!$I$3:$J$33,2,FALSE),"")</f>
        <v>T2中</v>
      </c>
      <c r="U110" s="512" t="s">
        <v>1211</v>
      </c>
      <c r="V110" s="508">
        <f t="shared" ref="V110:V118" si="29">$E$70</f>
        <v>7.2999999999999995E-2</v>
      </c>
      <c r="W110" s="299">
        <v>1.2</v>
      </c>
      <c r="X110" s="508">
        <f t="shared" ref="X110:X118" si="30">V110*W110</f>
        <v>8.7599999999999997E-2</v>
      </c>
    </row>
    <row r="111" spans="2:25" x14ac:dyDescent="0.35">
      <c r="B111" s="416">
        <v>4</v>
      </c>
      <c r="C111" s="418" t="s">
        <v>626</v>
      </c>
      <c r="D111" s="415" t="str">
        <f>IFERROR(VLOOKUP(C111,坦克个性化设定!$B$18:$E$48,4,FALSE)&amp;VLOOKUP(C111,坦克个性化细分!$I$3:$J$33,2,FALSE),"")</f>
        <v>T2中</v>
      </c>
      <c r="E111" s="295" t="s">
        <v>918</v>
      </c>
      <c r="F111" s="508">
        <f t="shared" si="25"/>
        <v>3.6999999999999998E-2</v>
      </c>
      <c r="G111" s="299">
        <v>0.9</v>
      </c>
      <c r="H111" s="415">
        <f t="shared" si="26"/>
        <v>3.3299999999999996E-2</v>
      </c>
      <c r="J111" s="512">
        <v>4</v>
      </c>
      <c r="K111" s="516" t="s">
        <v>626</v>
      </c>
      <c r="L111" s="508" t="str">
        <f>IFERROR(VLOOKUP(K111,坦克个性化设定!$B$18:$E$48,4,FALSE)&amp;VLOOKUP(K111,坦克个性化细分!$I$3:$J$33,2,FALSE),"")</f>
        <v>T2中</v>
      </c>
      <c r="M111" s="295" t="s">
        <v>918</v>
      </c>
      <c r="N111" s="508">
        <f t="shared" si="27"/>
        <v>3.6999999999999998E-2</v>
      </c>
      <c r="O111" s="299">
        <v>3</v>
      </c>
      <c r="P111" s="508">
        <f t="shared" si="28"/>
        <v>0.11099999999999999</v>
      </c>
      <c r="R111" s="512">
        <v>5</v>
      </c>
      <c r="S111" s="516" t="s">
        <v>626</v>
      </c>
      <c r="T111" s="508" t="str">
        <f>IFERROR(VLOOKUP(S111,坦克个性化设定!$B$18:$E$48,4,FALSE)&amp;VLOOKUP(S111,坦克个性化细分!$I$3:$J$33,2,FALSE),"")</f>
        <v>T2中</v>
      </c>
      <c r="U111" s="512" t="s">
        <v>1211</v>
      </c>
      <c r="V111" s="508">
        <f t="shared" si="29"/>
        <v>7.2999999999999995E-2</v>
      </c>
      <c r="W111" s="299">
        <v>1.2</v>
      </c>
      <c r="X111" s="508">
        <f t="shared" si="30"/>
        <v>8.7599999999999997E-2</v>
      </c>
    </row>
    <row r="112" spans="2:25" x14ac:dyDescent="0.35">
      <c r="B112" s="416">
        <v>4</v>
      </c>
      <c r="C112" s="418" t="s">
        <v>631</v>
      </c>
      <c r="D112" s="415" t="str">
        <f>IFERROR(VLOOKUP(C112,坦克个性化设定!$B$18:$E$48,4,FALSE)&amp;VLOOKUP(C112,坦克个性化细分!$I$3:$J$33,2,FALSE),"")</f>
        <v>T2中</v>
      </c>
      <c r="E112" s="295" t="s">
        <v>918</v>
      </c>
      <c r="F112" s="508">
        <f t="shared" si="25"/>
        <v>3.6999999999999998E-2</v>
      </c>
      <c r="G112" s="299">
        <v>0.9</v>
      </c>
      <c r="H112" s="415">
        <f t="shared" si="26"/>
        <v>3.3299999999999996E-2</v>
      </c>
      <c r="J112" s="512">
        <v>4</v>
      </c>
      <c r="K112" s="516" t="s">
        <v>631</v>
      </c>
      <c r="L112" s="508" t="str">
        <f>IFERROR(VLOOKUP(K112,坦克个性化设定!$B$18:$E$48,4,FALSE)&amp;VLOOKUP(K112,坦克个性化细分!$I$3:$J$33,2,FALSE),"")</f>
        <v>T2中</v>
      </c>
      <c r="M112" s="295" t="s">
        <v>918</v>
      </c>
      <c r="N112" s="508">
        <f t="shared" si="27"/>
        <v>3.6999999999999998E-2</v>
      </c>
      <c r="O112" s="299">
        <v>3</v>
      </c>
      <c r="P112" s="508">
        <f t="shared" si="28"/>
        <v>0.11099999999999999</v>
      </c>
      <c r="R112" s="512">
        <v>5</v>
      </c>
      <c r="S112" s="516" t="s">
        <v>631</v>
      </c>
      <c r="T112" s="508" t="str">
        <f>IFERROR(VLOOKUP(S112,坦克个性化设定!$B$18:$E$48,4,FALSE)&amp;VLOOKUP(S112,坦克个性化细分!$I$3:$J$33,2,FALSE),"")</f>
        <v>T2中</v>
      </c>
      <c r="U112" s="512" t="s">
        <v>1211</v>
      </c>
      <c r="V112" s="508">
        <f t="shared" si="29"/>
        <v>7.2999999999999995E-2</v>
      </c>
      <c r="W112" s="299">
        <v>1.2</v>
      </c>
      <c r="X112" s="508">
        <f t="shared" si="30"/>
        <v>8.7599999999999997E-2</v>
      </c>
    </row>
    <row r="113" spans="2:25" x14ac:dyDescent="0.35">
      <c r="B113" s="416">
        <v>4</v>
      </c>
      <c r="C113" s="418" t="s">
        <v>616</v>
      </c>
      <c r="D113" s="415" t="str">
        <f>IFERROR(VLOOKUP(C113,坦克个性化设定!$B$18:$E$48,4,FALSE)&amp;VLOOKUP(C113,坦克个性化细分!$I$3:$J$33,2,FALSE),"")</f>
        <v>T2低</v>
      </c>
      <c r="E113" s="416" t="s">
        <v>1211</v>
      </c>
      <c r="F113" s="508">
        <f t="shared" si="25"/>
        <v>3.6999999999999998E-2</v>
      </c>
      <c r="G113" s="299">
        <v>3.1</v>
      </c>
      <c r="H113" s="415">
        <f t="shared" si="26"/>
        <v>0.1147</v>
      </c>
      <c r="J113" s="512">
        <v>4</v>
      </c>
      <c r="K113" s="516" t="s">
        <v>616</v>
      </c>
      <c r="L113" s="508" t="str">
        <f>IFERROR(VLOOKUP(K113,坦克个性化设定!$B$18:$E$48,4,FALSE)&amp;VLOOKUP(K113,坦克个性化细分!$I$3:$J$33,2,FALSE),"")</f>
        <v>T2低</v>
      </c>
      <c r="M113" s="512" t="s">
        <v>1211</v>
      </c>
      <c r="N113" s="508">
        <f t="shared" si="27"/>
        <v>3.6999999999999998E-2</v>
      </c>
      <c r="O113" s="299">
        <v>1</v>
      </c>
      <c r="P113" s="508">
        <f t="shared" si="28"/>
        <v>3.6999999999999998E-2</v>
      </c>
      <c r="R113" s="512">
        <v>5</v>
      </c>
      <c r="S113" s="516" t="s">
        <v>618</v>
      </c>
      <c r="T113" s="508" t="str">
        <f>IFERROR(VLOOKUP(S113,坦克个性化设定!$B$18:$E$48,4,FALSE)&amp;VLOOKUP(S113,坦克个性化细分!$I$3:$J$33,2,FALSE),"")</f>
        <v>T3低</v>
      </c>
      <c r="U113" s="512" t="s">
        <v>1211</v>
      </c>
      <c r="V113" s="508">
        <f t="shared" si="29"/>
        <v>7.2999999999999995E-2</v>
      </c>
      <c r="W113" s="299">
        <v>0.8</v>
      </c>
      <c r="X113" s="508">
        <f t="shared" si="30"/>
        <v>5.8400000000000001E-2</v>
      </c>
    </row>
    <row r="114" spans="2:25" x14ac:dyDescent="0.35">
      <c r="B114" s="416">
        <v>4</v>
      </c>
      <c r="C114" s="418" t="s">
        <v>624</v>
      </c>
      <c r="D114" s="415" t="str">
        <f>IFERROR(VLOOKUP(C114,坦克个性化设定!$B$18:$E$48,4,FALSE)&amp;VLOOKUP(C114,坦克个性化细分!$I$3:$J$33,2,FALSE),"")</f>
        <v>T2低</v>
      </c>
      <c r="E114" s="416" t="s">
        <v>1211</v>
      </c>
      <c r="F114" s="508">
        <f t="shared" si="25"/>
        <v>3.6999999999999998E-2</v>
      </c>
      <c r="G114" s="299">
        <v>3.1</v>
      </c>
      <c r="H114" s="415">
        <f t="shared" si="26"/>
        <v>0.1147</v>
      </c>
      <c r="J114" s="512">
        <v>4</v>
      </c>
      <c r="K114" s="516" t="s">
        <v>624</v>
      </c>
      <c r="L114" s="508" t="str">
        <f>IFERROR(VLOOKUP(K114,坦克个性化设定!$B$18:$E$48,4,FALSE)&amp;VLOOKUP(K114,坦克个性化细分!$I$3:$J$33,2,FALSE),"")</f>
        <v>T2低</v>
      </c>
      <c r="M114" s="512" t="s">
        <v>1211</v>
      </c>
      <c r="N114" s="508">
        <f t="shared" si="27"/>
        <v>3.6999999999999998E-2</v>
      </c>
      <c r="O114" s="299">
        <v>1</v>
      </c>
      <c r="P114" s="508">
        <f t="shared" si="28"/>
        <v>3.6999999999999998E-2</v>
      </c>
      <c r="R114" s="512">
        <v>5</v>
      </c>
      <c r="S114" s="516" t="s">
        <v>627</v>
      </c>
      <c r="T114" s="508" t="str">
        <f>IFERROR(VLOOKUP(S114,坦克个性化设定!$B$18:$E$48,4,FALSE)&amp;VLOOKUP(S114,坦克个性化细分!$I$3:$J$33,2,FALSE),"")</f>
        <v>T3低</v>
      </c>
      <c r="U114" s="512" t="s">
        <v>1211</v>
      </c>
      <c r="V114" s="508">
        <f t="shared" si="29"/>
        <v>7.2999999999999995E-2</v>
      </c>
      <c r="W114" s="299">
        <v>0.8</v>
      </c>
      <c r="X114" s="508">
        <f t="shared" si="30"/>
        <v>5.8400000000000001E-2</v>
      </c>
    </row>
    <row r="115" spans="2:25" x14ac:dyDescent="0.35">
      <c r="B115" s="416">
        <v>4</v>
      </c>
      <c r="C115" s="418" t="s">
        <v>630</v>
      </c>
      <c r="D115" s="415" t="str">
        <f>IFERROR(VLOOKUP(C115,坦克个性化设定!$B$18:$E$48,4,FALSE)&amp;VLOOKUP(C115,坦克个性化细分!$I$3:$J$33,2,FALSE),"")</f>
        <v>T2低</v>
      </c>
      <c r="E115" s="416" t="s">
        <v>1211</v>
      </c>
      <c r="F115" s="508">
        <f t="shared" si="25"/>
        <v>3.6999999999999998E-2</v>
      </c>
      <c r="G115" s="299">
        <v>3.1</v>
      </c>
      <c r="H115" s="415">
        <f t="shared" si="26"/>
        <v>0.1147</v>
      </c>
      <c r="J115" s="512">
        <v>4</v>
      </c>
      <c r="K115" s="516" t="s">
        <v>630</v>
      </c>
      <c r="L115" s="508" t="str">
        <f>IFERROR(VLOOKUP(K115,坦克个性化设定!$B$18:$E$48,4,FALSE)&amp;VLOOKUP(K115,坦克个性化细分!$I$3:$J$33,2,FALSE),"")</f>
        <v>T2低</v>
      </c>
      <c r="M115" s="512" t="s">
        <v>1211</v>
      </c>
      <c r="N115" s="508">
        <f t="shared" si="27"/>
        <v>3.6999999999999998E-2</v>
      </c>
      <c r="O115" s="299">
        <v>1</v>
      </c>
      <c r="P115" s="508">
        <f t="shared" si="28"/>
        <v>3.6999999999999998E-2</v>
      </c>
      <c r="R115" s="512">
        <v>5</v>
      </c>
      <c r="S115" s="516" t="s">
        <v>628</v>
      </c>
      <c r="T115" s="508" t="str">
        <f>IFERROR(VLOOKUP(S115,坦克个性化设定!$B$18:$E$48,4,FALSE)&amp;VLOOKUP(S115,坦克个性化细分!$I$3:$J$33,2,FALSE),"")</f>
        <v>T3低</v>
      </c>
      <c r="U115" s="512" t="s">
        <v>1211</v>
      </c>
      <c r="V115" s="508">
        <f t="shared" si="29"/>
        <v>7.2999999999999995E-2</v>
      </c>
      <c r="W115" s="299">
        <v>0.8</v>
      </c>
      <c r="X115" s="508">
        <f t="shared" si="30"/>
        <v>5.8400000000000001E-2</v>
      </c>
    </row>
    <row r="116" spans="2:25" x14ac:dyDescent="0.35">
      <c r="B116" s="416">
        <v>4</v>
      </c>
      <c r="C116" s="418" t="s">
        <v>617</v>
      </c>
      <c r="D116" s="415" t="str">
        <f>IFERROR(VLOOKUP(C116,坦克个性化设定!$B$18:$E$48,4,FALSE)&amp;VLOOKUP(C116,坦克个性化细分!$I$3:$J$33,2,FALSE),"")</f>
        <v>T2中</v>
      </c>
      <c r="E116" s="416" t="s">
        <v>1211</v>
      </c>
      <c r="F116" s="508">
        <f t="shared" si="25"/>
        <v>3.6999999999999998E-2</v>
      </c>
      <c r="G116" s="299">
        <v>1</v>
      </c>
      <c r="H116" s="415">
        <f t="shared" si="26"/>
        <v>3.6999999999999998E-2</v>
      </c>
      <c r="J116" s="512">
        <v>4</v>
      </c>
      <c r="K116" s="516" t="s">
        <v>617</v>
      </c>
      <c r="L116" s="508" t="str">
        <f>IFERROR(VLOOKUP(K116,坦克个性化设定!$B$18:$E$48,4,FALSE)&amp;VLOOKUP(K116,坦克个性化细分!$I$3:$J$33,2,FALSE),"")</f>
        <v>T2中</v>
      </c>
      <c r="M116" s="512" t="s">
        <v>1211</v>
      </c>
      <c r="N116" s="508">
        <f t="shared" si="27"/>
        <v>3.6999999999999998E-2</v>
      </c>
      <c r="O116" s="299">
        <v>1</v>
      </c>
      <c r="P116" s="508">
        <f t="shared" si="28"/>
        <v>3.6999999999999998E-2</v>
      </c>
      <c r="R116" s="512">
        <v>5</v>
      </c>
      <c r="S116" s="516" t="s">
        <v>619</v>
      </c>
      <c r="T116" s="508" t="str">
        <f>IFERROR(VLOOKUP(S116,坦克个性化设定!$B$18:$E$48,4,FALSE)&amp;VLOOKUP(S116,坦克个性化细分!$I$3:$J$33,2,FALSE),"")</f>
        <v>T3中</v>
      </c>
      <c r="U116" s="512" t="s">
        <v>1211</v>
      </c>
      <c r="V116" s="508">
        <f t="shared" si="29"/>
        <v>7.2999999999999995E-2</v>
      </c>
      <c r="W116" s="299">
        <v>0.5</v>
      </c>
      <c r="X116" s="508">
        <f t="shared" si="30"/>
        <v>3.6499999999999998E-2</v>
      </c>
    </row>
    <row r="117" spans="2:25" x14ac:dyDescent="0.35">
      <c r="B117" s="416">
        <v>4</v>
      </c>
      <c r="C117" s="418" t="s">
        <v>626</v>
      </c>
      <c r="D117" s="415" t="str">
        <f>IFERROR(VLOOKUP(C117,坦克个性化设定!$B$18:$E$48,4,FALSE)&amp;VLOOKUP(C117,坦克个性化细分!$I$3:$J$33,2,FALSE),"")</f>
        <v>T2中</v>
      </c>
      <c r="E117" s="416" t="s">
        <v>1211</v>
      </c>
      <c r="F117" s="508">
        <f t="shared" si="25"/>
        <v>3.6999999999999998E-2</v>
      </c>
      <c r="G117" s="299">
        <v>1</v>
      </c>
      <c r="H117" s="415">
        <f t="shared" si="26"/>
        <v>3.6999999999999998E-2</v>
      </c>
      <c r="J117" s="512">
        <v>4</v>
      </c>
      <c r="K117" s="516" t="s">
        <v>626</v>
      </c>
      <c r="L117" s="508" t="str">
        <f>IFERROR(VLOOKUP(K117,坦克个性化设定!$B$18:$E$48,4,FALSE)&amp;VLOOKUP(K117,坦克个性化细分!$I$3:$J$33,2,FALSE),"")</f>
        <v>T2中</v>
      </c>
      <c r="M117" s="512" t="s">
        <v>1211</v>
      </c>
      <c r="N117" s="508">
        <f t="shared" si="27"/>
        <v>3.6999999999999998E-2</v>
      </c>
      <c r="O117" s="299">
        <v>1</v>
      </c>
      <c r="P117" s="508">
        <f t="shared" si="28"/>
        <v>3.6999999999999998E-2</v>
      </c>
      <c r="R117" s="512">
        <v>5</v>
      </c>
      <c r="S117" s="516" t="s">
        <v>718</v>
      </c>
      <c r="T117" s="508" t="str">
        <f>IFERROR(VLOOKUP(S117,坦克个性化设定!$B$18:$E$48,4,FALSE)&amp;VLOOKUP(S117,坦克个性化细分!$I$3:$J$33,2,FALSE),"")</f>
        <v>T3中</v>
      </c>
      <c r="U117" s="512" t="s">
        <v>1211</v>
      </c>
      <c r="V117" s="508">
        <f t="shared" si="29"/>
        <v>7.2999999999999995E-2</v>
      </c>
      <c r="W117" s="299">
        <v>0.5</v>
      </c>
      <c r="X117" s="508">
        <f t="shared" si="30"/>
        <v>3.6499999999999998E-2</v>
      </c>
    </row>
    <row r="118" spans="2:25" x14ac:dyDescent="0.35">
      <c r="B118" s="416">
        <v>4</v>
      </c>
      <c r="C118" s="418" t="s">
        <v>631</v>
      </c>
      <c r="D118" s="415" t="str">
        <f>IFERROR(VLOOKUP(C118,坦克个性化设定!$B$18:$E$48,4,FALSE)&amp;VLOOKUP(C118,坦克个性化细分!$I$3:$J$33,2,FALSE),"")</f>
        <v>T2中</v>
      </c>
      <c r="E118" s="416" t="s">
        <v>1211</v>
      </c>
      <c r="F118" s="508">
        <f t="shared" si="25"/>
        <v>3.6999999999999998E-2</v>
      </c>
      <c r="G118" s="299">
        <v>1</v>
      </c>
      <c r="H118" s="415">
        <f t="shared" si="26"/>
        <v>3.6999999999999998E-2</v>
      </c>
      <c r="J118" s="512">
        <v>4</v>
      </c>
      <c r="K118" s="516" t="s">
        <v>631</v>
      </c>
      <c r="L118" s="508" t="str">
        <f>IFERROR(VLOOKUP(K118,坦克个性化设定!$B$18:$E$48,4,FALSE)&amp;VLOOKUP(K118,坦克个性化细分!$I$3:$J$33,2,FALSE),"")</f>
        <v>T2中</v>
      </c>
      <c r="M118" s="512" t="s">
        <v>1211</v>
      </c>
      <c r="N118" s="508">
        <f t="shared" si="27"/>
        <v>3.6999999999999998E-2</v>
      </c>
      <c r="O118" s="299">
        <v>1</v>
      </c>
      <c r="P118" s="508">
        <f t="shared" si="28"/>
        <v>3.6999999999999998E-2</v>
      </c>
      <c r="R118" s="512">
        <v>5</v>
      </c>
      <c r="S118" s="516" t="s">
        <v>632</v>
      </c>
      <c r="T118" s="508" t="str">
        <f>IFERROR(VLOOKUP(S118,坦克个性化设定!$B$18:$E$48,4,FALSE)&amp;VLOOKUP(S118,坦克个性化细分!$I$3:$J$33,2,FALSE),"")</f>
        <v>T3中</v>
      </c>
      <c r="U118" s="512" t="s">
        <v>1211</v>
      </c>
      <c r="V118" s="508">
        <f t="shared" si="29"/>
        <v>7.2999999999999995E-2</v>
      </c>
      <c r="W118" s="299">
        <v>0.5</v>
      </c>
      <c r="X118" s="508">
        <f t="shared" si="30"/>
        <v>3.6499999999999998E-2</v>
      </c>
    </row>
    <row r="119" spans="2:25" x14ac:dyDescent="0.35">
      <c r="B119" s="274"/>
      <c r="C119" s="274"/>
      <c r="E119" s="274"/>
      <c r="J119" s="274"/>
      <c r="K119" s="274"/>
      <c r="M119" s="274"/>
      <c r="R119" s="274"/>
      <c r="S119" s="274"/>
      <c r="U119" s="274"/>
    </row>
    <row r="120" spans="2:25" x14ac:dyDescent="0.35">
      <c r="B120" s="274"/>
      <c r="C120" s="274"/>
      <c r="E120" s="274"/>
      <c r="J120" s="274"/>
      <c r="K120" s="274"/>
      <c r="M120" s="274"/>
      <c r="R120" s="274"/>
      <c r="S120" s="274"/>
      <c r="U120" s="274"/>
    </row>
    <row r="121" spans="2:25" x14ac:dyDescent="0.35">
      <c r="B121" s="416" t="s">
        <v>814</v>
      </c>
      <c r="C121" s="416" t="s">
        <v>1225</v>
      </c>
      <c r="D121" s="419" t="s">
        <v>2006</v>
      </c>
      <c r="E121" s="417" t="s">
        <v>917</v>
      </c>
      <c r="F121" s="422" t="s">
        <v>2011</v>
      </c>
      <c r="G121" s="422" t="s">
        <v>2012</v>
      </c>
      <c r="H121" s="422" t="s">
        <v>2013</v>
      </c>
      <c r="I121" s="158">
        <f>SUM(H122:H139)</f>
        <v>0.66599999999999993</v>
      </c>
      <c r="J121" s="512" t="s">
        <v>597</v>
      </c>
      <c r="K121" s="512" t="s">
        <v>1225</v>
      </c>
      <c r="L121" s="419" t="s">
        <v>792</v>
      </c>
      <c r="M121" s="513" t="s">
        <v>917</v>
      </c>
      <c r="N121" s="422" t="s">
        <v>2011</v>
      </c>
      <c r="O121" s="422" t="s">
        <v>747</v>
      </c>
      <c r="P121" s="422" t="s">
        <v>2013</v>
      </c>
      <c r="Q121" s="158">
        <f>SUM(P122:P139)</f>
        <v>0.66599999999999993</v>
      </c>
      <c r="R121" s="512" t="s">
        <v>597</v>
      </c>
      <c r="S121" s="512" t="s">
        <v>1225</v>
      </c>
      <c r="T121" s="419" t="s">
        <v>792</v>
      </c>
      <c r="U121" s="513" t="s">
        <v>917</v>
      </c>
      <c r="V121" s="422" t="s">
        <v>2011</v>
      </c>
      <c r="W121" s="422" t="s">
        <v>747</v>
      </c>
      <c r="X121" s="422" t="s">
        <v>2013</v>
      </c>
      <c r="Y121" s="158">
        <f>SUM(X122:X130)</f>
        <v>0.65700000000000003</v>
      </c>
    </row>
    <row r="122" spans="2:25" x14ac:dyDescent="0.35">
      <c r="B122" s="416">
        <v>5</v>
      </c>
      <c r="C122" s="418" t="s">
        <v>617</v>
      </c>
      <c r="D122" s="415" t="str">
        <f>IFERROR(VLOOKUP(C122,坦克个性化设定!$B$18:$E$48,4,FALSE)&amp;VLOOKUP(C122,坦克个性化细分!$I$3:$J$33,2,FALSE),"")</f>
        <v>T2中</v>
      </c>
      <c r="E122" s="295" t="s">
        <v>918</v>
      </c>
      <c r="F122" s="508">
        <f t="shared" ref="F122:F139" si="31">$E$69</f>
        <v>3.6999999999999998E-2</v>
      </c>
      <c r="G122" s="299">
        <v>0.8</v>
      </c>
      <c r="H122" s="415">
        <f t="shared" ref="H122:H139" si="32">F122*G122</f>
        <v>2.9600000000000001E-2</v>
      </c>
      <c r="J122" s="512">
        <v>5</v>
      </c>
      <c r="K122" s="516" t="s">
        <v>617</v>
      </c>
      <c r="L122" s="508" t="str">
        <f>IFERROR(VLOOKUP(K122,坦克个性化设定!$B$18:$E$48,4,FALSE)&amp;VLOOKUP(K122,坦克个性化细分!$I$3:$J$33,2,FALSE),"")</f>
        <v>T2中</v>
      </c>
      <c r="M122" s="295" t="s">
        <v>918</v>
      </c>
      <c r="N122" s="508">
        <f t="shared" ref="N122:N139" si="33">$E$69</f>
        <v>3.6999999999999998E-2</v>
      </c>
      <c r="O122" s="299">
        <v>1.6</v>
      </c>
      <c r="P122" s="508">
        <f t="shared" ref="P122:P139" si="34">N122*O122</f>
        <v>5.9200000000000003E-2</v>
      </c>
      <c r="R122" s="512">
        <v>6</v>
      </c>
      <c r="S122" s="516" t="s">
        <v>617</v>
      </c>
      <c r="T122" s="508" t="str">
        <f>IFERROR(VLOOKUP(S122,坦克个性化设定!$B$18:$E$48,4,FALSE)&amp;VLOOKUP(S122,坦克个性化细分!$I$3:$J$33,2,FALSE),"")</f>
        <v>T2中</v>
      </c>
      <c r="U122" s="512" t="s">
        <v>1211</v>
      </c>
      <c r="V122" s="508">
        <f t="shared" ref="V122:V130" si="35">$E$70</f>
        <v>7.2999999999999995E-2</v>
      </c>
      <c r="W122" s="299">
        <v>1.2</v>
      </c>
      <c r="X122" s="508">
        <f>V122*W122</f>
        <v>8.7599999999999997E-2</v>
      </c>
    </row>
    <row r="123" spans="2:25" x14ac:dyDescent="0.35">
      <c r="B123" s="416">
        <v>5</v>
      </c>
      <c r="C123" s="418" t="s">
        <v>626</v>
      </c>
      <c r="D123" s="415" t="str">
        <f>IFERROR(VLOOKUP(C123,坦克个性化设定!$B$18:$E$48,4,FALSE)&amp;VLOOKUP(C123,坦克个性化细分!$I$3:$J$33,2,FALSE),"")</f>
        <v>T2中</v>
      </c>
      <c r="E123" s="295" t="s">
        <v>918</v>
      </c>
      <c r="F123" s="508">
        <f t="shared" si="31"/>
        <v>3.6999999999999998E-2</v>
      </c>
      <c r="G123" s="299">
        <v>0.8</v>
      </c>
      <c r="H123" s="415">
        <f t="shared" si="32"/>
        <v>2.9600000000000001E-2</v>
      </c>
      <c r="J123" s="512">
        <v>5</v>
      </c>
      <c r="K123" s="516" t="s">
        <v>626</v>
      </c>
      <c r="L123" s="508" t="str">
        <f>IFERROR(VLOOKUP(K123,坦克个性化设定!$B$18:$E$48,4,FALSE)&amp;VLOOKUP(K123,坦克个性化细分!$I$3:$J$33,2,FALSE),"")</f>
        <v>T2中</v>
      </c>
      <c r="M123" s="295" t="s">
        <v>918</v>
      </c>
      <c r="N123" s="508">
        <f t="shared" si="33"/>
        <v>3.6999999999999998E-2</v>
      </c>
      <c r="O123" s="299">
        <v>1.6</v>
      </c>
      <c r="P123" s="508">
        <f t="shared" si="34"/>
        <v>5.9200000000000003E-2</v>
      </c>
      <c r="R123" s="512">
        <v>6</v>
      </c>
      <c r="S123" s="516" t="s">
        <v>626</v>
      </c>
      <c r="T123" s="508" t="str">
        <f>IFERROR(VLOOKUP(S123,坦克个性化设定!$B$18:$E$48,4,FALSE)&amp;VLOOKUP(S123,坦克个性化细分!$I$3:$J$33,2,FALSE),"")</f>
        <v>T2中</v>
      </c>
      <c r="U123" s="512" t="s">
        <v>1211</v>
      </c>
      <c r="V123" s="508">
        <f t="shared" si="35"/>
        <v>7.2999999999999995E-2</v>
      </c>
      <c r="W123" s="299">
        <v>1.2</v>
      </c>
      <c r="X123" s="508">
        <f>V123*W123</f>
        <v>8.7599999999999997E-2</v>
      </c>
    </row>
    <row r="124" spans="2:25" x14ac:dyDescent="0.35">
      <c r="B124" s="416">
        <v>5</v>
      </c>
      <c r="C124" s="418" t="s">
        <v>631</v>
      </c>
      <c r="D124" s="415" t="str">
        <f>IFERROR(VLOOKUP(C124,坦克个性化设定!$B$18:$E$48,4,FALSE)&amp;VLOOKUP(C124,坦克个性化细分!$I$3:$J$33,2,FALSE),"")</f>
        <v>T2中</v>
      </c>
      <c r="E124" s="295" t="s">
        <v>918</v>
      </c>
      <c r="F124" s="508">
        <f t="shared" si="31"/>
        <v>3.6999999999999998E-2</v>
      </c>
      <c r="G124" s="299">
        <v>0.8</v>
      </c>
      <c r="H124" s="415">
        <f t="shared" si="32"/>
        <v>2.9600000000000001E-2</v>
      </c>
      <c r="J124" s="512">
        <v>5</v>
      </c>
      <c r="K124" s="516" t="s">
        <v>631</v>
      </c>
      <c r="L124" s="508" t="str">
        <f>IFERROR(VLOOKUP(K124,坦克个性化设定!$B$18:$E$48,4,FALSE)&amp;VLOOKUP(K124,坦克个性化细分!$I$3:$J$33,2,FALSE),"")</f>
        <v>T2中</v>
      </c>
      <c r="M124" s="295" t="s">
        <v>918</v>
      </c>
      <c r="N124" s="508">
        <f t="shared" si="33"/>
        <v>3.6999999999999998E-2</v>
      </c>
      <c r="O124" s="299">
        <v>1.6</v>
      </c>
      <c r="P124" s="508">
        <f t="shared" si="34"/>
        <v>5.9200000000000003E-2</v>
      </c>
      <c r="R124" s="512">
        <v>6</v>
      </c>
      <c r="S124" s="516" t="s">
        <v>631</v>
      </c>
      <c r="T124" s="508" t="str">
        <f>IFERROR(VLOOKUP(S124,坦克个性化设定!$B$18:$E$48,4,FALSE)&amp;VLOOKUP(S124,坦克个性化细分!$I$3:$J$33,2,FALSE),"")</f>
        <v>T2中</v>
      </c>
      <c r="U124" s="512" t="s">
        <v>1211</v>
      </c>
      <c r="V124" s="508">
        <f t="shared" si="35"/>
        <v>7.2999999999999995E-2</v>
      </c>
      <c r="W124" s="299">
        <v>1.2</v>
      </c>
      <c r="X124" s="508">
        <f>V124*W124</f>
        <v>8.7599999999999997E-2</v>
      </c>
    </row>
    <row r="125" spans="2:25" x14ac:dyDescent="0.35">
      <c r="B125" s="416">
        <v>5</v>
      </c>
      <c r="C125" s="418" t="s">
        <v>618</v>
      </c>
      <c r="D125" s="415" t="str">
        <f>IFERROR(VLOOKUP(C125,坦克个性化设定!$B$18:$E$48,4,FALSE)&amp;VLOOKUP(C125,坦克个性化细分!$I$3:$J$33,2,FALSE),"")</f>
        <v>T3低</v>
      </c>
      <c r="E125" s="295" t="s">
        <v>918</v>
      </c>
      <c r="F125" s="508">
        <f t="shared" si="31"/>
        <v>3.6999999999999998E-2</v>
      </c>
      <c r="G125" s="299">
        <v>1.2</v>
      </c>
      <c r="H125" s="415">
        <f t="shared" si="32"/>
        <v>4.4399999999999995E-2</v>
      </c>
      <c r="J125" s="512">
        <v>5</v>
      </c>
      <c r="K125" s="516" t="s">
        <v>618</v>
      </c>
      <c r="L125" s="508" t="str">
        <f>IFERROR(VLOOKUP(K125,坦克个性化设定!$B$18:$E$48,4,FALSE)&amp;VLOOKUP(K125,坦克个性化细分!$I$3:$J$33,2,FALSE),"")</f>
        <v>T3低</v>
      </c>
      <c r="M125" s="295" t="s">
        <v>918</v>
      </c>
      <c r="N125" s="508">
        <f t="shared" si="33"/>
        <v>3.6999999999999998E-2</v>
      </c>
      <c r="O125" s="299">
        <v>1.2</v>
      </c>
      <c r="P125" s="508">
        <f t="shared" si="34"/>
        <v>4.4399999999999995E-2</v>
      </c>
      <c r="R125" s="512">
        <v>6</v>
      </c>
      <c r="S125" s="516" t="s">
        <v>618</v>
      </c>
      <c r="T125" s="508" t="str">
        <f>IFERROR(VLOOKUP(S125,坦克个性化设定!$B$18:$E$48,4,FALSE)&amp;VLOOKUP(S125,坦克个性化细分!$I$3:$J$33,2,FALSE),"")</f>
        <v>T3低</v>
      </c>
      <c r="U125" s="512" t="s">
        <v>1211</v>
      </c>
      <c r="V125" s="508">
        <f t="shared" si="35"/>
        <v>7.2999999999999995E-2</v>
      </c>
      <c r="W125" s="299">
        <v>1</v>
      </c>
      <c r="X125" s="508">
        <f t="shared" ref="X125:X130" si="36">V125*W125</f>
        <v>7.2999999999999995E-2</v>
      </c>
    </row>
    <row r="126" spans="2:25" x14ac:dyDescent="0.35">
      <c r="B126" s="416">
        <v>5</v>
      </c>
      <c r="C126" s="418" t="s">
        <v>627</v>
      </c>
      <c r="D126" s="415" t="str">
        <f>IFERROR(VLOOKUP(C126,坦克个性化设定!$B$18:$E$48,4,FALSE)&amp;VLOOKUP(C126,坦克个性化细分!$I$3:$J$33,2,FALSE),"")</f>
        <v>T3低</v>
      </c>
      <c r="E126" s="295" t="s">
        <v>1341</v>
      </c>
      <c r="F126" s="508">
        <f t="shared" si="31"/>
        <v>3.6999999999999998E-2</v>
      </c>
      <c r="G126" s="299">
        <v>1.2</v>
      </c>
      <c r="H126" s="415">
        <f t="shared" si="32"/>
        <v>4.4399999999999995E-2</v>
      </c>
      <c r="J126" s="512">
        <v>5</v>
      </c>
      <c r="K126" s="516" t="s">
        <v>627</v>
      </c>
      <c r="L126" s="508" t="str">
        <f>IFERROR(VLOOKUP(K126,坦克个性化设定!$B$18:$E$48,4,FALSE)&amp;VLOOKUP(K126,坦克个性化细分!$I$3:$J$33,2,FALSE),"")</f>
        <v>T3低</v>
      </c>
      <c r="M126" s="295" t="s">
        <v>918</v>
      </c>
      <c r="N126" s="508">
        <f t="shared" si="33"/>
        <v>3.6999999999999998E-2</v>
      </c>
      <c r="O126" s="299">
        <v>1.2</v>
      </c>
      <c r="P126" s="508">
        <f t="shared" si="34"/>
        <v>4.4399999999999995E-2</v>
      </c>
      <c r="R126" s="512">
        <v>6</v>
      </c>
      <c r="S126" s="516" t="s">
        <v>627</v>
      </c>
      <c r="T126" s="508" t="str">
        <f>IFERROR(VLOOKUP(S126,坦克个性化设定!$B$18:$E$48,4,FALSE)&amp;VLOOKUP(S126,坦克个性化细分!$I$3:$J$33,2,FALSE),"")</f>
        <v>T3低</v>
      </c>
      <c r="U126" s="512" t="s">
        <v>1211</v>
      </c>
      <c r="V126" s="508">
        <f t="shared" si="35"/>
        <v>7.2999999999999995E-2</v>
      </c>
      <c r="W126" s="299">
        <v>1</v>
      </c>
      <c r="X126" s="508">
        <f t="shared" si="36"/>
        <v>7.2999999999999995E-2</v>
      </c>
    </row>
    <row r="127" spans="2:25" x14ac:dyDescent="0.35">
      <c r="B127" s="416">
        <v>5</v>
      </c>
      <c r="C127" s="418" t="s">
        <v>628</v>
      </c>
      <c r="D127" s="415" t="str">
        <f>IFERROR(VLOOKUP(C127,坦克个性化设定!$B$18:$E$48,4,FALSE)&amp;VLOOKUP(C127,坦克个性化细分!$I$3:$J$33,2,FALSE),"")</f>
        <v>T3低</v>
      </c>
      <c r="E127" s="295" t="s">
        <v>1341</v>
      </c>
      <c r="F127" s="508">
        <f t="shared" si="31"/>
        <v>3.6999999999999998E-2</v>
      </c>
      <c r="G127" s="299">
        <v>1.2</v>
      </c>
      <c r="H127" s="415">
        <f t="shared" si="32"/>
        <v>4.4399999999999995E-2</v>
      </c>
      <c r="J127" s="512">
        <v>5</v>
      </c>
      <c r="K127" s="516" t="s">
        <v>628</v>
      </c>
      <c r="L127" s="508" t="str">
        <f>IFERROR(VLOOKUP(K127,坦克个性化设定!$B$18:$E$48,4,FALSE)&amp;VLOOKUP(K127,坦克个性化细分!$I$3:$J$33,2,FALSE),"")</f>
        <v>T3低</v>
      </c>
      <c r="M127" s="295" t="s">
        <v>918</v>
      </c>
      <c r="N127" s="508">
        <f t="shared" si="33"/>
        <v>3.6999999999999998E-2</v>
      </c>
      <c r="O127" s="299">
        <v>1.2</v>
      </c>
      <c r="P127" s="508">
        <f t="shared" si="34"/>
        <v>4.4399999999999995E-2</v>
      </c>
      <c r="R127" s="512">
        <v>6</v>
      </c>
      <c r="S127" s="516" t="s">
        <v>628</v>
      </c>
      <c r="T127" s="508" t="str">
        <f>IFERROR(VLOOKUP(S127,坦克个性化设定!$B$18:$E$48,4,FALSE)&amp;VLOOKUP(S127,坦克个性化细分!$I$3:$J$33,2,FALSE),"")</f>
        <v>T3低</v>
      </c>
      <c r="U127" s="512" t="s">
        <v>1211</v>
      </c>
      <c r="V127" s="508">
        <f t="shared" si="35"/>
        <v>7.2999999999999995E-2</v>
      </c>
      <c r="W127" s="299">
        <v>1</v>
      </c>
      <c r="X127" s="508">
        <f t="shared" si="36"/>
        <v>7.2999999999999995E-2</v>
      </c>
    </row>
    <row r="128" spans="2:25" x14ac:dyDescent="0.35">
      <c r="B128" s="416">
        <v>5</v>
      </c>
      <c r="C128" s="516" t="s">
        <v>616</v>
      </c>
      <c r="D128" s="508" t="str">
        <f>IFERROR(VLOOKUP(C128,坦克个性化设定!$B$18:$E$48,4,FALSE)&amp;VLOOKUP(C128,坦克个性化细分!$I$3:$J$33,2,FALSE),"")</f>
        <v>T2低</v>
      </c>
      <c r="E128" s="512" t="s">
        <v>1211</v>
      </c>
      <c r="F128" s="508">
        <f t="shared" si="31"/>
        <v>3.6999999999999998E-2</v>
      </c>
      <c r="G128" s="299">
        <v>1</v>
      </c>
      <c r="H128" s="415">
        <f t="shared" si="32"/>
        <v>3.6999999999999998E-2</v>
      </c>
      <c r="J128" s="512">
        <v>5</v>
      </c>
      <c r="K128" s="516" t="s">
        <v>619</v>
      </c>
      <c r="L128" s="508" t="str">
        <f>IFERROR(VLOOKUP(K128,坦克个性化设定!$B$18:$E$48,4,FALSE)&amp;VLOOKUP(K128,坦克个性化细分!$I$3:$J$33,2,FALSE),"")</f>
        <v>T3中</v>
      </c>
      <c r="M128" s="295" t="s">
        <v>918</v>
      </c>
      <c r="N128" s="508">
        <f t="shared" si="33"/>
        <v>3.6999999999999998E-2</v>
      </c>
      <c r="O128" s="299">
        <v>1.2</v>
      </c>
      <c r="P128" s="508">
        <f t="shared" si="34"/>
        <v>4.4399999999999995E-2</v>
      </c>
      <c r="R128" s="512">
        <v>6</v>
      </c>
      <c r="S128" s="516" t="s">
        <v>619</v>
      </c>
      <c r="T128" s="508" t="str">
        <f>IFERROR(VLOOKUP(S128,坦克个性化设定!$B$18:$E$48,4,FALSE)&amp;VLOOKUP(S128,坦克个性化细分!$I$3:$J$33,2,FALSE),"")</f>
        <v>T3中</v>
      </c>
      <c r="U128" s="512" t="s">
        <v>1211</v>
      </c>
      <c r="V128" s="508">
        <f t="shared" si="35"/>
        <v>7.2999999999999995E-2</v>
      </c>
      <c r="W128" s="299">
        <v>0.8</v>
      </c>
      <c r="X128" s="508">
        <f t="shared" si="36"/>
        <v>5.8400000000000001E-2</v>
      </c>
    </row>
    <row r="129" spans="2:25" x14ac:dyDescent="0.35">
      <c r="B129" s="416">
        <v>5</v>
      </c>
      <c r="C129" s="516" t="s">
        <v>624</v>
      </c>
      <c r="D129" s="508" t="str">
        <f>IFERROR(VLOOKUP(C129,坦克个性化设定!$B$18:$E$48,4,FALSE)&amp;VLOOKUP(C129,坦克个性化细分!$I$3:$J$33,2,FALSE),"")</f>
        <v>T2低</v>
      </c>
      <c r="E129" s="512" t="s">
        <v>1211</v>
      </c>
      <c r="F129" s="508">
        <f t="shared" si="31"/>
        <v>3.6999999999999998E-2</v>
      </c>
      <c r="G129" s="299">
        <v>1</v>
      </c>
      <c r="H129" s="415">
        <f t="shared" si="32"/>
        <v>3.6999999999999998E-2</v>
      </c>
      <c r="J129" s="512">
        <v>5</v>
      </c>
      <c r="K129" s="516" t="s">
        <v>718</v>
      </c>
      <c r="L129" s="508" t="str">
        <f>IFERROR(VLOOKUP(K129,坦克个性化设定!$B$18:$E$48,4,FALSE)&amp;VLOOKUP(K129,坦克个性化细分!$I$3:$J$33,2,FALSE),"")</f>
        <v>T3中</v>
      </c>
      <c r="M129" s="295" t="s">
        <v>918</v>
      </c>
      <c r="N129" s="508">
        <f t="shared" si="33"/>
        <v>3.6999999999999998E-2</v>
      </c>
      <c r="O129" s="299">
        <v>1.2</v>
      </c>
      <c r="P129" s="508">
        <f t="shared" si="34"/>
        <v>4.4399999999999995E-2</v>
      </c>
      <c r="R129" s="512">
        <v>6</v>
      </c>
      <c r="S129" s="516" t="s">
        <v>718</v>
      </c>
      <c r="T129" s="508" t="str">
        <f>IFERROR(VLOOKUP(S129,坦克个性化设定!$B$18:$E$48,4,FALSE)&amp;VLOOKUP(S129,坦克个性化细分!$I$3:$J$33,2,FALSE),"")</f>
        <v>T3中</v>
      </c>
      <c r="U129" s="512" t="s">
        <v>1211</v>
      </c>
      <c r="V129" s="508">
        <f t="shared" si="35"/>
        <v>7.2999999999999995E-2</v>
      </c>
      <c r="W129" s="299">
        <v>0.8</v>
      </c>
      <c r="X129" s="508">
        <f t="shared" si="36"/>
        <v>5.8400000000000001E-2</v>
      </c>
    </row>
    <row r="130" spans="2:25" x14ac:dyDescent="0.35">
      <c r="B130" s="416">
        <v>5</v>
      </c>
      <c r="C130" s="516" t="s">
        <v>630</v>
      </c>
      <c r="D130" s="508" t="str">
        <f>IFERROR(VLOOKUP(C130,坦克个性化设定!$B$18:$E$48,4,FALSE)&amp;VLOOKUP(C130,坦克个性化细分!$I$3:$J$33,2,FALSE),"")</f>
        <v>T2低</v>
      </c>
      <c r="E130" s="512" t="s">
        <v>1211</v>
      </c>
      <c r="F130" s="508">
        <f t="shared" si="31"/>
        <v>3.6999999999999998E-2</v>
      </c>
      <c r="G130" s="299">
        <v>1</v>
      </c>
      <c r="H130" s="415">
        <f t="shared" si="32"/>
        <v>3.6999999999999998E-2</v>
      </c>
      <c r="J130" s="512">
        <v>5</v>
      </c>
      <c r="K130" s="516" t="s">
        <v>632</v>
      </c>
      <c r="L130" s="508" t="str">
        <f>IFERROR(VLOOKUP(K130,坦克个性化设定!$B$18:$E$48,4,FALSE)&amp;VLOOKUP(K130,坦克个性化细分!$I$3:$J$33,2,FALSE),"")</f>
        <v>T3中</v>
      </c>
      <c r="M130" s="295" t="s">
        <v>918</v>
      </c>
      <c r="N130" s="508">
        <f t="shared" si="33"/>
        <v>3.6999999999999998E-2</v>
      </c>
      <c r="O130" s="299">
        <v>1.2</v>
      </c>
      <c r="P130" s="508">
        <f t="shared" si="34"/>
        <v>4.4399999999999995E-2</v>
      </c>
      <c r="R130" s="512">
        <v>6</v>
      </c>
      <c r="S130" s="516" t="s">
        <v>632</v>
      </c>
      <c r="T130" s="508" t="str">
        <f>IFERROR(VLOOKUP(S130,坦克个性化设定!$B$18:$E$48,4,FALSE)&amp;VLOOKUP(S130,坦克个性化细分!$I$3:$J$33,2,FALSE),"")</f>
        <v>T3中</v>
      </c>
      <c r="U130" s="512" t="s">
        <v>1211</v>
      </c>
      <c r="V130" s="508">
        <f t="shared" si="35"/>
        <v>7.2999999999999995E-2</v>
      </c>
      <c r="W130" s="299">
        <v>0.8</v>
      </c>
      <c r="X130" s="508">
        <f t="shared" si="36"/>
        <v>5.8400000000000001E-2</v>
      </c>
    </row>
    <row r="131" spans="2:25" x14ac:dyDescent="0.35">
      <c r="B131" s="416">
        <v>5</v>
      </c>
      <c r="C131" s="418" t="s">
        <v>617</v>
      </c>
      <c r="D131" s="415" t="str">
        <f>IFERROR(VLOOKUP(C131,坦克个性化设定!$B$18:$E$48,4,FALSE)&amp;VLOOKUP(C131,坦克个性化细分!$I$3:$J$33,2,FALSE),"")</f>
        <v>T2中</v>
      </c>
      <c r="E131" s="416" t="s">
        <v>1211</v>
      </c>
      <c r="F131" s="508">
        <f t="shared" si="31"/>
        <v>3.6999999999999998E-2</v>
      </c>
      <c r="G131" s="299">
        <v>1</v>
      </c>
      <c r="H131" s="415">
        <f t="shared" si="32"/>
        <v>3.6999999999999998E-2</v>
      </c>
      <c r="J131" s="512">
        <v>5</v>
      </c>
      <c r="K131" s="516" t="s">
        <v>617</v>
      </c>
      <c r="L131" s="508" t="str">
        <f>IFERROR(VLOOKUP(K131,坦克个性化设定!$B$18:$E$48,4,FALSE)&amp;VLOOKUP(K131,坦克个性化细分!$I$3:$J$33,2,FALSE),"")</f>
        <v>T2中</v>
      </c>
      <c r="M131" s="512" t="s">
        <v>1211</v>
      </c>
      <c r="N131" s="508">
        <f t="shared" si="33"/>
        <v>3.6999999999999998E-2</v>
      </c>
      <c r="O131" s="299">
        <v>0.8</v>
      </c>
      <c r="P131" s="508">
        <f t="shared" si="34"/>
        <v>2.9600000000000001E-2</v>
      </c>
      <c r="R131" s="274"/>
      <c r="S131" s="274"/>
      <c r="U131" s="274"/>
    </row>
    <row r="132" spans="2:25" x14ac:dyDescent="0.35">
      <c r="B132" s="416">
        <v>5</v>
      </c>
      <c r="C132" s="418" t="s">
        <v>626</v>
      </c>
      <c r="D132" s="415" t="str">
        <f>IFERROR(VLOOKUP(C132,坦克个性化设定!$B$18:$E$48,4,FALSE)&amp;VLOOKUP(C132,坦克个性化细分!$I$3:$J$33,2,FALSE),"")</f>
        <v>T2中</v>
      </c>
      <c r="E132" s="416" t="s">
        <v>1211</v>
      </c>
      <c r="F132" s="508">
        <f t="shared" si="31"/>
        <v>3.6999999999999998E-2</v>
      </c>
      <c r="G132" s="299">
        <v>1</v>
      </c>
      <c r="H132" s="415">
        <f t="shared" si="32"/>
        <v>3.6999999999999998E-2</v>
      </c>
      <c r="J132" s="512">
        <v>5</v>
      </c>
      <c r="K132" s="516" t="s">
        <v>626</v>
      </c>
      <c r="L132" s="508" t="str">
        <f>IFERROR(VLOOKUP(K132,坦克个性化设定!$B$18:$E$48,4,FALSE)&amp;VLOOKUP(K132,坦克个性化细分!$I$3:$J$33,2,FALSE),"")</f>
        <v>T2中</v>
      </c>
      <c r="M132" s="512" t="s">
        <v>1211</v>
      </c>
      <c r="N132" s="508">
        <f t="shared" si="33"/>
        <v>3.6999999999999998E-2</v>
      </c>
      <c r="O132" s="299">
        <v>0.8</v>
      </c>
      <c r="P132" s="508">
        <f t="shared" si="34"/>
        <v>2.9600000000000001E-2</v>
      </c>
      <c r="R132" s="274"/>
      <c r="S132" s="274"/>
      <c r="U132" s="274"/>
    </row>
    <row r="133" spans="2:25" x14ac:dyDescent="0.35">
      <c r="B133" s="416">
        <v>5</v>
      </c>
      <c r="C133" s="418" t="s">
        <v>631</v>
      </c>
      <c r="D133" s="415" t="str">
        <f>IFERROR(VLOOKUP(C133,坦克个性化设定!$B$18:$E$48,4,FALSE)&amp;VLOOKUP(C133,坦克个性化细分!$I$3:$J$33,2,FALSE),"")</f>
        <v>T2中</v>
      </c>
      <c r="E133" s="416" t="s">
        <v>1211</v>
      </c>
      <c r="F133" s="508">
        <f t="shared" si="31"/>
        <v>3.6999999999999998E-2</v>
      </c>
      <c r="G133" s="299">
        <v>1</v>
      </c>
      <c r="H133" s="415">
        <f t="shared" si="32"/>
        <v>3.6999999999999998E-2</v>
      </c>
      <c r="J133" s="512">
        <v>5</v>
      </c>
      <c r="K133" s="516" t="s">
        <v>631</v>
      </c>
      <c r="L133" s="508" t="str">
        <f>IFERROR(VLOOKUP(K133,坦克个性化设定!$B$18:$E$48,4,FALSE)&amp;VLOOKUP(K133,坦克个性化细分!$I$3:$J$33,2,FALSE),"")</f>
        <v>T2中</v>
      </c>
      <c r="M133" s="512" t="s">
        <v>1211</v>
      </c>
      <c r="N133" s="508">
        <f t="shared" si="33"/>
        <v>3.6999999999999998E-2</v>
      </c>
      <c r="O133" s="299">
        <v>0.8</v>
      </c>
      <c r="P133" s="508">
        <f t="shared" si="34"/>
        <v>2.9600000000000001E-2</v>
      </c>
      <c r="R133" s="512" t="s">
        <v>597</v>
      </c>
      <c r="S133" s="512" t="s">
        <v>1225</v>
      </c>
      <c r="T133" s="419" t="s">
        <v>792</v>
      </c>
      <c r="U133" s="513" t="s">
        <v>917</v>
      </c>
      <c r="V133" s="422" t="s">
        <v>2011</v>
      </c>
      <c r="W133" s="422" t="s">
        <v>747</v>
      </c>
      <c r="X133" s="422" t="s">
        <v>2013</v>
      </c>
      <c r="Y133" s="158">
        <f>SUM(X134:X141)</f>
        <v>0.65700000000000003</v>
      </c>
    </row>
    <row r="134" spans="2:25" x14ac:dyDescent="0.35">
      <c r="B134" s="416">
        <v>5</v>
      </c>
      <c r="C134" s="418" t="s">
        <v>618</v>
      </c>
      <c r="D134" s="415" t="str">
        <f>IFERROR(VLOOKUP(C134,坦克个性化设定!$B$18:$E$48,4,FALSE)&amp;VLOOKUP(C134,坦克个性化细分!$I$3:$J$33,2,FALSE),"")</f>
        <v>T3低</v>
      </c>
      <c r="E134" s="416" t="s">
        <v>1235</v>
      </c>
      <c r="F134" s="508">
        <f t="shared" si="31"/>
        <v>3.6999999999999998E-2</v>
      </c>
      <c r="G134" s="299">
        <v>1</v>
      </c>
      <c r="H134" s="415">
        <f t="shared" si="32"/>
        <v>3.6999999999999998E-2</v>
      </c>
      <c r="J134" s="512">
        <v>5</v>
      </c>
      <c r="K134" s="516" t="s">
        <v>618</v>
      </c>
      <c r="L134" s="508" t="str">
        <f>IFERROR(VLOOKUP(K134,坦克个性化设定!$B$18:$E$48,4,FALSE)&amp;VLOOKUP(K134,坦克个性化细分!$I$3:$J$33,2,FALSE),"")</f>
        <v>T3低</v>
      </c>
      <c r="M134" s="512" t="s">
        <v>1211</v>
      </c>
      <c r="N134" s="508">
        <f t="shared" si="33"/>
        <v>3.6999999999999998E-2</v>
      </c>
      <c r="O134" s="299">
        <v>0.6</v>
      </c>
      <c r="P134" s="508">
        <f t="shared" si="34"/>
        <v>2.2199999999999998E-2</v>
      </c>
      <c r="R134" s="512">
        <v>7</v>
      </c>
      <c r="S134" s="516" t="s">
        <v>618</v>
      </c>
      <c r="T134" s="508" t="str">
        <f>IFERROR(VLOOKUP(S134,坦克个性化设定!$B$18:$E$48,4,FALSE)&amp;VLOOKUP(S134,坦克个性化细分!$I$3:$J$33,2,FALSE),"")</f>
        <v>T3低</v>
      </c>
      <c r="U134" s="512" t="s">
        <v>1211</v>
      </c>
      <c r="V134" s="508">
        <f t="shared" ref="V134:V139" si="37">$E$70</f>
        <v>7.2999999999999995E-2</v>
      </c>
      <c r="W134" s="299">
        <v>1.8</v>
      </c>
      <c r="X134" s="508">
        <f t="shared" ref="X134:X139" si="38">V134*W134</f>
        <v>0.13139999999999999</v>
      </c>
    </row>
    <row r="135" spans="2:25" x14ac:dyDescent="0.35">
      <c r="B135" s="416">
        <v>5</v>
      </c>
      <c r="C135" s="418" t="s">
        <v>627</v>
      </c>
      <c r="D135" s="415" t="str">
        <f>IFERROR(VLOOKUP(C135,坦克个性化设定!$B$18:$E$48,4,FALSE)&amp;VLOOKUP(C135,坦克个性化细分!$I$3:$J$33,2,FALSE),"")</f>
        <v>T3低</v>
      </c>
      <c r="E135" s="416" t="s">
        <v>1235</v>
      </c>
      <c r="F135" s="508">
        <f t="shared" si="31"/>
        <v>3.6999999999999998E-2</v>
      </c>
      <c r="G135" s="299">
        <v>1</v>
      </c>
      <c r="H135" s="415">
        <f t="shared" si="32"/>
        <v>3.6999999999999998E-2</v>
      </c>
      <c r="J135" s="512">
        <v>5</v>
      </c>
      <c r="K135" s="516" t="s">
        <v>627</v>
      </c>
      <c r="L135" s="508" t="str">
        <f>IFERROR(VLOOKUP(K135,坦克个性化设定!$B$18:$E$48,4,FALSE)&amp;VLOOKUP(K135,坦克个性化细分!$I$3:$J$33,2,FALSE),"")</f>
        <v>T3低</v>
      </c>
      <c r="M135" s="512" t="s">
        <v>1211</v>
      </c>
      <c r="N135" s="508">
        <f t="shared" si="33"/>
        <v>3.6999999999999998E-2</v>
      </c>
      <c r="O135" s="299">
        <v>0.6</v>
      </c>
      <c r="P135" s="508">
        <f t="shared" si="34"/>
        <v>2.2199999999999998E-2</v>
      </c>
      <c r="R135" s="512">
        <v>7</v>
      </c>
      <c r="S135" s="516" t="s">
        <v>627</v>
      </c>
      <c r="T135" s="508" t="str">
        <f>IFERROR(VLOOKUP(S135,坦克个性化设定!$B$18:$E$48,4,FALSE)&amp;VLOOKUP(S135,坦克个性化细分!$I$3:$J$33,2,FALSE),"")</f>
        <v>T3低</v>
      </c>
      <c r="U135" s="512" t="s">
        <v>1211</v>
      </c>
      <c r="V135" s="508">
        <f t="shared" si="37"/>
        <v>7.2999999999999995E-2</v>
      </c>
      <c r="W135" s="299">
        <v>1.8</v>
      </c>
      <c r="X135" s="508">
        <f t="shared" si="38"/>
        <v>0.13139999999999999</v>
      </c>
    </row>
    <row r="136" spans="2:25" x14ac:dyDescent="0.35">
      <c r="B136" s="416">
        <v>5</v>
      </c>
      <c r="C136" s="418" t="s">
        <v>628</v>
      </c>
      <c r="D136" s="415" t="str">
        <f>IFERROR(VLOOKUP(C136,坦克个性化设定!$B$18:$E$48,4,FALSE)&amp;VLOOKUP(C136,坦克个性化细分!$I$3:$J$33,2,FALSE),"")</f>
        <v>T3低</v>
      </c>
      <c r="E136" s="416" t="s">
        <v>1235</v>
      </c>
      <c r="F136" s="508">
        <f t="shared" si="31"/>
        <v>3.6999999999999998E-2</v>
      </c>
      <c r="G136" s="299">
        <v>1</v>
      </c>
      <c r="H136" s="415">
        <f t="shared" si="32"/>
        <v>3.6999999999999998E-2</v>
      </c>
      <c r="J136" s="512">
        <v>5</v>
      </c>
      <c r="K136" s="516" t="s">
        <v>628</v>
      </c>
      <c r="L136" s="508" t="str">
        <f>IFERROR(VLOOKUP(K136,坦克个性化设定!$B$18:$E$48,4,FALSE)&amp;VLOOKUP(K136,坦克个性化细分!$I$3:$J$33,2,FALSE),"")</f>
        <v>T3低</v>
      </c>
      <c r="M136" s="512" t="s">
        <v>1211</v>
      </c>
      <c r="N136" s="508">
        <f t="shared" si="33"/>
        <v>3.6999999999999998E-2</v>
      </c>
      <c r="O136" s="299">
        <v>0.6</v>
      </c>
      <c r="P136" s="508">
        <f t="shared" si="34"/>
        <v>2.2199999999999998E-2</v>
      </c>
      <c r="R136" s="512">
        <v>7</v>
      </c>
      <c r="S136" s="516" t="s">
        <v>628</v>
      </c>
      <c r="T136" s="508" t="str">
        <f>IFERROR(VLOOKUP(S136,坦克个性化设定!$B$18:$E$48,4,FALSE)&amp;VLOOKUP(S136,坦克个性化细分!$I$3:$J$33,2,FALSE),"")</f>
        <v>T3低</v>
      </c>
      <c r="U136" s="512" t="s">
        <v>1211</v>
      </c>
      <c r="V136" s="508">
        <f t="shared" si="37"/>
        <v>7.2999999999999995E-2</v>
      </c>
      <c r="W136" s="299">
        <v>1.8</v>
      </c>
      <c r="X136" s="508">
        <f t="shared" si="38"/>
        <v>0.13139999999999999</v>
      </c>
    </row>
    <row r="137" spans="2:25" x14ac:dyDescent="0.35">
      <c r="B137" s="416">
        <v>5</v>
      </c>
      <c r="C137" s="418" t="s">
        <v>619</v>
      </c>
      <c r="D137" s="415" t="str">
        <f>IFERROR(VLOOKUP(C137,坦克个性化设定!$B$18:$E$48,4,FALSE)&amp;VLOOKUP(C137,坦克个性化细分!$I$3:$J$33,2,FALSE),"")</f>
        <v>T3中</v>
      </c>
      <c r="E137" s="416" t="s">
        <v>1235</v>
      </c>
      <c r="F137" s="508">
        <f t="shared" si="31"/>
        <v>3.6999999999999998E-2</v>
      </c>
      <c r="G137" s="299">
        <v>1</v>
      </c>
      <c r="H137" s="415">
        <f t="shared" si="32"/>
        <v>3.6999999999999998E-2</v>
      </c>
      <c r="J137" s="512">
        <v>5</v>
      </c>
      <c r="K137" s="516" t="s">
        <v>619</v>
      </c>
      <c r="L137" s="508" t="str">
        <f>IFERROR(VLOOKUP(K137,坦克个性化设定!$B$18:$E$48,4,FALSE)&amp;VLOOKUP(K137,坦克个性化细分!$I$3:$J$33,2,FALSE),"")</f>
        <v>T3中</v>
      </c>
      <c r="M137" s="512" t="s">
        <v>1211</v>
      </c>
      <c r="N137" s="508">
        <f t="shared" si="33"/>
        <v>3.6999999999999998E-2</v>
      </c>
      <c r="O137" s="299">
        <v>0.6</v>
      </c>
      <c r="P137" s="508">
        <f t="shared" si="34"/>
        <v>2.2199999999999998E-2</v>
      </c>
      <c r="R137" s="512">
        <v>7</v>
      </c>
      <c r="S137" s="516" t="s">
        <v>619</v>
      </c>
      <c r="T137" s="508" t="str">
        <f>IFERROR(VLOOKUP(S137,坦克个性化设定!$B$18:$E$48,4,FALSE)&amp;VLOOKUP(S137,坦克个性化细分!$I$3:$J$33,2,FALSE),"")</f>
        <v>T3中</v>
      </c>
      <c r="U137" s="512" t="s">
        <v>1211</v>
      </c>
      <c r="V137" s="508">
        <f t="shared" si="37"/>
        <v>7.2999999999999995E-2</v>
      </c>
      <c r="W137" s="299">
        <v>1.2</v>
      </c>
      <c r="X137" s="508">
        <f t="shared" si="38"/>
        <v>8.7599999999999997E-2</v>
      </c>
    </row>
    <row r="138" spans="2:25" x14ac:dyDescent="0.35">
      <c r="B138" s="416">
        <v>5</v>
      </c>
      <c r="C138" s="418" t="s">
        <v>718</v>
      </c>
      <c r="D138" s="415" t="str">
        <f>IFERROR(VLOOKUP(C138,坦克个性化设定!$B$18:$E$48,4,FALSE)&amp;VLOOKUP(C138,坦克个性化细分!$I$3:$J$33,2,FALSE),"")</f>
        <v>T3中</v>
      </c>
      <c r="E138" s="416" t="s">
        <v>1235</v>
      </c>
      <c r="F138" s="508">
        <f t="shared" si="31"/>
        <v>3.6999999999999998E-2</v>
      </c>
      <c r="G138" s="299">
        <v>1</v>
      </c>
      <c r="H138" s="415">
        <f t="shared" si="32"/>
        <v>3.6999999999999998E-2</v>
      </c>
      <c r="J138" s="512">
        <v>5</v>
      </c>
      <c r="K138" s="516" t="s">
        <v>718</v>
      </c>
      <c r="L138" s="508" t="str">
        <f>IFERROR(VLOOKUP(K138,坦克个性化设定!$B$18:$E$48,4,FALSE)&amp;VLOOKUP(K138,坦克个性化细分!$I$3:$J$33,2,FALSE),"")</f>
        <v>T3中</v>
      </c>
      <c r="M138" s="512" t="s">
        <v>1211</v>
      </c>
      <c r="N138" s="508">
        <f t="shared" si="33"/>
        <v>3.6999999999999998E-2</v>
      </c>
      <c r="O138" s="299">
        <v>0.6</v>
      </c>
      <c r="P138" s="508">
        <f t="shared" si="34"/>
        <v>2.2199999999999998E-2</v>
      </c>
      <c r="R138" s="512">
        <v>7</v>
      </c>
      <c r="S138" s="516" t="s">
        <v>718</v>
      </c>
      <c r="T138" s="508" t="str">
        <f>IFERROR(VLOOKUP(S138,坦克个性化设定!$B$18:$E$48,4,FALSE)&amp;VLOOKUP(S138,坦克个性化细分!$I$3:$J$33,2,FALSE),"")</f>
        <v>T3中</v>
      </c>
      <c r="U138" s="512" t="s">
        <v>1211</v>
      </c>
      <c r="V138" s="508">
        <f t="shared" si="37"/>
        <v>7.2999999999999995E-2</v>
      </c>
      <c r="W138" s="299">
        <v>1.2</v>
      </c>
      <c r="X138" s="508">
        <f t="shared" si="38"/>
        <v>8.7599999999999997E-2</v>
      </c>
    </row>
    <row r="139" spans="2:25" x14ac:dyDescent="0.35">
      <c r="B139" s="416">
        <v>5</v>
      </c>
      <c r="C139" s="418" t="s">
        <v>632</v>
      </c>
      <c r="D139" s="415" t="str">
        <f>IFERROR(VLOOKUP(C139,坦克个性化设定!$B$18:$E$48,4,FALSE)&amp;VLOOKUP(C139,坦克个性化细分!$I$3:$J$33,2,FALSE),"")</f>
        <v>T3中</v>
      </c>
      <c r="E139" s="416" t="s">
        <v>1235</v>
      </c>
      <c r="F139" s="508">
        <f t="shared" si="31"/>
        <v>3.6999999999999998E-2</v>
      </c>
      <c r="G139" s="299">
        <v>1</v>
      </c>
      <c r="H139" s="415">
        <f t="shared" si="32"/>
        <v>3.6999999999999998E-2</v>
      </c>
      <c r="J139" s="512">
        <v>5</v>
      </c>
      <c r="K139" s="516" t="s">
        <v>632</v>
      </c>
      <c r="L139" s="508" t="str">
        <f>IFERROR(VLOOKUP(K139,坦克个性化设定!$B$18:$E$48,4,FALSE)&amp;VLOOKUP(K139,坦克个性化细分!$I$3:$J$33,2,FALSE),"")</f>
        <v>T3中</v>
      </c>
      <c r="M139" s="512" t="s">
        <v>1211</v>
      </c>
      <c r="N139" s="508">
        <f t="shared" si="33"/>
        <v>3.6999999999999998E-2</v>
      </c>
      <c r="O139" s="299">
        <v>0.6</v>
      </c>
      <c r="P139" s="508">
        <f t="shared" si="34"/>
        <v>2.2199999999999998E-2</v>
      </c>
      <c r="R139" s="512">
        <v>7</v>
      </c>
      <c r="S139" s="516" t="s">
        <v>632</v>
      </c>
      <c r="T139" s="508" t="str">
        <f>IFERROR(VLOOKUP(S139,坦克个性化设定!$B$18:$E$48,4,FALSE)&amp;VLOOKUP(S139,坦克个性化细分!$I$3:$J$33,2,FALSE),"")</f>
        <v>T3中</v>
      </c>
      <c r="U139" s="512" t="s">
        <v>1211</v>
      </c>
      <c r="V139" s="508">
        <f t="shared" si="37"/>
        <v>7.2999999999999995E-2</v>
      </c>
      <c r="W139" s="299">
        <v>1.2</v>
      </c>
      <c r="X139" s="508">
        <f t="shared" si="38"/>
        <v>8.7599999999999997E-2</v>
      </c>
    </row>
    <row r="140" spans="2:25" x14ac:dyDescent="0.35">
      <c r="B140" s="274"/>
      <c r="C140" s="274"/>
      <c r="E140" s="274"/>
      <c r="J140" s="274"/>
      <c r="K140" s="274"/>
      <c r="M140" s="274"/>
      <c r="R140" s="274"/>
      <c r="S140" s="274"/>
      <c r="U140" s="274"/>
    </row>
    <row r="141" spans="2:25" x14ac:dyDescent="0.35">
      <c r="B141" s="274"/>
      <c r="C141" s="274"/>
      <c r="E141" s="274"/>
      <c r="J141" s="274"/>
      <c r="K141" s="274"/>
      <c r="M141" s="274"/>
      <c r="R141" s="274"/>
      <c r="S141" s="274"/>
      <c r="U141" s="274"/>
    </row>
    <row r="142" spans="2:25" x14ac:dyDescent="0.35">
      <c r="B142" s="416" t="s">
        <v>814</v>
      </c>
      <c r="C142" s="416" t="s">
        <v>1225</v>
      </c>
      <c r="D142" s="419" t="s">
        <v>2006</v>
      </c>
      <c r="E142" s="417" t="s">
        <v>917</v>
      </c>
      <c r="F142" s="422" t="s">
        <v>2011</v>
      </c>
      <c r="G142" s="422" t="s">
        <v>2012</v>
      </c>
      <c r="H142" s="422" t="s">
        <v>2013</v>
      </c>
      <c r="I142" s="158">
        <f>SUM(H143:H157)</f>
        <v>0.66600000000000004</v>
      </c>
      <c r="J142" s="512" t="s">
        <v>597</v>
      </c>
      <c r="K142" s="512" t="s">
        <v>1225</v>
      </c>
      <c r="L142" s="419" t="s">
        <v>792</v>
      </c>
      <c r="M142" s="513" t="s">
        <v>917</v>
      </c>
      <c r="N142" s="422" t="s">
        <v>2011</v>
      </c>
      <c r="O142" s="422" t="s">
        <v>747</v>
      </c>
      <c r="P142" s="422" t="s">
        <v>2013</v>
      </c>
      <c r="Q142" s="158">
        <f>SUM(P143:P154)</f>
        <v>0.59939999999999993</v>
      </c>
      <c r="R142" s="512" t="s">
        <v>597</v>
      </c>
      <c r="S142" s="512" t="s">
        <v>1225</v>
      </c>
      <c r="T142" s="419" t="s">
        <v>792</v>
      </c>
      <c r="U142" s="513" t="s">
        <v>917</v>
      </c>
      <c r="V142" s="422" t="s">
        <v>2011</v>
      </c>
      <c r="W142" s="422" t="s">
        <v>747</v>
      </c>
      <c r="X142" s="422" t="s">
        <v>2013</v>
      </c>
      <c r="Y142" s="158">
        <f>SUM(X143:X150)</f>
        <v>0.65700000000000003</v>
      </c>
    </row>
    <row r="143" spans="2:25" x14ac:dyDescent="0.35">
      <c r="B143" s="416">
        <v>6</v>
      </c>
      <c r="C143" s="516" t="s">
        <v>618</v>
      </c>
      <c r="D143" s="508" t="str">
        <f>IFERROR(VLOOKUP(C143,坦克个性化设定!$B$18:$E$48,4,FALSE)&amp;VLOOKUP(C143,坦克个性化细分!$I$3:$J$33,2,FALSE),"")</f>
        <v>T3低</v>
      </c>
      <c r="E143" s="295" t="s">
        <v>918</v>
      </c>
      <c r="F143" s="508">
        <f t="shared" ref="F143:F157" si="39">$E$69</f>
        <v>3.6999999999999998E-2</v>
      </c>
      <c r="G143" s="299">
        <v>1.6</v>
      </c>
      <c r="H143" s="415">
        <f t="shared" ref="H143:H157" si="40">F143*G143</f>
        <v>5.9200000000000003E-2</v>
      </c>
      <c r="J143" s="512">
        <v>6</v>
      </c>
      <c r="K143" s="516" t="s">
        <v>618</v>
      </c>
      <c r="L143" s="508" t="str">
        <f>IFERROR(VLOOKUP(K143,坦克个性化设定!$B$18:$E$48,4,FALSE)&amp;VLOOKUP(K143,坦克个性化细分!$I$3:$J$33,2,FALSE),"")</f>
        <v>T3低</v>
      </c>
      <c r="M143" s="295" t="s">
        <v>918</v>
      </c>
      <c r="N143" s="508">
        <f t="shared" ref="N143:N154" si="41">$E$69</f>
        <v>3.6999999999999998E-2</v>
      </c>
      <c r="O143" s="299">
        <v>1.8</v>
      </c>
      <c r="P143" s="508">
        <f t="shared" ref="P143:P154" si="42">N143*O143</f>
        <v>6.6599999999999993E-2</v>
      </c>
      <c r="R143" s="512">
        <v>8</v>
      </c>
      <c r="S143" s="516" t="s">
        <v>619</v>
      </c>
      <c r="T143" s="508" t="str">
        <f>IFERROR(VLOOKUP(S143,坦克个性化设定!$B$18:$E$48,4,FALSE)&amp;VLOOKUP(S143,坦克个性化细分!$I$3:$J$33,2,FALSE),"")</f>
        <v>T3中</v>
      </c>
      <c r="U143" s="512" t="s">
        <v>1211</v>
      </c>
      <c r="V143" s="508">
        <f t="shared" ref="V143:V150" si="43">$E$70</f>
        <v>7.2999999999999995E-2</v>
      </c>
      <c r="W143" s="299">
        <v>1.4</v>
      </c>
      <c r="X143" s="508">
        <f t="shared" ref="X143:X150" si="44">V143*W143</f>
        <v>0.10219999999999999</v>
      </c>
    </row>
    <row r="144" spans="2:25" x14ac:dyDescent="0.35">
      <c r="B144" s="416">
        <v>6</v>
      </c>
      <c r="C144" s="516" t="s">
        <v>627</v>
      </c>
      <c r="D144" s="508" t="str">
        <f>IFERROR(VLOOKUP(C144,坦克个性化设定!$B$18:$E$48,4,FALSE)&amp;VLOOKUP(C144,坦克个性化细分!$I$3:$J$33,2,FALSE),"")</f>
        <v>T3低</v>
      </c>
      <c r="E144" s="295" t="s">
        <v>918</v>
      </c>
      <c r="F144" s="508">
        <f t="shared" si="39"/>
        <v>3.6999999999999998E-2</v>
      </c>
      <c r="G144" s="299">
        <v>1.6</v>
      </c>
      <c r="H144" s="415">
        <f t="shared" si="40"/>
        <v>5.9200000000000003E-2</v>
      </c>
      <c r="J144" s="512">
        <v>6</v>
      </c>
      <c r="K144" s="516" t="s">
        <v>627</v>
      </c>
      <c r="L144" s="508" t="str">
        <f>IFERROR(VLOOKUP(K144,坦克个性化设定!$B$18:$E$48,4,FALSE)&amp;VLOOKUP(K144,坦克个性化细分!$I$3:$J$33,2,FALSE),"")</f>
        <v>T3低</v>
      </c>
      <c r="M144" s="295" t="s">
        <v>918</v>
      </c>
      <c r="N144" s="508">
        <f t="shared" si="41"/>
        <v>3.6999999999999998E-2</v>
      </c>
      <c r="O144" s="299">
        <v>1.8</v>
      </c>
      <c r="P144" s="508">
        <f t="shared" si="42"/>
        <v>6.6599999999999993E-2</v>
      </c>
      <c r="R144" s="512">
        <v>8</v>
      </c>
      <c r="S144" s="516" t="s">
        <v>718</v>
      </c>
      <c r="T144" s="508" t="str">
        <f>IFERROR(VLOOKUP(S144,坦克个性化设定!$B$18:$E$48,4,FALSE)&amp;VLOOKUP(S144,坦克个性化细分!$I$3:$J$33,2,FALSE),"")</f>
        <v>T3中</v>
      </c>
      <c r="U144" s="512" t="s">
        <v>1211</v>
      </c>
      <c r="V144" s="508">
        <f t="shared" si="43"/>
        <v>7.2999999999999995E-2</v>
      </c>
      <c r="W144" s="299">
        <v>1.4</v>
      </c>
      <c r="X144" s="508">
        <f t="shared" si="44"/>
        <v>0.10219999999999999</v>
      </c>
    </row>
    <row r="145" spans="2:25" x14ac:dyDescent="0.35">
      <c r="B145" s="416">
        <v>6</v>
      </c>
      <c r="C145" s="516" t="s">
        <v>628</v>
      </c>
      <c r="D145" s="508" t="str">
        <f>IFERROR(VLOOKUP(C145,坦克个性化设定!$B$18:$E$48,4,FALSE)&amp;VLOOKUP(C145,坦克个性化细分!$I$3:$J$33,2,FALSE),"")</f>
        <v>T3低</v>
      </c>
      <c r="E145" s="295" t="s">
        <v>918</v>
      </c>
      <c r="F145" s="508">
        <f t="shared" si="39"/>
        <v>3.6999999999999998E-2</v>
      </c>
      <c r="G145" s="299">
        <v>1.6</v>
      </c>
      <c r="H145" s="415">
        <f t="shared" si="40"/>
        <v>5.9200000000000003E-2</v>
      </c>
      <c r="J145" s="512">
        <v>6</v>
      </c>
      <c r="K145" s="516" t="s">
        <v>628</v>
      </c>
      <c r="L145" s="508" t="str">
        <f>IFERROR(VLOOKUP(K145,坦克个性化设定!$B$18:$E$48,4,FALSE)&amp;VLOOKUP(K145,坦克个性化细分!$I$3:$J$33,2,FALSE),"")</f>
        <v>T3低</v>
      </c>
      <c r="M145" s="295" t="s">
        <v>918</v>
      </c>
      <c r="N145" s="508">
        <f t="shared" si="41"/>
        <v>3.6999999999999998E-2</v>
      </c>
      <c r="O145" s="299">
        <v>1.8</v>
      </c>
      <c r="P145" s="508">
        <f t="shared" si="42"/>
        <v>6.6599999999999993E-2</v>
      </c>
      <c r="R145" s="512">
        <v>8</v>
      </c>
      <c r="S145" s="516" t="s">
        <v>632</v>
      </c>
      <c r="T145" s="508" t="str">
        <f>IFERROR(VLOOKUP(S145,坦克个性化设定!$B$18:$E$48,4,FALSE)&amp;VLOOKUP(S145,坦克个性化细分!$I$3:$J$33,2,FALSE),"")</f>
        <v>T3中</v>
      </c>
      <c r="U145" s="512" t="s">
        <v>1211</v>
      </c>
      <c r="V145" s="508">
        <f t="shared" si="43"/>
        <v>7.2999999999999995E-2</v>
      </c>
      <c r="W145" s="299">
        <v>1.4</v>
      </c>
      <c r="X145" s="508">
        <f t="shared" si="44"/>
        <v>0.10219999999999999</v>
      </c>
    </row>
    <row r="146" spans="2:25" x14ac:dyDescent="0.35">
      <c r="B146" s="512">
        <v>6</v>
      </c>
      <c r="C146" s="516" t="s">
        <v>616</v>
      </c>
      <c r="D146" s="508" t="str">
        <f>IFERROR(VLOOKUP(C146,坦克个性化设定!$B$18:$E$48,4,FALSE)&amp;VLOOKUP(C146,坦克个性化细分!$I$3:$J$33,2,FALSE),"")</f>
        <v>T2低</v>
      </c>
      <c r="E146" s="512" t="s">
        <v>1211</v>
      </c>
      <c r="F146" s="508">
        <f t="shared" si="39"/>
        <v>3.6999999999999998E-2</v>
      </c>
      <c r="G146" s="299">
        <v>1.4</v>
      </c>
      <c r="H146" s="508">
        <f t="shared" ref="H146:H152" si="45">F146*G146</f>
        <v>5.1799999999999992E-2</v>
      </c>
      <c r="J146" s="512">
        <v>6</v>
      </c>
      <c r="K146" s="516" t="s">
        <v>619</v>
      </c>
      <c r="L146" s="508" t="str">
        <f>IFERROR(VLOOKUP(K146,坦克个性化设定!$B$18:$E$48,4,FALSE)&amp;VLOOKUP(K146,坦克个性化细分!$I$3:$J$33,2,FALSE),"")</f>
        <v>T3中</v>
      </c>
      <c r="M146" s="295" t="s">
        <v>918</v>
      </c>
      <c r="N146" s="508">
        <f t="shared" si="41"/>
        <v>3.6999999999999998E-2</v>
      </c>
      <c r="O146" s="299">
        <v>1.8</v>
      </c>
      <c r="P146" s="508">
        <f t="shared" si="42"/>
        <v>6.6599999999999993E-2</v>
      </c>
      <c r="R146" s="512">
        <v>8</v>
      </c>
      <c r="S146" s="516" t="s">
        <v>620</v>
      </c>
      <c r="T146" s="508" t="str">
        <f>IFERROR(VLOOKUP(S146,坦克个性化设定!$B$18:$E$48,4,FALSE)&amp;VLOOKUP(S146,坦克个性化细分!$I$3:$J$33,2,FALSE),"")</f>
        <v>T4低</v>
      </c>
      <c r="U146" s="512" t="s">
        <v>1211</v>
      </c>
      <c r="V146" s="508">
        <f t="shared" si="43"/>
        <v>7.2999999999999995E-2</v>
      </c>
      <c r="W146" s="299">
        <v>0.96</v>
      </c>
      <c r="X146" s="508">
        <f t="shared" si="44"/>
        <v>7.007999999999999E-2</v>
      </c>
    </row>
    <row r="147" spans="2:25" x14ac:dyDescent="0.35">
      <c r="B147" s="512">
        <v>6</v>
      </c>
      <c r="C147" s="516" t="s">
        <v>624</v>
      </c>
      <c r="D147" s="508" t="str">
        <f>IFERROR(VLOOKUP(C147,坦克个性化设定!$B$18:$E$48,4,FALSE)&amp;VLOOKUP(C147,坦克个性化细分!$I$3:$J$33,2,FALSE),"")</f>
        <v>T2低</v>
      </c>
      <c r="E147" s="512" t="s">
        <v>1211</v>
      </c>
      <c r="F147" s="508">
        <f t="shared" si="39"/>
        <v>3.6999999999999998E-2</v>
      </c>
      <c r="G147" s="299">
        <v>1.4</v>
      </c>
      <c r="H147" s="508">
        <f t="shared" si="45"/>
        <v>5.1799999999999992E-2</v>
      </c>
      <c r="J147" s="512">
        <v>6</v>
      </c>
      <c r="K147" s="516" t="s">
        <v>718</v>
      </c>
      <c r="L147" s="508" t="str">
        <f>IFERROR(VLOOKUP(K147,坦克个性化设定!$B$18:$E$48,4,FALSE)&amp;VLOOKUP(K147,坦克个性化细分!$I$3:$J$33,2,FALSE),"")</f>
        <v>T3中</v>
      </c>
      <c r="M147" s="295" t="s">
        <v>918</v>
      </c>
      <c r="N147" s="508">
        <f t="shared" si="41"/>
        <v>3.6999999999999998E-2</v>
      </c>
      <c r="O147" s="299">
        <v>1.8</v>
      </c>
      <c r="P147" s="508">
        <f t="shared" si="42"/>
        <v>6.6599999999999993E-2</v>
      </c>
      <c r="R147" s="512">
        <v>8</v>
      </c>
      <c r="S147" s="516" t="s">
        <v>719</v>
      </c>
      <c r="T147" s="508" t="str">
        <f>IFERROR(VLOOKUP(S147,坦克个性化设定!$B$18:$E$48,4,FALSE)&amp;VLOOKUP(S147,坦克个性化细分!$I$3:$J$33,2,FALSE),"")</f>
        <v>T4低</v>
      </c>
      <c r="U147" s="512" t="s">
        <v>1211</v>
      </c>
      <c r="V147" s="508">
        <f t="shared" si="43"/>
        <v>7.2999999999999995E-2</v>
      </c>
      <c r="W147" s="299">
        <v>0.96</v>
      </c>
      <c r="X147" s="508">
        <f t="shared" si="44"/>
        <v>7.007999999999999E-2</v>
      </c>
    </row>
    <row r="148" spans="2:25" x14ac:dyDescent="0.35">
      <c r="B148" s="512">
        <v>6</v>
      </c>
      <c r="C148" s="516" t="s">
        <v>630</v>
      </c>
      <c r="D148" s="508" t="str">
        <f>IFERROR(VLOOKUP(C148,坦克个性化设定!$B$18:$E$48,4,FALSE)&amp;VLOOKUP(C148,坦克个性化细分!$I$3:$J$33,2,FALSE),"")</f>
        <v>T2低</v>
      </c>
      <c r="E148" s="512" t="s">
        <v>1211</v>
      </c>
      <c r="F148" s="508">
        <f t="shared" si="39"/>
        <v>3.6999999999999998E-2</v>
      </c>
      <c r="G148" s="299">
        <v>1.4</v>
      </c>
      <c r="H148" s="508">
        <f t="shared" si="45"/>
        <v>5.1799999999999992E-2</v>
      </c>
      <c r="J148" s="512">
        <v>6</v>
      </c>
      <c r="K148" s="516" t="s">
        <v>632</v>
      </c>
      <c r="L148" s="508" t="str">
        <f>IFERROR(VLOOKUP(K148,坦克个性化设定!$B$18:$E$48,4,FALSE)&amp;VLOOKUP(K148,坦克个性化细分!$I$3:$J$33,2,FALSE),"")</f>
        <v>T3中</v>
      </c>
      <c r="M148" s="295" t="s">
        <v>918</v>
      </c>
      <c r="N148" s="508">
        <f t="shared" si="41"/>
        <v>3.6999999999999998E-2</v>
      </c>
      <c r="O148" s="299">
        <v>1.8</v>
      </c>
      <c r="P148" s="508">
        <f t="shared" si="42"/>
        <v>6.6599999999999993E-2</v>
      </c>
      <c r="R148" s="512">
        <v>8</v>
      </c>
      <c r="S148" s="516" t="s">
        <v>635</v>
      </c>
      <c r="T148" s="508" t="str">
        <f>IFERROR(VLOOKUP(S148,坦克个性化设定!$B$18:$E$48,4,FALSE)&amp;VLOOKUP(S148,坦克个性化细分!$I$3:$J$33,2,FALSE),"")</f>
        <v>T4低</v>
      </c>
      <c r="U148" s="512" t="s">
        <v>1211</v>
      </c>
      <c r="V148" s="508">
        <f t="shared" si="43"/>
        <v>7.2999999999999995E-2</v>
      </c>
      <c r="W148" s="299">
        <v>0.96</v>
      </c>
      <c r="X148" s="508">
        <f t="shared" si="44"/>
        <v>7.007999999999999E-2</v>
      </c>
    </row>
    <row r="149" spans="2:25" x14ac:dyDescent="0.35">
      <c r="B149" s="512">
        <v>6</v>
      </c>
      <c r="C149" s="516" t="s">
        <v>617</v>
      </c>
      <c r="D149" s="508" t="str">
        <f>IFERROR(VLOOKUP(C149,坦克个性化设定!$B$18:$E$48,4,FALSE)&amp;VLOOKUP(C149,坦克个性化细分!$I$3:$J$33,2,FALSE),"")</f>
        <v>T2中</v>
      </c>
      <c r="E149" s="512" t="s">
        <v>1211</v>
      </c>
      <c r="F149" s="508">
        <f t="shared" si="39"/>
        <v>3.6999999999999998E-2</v>
      </c>
      <c r="G149" s="299">
        <v>1</v>
      </c>
      <c r="H149" s="508">
        <f t="shared" si="45"/>
        <v>3.6999999999999998E-2</v>
      </c>
      <c r="J149" s="512">
        <v>6</v>
      </c>
      <c r="K149" s="516" t="s">
        <v>618</v>
      </c>
      <c r="L149" s="508" t="str">
        <f>IFERROR(VLOOKUP(K149,坦克个性化设定!$B$18:$E$48,4,FALSE)&amp;VLOOKUP(K149,坦克个性化细分!$I$3:$J$33,2,FALSE),"")</f>
        <v>T3低</v>
      </c>
      <c r="M149" s="512" t="s">
        <v>1211</v>
      </c>
      <c r="N149" s="508">
        <f t="shared" si="41"/>
        <v>3.6999999999999998E-2</v>
      </c>
      <c r="O149" s="299">
        <v>0.9</v>
      </c>
      <c r="P149" s="508">
        <f t="shared" si="42"/>
        <v>3.3299999999999996E-2</v>
      </c>
      <c r="R149" s="512">
        <v>8</v>
      </c>
      <c r="S149" s="516" t="s">
        <v>717</v>
      </c>
      <c r="T149" s="508" t="str">
        <f>IFERROR(VLOOKUP(S149,坦克个性化设定!$B$18:$E$48,4,FALSE)&amp;VLOOKUP(S149,坦克个性化细分!$I$3:$J$33,2,FALSE),"")</f>
        <v>T4中</v>
      </c>
      <c r="U149" s="512" t="s">
        <v>1211</v>
      </c>
      <c r="V149" s="508">
        <f t="shared" si="43"/>
        <v>7.2999999999999995E-2</v>
      </c>
      <c r="W149" s="299">
        <v>0.96</v>
      </c>
      <c r="X149" s="508">
        <f t="shared" si="44"/>
        <v>7.007999999999999E-2</v>
      </c>
    </row>
    <row r="150" spans="2:25" x14ac:dyDescent="0.35">
      <c r="B150" s="512">
        <v>6</v>
      </c>
      <c r="C150" s="516" t="s">
        <v>626</v>
      </c>
      <c r="D150" s="508" t="str">
        <f>IFERROR(VLOOKUP(C150,坦克个性化设定!$B$18:$E$48,4,FALSE)&amp;VLOOKUP(C150,坦克个性化细分!$I$3:$J$33,2,FALSE),"")</f>
        <v>T2中</v>
      </c>
      <c r="E150" s="512" t="s">
        <v>1211</v>
      </c>
      <c r="F150" s="508">
        <f t="shared" si="39"/>
        <v>3.6999999999999998E-2</v>
      </c>
      <c r="G150" s="299">
        <v>1</v>
      </c>
      <c r="H150" s="508">
        <f t="shared" si="45"/>
        <v>3.6999999999999998E-2</v>
      </c>
      <c r="J150" s="512">
        <v>6</v>
      </c>
      <c r="K150" s="516" t="s">
        <v>627</v>
      </c>
      <c r="L150" s="508" t="str">
        <f>IFERROR(VLOOKUP(K150,坦克个性化设定!$B$18:$E$48,4,FALSE)&amp;VLOOKUP(K150,坦克个性化细分!$I$3:$J$33,2,FALSE),"")</f>
        <v>T3低</v>
      </c>
      <c r="M150" s="512" t="s">
        <v>1211</v>
      </c>
      <c r="N150" s="508">
        <f t="shared" si="41"/>
        <v>3.6999999999999998E-2</v>
      </c>
      <c r="O150" s="299">
        <v>0.9</v>
      </c>
      <c r="P150" s="508">
        <f t="shared" si="42"/>
        <v>3.3299999999999996E-2</v>
      </c>
      <c r="R150" s="512">
        <v>8</v>
      </c>
      <c r="S150" s="516" t="s">
        <v>621</v>
      </c>
      <c r="T150" s="508" t="str">
        <f>IFERROR(VLOOKUP(S150,坦克个性化设定!$B$18:$E$48,4,FALSE)&amp;VLOOKUP(S150,坦克个性化细分!$I$3:$J$33,2,FALSE),"")</f>
        <v>T4高</v>
      </c>
      <c r="U150" s="512" t="s">
        <v>1211</v>
      </c>
      <c r="V150" s="508">
        <f t="shared" si="43"/>
        <v>7.2999999999999995E-2</v>
      </c>
      <c r="W150" s="299">
        <v>0.96</v>
      </c>
      <c r="X150" s="508">
        <f t="shared" si="44"/>
        <v>7.007999999999999E-2</v>
      </c>
    </row>
    <row r="151" spans="2:25" x14ac:dyDescent="0.35">
      <c r="B151" s="512">
        <v>6</v>
      </c>
      <c r="C151" s="516" t="s">
        <v>631</v>
      </c>
      <c r="D151" s="508" t="str">
        <f>IFERROR(VLOOKUP(C151,坦克个性化设定!$B$18:$E$48,4,FALSE)&amp;VLOOKUP(C151,坦克个性化细分!$I$3:$J$33,2,FALSE),"")</f>
        <v>T2中</v>
      </c>
      <c r="E151" s="512" t="s">
        <v>1211</v>
      </c>
      <c r="F151" s="508">
        <f t="shared" si="39"/>
        <v>3.6999999999999998E-2</v>
      </c>
      <c r="G151" s="299">
        <v>1</v>
      </c>
      <c r="H151" s="508">
        <f t="shared" si="45"/>
        <v>3.6999999999999998E-2</v>
      </c>
      <c r="J151" s="512">
        <v>6</v>
      </c>
      <c r="K151" s="516" t="s">
        <v>628</v>
      </c>
      <c r="L151" s="508" t="str">
        <f>IFERROR(VLOOKUP(K151,坦克个性化设定!$B$18:$E$48,4,FALSE)&amp;VLOOKUP(K151,坦克个性化细分!$I$3:$J$33,2,FALSE),"")</f>
        <v>T3低</v>
      </c>
      <c r="M151" s="512" t="s">
        <v>1211</v>
      </c>
      <c r="N151" s="508">
        <f t="shared" si="41"/>
        <v>3.6999999999999998E-2</v>
      </c>
      <c r="O151" s="299">
        <v>0.9</v>
      </c>
      <c r="P151" s="508">
        <f t="shared" si="42"/>
        <v>3.3299999999999996E-2</v>
      </c>
      <c r="R151" s="274"/>
      <c r="S151" s="274"/>
      <c r="U151" s="274"/>
    </row>
    <row r="152" spans="2:25" x14ac:dyDescent="0.35">
      <c r="B152" s="512">
        <v>6</v>
      </c>
      <c r="C152" s="516" t="s">
        <v>618</v>
      </c>
      <c r="D152" s="508" t="str">
        <f>IFERROR(VLOOKUP(C152,坦克个性化设定!$B$18:$E$48,4,FALSE)&amp;VLOOKUP(C152,坦克个性化细分!$I$3:$J$33,2,FALSE),"")</f>
        <v>T3低</v>
      </c>
      <c r="E152" s="512" t="s">
        <v>1211</v>
      </c>
      <c r="F152" s="508">
        <f t="shared" si="39"/>
        <v>3.6999999999999998E-2</v>
      </c>
      <c r="G152" s="299">
        <v>1</v>
      </c>
      <c r="H152" s="508">
        <f t="shared" si="45"/>
        <v>3.6999999999999998E-2</v>
      </c>
      <c r="J152" s="512">
        <v>6</v>
      </c>
      <c r="K152" s="516" t="s">
        <v>619</v>
      </c>
      <c r="L152" s="508" t="str">
        <f>IFERROR(VLOOKUP(K152,坦克个性化设定!$B$18:$E$48,4,FALSE)&amp;VLOOKUP(K152,坦克个性化细分!$I$3:$J$33,2,FALSE),"")</f>
        <v>T3中</v>
      </c>
      <c r="M152" s="512" t="s">
        <v>1211</v>
      </c>
      <c r="N152" s="508">
        <f t="shared" si="41"/>
        <v>3.6999999999999998E-2</v>
      </c>
      <c r="O152" s="299">
        <v>0.9</v>
      </c>
      <c r="P152" s="508">
        <f t="shared" si="42"/>
        <v>3.3299999999999996E-2</v>
      </c>
      <c r="R152" s="274"/>
      <c r="S152" s="274"/>
      <c r="U152" s="274"/>
    </row>
    <row r="153" spans="2:25" x14ac:dyDescent="0.35">
      <c r="B153" s="416">
        <v>6</v>
      </c>
      <c r="C153" s="516" t="s">
        <v>627</v>
      </c>
      <c r="D153" s="508" t="str">
        <f>IFERROR(VLOOKUP(C153,坦克个性化设定!$B$18:$E$48,4,FALSE)&amp;VLOOKUP(C153,坦克个性化细分!$I$3:$J$33,2,FALSE),"")</f>
        <v>T3低</v>
      </c>
      <c r="E153" s="512" t="s">
        <v>1211</v>
      </c>
      <c r="F153" s="508">
        <f t="shared" si="39"/>
        <v>3.6999999999999998E-2</v>
      </c>
      <c r="G153" s="299">
        <v>1</v>
      </c>
      <c r="H153" s="415">
        <f t="shared" si="40"/>
        <v>3.6999999999999998E-2</v>
      </c>
      <c r="J153" s="512">
        <v>6</v>
      </c>
      <c r="K153" s="516" t="s">
        <v>718</v>
      </c>
      <c r="L153" s="508" t="str">
        <f>IFERROR(VLOOKUP(K153,坦克个性化设定!$B$18:$E$48,4,FALSE)&amp;VLOOKUP(K153,坦克个性化细分!$I$3:$J$33,2,FALSE),"")</f>
        <v>T3中</v>
      </c>
      <c r="M153" s="512" t="s">
        <v>1211</v>
      </c>
      <c r="N153" s="508">
        <f t="shared" si="41"/>
        <v>3.6999999999999998E-2</v>
      </c>
      <c r="O153" s="299">
        <v>0.9</v>
      </c>
      <c r="P153" s="508">
        <f t="shared" si="42"/>
        <v>3.3299999999999996E-2</v>
      </c>
      <c r="R153" s="512" t="s">
        <v>597</v>
      </c>
      <c r="S153" s="512" t="s">
        <v>1225</v>
      </c>
      <c r="T153" s="419" t="s">
        <v>792</v>
      </c>
      <c r="U153" s="513" t="s">
        <v>917</v>
      </c>
      <c r="V153" s="422" t="s">
        <v>2011</v>
      </c>
      <c r="W153" s="422" t="s">
        <v>747</v>
      </c>
      <c r="X153" s="422" t="s">
        <v>2013</v>
      </c>
      <c r="Y153" s="158">
        <f>SUM(X154:X160)</f>
        <v>0.51100000000000001</v>
      </c>
    </row>
    <row r="154" spans="2:25" x14ac:dyDescent="0.35">
      <c r="B154" s="416">
        <v>6</v>
      </c>
      <c r="C154" s="516" t="s">
        <v>628</v>
      </c>
      <c r="D154" s="508" t="str">
        <f>IFERROR(VLOOKUP(C154,坦克个性化设定!$B$18:$E$48,4,FALSE)&amp;VLOOKUP(C154,坦克个性化细分!$I$3:$J$33,2,FALSE),"")</f>
        <v>T3低</v>
      </c>
      <c r="E154" s="512" t="s">
        <v>1211</v>
      </c>
      <c r="F154" s="508">
        <f t="shared" si="39"/>
        <v>3.6999999999999998E-2</v>
      </c>
      <c r="G154" s="299">
        <v>1</v>
      </c>
      <c r="H154" s="415">
        <f t="shared" si="40"/>
        <v>3.6999999999999998E-2</v>
      </c>
      <c r="J154" s="512">
        <v>6</v>
      </c>
      <c r="K154" s="516" t="s">
        <v>632</v>
      </c>
      <c r="L154" s="508" t="str">
        <f>IFERROR(VLOOKUP(K154,坦克个性化设定!$B$18:$E$48,4,FALSE)&amp;VLOOKUP(K154,坦克个性化细分!$I$3:$J$33,2,FALSE),"")</f>
        <v>T3中</v>
      </c>
      <c r="M154" s="512" t="s">
        <v>1211</v>
      </c>
      <c r="N154" s="508">
        <f t="shared" si="41"/>
        <v>3.6999999999999998E-2</v>
      </c>
      <c r="O154" s="299">
        <v>0.9</v>
      </c>
      <c r="P154" s="508">
        <f t="shared" si="42"/>
        <v>3.3299999999999996E-2</v>
      </c>
      <c r="R154" s="512">
        <v>9</v>
      </c>
      <c r="S154" s="516" t="s">
        <v>620</v>
      </c>
      <c r="T154" s="508" t="str">
        <f>IFERROR(VLOOKUP(S154,坦克个性化设定!$B$18:$E$48,4,FALSE)&amp;VLOOKUP(S154,坦克个性化细分!$I$3:$J$33,2,FALSE),"")</f>
        <v>T4低</v>
      </c>
      <c r="U154" s="512" t="s">
        <v>1211</v>
      </c>
      <c r="V154" s="508">
        <f t="shared" ref="V154:V160" si="46">$E$70</f>
        <v>7.2999999999999995E-2</v>
      </c>
      <c r="W154" s="299">
        <v>1</v>
      </c>
      <c r="X154" s="508">
        <f t="shared" ref="X154:X160" si="47">V154*W154</f>
        <v>7.2999999999999995E-2</v>
      </c>
    </row>
    <row r="155" spans="2:25" x14ac:dyDescent="0.35">
      <c r="B155" s="416">
        <v>6</v>
      </c>
      <c r="C155" s="516" t="s">
        <v>619</v>
      </c>
      <c r="D155" s="508" t="str">
        <f>IFERROR(VLOOKUP(C155,坦克个性化设定!$B$18:$E$48,4,FALSE)&amp;VLOOKUP(C155,坦克个性化细分!$I$3:$J$33,2,FALSE),"")</f>
        <v>T3中</v>
      </c>
      <c r="E155" s="512" t="s">
        <v>1211</v>
      </c>
      <c r="F155" s="508">
        <f t="shared" si="39"/>
        <v>3.6999999999999998E-2</v>
      </c>
      <c r="G155" s="299">
        <v>1</v>
      </c>
      <c r="H155" s="415">
        <f t="shared" si="40"/>
        <v>3.6999999999999998E-2</v>
      </c>
      <c r="J155" s="274"/>
      <c r="K155" s="274"/>
      <c r="M155" s="274"/>
      <c r="R155" s="512">
        <v>9</v>
      </c>
      <c r="S155" s="516" t="s">
        <v>719</v>
      </c>
      <c r="T155" s="508" t="str">
        <f>IFERROR(VLOOKUP(S155,坦克个性化设定!$B$18:$E$48,4,FALSE)&amp;VLOOKUP(S155,坦克个性化细分!$I$3:$J$33,2,FALSE),"")</f>
        <v>T4低</v>
      </c>
      <c r="U155" s="512" t="s">
        <v>1211</v>
      </c>
      <c r="V155" s="508">
        <f t="shared" si="46"/>
        <v>7.2999999999999995E-2</v>
      </c>
      <c r="W155" s="299">
        <v>1</v>
      </c>
      <c r="X155" s="508">
        <f t="shared" si="47"/>
        <v>7.2999999999999995E-2</v>
      </c>
    </row>
    <row r="156" spans="2:25" x14ac:dyDescent="0.35">
      <c r="B156" s="416">
        <v>6</v>
      </c>
      <c r="C156" s="516" t="s">
        <v>718</v>
      </c>
      <c r="D156" s="508" t="str">
        <f>IFERROR(VLOOKUP(C156,坦克个性化设定!$B$18:$E$48,4,FALSE)&amp;VLOOKUP(C156,坦克个性化细分!$I$3:$J$33,2,FALSE),"")</f>
        <v>T3中</v>
      </c>
      <c r="E156" s="512" t="s">
        <v>1211</v>
      </c>
      <c r="F156" s="508">
        <f t="shared" si="39"/>
        <v>3.6999999999999998E-2</v>
      </c>
      <c r="G156" s="299">
        <v>1</v>
      </c>
      <c r="H156" s="415">
        <f t="shared" si="40"/>
        <v>3.6999999999999998E-2</v>
      </c>
      <c r="J156" s="274"/>
      <c r="K156" s="274"/>
      <c r="M156" s="274"/>
      <c r="R156" s="512">
        <v>9</v>
      </c>
      <c r="S156" s="516" t="s">
        <v>635</v>
      </c>
      <c r="T156" s="508" t="str">
        <f>IFERROR(VLOOKUP(S156,坦克个性化设定!$B$18:$E$48,4,FALSE)&amp;VLOOKUP(S156,坦克个性化细分!$I$3:$J$33,2,FALSE),"")</f>
        <v>T4低</v>
      </c>
      <c r="U156" s="512" t="s">
        <v>1211</v>
      </c>
      <c r="V156" s="508">
        <f t="shared" si="46"/>
        <v>7.2999999999999995E-2</v>
      </c>
      <c r="W156" s="299">
        <v>1</v>
      </c>
      <c r="X156" s="508">
        <f t="shared" si="47"/>
        <v>7.2999999999999995E-2</v>
      </c>
    </row>
    <row r="157" spans="2:25" x14ac:dyDescent="0.35">
      <c r="B157" s="416">
        <v>6</v>
      </c>
      <c r="C157" s="516" t="s">
        <v>632</v>
      </c>
      <c r="D157" s="508" t="str">
        <f>IFERROR(VLOOKUP(C157,坦克个性化设定!$B$18:$E$48,4,FALSE)&amp;VLOOKUP(C157,坦克个性化细分!$I$3:$J$33,2,FALSE),"")</f>
        <v>T3中</v>
      </c>
      <c r="E157" s="512" t="s">
        <v>1211</v>
      </c>
      <c r="F157" s="508">
        <f t="shared" si="39"/>
        <v>3.6999999999999998E-2</v>
      </c>
      <c r="G157" s="299">
        <v>1</v>
      </c>
      <c r="H157" s="415">
        <f t="shared" si="40"/>
        <v>3.6999999999999998E-2</v>
      </c>
      <c r="J157" s="512" t="s">
        <v>597</v>
      </c>
      <c r="K157" s="512" t="s">
        <v>1225</v>
      </c>
      <c r="L157" s="419" t="s">
        <v>792</v>
      </c>
      <c r="M157" s="513" t="s">
        <v>917</v>
      </c>
      <c r="N157" s="422" t="s">
        <v>2011</v>
      </c>
      <c r="O157" s="422" t="s">
        <v>747</v>
      </c>
      <c r="P157" s="422" t="s">
        <v>2013</v>
      </c>
      <c r="Q157" s="158">
        <f>SUM(P158:P169)</f>
        <v>0.66600000000000015</v>
      </c>
      <c r="R157" s="512">
        <v>9</v>
      </c>
      <c r="S157" s="516" t="s">
        <v>717</v>
      </c>
      <c r="T157" s="508" t="str">
        <f>IFERROR(VLOOKUP(S157,坦克个性化设定!$B$18:$E$48,4,FALSE)&amp;VLOOKUP(S157,坦克个性化细分!$I$3:$J$33,2,FALSE),"")</f>
        <v>T4中</v>
      </c>
      <c r="U157" s="512" t="s">
        <v>1211</v>
      </c>
      <c r="V157" s="508">
        <f t="shared" si="46"/>
        <v>7.2999999999999995E-2</v>
      </c>
      <c r="W157" s="299">
        <v>1</v>
      </c>
      <c r="X157" s="508">
        <f t="shared" si="47"/>
        <v>7.2999999999999995E-2</v>
      </c>
    </row>
    <row r="158" spans="2:25" x14ac:dyDescent="0.35">
      <c r="B158" s="274"/>
      <c r="C158" s="274"/>
      <c r="E158" s="274"/>
      <c r="J158" s="512">
        <v>7</v>
      </c>
      <c r="K158" s="516" t="s">
        <v>618</v>
      </c>
      <c r="L158" s="508" t="str">
        <f>IFERROR(VLOOKUP(K158,坦克个性化设定!$B$18:$E$48,4,FALSE)&amp;VLOOKUP(K158,坦克个性化细分!$I$3:$J$33,2,FALSE),"")</f>
        <v>T3低</v>
      </c>
      <c r="M158" s="295" t="s">
        <v>918</v>
      </c>
      <c r="N158" s="508">
        <f t="shared" ref="N158:N169" si="48">$E$69</f>
        <v>3.6999999999999998E-2</v>
      </c>
      <c r="O158" s="299">
        <v>2</v>
      </c>
      <c r="P158" s="508">
        <f t="shared" ref="P158:P169" si="49">N158*O158</f>
        <v>7.3999999999999996E-2</v>
      </c>
      <c r="R158" s="512">
        <v>9</v>
      </c>
      <c r="S158" s="516" t="s">
        <v>720</v>
      </c>
      <c r="T158" s="508" t="str">
        <f>IFERROR(VLOOKUP(S158,坦克个性化设定!$B$18:$E$48,4,FALSE)&amp;VLOOKUP(S158,坦克个性化细分!$I$3:$J$33,2,FALSE),"")</f>
        <v>T4中</v>
      </c>
      <c r="U158" s="512" t="s">
        <v>1211</v>
      </c>
      <c r="V158" s="508">
        <f t="shared" si="46"/>
        <v>7.2999999999999995E-2</v>
      </c>
      <c r="W158" s="299">
        <v>1</v>
      </c>
      <c r="X158" s="508">
        <f t="shared" si="47"/>
        <v>7.2999999999999995E-2</v>
      </c>
    </row>
    <row r="159" spans="2:25" x14ac:dyDescent="0.35">
      <c r="B159" s="274"/>
      <c r="C159" s="274"/>
      <c r="E159" s="274"/>
      <c r="J159" s="512">
        <v>7</v>
      </c>
      <c r="K159" s="516" t="s">
        <v>627</v>
      </c>
      <c r="L159" s="508" t="str">
        <f>IFERROR(VLOOKUP(K159,坦克个性化设定!$B$18:$E$48,4,FALSE)&amp;VLOOKUP(K159,坦克个性化细分!$I$3:$J$33,2,FALSE),"")</f>
        <v>T3低</v>
      </c>
      <c r="M159" s="295" t="s">
        <v>918</v>
      </c>
      <c r="N159" s="508">
        <f t="shared" si="48"/>
        <v>3.6999999999999998E-2</v>
      </c>
      <c r="O159" s="299">
        <v>2</v>
      </c>
      <c r="P159" s="508">
        <f t="shared" si="49"/>
        <v>7.3999999999999996E-2</v>
      </c>
      <c r="R159" s="512">
        <v>9</v>
      </c>
      <c r="S159" s="516" t="s">
        <v>621</v>
      </c>
      <c r="T159" s="508" t="str">
        <f>IFERROR(VLOOKUP(S159,坦克个性化设定!$B$18:$E$48,4,FALSE)&amp;VLOOKUP(S159,坦克个性化细分!$I$3:$J$33,2,FALSE),"")</f>
        <v>T4高</v>
      </c>
      <c r="U159" s="512" t="s">
        <v>1211</v>
      </c>
      <c r="V159" s="508">
        <f t="shared" si="46"/>
        <v>7.2999999999999995E-2</v>
      </c>
      <c r="W159" s="299">
        <v>1</v>
      </c>
      <c r="X159" s="508">
        <f t="shared" si="47"/>
        <v>7.2999999999999995E-2</v>
      </c>
    </row>
    <row r="160" spans="2:25" x14ac:dyDescent="0.35">
      <c r="B160" s="416" t="s">
        <v>814</v>
      </c>
      <c r="C160" s="416" t="s">
        <v>1225</v>
      </c>
      <c r="D160" s="419" t="s">
        <v>2006</v>
      </c>
      <c r="E160" s="417" t="s">
        <v>917</v>
      </c>
      <c r="F160" s="422" t="s">
        <v>2011</v>
      </c>
      <c r="G160" s="422" t="s">
        <v>2012</v>
      </c>
      <c r="H160" s="422" t="s">
        <v>2013</v>
      </c>
      <c r="I160" s="158">
        <f>SUM(H161:H175)</f>
        <v>0.66600000000000004</v>
      </c>
      <c r="J160" s="512">
        <v>7</v>
      </c>
      <c r="K160" s="516" t="s">
        <v>628</v>
      </c>
      <c r="L160" s="508" t="str">
        <f>IFERROR(VLOOKUP(K160,坦克个性化设定!$B$18:$E$48,4,FALSE)&amp;VLOOKUP(K160,坦克个性化细分!$I$3:$J$33,2,FALSE),"")</f>
        <v>T3低</v>
      </c>
      <c r="M160" s="295" t="s">
        <v>918</v>
      </c>
      <c r="N160" s="508">
        <f t="shared" si="48"/>
        <v>3.6999999999999998E-2</v>
      </c>
      <c r="O160" s="299">
        <v>2</v>
      </c>
      <c r="P160" s="508">
        <f t="shared" si="49"/>
        <v>7.3999999999999996E-2</v>
      </c>
      <c r="R160" s="512">
        <v>9</v>
      </c>
      <c r="S160" s="516" t="s">
        <v>634</v>
      </c>
      <c r="T160" s="508" t="str">
        <f>IFERROR(VLOOKUP(S160,坦克个性化设定!$B$18:$E$48,4,FALSE)&amp;VLOOKUP(S160,坦克个性化细分!$I$3:$J$33,2,FALSE),"")</f>
        <v>T4高</v>
      </c>
      <c r="U160" s="512" t="s">
        <v>1211</v>
      </c>
      <c r="V160" s="508">
        <f t="shared" si="46"/>
        <v>7.2999999999999995E-2</v>
      </c>
      <c r="W160" s="299">
        <v>1</v>
      </c>
      <c r="X160" s="508">
        <f t="shared" si="47"/>
        <v>7.2999999999999995E-2</v>
      </c>
    </row>
    <row r="161" spans="2:25" x14ac:dyDescent="0.35">
      <c r="B161" s="416">
        <v>7</v>
      </c>
      <c r="C161" s="418" t="s">
        <v>618</v>
      </c>
      <c r="D161" s="415" t="str">
        <f>IFERROR(VLOOKUP(C161,坦克个性化设定!$B$18:$E$48,4,FALSE)&amp;VLOOKUP(C161,坦克个性化细分!$I$3:$J$33,2,FALSE),"")</f>
        <v>T3低</v>
      </c>
      <c r="E161" s="295" t="s">
        <v>918</v>
      </c>
      <c r="F161" s="508">
        <f t="shared" ref="F161:F175" si="50">$E$69</f>
        <v>3.6999999999999998E-2</v>
      </c>
      <c r="G161" s="299">
        <v>1.7</v>
      </c>
      <c r="H161" s="415">
        <f t="shared" ref="H161:H175" si="51">F161*G161</f>
        <v>6.2899999999999998E-2</v>
      </c>
      <c r="J161" s="512">
        <v>7</v>
      </c>
      <c r="K161" s="516" t="s">
        <v>619</v>
      </c>
      <c r="L161" s="508" t="str">
        <f>IFERROR(VLOOKUP(K161,坦克个性化设定!$B$18:$E$48,4,FALSE)&amp;VLOOKUP(K161,坦克个性化细分!$I$3:$J$33,2,FALSE),"")</f>
        <v>T3中</v>
      </c>
      <c r="M161" s="295" t="s">
        <v>918</v>
      </c>
      <c r="N161" s="508">
        <f t="shared" si="48"/>
        <v>3.6999999999999998E-2</v>
      </c>
      <c r="O161" s="299">
        <v>2</v>
      </c>
      <c r="P161" s="508">
        <f t="shared" si="49"/>
        <v>7.3999999999999996E-2</v>
      </c>
      <c r="R161" s="274"/>
      <c r="S161" s="274"/>
      <c r="U161" s="274"/>
    </row>
    <row r="162" spans="2:25" x14ac:dyDescent="0.35">
      <c r="B162" s="416">
        <v>7</v>
      </c>
      <c r="C162" s="418" t="s">
        <v>627</v>
      </c>
      <c r="D162" s="415" t="str">
        <f>IFERROR(VLOOKUP(C162,坦克个性化设定!$B$18:$E$48,4,FALSE)&amp;VLOOKUP(C162,坦克个性化细分!$I$3:$J$33,2,FALSE),"")</f>
        <v>T3低</v>
      </c>
      <c r="E162" s="295" t="s">
        <v>918</v>
      </c>
      <c r="F162" s="508">
        <f t="shared" si="50"/>
        <v>3.6999999999999998E-2</v>
      </c>
      <c r="G162" s="299">
        <v>1.7</v>
      </c>
      <c r="H162" s="415">
        <f t="shared" si="51"/>
        <v>6.2899999999999998E-2</v>
      </c>
      <c r="J162" s="512">
        <v>7</v>
      </c>
      <c r="K162" s="516" t="s">
        <v>718</v>
      </c>
      <c r="L162" s="508" t="str">
        <f>IFERROR(VLOOKUP(K162,坦克个性化设定!$B$18:$E$48,4,FALSE)&amp;VLOOKUP(K162,坦克个性化细分!$I$3:$J$33,2,FALSE),"")</f>
        <v>T3中</v>
      </c>
      <c r="M162" s="295" t="s">
        <v>918</v>
      </c>
      <c r="N162" s="508">
        <f t="shared" si="48"/>
        <v>3.6999999999999998E-2</v>
      </c>
      <c r="O162" s="299">
        <v>2</v>
      </c>
      <c r="P162" s="508">
        <f t="shared" si="49"/>
        <v>7.3999999999999996E-2</v>
      </c>
      <c r="R162" s="274"/>
      <c r="S162" s="274"/>
      <c r="U162" s="274"/>
    </row>
    <row r="163" spans="2:25" x14ac:dyDescent="0.35">
      <c r="B163" s="416">
        <v>7</v>
      </c>
      <c r="C163" s="418" t="s">
        <v>628</v>
      </c>
      <c r="D163" s="415" t="str">
        <f>IFERROR(VLOOKUP(C163,坦克个性化设定!$B$18:$E$48,4,FALSE)&amp;VLOOKUP(C163,坦克个性化细分!$I$3:$J$33,2,FALSE),"")</f>
        <v>T3低</v>
      </c>
      <c r="E163" s="295" t="s">
        <v>918</v>
      </c>
      <c r="F163" s="508">
        <f t="shared" si="50"/>
        <v>3.6999999999999998E-2</v>
      </c>
      <c r="G163" s="299">
        <v>1.7</v>
      </c>
      <c r="H163" s="415">
        <f>F164*G163</f>
        <v>6.2899999999999998E-2</v>
      </c>
      <c r="J163" s="512">
        <v>7</v>
      </c>
      <c r="K163" s="516" t="s">
        <v>632</v>
      </c>
      <c r="L163" s="508" t="str">
        <f>IFERROR(VLOOKUP(K163,坦克个性化设定!$B$18:$E$48,4,FALSE)&amp;VLOOKUP(K163,坦克个性化细分!$I$3:$J$33,2,FALSE),"")</f>
        <v>T3中</v>
      </c>
      <c r="M163" s="295" t="s">
        <v>918</v>
      </c>
      <c r="N163" s="508">
        <f t="shared" si="48"/>
        <v>3.6999999999999998E-2</v>
      </c>
      <c r="O163" s="299">
        <v>2</v>
      </c>
      <c r="P163" s="508">
        <f t="shared" si="49"/>
        <v>7.3999999999999996E-2</v>
      </c>
      <c r="R163" s="512" t="s">
        <v>597</v>
      </c>
      <c r="S163" s="512" t="s">
        <v>1225</v>
      </c>
      <c r="T163" s="419" t="s">
        <v>792</v>
      </c>
      <c r="U163" s="513" t="s">
        <v>917</v>
      </c>
      <c r="V163" s="422" t="s">
        <v>2011</v>
      </c>
      <c r="W163" s="422" t="s">
        <v>747</v>
      </c>
      <c r="X163" s="422" t="s">
        <v>2013</v>
      </c>
      <c r="Y163" s="158">
        <f>SUM(X164:X172)</f>
        <v>0.65699999999999992</v>
      </c>
    </row>
    <row r="164" spans="2:25" x14ac:dyDescent="0.35">
      <c r="B164" s="512">
        <v>7</v>
      </c>
      <c r="C164" s="516" t="s">
        <v>616</v>
      </c>
      <c r="D164" s="508" t="str">
        <f>IFERROR(VLOOKUP(C164,坦克个性化设定!$B$18:$E$48,4,FALSE)&amp;VLOOKUP(C164,坦克个性化细分!$I$3:$J$33,2,FALSE),"")</f>
        <v>T2低</v>
      </c>
      <c r="E164" s="512" t="s">
        <v>1211</v>
      </c>
      <c r="F164" s="508">
        <f t="shared" si="50"/>
        <v>3.6999999999999998E-2</v>
      </c>
      <c r="G164" s="299">
        <v>1.3</v>
      </c>
      <c r="H164" s="508">
        <f>F165*G164</f>
        <v>4.8099999999999997E-2</v>
      </c>
      <c r="J164" s="512">
        <v>7</v>
      </c>
      <c r="K164" s="516" t="s">
        <v>618</v>
      </c>
      <c r="L164" s="508" t="str">
        <f>IFERROR(VLOOKUP(K164,坦克个性化设定!$B$18:$E$48,4,FALSE)&amp;VLOOKUP(K164,坦克个性化细分!$I$3:$J$33,2,FALSE),"")</f>
        <v>T3低</v>
      </c>
      <c r="M164" s="512" t="s">
        <v>1211</v>
      </c>
      <c r="N164" s="508">
        <f t="shared" si="48"/>
        <v>3.6999999999999998E-2</v>
      </c>
      <c r="O164" s="299">
        <v>1</v>
      </c>
      <c r="P164" s="508">
        <f t="shared" si="49"/>
        <v>3.6999999999999998E-2</v>
      </c>
      <c r="R164" s="512">
        <v>10</v>
      </c>
      <c r="S164" s="516" t="s">
        <v>620</v>
      </c>
      <c r="T164" s="508" t="str">
        <f>IFERROR(VLOOKUP(S164,坦克个性化设定!$B$18:$E$48,4,FALSE)&amp;VLOOKUP(S164,坦克个性化细分!$I$3:$J$33,2,FALSE),"")</f>
        <v>T4低</v>
      </c>
      <c r="U164" s="512" t="s">
        <v>1211</v>
      </c>
      <c r="V164" s="508">
        <f t="shared" ref="V164:V172" si="52">$E$70</f>
        <v>7.2999999999999995E-2</v>
      </c>
      <c r="W164" s="299">
        <v>1</v>
      </c>
      <c r="X164" s="508">
        <f t="shared" ref="X164:X172" si="53">V164*W164</f>
        <v>7.2999999999999995E-2</v>
      </c>
    </row>
    <row r="165" spans="2:25" x14ac:dyDescent="0.35">
      <c r="B165" s="512">
        <v>7</v>
      </c>
      <c r="C165" s="516" t="s">
        <v>624</v>
      </c>
      <c r="D165" s="508" t="str">
        <f>IFERROR(VLOOKUP(C165,坦克个性化设定!$B$18:$E$48,4,FALSE)&amp;VLOOKUP(C165,坦克个性化细分!$I$3:$J$33,2,FALSE),"")</f>
        <v>T2低</v>
      </c>
      <c r="E165" s="512" t="s">
        <v>1211</v>
      </c>
      <c r="F165" s="508">
        <f t="shared" si="50"/>
        <v>3.6999999999999998E-2</v>
      </c>
      <c r="G165" s="299">
        <v>1.3</v>
      </c>
      <c r="H165" s="508">
        <f>F166*G165</f>
        <v>4.8099999999999997E-2</v>
      </c>
      <c r="J165" s="512">
        <v>7</v>
      </c>
      <c r="K165" s="516" t="s">
        <v>627</v>
      </c>
      <c r="L165" s="508" t="str">
        <f>IFERROR(VLOOKUP(K165,坦克个性化设定!$B$18:$E$48,4,FALSE)&amp;VLOOKUP(K165,坦克个性化细分!$I$3:$J$33,2,FALSE),"")</f>
        <v>T3低</v>
      </c>
      <c r="M165" s="512" t="s">
        <v>1211</v>
      </c>
      <c r="N165" s="508">
        <f t="shared" si="48"/>
        <v>3.6999999999999998E-2</v>
      </c>
      <c r="O165" s="299">
        <v>1</v>
      </c>
      <c r="P165" s="508">
        <f t="shared" si="49"/>
        <v>3.6999999999999998E-2</v>
      </c>
      <c r="R165" s="512">
        <v>10</v>
      </c>
      <c r="S165" s="516" t="s">
        <v>719</v>
      </c>
      <c r="T165" s="508" t="str">
        <f>IFERROR(VLOOKUP(S165,坦克个性化设定!$B$18:$E$48,4,FALSE)&amp;VLOOKUP(S165,坦克个性化细分!$I$3:$J$33,2,FALSE),"")</f>
        <v>T4低</v>
      </c>
      <c r="U165" s="512" t="s">
        <v>1211</v>
      </c>
      <c r="V165" s="508">
        <f t="shared" si="52"/>
        <v>7.2999999999999995E-2</v>
      </c>
      <c r="W165" s="299">
        <v>1</v>
      </c>
      <c r="X165" s="508">
        <f t="shared" si="53"/>
        <v>7.2999999999999995E-2</v>
      </c>
    </row>
    <row r="166" spans="2:25" x14ac:dyDescent="0.35">
      <c r="B166" s="512">
        <v>7</v>
      </c>
      <c r="C166" s="516" t="s">
        <v>630</v>
      </c>
      <c r="D166" s="508" t="str">
        <f>IFERROR(VLOOKUP(C166,坦克个性化设定!$B$18:$E$48,4,FALSE)&amp;VLOOKUP(C166,坦克个性化细分!$I$3:$J$33,2,FALSE),"")</f>
        <v>T2低</v>
      </c>
      <c r="E166" s="512" t="s">
        <v>1211</v>
      </c>
      <c r="F166" s="508">
        <f t="shared" si="50"/>
        <v>3.6999999999999998E-2</v>
      </c>
      <c r="G166" s="299">
        <v>1.3</v>
      </c>
      <c r="H166" s="508">
        <f>F167*G166</f>
        <v>4.8099999999999997E-2</v>
      </c>
      <c r="J166" s="512">
        <v>7</v>
      </c>
      <c r="K166" s="516" t="s">
        <v>628</v>
      </c>
      <c r="L166" s="508" t="str">
        <f>IFERROR(VLOOKUP(K166,坦克个性化设定!$B$18:$E$48,4,FALSE)&amp;VLOOKUP(K166,坦克个性化细分!$I$3:$J$33,2,FALSE),"")</f>
        <v>T3低</v>
      </c>
      <c r="M166" s="512" t="s">
        <v>1211</v>
      </c>
      <c r="N166" s="508">
        <f t="shared" si="48"/>
        <v>3.6999999999999998E-2</v>
      </c>
      <c r="O166" s="299">
        <v>1</v>
      </c>
      <c r="P166" s="508">
        <f t="shared" si="49"/>
        <v>3.6999999999999998E-2</v>
      </c>
      <c r="R166" s="512">
        <v>10</v>
      </c>
      <c r="S166" s="516" t="s">
        <v>635</v>
      </c>
      <c r="T166" s="508" t="str">
        <f>IFERROR(VLOOKUP(S166,坦克个性化设定!$B$18:$E$48,4,FALSE)&amp;VLOOKUP(S166,坦克个性化细分!$I$3:$J$33,2,FALSE),"")</f>
        <v>T4低</v>
      </c>
      <c r="U166" s="512" t="s">
        <v>1211</v>
      </c>
      <c r="V166" s="508">
        <f t="shared" si="52"/>
        <v>7.2999999999999995E-2</v>
      </c>
      <c r="W166" s="299">
        <v>1</v>
      </c>
      <c r="X166" s="508">
        <f t="shared" si="53"/>
        <v>7.2999999999999995E-2</v>
      </c>
    </row>
    <row r="167" spans="2:25" x14ac:dyDescent="0.35">
      <c r="B167" s="512">
        <v>7</v>
      </c>
      <c r="C167" s="516" t="s">
        <v>617</v>
      </c>
      <c r="D167" s="508" t="str">
        <f>IFERROR(VLOOKUP(C167,坦克个性化设定!$B$18:$E$48,4,FALSE)&amp;VLOOKUP(C167,坦克个性化细分!$I$3:$J$33,2,FALSE),"")</f>
        <v>T2中</v>
      </c>
      <c r="E167" s="512" t="s">
        <v>1211</v>
      </c>
      <c r="F167" s="508">
        <f t="shared" si="50"/>
        <v>3.6999999999999998E-2</v>
      </c>
      <c r="G167" s="299">
        <v>1</v>
      </c>
      <c r="H167" s="415">
        <f t="shared" si="51"/>
        <v>3.6999999999999998E-2</v>
      </c>
      <c r="J167" s="512">
        <v>7</v>
      </c>
      <c r="K167" s="516" t="s">
        <v>619</v>
      </c>
      <c r="L167" s="508" t="str">
        <f>IFERROR(VLOOKUP(K167,坦克个性化设定!$B$18:$E$48,4,FALSE)&amp;VLOOKUP(K167,坦克个性化细分!$I$3:$J$33,2,FALSE),"")</f>
        <v>T3中</v>
      </c>
      <c r="M167" s="512" t="s">
        <v>1211</v>
      </c>
      <c r="N167" s="508">
        <f t="shared" si="48"/>
        <v>3.6999999999999998E-2</v>
      </c>
      <c r="O167" s="299">
        <v>1</v>
      </c>
      <c r="P167" s="508">
        <f t="shared" si="49"/>
        <v>3.6999999999999998E-2</v>
      </c>
      <c r="R167" s="512">
        <v>10</v>
      </c>
      <c r="S167" s="516" t="s">
        <v>717</v>
      </c>
      <c r="T167" s="508" t="str">
        <f>IFERROR(VLOOKUP(S167,坦克个性化设定!$B$18:$E$48,4,FALSE)&amp;VLOOKUP(S167,坦克个性化细分!$I$3:$J$33,2,FALSE),"")</f>
        <v>T4中</v>
      </c>
      <c r="U167" s="512" t="s">
        <v>1211</v>
      </c>
      <c r="V167" s="508">
        <f t="shared" si="52"/>
        <v>7.2999999999999995E-2</v>
      </c>
      <c r="W167" s="299">
        <v>1</v>
      </c>
      <c r="X167" s="508">
        <f t="shared" si="53"/>
        <v>7.2999999999999995E-2</v>
      </c>
    </row>
    <row r="168" spans="2:25" x14ac:dyDescent="0.35">
      <c r="B168" s="512">
        <v>7</v>
      </c>
      <c r="C168" s="516" t="s">
        <v>626</v>
      </c>
      <c r="D168" s="508" t="str">
        <f>IFERROR(VLOOKUP(C168,坦克个性化设定!$B$18:$E$48,4,FALSE)&amp;VLOOKUP(C168,坦克个性化细分!$I$3:$J$33,2,FALSE),"")</f>
        <v>T2中</v>
      </c>
      <c r="E168" s="512" t="s">
        <v>1211</v>
      </c>
      <c r="F168" s="508">
        <f t="shared" si="50"/>
        <v>3.6999999999999998E-2</v>
      </c>
      <c r="G168" s="299">
        <v>1</v>
      </c>
      <c r="H168" s="415">
        <f t="shared" si="51"/>
        <v>3.6999999999999998E-2</v>
      </c>
      <c r="J168" s="512">
        <v>7</v>
      </c>
      <c r="K168" s="516" t="s">
        <v>718</v>
      </c>
      <c r="L168" s="508" t="str">
        <f>IFERROR(VLOOKUP(K168,坦克个性化设定!$B$18:$E$48,4,FALSE)&amp;VLOOKUP(K168,坦克个性化细分!$I$3:$J$33,2,FALSE),"")</f>
        <v>T3中</v>
      </c>
      <c r="M168" s="512" t="s">
        <v>1211</v>
      </c>
      <c r="N168" s="508">
        <f t="shared" si="48"/>
        <v>3.6999999999999998E-2</v>
      </c>
      <c r="O168" s="299">
        <v>1</v>
      </c>
      <c r="P168" s="508">
        <f t="shared" si="49"/>
        <v>3.6999999999999998E-2</v>
      </c>
      <c r="R168" s="512">
        <v>10</v>
      </c>
      <c r="S168" s="516" t="s">
        <v>720</v>
      </c>
      <c r="T168" s="508" t="str">
        <f>IFERROR(VLOOKUP(S168,坦克个性化设定!$B$18:$E$48,4,FALSE)&amp;VLOOKUP(S168,坦克个性化细分!$I$3:$J$33,2,FALSE),"")</f>
        <v>T4中</v>
      </c>
      <c r="U168" s="512" t="s">
        <v>1211</v>
      </c>
      <c r="V168" s="508">
        <f t="shared" si="52"/>
        <v>7.2999999999999995E-2</v>
      </c>
      <c r="W168" s="299">
        <v>1</v>
      </c>
      <c r="X168" s="508">
        <f t="shared" si="53"/>
        <v>7.2999999999999995E-2</v>
      </c>
    </row>
    <row r="169" spans="2:25" x14ac:dyDescent="0.35">
      <c r="B169" s="416">
        <v>7</v>
      </c>
      <c r="C169" s="516" t="s">
        <v>631</v>
      </c>
      <c r="D169" s="508" t="str">
        <f>IFERROR(VLOOKUP(C169,坦克个性化设定!$B$18:$E$48,4,FALSE)&amp;VLOOKUP(C169,坦克个性化细分!$I$3:$J$33,2,FALSE),"")</f>
        <v>T2中</v>
      </c>
      <c r="E169" s="512" t="s">
        <v>1211</v>
      </c>
      <c r="F169" s="508">
        <f t="shared" si="50"/>
        <v>3.6999999999999998E-2</v>
      </c>
      <c r="G169" s="299">
        <v>1</v>
      </c>
      <c r="H169" s="415">
        <f t="shared" si="51"/>
        <v>3.6999999999999998E-2</v>
      </c>
      <c r="J169" s="512">
        <v>7</v>
      </c>
      <c r="K169" s="516" t="s">
        <v>632</v>
      </c>
      <c r="L169" s="508" t="str">
        <f>IFERROR(VLOOKUP(K169,坦克个性化设定!$B$18:$E$48,4,FALSE)&amp;VLOOKUP(K169,坦克个性化细分!$I$3:$J$33,2,FALSE),"")</f>
        <v>T3中</v>
      </c>
      <c r="M169" s="512" t="s">
        <v>1211</v>
      </c>
      <c r="N169" s="508">
        <f t="shared" si="48"/>
        <v>3.6999999999999998E-2</v>
      </c>
      <c r="O169" s="299">
        <v>1</v>
      </c>
      <c r="P169" s="508">
        <f t="shared" si="49"/>
        <v>3.6999999999999998E-2</v>
      </c>
      <c r="R169" s="512">
        <v>10</v>
      </c>
      <c r="S169" s="516" t="s">
        <v>629</v>
      </c>
      <c r="T169" s="508" t="str">
        <f>IFERROR(VLOOKUP(S169,坦克个性化设定!$B$18:$E$48,4,FALSE)&amp;VLOOKUP(S169,坦克个性化细分!$I$3:$J$33,2,FALSE),"")</f>
        <v>T4中</v>
      </c>
      <c r="U169" s="512" t="s">
        <v>1211</v>
      </c>
      <c r="V169" s="508">
        <f t="shared" si="52"/>
        <v>7.2999999999999995E-2</v>
      </c>
      <c r="W169" s="299">
        <v>1</v>
      </c>
      <c r="X169" s="508">
        <f t="shared" si="53"/>
        <v>7.2999999999999995E-2</v>
      </c>
    </row>
    <row r="170" spans="2:25" x14ac:dyDescent="0.35">
      <c r="B170" s="416">
        <v>7</v>
      </c>
      <c r="C170" s="516" t="s">
        <v>618</v>
      </c>
      <c r="D170" s="508" t="str">
        <f>IFERROR(VLOOKUP(C170,坦克个性化设定!$B$18:$E$48,4,FALSE)&amp;VLOOKUP(C170,坦克个性化细分!$I$3:$J$33,2,FALSE),"")</f>
        <v>T3低</v>
      </c>
      <c r="E170" s="512" t="s">
        <v>1211</v>
      </c>
      <c r="F170" s="508">
        <f t="shared" si="50"/>
        <v>3.6999999999999998E-2</v>
      </c>
      <c r="G170" s="299">
        <v>1</v>
      </c>
      <c r="H170" s="415">
        <f t="shared" si="51"/>
        <v>3.6999999999999998E-2</v>
      </c>
      <c r="J170" s="274"/>
      <c r="K170" s="274"/>
      <c r="M170" s="274"/>
      <c r="R170" s="512">
        <v>10</v>
      </c>
      <c r="S170" s="516" t="s">
        <v>621</v>
      </c>
      <c r="T170" s="508" t="str">
        <f>IFERROR(VLOOKUP(S170,坦克个性化设定!$B$18:$E$48,4,FALSE)&amp;VLOOKUP(S170,坦克个性化细分!$I$3:$J$33,2,FALSE),"")</f>
        <v>T4高</v>
      </c>
      <c r="U170" s="512" t="s">
        <v>1211</v>
      </c>
      <c r="V170" s="508">
        <f t="shared" si="52"/>
        <v>7.2999999999999995E-2</v>
      </c>
      <c r="W170" s="299">
        <v>1</v>
      </c>
      <c r="X170" s="508">
        <f t="shared" si="53"/>
        <v>7.2999999999999995E-2</v>
      </c>
    </row>
    <row r="171" spans="2:25" x14ac:dyDescent="0.35">
      <c r="B171" s="416">
        <v>7</v>
      </c>
      <c r="C171" s="516" t="s">
        <v>627</v>
      </c>
      <c r="D171" s="508" t="str">
        <f>IFERROR(VLOOKUP(C171,坦克个性化设定!$B$18:$E$48,4,FALSE)&amp;VLOOKUP(C171,坦克个性化细分!$I$3:$J$33,2,FALSE),"")</f>
        <v>T3低</v>
      </c>
      <c r="E171" s="512" t="s">
        <v>1211</v>
      </c>
      <c r="F171" s="508">
        <f t="shared" si="50"/>
        <v>3.6999999999999998E-2</v>
      </c>
      <c r="G171" s="299">
        <v>1</v>
      </c>
      <c r="H171" s="415">
        <f t="shared" si="51"/>
        <v>3.6999999999999998E-2</v>
      </c>
      <c r="J171" s="274"/>
      <c r="K171" s="274"/>
      <c r="M171" s="274"/>
      <c r="R171" s="512">
        <v>10</v>
      </c>
      <c r="S171" s="516" t="s">
        <v>634</v>
      </c>
      <c r="T171" s="508" t="str">
        <f>IFERROR(VLOOKUP(S171,坦克个性化设定!$B$18:$E$48,4,FALSE)&amp;VLOOKUP(S171,坦克个性化细分!$I$3:$J$33,2,FALSE),"")</f>
        <v>T4高</v>
      </c>
      <c r="U171" s="512" t="s">
        <v>1211</v>
      </c>
      <c r="V171" s="508">
        <f t="shared" si="52"/>
        <v>7.2999999999999995E-2</v>
      </c>
      <c r="W171" s="299">
        <v>1</v>
      </c>
      <c r="X171" s="508">
        <f t="shared" si="53"/>
        <v>7.2999999999999995E-2</v>
      </c>
    </row>
    <row r="172" spans="2:25" x14ac:dyDescent="0.35">
      <c r="B172" s="416">
        <v>7</v>
      </c>
      <c r="C172" s="516" t="s">
        <v>628</v>
      </c>
      <c r="D172" s="508" t="str">
        <f>IFERROR(VLOOKUP(C172,坦克个性化设定!$B$18:$E$48,4,FALSE)&amp;VLOOKUP(C172,坦克个性化细分!$I$3:$J$33,2,FALSE),"")</f>
        <v>T3低</v>
      </c>
      <c r="E172" s="512" t="s">
        <v>1211</v>
      </c>
      <c r="F172" s="508">
        <f t="shared" si="50"/>
        <v>3.6999999999999998E-2</v>
      </c>
      <c r="G172" s="299">
        <v>1</v>
      </c>
      <c r="H172" s="415">
        <f t="shared" si="51"/>
        <v>3.6999999999999998E-2</v>
      </c>
      <c r="J172" s="512" t="s">
        <v>597</v>
      </c>
      <c r="K172" s="512" t="s">
        <v>1225</v>
      </c>
      <c r="L172" s="419" t="s">
        <v>792</v>
      </c>
      <c r="M172" s="513" t="s">
        <v>917</v>
      </c>
      <c r="N172" s="422" t="s">
        <v>2011</v>
      </c>
      <c r="O172" s="422" t="s">
        <v>747</v>
      </c>
      <c r="P172" s="422" t="s">
        <v>2013</v>
      </c>
      <c r="Q172" s="158">
        <f>SUM(P173:P188)</f>
        <v>0.66599999999999993</v>
      </c>
      <c r="R172" s="512">
        <v>10</v>
      </c>
      <c r="S172" s="516" t="s">
        <v>722</v>
      </c>
      <c r="T172" s="508" t="str">
        <f>IFERROR(VLOOKUP(S172,坦克个性化设定!$B$18:$E$48,4,FALSE)&amp;VLOOKUP(S172,坦克个性化细分!$I$3:$J$33,2,FALSE),"")</f>
        <v>T4高</v>
      </c>
      <c r="U172" s="512" t="s">
        <v>1211</v>
      </c>
      <c r="V172" s="508">
        <f t="shared" si="52"/>
        <v>7.2999999999999995E-2</v>
      </c>
      <c r="W172" s="299">
        <v>1</v>
      </c>
      <c r="X172" s="508">
        <f t="shared" si="53"/>
        <v>7.2999999999999995E-2</v>
      </c>
    </row>
    <row r="173" spans="2:25" x14ac:dyDescent="0.35">
      <c r="B173" s="416">
        <v>7</v>
      </c>
      <c r="C173" s="516" t="s">
        <v>619</v>
      </c>
      <c r="D173" s="508" t="str">
        <f>IFERROR(VLOOKUP(C173,坦克个性化设定!$B$18:$E$48,4,FALSE)&amp;VLOOKUP(C173,坦克个性化细分!$I$3:$J$33,2,FALSE),"")</f>
        <v>T3中</v>
      </c>
      <c r="E173" s="512" t="s">
        <v>1211</v>
      </c>
      <c r="F173" s="508">
        <f t="shared" si="50"/>
        <v>3.6999999999999998E-2</v>
      </c>
      <c r="G173" s="299">
        <v>1</v>
      </c>
      <c r="H173" s="415">
        <f t="shared" si="51"/>
        <v>3.6999999999999998E-2</v>
      </c>
      <c r="J173" s="512">
        <v>8</v>
      </c>
      <c r="K173" s="516" t="s">
        <v>619</v>
      </c>
      <c r="L173" s="508" t="str">
        <f>IFERROR(VLOOKUP(K173,坦克个性化设定!$B$18:$E$48,4,FALSE)&amp;VLOOKUP(K173,坦克个性化细分!$I$3:$J$33,2,FALSE),"")</f>
        <v>T3中</v>
      </c>
      <c r="M173" s="295" t="s">
        <v>918</v>
      </c>
      <c r="N173" s="508">
        <f t="shared" ref="N173:N188" si="54">$E$69</f>
        <v>3.6999999999999998E-2</v>
      </c>
      <c r="O173" s="299">
        <v>2</v>
      </c>
      <c r="P173" s="508">
        <f t="shared" ref="P173:P188" si="55">N173*O173</f>
        <v>7.3999999999999996E-2</v>
      </c>
    </row>
    <row r="174" spans="2:25" x14ac:dyDescent="0.35">
      <c r="B174" s="416">
        <v>7</v>
      </c>
      <c r="C174" s="516" t="s">
        <v>718</v>
      </c>
      <c r="D174" s="508" t="str">
        <f>IFERROR(VLOOKUP(C174,坦克个性化设定!$B$18:$E$48,4,FALSE)&amp;VLOOKUP(C174,坦克个性化细分!$I$3:$J$33,2,FALSE),"")</f>
        <v>T3中</v>
      </c>
      <c r="E174" s="512" t="s">
        <v>1211</v>
      </c>
      <c r="F174" s="508">
        <f t="shared" si="50"/>
        <v>3.6999999999999998E-2</v>
      </c>
      <c r="G174" s="299">
        <v>1</v>
      </c>
      <c r="H174" s="415">
        <f t="shared" si="51"/>
        <v>3.6999999999999998E-2</v>
      </c>
      <c r="J174" s="512">
        <v>8</v>
      </c>
      <c r="K174" s="516" t="s">
        <v>718</v>
      </c>
      <c r="L174" s="508" t="str">
        <f>IFERROR(VLOOKUP(K174,坦克个性化设定!$B$18:$E$48,4,FALSE)&amp;VLOOKUP(K174,坦克个性化细分!$I$3:$J$33,2,FALSE),"")</f>
        <v>T3中</v>
      </c>
      <c r="M174" s="295" t="s">
        <v>918</v>
      </c>
      <c r="N174" s="508">
        <f t="shared" si="54"/>
        <v>3.6999999999999998E-2</v>
      </c>
      <c r="O174" s="299">
        <v>2</v>
      </c>
      <c r="P174" s="508">
        <f t="shared" si="55"/>
        <v>7.3999999999999996E-2</v>
      </c>
    </row>
    <row r="175" spans="2:25" x14ac:dyDescent="0.35">
      <c r="B175" s="416">
        <v>7</v>
      </c>
      <c r="C175" s="516" t="s">
        <v>632</v>
      </c>
      <c r="D175" s="508" t="str">
        <f>IFERROR(VLOOKUP(C175,坦克个性化设定!$B$18:$E$48,4,FALSE)&amp;VLOOKUP(C175,坦克个性化细分!$I$3:$J$33,2,FALSE),"")</f>
        <v>T3中</v>
      </c>
      <c r="E175" s="512" t="s">
        <v>1211</v>
      </c>
      <c r="F175" s="508">
        <f t="shared" si="50"/>
        <v>3.6999999999999998E-2</v>
      </c>
      <c r="G175" s="299">
        <v>1</v>
      </c>
      <c r="H175" s="415">
        <f t="shared" si="51"/>
        <v>3.6999999999999998E-2</v>
      </c>
      <c r="J175" s="512">
        <v>8</v>
      </c>
      <c r="K175" s="516" t="s">
        <v>632</v>
      </c>
      <c r="L175" s="508" t="str">
        <f>IFERROR(VLOOKUP(K175,坦克个性化设定!$B$18:$E$48,4,FALSE)&amp;VLOOKUP(K175,坦克个性化细分!$I$3:$J$33,2,FALSE),"")</f>
        <v>T3中</v>
      </c>
      <c r="M175" s="295" t="s">
        <v>918</v>
      </c>
      <c r="N175" s="508">
        <f t="shared" si="54"/>
        <v>3.6999999999999998E-2</v>
      </c>
      <c r="O175" s="299">
        <v>2</v>
      </c>
      <c r="P175" s="508">
        <f t="shared" si="55"/>
        <v>7.3999999999999996E-2</v>
      </c>
    </row>
    <row r="176" spans="2:25" x14ac:dyDescent="0.35">
      <c r="B176" s="274"/>
      <c r="C176" s="274"/>
      <c r="E176" s="274"/>
      <c r="J176" s="512">
        <v>8</v>
      </c>
      <c r="K176" s="516" t="s">
        <v>620</v>
      </c>
      <c r="L176" s="508" t="str">
        <f>IFERROR(VLOOKUP(K176,坦克个性化设定!$B$18:$E$48,4,FALSE)&amp;VLOOKUP(K176,坦克个性化细分!$I$3:$J$33,2,FALSE),"")</f>
        <v>T4低</v>
      </c>
      <c r="M176" s="295" t="s">
        <v>918</v>
      </c>
      <c r="N176" s="508">
        <f t="shared" si="54"/>
        <v>3.6999999999999998E-2</v>
      </c>
      <c r="O176" s="299">
        <v>1.2</v>
      </c>
      <c r="P176" s="508">
        <f t="shared" si="55"/>
        <v>4.4399999999999995E-2</v>
      </c>
    </row>
    <row r="177" spans="2:17" x14ac:dyDescent="0.35">
      <c r="B177" s="274"/>
      <c r="C177" s="274"/>
      <c r="E177" s="274"/>
      <c r="J177" s="512">
        <v>8</v>
      </c>
      <c r="K177" s="516" t="s">
        <v>719</v>
      </c>
      <c r="L177" s="508" t="str">
        <f>IFERROR(VLOOKUP(K177,坦克个性化设定!$B$18:$E$48,4,FALSE)&amp;VLOOKUP(K177,坦克个性化细分!$I$3:$J$33,2,FALSE),"")</f>
        <v>T4低</v>
      </c>
      <c r="M177" s="295" t="s">
        <v>918</v>
      </c>
      <c r="N177" s="508">
        <f t="shared" si="54"/>
        <v>3.6999999999999998E-2</v>
      </c>
      <c r="O177" s="299">
        <v>1.2</v>
      </c>
      <c r="P177" s="508">
        <f t="shared" si="55"/>
        <v>4.4399999999999995E-2</v>
      </c>
    </row>
    <row r="178" spans="2:17" x14ac:dyDescent="0.35">
      <c r="B178" s="416" t="s">
        <v>814</v>
      </c>
      <c r="C178" s="416" t="s">
        <v>1225</v>
      </c>
      <c r="D178" s="419" t="s">
        <v>2006</v>
      </c>
      <c r="E178" s="417" t="s">
        <v>917</v>
      </c>
      <c r="F178" s="422" t="s">
        <v>2011</v>
      </c>
      <c r="G178" s="422" t="s">
        <v>2012</v>
      </c>
      <c r="H178" s="422" t="s">
        <v>2013</v>
      </c>
      <c r="I178" s="158">
        <f>SUM(H179:H195)</f>
        <v>0.6623</v>
      </c>
      <c r="J178" s="512">
        <v>8</v>
      </c>
      <c r="K178" s="516" t="s">
        <v>635</v>
      </c>
      <c r="L178" s="508" t="str">
        <f>IFERROR(VLOOKUP(K178,坦克个性化设定!$B$18:$E$48,4,FALSE)&amp;VLOOKUP(K178,坦克个性化细分!$I$3:$J$33,2,FALSE),"")</f>
        <v>T4低</v>
      </c>
      <c r="M178" s="295" t="s">
        <v>918</v>
      </c>
      <c r="N178" s="508">
        <f t="shared" si="54"/>
        <v>3.6999999999999998E-2</v>
      </c>
      <c r="O178" s="299">
        <v>1.2</v>
      </c>
      <c r="P178" s="508">
        <f t="shared" si="55"/>
        <v>4.4399999999999995E-2</v>
      </c>
    </row>
    <row r="179" spans="2:17" x14ac:dyDescent="0.35">
      <c r="B179" s="416">
        <v>8</v>
      </c>
      <c r="C179" s="516" t="s">
        <v>616</v>
      </c>
      <c r="D179" s="508" t="str">
        <f>IFERROR(VLOOKUP(C179,坦克个性化设定!$B$18:$E$48,4,FALSE)&amp;VLOOKUP(C179,坦克个性化细分!$I$3:$J$33,2,FALSE),"")</f>
        <v>T2低</v>
      </c>
      <c r="E179" s="512" t="s">
        <v>1211</v>
      </c>
      <c r="F179" s="508">
        <f t="shared" ref="F179:F195" si="56">$E$69</f>
        <v>3.6999999999999998E-2</v>
      </c>
      <c r="G179" s="299">
        <v>1.3</v>
      </c>
      <c r="H179" s="415">
        <f t="shared" ref="H179:H195" si="57">F179*G179</f>
        <v>4.8099999999999997E-2</v>
      </c>
      <c r="J179" s="512">
        <v>8</v>
      </c>
      <c r="K179" s="516" t="s">
        <v>720</v>
      </c>
      <c r="L179" s="508" t="str">
        <f>IFERROR(VLOOKUP(K179,坦克个性化设定!$B$18:$E$48,4,FALSE)&amp;VLOOKUP(K179,坦克个性化细分!$I$3:$J$33,2,FALSE),"")</f>
        <v>T4中</v>
      </c>
      <c r="M179" s="295" t="s">
        <v>918</v>
      </c>
      <c r="N179" s="508">
        <f t="shared" si="54"/>
        <v>3.6999999999999998E-2</v>
      </c>
      <c r="O179" s="299">
        <v>1.2</v>
      </c>
      <c r="P179" s="508">
        <f t="shared" si="55"/>
        <v>4.4399999999999995E-2</v>
      </c>
    </row>
    <row r="180" spans="2:17" x14ac:dyDescent="0.35">
      <c r="B180" s="416">
        <v>8</v>
      </c>
      <c r="C180" s="516" t="s">
        <v>624</v>
      </c>
      <c r="D180" s="508" t="str">
        <f>IFERROR(VLOOKUP(C180,坦克个性化设定!$B$18:$E$48,4,FALSE)&amp;VLOOKUP(C180,坦克个性化细分!$I$3:$J$33,2,FALSE),"")</f>
        <v>T2低</v>
      </c>
      <c r="E180" s="512" t="s">
        <v>1211</v>
      </c>
      <c r="F180" s="508">
        <f t="shared" si="56"/>
        <v>3.6999999999999998E-2</v>
      </c>
      <c r="G180" s="299">
        <v>1.3</v>
      </c>
      <c r="H180" s="415">
        <f t="shared" si="57"/>
        <v>4.8099999999999997E-2</v>
      </c>
      <c r="J180" s="512">
        <v>8</v>
      </c>
      <c r="K180" s="516" t="s">
        <v>621</v>
      </c>
      <c r="L180" s="508" t="str">
        <f>IFERROR(VLOOKUP(K180,坦克个性化设定!$B$18:$E$48,4,FALSE)&amp;VLOOKUP(K180,坦克个性化细分!$I$3:$J$33,2,FALSE),"")</f>
        <v>T4高</v>
      </c>
      <c r="M180" s="295" t="s">
        <v>918</v>
      </c>
      <c r="N180" s="508">
        <f t="shared" si="54"/>
        <v>3.6999999999999998E-2</v>
      </c>
      <c r="O180" s="299">
        <v>1.2</v>
      </c>
      <c r="P180" s="508">
        <f t="shared" si="55"/>
        <v>4.4399999999999995E-2</v>
      </c>
    </row>
    <row r="181" spans="2:17" x14ac:dyDescent="0.35">
      <c r="B181" s="416">
        <v>8</v>
      </c>
      <c r="C181" s="516" t="s">
        <v>630</v>
      </c>
      <c r="D181" s="508" t="str">
        <f>IFERROR(VLOOKUP(C181,坦克个性化设定!$B$18:$E$48,4,FALSE)&amp;VLOOKUP(C181,坦克个性化细分!$I$3:$J$33,2,FALSE),"")</f>
        <v>T2低</v>
      </c>
      <c r="E181" s="512" t="s">
        <v>1211</v>
      </c>
      <c r="F181" s="508">
        <f t="shared" si="56"/>
        <v>3.6999999999999998E-2</v>
      </c>
      <c r="G181" s="299">
        <v>1.3</v>
      </c>
      <c r="H181" s="415">
        <f t="shared" si="57"/>
        <v>4.8099999999999997E-2</v>
      </c>
      <c r="J181" s="512">
        <v>8</v>
      </c>
      <c r="K181" s="516" t="s">
        <v>619</v>
      </c>
      <c r="L181" s="508" t="str">
        <f>IFERROR(VLOOKUP(K181,坦克个性化设定!$B$18:$E$48,4,FALSE)&amp;VLOOKUP(K181,坦克个性化细分!$I$3:$J$33,2,FALSE),"")</f>
        <v>T3中</v>
      </c>
      <c r="M181" s="512" t="s">
        <v>1211</v>
      </c>
      <c r="N181" s="508">
        <f t="shared" si="54"/>
        <v>3.6999999999999998E-2</v>
      </c>
      <c r="O181" s="299">
        <v>1</v>
      </c>
      <c r="P181" s="508">
        <f t="shared" si="55"/>
        <v>3.6999999999999998E-2</v>
      </c>
    </row>
    <row r="182" spans="2:17" x14ac:dyDescent="0.35">
      <c r="B182" s="416">
        <v>8</v>
      </c>
      <c r="C182" s="516" t="s">
        <v>617</v>
      </c>
      <c r="D182" s="508" t="str">
        <f>IFERROR(VLOOKUP(C182,坦克个性化设定!$B$18:$E$48,4,FALSE)&amp;VLOOKUP(C182,坦克个性化细分!$I$3:$J$33,2,FALSE),"")</f>
        <v>T2中</v>
      </c>
      <c r="E182" s="512" t="s">
        <v>1211</v>
      </c>
      <c r="F182" s="508">
        <f t="shared" si="56"/>
        <v>3.6999999999999998E-2</v>
      </c>
      <c r="G182" s="299">
        <v>1</v>
      </c>
      <c r="H182" s="415">
        <f t="shared" si="57"/>
        <v>3.6999999999999998E-2</v>
      </c>
      <c r="J182" s="512">
        <v>8</v>
      </c>
      <c r="K182" s="516" t="s">
        <v>718</v>
      </c>
      <c r="L182" s="508" t="str">
        <f>IFERROR(VLOOKUP(K182,坦克个性化设定!$B$18:$E$48,4,FALSE)&amp;VLOOKUP(K182,坦克个性化细分!$I$3:$J$33,2,FALSE),"")</f>
        <v>T3中</v>
      </c>
      <c r="M182" s="512" t="s">
        <v>1211</v>
      </c>
      <c r="N182" s="508">
        <f t="shared" si="54"/>
        <v>3.6999999999999998E-2</v>
      </c>
      <c r="O182" s="299">
        <v>1</v>
      </c>
      <c r="P182" s="508">
        <f t="shared" si="55"/>
        <v>3.6999999999999998E-2</v>
      </c>
    </row>
    <row r="183" spans="2:17" x14ac:dyDescent="0.35">
      <c r="B183" s="416">
        <v>8</v>
      </c>
      <c r="C183" s="516" t="s">
        <v>626</v>
      </c>
      <c r="D183" s="508" t="str">
        <f>IFERROR(VLOOKUP(C183,坦克个性化设定!$B$18:$E$48,4,FALSE)&amp;VLOOKUP(C183,坦克个性化细分!$I$3:$J$33,2,FALSE),"")</f>
        <v>T2中</v>
      </c>
      <c r="E183" s="512" t="s">
        <v>1211</v>
      </c>
      <c r="F183" s="508">
        <f t="shared" si="56"/>
        <v>3.6999999999999998E-2</v>
      </c>
      <c r="G183" s="299">
        <v>1</v>
      </c>
      <c r="H183" s="415">
        <f t="shared" si="57"/>
        <v>3.6999999999999998E-2</v>
      </c>
      <c r="J183" s="512">
        <v>8</v>
      </c>
      <c r="K183" s="516" t="s">
        <v>632</v>
      </c>
      <c r="L183" s="508" t="str">
        <f>IFERROR(VLOOKUP(K183,坦克个性化设定!$B$18:$E$48,4,FALSE)&amp;VLOOKUP(K183,坦克个性化细分!$I$3:$J$33,2,FALSE),"")</f>
        <v>T3中</v>
      </c>
      <c r="M183" s="512" t="s">
        <v>1211</v>
      </c>
      <c r="N183" s="508">
        <f t="shared" si="54"/>
        <v>3.6999999999999998E-2</v>
      </c>
      <c r="O183" s="299">
        <v>1</v>
      </c>
      <c r="P183" s="508">
        <f t="shared" si="55"/>
        <v>3.6999999999999998E-2</v>
      </c>
    </row>
    <row r="184" spans="2:17" x14ac:dyDescent="0.35">
      <c r="B184" s="416">
        <v>8</v>
      </c>
      <c r="C184" s="516" t="s">
        <v>631</v>
      </c>
      <c r="D184" s="508" t="str">
        <f>IFERROR(VLOOKUP(C184,坦克个性化设定!$B$18:$E$48,4,FALSE)&amp;VLOOKUP(C184,坦克个性化细分!$I$3:$J$33,2,FALSE),"")</f>
        <v>T2中</v>
      </c>
      <c r="E184" s="512" t="s">
        <v>1211</v>
      </c>
      <c r="F184" s="508">
        <f t="shared" si="56"/>
        <v>3.6999999999999998E-2</v>
      </c>
      <c r="G184" s="299">
        <v>1</v>
      </c>
      <c r="H184" s="415">
        <f t="shared" si="57"/>
        <v>3.6999999999999998E-2</v>
      </c>
      <c r="J184" s="512">
        <v>8</v>
      </c>
      <c r="K184" s="516" t="s">
        <v>620</v>
      </c>
      <c r="L184" s="508" t="str">
        <f>IFERROR(VLOOKUP(K184,坦克个性化设定!$B$18:$E$48,4,FALSE)&amp;VLOOKUP(K184,坦克个性化细分!$I$3:$J$33,2,FALSE),"")</f>
        <v>T4低</v>
      </c>
      <c r="M184" s="512" t="s">
        <v>1211</v>
      </c>
      <c r="N184" s="508">
        <f t="shared" si="54"/>
        <v>3.6999999999999998E-2</v>
      </c>
      <c r="O184" s="299">
        <v>0.6</v>
      </c>
      <c r="P184" s="508">
        <f t="shared" si="55"/>
        <v>2.2199999999999998E-2</v>
      </c>
    </row>
    <row r="185" spans="2:17" x14ac:dyDescent="0.35">
      <c r="B185" s="416">
        <v>8</v>
      </c>
      <c r="C185" s="516" t="s">
        <v>618</v>
      </c>
      <c r="D185" s="508" t="str">
        <f>IFERROR(VLOOKUP(C185,坦克个性化设定!$B$18:$E$48,4,FALSE)&amp;VLOOKUP(C185,坦克个性化细分!$I$3:$J$33,2,FALSE),"")</f>
        <v>T3低</v>
      </c>
      <c r="E185" s="512" t="s">
        <v>1211</v>
      </c>
      <c r="F185" s="508">
        <f t="shared" si="56"/>
        <v>3.6999999999999998E-2</v>
      </c>
      <c r="G185" s="299">
        <v>1</v>
      </c>
      <c r="H185" s="415">
        <f t="shared" si="57"/>
        <v>3.6999999999999998E-2</v>
      </c>
      <c r="J185" s="512">
        <v>8</v>
      </c>
      <c r="K185" s="516" t="s">
        <v>719</v>
      </c>
      <c r="L185" s="508" t="str">
        <f>IFERROR(VLOOKUP(K185,坦克个性化设定!$B$18:$E$48,4,FALSE)&amp;VLOOKUP(K185,坦克个性化细分!$I$3:$J$33,2,FALSE),"")</f>
        <v>T4低</v>
      </c>
      <c r="M185" s="512" t="s">
        <v>1211</v>
      </c>
      <c r="N185" s="508">
        <f t="shared" si="54"/>
        <v>3.6999999999999998E-2</v>
      </c>
      <c r="O185" s="299">
        <v>0.6</v>
      </c>
      <c r="P185" s="508">
        <f t="shared" si="55"/>
        <v>2.2199999999999998E-2</v>
      </c>
    </row>
    <row r="186" spans="2:17" x14ac:dyDescent="0.35">
      <c r="B186" s="416">
        <v>8</v>
      </c>
      <c r="C186" s="516" t="s">
        <v>627</v>
      </c>
      <c r="D186" s="508" t="str">
        <f>IFERROR(VLOOKUP(C186,坦克个性化设定!$B$18:$E$48,4,FALSE)&amp;VLOOKUP(C186,坦克个性化细分!$I$3:$J$33,2,FALSE),"")</f>
        <v>T3低</v>
      </c>
      <c r="E186" s="512" t="s">
        <v>1211</v>
      </c>
      <c r="F186" s="508">
        <f t="shared" si="56"/>
        <v>3.6999999999999998E-2</v>
      </c>
      <c r="G186" s="299">
        <v>1</v>
      </c>
      <c r="H186" s="415">
        <f t="shared" si="57"/>
        <v>3.6999999999999998E-2</v>
      </c>
      <c r="J186" s="512">
        <v>8</v>
      </c>
      <c r="K186" s="516" t="s">
        <v>635</v>
      </c>
      <c r="L186" s="508" t="str">
        <f>IFERROR(VLOOKUP(K186,坦克个性化设定!$B$18:$E$48,4,FALSE)&amp;VLOOKUP(K186,坦克个性化细分!$I$3:$J$33,2,FALSE),"")</f>
        <v>T4低</v>
      </c>
      <c r="M186" s="512" t="s">
        <v>1211</v>
      </c>
      <c r="N186" s="508">
        <f t="shared" si="54"/>
        <v>3.6999999999999998E-2</v>
      </c>
      <c r="O186" s="299">
        <v>0.6</v>
      </c>
      <c r="P186" s="508">
        <f t="shared" si="55"/>
        <v>2.2199999999999998E-2</v>
      </c>
    </row>
    <row r="187" spans="2:17" x14ac:dyDescent="0.35">
      <c r="B187" s="512">
        <v>8</v>
      </c>
      <c r="C187" s="516" t="s">
        <v>628</v>
      </c>
      <c r="D187" s="508" t="str">
        <f>IFERROR(VLOOKUP(C187,坦克个性化设定!$B$18:$E$48,4,FALSE)&amp;VLOOKUP(C187,坦克个性化细分!$I$3:$J$33,2,FALSE),"")</f>
        <v>T3低</v>
      </c>
      <c r="E187" s="512" t="s">
        <v>1211</v>
      </c>
      <c r="F187" s="508">
        <f t="shared" si="56"/>
        <v>3.6999999999999998E-2</v>
      </c>
      <c r="G187" s="299">
        <v>1</v>
      </c>
      <c r="H187" s="508">
        <f t="shared" si="57"/>
        <v>3.6999999999999998E-2</v>
      </c>
      <c r="J187" s="512">
        <v>8</v>
      </c>
      <c r="K187" s="516" t="s">
        <v>717</v>
      </c>
      <c r="L187" s="508" t="str">
        <f>IFERROR(VLOOKUP(K187,坦克个性化设定!$B$18:$E$48,4,FALSE)&amp;VLOOKUP(K187,坦克个性化细分!$I$3:$J$33,2,FALSE),"")</f>
        <v>T4中</v>
      </c>
      <c r="M187" s="512" t="s">
        <v>1211</v>
      </c>
      <c r="N187" s="508">
        <f t="shared" si="54"/>
        <v>3.6999999999999998E-2</v>
      </c>
      <c r="O187" s="299">
        <v>0.6</v>
      </c>
      <c r="P187" s="508">
        <f t="shared" si="55"/>
        <v>2.2199999999999998E-2</v>
      </c>
    </row>
    <row r="188" spans="2:17" x14ac:dyDescent="0.35">
      <c r="B188" s="512">
        <v>8</v>
      </c>
      <c r="C188" s="418" t="s">
        <v>619</v>
      </c>
      <c r="D188" s="415" t="str">
        <f>IFERROR(VLOOKUP(C188,坦克个性化设定!$B$18:$E$48,4,FALSE)&amp;VLOOKUP(C188,坦克个性化细分!$I$3:$J$33,2,FALSE),"")</f>
        <v>T3中</v>
      </c>
      <c r="E188" s="416" t="s">
        <v>1211</v>
      </c>
      <c r="F188" s="508">
        <f t="shared" si="56"/>
        <v>3.6999999999999998E-2</v>
      </c>
      <c r="G188" s="299">
        <v>1</v>
      </c>
      <c r="H188" s="415">
        <f t="shared" si="57"/>
        <v>3.6999999999999998E-2</v>
      </c>
      <c r="J188" s="512">
        <v>8</v>
      </c>
      <c r="K188" s="516" t="s">
        <v>621</v>
      </c>
      <c r="L188" s="508" t="str">
        <f>IFERROR(VLOOKUP(K188,坦克个性化设定!$B$18:$E$48,4,FALSE)&amp;VLOOKUP(K188,坦克个性化细分!$I$3:$J$33,2,FALSE),"")</f>
        <v>T4高</v>
      </c>
      <c r="M188" s="512" t="s">
        <v>1211</v>
      </c>
      <c r="N188" s="508">
        <f t="shared" si="54"/>
        <v>3.6999999999999998E-2</v>
      </c>
      <c r="O188" s="299">
        <v>0.6</v>
      </c>
      <c r="P188" s="508">
        <f t="shared" si="55"/>
        <v>2.2199999999999998E-2</v>
      </c>
    </row>
    <row r="189" spans="2:17" x14ac:dyDescent="0.35">
      <c r="B189" s="416">
        <v>8</v>
      </c>
      <c r="C189" s="418" t="s">
        <v>718</v>
      </c>
      <c r="D189" s="415" t="str">
        <f>IFERROR(VLOOKUP(C189,坦克个性化设定!$B$18:$E$48,4,FALSE)&amp;VLOOKUP(C189,坦克个性化细分!$I$3:$J$33,2,FALSE),"")</f>
        <v>T3中</v>
      </c>
      <c r="E189" s="416" t="s">
        <v>1211</v>
      </c>
      <c r="F189" s="508">
        <f t="shared" si="56"/>
        <v>3.6999999999999998E-2</v>
      </c>
      <c r="G189" s="299">
        <v>1</v>
      </c>
      <c r="H189" s="415">
        <f t="shared" si="57"/>
        <v>3.6999999999999998E-2</v>
      </c>
      <c r="J189" s="274"/>
      <c r="K189" s="274"/>
      <c r="M189" s="274"/>
    </row>
    <row r="190" spans="2:17" x14ac:dyDescent="0.35">
      <c r="B190" s="416">
        <v>8</v>
      </c>
      <c r="C190" s="418" t="s">
        <v>632</v>
      </c>
      <c r="D190" s="415" t="str">
        <f>IFERROR(VLOOKUP(C190,坦克个性化设定!$B$18:$E$48,4,FALSE)&amp;VLOOKUP(C190,坦克个性化细分!$I$3:$J$33,2,FALSE),"")</f>
        <v>T3中</v>
      </c>
      <c r="E190" s="416" t="s">
        <v>1211</v>
      </c>
      <c r="F190" s="508">
        <f t="shared" si="56"/>
        <v>3.6999999999999998E-2</v>
      </c>
      <c r="G190" s="299">
        <v>1</v>
      </c>
      <c r="H190" s="415">
        <f t="shared" si="57"/>
        <v>3.6999999999999998E-2</v>
      </c>
      <c r="J190" s="274"/>
      <c r="K190" s="274"/>
      <c r="M190" s="274"/>
    </row>
    <row r="191" spans="2:17" x14ac:dyDescent="0.35">
      <c r="B191" s="416">
        <v>8</v>
      </c>
      <c r="C191" s="418" t="s">
        <v>620</v>
      </c>
      <c r="D191" s="415" t="str">
        <f>IFERROR(VLOOKUP(C191,坦克个性化设定!$B$18:$E$48,4,FALSE)&amp;VLOOKUP(C191,坦克个性化细分!$I$3:$J$33,2,FALSE),"")</f>
        <v>T4低</v>
      </c>
      <c r="E191" s="416" t="s">
        <v>1235</v>
      </c>
      <c r="F191" s="508">
        <f t="shared" si="56"/>
        <v>3.6999999999999998E-2</v>
      </c>
      <c r="G191" s="299">
        <v>1</v>
      </c>
      <c r="H191" s="415">
        <f t="shared" si="57"/>
        <v>3.6999999999999998E-2</v>
      </c>
      <c r="J191" s="512" t="s">
        <v>597</v>
      </c>
      <c r="K191" s="512" t="s">
        <v>1225</v>
      </c>
      <c r="L191" s="419" t="s">
        <v>792</v>
      </c>
      <c r="M191" s="513" t="s">
        <v>917</v>
      </c>
      <c r="N191" s="422" t="s">
        <v>2011</v>
      </c>
      <c r="O191" s="422" t="s">
        <v>747</v>
      </c>
      <c r="P191" s="422" t="s">
        <v>2013</v>
      </c>
      <c r="Q191" s="158">
        <f>SUM(P192:P205)</f>
        <v>0.54389999999999994</v>
      </c>
    </row>
    <row r="192" spans="2:17" x14ac:dyDescent="0.35">
      <c r="B192" s="416">
        <v>8</v>
      </c>
      <c r="C192" s="418" t="s">
        <v>719</v>
      </c>
      <c r="D192" s="415" t="str">
        <f>IFERROR(VLOOKUP(C192,坦克个性化设定!$B$18:$E$48,4,FALSE)&amp;VLOOKUP(C192,坦克个性化细分!$I$3:$J$33,2,FALSE),"")</f>
        <v>T4低</v>
      </c>
      <c r="E192" s="416" t="s">
        <v>1235</v>
      </c>
      <c r="F192" s="508">
        <f t="shared" si="56"/>
        <v>3.6999999999999998E-2</v>
      </c>
      <c r="G192" s="299">
        <v>1</v>
      </c>
      <c r="H192" s="415">
        <f t="shared" si="57"/>
        <v>3.6999999999999998E-2</v>
      </c>
      <c r="J192" s="512">
        <v>9</v>
      </c>
      <c r="K192" s="516" t="s">
        <v>620</v>
      </c>
      <c r="L192" s="508" t="str">
        <f>IFERROR(VLOOKUP(K192,坦克个性化设定!$B$18:$E$48,4,FALSE)&amp;VLOOKUP(K192,坦克个性化细分!$I$3:$J$33,2,FALSE),"")</f>
        <v>T4低</v>
      </c>
      <c r="M192" s="295" t="s">
        <v>918</v>
      </c>
      <c r="N192" s="508">
        <f t="shared" ref="N192:N205" si="58">$E$69</f>
        <v>3.6999999999999998E-2</v>
      </c>
      <c r="O192" s="298">
        <v>1.4</v>
      </c>
      <c r="P192" s="508">
        <f t="shared" ref="P192:P205" si="59">N192*O192</f>
        <v>5.1799999999999992E-2</v>
      </c>
    </row>
    <row r="193" spans="2:17" x14ac:dyDescent="0.35">
      <c r="B193" s="416">
        <v>8</v>
      </c>
      <c r="C193" s="418" t="s">
        <v>635</v>
      </c>
      <c r="D193" s="415" t="str">
        <f>IFERROR(VLOOKUP(C193,坦克个性化设定!$B$18:$E$48,4,FALSE)&amp;VLOOKUP(C193,坦克个性化细分!$I$3:$J$33,2,FALSE),"")</f>
        <v>T4低</v>
      </c>
      <c r="E193" s="416" t="s">
        <v>1235</v>
      </c>
      <c r="F193" s="508">
        <f t="shared" si="56"/>
        <v>3.6999999999999998E-2</v>
      </c>
      <c r="G193" s="299">
        <v>1</v>
      </c>
      <c r="H193" s="415">
        <f t="shared" si="57"/>
        <v>3.6999999999999998E-2</v>
      </c>
      <c r="J193" s="512">
        <v>9</v>
      </c>
      <c r="K193" s="516" t="s">
        <v>719</v>
      </c>
      <c r="L193" s="508" t="str">
        <f>IFERROR(VLOOKUP(K193,坦克个性化设定!$B$18:$E$48,4,FALSE)&amp;VLOOKUP(K193,坦克个性化细分!$I$3:$J$33,2,FALSE),"")</f>
        <v>T4低</v>
      </c>
      <c r="M193" s="295" t="s">
        <v>918</v>
      </c>
      <c r="N193" s="508">
        <f t="shared" si="58"/>
        <v>3.6999999999999998E-2</v>
      </c>
      <c r="O193" s="298">
        <v>1.4</v>
      </c>
      <c r="P193" s="508">
        <f t="shared" si="59"/>
        <v>5.1799999999999992E-2</v>
      </c>
    </row>
    <row r="194" spans="2:17" x14ac:dyDescent="0.35">
      <c r="B194" s="416">
        <v>8</v>
      </c>
      <c r="C194" s="516" t="s">
        <v>717</v>
      </c>
      <c r="D194" s="415" t="str">
        <f>IFERROR(VLOOKUP(C194,坦克个性化设定!$B$18:$E$48,4,FALSE)&amp;VLOOKUP(C194,坦克个性化细分!$I$3:$J$33,2,FALSE),"")</f>
        <v>T4中</v>
      </c>
      <c r="E194" s="416" t="s">
        <v>1235</v>
      </c>
      <c r="F194" s="508">
        <f t="shared" si="56"/>
        <v>3.6999999999999998E-2</v>
      </c>
      <c r="G194" s="299">
        <v>1</v>
      </c>
      <c r="H194" s="415">
        <f t="shared" si="57"/>
        <v>3.6999999999999998E-2</v>
      </c>
      <c r="J194" s="512">
        <v>9</v>
      </c>
      <c r="K194" s="516" t="s">
        <v>635</v>
      </c>
      <c r="L194" s="508" t="str">
        <f>IFERROR(VLOOKUP(K194,坦克个性化设定!$B$18:$E$48,4,FALSE)&amp;VLOOKUP(K194,坦克个性化细分!$I$3:$J$33,2,FALSE),"")</f>
        <v>T4低</v>
      </c>
      <c r="M194" s="295" t="s">
        <v>918</v>
      </c>
      <c r="N194" s="508">
        <f t="shared" si="58"/>
        <v>3.6999999999999998E-2</v>
      </c>
      <c r="O194" s="298">
        <v>1.4</v>
      </c>
      <c r="P194" s="508">
        <f t="shared" si="59"/>
        <v>5.1799999999999992E-2</v>
      </c>
    </row>
    <row r="195" spans="2:17" x14ac:dyDescent="0.35">
      <c r="B195" s="416">
        <v>8</v>
      </c>
      <c r="C195" s="418" t="s">
        <v>621</v>
      </c>
      <c r="D195" s="415" t="str">
        <f>IFERROR(VLOOKUP(C195,坦克个性化设定!$B$18:$E$48,4,FALSE)&amp;VLOOKUP(C195,坦克个性化细分!$I$3:$J$33,2,FALSE),"")</f>
        <v>T4高</v>
      </c>
      <c r="E195" s="416" t="s">
        <v>1235</v>
      </c>
      <c r="F195" s="508">
        <f t="shared" si="56"/>
        <v>3.6999999999999998E-2</v>
      </c>
      <c r="G195" s="299">
        <v>1</v>
      </c>
      <c r="H195" s="415">
        <f t="shared" si="57"/>
        <v>3.6999999999999998E-2</v>
      </c>
      <c r="J195" s="512">
        <v>9</v>
      </c>
      <c r="K195" s="516" t="s">
        <v>717</v>
      </c>
      <c r="L195" s="508" t="str">
        <f>IFERROR(VLOOKUP(K195,坦克个性化设定!$B$18:$E$48,4,FALSE)&amp;VLOOKUP(K195,坦克个性化细分!$I$3:$J$33,2,FALSE),"")</f>
        <v>T4中</v>
      </c>
      <c r="M195" s="295" t="s">
        <v>918</v>
      </c>
      <c r="N195" s="508">
        <f t="shared" si="58"/>
        <v>3.6999999999999998E-2</v>
      </c>
      <c r="O195" s="298">
        <v>1.4</v>
      </c>
      <c r="P195" s="508">
        <f t="shared" si="59"/>
        <v>5.1799999999999992E-2</v>
      </c>
    </row>
    <row r="196" spans="2:17" x14ac:dyDescent="0.35">
      <c r="B196" s="274"/>
      <c r="C196" s="274"/>
      <c r="E196" s="274"/>
      <c r="J196" s="512">
        <v>9</v>
      </c>
      <c r="K196" s="516" t="s">
        <v>720</v>
      </c>
      <c r="L196" s="508" t="str">
        <f>IFERROR(VLOOKUP(K196,坦克个性化设定!$B$18:$E$48,4,FALSE)&amp;VLOOKUP(K196,坦克个性化细分!$I$3:$J$33,2,FALSE),"")</f>
        <v>T4中</v>
      </c>
      <c r="M196" s="295" t="s">
        <v>918</v>
      </c>
      <c r="N196" s="508">
        <f t="shared" si="58"/>
        <v>3.6999999999999998E-2</v>
      </c>
      <c r="O196" s="298">
        <v>1.4</v>
      </c>
      <c r="P196" s="508">
        <f t="shared" si="59"/>
        <v>5.1799999999999992E-2</v>
      </c>
    </row>
    <row r="197" spans="2:17" x14ac:dyDescent="0.35">
      <c r="B197" s="274"/>
      <c r="C197" s="274"/>
      <c r="E197" s="274"/>
      <c r="J197" s="512">
        <v>9</v>
      </c>
      <c r="K197" s="516" t="s">
        <v>621</v>
      </c>
      <c r="L197" s="508" t="str">
        <f>IFERROR(VLOOKUP(K197,坦克个性化设定!$B$18:$E$48,4,FALSE)&amp;VLOOKUP(K197,坦克个性化细分!$I$3:$J$33,2,FALSE),"")</f>
        <v>T4高</v>
      </c>
      <c r="M197" s="295" t="s">
        <v>918</v>
      </c>
      <c r="N197" s="508">
        <f t="shared" si="58"/>
        <v>3.6999999999999998E-2</v>
      </c>
      <c r="O197" s="298">
        <v>1.4</v>
      </c>
      <c r="P197" s="508">
        <f t="shared" si="59"/>
        <v>5.1799999999999992E-2</v>
      </c>
    </row>
    <row r="198" spans="2:17" x14ac:dyDescent="0.35">
      <c r="B198" s="416" t="s">
        <v>597</v>
      </c>
      <c r="C198" s="416" t="s">
        <v>1225</v>
      </c>
      <c r="D198" s="419" t="s">
        <v>2006</v>
      </c>
      <c r="E198" s="417" t="s">
        <v>917</v>
      </c>
      <c r="F198" s="422" t="s">
        <v>2011</v>
      </c>
      <c r="G198" s="422" t="s">
        <v>2012</v>
      </c>
      <c r="H198" s="422" t="s">
        <v>2013</v>
      </c>
      <c r="I198" s="158">
        <f>SUM(H199:H214)</f>
        <v>0.59199999999999997</v>
      </c>
      <c r="J198" s="512">
        <v>9</v>
      </c>
      <c r="K198" s="516" t="s">
        <v>634</v>
      </c>
      <c r="L198" s="508" t="str">
        <f>IFERROR(VLOOKUP(K198,坦克个性化设定!$B$18:$E$48,4,FALSE)&amp;VLOOKUP(K198,坦克个性化细分!$I$3:$J$33,2,FALSE),"")</f>
        <v>T4高</v>
      </c>
      <c r="M198" s="295" t="s">
        <v>918</v>
      </c>
      <c r="N198" s="508">
        <f t="shared" si="58"/>
        <v>3.6999999999999998E-2</v>
      </c>
      <c r="O198" s="298">
        <v>1.4</v>
      </c>
      <c r="P198" s="508">
        <f t="shared" si="59"/>
        <v>5.1799999999999992E-2</v>
      </c>
    </row>
    <row r="199" spans="2:17" x14ac:dyDescent="0.35">
      <c r="B199" s="416">
        <v>9</v>
      </c>
      <c r="C199" s="516" t="s">
        <v>617</v>
      </c>
      <c r="D199" s="508" t="str">
        <f>IFERROR(VLOOKUP(C199,坦克个性化设定!$B$18:$E$48,4,FALSE)&amp;VLOOKUP(C199,坦克个性化细分!$I$3:$J$33,2,FALSE),"")</f>
        <v>T2中</v>
      </c>
      <c r="E199" s="512" t="s">
        <v>1211</v>
      </c>
      <c r="F199" s="508">
        <f t="shared" ref="F199:F214" si="60">$E$69</f>
        <v>3.6999999999999998E-2</v>
      </c>
      <c r="G199" s="299">
        <v>1</v>
      </c>
      <c r="H199" s="415">
        <f t="shared" ref="H199:H214" si="61">F199*G199</f>
        <v>3.6999999999999998E-2</v>
      </c>
      <c r="J199" s="512">
        <v>9</v>
      </c>
      <c r="K199" s="516" t="s">
        <v>620</v>
      </c>
      <c r="L199" s="508" t="str">
        <f>IFERROR(VLOOKUP(K199,坦克个性化设定!$B$18:$E$48,4,FALSE)&amp;VLOOKUP(K199,坦克个性化细分!$I$3:$J$33,2,FALSE),"")</f>
        <v>T4低</v>
      </c>
      <c r="M199" s="512" t="s">
        <v>1211</v>
      </c>
      <c r="N199" s="508">
        <f t="shared" si="58"/>
        <v>3.6999999999999998E-2</v>
      </c>
      <c r="O199" s="298">
        <v>0.7</v>
      </c>
      <c r="P199" s="508">
        <f t="shared" si="59"/>
        <v>2.5899999999999996E-2</v>
      </c>
    </row>
    <row r="200" spans="2:17" x14ac:dyDescent="0.35">
      <c r="B200" s="416">
        <v>9</v>
      </c>
      <c r="C200" s="516" t="s">
        <v>626</v>
      </c>
      <c r="D200" s="508" t="str">
        <f>IFERROR(VLOOKUP(C200,坦克个性化设定!$B$18:$E$48,4,FALSE)&amp;VLOOKUP(C200,坦克个性化细分!$I$3:$J$33,2,FALSE),"")</f>
        <v>T2中</v>
      </c>
      <c r="E200" s="512" t="s">
        <v>1211</v>
      </c>
      <c r="F200" s="508">
        <f t="shared" si="60"/>
        <v>3.6999999999999998E-2</v>
      </c>
      <c r="G200" s="299">
        <v>1</v>
      </c>
      <c r="H200" s="415">
        <f t="shared" si="61"/>
        <v>3.6999999999999998E-2</v>
      </c>
      <c r="J200" s="512">
        <v>9</v>
      </c>
      <c r="K200" s="516" t="s">
        <v>719</v>
      </c>
      <c r="L200" s="508" t="str">
        <f>IFERROR(VLOOKUP(K200,坦克个性化设定!$B$18:$E$48,4,FALSE)&amp;VLOOKUP(K200,坦克个性化细分!$I$3:$J$33,2,FALSE),"")</f>
        <v>T4低</v>
      </c>
      <c r="M200" s="512" t="s">
        <v>1211</v>
      </c>
      <c r="N200" s="508">
        <f t="shared" si="58"/>
        <v>3.6999999999999998E-2</v>
      </c>
      <c r="O200" s="298">
        <v>0.7</v>
      </c>
      <c r="P200" s="508">
        <f t="shared" si="59"/>
        <v>2.5899999999999996E-2</v>
      </c>
    </row>
    <row r="201" spans="2:17" x14ac:dyDescent="0.35">
      <c r="B201" s="416">
        <v>9</v>
      </c>
      <c r="C201" s="516" t="s">
        <v>631</v>
      </c>
      <c r="D201" s="508" t="str">
        <f>IFERROR(VLOOKUP(C201,坦克个性化设定!$B$18:$E$48,4,FALSE)&amp;VLOOKUP(C201,坦克个性化细分!$I$3:$J$33,2,FALSE),"")</f>
        <v>T2中</v>
      </c>
      <c r="E201" s="512" t="s">
        <v>1211</v>
      </c>
      <c r="F201" s="508">
        <f t="shared" si="60"/>
        <v>3.6999999999999998E-2</v>
      </c>
      <c r="G201" s="299">
        <v>1</v>
      </c>
      <c r="H201" s="415">
        <f t="shared" si="61"/>
        <v>3.6999999999999998E-2</v>
      </c>
      <c r="J201" s="512">
        <v>9</v>
      </c>
      <c r="K201" s="516" t="s">
        <v>635</v>
      </c>
      <c r="L201" s="508" t="str">
        <f>IFERROR(VLOOKUP(K201,坦克个性化设定!$B$18:$E$48,4,FALSE)&amp;VLOOKUP(K201,坦克个性化细分!$I$3:$J$33,2,FALSE),"")</f>
        <v>T4低</v>
      </c>
      <c r="M201" s="512" t="s">
        <v>1211</v>
      </c>
      <c r="N201" s="508">
        <f t="shared" si="58"/>
        <v>3.6999999999999998E-2</v>
      </c>
      <c r="O201" s="298">
        <v>0.7</v>
      </c>
      <c r="P201" s="508">
        <f t="shared" si="59"/>
        <v>2.5899999999999996E-2</v>
      </c>
    </row>
    <row r="202" spans="2:17" x14ac:dyDescent="0.35">
      <c r="B202" s="416">
        <v>9</v>
      </c>
      <c r="C202" s="516" t="s">
        <v>618</v>
      </c>
      <c r="D202" s="508" t="str">
        <f>IFERROR(VLOOKUP(C202,坦克个性化设定!$B$18:$E$48,4,FALSE)&amp;VLOOKUP(C202,坦克个性化细分!$I$3:$J$33,2,FALSE),"")</f>
        <v>T3低</v>
      </c>
      <c r="E202" s="512" t="s">
        <v>1211</v>
      </c>
      <c r="F202" s="508">
        <f t="shared" si="60"/>
        <v>3.6999999999999998E-2</v>
      </c>
      <c r="G202" s="299">
        <v>1</v>
      </c>
      <c r="H202" s="415">
        <f t="shared" si="61"/>
        <v>3.6999999999999998E-2</v>
      </c>
      <c r="J202" s="512">
        <v>9</v>
      </c>
      <c r="K202" s="516" t="s">
        <v>717</v>
      </c>
      <c r="L202" s="508" t="str">
        <f>IFERROR(VLOOKUP(K202,坦克个性化设定!$B$18:$E$48,4,FALSE)&amp;VLOOKUP(K202,坦克个性化细分!$I$3:$J$33,2,FALSE),"")</f>
        <v>T4中</v>
      </c>
      <c r="M202" s="512" t="s">
        <v>1211</v>
      </c>
      <c r="N202" s="508">
        <f t="shared" si="58"/>
        <v>3.6999999999999998E-2</v>
      </c>
      <c r="O202" s="298">
        <v>0.7</v>
      </c>
      <c r="P202" s="508">
        <f t="shared" si="59"/>
        <v>2.5899999999999996E-2</v>
      </c>
    </row>
    <row r="203" spans="2:17" x14ac:dyDescent="0.35">
      <c r="B203" s="416">
        <v>9</v>
      </c>
      <c r="C203" s="516" t="s">
        <v>627</v>
      </c>
      <c r="D203" s="508" t="str">
        <f>IFERROR(VLOOKUP(C203,坦克个性化设定!$B$18:$E$48,4,FALSE)&amp;VLOOKUP(C203,坦克个性化细分!$I$3:$J$33,2,FALSE),"")</f>
        <v>T3低</v>
      </c>
      <c r="E203" s="512" t="s">
        <v>1211</v>
      </c>
      <c r="F203" s="508">
        <f t="shared" si="60"/>
        <v>3.6999999999999998E-2</v>
      </c>
      <c r="G203" s="299">
        <v>1</v>
      </c>
      <c r="H203" s="415">
        <f t="shared" si="61"/>
        <v>3.6999999999999998E-2</v>
      </c>
      <c r="J203" s="512">
        <v>9</v>
      </c>
      <c r="K203" s="516" t="s">
        <v>720</v>
      </c>
      <c r="L203" s="508" t="str">
        <f>IFERROR(VLOOKUP(K203,坦克个性化设定!$B$18:$E$48,4,FALSE)&amp;VLOOKUP(K203,坦克个性化细分!$I$3:$J$33,2,FALSE),"")</f>
        <v>T4中</v>
      </c>
      <c r="M203" s="512" t="s">
        <v>1211</v>
      </c>
      <c r="N203" s="508">
        <f t="shared" si="58"/>
        <v>3.6999999999999998E-2</v>
      </c>
      <c r="O203" s="298">
        <v>0.7</v>
      </c>
      <c r="P203" s="508">
        <f t="shared" si="59"/>
        <v>2.5899999999999996E-2</v>
      </c>
    </row>
    <row r="204" spans="2:17" x14ac:dyDescent="0.35">
      <c r="B204" s="416">
        <v>9</v>
      </c>
      <c r="C204" s="516" t="s">
        <v>628</v>
      </c>
      <c r="D204" s="508" t="str">
        <f>IFERROR(VLOOKUP(C204,坦克个性化设定!$B$18:$E$48,4,FALSE)&amp;VLOOKUP(C204,坦克个性化细分!$I$3:$J$33,2,FALSE),"")</f>
        <v>T3低</v>
      </c>
      <c r="E204" s="512" t="s">
        <v>1211</v>
      </c>
      <c r="F204" s="508">
        <f t="shared" si="60"/>
        <v>3.6999999999999998E-2</v>
      </c>
      <c r="G204" s="299">
        <v>1</v>
      </c>
      <c r="H204" s="415">
        <f t="shared" si="61"/>
        <v>3.6999999999999998E-2</v>
      </c>
      <c r="J204" s="512">
        <v>9</v>
      </c>
      <c r="K204" s="516" t="s">
        <v>621</v>
      </c>
      <c r="L204" s="508" t="str">
        <f>IFERROR(VLOOKUP(K204,坦克个性化设定!$B$18:$E$48,4,FALSE)&amp;VLOOKUP(K204,坦克个性化细分!$I$3:$J$33,2,FALSE),"")</f>
        <v>T4高</v>
      </c>
      <c r="M204" s="512" t="s">
        <v>1211</v>
      </c>
      <c r="N204" s="508">
        <f t="shared" si="58"/>
        <v>3.6999999999999998E-2</v>
      </c>
      <c r="O204" s="298">
        <v>0.7</v>
      </c>
      <c r="P204" s="508">
        <f t="shared" si="59"/>
        <v>2.5899999999999996E-2</v>
      </c>
    </row>
    <row r="205" spans="2:17" x14ac:dyDescent="0.35">
      <c r="B205" s="416">
        <v>9</v>
      </c>
      <c r="C205" s="516" t="s">
        <v>619</v>
      </c>
      <c r="D205" s="508" t="str">
        <f>IFERROR(VLOOKUP(C205,坦克个性化设定!$B$18:$E$48,4,FALSE)&amp;VLOOKUP(C205,坦克个性化细分!$I$3:$J$33,2,FALSE),"")</f>
        <v>T3中</v>
      </c>
      <c r="E205" s="512" t="s">
        <v>1211</v>
      </c>
      <c r="F205" s="508">
        <f t="shared" si="60"/>
        <v>3.6999999999999998E-2</v>
      </c>
      <c r="G205" s="299">
        <v>1</v>
      </c>
      <c r="H205" s="415">
        <f t="shared" si="61"/>
        <v>3.6999999999999998E-2</v>
      </c>
      <c r="J205" s="512">
        <v>9</v>
      </c>
      <c r="K205" s="516" t="s">
        <v>634</v>
      </c>
      <c r="L205" s="508" t="str">
        <f>IFERROR(VLOOKUP(K205,坦克个性化设定!$B$18:$E$48,4,FALSE)&amp;VLOOKUP(K205,坦克个性化细分!$I$3:$J$33,2,FALSE),"")</f>
        <v>T4高</v>
      </c>
      <c r="M205" s="512" t="s">
        <v>1211</v>
      </c>
      <c r="N205" s="508">
        <f t="shared" si="58"/>
        <v>3.6999999999999998E-2</v>
      </c>
      <c r="O205" s="298">
        <v>0.7</v>
      </c>
      <c r="P205" s="508">
        <f t="shared" si="59"/>
        <v>2.5899999999999996E-2</v>
      </c>
    </row>
    <row r="206" spans="2:17" x14ac:dyDescent="0.35">
      <c r="B206" s="512">
        <v>9</v>
      </c>
      <c r="C206" s="516" t="s">
        <v>718</v>
      </c>
      <c r="D206" s="508" t="str">
        <f>IFERROR(VLOOKUP(C206,坦克个性化设定!$B$18:$E$48,4,FALSE)&amp;VLOOKUP(C206,坦克个性化细分!$I$3:$J$33,2,FALSE),"")</f>
        <v>T3中</v>
      </c>
      <c r="E206" s="512" t="s">
        <v>1211</v>
      </c>
      <c r="F206" s="508">
        <f t="shared" si="60"/>
        <v>3.6999999999999998E-2</v>
      </c>
      <c r="G206" s="299">
        <v>1</v>
      </c>
      <c r="H206" s="508">
        <f t="shared" si="61"/>
        <v>3.6999999999999998E-2</v>
      </c>
      <c r="J206" s="274"/>
      <c r="K206" s="274"/>
      <c r="M206" s="274"/>
    </row>
    <row r="207" spans="2:17" x14ac:dyDescent="0.35">
      <c r="B207" s="512">
        <v>9</v>
      </c>
      <c r="C207" s="516" t="s">
        <v>632</v>
      </c>
      <c r="D207" s="508" t="str">
        <f>IFERROR(VLOOKUP(C207,坦克个性化设定!$B$18:$E$48,4,FALSE)&amp;VLOOKUP(C207,坦克个性化细分!$I$3:$J$33,2,FALSE),"")</f>
        <v>T3中</v>
      </c>
      <c r="E207" s="512" t="s">
        <v>1211</v>
      </c>
      <c r="F207" s="508">
        <f t="shared" si="60"/>
        <v>3.6999999999999998E-2</v>
      </c>
      <c r="G207" s="299">
        <v>1</v>
      </c>
      <c r="H207" s="508">
        <f t="shared" si="61"/>
        <v>3.6999999999999998E-2</v>
      </c>
      <c r="J207" s="274"/>
      <c r="K207" s="274"/>
      <c r="M207" s="274"/>
    </row>
    <row r="208" spans="2:17" x14ac:dyDescent="0.35">
      <c r="B208" s="512">
        <v>9</v>
      </c>
      <c r="C208" s="418" t="s">
        <v>620</v>
      </c>
      <c r="D208" s="415" t="str">
        <f>IFERROR(VLOOKUP(C208,坦克个性化设定!$B$18:$E$48,4,FALSE)&amp;VLOOKUP(C208,坦克个性化细分!$I$3:$J$33,2,FALSE),"")</f>
        <v>T4低</v>
      </c>
      <c r="E208" s="416" t="s">
        <v>1211</v>
      </c>
      <c r="F208" s="508">
        <f t="shared" si="60"/>
        <v>3.6999999999999998E-2</v>
      </c>
      <c r="G208" s="299">
        <v>1</v>
      </c>
      <c r="H208" s="508">
        <f t="shared" si="61"/>
        <v>3.6999999999999998E-2</v>
      </c>
      <c r="J208" s="512" t="s">
        <v>597</v>
      </c>
      <c r="K208" s="512" t="s">
        <v>1225</v>
      </c>
      <c r="L208" s="419" t="s">
        <v>792</v>
      </c>
      <c r="M208" s="513" t="s">
        <v>917</v>
      </c>
      <c r="N208" s="422" t="s">
        <v>2011</v>
      </c>
      <c r="O208" s="422" t="s">
        <v>747</v>
      </c>
      <c r="P208" s="422" t="s">
        <v>2013</v>
      </c>
      <c r="Q208" s="158">
        <f>SUM(P209:P226)</f>
        <v>0.6659999999999997</v>
      </c>
    </row>
    <row r="209" spans="2:16" x14ac:dyDescent="0.35">
      <c r="B209" s="416">
        <v>9</v>
      </c>
      <c r="C209" s="418" t="s">
        <v>719</v>
      </c>
      <c r="D209" s="415" t="str">
        <f>IFERROR(VLOOKUP(C209,坦克个性化设定!$B$18:$E$48,4,FALSE)&amp;VLOOKUP(C209,坦克个性化细分!$I$3:$J$33,2,FALSE),"")</f>
        <v>T4低</v>
      </c>
      <c r="E209" s="416" t="s">
        <v>1211</v>
      </c>
      <c r="F209" s="508">
        <f t="shared" si="60"/>
        <v>3.6999999999999998E-2</v>
      </c>
      <c r="G209" s="299">
        <v>1</v>
      </c>
      <c r="H209" s="415">
        <f t="shared" si="61"/>
        <v>3.6999999999999998E-2</v>
      </c>
      <c r="J209" s="512">
        <v>10</v>
      </c>
      <c r="K209" s="516" t="s">
        <v>620</v>
      </c>
      <c r="L209" s="508" t="str">
        <f>IFERROR(VLOOKUP(K209,坦克个性化设定!$B$18:$E$48,4,FALSE)&amp;VLOOKUP(K209,坦克个性化细分!$I$3:$J$33,2,FALSE),"")</f>
        <v>T4低</v>
      </c>
      <c r="M209" s="295" t="s">
        <v>918</v>
      </c>
      <c r="N209" s="508">
        <f t="shared" ref="N209:N226" si="62">$E$69</f>
        <v>3.6999999999999998E-2</v>
      </c>
      <c r="O209" s="298">
        <f>1+1/3</f>
        <v>1.3333333333333333</v>
      </c>
      <c r="P209" s="508">
        <f t="shared" ref="P209:P226" si="63">N209*O209</f>
        <v>4.9333333333333326E-2</v>
      </c>
    </row>
    <row r="210" spans="2:16" x14ac:dyDescent="0.35">
      <c r="B210" s="416">
        <v>9</v>
      </c>
      <c r="C210" s="418" t="s">
        <v>635</v>
      </c>
      <c r="D210" s="415" t="str">
        <f>IFERROR(VLOOKUP(C210,坦克个性化设定!$B$18:$E$48,4,FALSE)&amp;VLOOKUP(C210,坦克个性化细分!$I$3:$J$33,2,FALSE),"")</f>
        <v>T4低</v>
      </c>
      <c r="E210" s="416" t="s">
        <v>1211</v>
      </c>
      <c r="F210" s="508">
        <f t="shared" si="60"/>
        <v>3.6999999999999998E-2</v>
      </c>
      <c r="G210" s="299">
        <v>1</v>
      </c>
      <c r="H210" s="415">
        <f t="shared" si="61"/>
        <v>3.6999999999999998E-2</v>
      </c>
      <c r="J210" s="512">
        <v>10</v>
      </c>
      <c r="K210" s="516" t="s">
        <v>719</v>
      </c>
      <c r="L210" s="508" t="str">
        <f>IFERROR(VLOOKUP(K210,坦克个性化设定!$B$18:$E$48,4,FALSE)&amp;VLOOKUP(K210,坦克个性化细分!$I$3:$J$33,2,FALSE),"")</f>
        <v>T4低</v>
      </c>
      <c r="M210" s="295" t="s">
        <v>918</v>
      </c>
      <c r="N210" s="508">
        <f t="shared" si="62"/>
        <v>3.6999999999999998E-2</v>
      </c>
      <c r="O210" s="298">
        <f t="shared" ref="O210:O217" si="64">1+1/3</f>
        <v>1.3333333333333333</v>
      </c>
      <c r="P210" s="508">
        <f t="shared" si="63"/>
        <v>4.9333333333333326E-2</v>
      </c>
    </row>
    <row r="211" spans="2:16" x14ac:dyDescent="0.35">
      <c r="B211" s="416">
        <v>9</v>
      </c>
      <c r="C211" s="516" t="s">
        <v>717</v>
      </c>
      <c r="D211" s="415" t="str">
        <f>IFERROR(VLOOKUP(C211,坦克个性化设定!$B$18:$E$48,4,FALSE)&amp;VLOOKUP(C211,坦克个性化细分!$I$3:$J$33,2,FALSE),"")</f>
        <v>T4中</v>
      </c>
      <c r="E211" s="416" t="s">
        <v>1211</v>
      </c>
      <c r="F211" s="508">
        <f t="shared" si="60"/>
        <v>3.6999999999999998E-2</v>
      </c>
      <c r="G211" s="299">
        <v>1</v>
      </c>
      <c r="H211" s="415">
        <f t="shared" si="61"/>
        <v>3.6999999999999998E-2</v>
      </c>
      <c r="J211" s="512">
        <v>10</v>
      </c>
      <c r="K211" s="516" t="s">
        <v>635</v>
      </c>
      <c r="L211" s="508" t="str">
        <f>IFERROR(VLOOKUP(K211,坦克个性化设定!$B$18:$E$48,4,FALSE)&amp;VLOOKUP(K211,坦克个性化细分!$I$3:$J$33,2,FALSE),"")</f>
        <v>T4低</v>
      </c>
      <c r="M211" s="295" t="s">
        <v>918</v>
      </c>
      <c r="N211" s="508">
        <f t="shared" si="62"/>
        <v>3.6999999999999998E-2</v>
      </c>
      <c r="O211" s="298">
        <f t="shared" si="64"/>
        <v>1.3333333333333333</v>
      </c>
      <c r="P211" s="508">
        <f t="shared" si="63"/>
        <v>4.9333333333333326E-2</v>
      </c>
    </row>
    <row r="212" spans="2:16" x14ac:dyDescent="0.35">
      <c r="B212" s="416">
        <v>9</v>
      </c>
      <c r="C212" s="516" t="s">
        <v>720</v>
      </c>
      <c r="D212" s="415" t="str">
        <f>IFERROR(VLOOKUP(C212,坦克个性化设定!$B$18:$E$48,4,FALSE)&amp;VLOOKUP(C212,坦克个性化细分!$I$3:$J$33,2,FALSE),"")</f>
        <v>T4中</v>
      </c>
      <c r="E212" s="416" t="s">
        <v>1211</v>
      </c>
      <c r="F212" s="508">
        <f t="shared" si="60"/>
        <v>3.6999999999999998E-2</v>
      </c>
      <c r="G212" s="299">
        <v>1</v>
      </c>
      <c r="H212" s="415">
        <f t="shared" si="61"/>
        <v>3.6999999999999998E-2</v>
      </c>
      <c r="J212" s="512">
        <v>10</v>
      </c>
      <c r="K212" s="516" t="s">
        <v>720</v>
      </c>
      <c r="L212" s="508" t="str">
        <f>IFERROR(VLOOKUP(K212,坦克个性化设定!$B$18:$E$48,4,FALSE)&amp;VLOOKUP(K212,坦克个性化细分!$I$3:$J$33,2,FALSE),"")</f>
        <v>T4中</v>
      </c>
      <c r="M212" s="295" t="s">
        <v>918</v>
      </c>
      <c r="N212" s="508">
        <f t="shared" si="62"/>
        <v>3.6999999999999998E-2</v>
      </c>
      <c r="O212" s="298">
        <f t="shared" si="64"/>
        <v>1.3333333333333333</v>
      </c>
      <c r="P212" s="508">
        <f t="shared" si="63"/>
        <v>4.9333333333333326E-2</v>
      </c>
    </row>
    <row r="213" spans="2:16" x14ac:dyDescent="0.35">
      <c r="B213" s="416">
        <v>9</v>
      </c>
      <c r="C213" s="516" t="s">
        <v>621</v>
      </c>
      <c r="D213" s="415" t="str">
        <f>IFERROR(VLOOKUP(C213,坦克个性化设定!$B$18:$E$48,4,FALSE)&amp;VLOOKUP(C213,坦克个性化细分!$I$3:$J$33,2,FALSE),"")</f>
        <v>T4高</v>
      </c>
      <c r="E213" s="416" t="s">
        <v>1211</v>
      </c>
      <c r="F213" s="508">
        <f t="shared" si="60"/>
        <v>3.6999999999999998E-2</v>
      </c>
      <c r="G213" s="299">
        <v>1</v>
      </c>
      <c r="H213" s="415">
        <f t="shared" si="61"/>
        <v>3.6999999999999998E-2</v>
      </c>
      <c r="J213" s="512">
        <v>10</v>
      </c>
      <c r="K213" s="516" t="s">
        <v>629</v>
      </c>
      <c r="L213" s="508" t="str">
        <f>IFERROR(VLOOKUP(K213,坦克个性化设定!$B$18:$E$48,4,FALSE)&amp;VLOOKUP(K213,坦克个性化细分!$I$3:$J$33,2,FALSE),"")</f>
        <v>T4中</v>
      </c>
      <c r="M213" s="295" t="s">
        <v>918</v>
      </c>
      <c r="N213" s="508">
        <f t="shared" si="62"/>
        <v>3.6999999999999998E-2</v>
      </c>
      <c r="O213" s="298">
        <f t="shared" si="64"/>
        <v>1.3333333333333333</v>
      </c>
      <c r="P213" s="508">
        <f t="shared" si="63"/>
        <v>4.9333333333333326E-2</v>
      </c>
    </row>
    <row r="214" spans="2:16" x14ac:dyDescent="0.35">
      <c r="B214" s="416">
        <v>9</v>
      </c>
      <c r="C214" s="516" t="s">
        <v>634</v>
      </c>
      <c r="D214" s="415" t="str">
        <f>IFERROR(VLOOKUP(C214,坦克个性化设定!$B$18:$E$48,4,FALSE)&amp;VLOOKUP(C214,坦克个性化细分!$I$3:$J$33,2,FALSE),"")</f>
        <v>T4高</v>
      </c>
      <c r="E214" s="416" t="s">
        <v>1211</v>
      </c>
      <c r="F214" s="508">
        <f t="shared" si="60"/>
        <v>3.6999999999999998E-2</v>
      </c>
      <c r="G214" s="299">
        <v>1</v>
      </c>
      <c r="H214" s="415">
        <f t="shared" si="61"/>
        <v>3.6999999999999998E-2</v>
      </c>
      <c r="J214" s="512">
        <v>10</v>
      </c>
      <c r="K214" s="516" t="s">
        <v>717</v>
      </c>
      <c r="L214" s="508" t="str">
        <f>IFERROR(VLOOKUP(K214,坦克个性化设定!$B$18:$E$48,4,FALSE)&amp;VLOOKUP(K214,坦克个性化细分!$I$3:$J$33,2,FALSE),"")</f>
        <v>T4中</v>
      </c>
      <c r="M214" s="295" t="s">
        <v>918</v>
      </c>
      <c r="N214" s="508">
        <f t="shared" si="62"/>
        <v>3.6999999999999998E-2</v>
      </c>
      <c r="O214" s="298">
        <f t="shared" si="64"/>
        <v>1.3333333333333333</v>
      </c>
      <c r="P214" s="508">
        <f t="shared" si="63"/>
        <v>4.9333333333333326E-2</v>
      </c>
    </row>
    <row r="215" spans="2:16" x14ac:dyDescent="0.35">
      <c r="B215" s="274"/>
      <c r="C215" s="274"/>
      <c r="E215" s="274"/>
      <c r="J215" s="512">
        <v>10</v>
      </c>
      <c r="K215" s="516" t="s">
        <v>621</v>
      </c>
      <c r="L215" s="508" t="str">
        <f>IFERROR(VLOOKUP(K215,坦克个性化设定!$B$18:$E$48,4,FALSE)&amp;VLOOKUP(K215,坦克个性化细分!$I$3:$J$33,2,FALSE),"")</f>
        <v>T4高</v>
      </c>
      <c r="M215" s="295" t="s">
        <v>918</v>
      </c>
      <c r="N215" s="508">
        <f t="shared" si="62"/>
        <v>3.6999999999999998E-2</v>
      </c>
      <c r="O215" s="298">
        <f t="shared" si="64"/>
        <v>1.3333333333333333</v>
      </c>
      <c r="P215" s="508">
        <f t="shared" si="63"/>
        <v>4.9333333333333326E-2</v>
      </c>
    </row>
    <row r="216" spans="2:16" x14ac:dyDescent="0.35">
      <c r="B216" s="274"/>
      <c r="C216" s="274"/>
      <c r="E216" s="274"/>
      <c r="J216" s="512">
        <v>10</v>
      </c>
      <c r="K216" s="516" t="s">
        <v>634</v>
      </c>
      <c r="L216" s="508" t="str">
        <f>IFERROR(VLOOKUP(K216,坦克个性化设定!$B$18:$E$48,4,FALSE)&amp;VLOOKUP(K216,坦克个性化细分!$I$3:$J$33,2,FALSE),"")</f>
        <v>T4高</v>
      </c>
      <c r="M216" s="295" t="s">
        <v>918</v>
      </c>
      <c r="N216" s="508">
        <f t="shared" si="62"/>
        <v>3.6999999999999998E-2</v>
      </c>
      <c r="O216" s="298">
        <f t="shared" si="64"/>
        <v>1.3333333333333333</v>
      </c>
      <c r="P216" s="508">
        <f t="shared" si="63"/>
        <v>4.9333333333333326E-2</v>
      </c>
    </row>
    <row r="217" spans="2:16" x14ac:dyDescent="0.35">
      <c r="B217" s="416" t="s">
        <v>597</v>
      </c>
      <c r="C217" s="416" t="s">
        <v>1225</v>
      </c>
      <c r="D217" s="419" t="s">
        <v>2006</v>
      </c>
      <c r="E217" s="417" t="s">
        <v>917</v>
      </c>
      <c r="F217" s="422" t="s">
        <v>2011</v>
      </c>
      <c r="G217" s="422" t="s">
        <v>2012</v>
      </c>
      <c r="H217" s="422" t="s">
        <v>2013</v>
      </c>
      <c r="I217" s="158">
        <f>SUM(H218:H235)</f>
        <v>0.66600000000000004</v>
      </c>
      <c r="J217" s="512">
        <v>10</v>
      </c>
      <c r="K217" s="516" t="s">
        <v>722</v>
      </c>
      <c r="L217" s="508" t="str">
        <f>IFERROR(VLOOKUP(K217,坦克个性化设定!$B$18:$E$48,4,FALSE)&amp;VLOOKUP(K217,坦克个性化细分!$I$3:$J$33,2,FALSE),"")</f>
        <v>T4高</v>
      </c>
      <c r="M217" s="295" t="s">
        <v>918</v>
      </c>
      <c r="N217" s="508">
        <f t="shared" si="62"/>
        <v>3.6999999999999998E-2</v>
      </c>
      <c r="O217" s="298">
        <f t="shared" si="64"/>
        <v>1.3333333333333333</v>
      </c>
      <c r="P217" s="508">
        <f t="shared" si="63"/>
        <v>4.9333333333333326E-2</v>
      </c>
    </row>
    <row r="218" spans="2:16" x14ac:dyDescent="0.35">
      <c r="B218" s="416">
        <v>10</v>
      </c>
      <c r="C218" s="516" t="s">
        <v>617</v>
      </c>
      <c r="D218" s="508" t="str">
        <f>IFERROR(VLOOKUP(C218,坦克个性化设定!$B$18:$E$48,4,FALSE)&amp;VLOOKUP(C218,坦克个性化细分!$I$3:$J$33,2,FALSE),"")</f>
        <v>T2中</v>
      </c>
      <c r="E218" s="512" t="s">
        <v>1211</v>
      </c>
      <c r="F218" s="508">
        <f t="shared" ref="F218:F235" si="65">$E$69</f>
        <v>3.6999999999999998E-2</v>
      </c>
      <c r="G218" s="299">
        <v>1</v>
      </c>
      <c r="H218" s="415">
        <f t="shared" ref="H218:H235" si="66">F218*G218</f>
        <v>3.6999999999999998E-2</v>
      </c>
      <c r="J218" s="512">
        <v>10</v>
      </c>
      <c r="K218" s="516" t="s">
        <v>620</v>
      </c>
      <c r="L218" s="508" t="str">
        <f>IFERROR(VLOOKUP(K218,坦克个性化设定!$B$18:$E$48,4,FALSE)&amp;VLOOKUP(K218,坦克个性化细分!$I$3:$J$33,2,FALSE),"")</f>
        <v>T4低</v>
      </c>
      <c r="M218" s="512" t="s">
        <v>1211</v>
      </c>
      <c r="N218" s="508">
        <f t="shared" si="62"/>
        <v>3.6999999999999998E-2</v>
      </c>
      <c r="O218" s="298">
        <f>2/3</f>
        <v>0.66666666666666663</v>
      </c>
      <c r="P218" s="508">
        <f t="shared" si="63"/>
        <v>2.4666666666666663E-2</v>
      </c>
    </row>
    <row r="219" spans="2:16" x14ac:dyDescent="0.35">
      <c r="B219" s="416">
        <v>10</v>
      </c>
      <c r="C219" s="516" t="s">
        <v>626</v>
      </c>
      <c r="D219" s="508" t="str">
        <f>IFERROR(VLOOKUP(C219,坦克个性化设定!$B$18:$E$48,4,FALSE)&amp;VLOOKUP(C219,坦克个性化细分!$I$3:$J$33,2,FALSE),"")</f>
        <v>T2中</v>
      </c>
      <c r="E219" s="512" t="s">
        <v>1211</v>
      </c>
      <c r="F219" s="508">
        <f t="shared" si="65"/>
        <v>3.6999999999999998E-2</v>
      </c>
      <c r="G219" s="299">
        <v>1</v>
      </c>
      <c r="H219" s="415">
        <f t="shared" si="66"/>
        <v>3.6999999999999998E-2</v>
      </c>
      <c r="J219" s="512">
        <v>10</v>
      </c>
      <c r="K219" s="516" t="s">
        <v>719</v>
      </c>
      <c r="L219" s="508" t="str">
        <f>IFERROR(VLOOKUP(K219,坦克个性化设定!$B$18:$E$48,4,FALSE)&amp;VLOOKUP(K219,坦克个性化细分!$I$3:$J$33,2,FALSE),"")</f>
        <v>T4低</v>
      </c>
      <c r="M219" s="512" t="s">
        <v>1211</v>
      </c>
      <c r="N219" s="508">
        <f t="shared" si="62"/>
        <v>3.6999999999999998E-2</v>
      </c>
      <c r="O219" s="298">
        <f t="shared" ref="O219:O226" si="67">2/3</f>
        <v>0.66666666666666663</v>
      </c>
      <c r="P219" s="508">
        <f t="shared" si="63"/>
        <v>2.4666666666666663E-2</v>
      </c>
    </row>
    <row r="220" spans="2:16" x14ac:dyDescent="0.35">
      <c r="B220" s="416">
        <v>10</v>
      </c>
      <c r="C220" s="516" t="s">
        <v>631</v>
      </c>
      <c r="D220" s="508" t="str">
        <f>IFERROR(VLOOKUP(C220,坦克个性化设定!$B$18:$E$48,4,FALSE)&amp;VLOOKUP(C220,坦克个性化细分!$I$3:$J$33,2,FALSE),"")</f>
        <v>T2中</v>
      </c>
      <c r="E220" s="512" t="s">
        <v>1211</v>
      </c>
      <c r="F220" s="508">
        <f t="shared" si="65"/>
        <v>3.6999999999999998E-2</v>
      </c>
      <c r="G220" s="299">
        <v>1</v>
      </c>
      <c r="H220" s="415">
        <f t="shared" si="66"/>
        <v>3.6999999999999998E-2</v>
      </c>
      <c r="J220" s="512">
        <v>10</v>
      </c>
      <c r="K220" s="516" t="s">
        <v>635</v>
      </c>
      <c r="L220" s="508" t="str">
        <f>IFERROR(VLOOKUP(K220,坦克个性化设定!$B$18:$E$48,4,FALSE)&amp;VLOOKUP(K220,坦克个性化细分!$I$3:$J$33,2,FALSE),"")</f>
        <v>T4低</v>
      </c>
      <c r="M220" s="512" t="s">
        <v>1211</v>
      </c>
      <c r="N220" s="508">
        <f t="shared" si="62"/>
        <v>3.6999999999999998E-2</v>
      </c>
      <c r="O220" s="298">
        <f t="shared" si="67"/>
        <v>0.66666666666666663</v>
      </c>
      <c r="P220" s="508">
        <f t="shared" si="63"/>
        <v>2.4666666666666663E-2</v>
      </c>
    </row>
    <row r="221" spans="2:16" x14ac:dyDescent="0.35">
      <c r="B221" s="416">
        <v>10</v>
      </c>
      <c r="C221" s="516" t="s">
        <v>618</v>
      </c>
      <c r="D221" s="508" t="str">
        <f>IFERROR(VLOOKUP(C221,坦克个性化设定!$B$18:$E$48,4,FALSE)&amp;VLOOKUP(C221,坦克个性化细分!$I$3:$J$33,2,FALSE),"")</f>
        <v>T3低</v>
      </c>
      <c r="E221" s="512" t="s">
        <v>1211</v>
      </c>
      <c r="F221" s="508">
        <f t="shared" si="65"/>
        <v>3.6999999999999998E-2</v>
      </c>
      <c r="G221" s="299">
        <v>1</v>
      </c>
      <c r="H221" s="415">
        <f t="shared" si="66"/>
        <v>3.6999999999999998E-2</v>
      </c>
      <c r="J221" s="512">
        <v>10</v>
      </c>
      <c r="K221" s="516" t="s">
        <v>720</v>
      </c>
      <c r="L221" s="508" t="str">
        <f>IFERROR(VLOOKUP(K221,坦克个性化设定!$B$18:$E$48,4,FALSE)&amp;VLOOKUP(K221,坦克个性化细分!$I$3:$J$33,2,FALSE),"")</f>
        <v>T4中</v>
      </c>
      <c r="M221" s="512" t="s">
        <v>1211</v>
      </c>
      <c r="N221" s="508">
        <f t="shared" si="62"/>
        <v>3.6999999999999998E-2</v>
      </c>
      <c r="O221" s="298">
        <f t="shared" si="67"/>
        <v>0.66666666666666663</v>
      </c>
      <c r="P221" s="508">
        <f t="shared" si="63"/>
        <v>2.4666666666666663E-2</v>
      </c>
    </row>
    <row r="222" spans="2:16" x14ac:dyDescent="0.35">
      <c r="B222" s="416">
        <v>10</v>
      </c>
      <c r="C222" s="516" t="s">
        <v>627</v>
      </c>
      <c r="D222" s="508" t="str">
        <f>IFERROR(VLOOKUP(C222,坦克个性化设定!$B$18:$E$48,4,FALSE)&amp;VLOOKUP(C222,坦克个性化细分!$I$3:$J$33,2,FALSE),"")</f>
        <v>T3低</v>
      </c>
      <c r="E222" s="512" t="s">
        <v>1211</v>
      </c>
      <c r="F222" s="508">
        <f t="shared" si="65"/>
        <v>3.6999999999999998E-2</v>
      </c>
      <c r="G222" s="299">
        <v>1</v>
      </c>
      <c r="H222" s="415">
        <f t="shared" si="66"/>
        <v>3.6999999999999998E-2</v>
      </c>
      <c r="J222" s="512">
        <v>10</v>
      </c>
      <c r="K222" s="516" t="s">
        <v>629</v>
      </c>
      <c r="L222" s="508" t="str">
        <f>IFERROR(VLOOKUP(K222,坦克个性化设定!$B$18:$E$48,4,FALSE)&amp;VLOOKUP(K222,坦克个性化细分!$I$3:$J$33,2,FALSE),"")</f>
        <v>T4中</v>
      </c>
      <c r="M222" s="512" t="s">
        <v>1211</v>
      </c>
      <c r="N222" s="508">
        <f t="shared" si="62"/>
        <v>3.6999999999999998E-2</v>
      </c>
      <c r="O222" s="298">
        <f t="shared" si="67"/>
        <v>0.66666666666666663</v>
      </c>
      <c r="P222" s="508">
        <f t="shared" si="63"/>
        <v>2.4666666666666663E-2</v>
      </c>
    </row>
    <row r="223" spans="2:16" x14ac:dyDescent="0.35">
      <c r="B223" s="416">
        <v>10</v>
      </c>
      <c r="C223" s="516" t="s">
        <v>628</v>
      </c>
      <c r="D223" s="508" t="str">
        <f>IFERROR(VLOOKUP(C223,坦克个性化设定!$B$18:$E$48,4,FALSE)&amp;VLOOKUP(C223,坦克个性化细分!$I$3:$J$33,2,FALSE),"")</f>
        <v>T3低</v>
      </c>
      <c r="E223" s="512" t="s">
        <v>1211</v>
      </c>
      <c r="F223" s="508">
        <f t="shared" si="65"/>
        <v>3.6999999999999998E-2</v>
      </c>
      <c r="G223" s="299">
        <v>1</v>
      </c>
      <c r="H223" s="415">
        <f t="shared" si="66"/>
        <v>3.6999999999999998E-2</v>
      </c>
      <c r="J223" s="512">
        <v>10</v>
      </c>
      <c r="K223" s="516" t="s">
        <v>717</v>
      </c>
      <c r="L223" s="508" t="str">
        <f>IFERROR(VLOOKUP(K223,坦克个性化设定!$B$18:$E$48,4,FALSE)&amp;VLOOKUP(K223,坦克个性化细分!$I$3:$J$33,2,FALSE),"")</f>
        <v>T4中</v>
      </c>
      <c r="M223" s="512" t="s">
        <v>1211</v>
      </c>
      <c r="N223" s="508">
        <f t="shared" si="62"/>
        <v>3.6999999999999998E-2</v>
      </c>
      <c r="O223" s="298">
        <f t="shared" si="67"/>
        <v>0.66666666666666663</v>
      </c>
      <c r="P223" s="508">
        <f t="shared" si="63"/>
        <v>2.4666666666666663E-2</v>
      </c>
    </row>
    <row r="224" spans="2:16" x14ac:dyDescent="0.35">
      <c r="B224" s="416">
        <v>10</v>
      </c>
      <c r="C224" s="516" t="s">
        <v>619</v>
      </c>
      <c r="D224" s="508" t="str">
        <f>IFERROR(VLOOKUP(C224,坦克个性化设定!$B$18:$E$48,4,FALSE)&amp;VLOOKUP(C224,坦克个性化细分!$I$3:$J$33,2,FALSE),"")</f>
        <v>T3中</v>
      </c>
      <c r="E224" s="512" t="s">
        <v>1211</v>
      </c>
      <c r="F224" s="508">
        <f t="shared" si="65"/>
        <v>3.6999999999999998E-2</v>
      </c>
      <c r="G224" s="299">
        <v>1</v>
      </c>
      <c r="H224" s="415">
        <f t="shared" si="66"/>
        <v>3.6999999999999998E-2</v>
      </c>
      <c r="J224" s="512">
        <v>10</v>
      </c>
      <c r="K224" s="516" t="s">
        <v>621</v>
      </c>
      <c r="L224" s="508" t="str">
        <f>IFERROR(VLOOKUP(K224,坦克个性化设定!$B$18:$E$48,4,FALSE)&amp;VLOOKUP(K224,坦克个性化细分!$I$3:$J$33,2,FALSE),"")</f>
        <v>T4高</v>
      </c>
      <c r="M224" s="512" t="s">
        <v>1211</v>
      </c>
      <c r="N224" s="508">
        <f t="shared" si="62"/>
        <v>3.6999999999999998E-2</v>
      </c>
      <c r="O224" s="298">
        <f t="shared" si="67"/>
        <v>0.66666666666666663</v>
      </c>
      <c r="P224" s="508">
        <f t="shared" si="63"/>
        <v>2.4666666666666663E-2</v>
      </c>
    </row>
    <row r="225" spans="2:16" x14ac:dyDescent="0.35">
      <c r="B225" s="416">
        <v>10</v>
      </c>
      <c r="C225" s="516" t="s">
        <v>718</v>
      </c>
      <c r="D225" s="508" t="str">
        <f>IFERROR(VLOOKUP(C225,坦克个性化设定!$B$18:$E$48,4,FALSE)&amp;VLOOKUP(C225,坦克个性化细分!$I$3:$J$33,2,FALSE),"")</f>
        <v>T3中</v>
      </c>
      <c r="E225" s="512" t="s">
        <v>1211</v>
      </c>
      <c r="F225" s="508">
        <f t="shared" si="65"/>
        <v>3.6999999999999998E-2</v>
      </c>
      <c r="G225" s="299">
        <v>1</v>
      </c>
      <c r="H225" s="415">
        <f t="shared" si="66"/>
        <v>3.6999999999999998E-2</v>
      </c>
      <c r="J225" s="512">
        <v>10</v>
      </c>
      <c r="K225" s="516" t="s">
        <v>634</v>
      </c>
      <c r="L225" s="508" t="str">
        <f>IFERROR(VLOOKUP(K225,坦克个性化设定!$B$18:$E$48,4,FALSE)&amp;VLOOKUP(K225,坦克个性化细分!$I$3:$J$33,2,FALSE),"")</f>
        <v>T4高</v>
      </c>
      <c r="M225" s="512" t="s">
        <v>1211</v>
      </c>
      <c r="N225" s="508">
        <f t="shared" si="62"/>
        <v>3.6999999999999998E-2</v>
      </c>
      <c r="O225" s="298">
        <f t="shared" si="67"/>
        <v>0.66666666666666663</v>
      </c>
      <c r="P225" s="508">
        <f t="shared" si="63"/>
        <v>2.4666666666666663E-2</v>
      </c>
    </row>
    <row r="226" spans="2:16" x14ac:dyDescent="0.35">
      <c r="B226" s="416">
        <v>10</v>
      </c>
      <c r="C226" s="516" t="s">
        <v>632</v>
      </c>
      <c r="D226" s="508" t="str">
        <f>IFERROR(VLOOKUP(C226,坦克个性化设定!$B$18:$E$48,4,FALSE)&amp;VLOOKUP(C226,坦克个性化细分!$I$3:$J$33,2,FALSE),"")</f>
        <v>T3中</v>
      </c>
      <c r="E226" s="512" t="s">
        <v>1211</v>
      </c>
      <c r="F226" s="508">
        <f t="shared" si="65"/>
        <v>3.6999999999999998E-2</v>
      </c>
      <c r="G226" s="299">
        <v>1</v>
      </c>
      <c r="H226" s="415">
        <f t="shared" si="66"/>
        <v>3.6999999999999998E-2</v>
      </c>
      <c r="J226" s="512">
        <v>10</v>
      </c>
      <c r="K226" s="516" t="s">
        <v>722</v>
      </c>
      <c r="L226" s="508" t="str">
        <f>IFERROR(VLOOKUP(K226,坦克个性化设定!$B$18:$E$48,4,FALSE)&amp;VLOOKUP(K226,坦克个性化细分!$I$3:$J$33,2,FALSE),"")</f>
        <v>T4高</v>
      </c>
      <c r="M226" s="512" t="s">
        <v>1211</v>
      </c>
      <c r="N226" s="508">
        <f t="shared" si="62"/>
        <v>3.6999999999999998E-2</v>
      </c>
      <c r="O226" s="298">
        <f t="shared" si="67"/>
        <v>0.66666666666666663</v>
      </c>
      <c r="P226" s="508">
        <f t="shared" si="63"/>
        <v>2.4666666666666663E-2</v>
      </c>
    </row>
    <row r="227" spans="2:16" x14ac:dyDescent="0.35">
      <c r="B227" s="416">
        <v>10</v>
      </c>
      <c r="C227" s="418" t="s">
        <v>620</v>
      </c>
      <c r="D227" s="415" t="str">
        <f>IFERROR(VLOOKUP(C227,坦克个性化设定!$B$18:$E$48,4,FALSE)&amp;VLOOKUP(C227,坦克个性化细分!$I$3:$J$33,2,FALSE),"")</f>
        <v>T4低</v>
      </c>
      <c r="E227" s="416" t="s">
        <v>1211</v>
      </c>
      <c r="F227" s="508">
        <f t="shared" si="65"/>
        <v>3.6999999999999998E-2</v>
      </c>
      <c r="G227" s="299">
        <v>1</v>
      </c>
      <c r="H227" s="415">
        <f t="shared" si="66"/>
        <v>3.6999999999999998E-2</v>
      </c>
    </row>
    <row r="228" spans="2:16" x14ac:dyDescent="0.35">
      <c r="B228" s="416">
        <v>10</v>
      </c>
      <c r="C228" s="418" t="s">
        <v>719</v>
      </c>
      <c r="D228" s="415" t="str">
        <f>IFERROR(VLOOKUP(C228,坦克个性化设定!$B$18:$E$48,4,FALSE)&amp;VLOOKUP(C228,坦克个性化细分!$I$3:$J$33,2,FALSE),"")</f>
        <v>T4低</v>
      </c>
      <c r="E228" s="416" t="s">
        <v>1211</v>
      </c>
      <c r="F228" s="508">
        <f t="shared" si="65"/>
        <v>3.6999999999999998E-2</v>
      </c>
      <c r="G228" s="299">
        <v>1</v>
      </c>
      <c r="H228" s="415">
        <f t="shared" si="66"/>
        <v>3.6999999999999998E-2</v>
      </c>
    </row>
    <row r="229" spans="2:16" x14ac:dyDescent="0.35">
      <c r="B229" s="416">
        <v>10</v>
      </c>
      <c r="C229" s="418" t="s">
        <v>635</v>
      </c>
      <c r="D229" s="415" t="str">
        <f>IFERROR(VLOOKUP(C229,坦克个性化设定!$B$18:$E$48,4,FALSE)&amp;VLOOKUP(C229,坦克个性化细分!$I$3:$J$33,2,FALSE),"")</f>
        <v>T4低</v>
      </c>
      <c r="E229" s="416" t="s">
        <v>1211</v>
      </c>
      <c r="F229" s="508">
        <f t="shared" si="65"/>
        <v>3.6999999999999998E-2</v>
      </c>
      <c r="G229" s="299">
        <v>1</v>
      </c>
      <c r="H229" s="415">
        <f t="shared" si="66"/>
        <v>3.6999999999999998E-2</v>
      </c>
    </row>
    <row r="230" spans="2:16" x14ac:dyDescent="0.35">
      <c r="B230" s="416">
        <v>10</v>
      </c>
      <c r="C230" s="418" t="s">
        <v>720</v>
      </c>
      <c r="D230" s="415" t="str">
        <f>IFERROR(VLOOKUP(C230,坦克个性化设定!$B$18:$E$48,4,FALSE)&amp;VLOOKUP(C230,坦克个性化细分!$I$3:$J$33,2,FALSE),"")</f>
        <v>T4中</v>
      </c>
      <c r="E230" s="416" t="s">
        <v>1211</v>
      </c>
      <c r="F230" s="508">
        <f t="shared" si="65"/>
        <v>3.6999999999999998E-2</v>
      </c>
      <c r="G230" s="299">
        <v>1</v>
      </c>
      <c r="H230" s="415">
        <f t="shared" si="66"/>
        <v>3.6999999999999998E-2</v>
      </c>
    </row>
    <row r="231" spans="2:16" x14ac:dyDescent="0.35">
      <c r="B231" s="416">
        <v>10</v>
      </c>
      <c r="C231" s="418" t="s">
        <v>629</v>
      </c>
      <c r="D231" s="415" t="str">
        <f>IFERROR(VLOOKUP(C231,坦克个性化设定!$B$18:$E$48,4,FALSE)&amp;VLOOKUP(C231,坦克个性化细分!$I$3:$J$33,2,FALSE),"")</f>
        <v>T4中</v>
      </c>
      <c r="E231" s="416" t="s">
        <v>1211</v>
      </c>
      <c r="F231" s="508">
        <f t="shared" si="65"/>
        <v>3.6999999999999998E-2</v>
      </c>
      <c r="G231" s="299">
        <v>1</v>
      </c>
      <c r="H231" s="415">
        <f t="shared" si="66"/>
        <v>3.6999999999999998E-2</v>
      </c>
    </row>
    <row r="232" spans="2:16" x14ac:dyDescent="0.35">
      <c r="B232" s="416">
        <v>10</v>
      </c>
      <c r="C232" s="418" t="s">
        <v>717</v>
      </c>
      <c r="D232" s="415" t="str">
        <f>IFERROR(VLOOKUP(C232,坦克个性化设定!$B$18:$E$48,4,FALSE)&amp;VLOOKUP(C232,坦克个性化细分!$I$3:$J$33,2,FALSE),"")</f>
        <v>T4中</v>
      </c>
      <c r="E232" s="416" t="s">
        <v>1211</v>
      </c>
      <c r="F232" s="508">
        <f t="shared" si="65"/>
        <v>3.6999999999999998E-2</v>
      </c>
      <c r="G232" s="299">
        <v>1</v>
      </c>
      <c r="H232" s="415">
        <f t="shared" si="66"/>
        <v>3.6999999999999998E-2</v>
      </c>
    </row>
    <row r="233" spans="2:16" x14ac:dyDescent="0.35">
      <c r="B233" s="416">
        <v>10</v>
      </c>
      <c r="C233" s="418" t="s">
        <v>621</v>
      </c>
      <c r="D233" s="415" t="str">
        <f>IFERROR(VLOOKUP(C233,坦克个性化设定!$B$18:$E$48,4,FALSE)&amp;VLOOKUP(C233,坦克个性化细分!$I$3:$J$33,2,FALSE),"")</f>
        <v>T4高</v>
      </c>
      <c r="E233" s="416" t="s">
        <v>1211</v>
      </c>
      <c r="F233" s="508">
        <f t="shared" si="65"/>
        <v>3.6999999999999998E-2</v>
      </c>
      <c r="G233" s="299">
        <v>1</v>
      </c>
      <c r="H233" s="415">
        <f t="shared" si="66"/>
        <v>3.6999999999999998E-2</v>
      </c>
    </row>
    <row r="234" spans="2:16" x14ac:dyDescent="0.35">
      <c r="B234" s="416">
        <v>10</v>
      </c>
      <c r="C234" s="418" t="s">
        <v>634</v>
      </c>
      <c r="D234" s="415" t="str">
        <f>IFERROR(VLOOKUP(C234,坦克个性化设定!$B$18:$E$48,4,FALSE)&amp;VLOOKUP(C234,坦克个性化细分!$I$3:$J$33,2,FALSE),"")</f>
        <v>T4高</v>
      </c>
      <c r="E234" s="416" t="s">
        <v>1211</v>
      </c>
      <c r="F234" s="508">
        <f t="shared" si="65"/>
        <v>3.6999999999999998E-2</v>
      </c>
      <c r="G234" s="299">
        <v>1</v>
      </c>
      <c r="H234" s="415">
        <f t="shared" si="66"/>
        <v>3.6999999999999998E-2</v>
      </c>
    </row>
    <row r="235" spans="2:16" x14ac:dyDescent="0.35">
      <c r="B235" s="416">
        <v>10</v>
      </c>
      <c r="C235" s="418" t="s">
        <v>722</v>
      </c>
      <c r="D235" s="415" t="str">
        <f>IFERROR(VLOOKUP(C235,坦克个性化设定!$B$18:$E$48,4,FALSE)&amp;VLOOKUP(C235,坦克个性化细分!$I$3:$J$33,2,FALSE),"")</f>
        <v>T4高</v>
      </c>
      <c r="E235" s="416" t="s">
        <v>1211</v>
      </c>
      <c r="F235" s="508">
        <f t="shared" si="65"/>
        <v>3.6999999999999998E-2</v>
      </c>
      <c r="G235" s="299">
        <v>1</v>
      </c>
      <c r="H235" s="415">
        <f t="shared" si="66"/>
        <v>3.6999999999999998E-2</v>
      </c>
    </row>
  </sheetData>
  <mergeCells count="5">
    <mergeCell ref="B39:N39"/>
    <mergeCell ref="P39:T39"/>
    <mergeCell ref="B2:H2"/>
    <mergeCell ref="I2:J2"/>
    <mergeCell ref="K2:L2"/>
  </mergeCells>
  <phoneticPr fontId="101" type="noConversion"/>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B1:DE611"/>
  <sheetViews>
    <sheetView workbookViewId="0">
      <selection activeCell="J77" sqref="J77"/>
    </sheetView>
  </sheetViews>
  <sheetFormatPr defaultColWidth="9" defaultRowHeight="13" x14ac:dyDescent="0.35"/>
  <cols>
    <col min="1" max="9" width="9" style="274"/>
    <col min="10" max="10" width="8.6328125" style="274" customWidth="1"/>
    <col min="11" max="46" width="9" style="274"/>
    <col min="47" max="64" width="9" style="274" customWidth="1"/>
    <col min="65" max="16384" width="9" style="274"/>
  </cols>
  <sheetData>
    <row r="1" spans="2:108" x14ac:dyDescent="0.35">
      <c r="I1" s="274" t="e">
        <f ca="1">MIN(J:J)</f>
        <v>#VALUE!</v>
      </c>
      <c r="R1" s="274" t="e">
        <f ca="1">MIN(S:S)</f>
        <v>#VALUE!</v>
      </c>
      <c r="AA1" s="274" t="e">
        <f ca="1">MIN(AB:AB)</f>
        <v>#VALUE!</v>
      </c>
      <c r="AJ1" s="274" t="e">
        <f ca="1">MIN(AK:AK)</f>
        <v>#VALUE!</v>
      </c>
      <c r="AS1" s="274" t="e">
        <f ca="1">MIN(AT:AT)</f>
        <v>#VALUE!</v>
      </c>
      <c r="BB1" s="274" t="e">
        <f ca="1">MIN(BC:BC)</f>
        <v>#VALUE!</v>
      </c>
      <c r="BK1" s="274" t="e">
        <f ca="1">MIN(BL:BL)</f>
        <v>#VALUE!</v>
      </c>
      <c r="BT1" s="274" t="e">
        <f ca="1">MIN(BU:BU)</f>
        <v>#VALUE!</v>
      </c>
      <c r="CC1" s="274" t="e">
        <f ca="1">MIN(CD:CD)</f>
        <v>#VALUE!</v>
      </c>
      <c r="CL1" s="274">
        <f ca="1">MIN(CM:CM)</f>
        <v>4167</v>
      </c>
      <c r="DD1" s="274">
        <f>MIN(DE:DE)</f>
        <v>10000</v>
      </c>
    </row>
    <row r="2" spans="2:108" x14ac:dyDescent="0.35">
      <c r="B2" s="273" t="s">
        <v>1213</v>
      </c>
      <c r="C2" s="273" t="str">
        <f>宝箱设定!B4</f>
        <v>钥匙宝箱</v>
      </c>
      <c r="K2" s="282" t="s">
        <v>1213</v>
      </c>
      <c r="L2" s="282" t="str">
        <f>宝箱设定!B5</f>
        <v>活跃小箱</v>
      </c>
      <c r="T2" s="282" t="s">
        <v>1213</v>
      </c>
      <c r="U2" s="282" t="str">
        <f>宝箱设定!B6</f>
        <v>活跃中箱</v>
      </c>
      <c r="AC2" s="282" t="s">
        <v>1213</v>
      </c>
      <c r="AD2" s="282" t="str">
        <f>宝箱设定!B7</f>
        <v>活跃大箱</v>
      </c>
      <c r="AL2" s="282" t="s">
        <v>1213</v>
      </c>
      <c r="AM2" s="282" t="str">
        <f>宝箱设定!B8</f>
        <v>活跃巨箱</v>
      </c>
      <c r="AU2" s="282" t="s">
        <v>1213</v>
      </c>
      <c r="AV2" s="282" t="str">
        <f>宝箱设定!B9</f>
        <v>出售宝箱1</v>
      </c>
      <c r="BD2" s="282" t="s">
        <v>1213</v>
      </c>
      <c r="BE2" s="282" t="str">
        <f>宝箱设定!B10</f>
        <v>出售宝箱2</v>
      </c>
      <c r="BM2" s="512" t="s">
        <v>1213</v>
      </c>
      <c r="BN2" s="512" t="str">
        <f>宝箱设定!B11</f>
        <v>出售宝箱3</v>
      </c>
      <c r="BV2" s="293" t="s">
        <v>1213</v>
      </c>
      <c r="BW2" s="293" t="str">
        <f>宝箱设定!B12</f>
        <v>部件宝箱</v>
      </c>
      <c r="CE2" s="512" t="s">
        <v>1213</v>
      </c>
      <c r="CF2" s="512" t="str">
        <f>宝箱设定!B13</f>
        <v>碎片宝箱</v>
      </c>
      <c r="CN2" s="630" t="str">
        <f>宝箱设定!B16</f>
        <v>礼包分类</v>
      </c>
      <c r="CO2" s="630" t="str">
        <f>宝箱设定!C16</f>
        <v>部件Tier</v>
      </c>
      <c r="CP2" s="630" t="str">
        <f>宝箱设定!D16</f>
        <v>部件数量</v>
      </c>
      <c r="CQ2" s="630" t="str">
        <f>宝箱设定!E16</f>
        <v>部件Tier</v>
      </c>
      <c r="CR2" s="630" t="str">
        <f>宝箱设定!F16</f>
        <v>部件数量</v>
      </c>
      <c r="CS2" s="630" t="str">
        <f>宝箱设定!G16</f>
        <v>总价值</v>
      </c>
      <c r="CT2" s="630" t="str">
        <f>宝箱设定!H16</f>
        <v>商店价值</v>
      </c>
      <c r="CU2" s="630" t="str">
        <f>宝箱设定!J16</f>
        <v>抽取次数</v>
      </c>
    </row>
    <row r="3" spans="2:108" x14ac:dyDescent="0.35">
      <c r="B3" s="273" t="s">
        <v>948</v>
      </c>
      <c r="C3" s="273">
        <f>宝箱设定!F4</f>
        <v>5</v>
      </c>
      <c r="K3" s="282" t="s">
        <v>948</v>
      </c>
      <c r="L3" s="282">
        <f>宝箱设定!F5</f>
        <v>2</v>
      </c>
      <c r="T3" s="282" t="s">
        <v>948</v>
      </c>
      <c r="U3" s="282">
        <f>宝箱设定!F6</f>
        <v>4</v>
      </c>
      <c r="AC3" s="282" t="s">
        <v>948</v>
      </c>
      <c r="AD3" s="282">
        <f>宝箱设定!F7</f>
        <v>6</v>
      </c>
      <c r="AL3" s="282" t="s">
        <v>948</v>
      </c>
      <c r="AM3" s="282">
        <f>宝箱设定!F8</f>
        <v>8</v>
      </c>
      <c r="AU3" s="282" t="s">
        <v>948</v>
      </c>
      <c r="AV3" s="282">
        <f>宝箱设定!F9</f>
        <v>5</v>
      </c>
      <c r="BD3" s="282" t="s">
        <v>948</v>
      </c>
      <c r="BE3" s="282">
        <f>宝箱设定!F10</f>
        <v>10</v>
      </c>
      <c r="BM3" s="512" t="s">
        <v>948</v>
      </c>
      <c r="BN3" s="512">
        <f>宝箱设定!F11</f>
        <v>20</v>
      </c>
      <c r="BV3" s="293" t="s">
        <v>948</v>
      </c>
      <c r="BW3" s="293">
        <f>宝箱设定!F12</f>
        <v>0</v>
      </c>
      <c r="CE3" s="512" t="s">
        <v>948</v>
      </c>
      <c r="CF3" s="512">
        <f>宝箱设定!F13</f>
        <v>0</v>
      </c>
      <c r="CN3" s="630" t="str">
        <f>宝箱设定!B17</f>
        <v>部件礼包1</v>
      </c>
      <c r="CO3" s="630" t="str">
        <f>宝箱设定!C17</f>
        <v>T1部件</v>
      </c>
      <c r="CP3" s="630">
        <f>宝箱设定!D17</f>
        <v>5</v>
      </c>
      <c r="CQ3" s="630">
        <f>宝箱设定!E17</f>
        <v>0</v>
      </c>
      <c r="CR3" s="630">
        <f>宝箱设定!F17</f>
        <v>0</v>
      </c>
      <c r="CS3" s="630">
        <f>宝箱设定!G17</f>
        <v>67.5</v>
      </c>
      <c r="CT3" s="630">
        <f>宝箱设定!H17</f>
        <v>90</v>
      </c>
      <c r="CU3" s="630">
        <f>宝箱设定!J17</f>
        <v>4</v>
      </c>
    </row>
    <row r="4" spans="2:108" x14ac:dyDescent="0.35">
      <c r="B4" s="273" t="s">
        <v>961</v>
      </c>
      <c r="C4" s="273">
        <f>宝箱设定!H4</f>
        <v>58.75</v>
      </c>
      <c r="K4" s="282" t="s">
        <v>961</v>
      </c>
      <c r="L4" s="282">
        <f>宝箱设定!H5</f>
        <v>47</v>
      </c>
      <c r="T4" s="282" t="s">
        <v>961</v>
      </c>
      <c r="U4" s="282">
        <f>宝箱设定!H6</f>
        <v>47.5</v>
      </c>
      <c r="AC4" s="282" t="s">
        <v>961</v>
      </c>
      <c r="AD4" s="282">
        <f>宝箱设定!H7</f>
        <v>64</v>
      </c>
      <c r="AL4" s="282" t="s">
        <v>961</v>
      </c>
      <c r="AM4" s="282">
        <f>宝箱设定!H8</f>
        <v>97</v>
      </c>
      <c r="AU4" s="282" t="s">
        <v>961</v>
      </c>
      <c r="AV4" s="282">
        <f>宝箱设定!H9</f>
        <v>65</v>
      </c>
      <c r="BD4" s="282" t="s">
        <v>961</v>
      </c>
      <c r="BE4" s="282">
        <f>宝箱设定!H10</f>
        <v>147.5</v>
      </c>
      <c r="BM4" s="512" t="s">
        <v>961</v>
      </c>
      <c r="BN4" s="512">
        <f>宝箱设定!H11</f>
        <v>330</v>
      </c>
      <c r="BV4" s="293" t="s">
        <v>961</v>
      </c>
      <c r="BW4" s="293">
        <f>宝箱设定!H12</f>
        <v>50</v>
      </c>
      <c r="CE4" s="512" t="s">
        <v>961</v>
      </c>
      <c r="CF4" s="512">
        <f>宝箱设定!H13</f>
        <v>50</v>
      </c>
      <c r="CN4" s="630" t="str">
        <f>宝箱设定!B18</f>
        <v>部件礼包2</v>
      </c>
      <c r="CO4" s="630" t="str">
        <f>宝箱设定!C18</f>
        <v>T1部件</v>
      </c>
      <c r="CP4" s="630">
        <f>宝箱设定!D18</f>
        <v>4</v>
      </c>
      <c r="CQ4" s="630">
        <f>宝箱设定!E18</f>
        <v>0</v>
      </c>
      <c r="CR4" s="630">
        <f>宝箱设定!F18</f>
        <v>0</v>
      </c>
      <c r="CS4" s="630">
        <f>宝箱设定!G18</f>
        <v>54</v>
      </c>
      <c r="CT4" s="630">
        <f>宝箱设定!H18</f>
        <v>72</v>
      </c>
      <c r="CU4" s="630">
        <f>宝箱设定!J18</f>
        <v>4</v>
      </c>
    </row>
    <row r="5" spans="2:108" x14ac:dyDescent="0.35">
      <c r="B5" s="273" t="s">
        <v>1214</v>
      </c>
      <c r="C5" s="273">
        <f>宝箱设定!D4</f>
        <v>2</v>
      </c>
      <c r="K5" s="282" t="s">
        <v>902</v>
      </c>
      <c r="L5" s="282">
        <f>宝箱设定!D5</f>
        <v>1</v>
      </c>
      <c r="T5" s="282" t="s">
        <v>902</v>
      </c>
      <c r="U5" s="282">
        <f>宝箱设定!D6</f>
        <v>2</v>
      </c>
      <c r="AC5" s="282" t="s">
        <v>902</v>
      </c>
      <c r="AD5" s="282">
        <f>宝箱设定!D7</f>
        <v>3</v>
      </c>
      <c r="AL5" s="282" t="s">
        <v>902</v>
      </c>
      <c r="AM5" s="282">
        <f>宝箱设定!D8</f>
        <v>4</v>
      </c>
      <c r="AU5" s="282" t="s">
        <v>902</v>
      </c>
      <c r="AV5" s="282">
        <f>宝箱设定!D9</f>
        <v>3</v>
      </c>
      <c r="BD5" s="282" t="s">
        <v>902</v>
      </c>
      <c r="BE5" s="282">
        <f>宝箱设定!D10</f>
        <v>4</v>
      </c>
      <c r="BM5" s="512" t="s">
        <v>902</v>
      </c>
      <c r="BN5" s="512">
        <f>宝箱设定!D11</f>
        <v>6</v>
      </c>
      <c r="BV5" s="293" t="s">
        <v>902</v>
      </c>
      <c r="BW5" s="293">
        <f>宝箱设定!D12</f>
        <v>2</v>
      </c>
      <c r="CE5" s="512" t="s">
        <v>902</v>
      </c>
      <c r="CF5" s="512">
        <f>宝箱设定!D13</f>
        <v>2</v>
      </c>
      <c r="CN5" s="630" t="str">
        <f>宝箱设定!B19</f>
        <v>部件礼包3</v>
      </c>
      <c r="CO5" s="630" t="str">
        <f>宝箱设定!C19</f>
        <v>T1部件</v>
      </c>
      <c r="CP5" s="630">
        <f>宝箱设定!D19</f>
        <v>2</v>
      </c>
      <c r="CQ5" s="630" t="str">
        <f>宝箱设定!E19</f>
        <v>T2部件</v>
      </c>
      <c r="CR5" s="630">
        <f>宝箱设定!F19</f>
        <v>2</v>
      </c>
      <c r="CS5" s="630">
        <f>宝箱设定!G19</f>
        <v>27</v>
      </c>
      <c r="CT5" s="630">
        <f>宝箱设定!H19</f>
        <v>36</v>
      </c>
      <c r="CU5" s="630">
        <f>宝箱设定!J19</f>
        <v>4</v>
      </c>
    </row>
    <row r="6" spans="2:108" x14ac:dyDescent="0.35">
      <c r="B6" s="276"/>
      <c r="C6" s="276"/>
      <c r="CN6" s="630" t="str">
        <f>宝箱设定!B20</f>
        <v>部件礼包4</v>
      </c>
      <c r="CO6" s="630" t="str">
        <f>宝箱设定!C20</f>
        <v>T2部件</v>
      </c>
      <c r="CP6" s="630">
        <f>宝箱设定!D20</f>
        <v>4</v>
      </c>
      <c r="CQ6" s="630">
        <f>宝箱设定!E20</f>
        <v>0</v>
      </c>
      <c r="CR6" s="630">
        <f>宝箱设定!F20</f>
        <v>0</v>
      </c>
      <c r="CS6" s="630" t="e">
        <f>宝箱设定!G20</f>
        <v>#N/A</v>
      </c>
      <c r="CT6" s="630" t="e">
        <f>宝箱设定!H20</f>
        <v>#N/A</v>
      </c>
      <c r="CU6" s="630">
        <f>宝箱设定!J20</f>
        <v>4</v>
      </c>
    </row>
    <row r="7" spans="2:108" x14ac:dyDescent="0.35">
      <c r="CN7" s="630" t="str">
        <f>宝箱设定!B21</f>
        <v>部件礼包5</v>
      </c>
      <c r="CO7" s="630" t="str">
        <f>宝箱设定!C21</f>
        <v>T2部件</v>
      </c>
      <c r="CP7" s="630">
        <f>宝箱设定!D21</f>
        <v>6</v>
      </c>
      <c r="CQ7" s="630">
        <f>宝箱设定!E21</f>
        <v>0</v>
      </c>
      <c r="CR7" s="630">
        <f>宝箱设定!F21</f>
        <v>0</v>
      </c>
      <c r="CS7" s="630" t="e">
        <f>宝箱设定!G21</f>
        <v>#N/A</v>
      </c>
      <c r="CT7" s="630" t="e">
        <f>宝箱设定!H21</f>
        <v>#N/A</v>
      </c>
      <c r="CU7" s="630">
        <f>宝箱设定!J21</f>
        <v>3</v>
      </c>
    </row>
    <row r="8" spans="2:108" x14ac:dyDescent="0.35">
      <c r="B8" s="273" t="s">
        <v>1215</v>
      </c>
      <c r="C8" s="273" t="s">
        <v>1216</v>
      </c>
      <c r="K8" s="282" t="s">
        <v>814</v>
      </c>
      <c r="L8" s="282" t="s">
        <v>1216</v>
      </c>
      <c r="T8" s="282" t="s">
        <v>814</v>
      </c>
      <c r="U8" s="282" t="s">
        <v>1216</v>
      </c>
      <c r="AC8" s="282" t="s">
        <v>814</v>
      </c>
      <c r="AD8" s="282" t="s">
        <v>1216</v>
      </c>
      <c r="AL8" s="282" t="s">
        <v>814</v>
      </c>
      <c r="AM8" s="282" t="s">
        <v>1216</v>
      </c>
      <c r="AU8" s="282" t="s">
        <v>814</v>
      </c>
      <c r="AV8" s="282" t="s">
        <v>1216</v>
      </c>
      <c r="BD8" s="282" t="s">
        <v>814</v>
      </c>
      <c r="BE8" s="282" t="s">
        <v>1216</v>
      </c>
      <c r="BM8" s="512" t="s">
        <v>597</v>
      </c>
      <c r="BN8" s="512" t="s">
        <v>1216</v>
      </c>
      <c r="BV8" s="293" t="s">
        <v>597</v>
      </c>
      <c r="BW8" s="293" t="s">
        <v>1216</v>
      </c>
      <c r="CE8" s="512" t="s">
        <v>597</v>
      </c>
      <c r="CF8" s="512" t="s">
        <v>1216</v>
      </c>
      <c r="CN8" s="630" t="str">
        <f>宝箱设定!B22</f>
        <v>部件礼包6</v>
      </c>
      <c r="CO8" s="630" t="str">
        <f>宝箱设定!C22</f>
        <v>T2部件</v>
      </c>
      <c r="CP8" s="630">
        <f>宝箱设定!D22</f>
        <v>4</v>
      </c>
      <c r="CQ8" s="630" t="str">
        <f>宝箱设定!E22</f>
        <v>T3部件</v>
      </c>
      <c r="CR8" s="630">
        <f>宝箱设定!F22</f>
        <v>1</v>
      </c>
      <c r="CS8" s="630" t="e">
        <f>宝箱设定!G22</f>
        <v>#N/A</v>
      </c>
      <c r="CT8" s="630" t="e">
        <f>宝箱设定!H22</f>
        <v>#N/A</v>
      </c>
      <c r="CU8" s="630">
        <f>宝箱设定!J22</f>
        <v>3</v>
      </c>
    </row>
    <row r="9" spans="2:108" x14ac:dyDescent="0.35">
      <c r="B9" s="273">
        <v>1</v>
      </c>
      <c r="C9" s="273">
        <f>ROUND($C$3*基础经济系数!G83/5,0)*5</f>
        <v>1125</v>
      </c>
      <c r="F9" s="274" t="str">
        <f>"["&amp;宝箱设定!$E$4&amp;","&amp;C9&amp;"]"</f>
        <v>[2.5,1125]</v>
      </c>
      <c r="K9" s="282">
        <v>1</v>
      </c>
      <c r="L9" s="282">
        <f>ROUND(L$3*基础经济系数!$G83/5,0)*5</f>
        <v>450</v>
      </c>
      <c r="O9" s="274" t="str">
        <f>"["&amp;宝箱设定!$E$5&amp;","&amp;L9&amp;"]"</f>
        <v>[5,450]</v>
      </c>
      <c r="T9" s="282">
        <v>1</v>
      </c>
      <c r="U9" s="282">
        <f>U$3*基础经济系数!$G83</f>
        <v>900</v>
      </c>
      <c r="X9" s="274" t="str">
        <f>"["&amp;宝箱设定!$E$6&amp;","&amp;U9&amp;"]"</f>
        <v>[9,900]</v>
      </c>
      <c r="AC9" s="282">
        <v>1</v>
      </c>
      <c r="AD9" s="282">
        <f>AD$3*基础经济系数!$G83</f>
        <v>1350</v>
      </c>
      <c r="AG9" s="274" t="str">
        <f>"["&amp;宝箱设定!$E$7&amp;","&amp;AD9&amp;"]"</f>
        <v>[18,1350]</v>
      </c>
      <c r="AL9" s="282">
        <v>1</v>
      </c>
      <c r="AM9" s="282">
        <f>AM$3*基础经济系数!$G83</f>
        <v>1800</v>
      </c>
      <c r="AP9" s="274" t="str">
        <f>"["&amp;宝箱设定!$E$8&amp;","&amp;AM9&amp;"]"</f>
        <v>[36,1800]</v>
      </c>
      <c r="AU9" s="282">
        <v>1</v>
      </c>
      <c r="AV9" s="282">
        <f>ROUND(AV$3*基础经济系数!$G83/50,0)*50</f>
        <v>1150</v>
      </c>
      <c r="AY9" s="274" t="str">
        <f>"["&amp;AV9&amp;"]"</f>
        <v>[1150]</v>
      </c>
      <c r="BD9" s="282">
        <v>1</v>
      </c>
      <c r="BE9" s="282">
        <f>ROUND(BE$3*基础经济系数!$G83/50,0)*50</f>
        <v>2250</v>
      </c>
      <c r="BH9" s="274" t="str">
        <f>"["&amp;BE9&amp;"]"</f>
        <v>[2250]</v>
      </c>
      <c r="BM9" s="512">
        <v>1</v>
      </c>
      <c r="BN9" s="512">
        <f>ROUND(BN$3*基础经济系数!$G83/50,0)*50</f>
        <v>4500</v>
      </c>
      <c r="BQ9" s="274" t="str">
        <f>"["&amp;BN9&amp;"]"</f>
        <v>[4500]</v>
      </c>
      <c r="BV9" s="293">
        <v>1</v>
      </c>
      <c r="BW9" s="293">
        <f>ROUND(BW$3*基础经济系数!$G83/50,0)*50</f>
        <v>0</v>
      </c>
      <c r="BZ9" s="274" t="str">
        <f>"["&amp;BW9&amp;"]"</f>
        <v>[0]</v>
      </c>
      <c r="CE9" s="512">
        <v>1</v>
      </c>
      <c r="CF9" s="512">
        <f>ROUND(CF$3*基础经济系数!$G83/50,0)*50</f>
        <v>0</v>
      </c>
      <c r="CI9" s="274" t="str">
        <f>"["&amp;CF9&amp;"]"</f>
        <v>[0]</v>
      </c>
      <c r="CN9" s="630" t="str">
        <f>宝箱设定!B23</f>
        <v>部件礼包7</v>
      </c>
      <c r="CO9" s="630" t="str">
        <f>宝箱设定!C23</f>
        <v>T3部件</v>
      </c>
      <c r="CP9" s="630">
        <f>宝箱设定!D23</f>
        <v>3</v>
      </c>
      <c r="CQ9" s="630">
        <f>宝箱设定!E23</f>
        <v>0</v>
      </c>
      <c r="CR9" s="630">
        <f>宝箱设定!F23</f>
        <v>0</v>
      </c>
      <c r="CS9" s="630" t="e">
        <f>宝箱设定!G23</f>
        <v>#N/A</v>
      </c>
      <c r="CT9" s="630" t="e">
        <f>宝箱设定!H23</f>
        <v>#N/A</v>
      </c>
      <c r="CU9" s="630">
        <f>宝箱设定!J23</f>
        <v>3</v>
      </c>
    </row>
    <row r="10" spans="2:108" x14ac:dyDescent="0.35">
      <c r="B10" s="273">
        <v>2</v>
      </c>
      <c r="C10" s="595">
        <f>ROUND($C$3*基础经济系数!G84/5,0)*5</f>
        <v>1225</v>
      </c>
      <c r="F10" s="274" t="str">
        <f>"["&amp;宝箱设定!$E$4&amp;","&amp;C10&amp;"]"</f>
        <v>[2.5,1225]</v>
      </c>
      <c r="K10" s="282">
        <v>2</v>
      </c>
      <c r="L10" s="595">
        <f>ROUND(L$3*基础经济系数!$G84/5,0)*5</f>
        <v>490</v>
      </c>
      <c r="O10" s="274" t="str">
        <f>"["&amp;宝箱设定!$E$5&amp;","&amp;L10&amp;"]"</f>
        <v>[5,490]</v>
      </c>
      <c r="T10" s="282">
        <v>2</v>
      </c>
      <c r="U10" s="282">
        <f>U$3*基础经济系数!$G84</f>
        <v>980</v>
      </c>
      <c r="X10" s="274" t="str">
        <f>"["&amp;宝箱设定!$E$6&amp;","&amp;U10&amp;"]"</f>
        <v>[9,980]</v>
      </c>
      <c r="AC10" s="282">
        <v>2</v>
      </c>
      <c r="AD10" s="282">
        <f>AD$3*基础经济系数!$G84</f>
        <v>1470</v>
      </c>
      <c r="AG10" s="274" t="str">
        <f>"["&amp;宝箱设定!$E$7&amp;","&amp;AD10&amp;"]"</f>
        <v>[18,1470]</v>
      </c>
      <c r="AL10" s="282">
        <v>2</v>
      </c>
      <c r="AM10" s="282">
        <f>AM$3*基础经济系数!$G84</f>
        <v>1960</v>
      </c>
      <c r="AP10" s="274" t="str">
        <f>"["&amp;宝箱设定!$E$8&amp;","&amp;AM10&amp;"]"</f>
        <v>[36,1960]</v>
      </c>
      <c r="AU10" s="282">
        <v>2</v>
      </c>
      <c r="AV10" s="282">
        <f>ROUND(AV$3*基础经济系数!$G84/50,0)*50</f>
        <v>1250</v>
      </c>
      <c r="AY10" s="274" t="str">
        <f t="shared" ref="AY10:AY32" si="0">"["&amp;AV10&amp;"]"</f>
        <v>[1250]</v>
      </c>
      <c r="BD10" s="282">
        <v>2</v>
      </c>
      <c r="BE10" s="282">
        <f>ROUND(BE$3*基础经济系数!$G84/50,0)*50</f>
        <v>2450</v>
      </c>
      <c r="BH10" s="274" t="str">
        <f t="shared" ref="BH10:BH32" si="1">"["&amp;BE10&amp;"]"</f>
        <v>[2450]</v>
      </c>
      <c r="BM10" s="512">
        <v>2</v>
      </c>
      <c r="BN10" s="512">
        <f>ROUND(BN$3*基础经济系数!$G84/50,0)*50</f>
        <v>4900</v>
      </c>
      <c r="BQ10" s="274" t="str">
        <f t="shared" ref="BQ10:BQ32" si="2">"["&amp;BN10&amp;"]"</f>
        <v>[4900]</v>
      </c>
      <c r="BV10" s="293">
        <v>2</v>
      </c>
      <c r="BW10" s="293">
        <f>ROUND(BW$3*基础经济系数!$G84/50,0)*50</f>
        <v>0</v>
      </c>
      <c r="BZ10" s="274" t="str">
        <f t="shared" ref="BZ10:BZ32" si="3">"["&amp;BW10&amp;"]"</f>
        <v>[0]</v>
      </c>
      <c r="CE10" s="512">
        <v>2</v>
      </c>
      <c r="CF10" s="512">
        <f>ROUND(CF$3*基础经济系数!$G84/50,0)*50</f>
        <v>0</v>
      </c>
      <c r="CI10" s="274" t="str">
        <f t="shared" ref="CI10:CI32" si="4">"["&amp;CF10&amp;"]"</f>
        <v>[0]</v>
      </c>
      <c r="CN10" s="630" t="str">
        <f>宝箱设定!B24</f>
        <v>部件礼包8</v>
      </c>
      <c r="CO10" s="630" t="str">
        <f>宝箱设定!C24</f>
        <v>T3部件</v>
      </c>
      <c r="CP10" s="630">
        <f>宝箱设定!D24</f>
        <v>4</v>
      </c>
      <c r="CQ10" s="630">
        <f>宝箱设定!E24</f>
        <v>0</v>
      </c>
      <c r="CR10" s="630">
        <f>宝箱设定!F24</f>
        <v>0</v>
      </c>
      <c r="CS10" s="630" t="e">
        <f>宝箱设定!G24</f>
        <v>#N/A</v>
      </c>
      <c r="CT10" s="630" t="e">
        <f>宝箱设定!H24</f>
        <v>#N/A</v>
      </c>
      <c r="CU10" s="630">
        <f>宝箱设定!J24</f>
        <v>4</v>
      </c>
    </row>
    <row r="11" spans="2:108" x14ac:dyDescent="0.35">
      <c r="B11" s="273">
        <v>3</v>
      </c>
      <c r="C11" s="595">
        <f>ROUND($C$3*基础经济系数!G85/5,0)*5</f>
        <v>1325</v>
      </c>
      <c r="F11" s="274" t="str">
        <f>"["&amp;宝箱设定!$E$4&amp;","&amp;C11&amp;"]"</f>
        <v>[2.5,1325]</v>
      </c>
      <c r="K11" s="282">
        <v>3</v>
      </c>
      <c r="L11" s="595">
        <f>ROUND(L$3*基础经济系数!$G85/5,0)*5</f>
        <v>530</v>
      </c>
      <c r="O11" s="274" t="str">
        <f>"["&amp;宝箱设定!$E$5&amp;","&amp;L11&amp;"]"</f>
        <v>[5,530]</v>
      </c>
      <c r="T11" s="282">
        <v>3</v>
      </c>
      <c r="U11" s="282">
        <f>U$3*基础经济系数!$G85</f>
        <v>1060</v>
      </c>
      <c r="X11" s="274" t="str">
        <f>"["&amp;宝箱设定!$E$6&amp;","&amp;U11&amp;"]"</f>
        <v>[9,1060]</v>
      </c>
      <c r="AC11" s="282">
        <v>3</v>
      </c>
      <c r="AD11" s="282">
        <f>AD$3*基础经济系数!$G85</f>
        <v>1590</v>
      </c>
      <c r="AG11" s="274" t="str">
        <f>"["&amp;宝箱设定!$E$7&amp;","&amp;AD11&amp;"]"</f>
        <v>[18,1590]</v>
      </c>
      <c r="AL11" s="282">
        <v>3</v>
      </c>
      <c r="AM11" s="282">
        <f>AM$3*基础经济系数!$G85</f>
        <v>2120</v>
      </c>
      <c r="AP11" s="274" t="str">
        <f>"["&amp;宝箱设定!$E$8&amp;","&amp;AM11&amp;"]"</f>
        <v>[36,2120]</v>
      </c>
      <c r="AU11" s="282">
        <v>3</v>
      </c>
      <c r="AV11" s="282">
        <f>ROUND(AV$3*基础经济系数!$G85/50,0)*50</f>
        <v>1350</v>
      </c>
      <c r="AY11" s="274" t="str">
        <f t="shared" si="0"/>
        <v>[1350]</v>
      </c>
      <c r="BD11" s="282">
        <v>3</v>
      </c>
      <c r="BE11" s="282">
        <f>ROUND(BE$3*基础经济系数!$G85/50,0)*50</f>
        <v>2650</v>
      </c>
      <c r="BH11" s="274" t="str">
        <f t="shared" si="1"/>
        <v>[2650]</v>
      </c>
      <c r="BM11" s="512">
        <v>3</v>
      </c>
      <c r="BN11" s="512">
        <f>ROUND(BN$3*基础经济系数!$G85/50,0)*50</f>
        <v>5300</v>
      </c>
      <c r="BQ11" s="274" t="str">
        <f t="shared" si="2"/>
        <v>[5300]</v>
      </c>
      <c r="BV11" s="293">
        <v>3</v>
      </c>
      <c r="BW11" s="293">
        <f>ROUND(BW$3*基础经济系数!$G85/50,0)*50</f>
        <v>0</v>
      </c>
      <c r="BZ11" s="274" t="str">
        <f t="shared" si="3"/>
        <v>[0]</v>
      </c>
      <c r="CE11" s="512">
        <v>3</v>
      </c>
      <c r="CF11" s="512">
        <f>ROUND(CF$3*基础经济系数!$G85/50,0)*50</f>
        <v>0</v>
      </c>
      <c r="CI11" s="274" t="str">
        <f t="shared" si="4"/>
        <v>[0]</v>
      </c>
      <c r="CN11" s="630" t="str">
        <f>宝箱设定!B25</f>
        <v>部件礼包9</v>
      </c>
      <c r="CO11" s="630" t="str">
        <f>宝箱设定!C25</f>
        <v>T3部件</v>
      </c>
      <c r="CP11" s="630">
        <f>宝箱设定!D25</f>
        <v>1</v>
      </c>
      <c r="CQ11" s="630" t="str">
        <f>宝箱设定!E25</f>
        <v>T4部件</v>
      </c>
      <c r="CR11" s="630">
        <f>宝箱设定!F25</f>
        <v>1</v>
      </c>
      <c r="CS11" s="630" t="e">
        <f>宝箱设定!G25</f>
        <v>#N/A</v>
      </c>
      <c r="CT11" s="630" t="e">
        <f>宝箱设定!H25</f>
        <v>#N/A</v>
      </c>
      <c r="CU11" s="630">
        <f>宝箱设定!J25</f>
        <v>2</v>
      </c>
    </row>
    <row r="12" spans="2:108" x14ac:dyDescent="0.35">
      <c r="B12" s="273">
        <v>4</v>
      </c>
      <c r="C12" s="595">
        <f>ROUND($C$3*基础经济系数!G86/5,0)*5</f>
        <v>1400</v>
      </c>
      <c r="F12" s="274" t="str">
        <f>"["&amp;宝箱设定!$E$4&amp;","&amp;C12&amp;"]"</f>
        <v>[2.5,1400]</v>
      </c>
      <c r="K12" s="282">
        <v>4</v>
      </c>
      <c r="L12" s="595">
        <f>ROUND(L$3*基础经济系数!$G86/5,0)*5</f>
        <v>560</v>
      </c>
      <c r="O12" s="274" t="str">
        <f>"["&amp;宝箱设定!$E$5&amp;","&amp;L12&amp;"]"</f>
        <v>[5,560]</v>
      </c>
      <c r="T12" s="282">
        <v>4</v>
      </c>
      <c r="U12" s="282">
        <f>U$3*基础经济系数!$G86</f>
        <v>1120</v>
      </c>
      <c r="X12" s="274" t="str">
        <f>"["&amp;宝箱设定!$E$6&amp;","&amp;U12&amp;"]"</f>
        <v>[9,1120]</v>
      </c>
      <c r="AC12" s="282">
        <v>4</v>
      </c>
      <c r="AD12" s="282">
        <f>AD$3*基础经济系数!$G86</f>
        <v>1680</v>
      </c>
      <c r="AG12" s="274" t="str">
        <f>"["&amp;宝箱设定!$E$7&amp;","&amp;AD12&amp;"]"</f>
        <v>[18,1680]</v>
      </c>
      <c r="AL12" s="282">
        <v>4</v>
      </c>
      <c r="AM12" s="282">
        <f>AM$3*基础经济系数!$G86</f>
        <v>2240</v>
      </c>
      <c r="AP12" s="274" t="str">
        <f>"["&amp;宝箱设定!$E$8&amp;","&amp;AM12&amp;"]"</f>
        <v>[36,2240]</v>
      </c>
      <c r="AU12" s="282">
        <v>4</v>
      </c>
      <c r="AV12" s="282">
        <f>ROUND(AV$3*基础经济系数!$G86/50,0)*50</f>
        <v>1400</v>
      </c>
      <c r="AY12" s="274" t="str">
        <f t="shared" si="0"/>
        <v>[1400]</v>
      </c>
      <c r="BD12" s="282">
        <v>4</v>
      </c>
      <c r="BE12" s="282">
        <f>ROUND(BE$3*基础经济系数!$G86/50,0)*50</f>
        <v>2800</v>
      </c>
      <c r="BH12" s="274" t="str">
        <f t="shared" si="1"/>
        <v>[2800]</v>
      </c>
      <c r="BM12" s="512">
        <v>4</v>
      </c>
      <c r="BN12" s="512">
        <f>ROUND(BN$3*基础经济系数!$G86/50,0)*50</f>
        <v>5600</v>
      </c>
      <c r="BQ12" s="274" t="str">
        <f t="shared" si="2"/>
        <v>[5600]</v>
      </c>
      <c r="BV12" s="293">
        <v>4</v>
      </c>
      <c r="BW12" s="293">
        <f>ROUND(BW$3*基础经济系数!$G86/50,0)*50</f>
        <v>0</v>
      </c>
      <c r="BZ12" s="274" t="str">
        <f t="shared" si="3"/>
        <v>[0]</v>
      </c>
      <c r="CE12" s="512">
        <v>4</v>
      </c>
      <c r="CF12" s="512">
        <f>ROUND(CF$3*基础经济系数!$G86/50,0)*50</f>
        <v>0</v>
      </c>
      <c r="CI12" s="274" t="str">
        <f t="shared" si="4"/>
        <v>[0]</v>
      </c>
    </row>
    <row r="13" spans="2:108" x14ac:dyDescent="0.35">
      <c r="B13" s="273">
        <v>5</v>
      </c>
      <c r="C13" s="595">
        <f>ROUND($C$3*基础经济系数!G87/5,0)*5</f>
        <v>1500</v>
      </c>
      <c r="F13" s="274" t="str">
        <f>"["&amp;宝箱设定!$E$4&amp;","&amp;C13&amp;"]"</f>
        <v>[2.5,1500]</v>
      </c>
      <c r="K13" s="282">
        <v>5</v>
      </c>
      <c r="L13" s="595">
        <f>ROUND(L$3*基础经济系数!$G87/5,0)*5</f>
        <v>600</v>
      </c>
      <c r="O13" s="274" t="str">
        <f>"["&amp;宝箱设定!$E$5&amp;","&amp;L13&amp;"]"</f>
        <v>[5,600]</v>
      </c>
      <c r="T13" s="282">
        <v>5</v>
      </c>
      <c r="U13" s="282">
        <f>U$3*基础经济系数!$G87</f>
        <v>1200</v>
      </c>
      <c r="X13" s="274" t="str">
        <f>"["&amp;宝箱设定!$E$6&amp;","&amp;U13&amp;"]"</f>
        <v>[9,1200]</v>
      </c>
      <c r="AC13" s="282">
        <v>5</v>
      </c>
      <c r="AD13" s="282">
        <f>AD$3*基础经济系数!$G87</f>
        <v>1800</v>
      </c>
      <c r="AG13" s="274" t="str">
        <f>"["&amp;宝箱设定!$E$7&amp;","&amp;AD13&amp;"]"</f>
        <v>[18,1800]</v>
      </c>
      <c r="AL13" s="282">
        <v>5</v>
      </c>
      <c r="AM13" s="282">
        <f>AM$3*基础经济系数!$G87</f>
        <v>2400</v>
      </c>
      <c r="AP13" s="274" t="str">
        <f>"["&amp;宝箱设定!$E$8&amp;","&amp;AM13&amp;"]"</f>
        <v>[36,2400]</v>
      </c>
      <c r="AU13" s="282">
        <v>5</v>
      </c>
      <c r="AV13" s="282">
        <f>ROUND(AV$3*基础经济系数!$G87/50,0)*50</f>
        <v>1500</v>
      </c>
      <c r="AY13" s="274" t="str">
        <f t="shared" si="0"/>
        <v>[1500]</v>
      </c>
      <c r="BD13" s="282">
        <v>5</v>
      </c>
      <c r="BE13" s="282">
        <f>ROUND(BE$3*基础经济系数!$G87/50,0)*50</f>
        <v>3000</v>
      </c>
      <c r="BH13" s="274" t="str">
        <f t="shared" si="1"/>
        <v>[3000]</v>
      </c>
      <c r="BM13" s="512">
        <v>5</v>
      </c>
      <c r="BN13" s="512">
        <f>ROUND(BN$3*基础经济系数!$G87/50,0)*50</f>
        <v>6000</v>
      </c>
      <c r="BQ13" s="274" t="str">
        <f t="shared" si="2"/>
        <v>[6000]</v>
      </c>
      <c r="BV13" s="293">
        <v>5</v>
      </c>
      <c r="BW13" s="293">
        <f>ROUND(BW$3*基础经济系数!$G87/50,0)*50</f>
        <v>0</v>
      </c>
      <c r="BZ13" s="274" t="str">
        <f t="shared" si="3"/>
        <v>[0]</v>
      </c>
      <c r="CE13" s="512">
        <v>5</v>
      </c>
      <c r="CF13" s="512">
        <f>ROUND(CF$3*基础经济系数!$G87/50,0)*50</f>
        <v>0</v>
      </c>
      <c r="CI13" s="274" t="str">
        <f t="shared" si="4"/>
        <v>[0]</v>
      </c>
    </row>
    <row r="14" spans="2:108" x14ac:dyDescent="0.35">
      <c r="B14" s="273">
        <v>6</v>
      </c>
      <c r="C14" s="595">
        <f>ROUND($C$3*基础经济系数!G88/5,0)*5</f>
        <v>1600</v>
      </c>
      <c r="F14" s="274" t="str">
        <f>"["&amp;宝箱设定!$E$4&amp;","&amp;C14&amp;"]"</f>
        <v>[2.5,1600]</v>
      </c>
      <c r="K14" s="282">
        <v>6</v>
      </c>
      <c r="L14" s="595">
        <f>ROUND(L$3*基础经济系数!$G88/5,0)*5</f>
        <v>640</v>
      </c>
      <c r="O14" s="274" t="str">
        <f>"["&amp;宝箱设定!$E$5&amp;","&amp;L14&amp;"]"</f>
        <v>[5,640]</v>
      </c>
      <c r="T14" s="282">
        <v>6</v>
      </c>
      <c r="U14" s="282">
        <f>U$3*基础经济系数!$G88</f>
        <v>1280</v>
      </c>
      <c r="X14" s="274" t="str">
        <f>"["&amp;宝箱设定!$E$6&amp;","&amp;U14&amp;"]"</f>
        <v>[9,1280]</v>
      </c>
      <c r="AC14" s="282">
        <v>6</v>
      </c>
      <c r="AD14" s="282">
        <f>AD$3*基础经济系数!$G88</f>
        <v>1920</v>
      </c>
      <c r="AG14" s="274" t="str">
        <f>"["&amp;宝箱设定!$E$7&amp;","&amp;AD14&amp;"]"</f>
        <v>[18,1920]</v>
      </c>
      <c r="AL14" s="282">
        <v>6</v>
      </c>
      <c r="AM14" s="282">
        <f>AM$3*基础经济系数!$G88</f>
        <v>2560</v>
      </c>
      <c r="AP14" s="274" t="str">
        <f>"["&amp;宝箱设定!$E$8&amp;","&amp;AM14&amp;"]"</f>
        <v>[36,2560]</v>
      </c>
      <c r="AU14" s="282">
        <v>6</v>
      </c>
      <c r="AV14" s="282">
        <f>ROUND(AV$3*基础经济系数!$G88/50,0)*50</f>
        <v>1600</v>
      </c>
      <c r="AY14" s="274" t="str">
        <f t="shared" si="0"/>
        <v>[1600]</v>
      </c>
      <c r="BD14" s="282">
        <v>6</v>
      </c>
      <c r="BE14" s="282">
        <f>ROUND(BE$3*基础经济系数!$G88/50,0)*50</f>
        <v>3200</v>
      </c>
      <c r="BH14" s="274" t="str">
        <f t="shared" si="1"/>
        <v>[3200]</v>
      </c>
      <c r="BM14" s="512">
        <v>6</v>
      </c>
      <c r="BN14" s="512">
        <f>ROUND(BN$3*基础经济系数!$G88/50,0)*50</f>
        <v>6400</v>
      </c>
      <c r="BQ14" s="274" t="str">
        <f t="shared" si="2"/>
        <v>[6400]</v>
      </c>
      <c r="BV14" s="293">
        <v>6</v>
      </c>
      <c r="BW14" s="293">
        <f>ROUND(BW$3*基础经济系数!$G88/50,0)*50</f>
        <v>0</v>
      </c>
      <c r="BZ14" s="274" t="str">
        <f t="shared" si="3"/>
        <v>[0]</v>
      </c>
      <c r="CD14" s="306"/>
      <c r="CE14" s="512">
        <v>6</v>
      </c>
      <c r="CF14" s="512">
        <f>ROUND(CF$3*基础经济系数!$G88/50,0)*50</f>
        <v>0</v>
      </c>
      <c r="CI14" s="274" t="str">
        <f t="shared" si="4"/>
        <v>[0]</v>
      </c>
      <c r="CM14" s="306"/>
      <c r="CQ14" s="306"/>
      <c r="CW14" s="306"/>
    </row>
    <row r="15" spans="2:108" x14ac:dyDescent="0.35">
      <c r="B15" s="273">
        <v>7</v>
      </c>
      <c r="C15" s="595">
        <f>ROUND($C$3*基础经济系数!G89/5,0)*5</f>
        <v>1700</v>
      </c>
      <c r="F15" s="274" t="str">
        <f>"["&amp;宝箱设定!$E$4&amp;","&amp;C15&amp;"]"</f>
        <v>[2.5,1700]</v>
      </c>
      <c r="K15" s="282">
        <v>7</v>
      </c>
      <c r="L15" s="595">
        <f>ROUND(L$3*基础经济系数!$G89/5,0)*5</f>
        <v>680</v>
      </c>
      <c r="O15" s="274" t="str">
        <f>"["&amp;宝箱设定!$E$5&amp;","&amp;L15&amp;"]"</f>
        <v>[5,680]</v>
      </c>
      <c r="T15" s="282">
        <v>7</v>
      </c>
      <c r="U15" s="282">
        <f>U$3*基础经济系数!$G89</f>
        <v>1360</v>
      </c>
      <c r="X15" s="274" t="str">
        <f>"["&amp;宝箱设定!$E$6&amp;","&amp;U15&amp;"]"</f>
        <v>[9,1360]</v>
      </c>
      <c r="AC15" s="282">
        <v>7</v>
      </c>
      <c r="AD15" s="282">
        <f>AD$3*基础经济系数!$G89</f>
        <v>2040</v>
      </c>
      <c r="AG15" s="274" t="str">
        <f>"["&amp;宝箱设定!$E$7&amp;","&amp;AD15&amp;"]"</f>
        <v>[18,2040]</v>
      </c>
      <c r="AL15" s="282">
        <v>7</v>
      </c>
      <c r="AM15" s="282">
        <f>AM$3*基础经济系数!$G89</f>
        <v>2720</v>
      </c>
      <c r="AP15" s="274" t="str">
        <f>"["&amp;宝箱设定!$E$8&amp;","&amp;AM15&amp;"]"</f>
        <v>[36,2720]</v>
      </c>
      <c r="AU15" s="282">
        <v>7</v>
      </c>
      <c r="AV15" s="282">
        <f>ROUND(AV$3*基础经济系数!$G89/50,0)*50</f>
        <v>1700</v>
      </c>
      <c r="AY15" s="274" t="str">
        <f t="shared" si="0"/>
        <v>[1700]</v>
      </c>
      <c r="BD15" s="282">
        <v>7</v>
      </c>
      <c r="BE15" s="282">
        <f>ROUND(BE$3*基础经济系数!$G89/50,0)*50</f>
        <v>3400</v>
      </c>
      <c r="BH15" s="274" t="str">
        <f t="shared" si="1"/>
        <v>[3400]</v>
      </c>
      <c r="BM15" s="512">
        <v>7</v>
      </c>
      <c r="BN15" s="512">
        <f>ROUND(BN$3*基础经济系数!$G89/50,0)*50</f>
        <v>6800</v>
      </c>
      <c r="BQ15" s="274" t="str">
        <f t="shared" si="2"/>
        <v>[6800]</v>
      </c>
      <c r="BV15" s="293">
        <v>7</v>
      </c>
      <c r="BW15" s="293">
        <f>ROUND(BW$3*基础经济系数!$G89/50,0)*50</f>
        <v>0</v>
      </c>
      <c r="BZ15" s="274" t="str">
        <f t="shared" si="3"/>
        <v>[0]</v>
      </c>
      <c r="CE15" s="512">
        <v>7</v>
      </c>
      <c r="CF15" s="512">
        <f>ROUND(CF$3*基础经济系数!$G89/50,0)*50</f>
        <v>0</v>
      </c>
      <c r="CI15" s="274" t="str">
        <f t="shared" si="4"/>
        <v>[0]</v>
      </c>
    </row>
    <row r="16" spans="2:108" x14ac:dyDescent="0.35">
      <c r="B16" s="273">
        <v>8</v>
      </c>
      <c r="C16" s="595">
        <f>ROUND($C$3*基础经济系数!G90/5,0)*5</f>
        <v>1775</v>
      </c>
      <c r="F16" s="274" t="str">
        <f>"["&amp;宝箱设定!$E$4&amp;","&amp;C16&amp;"]"</f>
        <v>[2.5,1775]</v>
      </c>
      <c r="K16" s="282">
        <v>8</v>
      </c>
      <c r="L16" s="595">
        <f>ROUND(L$3*基础经济系数!$G90/5,0)*5</f>
        <v>710</v>
      </c>
      <c r="O16" s="274" t="str">
        <f>"["&amp;宝箱设定!$E$5&amp;","&amp;L16&amp;"]"</f>
        <v>[5,710]</v>
      </c>
      <c r="T16" s="282">
        <v>8</v>
      </c>
      <c r="U16" s="282">
        <f>U$3*基础经济系数!$G90</f>
        <v>1420</v>
      </c>
      <c r="X16" s="274" t="str">
        <f>"["&amp;宝箱设定!$E$6&amp;","&amp;U16&amp;"]"</f>
        <v>[9,1420]</v>
      </c>
      <c r="AC16" s="282">
        <v>8</v>
      </c>
      <c r="AD16" s="282">
        <f>AD$3*基础经济系数!$G90</f>
        <v>2130</v>
      </c>
      <c r="AG16" s="274" t="str">
        <f>"["&amp;宝箱设定!$E$7&amp;","&amp;AD16&amp;"]"</f>
        <v>[18,2130]</v>
      </c>
      <c r="AL16" s="282">
        <v>8</v>
      </c>
      <c r="AM16" s="282">
        <f>AM$3*基础经济系数!$G90</f>
        <v>2840</v>
      </c>
      <c r="AP16" s="274" t="str">
        <f>"["&amp;宝箱设定!$E$8&amp;","&amp;AM16&amp;"]"</f>
        <v>[36,2840]</v>
      </c>
      <c r="AU16" s="282">
        <v>8</v>
      </c>
      <c r="AV16" s="282">
        <f>ROUND(AV$3*基础经济系数!$G90/50,0)*50</f>
        <v>1800</v>
      </c>
      <c r="AY16" s="274" t="str">
        <f t="shared" si="0"/>
        <v>[1800]</v>
      </c>
      <c r="BD16" s="282">
        <v>8</v>
      </c>
      <c r="BE16" s="282">
        <f>ROUND(BE$3*基础经济系数!$G90/50,0)*50</f>
        <v>3550</v>
      </c>
      <c r="BH16" s="274" t="str">
        <f t="shared" si="1"/>
        <v>[3550]</v>
      </c>
      <c r="BM16" s="512">
        <v>8</v>
      </c>
      <c r="BN16" s="512">
        <f>ROUND(BN$3*基础经济系数!$G90/50,0)*50</f>
        <v>7100</v>
      </c>
      <c r="BQ16" s="274" t="str">
        <f t="shared" si="2"/>
        <v>[7100]</v>
      </c>
      <c r="BV16" s="293">
        <v>8</v>
      </c>
      <c r="BW16" s="293">
        <f>ROUND(BW$3*基础经济系数!$G90/50,0)*50</f>
        <v>0</v>
      </c>
      <c r="BZ16" s="274" t="str">
        <f t="shared" si="3"/>
        <v>[0]</v>
      </c>
      <c r="CE16" s="512">
        <v>8</v>
      </c>
      <c r="CF16" s="512">
        <f>ROUND(CF$3*基础经济系数!$G90/50,0)*50</f>
        <v>0</v>
      </c>
      <c r="CI16" s="274" t="str">
        <f t="shared" si="4"/>
        <v>[0]</v>
      </c>
    </row>
    <row r="17" spans="2:87" x14ac:dyDescent="0.35">
      <c r="B17" s="273">
        <v>9</v>
      </c>
      <c r="C17" s="595">
        <f>ROUND($C$3*基础经济系数!G91/5,0)*5</f>
        <v>1875</v>
      </c>
      <c r="F17" s="274" t="str">
        <f>"["&amp;宝箱设定!$E$4&amp;","&amp;C17&amp;"]"</f>
        <v>[2.5,1875]</v>
      </c>
      <c r="K17" s="282">
        <v>9</v>
      </c>
      <c r="L17" s="595">
        <f>ROUND(L$3*基础经济系数!$G91/5,0)*5</f>
        <v>750</v>
      </c>
      <c r="O17" s="274" t="str">
        <f>"["&amp;宝箱设定!$E$5&amp;","&amp;L17&amp;"]"</f>
        <v>[5,750]</v>
      </c>
      <c r="T17" s="282">
        <v>9</v>
      </c>
      <c r="U17" s="282">
        <f>U$3*基础经济系数!$G91</f>
        <v>1500</v>
      </c>
      <c r="X17" s="274" t="str">
        <f>"["&amp;宝箱设定!$E$6&amp;","&amp;U17&amp;"]"</f>
        <v>[9,1500]</v>
      </c>
      <c r="AC17" s="282">
        <v>9</v>
      </c>
      <c r="AD17" s="282">
        <f>AD$3*基础经济系数!$G91</f>
        <v>2250</v>
      </c>
      <c r="AG17" s="274" t="str">
        <f>"["&amp;宝箱设定!$E$7&amp;","&amp;AD17&amp;"]"</f>
        <v>[18,2250]</v>
      </c>
      <c r="AL17" s="282">
        <v>9</v>
      </c>
      <c r="AM17" s="282">
        <f>AM$3*基础经济系数!$G91</f>
        <v>3000</v>
      </c>
      <c r="AP17" s="274" t="str">
        <f>"["&amp;宝箱设定!$E$8&amp;","&amp;AM17&amp;"]"</f>
        <v>[36,3000]</v>
      </c>
      <c r="AU17" s="282">
        <v>9</v>
      </c>
      <c r="AV17" s="282">
        <f>ROUND(AV$3*基础经济系数!$G91/50,0)*50</f>
        <v>1900</v>
      </c>
      <c r="AY17" s="274" t="str">
        <f t="shared" si="0"/>
        <v>[1900]</v>
      </c>
      <c r="BD17" s="282">
        <v>9</v>
      </c>
      <c r="BE17" s="282">
        <f>ROUND(BE$3*基础经济系数!$G91/50,0)*50</f>
        <v>3750</v>
      </c>
      <c r="BH17" s="274" t="str">
        <f t="shared" si="1"/>
        <v>[3750]</v>
      </c>
      <c r="BM17" s="512">
        <v>9</v>
      </c>
      <c r="BN17" s="512">
        <f>ROUND(BN$3*基础经济系数!$G91/50,0)*50</f>
        <v>7500</v>
      </c>
      <c r="BQ17" s="274" t="str">
        <f t="shared" si="2"/>
        <v>[7500]</v>
      </c>
      <c r="BV17" s="293">
        <v>9</v>
      </c>
      <c r="BW17" s="293">
        <f>ROUND(BW$3*基础经济系数!$G91/50,0)*50</f>
        <v>0</v>
      </c>
      <c r="BZ17" s="274" t="str">
        <f t="shared" si="3"/>
        <v>[0]</v>
      </c>
      <c r="CE17" s="512">
        <v>9</v>
      </c>
      <c r="CF17" s="512">
        <f>ROUND(CF$3*基础经济系数!$G91/50,0)*50</f>
        <v>0</v>
      </c>
      <c r="CI17" s="274" t="str">
        <f t="shared" si="4"/>
        <v>[0]</v>
      </c>
    </row>
    <row r="18" spans="2:87" x14ac:dyDescent="0.35">
      <c r="B18" s="273">
        <v>10</v>
      </c>
      <c r="C18" s="595">
        <f>ROUND($C$3*基础经济系数!G92/5,0)*5</f>
        <v>1975</v>
      </c>
      <c r="F18" s="274" t="str">
        <f>"["&amp;宝箱设定!$E$4&amp;","&amp;C18&amp;"]"</f>
        <v>[2.5,1975]</v>
      </c>
      <c r="K18" s="282">
        <v>10</v>
      </c>
      <c r="L18" s="595">
        <f>ROUND(L$3*基础经济系数!$G92/5,0)*5</f>
        <v>790</v>
      </c>
      <c r="O18" s="274" t="str">
        <f>"["&amp;宝箱设定!$E$5&amp;","&amp;L18&amp;"]"</f>
        <v>[5,790]</v>
      </c>
      <c r="T18" s="282">
        <v>10</v>
      </c>
      <c r="U18" s="282">
        <f>U$3*基础经济系数!$G92</f>
        <v>1580</v>
      </c>
      <c r="X18" s="274" t="str">
        <f>"["&amp;宝箱设定!$E$6&amp;","&amp;U18&amp;"]"</f>
        <v>[9,1580]</v>
      </c>
      <c r="AC18" s="282">
        <v>10</v>
      </c>
      <c r="AD18" s="282">
        <f>AD$3*基础经济系数!$G92</f>
        <v>2370</v>
      </c>
      <c r="AG18" s="274" t="str">
        <f>"["&amp;宝箱设定!$E$7&amp;","&amp;AD18&amp;"]"</f>
        <v>[18,2370]</v>
      </c>
      <c r="AL18" s="282">
        <v>10</v>
      </c>
      <c r="AM18" s="282">
        <f>AM$3*基础经济系数!$G92</f>
        <v>3160</v>
      </c>
      <c r="AP18" s="274" t="str">
        <f>"["&amp;宝箱设定!$E$8&amp;","&amp;AM18&amp;"]"</f>
        <v>[36,3160]</v>
      </c>
      <c r="AU18" s="282">
        <v>10</v>
      </c>
      <c r="AV18" s="282">
        <f>ROUND(AV$3*基础经济系数!$G92/50,0)*50</f>
        <v>2000</v>
      </c>
      <c r="AY18" s="274" t="str">
        <f t="shared" si="0"/>
        <v>[2000]</v>
      </c>
      <c r="BD18" s="282">
        <v>10</v>
      </c>
      <c r="BE18" s="282">
        <f>ROUND(BE$3*基础经济系数!$G92/50,0)*50</f>
        <v>3950</v>
      </c>
      <c r="BH18" s="274" t="str">
        <f t="shared" si="1"/>
        <v>[3950]</v>
      </c>
      <c r="BM18" s="512">
        <v>10</v>
      </c>
      <c r="BN18" s="512">
        <f>ROUND(BN$3*基础经济系数!$G92/50,0)*50</f>
        <v>7900</v>
      </c>
      <c r="BQ18" s="274" t="str">
        <f t="shared" si="2"/>
        <v>[7900]</v>
      </c>
      <c r="BV18" s="293">
        <v>10</v>
      </c>
      <c r="BW18" s="293">
        <f>ROUND(BW$3*基础经济系数!$G92/50,0)*50</f>
        <v>0</v>
      </c>
      <c r="BZ18" s="274" t="str">
        <f t="shared" si="3"/>
        <v>[0]</v>
      </c>
      <c r="CE18" s="512">
        <v>10</v>
      </c>
      <c r="CF18" s="512">
        <f>ROUND(CF$3*基础经济系数!$G92/50,0)*50</f>
        <v>0</v>
      </c>
      <c r="CI18" s="274" t="str">
        <f t="shared" si="4"/>
        <v>[0]</v>
      </c>
    </row>
    <row r="19" spans="2:87" x14ac:dyDescent="0.35">
      <c r="B19" s="273">
        <v>11</v>
      </c>
      <c r="C19" s="595">
        <f>ROUND($C$3*基础经济系数!G93/5,0)*5</f>
        <v>2075</v>
      </c>
      <c r="F19" s="274" t="str">
        <f>"["&amp;宝箱设定!$E$4&amp;","&amp;C19&amp;"]"</f>
        <v>[2.5,2075]</v>
      </c>
      <c r="K19" s="282">
        <v>11</v>
      </c>
      <c r="L19" s="595">
        <f>ROUND(L$3*基础经济系数!$G93/5,0)*5</f>
        <v>830</v>
      </c>
      <c r="O19" s="274" t="str">
        <f>"["&amp;宝箱设定!$E$5&amp;","&amp;L19&amp;"]"</f>
        <v>[5,830]</v>
      </c>
      <c r="T19" s="282">
        <v>11</v>
      </c>
      <c r="U19" s="282">
        <f>U$3*基础经济系数!$G93</f>
        <v>1660</v>
      </c>
      <c r="X19" s="274" t="str">
        <f>"["&amp;宝箱设定!$E$6&amp;","&amp;U19&amp;"]"</f>
        <v>[9,1660]</v>
      </c>
      <c r="AC19" s="282">
        <v>11</v>
      </c>
      <c r="AD19" s="282">
        <f>AD$3*基础经济系数!$G93</f>
        <v>2490</v>
      </c>
      <c r="AG19" s="274" t="str">
        <f>"["&amp;宝箱设定!$E$7&amp;","&amp;AD19&amp;"]"</f>
        <v>[18,2490]</v>
      </c>
      <c r="AL19" s="282">
        <v>11</v>
      </c>
      <c r="AM19" s="282">
        <f>AM$3*基础经济系数!$G93</f>
        <v>3320</v>
      </c>
      <c r="AP19" s="274" t="str">
        <f>"["&amp;宝箱设定!$E$8&amp;","&amp;AM19&amp;"]"</f>
        <v>[36,3320]</v>
      </c>
      <c r="AU19" s="282">
        <v>11</v>
      </c>
      <c r="AV19" s="282">
        <f>ROUND(AV$3*基础经济系数!$G93/50,0)*50</f>
        <v>2100</v>
      </c>
      <c r="AY19" s="274" t="str">
        <f t="shared" si="0"/>
        <v>[2100]</v>
      </c>
      <c r="BD19" s="282">
        <v>11</v>
      </c>
      <c r="BE19" s="282">
        <f>ROUND(BE$3*基础经济系数!$G93/50,0)*50</f>
        <v>4150</v>
      </c>
      <c r="BH19" s="274" t="str">
        <f t="shared" si="1"/>
        <v>[4150]</v>
      </c>
      <c r="BM19" s="512">
        <v>11</v>
      </c>
      <c r="BN19" s="512">
        <f>ROUND(BN$3*基础经济系数!$G93/50,0)*50</f>
        <v>8300</v>
      </c>
      <c r="BQ19" s="274" t="str">
        <f t="shared" si="2"/>
        <v>[8300]</v>
      </c>
      <c r="BV19" s="293">
        <v>11</v>
      </c>
      <c r="BW19" s="293">
        <f>ROUND(BW$3*基础经济系数!$G93/50,0)*50</f>
        <v>0</v>
      </c>
      <c r="BZ19" s="274" t="str">
        <f t="shared" si="3"/>
        <v>[0]</v>
      </c>
      <c r="CE19" s="512">
        <v>11</v>
      </c>
      <c r="CF19" s="512">
        <f>ROUND(CF$3*基础经济系数!$G93/50,0)*50</f>
        <v>0</v>
      </c>
      <c r="CI19" s="274" t="str">
        <f t="shared" si="4"/>
        <v>[0]</v>
      </c>
    </row>
    <row r="20" spans="2:87" x14ac:dyDescent="0.35">
      <c r="B20" s="273">
        <v>12</v>
      </c>
      <c r="C20" s="595">
        <f>ROUND($C$3*基础经济系数!G94/5,0)*5</f>
        <v>2150</v>
      </c>
      <c r="F20" s="274" t="str">
        <f>"["&amp;宝箱设定!$E$4&amp;","&amp;C20&amp;"]"</f>
        <v>[2.5,2150]</v>
      </c>
      <c r="K20" s="282">
        <v>12</v>
      </c>
      <c r="L20" s="595">
        <f>ROUND(L$3*基础经济系数!$G94/5,0)*5</f>
        <v>860</v>
      </c>
      <c r="O20" s="274" t="str">
        <f>"["&amp;宝箱设定!$E$5&amp;","&amp;L20&amp;"]"</f>
        <v>[5,860]</v>
      </c>
      <c r="T20" s="282">
        <v>12</v>
      </c>
      <c r="U20" s="282">
        <f>U$3*基础经济系数!$G94</f>
        <v>1720</v>
      </c>
      <c r="X20" s="274" t="str">
        <f>"["&amp;宝箱设定!$E$6&amp;","&amp;U20&amp;"]"</f>
        <v>[9,1720]</v>
      </c>
      <c r="AC20" s="282">
        <v>12</v>
      </c>
      <c r="AD20" s="282">
        <f>AD$3*基础经济系数!$G94</f>
        <v>2580</v>
      </c>
      <c r="AG20" s="274" t="str">
        <f>"["&amp;宝箱设定!$E$7&amp;","&amp;AD20&amp;"]"</f>
        <v>[18,2580]</v>
      </c>
      <c r="AL20" s="282">
        <v>12</v>
      </c>
      <c r="AM20" s="282">
        <f>AM$3*基础经济系数!$G94</f>
        <v>3440</v>
      </c>
      <c r="AP20" s="274" t="str">
        <f>"["&amp;宝箱设定!$E$8&amp;","&amp;AM20&amp;"]"</f>
        <v>[36,3440]</v>
      </c>
      <c r="AU20" s="282">
        <v>12</v>
      </c>
      <c r="AV20" s="282">
        <f>ROUND(AV$3*基础经济系数!$G94/50,0)*50</f>
        <v>2150</v>
      </c>
      <c r="AY20" s="274" t="str">
        <f t="shared" si="0"/>
        <v>[2150]</v>
      </c>
      <c r="BD20" s="282">
        <v>12</v>
      </c>
      <c r="BE20" s="282">
        <f>ROUND(BE$3*基础经济系数!$G94/50,0)*50</f>
        <v>4300</v>
      </c>
      <c r="BH20" s="274" t="str">
        <f t="shared" si="1"/>
        <v>[4300]</v>
      </c>
      <c r="BM20" s="512">
        <v>12</v>
      </c>
      <c r="BN20" s="512">
        <f>ROUND(BN$3*基础经济系数!$G94/50,0)*50</f>
        <v>8600</v>
      </c>
      <c r="BQ20" s="274" t="str">
        <f t="shared" si="2"/>
        <v>[8600]</v>
      </c>
      <c r="BV20" s="293">
        <v>12</v>
      </c>
      <c r="BW20" s="293">
        <f>ROUND(BW$3*基础经济系数!$G94/50,0)*50</f>
        <v>0</v>
      </c>
      <c r="BZ20" s="274" t="str">
        <f t="shared" si="3"/>
        <v>[0]</v>
      </c>
      <c r="CE20" s="512">
        <v>12</v>
      </c>
      <c r="CF20" s="512">
        <f>ROUND(CF$3*基础经济系数!$G94/50,0)*50</f>
        <v>0</v>
      </c>
      <c r="CI20" s="274" t="str">
        <f t="shared" si="4"/>
        <v>[0]</v>
      </c>
    </row>
    <row r="21" spans="2:87" x14ac:dyDescent="0.35">
      <c r="B21" s="273">
        <v>13</v>
      </c>
      <c r="C21" s="595">
        <f>ROUND($C$3*基础经济系数!G95/5,0)*5</f>
        <v>2250</v>
      </c>
      <c r="F21" s="274" t="str">
        <f>"["&amp;宝箱设定!$E$4&amp;","&amp;C21&amp;"]"</f>
        <v>[2.5,2250]</v>
      </c>
      <c r="K21" s="282">
        <v>13</v>
      </c>
      <c r="L21" s="595">
        <f>ROUND(L$3*基础经济系数!$G95/5,0)*5</f>
        <v>900</v>
      </c>
      <c r="O21" s="274" t="str">
        <f>"["&amp;宝箱设定!$E$5&amp;","&amp;L21&amp;"]"</f>
        <v>[5,900]</v>
      </c>
      <c r="T21" s="282">
        <v>13</v>
      </c>
      <c r="U21" s="282">
        <f>U$3*基础经济系数!$G95</f>
        <v>1800</v>
      </c>
      <c r="X21" s="274" t="str">
        <f>"["&amp;宝箱设定!$E$6&amp;","&amp;U21&amp;"]"</f>
        <v>[9,1800]</v>
      </c>
      <c r="AC21" s="282">
        <v>13</v>
      </c>
      <c r="AD21" s="282">
        <f>AD$3*基础经济系数!$G95</f>
        <v>2700</v>
      </c>
      <c r="AG21" s="274" t="str">
        <f>"["&amp;宝箱设定!$E$7&amp;","&amp;AD21&amp;"]"</f>
        <v>[18,2700]</v>
      </c>
      <c r="AL21" s="282">
        <v>13</v>
      </c>
      <c r="AM21" s="282">
        <f>AM$3*基础经济系数!$G95</f>
        <v>3600</v>
      </c>
      <c r="AP21" s="274" t="str">
        <f>"["&amp;宝箱设定!$E$8&amp;","&amp;AM21&amp;"]"</f>
        <v>[36,3600]</v>
      </c>
      <c r="AU21" s="282">
        <v>13</v>
      </c>
      <c r="AV21" s="282">
        <f>ROUND(AV$3*基础经济系数!$G95/50,0)*50</f>
        <v>2250</v>
      </c>
      <c r="AY21" s="274" t="str">
        <f t="shared" si="0"/>
        <v>[2250]</v>
      </c>
      <c r="BD21" s="282">
        <v>13</v>
      </c>
      <c r="BE21" s="282">
        <f>ROUND(BE$3*基础经济系数!$G95/50,0)*50</f>
        <v>4500</v>
      </c>
      <c r="BH21" s="274" t="str">
        <f t="shared" si="1"/>
        <v>[4500]</v>
      </c>
      <c r="BM21" s="512">
        <v>13</v>
      </c>
      <c r="BN21" s="512">
        <f>ROUND(BN$3*基础经济系数!$G95/50,0)*50</f>
        <v>9000</v>
      </c>
      <c r="BQ21" s="274" t="str">
        <f t="shared" si="2"/>
        <v>[9000]</v>
      </c>
      <c r="BV21" s="293">
        <v>13</v>
      </c>
      <c r="BW21" s="293">
        <f>ROUND(BW$3*基础经济系数!$G95/50,0)*50</f>
        <v>0</v>
      </c>
      <c r="BZ21" s="274" t="str">
        <f t="shared" si="3"/>
        <v>[0]</v>
      </c>
      <c r="CE21" s="512">
        <v>13</v>
      </c>
      <c r="CF21" s="512">
        <f>ROUND(CF$3*基础经济系数!$G95/50,0)*50</f>
        <v>0</v>
      </c>
      <c r="CI21" s="274" t="str">
        <f t="shared" si="4"/>
        <v>[0]</v>
      </c>
    </row>
    <row r="22" spans="2:87" x14ac:dyDescent="0.35">
      <c r="B22" s="273">
        <v>14</v>
      </c>
      <c r="C22" s="595">
        <f>ROUND($C$3*基础经济系数!G96/5,0)*5</f>
        <v>2350</v>
      </c>
      <c r="F22" s="274" t="str">
        <f>"["&amp;宝箱设定!$E$4&amp;","&amp;C22&amp;"]"</f>
        <v>[2.5,2350]</v>
      </c>
      <c r="K22" s="282">
        <v>14</v>
      </c>
      <c r="L22" s="595">
        <f>ROUND(L$3*基础经济系数!$G96/5,0)*5</f>
        <v>940</v>
      </c>
      <c r="O22" s="274" t="str">
        <f>"["&amp;宝箱设定!$E$5&amp;","&amp;L22&amp;"]"</f>
        <v>[5,940]</v>
      </c>
      <c r="T22" s="282">
        <v>14</v>
      </c>
      <c r="U22" s="282">
        <f>U$3*基础经济系数!$G96</f>
        <v>1880</v>
      </c>
      <c r="X22" s="274" t="str">
        <f>"["&amp;宝箱设定!$E$6&amp;","&amp;U22&amp;"]"</f>
        <v>[9,1880]</v>
      </c>
      <c r="AC22" s="282">
        <v>14</v>
      </c>
      <c r="AD22" s="282">
        <f>AD$3*基础经济系数!$G96</f>
        <v>2820</v>
      </c>
      <c r="AG22" s="274" t="str">
        <f>"["&amp;宝箱设定!$E$7&amp;","&amp;AD22&amp;"]"</f>
        <v>[18,2820]</v>
      </c>
      <c r="AL22" s="282">
        <v>14</v>
      </c>
      <c r="AM22" s="282">
        <f>AM$3*基础经济系数!$G96</f>
        <v>3760</v>
      </c>
      <c r="AP22" s="274" t="str">
        <f>"["&amp;宝箱设定!$E$8&amp;","&amp;AM22&amp;"]"</f>
        <v>[36,3760]</v>
      </c>
      <c r="AU22" s="282">
        <v>14</v>
      </c>
      <c r="AV22" s="282">
        <f>ROUND(AV$3*基础经济系数!$G96/50,0)*50</f>
        <v>2350</v>
      </c>
      <c r="AY22" s="274" t="str">
        <f t="shared" si="0"/>
        <v>[2350]</v>
      </c>
      <c r="BD22" s="282">
        <v>14</v>
      </c>
      <c r="BE22" s="282">
        <f>ROUND(BE$3*基础经济系数!$G96/50,0)*50</f>
        <v>4700</v>
      </c>
      <c r="BH22" s="274" t="str">
        <f t="shared" si="1"/>
        <v>[4700]</v>
      </c>
      <c r="BM22" s="512">
        <v>14</v>
      </c>
      <c r="BN22" s="512">
        <f>ROUND(BN$3*基础经济系数!$G96/50,0)*50</f>
        <v>9400</v>
      </c>
      <c r="BQ22" s="274" t="str">
        <f t="shared" si="2"/>
        <v>[9400]</v>
      </c>
      <c r="BV22" s="293">
        <v>14</v>
      </c>
      <c r="BW22" s="293">
        <f>ROUND(BW$3*基础经济系数!$G96/50,0)*50</f>
        <v>0</v>
      </c>
      <c r="BZ22" s="274" t="str">
        <f t="shared" si="3"/>
        <v>[0]</v>
      </c>
      <c r="CE22" s="512">
        <v>14</v>
      </c>
      <c r="CF22" s="512">
        <f>ROUND(CF$3*基础经济系数!$G96/50,0)*50</f>
        <v>0</v>
      </c>
      <c r="CI22" s="274" t="str">
        <f t="shared" si="4"/>
        <v>[0]</v>
      </c>
    </row>
    <row r="23" spans="2:87" x14ac:dyDescent="0.35">
      <c r="B23" s="273">
        <v>15</v>
      </c>
      <c r="C23" s="595">
        <f>ROUND($C$3*基础经济系数!G97/5,0)*5</f>
        <v>2450</v>
      </c>
      <c r="F23" s="274" t="str">
        <f>"["&amp;宝箱设定!$E$4&amp;","&amp;C23&amp;"]"</f>
        <v>[2.5,2450]</v>
      </c>
      <c r="K23" s="282">
        <v>15</v>
      </c>
      <c r="L23" s="595">
        <f>ROUND(L$3*基础经济系数!$G97/5,0)*5</f>
        <v>980</v>
      </c>
      <c r="O23" s="274" t="str">
        <f>"["&amp;宝箱设定!$E$5&amp;","&amp;L23&amp;"]"</f>
        <v>[5,980]</v>
      </c>
      <c r="T23" s="282">
        <v>15</v>
      </c>
      <c r="U23" s="282">
        <f>U$3*基础经济系数!$G97</f>
        <v>1960</v>
      </c>
      <c r="X23" s="274" t="str">
        <f>"["&amp;宝箱设定!$E$6&amp;","&amp;U23&amp;"]"</f>
        <v>[9,1960]</v>
      </c>
      <c r="AC23" s="282">
        <v>15</v>
      </c>
      <c r="AD23" s="282">
        <f>AD$3*基础经济系数!$G97</f>
        <v>2940</v>
      </c>
      <c r="AG23" s="274" t="str">
        <f>"["&amp;宝箱设定!$E$7&amp;","&amp;AD23&amp;"]"</f>
        <v>[18,2940]</v>
      </c>
      <c r="AL23" s="282">
        <v>15</v>
      </c>
      <c r="AM23" s="282">
        <f>AM$3*基础经济系数!$G97</f>
        <v>3920</v>
      </c>
      <c r="AP23" s="274" t="str">
        <f>"["&amp;宝箱设定!$E$8&amp;","&amp;AM23&amp;"]"</f>
        <v>[36,3920]</v>
      </c>
      <c r="AU23" s="282">
        <v>15</v>
      </c>
      <c r="AV23" s="282">
        <f>ROUND(AV$3*基础经济系数!$G97/50,0)*50</f>
        <v>2450</v>
      </c>
      <c r="AY23" s="274" t="str">
        <f t="shared" si="0"/>
        <v>[2450]</v>
      </c>
      <c r="BD23" s="282">
        <v>15</v>
      </c>
      <c r="BE23" s="282">
        <f>ROUND(BE$3*基础经济系数!$G97/50,0)*50</f>
        <v>4900</v>
      </c>
      <c r="BH23" s="274" t="str">
        <f t="shared" si="1"/>
        <v>[4900]</v>
      </c>
      <c r="BM23" s="512">
        <v>15</v>
      </c>
      <c r="BN23" s="512">
        <f>ROUND(BN$3*基础经济系数!$G97/50,0)*50</f>
        <v>9800</v>
      </c>
      <c r="BQ23" s="274" t="str">
        <f t="shared" si="2"/>
        <v>[9800]</v>
      </c>
      <c r="BV23" s="293">
        <v>15</v>
      </c>
      <c r="BW23" s="293">
        <f>ROUND(BW$3*基础经济系数!$G97/50,0)*50</f>
        <v>0</v>
      </c>
      <c r="BZ23" s="274" t="str">
        <f t="shared" si="3"/>
        <v>[0]</v>
      </c>
      <c r="CE23" s="512">
        <v>15</v>
      </c>
      <c r="CF23" s="512">
        <f>ROUND(CF$3*基础经济系数!$G97/50,0)*50</f>
        <v>0</v>
      </c>
      <c r="CI23" s="274" t="str">
        <f t="shared" si="4"/>
        <v>[0]</v>
      </c>
    </row>
    <row r="24" spans="2:87" x14ac:dyDescent="0.35">
      <c r="B24" s="273">
        <v>16</v>
      </c>
      <c r="C24" s="595">
        <f>ROUND($C$3*基础经济系数!G98/5,0)*5</f>
        <v>2525</v>
      </c>
      <c r="F24" s="274" t="str">
        <f>"["&amp;宝箱设定!$E$4&amp;","&amp;C24&amp;"]"</f>
        <v>[2.5,2525]</v>
      </c>
      <c r="K24" s="282">
        <v>16</v>
      </c>
      <c r="L24" s="595">
        <f>ROUND(L$3*基础经济系数!$G98/5,0)*5</f>
        <v>1010</v>
      </c>
      <c r="O24" s="274" t="str">
        <f>"["&amp;宝箱设定!$E$5&amp;","&amp;L24&amp;"]"</f>
        <v>[5,1010]</v>
      </c>
      <c r="T24" s="282">
        <v>16</v>
      </c>
      <c r="U24" s="282">
        <f>U$3*基础经济系数!$G98</f>
        <v>2020</v>
      </c>
      <c r="X24" s="274" t="str">
        <f>"["&amp;宝箱设定!$E$6&amp;","&amp;U24&amp;"]"</f>
        <v>[9,2020]</v>
      </c>
      <c r="AC24" s="282">
        <v>16</v>
      </c>
      <c r="AD24" s="282">
        <f>AD$3*基础经济系数!$G98</f>
        <v>3030</v>
      </c>
      <c r="AG24" s="274" t="str">
        <f>"["&amp;宝箱设定!$E$7&amp;","&amp;AD24&amp;"]"</f>
        <v>[18,3030]</v>
      </c>
      <c r="AL24" s="282">
        <v>16</v>
      </c>
      <c r="AM24" s="282">
        <f>AM$3*基础经济系数!$G98</f>
        <v>4040</v>
      </c>
      <c r="AP24" s="274" t="str">
        <f>"["&amp;宝箱设定!$E$8&amp;","&amp;AM24&amp;"]"</f>
        <v>[36,4040]</v>
      </c>
      <c r="AU24" s="282">
        <v>16</v>
      </c>
      <c r="AV24" s="282">
        <f>ROUND(AV$3*基础经济系数!$G98/50,0)*50</f>
        <v>2550</v>
      </c>
      <c r="AY24" s="274" t="str">
        <f t="shared" si="0"/>
        <v>[2550]</v>
      </c>
      <c r="BD24" s="282">
        <v>16</v>
      </c>
      <c r="BE24" s="282">
        <f>ROUND(BE$3*基础经济系数!$G98/50,0)*50</f>
        <v>5050</v>
      </c>
      <c r="BH24" s="274" t="str">
        <f t="shared" si="1"/>
        <v>[5050]</v>
      </c>
      <c r="BM24" s="512">
        <v>16</v>
      </c>
      <c r="BN24" s="512">
        <f>ROUND(BN$3*基础经济系数!$G98/50,0)*50</f>
        <v>10100</v>
      </c>
      <c r="BQ24" s="274" t="str">
        <f t="shared" si="2"/>
        <v>[10100]</v>
      </c>
      <c r="BV24" s="293">
        <v>16</v>
      </c>
      <c r="BW24" s="293">
        <f>ROUND(BW$3*基础经济系数!$G98/50,0)*50</f>
        <v>0</v>
      </c>
      <c r="BZ24" s="274" t="str">
        <f t="shared" si="3"/>
        <v>[0]</v>
      </c>
      <c r="CE24" s="512">
        <v>16</v>
      </c>
      <c r="CF24" s="512">
        <f>ROUND(CF$3*基础经济系数!$G98/50,0)*50</f>
        <v>0</v>
      </c>
      <c r="CI24" s="274" t="str">
        <f t="shared" si="4"/>
        <v>[0]</v>
      </c>
    </row>
    <row r="25" spans="2:87" x14ac:dyDescent="0.35">
      <c r="B25" s="273">
        <v>17</v>
      </c>
      <c r="C25" s="595">
        <f>ROUND($C$3*基础经济系数!G99/5,0)*5</f>
        <v>2625</v>
      </c>
      <c r="F25" s="274" t="str">
        <f>"["&amp;宝箱设定!$E$4&amp;","&amp;C25&amp;"]"</f>
        <v>[2.5,2625]</v>
      </c>
      <c r="K25" s="282">
        <v>17</v>
      </c>
      <c r="L25" s="595">
        <f>ROUND(L$3*基础经济系数!$G99/5,0)*5</f>
        <v>1050</v>
      </c>
      <c r="O25" s="274" t="str">
        <f>"["&amp;宝箱设定!$E$5&amp;","&amp;L25&amp;"]"</f>
        <v>[5,1050]</v>
      </c>
      <c r="T25" s="282">
        <v>17</v>
      </c>
      <c r="U25" s="282">
        <f>U$3*基础经济系数!$G99</f>
        <v>2100</v>
      </c>
      <c r="X25" s="274" t="str">
        <f>"["&amp;宝箱设定!$E$6&amp;","&amp;U25&amp;"]"</f>
        <v>[9,2100]</v>
      </c>
      <c r="AC25" s="282">
        <v>17</v>
      </c>
      <c r="AD25" s="282">
        <f>AD$3*基础经济系数!$G99</f>
        <v>3150</v>
      </c>
      <c r="AG25" s="274" t="str">
        <f>"["&amp;宝箱设定!$E$7&amp;","&amp;AD25&amp;"]"</f>
        <v>[18,3150]</v>
      </c>
      <c r="AL25" s="282">
        <v>17</v>
      </c>
      <c r="AM25" s="282">
        <f>AM$3*基础经济系数!$G99</f>
        <v>4200</v>
      </c>
      <c r="AP25" s="274" t="str">
        <f>"["&amp;宝箱设定!$E$8&amp;","&amp;AM25&amp;"]"</f>
        <v>[36,4200]</v>
      </c>
      <c r="AU25" s="282">
        <v>17</v>
      </c>
      <c r="AV25" s="282">
        <f>ROUND(AV$3*基础经济系数!$G99/50,0)*50</f>
        <v>2650</v>
      </c>
      <c r="AY25" s="274" t="str">
        <f t="shared" si="0"/>
        <v>[2650]</v>
      </c>
      <c r="BD25" s="282">
        <v>17</v>
      </c>
      <c r="BE25" s="282">
        <f>ROUND(BE$3*基础经济系数!$G99/50,0)*50</f>
        <v>5250</v>
      </c>
      <c r="BH25" s="274" t="str">
        <f t="shared" si="1"/>
        <v>[5250]</v>
      </c>
      <c r="BM25" s="512">
        <v>17</v>
      </c>
      <c r="BN25" s="512">
        <f>ROUND(BN$3*基础经济系数!$G99/50,0)*50</f>
        <v>10500</v>
      </c>
      <c r="BQ25" s="274" t="str">
        <f t="shared" si="2"/>
        <v>[10500]</v>
      </c>
      <c r="BV25" s="293">
        <v>17</v>
      </c>
      <c r="BW25" s="293">
        <f>ROUND(BW$3*基础经济系数!$G99/50,0)*50</f>
        <v>0</v>
      </c>
      <c r="BZ25" s="274" t="str">
        <f t="shared" si="3"/>
        <v>[0]</v>
      </c>
      <c r="CE25" s="512">
        <v>17</v>
      </c>
      <c r="CF25" s="512">
        <f>ROUND(CF$3*基础经济系数!$G99/50,0)*50</f>
        <v>0</v>
      </c>
      <c r="CI25" s="274" t="str">
        <f t="shared" si="4"/>
        <v>[0]</v>
      </c>
    </row>
    <row r="26" spans="2:87" x14ac:dyDescent="0.35">
      <c r="B26" s="273">
        <v>18</v>
      </c>
      <c r="C26" s="595">
        <f>ROUND($C$3*基础经济系数!G100/5,0)*5</f>
        <v>2725</v>
      </c>
      <c r="F26" s="274" t="str">
        <f>"["&amp;宝箱设定!$E$4&amp;","&amp;C26&amp;"]"</f>
        <v>[2.5,2725]</v>
      </c>
      <c r="K26" s="282">
        <v>18</v>
      </c>
      <c r="L26" s="595">
        <f>ROUND(L$3*基础经济系数!$G100/5,0)*5</f>
        <v>1090</v>
      </c>
      <c r="O26" s="274" t="str">
        <f>"["&amp;宝箱设定!$E$5&amp;","&amp;L26&amp;"]"</f>
        <v>[5,1090]</v>
      </c>
      <c r="T26" s="282">
        <v>18</v>
      </c>
      <c r="U26" s="282">
        <f>U$3*基础经济系数!$G100</f>
        <v>2180</v>
      </c>
      <c r="X26" s="274" t="str">
        <f>"["&amp;宝箱设定!$E$6&amp;","&amp;U26&amp;"]"</f>
        <v>[9,2180]</v>
      </c>
      <c r="AC26" s="282">
        <v>18</v>
      </c>
      <c r="AD26" s="282">
        <f>AD$3*基础经济系数!$G100</f>
        <v>3270</v>
      </c>
      <c r="AG26" s="274" t="str">
        <f>"["&amp;宝箱设定!$E$7&amp;","&amp;AD26&amp;"]"</f>
        <v>[18,3270]</v>
      </c>
      <c r="AL26" s="282">
        <v>18</v>
      </c>
      <c r="AM26" s="282">
        <f>AM$3*基础经济系数!$G100</f>
        <v>4360</v>
      </c>
      <c r="AP26" s="274" t="str">
        <f>"["&amp;宝箱设定!$E$8&amp;","&amp;AM26&amp;"]"</f>
        <v>[36,4360]</v>
      </c>
      <c r="AU26" s="282">
        <v>18</v>
      </c>
      <c r="AV26" s="282">
        <f>ROUND(AV$3*基础经济系数!$G100/50,0)*50</f>
        <v>2750</v>
      </c>
      <c r="AY26" s="274" t="str">
        <f t="shared" si="0"/>
        <v>[2750]</v>
      </c>
      <c r="BD26" s="282">
        <v>18</v>
      </c>
      <c r="BE26" s="282">
        <f>ROUND(BE$3*基础经济系数!$G100/50,0)*50</f>
        <v>5450</v>
      </c>
      <c r="BH26" s="274" t="str">
        <f t="shared" si="1"/>
        <v>[5450]</v>
      </c>
      <c r="BM26" s="512">
        <v>18</v>
      </c>
      <c r="BN26" s="512">
        <f>ROUND(BN$3*基础经济系数!$G100/50,0)*50</f>
        <v>10900</v>
      </c>
      <c r="BQ26" s="274" t="str">
        <f t="shared" si="2"/>
        <v>[10900]</v>
      </c>
      <c r="BV26" s="293">
        <v>18</v>
      </c>
      <c r="BW26" s="293">
        <f>ROUND(BW$3*基础经济系数!$G100/50,0)*50</f>
        <v>0</v>
      </c>
      <c r="BZ26" s="274" t="str">
        <f t="shared" si="3"/>
        <v>[0]</v>
      </c>
      <c r="CE26" s="512">
        <v>18</v>
      </c>
      <c r="CF26" s="512">
        <f>ROUND(CF$3*基础经济系数!$G100/50,0)*50</f>
        <v>0</v>
      </c>
      <c r="CI26" s="274" t="str">
        <f t="shared" si="4"/>
        <v>[0]</v>
      </c>
    </row>
    <row r="27" spans="2:87" x14ac:dyDescent="0.35">
      <c r="B27" s="273">
        <v>19</v>
      </c>
      <c r="C27" s="595">
        <f>ROUND($C$3*基础经济系数!G101/5,0)*5</f>
        <v>2825</v>
      </c>
      <c r="F27" s="274" t="str">
        <f>"["&amp;宝箱设定!$E$4&amp;","&amp;C27&amp;"]"</f>
        <v>[2.5,2825]</v>
      </c>
      <c r="K27" s="282">
        <v>19</v>
      </c>
      <c r="L27" s="595">
        <f>ROUND(L$3*基础经济系数!$G101/5,0)*5</f>
        <v>1130</v>
      </c>
      <c r="O27" s="274" t="str">
        <f>"["&amp;宝箱设定!$E$5&amp;","&amp;L27&amp;"]"</f>
        <v>[5,1130]</v>
      </c>
      <c r="T27" s="282">
        <v>19</v>
      </c>
      <c r="U27" s="282">
        <f>U$3*基础经济系数!$G101</f>
        <v>2260</v>
      </c>
      <c r="X27" s="274" t="str">
        <f>"["&amp;宝箱设定!$E$6&amp;","&amp;U27&amp;"]"</f>
        <v>[9,2260]</v>
      </c>
      <c r="AC27" s="282">
        <v>19</v>
      </c>
      <c r="AD27" s="282">
        <f>AD$3*基础经济系数!$G101</f>
        <v>3390</v>
      </c>
      <c r="AG27" s="274" t="str">
        <f>"["&amp;宝箱设定!$E$7&amp;","&amp;AD27&amp;"]"</f>
        <v>[18,3390]</v>
      </c>
      <c r="AL27" s="282">
        <v>19</v>
      </c>
      <c r="AM27" s="282">
        <f>AM$3*基础经济系数!$G101</f>
        <v>4520</v>
      </c>
      <c r="AP27" s="274" t="str">
        <f>"["&amp;宝箱设定!$E$8&amp;","&amp;AM27&amp;"]"</f>
        <v>[36,4520]</v>
      </c>
      <c r="AU27" s="282">
        <v>19</v>
      </c>
      <c r="AV27" s="282">
        <f>ROUND(AV$3*基础经济系数!$G101/50,0)*50</f>
        <v>2850</v>
      </c>
      <c r="AY27" s="274" t="str">
        <f t="shared" si="0"/>
        <v>[2850]</v>
      </c>
      <c r="BD27" s="282">
        <v>19</v>
      </c>
      <c r="BE27" s="282">
        <f>ROUND(BE$3*基础经济系数!$G101/50,0)*50</f>
        <v>5650</v>
      </c>
      <c r="BH27" s="274" t="str">
        <f t="shared" si="1"/>
        <v>[5650]</v>
      </c>
      <c r="BM27" s="512">
        <v>19</v>
      </c>
      <c r="BN27" s="512">
        <f>ROUND(BN$3*基础经济系数!$G101/50,0)*50</f>
        <v>11300</v>
      </c>
      <c r="BQ27" s="274" t="str">
        <f t="shared" si="2"/>
        <v>[11300]</v>
      </c>
      <c r="BV27" s="293">
        <v>19</v>
      </c>
      <c r="BW27" s="293">
        <f>ROUND(BW$3*基础经济系数!$G101/50,0)*50</f>
        <v>0</v>
      </c>
      <c r="BZ27" s="274" t="str">
        <f t="shared" si="3"/>
        <v>[0]</v>
      </c>
      <c r="CE27" s="512">
        <v>19</v>
      </c>
      <c r="CF27" s="512">
        <f>ROUND(CF$3*基础经济系数!$G101/50,0)*50</f>
        <v>0</v>
      </c>
      <c r="CI27" s="274" t="str">
        <f t="shared" si="4"/>
        <v>[0]</v>
      </c>
    </row>
    <row r="28" spans="2:87" x14ac:dyDescent="0.35">
      <c r="B28" s="273">
        <v>20</v>
      </c>
      <c r="C28" s="595">
        <f>ROUND($C$3*基础经济系数!G102/5,0)*5</f>
        <v>2900</v>
      </c>
      <c r="F28" s="274" t="str">
        <f>"["&amp;宝箱设定!$E$4&amp;","&amp;C28&amp;"]"</f>
        <v>[2.5,2900]</v>
      </c>
      <c r="K28" s="282">
        <v>20</v>
      </c>
      <c r="L28" s="595">
        <f>ROUND(L$3*基础经济系数!$G102/5,0)*5</f>
        <v>1160</v>
      </c>
      <c r="O28" s="274" t="str">
        <f>"["&amp;宝箱设定!$E$5&amp;","&amp;L28&amp;"]"</f>
        <v>[5,1160]</v>
      </c>
      <c r="T28" s="282">
        <v>20</v>
      </c>
      <c r="U28" s="282">
        <f>U$3*基础经济系数!$G102</f>
        <v>2320</v>
      </c>
      <c r="X28" s="274" t="str">
        <f>"["&amp;宝箱设定!$E$6&amp;","&amp;U28&amp;"]"</f>
        <v>[9,2320]</v>
      </c>
      <c r="AC28" s="282">
        <v>20</v>
      </c>
      <c r="AD28" s="282">
        <f>AD$3*基础经济系数!$G102</f>
        <v>3480</v>
      </c>
      <c r="AG28" s="274" t="str">
        <f>"["&amp;宝箱设定!$E$7&amp;","&amp;AD28&amp;"]"</f>
        <v>[18,3480]</v>
      </c>
      <c r="AL28" s="282">
        <v>20</v>
      </c>
      <c r="AM28" s="282">
        <f>AM$3*基础经济系数!$G102</f>
        <v>4640</v>
      </c>
      <c r="AP28" s="274" t="str">
        <f>"["&amp;宝箱设定!$E$8&amp;","&amp;AM28&amp;"]"</f>
        <v>[36,4640]</v>
      </c>
      <c r="AU28" s="282">
        <v>20</v>
      </c>
      <c r="AV28" s="282">
        <f>ROUND(AV$3*基础经济系数!$G102/50,0)*50</f>
        <v>2900</v>
      </c>
      <c r="AY28" s="274" t="str">
        <f t="shared" si="0"/>
        <v>[2900]</v>
      </c>
      <c r="BD28" s="282">
        <v>20</v>
      </c>
      <c r="BE28" s="282">
        <f>ROUND(BE$3*基础经济系数!$G102/50,0)*50</f>
        <v>5800</v>
      </c>
      <c r="BH28" s="274" t="str">
        <f t="shared" si="1"/>
        <v>[5800]</v>
      </c>
      <c r="BM28" s="512">
        <v>20</v>
      </c>
      <c r="BN28" s="512">
        <f>ROUND(BN$3*基础经济系数!$G102/50,0)*50</f>
        <v>11600</v>
      </c>
      <c r="BQ28" s="274" t="str">
        <f t="shared" si="2"/>
        <v>[11600]</v>
      </c>
      <c r="BV28" s="293">
        <v>20</v>
      </c>
      <c r="BW28" s="293">
        <f>ROUND(BW$3*基础经济系数!$G102/50,0)*50</f>
        <v>0</v>
      </c>
      <c r="BZ28" s="274" t="str">
        <f t="shared" si="3"/>
        <v>[0]</v>
      </c>
      <c r="CE28" s="512">
        <v>20</v>
      </c>
      <c r="CF28" s="512">
        <f>ROUND(CF$3*基础经济系数!$G102/50,0)*50</f>
        <v>0</v>
      </c>
      <c r="CI28" s="274" t="str">
        <f t="shared" si="4"/>
        <v>[0]</v>
      </c>
    </row>
    <row r="29" spans="2:87" x14ac:dyDescent="0.35">
      <c r="B29" s="273">
        <v>21</v>
      </c>
      <c r="C29" s="595">
        <f>ROUND($C$3*基础经济系数!G103/5,0)*5</f>
        <v>3000</v>
      </c>
      <c r="F29" s="274" t="str">
        <f>"["&amp;宝箱设定!$E$4&amp;","&amp;C29&amp;"]"</f>
        <v>[2.5,3000]</v>
      </c>
      <c r="K29" s="282">
        <v>21</v>
      </c>
      <c r="L29" s="595">
        <f>ROUND(L$3*基础经济系数!$G103/5,0)*5</f>
        <v>1200</v>
      </c>
      <c r="O29" s="274" t="str">
        <f>"["&amp;宝箱设定!$E$5&amp;","&amp;L29&amp;"]"</f>
        <v>[5,1200]</v>
      </c>
      <c r="T29" s="282">
        <v>21</v>
      </c>
      <c r="U29" s="282">
        <f>U$3*基础经济系数!$G103</f>
        <v>2400</v>
      </c>
      <c r="X29" s="274" t="str">
        <f>"["&amp;宝箱设定!$E$6&amp;","&amp;U29&amp;"]"</f>
        <v>[9,2400]</v>
      </c>
      <c r="AC29" s="282">
        <v>21</v>
      </c>
      <c r="AD29" s="282">
        <f>AD$3*基础经济系数!$G103</f>
        <v>3600</v>
      </c>
      <c r="AG29" s="274" t="str">
        <f>"["&amp;宝箱设定!$E$7&amp;","&amp;AD29&amp;"]"</f>
        <v>[18,3600]</v>
      </c>
      <c r="AL29" s="282">
        <v>21</v>
      </c>
      <c r="AM29" s="282">
        <f>AM$3*基础经济系数!$G103</f>
        <v>4800</v>
      </c>
      <c r="AP29" s="274" t="str">
        <f>"["&amp;宝箱设定!$E$8&amp;","&amp;AM29&amp;"]"</f>
        <v>[36,4800]</v>
      </c>
      <c r="AU29" s="282">
        <v>21</v>
      </c>
      <c r="AV29" s="282">
        <f>ROUND(AV$3*基础经济系数!$G103/50,0)*50</f>
        <v>3000</v>
      </c>
      <c r="AY29" s="274" t="str">
        <f t="shared" si="0"/>
        <v>[3000]</v>
      </c>
      <c r="BD29" s="282">
        <v>21</v>
      </c>
      <c r="BE29" s="282">
        <f>ROUND(BE$3*基础经济系数!$G103/50,0)*50</f>
        <v>6000</v>
      </c>
      <c r="BH29" s="274" t="str">
        <f t="shared" si="1"/>
        <v>[6000]</v>
      </c>
      <c r="BM29" s="512">
        <v>21</v>
      </c>
      <c r="BN29" s="512">
        <f>ROUND(BN$3*基础经济系数!$G103/50,0)*50</f>
        <v>12000</v>
      </c>
      <c r="BQ29" s="274" t="str">
        <f t="shared" si="2"/>
        <v>[12000]</v>
      </c>
      <c r="BV29" s="293">
        <v>21</v>
      </c>
      <c r="BW29" s="293">
        <f>ROUND(BW$3*基础经济系数!$G103/50,0)*50</f>
        <v>0</v>
      </c>
      <c r="BZ29" s="274" t="str">
        <f t="shared" si="3"/>
        <v>[0]</v>
      </c>
      <c r="CE29" s="512">
        <v>21</v>
      </c>
      <c r="CF29" s="512">
        <f>ROUND(CF$3*基础经济系数!$G103/50,0)*50</f>
        <v>0</v>
      </c>
      <c r="CI29" s="274" t="str">
        <f t="shared" si="4"/>
        <v>[0]</v>
      </c>
    </row>
    <row r="30" spans="2:87" x14ac:dyDescent="0.35">
      <c r="B30" s="273">
        <v>22</v>
      </c>
      <c r="C30" s="595">
        <f>ROUND($C$3*基础经济系数!G104/5,0)*5</f>
        <v>3100</v>
      </c>
      <c r="F30" s="274" t="str">
        <f>"["&amp;宝箱设定!$E$4&amp;","&amp;C30&amp;"]"</f>
        <v>[2.5,3100]</v>
      </c>
      <c r="K30" s="282">
        <v>22</v>
      </c>
      <c r="L30" s="595">
        <f>ROUND(L$3*基础经济系数!$G104/5,0)*5</f>
        <v>1240</v>
      </c>
      <c r="O30" s="274" t="str">
        <f>"["&amp;宝箱设定!$E$5&amp;","&amp;L30&amp;"]"</f>
        <v>[5,1240]</v>
      </c>
      <c r="T30" s="282">
        <v>22</v>
      </c>
      <c r="U30" s="282">
        <f>U$3*基础经济系数!$G104</f>
        <v>2480</v>
      </c>
      <c r="X30" s="274" t="str">
        <f>"["&amp;宝箱设定!$E$6&amp;","&amp;U30&amp;"]"</f>
        <v>[9,2480]</v>
      </c>
      <c r="AC30" s="282">
        <v>22</v>
      </c>
      <c r="AD30" s="282">
        <f>AD$3*基础经济系数!$G104</f>
        <v>3720</v>
      </c>
      <c r="AG30" s="274" t="str">
        <f>"["&amp;宝箱设定!$E$7&amp;","&amp;AD30&amp;"]"</f>
        <v>[18,3720]</v>
      </c>
      <c r="AL30" s="282">
        <v>22</v>
      </c>
      <c r="AM30" s="282">
        <f>AM$3*基础经济系数!$G104</f>
        <v>4960</v>
      </c>
      <c r="AP30" s="274" t="str">
        <f>"["&amp;宝箱设定!$E$8&amp;","&amp;AM30&amp;"]"</f>
        <v>[36,4960]</v>
      </c>
      <c r="AU30" s="282">
        <v>22</v>
      </c>
      <c r="AV30" s="282">
        <f>ROUND(AV$3*基础经济系数!$G104/50,0)*50</f>
        <v>3100</v>
      </c>
      <c r="AY30" s="274" t="str">
        <f t="shared" si="0"/>
        <v>[3100]</v>
      </c>
      <c r="BD30" s="282">
        <v>22</v>
      </c>
      <c r="BE30" s="282">
        <f>ROUND(BE$3*基础经济系数!$G104/50,0)*50</f>
        <v>6200</v>
      </c>
      <c r="BH30" s="274" t="str">
        <f t="shared" si="1"/>
        <v>[6200]</v>
      </c>
      <c r="BM30" s="512">
        <v>22</v>
      </c>
      <c r="BN30" s="512">
        <f>ROUND(BN$3*基础经济系数!$G104/50,0)*50</f>
        <v>12400</v>
      </c>
      <c r="BQ30" s="274" t="str">
        <f t="shared" si="2"/>
        <v>[12400]</v>
      </c>
      <c r="BV30" s="293">
        <v>22</v>
      </c>
      <c r="BW30" s="293">
        <f>ROUND(BW$3*基础经济系数!$G104/50,0)*50</f>
        <v>0</v>
      </c>
      <c r="BZ30" s="274" t="str">
        <f t="shared" si="3"/>
        <v>[0]</v>
      </c>
      <c r="CE30" s="512">
        <v>22</v>
      </c>
      <c r="CF30" s="512">
        <f>ROUND(CF$3*基础经济系数!$G104/50,0)*50</f>
        <v>0</v>
      </c>
      <c r="CI30" s="274" t="str">
        <f t="shared" si="4"/>
        <v>[0]</v>
      </c>
    </row>
    <row r="31" spans="2:87" x14ac:dyDescent="0.35">
      <c r="B31" s="273">
        <v>23</v>
      </c>
      <c r="C31" s="595">
        <f>ROUND($C$3*基础经济系数!G105/5,0)*5</f>
        <v>3200</v>
      </c>
      <c r="F31" s="274" t="str">
        <f>"["&amp;宝箱设定!$E$4&amp;","&amp;C31&amp;"]"</f>
        <v>[2.5,3200]</v>
      </c>
      <c r="K31" s="282">
        <v>23</v>
      </c>
      <c r="L31" s="595">
        <f>ROUND(L$3*基础经济系数!$G105/5,0)*5</f>
        <v>1280</v>
      </c>
      <c r="O31" s="274" t="str">
        <f>"["&amp;宝箱设定!$E$5&amp;","&amp;L31&amp;"]"</f>
        <v>[5,1280]</v>
      </c>
      <c r="T31" s="282">
        <v>23</v>
      </c>
      <c r="U31" s="282">
        <f>U$3*基础经济系数!$G105</f>
        <v>2560</v>
      </c>
      <c r="X31" s="274" t="str">
        <f>"["&amp;宝箱设定!$E$6&amp;","&amp;U31&amp;"]"</f>
        <v>[9,2560]</v>
      </c>
      <c r="AC31" s="282">
        <v>23</v>
      </c>
      <c r="AD31" s="282">
        <f>AD$3*基础经济系数!$G105</f>
        <v>3840</v>
      </c>
      <c r="AG31" s="274" t="str">
        <f>"["&amp;宝箱设定!$E$7&amp;","&amp;AD31&amp;"]"</f>
        <v>[18,3840]</v>
      </c>
      <c r="AL31" s="282">
        <v>23</v>
      </c>
      <c r="AM31" s="282">
        <f>AM$3*基础经济系数!$G105</f>
        <v>5120</v>
      </c>
      <c r="AP31" s="274" t="str">
        <f>"["&amp;宝箱设定!$E$8&amp;","&amp;AM31&amp;"]"</f>
        <v>[36,5120]</v>
      </c>
      <c r="AU31" s="282">
        <v>23</v>
      </c>
      <c r="AV31" s="282">
        <f>ROUND(AV$3*基础经济系数!$G105/50,0)*50</f>
        <v>3200</v>
      </c>
      <c r="AY31" s="274" t="str">
        <f t="shared" si="0"/>
        <v>[3200]</v>
      </c>
      <c r="BD31" s="282">
        <v>23</v>
      </c>
      <c r="BE31" s="282">
        <f>ROUND(BE$3*基础经济系数!$G105/50,0)*50</f>
        <v>6400</v>
      </c>
      <c r="BH31" s="274" t="str">
        <f t="shared" si="1"/>
        <v>[6400]</v>
      </c>
      <c r="BM31" s="512">
        <v>23</v>
      </c>
      <c r="BN31" s="512">
        <f>ROUND(BN$3*基础经济系数!$G105/50,0)*50</f>
        <v>12800</v>
      </c>
      <c r="BQ31" s="274" t="str">
        <f t="shared" si="2"/>
        <v>[12800]</v>
      </c>
      <c r="BV31" s="293">
        <v>23</v>
      </c>
      <c r="BW31" s="293">
        <f>ROUND(BW$3*基础经济系数!$G105/50,0)*50</f>
        <v>0</v>
      </c>
      <c r="BZ31" s="274" t="str">
        <f t="shared" si="3"/>
        <v>[0]</v>
      </c>
      <c r="CE31" s="512">
        <v>23</v>
      </c>
      <c r="CF31" s="512">
        <f>ROUND(CF$3*基础经济系数!$G105/50,0)*50</f>
        <v>0</v>
      </c>
      <c r="CI31" s="274" t="str">
        <f t="shared" si="4"/>
        <v>[0]</v>
      </c>
    </row>
    <row r="32" spans="2:87" x14ac:dyDescent="0.35">
      <c r="B32" s="273">
        <v>24</v>
      </c>
      <c r="C32" s="595">
        <f>ROUND($C$3*基础经济系数!G106/5,0)*5</f>
        <v>3275</v>
      </c>
      <c r="F32" s="274" t="str">
        <f>"["&amp;宝箱设定!$E$4&amp;","&amp;C32&amp;"]"</f>
        <v>[2.5,3275]</v>
      </c>
      <c r="K32" s="282">
        <v>24</v>
      </c>
      <c r="L32" s="595">
        <f>ROUND(L$3*基础经济系数!$G106/5,0)*5</f>
        <v>1310</v>
      </c>
      <c r="O32" s="274" t="str">
        <f>"["&amp;宝箱设定!$E$5&amp;","&amp;L32&amp;"]"</f>
        <v>[5,1310]</v>
      </c>
      <c r="T32" s="282">
        <v>24</v>
      </c>
      <c r="U32" s="282">
        <f>U$3*基础经济系数!$G106</f>
        <v>2620</v>
      </c>
      <c r="X32" s="274" t="str">
        <f>"["&amp;宝箱设定!$E$6&amp;","&amp;U32&amp;"]"</f>
        <v>[9,2620]</v>
      </c>
      <c r="AC32" s="282">
        <v>24</v>
      </c>
      <c r="AD32" s="282">
        <f>AD$3*基础经济系数!$G106</f>
        <v>3930</v>
      </c>
      <c r="AG32" s="274" t="str">
        <f>"["&amp;宝箱设定!$E$7&amp;","&amp;AD32&amp;"]"</f>
        <v>[18,3930]</v>
      </c>
      <c r="AL32" s="282">
        <v>24</v>
      </c>
      <c r="AM32" s="282">
        <f>AM$3*基础经济系数!$G106</f>
        <v>5240</v>
      </c>
      <c r="AP32" s="274" t="str">
        <f>"["&amp;宝箱设定!$E$8&amp;","&amp;AM32&amp;"]"</f>
        <v>[36,5240]</v>
      </c>
      <c r="AU32" s="282">
        <v>24</v>
      </c>
      <c r="AV32" s="282">
        <f>ROUND(AV$3*基础经济系数!$G106/50,0)*50</f>
        <v>3300</v>
      </c>
      <c r="AY32" s="274" t="str">
        <f t="shared" si="0"/>
        <v>[3300]</v>
      </c>
      <c r="BD32" s="282">
        <v>24</v>
      </c>
      <c r="BE32" s="282">
        <f>ROUND(BE$3*基础经济系数!$G106/50,0)*50</f>
        <v>6550</v>
      </c>
      <c r="BH32" s="274" t="str">
        <f t="shared" si="1"/>
        <v>[6550]</v>
      </c>
      <c r="BM32" s="512">
        <v>24</v>
      </c>
      <c r="BN32" s="512">
        <f>ROUND(BN$3*基础经济系数!$G106/50,0)*50</f>
        <v>13100</v>
      </c>
      <c r="BQ32" s="274" t="str">
        <f t="shared" si="2"/>
        <v>[13100]</v>
      </c>
      <c r="BV32" s="293">
        <v>24</v>
      </c>
      <c r="BW32" s="293">
        <f>ROUND(BW$3*基础经济系数!$G106/50,0)*50</f>
        <v>0</v>
      </c>
      <c r="BZ32" s="274" t="str">
        <f t="shared" si="3"/>
        <v>[0]</v>
      </c>
      <c r="CE32" s="512">
        <v>24</v>
      </c>
      <c r="CF32" s="512">
        <f>ROUND(CF$3*基础经济系数!$G106/50,0)*50</f>
        <v>0</v>
      </c>
      <c r="CI32" s="274" t="str">
        <f t="shared" si="4"/>
        <v>[0]</v>
      </c>
    </row>
    <row r="35" spans="2:109" x14ac:dyDescent="0.35">
      <c r="B35" s="273" t="s">
        <v>1226</v>
      </c>
      <c r="C35" s="273" t="s">
        <v>1225</v>
      </c>
      <c r="D35" s="258" t="s">
        <v>917</v>
      </c>
      <c r="E35" s="166" t="s">
        <v>920</v>
      </c>
      <c r="F35" s="261" t="s">
        <v>967</v>
      </c>
      <c r="G35" s="166" t="s">
        <v>854</v>
      </c>
      <c r="H35" s="166" t="s">
        <v>926</v>
      </c>
      <c r="I35" s="259" t="s">
        <v>927</v>
      </c>
      <c r="J35" s="300">
        <f ca="1">SUM(I36:I47)</f>
        <v>8752</v>
      </c>
      <c r="K35" s="282" t="s">
        <v>814</v>
      </c>
      <c r="L35" s="282" t="s">
        <v>1225</v>
      </c>
      <c r="M35" s="280" t="s">
        <v>917</v>
      </c>
      <c r="N35" s="166" t="s">
        <v>920</v>
      </c>
      <c r="O35" s="285" t="s">
        <v>967</v>
      </c>
      <c r="P35" s="166" t="s">
        <v>854</v>
      </c>
      <c r="Q35" s="166" t="s">
        <v>926</v>
      </c>
      <c r="R35" s="281" t="s">
        <v>927</v>
      </c>
      <c r="S35" s="300">
        <f ca="1">SUM(R36:R47)</f>
        <v>14516</v>
      </c>
      <c r="T35" s="512" t="s">
        <v>597</v>
      </c>
      <c r="U35" s="512" t="s">
        <v>1225</v>
      </c>
      <c r="V35" s="513" t="s">
        <v>917</v>
      </c>
      <c r="W35" s="166" t="s">
        <v>920</v>
      </c>
      <c r="X35" s="518" t="s">
        <v>967</v>
      </c>
      <c r="Y35" s="166" t="s">
        <v>854</v>
      </c>
      <c r="Z35" s="166" t="s">
        <v>926</v>
      </c>
      <c r="AA35" s="281" t="s">
        <v>927</v>
      </c>
      <c r="AB35" s="300">
        <f ca="1">SUM(AA36:AA47)</f>
        <v>14669</v>
      </c>
      <c r="AC35" s="512" t="s">
        <v>597</v>
      </c>
      <c r="AD35" s="512" t="s">
        <v>1225</v>
      </c>
      <c r="AE35" s="513" t="s">
        <v>917</v>
      </c>
      <c r="AF35" s="166" t="s">
        <v>920</v>
      </c>
      <c r="AG35" s="398" t="s">
        <v>967</v>
      </c>
      <c r="AH35" s="166" t="s">
        <v>854</v>
      </c>
      <c r="AI35" s="166" t="s">
        <v>926</v>
      </c>
      <c r="AJ35" s="281" t="s">
        <v>927</v>
      </c>
      <c r="AK35" s="300">
        <f ca="1">SUM(AJ36:AJ47)</f>
        <v>13643</v>
      </c>
      <c r="AL35" s="512" t="s">
        <v>597</v>
      </c>
      <c r="AM35" s="512" t="s">
        <v>1225</v>
      </c>
      <c r="AN35" s="513" t="s">
        <v>917</v>
      </c>
      <c r="AO35" s="166" t="s">
        <v>920</v>
      </c>
      <c r="AP35" s="285" t="s">
        <v>967</v>
      </c>
      <c r="AQ35" s="166" t="s">
        <v>854</v>
      </c>
      <c r="AR35" s="166" t="s">
        <v>926</v>
      </c>
      <c r="AS35" s="281" t="s">
        <v>927</v>
      </c>
      <c r="AT35" s="300">
        <f ca="1">SUM(AS36:AS47)</f>
        <v>14976</v>
      </c>
      <c r="AU35" s="282" t="s">
        <v>814</v>
      </c>
      <c r="AV35" s="282" t="s">
        <v>1225</v>
      </c>
      <c r="AW35" s="280" t="s">
        <v>917</v>
      </c>
      <c r="AX35" s="166" t="s">
        <v>920</v>
      </c>
      <c r="AY35" s="285" t="s">
        <v>967</v>
      </c>
      <c r="AZ35" s="166" t="s">
        <v>854</v>
      </c>
      <c r="BA35" s="166" t="s">
        <v>926</v>
      </c>
      <c r="BB35" s="281" t="s">
        <v>927</v>
      </c>
      <c r="BC35" s="300">
        <f ca="1">SUM(BB36:BB47)</f>
        <v>8497</v>
      </c>
      <c r="BD35" s="512" t="s">
        <v>597</v>
      </c>
      <c r="BE35" s="512" t="s">
        <v>1225</v>
      </c>
      <c r="BF35" s="513" t="s">
        <v>917</v>
      </c>
      <c r="BG35" s="166" t="s">
        <v>920</v>
      </c>
      <c r="BH35" s="518" t="s">
        <v>967</v>
      </c>
      <c r="BI35" s="166" t="s">
        <v>854</v>
      </c>
      <c r="BJ35" s="166" t="s">
        <v>926</v>
      </c>
      <c r="BK35" s="281" t="s">
        <v>927</v>
      </c>
      <c r="BL35" s="300">
        <f ca="1">SUM(BK36:BK47)</f>
        <v>12352</v>
      </c>
      <c r="BM35" s="512" t="s">
        <v>597</v>
      </c>
      <c r="BN35" s="525" t="s">
        <v>1225</v>
      </c>
      <c r="BO35" s="526" t="s">
        <v>917</v>
      </c>
      <c r="BP35" s="166" t="s">
        <v>920</v>
      </c>
      <c r="BQ35" s="518" t="s">
        <v>967</v>
      </c>
      <c r="BR35" s="166" t="s">
        <v>854</v>
      </c>
      <c r="BS35" s="166" t="s">
        <v>926</v>
      </c>
      <c r="BT35" s="514" t="s">
        <v>927</v>
      </c>
      <c r="BU35" s="300">
        <f ca="1">SUM(BT36:BT47)</f>
        <v>10427</v>
      </c>
      <c r="BV35" s="430" t="s">
        <v>597</v>
      </c>
      <c r="BW35" s="430" t="s">
        <v>1225</v>
      </c>
      <c r="BX35" s="431" t="s">
        <v>917</v>
      </c>
      <c r="BY35" s="166" t="s">
        <v>920</v>
      </c>
      <c r="BZ35" s="433" t="s">
        <v>967</v>
      </c>
      <c r="CA35" s="166" t="s">
        <v>854</v>
      </c>
      <c r="CB35" s="166" t="s">
        <v>926</v>
      </c>
      <c r="CC35" s="432" t="s">
        <v>927</v>
      </c>
      <c r="CD35" s="300">
        <f ca="1">SUM(CC36:CC44)</f>
        <v>5583</v>
      </c>
      <c r="CE35" s="512" t="s">
        <v>597</v>
      </c>
      <c r="CF35" s="512" t="s">
        <v>1225</v>
      </c>
      <c r="CG35" s="513" t="s">
        <v>917</v>
      </c>
      <c r="CH35" s="166" t="s">
        <v>920</v>
      </c>
      <c r="CI35" s="518" t="s">
        <v>967</v>
      </c>
      <c r="CJ35" s="166" t="s">
        <v>854</v>
      </c>
      <c r="CK35" s="166" t="s">
        <v>926</v>
      </c>
      <c r="CL35" s="514" t="s">
        <v>927</v>
      </c>
      <c r="CM35" s="300">
        <f ca="1">SUM(CL36:CL38)</f>
        <v>4167</v>
      </c>
      <c r="CN35" s="618" t="s">
        <v>597</v>
      </c>
      <c r="CO35" s="618" t="s">
        <v>1225</v>
      </c>
      <c r="CP35" s="619" t="s">
        <v>917</v>
      </c>
      <c r="CQ35" s="166" t="s">
        <v>920</v>
      </c>
      <c r="CR35" s="622" t="s">
        <v>967</v>
      </c>
      <c r="CS35" s="166" t="s">
        <v>854</v>
      </c>
      <c r="CT35" s="166" t="s">
        <v>926</v>
      </c>
      <c r="CU35" s="620" t="s">
        <v>927</v>
      </c>
      <c r="CV35" s="300">
        <f>SUM(CU36:CU44)</f>
        <v>10000</v>
      </c>
      <c r="CW35" s="618" t="s">
        <v>597</v>
      </c>
      <c r="CX35" s="618" t="s">
        <v>1225</v>
      </c>
      <c r="CY35" s="619" t="s">
        <v>917</v>
      </c>
      <c r="CZ35" s="166" t="s">
        <v>920</v>
      </c>
      <c r="DA35" s="622" t="s">
        <v>967</v>
      </c>
      <c r="DB35" s="166" t="s">
        <v>854</v>
      </c>
      <c r="DC35" s="166" t="s">
        <v>926</v>
      </c>
      <c r="DD35" s="620" t="s">
        <v>927</v>
      </c>
      <c r="DE35" s="300">
        <f>SUM(DD36:DD38)</f>
        <v>10000</v>
      </c>
    </row>
    <row r="36" spans="2:109" x14ac:dyDescent="0.35">
      <c r="B36" s="273">
        <v>1</v>
      </c>
      <c r="C36" s="260" t="s">
        <v>615</v>
      </c>
      <c r="D36" s="273" t="s">
        <v>1235</v>
      </c>
      <c r="E36" s="256">
        <f ca="1">IF(D36="部件",VLOOKUP(B36,INDIRECT(D36&amp;"价值"),MATCH(LEFT(C36,2)&amp;"部件",INDIRECT(D36&amp;"价值标头"),0),FALSE),IF(D36="加速道具",VLOOKUP(C36,INDIRECT(D36&amp;"价值"),MATCH("价格",INDIRECT(D36&amp;"价值标头"),0),FALSE),VLOOKUP(B36,INDIRECT(D36&amp;"价值"),MATCH(C36,INDIRECT(D36&amp;"价值标头"),0),FALSE)))</f>
        <v>60</v>
      </c>
      <c r="F36" s="256">
        <v>5</v>
      </c>
      <c r="G36" s="366">
        <f>宝箱设定!$X74</f>
        <v>0.21899999999999997</v>
      </c>
      <c r="H36" s="170">
        <f ca="1">G36*$C$4/E36/F36</f>
        <v>4.2887499999999995E-2</v>
      </c>
      <c r="I36" s="256">
        <f ca="1">ROUND(H36*10000,0)</f>
        <v>429</v>
      </c>
      <c r="K36" s="282">
        <v>1</v>
      </c>
      <c r="L36" s="283" t="s">
        <v>615</v>
      </c>
      <c r="M36" s="282" t="s">
        <v>1235</v>
      </c>
      <c r="N36" s="508">
        <f t="shared" ref="N36:N47" ca="1" si="5">IF(M36="部件",VLOOKUP(K36,INDIRECT(M36&amp;"价值"),MATCH(LEFT(L36,2)&amp;"部件",INDIRECT(M36&amp;"价值标头"),0),FALSE),IF(M36="加速道具",VLOOKUP(L36,INDIRECT(M36&amp;"价值"),MATCH("价格",INDIRECT(M36&amp;"价值标头"),0),FALSE),VLOOKUP(K36,INDIRECT(M36&amp;"价值"),MATCH(L36,INDIRECT(M36&amp;"价值标头"),0),FALSE)))</f>
        <v>60</v>
      </c>
      <c r="O36" s="565">
        <v>2</v>
      </c>
      <c r="P36" s="508">
        <f>宝箱设定!$X74</f>
        <v>0.21899999999999997</v>
      </c>
      <c r="Q36" s="170">
        <f ca="1">P36*L$4/N36/O36</f>
        <v>8.577499999999999E-2</v>
      </c>
      <c r="R36" s="279">
        <f ca="1">ROUND(Q36*10000,0)</f>
        <v>858</v>
      </c>
      <c r="T36" s="512">
        <v>1</v>
      </c>
      <c r="U36" s="516" t="s">
        <v>615</v>
      </c>
      <c r="V36" s="512" t="s">
        <v>1211</v>
      </c>
      <c r="W36" s="508">
        <f t="shared" ref="W36:W47" ca="1" si="6">IF(V36="部件",VLOOKUP(T36,INDIRECT(V36&amp;"价值"),MATCH(LEFT(U36,2)&amp;"部件",INDIRECT(V36&amp;"价值标头"),0),FALSE),IF(V36="加速道具",VLOOKUP(U36,INDIRECT(V36&amp;"价值"),MATCH("价格",INDIRECT(V36&amp;"价值标头"),0),FALSE),VLOOKUP(T36,INDIRECT(V36&amp;"价值"),MATCH(U36,INDIRECT(V36&amp;"价值标头"),0),FALSE)))</f>
        <v>60</v>
      </c>
      <c r="X36" s="594">
        <v>2</v>
      </c>
      <c r="Y36" s="508">
        <f>宝箱设定!$X74</f>
        <v>0.21899999999999997</v>
      </c>
      <c r="Z36" s="170">
        <f ca="1">Y36*U$4/W36/X36</f>
        <v>8.6687499999999987E-2</v>
      </c>
      <c r="AA36" s="279">
        <f ca="1">ROUND(Z36*10000,0)</f>
        <v>867</v>
      </c>
      <c r="AC36" s="512">
        <v>1</v>
      </c>
      <c r="AD36" s="516" t="s">
        <v>615</v>
      </c>
      <c r="AE36" s="512" t="s">
        <v>1211</v>
      </c>
      <c r="AF36" s="508">
        <f t="shared" ref="AF36:AF47" ca="1" si="7">IF(AE36="部件",VLOOKUP(AC36,INDIRECT(AE36&amp;"价值"),MATCH(LEFT(AD36,2)&amp;"部件",INDIRECT(AE36&amp;"价值标头"),0),FALSE),IF(AE36="加速道具",VLOOKUP(AD36,INDIRECT(AE36&amp;"价值"),MATCH("价格",INDIRECT(AE36&amp;"价值标头"),0),FALSE),VLOOKUP(AC36,INDIRECT(AE36&amp;"价值"),MATCH(AD36,INDIRECT(AE36&amp;"价值标头"),0),FALSE)))</f>
        <v>60</v>
      </c>
      <c r="AG36" s="394">
        <v>2.5</v>
      </c>
      <c r="AH36" s="508">
        <f>宝箱设定!$X74</f>
        <v>0.21899999999999997</v>
      </c>
      <c r="AI36" s="170">
        <f ca="1">AH36*AD$4/AF36/AG36</f>
        <v>9.3439999999999995E-2</v>
      </c>
      <c r="AJ36" s="279">
        <f ca="1">ROUND(AI36*10000,0)</f>
        <v>934</v>
      </c>
      <c r="AL36" s="512">
        <v>1</v>
      </c>
      <c r="AM36" s="516" t="s">
        <v>615</v>
      </c>
      <c r="AN36" s="512" t="s">
        <v>1211</v>
      </c>
      <c r="AO36" s="508">
        <f t="shared" ref="AO36:AO47" ca="1" si="8">IF(AN36="部件",VLOOKUP(AL36,INDIRECT(AN36&amp;"价值"),MATCH(LEFT(AM36,2)&amp;"部件",INDIRECT(AN36&amp;"价值标头"),0),FALSE),IF(AN36="加速道具",VLOOKUP(AM36,INDIRECT(AN36&amp;"价值"),MATCH("价格",INDIRECT(AN36&amp;"价值标头"),0),FALSE),VLOOKUP(AL36,INDIRECT(AN36&amp;"价值"),MATCH(AM36,INDIRECT(AN36&amp;"价值标头"),0),FALSE)))</f>
        <v>60</v>
      </c>
      <c r="AP36" s="279">
        <v>4</v>
      </c>
      <c r="AQ36" s="508">
        <f>宝箱设定!$X74</f>
        <v>0.21899999999999997</v>
      </c>
      <c r="AR36" s="170">
        <f ca="1">AQ36*AM$4/AO36/AP36</f>
        <v>8.8512499999999994E-2</v>
      </c>
      <c r="AS36" s="279">
        <f ca="1">ROUND(AR36*10000,0)</f>
        <v>885</v>
      </c>
      <c r="AU36" s="512">
        <v>1</v>
      </c>
      <c r="AV36" s="516" t="s">
        <v>615</v>
      </c>
      <c r="AW36" s="512" t="s">
        <v>1211</v>
      </c>
      <c r="AX36" s="508">
        <f t="shared" ref="AX36:AX47" ca="1" si="9">IF(AW36="部件",VLOOKUP(AU36,INDIRECT(AW36&amp;"价值"),MATCH(LEFT(AV36,2)&amp;"部件",INDIRECT(AW36&amp;"价值标头"),0),FALSE),IF(AW36="加速道具",VLOOKUP(AV36,INDIRECT(AW36&amp;"价值"),MATCH("价格",INDIRECT(AW36&amp;"价值标头"),0),FALSE),VLOOKUP(AU36,INDIRECT(AW36&amp;"价值"),MATCH(AV36,INDIRECT(AW36&amp;"价值标头"),0),FALSE)))</f>
        <v>60</v>
      </c>
      <c r="AY36" s="279">
        <v>3.5</v>
      </c>
      <c r="AZ36" s="394">
        <f>宝箱设定!$H74</f>
        <v>0.22199999999999998</v>
      </c>
      <c r="BA36" s="170">
        <f ca="1">AZ36*AV$4/AX36/AY36</f>
        <v>6.87142857142857E-2</v>
      </c>
      <c r="BB36" s="279">
        <f t="shared" ref="BB36:BB46" ca="1" si="10">ROUND(BA36*10000,0)</f>
        <v>687</v>
      </c>
      <c r="BD36" s="512">
        <v>1</v>
      </c>
      <c r="BE36" s="516" t="s">
        <v>615</v>
      </c>
      <c r="BF36" s="512" t="s">
        <v>1211</v>
      </c>
      <c r="BG36" s="508">
        <f t="shared" ref="BG36:BG47" ca="1" si="11">IF(BF36="部件",VLOOKUP(BD36,INDIRECT(BF36&amp;"价值"),MATCH(LEFT(BE36,2)&amp;"部件",INDIRECT(BF36&amp;"价值标头"),0),FALSE),IF(BF36="加速道具",VLOOKUP(BE36,INDIRECT(BF36&amp;"价值"),MATCH("价格",INDIRECT(BF36&amp;"价值标头"),0),FALSE),VLOOKUP(BD36,INDIRECT(BF36&amp;"价值"),MATCH(BE36,INDIRECT(BF36&amp;"价值标头"),0),FALSE)))</f>
        <v>60</v>
      </c>
      <c r="BH36" s="508">
        <v>8.5</v>
      </c>
      <c r="BI36" s="508">
        <f>宝箱设定!$H74</f>
        <v>0.22199999999999998</v>
      </c>
      <c r="BJ36" s="170">
        <f ca="1">BI36*BE$4/BG36/BH36</f>
        <v>6.4205882352941168E-2</v>
      </c>
      <c r="BK36" s="279">
        <f ca="1">ROUND(BJ36*10000,0)</f>
        <v>642</v>
      </c>
      <c r="BM36" s="512">
        <v>1</v>
      </c>
      <c r="BN36" s="527" t="s">
        <v>615</v>
      </c>
      <c r="BO36" s="525" t="s">
        <v>1211</v>
      </c>
      <c r="BP36" s="508">
        <f t="shared" ref="BP36:BP47" ca="1" si="12">IF(BO36="部件",VLOOKUP(BM36,INDIRECT(BO36&amp;"价值"),MATCH(LEFT(BN36,2)&amp;"部件",INDIRECT(BO36&amp;"价值标头"),0),FALSE),IF(BO36="加速道具",VLOOKUP(BN36,INDIRECT(BO36&amp;"价值"),MATCH("价格",INDIRECT(BO36&amp;"价值标头"),0),FALSE),VLOOKUP(BM36,INDIRECT(BO36&amp;"价值"),MATCH(BN36,INDIRECT(BO36&amp;"价值标头"),0),FALSE)))</f>
        <v>60</v>
      </c>
      <c r="BQ36" s="508">
        <v>20</v>
      </c>
      <c r="BR36" s="523">
        <f>宝箱设定!$P74</f>
        <v>0.22199999999999998</v>
      </c>
      <c r="BS36" s="170">
        <f ca="1">BR36*BN$4/BP36/BQ36</f>
        <v>6.1049999999999993E-2</v>
      </c>
      <c r="BT36" s="508">
        <f ca="1">ROUND(BS36*10000,0)</f>
        <v>611</v>
      </c>
      <c r="BV36" s="430">
        <v>1</v>
      </c>
      <c r="BW36" s="527" t="s">
        <v>2239</v>
      </c>
      <c r="BX36" s="530" t="s">
        <v>2200</v>
      </c>
      <c r="BY36" s="523">
        <f t="shared" ref="BY36:BY44" ca="1" si="13">IF(BX36="部件",VLOOKUP(BV36,INDIRECT(BX36&amp;"价值"),MATCH(LEFT(BW36,2)&amp;"部件",INDIRECT(BX36&amp;"价值标头"),0),FALSE),IF(BX36="加速道具",VLOOKUP(BW36,INDIRECT(BX36&amp;"价值"),MATCH("价格",INDIRECT(BX36&amp;"价值标头"),0),FALSE),VLOOKUP(BV36,INDIRECT(BX36&amp;"价值"),MATCH(BW36,INDIRECT(BX36&amp;"价值标头"),0),FALSE)))</f>
        <v>13.5</v>
      </c>
      <c r="BZ36" s="429">
        <v>7</v>
      </c>
      <c r="CA36" s="429">
        <v>0.111</v>
      </c>
      <c r="CB36" s="170">
        <f ca="1">CA36*BW$4/BY36/BZ36</f>
        <v>5.873015873015873E-2</v>
      </c>
      <c r="CC36" s="429">
        <f ca="1">ROUND(CB36*10000,0)</f>
        <v>587</v>
      </c>
      <c r="CE36" s="512">
        <v>1</v>
      </c>
      <c r="CF36" s="516" t="s">
        <v>615</v>
      </c>
      <c r="CG36" s="512" t="s">
        <v>1211</v>
      </c>
      <c r="CH36" s="523">
        <f ca="1">IF(CG36="部件",VLOOKUP(CE36,INDIRECT(CG36&amp;"价值"),MATCH(LEFT(CF36,2)&amp;"部件",INDIRECT(CG36&amp;"价值标头"),0),FALSE),IF(CG36="加速道具",VLOOKUP(CF36,INDIRECT(CG36&amp;"价值"),MATCH("价格",INDIRECT(CG36&amp;"价值标头"),0),FALSE),VLOOKUP(CE36,INDIRECT(CG36&amp;"价值"),MATCH(CF36,INDIRECT(CG36&amp;"价值标头"),0),FALSE)))</f>
        <v>60</v>
      </c>
      <c r="CI36" s="523">
        <v>2</v>
      </c>
      <c r="CJ36" s="523">
        <v>0.33329999999999999</v>
      </c>
      <c r="CK36" s="170">
        <f ca="1">CJ36*CF$4/CH36/CI36</f>
        <v>0.138875</v>
      </c>
      <c r="CL36" s="508">
        <f ca="1">ROUND(CK36*10000,0)</f>
        <v>1389</v>
      </c>
      <c r="CN36" s="618">
        <v>1</v>
      </c>
      <c r="CO36" s="621" t="s">
        <v>2239</v>
      </c>
      <c r="CP36" s="616" t="s">
        <v>2200</v>
      </c>
      <c r="CQ36" s="617">
        <f>VLOOKUP(LEFT(CO36,2)&amp;CP36,道具价值!$B$28:$C$30,2,FALSE)</f>
        <v>13.5</v>
      </c>
      <c r="CR36" s="617">
        <v>1</v>
      </c>
      <c r="CS36" s="617">
        <v>0.111</v>
      </c>
      <c r="CT36" s="170">
        <f t="shared" ref="CT36:CT44" si="14">CS36</f>
        <v>0.111</v>
      </c>
      <c r="CU36" s="617">
        <f>ROUND(CT36*10000,0)</f>
        <v>1110</v>
      </c>
      <c r="CW36" s="618">
        <v>1</v>
      </c>
      <c r="CX36" s="621" t="s">
        <v>615</v>
      </c>
      <c r="CY36" s="618" t="s">
        <v>1211</v>
      </c>
      <c r="CZ36" s="617">
        <f ca="1">IF(CY36="部件",VLOOKUP(CW36,INDIRECT(CY36&amp;"价值"),MATCH(LEFT(CX36,2)&amp;"部件",INDIRECT(CY36&amp;"价值标头"),0),FALSE),IF(CY36="加速道具",VLOOKUP(CX36,INDIRECT(CY36&amp;"价值"),MATCH("价格",INDIRECT(CY36&amp;"价值标头"),0),FALSE),VLOOKUP(CW36,INDIRECT(CY36&amp;"价值"),MATCH(CX36,INDIRECT(CY36&amp;"价值标头"),0),FALSE)))</f>
        <v>60</v>
      </c>
      <c r="DA36" s="617">
        <v>3</v>
      </c>
      <c r="DB36" s="617">
        <v>0.33329999999999999</v>
      </c>
      <c r="DC36" s="617">
        <v>0.33329999999999999</v>
      </c>
      <c r="DD36" s="617">
        <f>ROUND(DC36*10000,0)</f>
        <v>3333</v>
      </c>
    </row>
    <row r="37" spans="2:109" x14ac:dyDescent="0.35">
      <c r="B37" s="273">
        <v>1</v>
      </c>
      <c r="C37" s="260" t="s">
        <v>623</v>
      </c>
      <c r="D37" s="273" t="s">
        <v>1235</v>
      </c>
      <c r="E37" s="508">
        <f t="shared" ref="E37:E47" ca="1" si="15">IF(D37="部件",VLOOKUP(B37,INDIRECT(D37&amp;"价值"),MATCH(LEFT(C37,2)&amp;"部件",INDIRECT(D37&amp;"价值标头"),0),FALSE),IF(D37="加速道具",VLOOKUP(C37,INDIRECT(D37&amp;"价值"),MATCH("价格",INDIRECT(D37&amp;"价值标头"),0),FALSE),VLOOKUP(B37,INDIRECT(D37&amp;"价值"),MATCH(C37,INDIRECT(D37&amp;"价值标头"),0),FALSE)))</f>
        <v>60</v>
      </c>
      <c r="F37" s="565">
        <v>5</v>
      </c>
      <c r="G37" s="508">
        <f>宝箱设定!$X75</f>
        <v>0.21899999999999997</v>
      </c>
      <c r="H37" s="170">
        <f ca="1">G37*$C$4/E37/F37</f>
        <v>4.2887499999999995E-2</v>
      </c>
      <c r="I37" s="256">
        <f ca="1">ROUND(H37*10000,0)</f>
        <v>429</v>
      </c>
      <c r="K37" s="282">
        <v>1</v>
      </c>
      <c r="L37" s="283" t="s">
        <v>623</v>
      </c>
      <c r="M37" s="282" t="s">
        <v>1235</v>
      </c>
      <c r="N37" s="508">
        <f t="shared" ca="1" si="5"/>
        <v>60</v>
      </c>
      <c r="O37" s="508">
        <v>2</v>
      </c>
      <c r="P37" s="508">
        <f>宝箱设定!$X75</f>
        <v>0.21899999999999997</v>
      </c>
      <c r="Q37" s="170">
        <f ca="1">P37*L$4/N37/O37</f>
        <v>8.577499999999999E-2</v>
      </c>
      <c r="R37" s="279">
        <f ca="1">ROUND(Q37*10000,0)</f>
        <v>858</v>
      </c>
      <c r="T37" s="512">
        <v>1</v>
      </c>
      <c r="U37" s="516" t="s">
        <v>623</v>
      </c>
      <c r="V37" s="512" t="s">
        <v>1211</v>
      </c>
      <c r="W37" s="508">
        <f t="shared" ca="1" si="6"/>
        <v>60</v>
      </c>
      <c r="X37" s="594">
        <v>2</v>
      </c>
      <c r="Y37" s="508">
        <f>宝箱设定!$X75</f>
        <v>0.21899999999999997</v>
      </c>
      <c r="Z37" s="170">
        <f ca="1">Y37*U$4/W37/X37</f>
        <v>8.6687499999999987E-2</v>
      </c>
      <c r="AA37" s="279">
        <f ca="1">ROUND(Z37*10000,0)</f>
        <v>867</v>
      </c>
      <c r="AC37" s="512">
        <v>1</v>
      </c>
      <c r="AD37" s="516" t="s">
        <v>623</v>
      </c>
      <c r="AE37" s="512" t="s">
        <v>1211</v>
      </c>
      <c r="AF37" s="508">
        <f t="shared" ca="1" si="7"/>
        <v>60</v>
      </c>
      <c r="AG37" s="594">
        <v>2.5</v>
      </c>
      <c r="AH37" s="508">
        <f>宝箱设定!$X75</f>
        <v>0.21899999999999997</v>
      </c>
      <c r="AI37" s="170">
        <f ca="1">AH37*AD$4/AF37/AG37</f>
        <v>9.3439999999999995E-2</v>
      </c>
      <c r="AJ37" s="279">
        <f ca="1">ROUND(AI37*10000,0)</f>
        <v>934</v>
      </c>
      <c r="AL37" s="512">
        <v>1</v>
      </c>
      <c r="AM37" s="516" t="s">
        <v>623</v>
      </c>
      <c r="AN37" s="512" t="s">
        <v>1211</v>
      </c>
      <c r="AO37" s="508">
        <f t="shared" ca="1" si="8"/>
        <v>60</v>
      </c>
      <c r="AP37" s="565">
        <v>4</v>
      </c>
      <c r="AQ37" s="508">
        <f>宝箱设定!$X75</f>
        <v>0.21899999999999997</v>
      </c>
      <c r="AR37" s="170">
        <f ca="1">AQ37*AM$4/AO37/AP37</f>
        <v>8.8512499999999994E-2</v>
      </c>
      <c r="AS37" s="279">
        <f ca="1">ROUND(AR37*10000,0)</f>
        <v>885</v>
      </c>
      <c r="AU37" s="512">
        <v>1</v>
      </c>
      <c r="AV37" s="516" t="s">
        <v>623</v>
      </c>
      <c r="AW37" s="512" t="s">
        <v>1211</v>
      </c>
      <c r="AX37" s="508">
        <f t="shared" ca="1" si="9"/>
        <v>60</v>
      </c>
      <c r="AY37" s="625">
        <v>3.5</v>
      </c>
      <c r="AZ37" s="508">
        <f>宝箱设定!$H75</f>
        <v>0.22199999999999998</v>
      </c>
      <c r="BA37" s="170">
        <f t="shared" ref="BA37:BA46" ca="1" si="16">AZ37*AV$4/AX37/AY37</f>
        <v>6.87142857142857E-2</v>
      </c>
      <c r="BB37" s="279">
        <f t="shared" ca="1" si="10"/>
        <v>687</v>
      </c>
      <c r="BD37" s="512">
        <v>1</v>
      </c>
      <c r="BE37" s="516" t="s">
        <v>623</v>
      </c>
      <c r="BF37" s="512" t="s">
        <v>1211</v>
      </c>
      <c r="BG37" s="508">
        <f t="shared" ca="1" si="11"/>
        <v>60</v>
      </c>
      <c r="BH37" s="632">
        <v>8.5</v>
      </c>
      <c r="BI37" s="508">
        <f>宝箱设定!$H75</f>
        <v>0.22199999999999998</v>
      </c>
      <c r="BJ37" s="170">
        <f ca="1">BI37*BE$4/BG37/BH37</f>
        <v>6.4205882352941168E-2</v>
      </c>
      <c r="BK37" s="279">
        <f ca="1">ROUND(BJ37*10000,0)</f>
        <v>642</v>
      </c>
      <c r="BM37" s="512">
        <v>1</v>
      </c>
      <c r="BN37" s="527" t="s">
        <v>623</v>
      </c>
      <c r="BO37" s="525" t="s">
        <v>1211</v>
      </c>
      <c r="BP37" s="508">
        <f t="shared" ca="1" si="12"/>
        <v>60</v>
      </c>
      <c r="BQ37" s="632">
        <v>20</v>
      </c>
      <c r="BR37" s="523">
        <f>宝箱设定!$P75</f>
        <v>0.22199999999999998</v>
      </c>
      <c r="BS37" s="170">
        <f ca="1">BR37*BN$4/BP37/BQ37</f>
        <v>6.1049999999999993E-2</v>
      </c>
      <c r="BT37" s="508">
        <f ca="1">ROUND(BS37*10000,0)</f>
        <v>611</v>
      </c>
      <c r="BV37" s="525">
        <v>1</v>
      </c>
      <c r="BW37" s="527" t="s">
        <v>2242</v>
      </c>
      <c r="BX37" s="530" t="s">
        <v>2200</v>
      </c>
      <c r="BY37" s="523">
        <f t="shared" ca="1" si="13"/>
        <v>13.5</v>
      </c>
      <c r="BZ37" s="662">
        <v>7</v>
      </c>
      <c r="CA37" s="523">
        <v>0.111</v>
      </c>
      <c r="CB37" s="170">
        <f ca="1">CA37*BW$4/BY37/BZ37</f>
        <v>5.873015873015873E-2</v>
      </c>
      <c r="CC37" s="429">
        <f ca="1">ROUND(CB37*10000,0)</f>
        <v>587</v>
      </c>
      <c r="CE37" s="525">
        <v>1</v>
      </c>
      <c r="CF37" s="516" t="s">
        <v>623</v>
      </c>
      <c r="CG37" s="512" t="s">
        <v>1211</v>
      </c>
      <c r="CH37" s="523">
        <f ca="1">IF(CG37="部件",VLOOKUP(CE37,INDIRECT(CG37&amp;"价值"),MATCH(LEFT(CF37,2)&amp;"部件",INDIRECT(CG37&amp;"价值标头"),0),FALSE),IF(CG37="加速道具",VLOOKUP(CF37,INDIRECT(CG37&amp;"价值"),MATCH("价格",INDIRECT(CG37&amp;"价值标头"),0),FALSE),VLOOKUP(CE37,INDIRECT(CG37&amp;"价值"),MATCH(CF37,INDIRECT(CG37&amp;"价值标头"),0),FALSE)))</f>
        <v>60</v>
      </c>
      <c r="CI37" s="523">
        <v>2</v>
      </c>
      <c r="CJ37" s="634">
        <v>0.33329999999999999</v>
      </c>
      <c r="CK37" s="170">
        <f ca="1">CJ37*CF$4/CH37/CI37</f>
        <v>0.138875</v>
      </c>
      <c r="CL37" s="508">
        <f ca="1">ROUND(CK37*10000,0)</f>
        <v>1389</v>
      </c>
      <c r="CN37" s="618">
        <v>1</v>
      </c>
      <c r="CO37" s="621" t="s">
        <v>2242</v>
      </c>
      <c r="CP37" s="616" t="s">
        <v>2200</v>
      </c>
      <c r="CQ37" s="617">
        <f>VLOOKUP(LEFT(CO37,2)&amp;CP37,道具价值!$B$28:$C$30,2,FALSE)</f>
        <v>13.5</v>
      </c>
      <c r="CR37" s="617">
        <v>1</v>
      </c>
      <c r="CS37" s="617">
        <v>0.111</v>
      </c>
      <c r="CT37" s="170">
        <f t="shared" si="14"/>
        <v>0.111</v>
      </c>
      <c r="CU37" s="617">
        <f>ROUND(CT37*10000,0)</f>
        <v>1110</v>
      </c>
      <c r="CW37" s="618">
        <v>1</v>
      </c>
      <c r="CX37" s="621" t="s">
        <v>623</v>
      </c>
      <c r="CY37" s="618" t="s">
        <v>1211</v>
      </c>
      <c r="CZ37" s="617">
        <f ca="1">IF(CY37="部件",VLOOKUP(CW37,INDIRECT(CY37&amp;"价值"),MATCH(LEFT(CX37,2)&amp;"部件",INDIRECT(CY37&amp;"价值标头"),0),FALSE),IF(CY37="加速道具",VLOOKUP(CX37,INDIRECT(CY37&amp;"价值"),MATCH("价格",INDIRECT(CY37&amp;"价值标头"),0),FALSE),VLOOKUP(CW37,INDIRECT(CY37&amp;"价值"),MATCH(CX37,INDIRECT(CY37&amp;"价值标头"),0),FALSE)))</f>
        <v>60</v>
      </c>
      <c r="DA37" s="617">
        <v>3</v>
      </c>
      <c r="DB37" s="617">
        <v>0.33329999999999999</v>
      </c>
      <c r="DC37" s="617">
        <v>0.33329999999999999</v>
      </c>
      <c r="DD37" s="617">
        <f>ROUND(DC37*10000,0)</f>
        <v>3333</v>
      </c>
    </row>
    <row r="38" spans="2:109" x14ac:dyDescent="0.35">
      <c r="B38" s="273">
        <v>1</v>
      </c>
      <c r="C38" s="260" t="s">
        <v>721</v>
      </c>
      <c r="D38" s="273" t="s">
        <v>1235</v>
      </c>
      <c r="E38" s="508">
        <f t="shared" ca="1" si="15"/>
        <v>60</v>
      </c>
      <c r="F38" s="565">
        <v>5</v>
      </c>
      <c r="G38" s="508">
        <f>宝箱设定!$X76</f>
        <v>0.21899999999999997</v>
      </c>
      <c r="H38" s="170">
        <f ca="1">G38*$C$4/E38/F38</f>
        <v>4.2887499999999995E-2</v>
      </c>
      <c r="I38" s="256">
        <f ca="1">ROUND(H38*10000,0)</f>
        <v>429</v>
      </c>
      <c r="K38" s="282">
        <v>1</v>
      </c>
      <c r="L38" s="283" t="s">
        <v>721</v>
      </c>
      <c r="M38" s="282" t="s">
        <v>1235</v>
      </c>
      <c r="N38" s="508">
        <f t="shared" ca="1" si="5"/>
        <v>60</v>
      </c>
      <c r="O38" s="508">
        <v>2</v>
      </c>
      <c r="P38" s="508">
        <f>宝箱设定!$X76</f>
        <v>0.21899999999999997</v>
      </c>
      <c r="Q38" s="170">
        <f ca="1">P38*L$4/N38/O38</f>
        <v>8.577499999999999E-2</v>
      </c>
      <c r="R38" s="279">
        <f ca="1">ROUND(Q38*10000,0)</f>
        <v>858</v>
      </c>
      <c r="T38" s="512">
        <v>1</v>
      </c>
      <c r="U38" s="516" t="s">
        <v>721</v>
      </c>
      <c r="V38" s="512" t="s">
        <v>1211</v>
      </c>
      <c r="W38" s="508">
        <f t="shared" ca="1" si="6"/>
        <v>60</v>
      </c>
      <c r="X38" s="508">
        <v>2</v>
      </c>
      <c r="Y38" s="508">
        <f>宝箱设定!$X76</f>
        <v>0.21899999999999997</v>
      </c>
      <c r="Z38" s="170">
        <f ca="1">Y38*U$4/W38/X38</f>
        <v>8.6687499999999987E-2</v>
      </c>
      <c r="AA38" s="279">
        <f ca="1">ROUND(Z38*10000,0)</f>
        <v>867</v>
      </c>
      <c r="AC38" s="512">
        <v>1</v>
      </c>
      <c r="AD38" s="516" t="s">
        <v>721</v>
      </c>
      <c r="AE38" s="512" t="s">
        <v>1211</v>
      </c>
      <c r="AF38" s="508">
        <f t="shared" ca="1" si="7"/>
        <v>60</v>
      </c>
      <c r="AG38" s="594">
        <v>2.5</v>
      </c>
      <c r="AH38" s="508">
        <f>宝箱设定!$X76</f>
        <v>0.21899999999999997</v>
      </c>
      <c r="AI38" s="170">
        <f ca="1">AH38*AD$4/AF38/AG38</f>
        <v>9.3439999999999995E-2</v>
      </c>
      <c r="AJ38" s="279">
        <f ca="1">ROUND(AI38*10000,0)</f>
        <v>934</v>
      </c>
      <c r="AL38" s="512">
        <v>1</v>
      </c>
      <c r="AM38" s="516" t="s">
        <v>721</v>
      </c>
      <c r="AN38" s="512" t="s">
        <v>1211</v>
      </c>
      <c r="AO38" s="508">
        <f t="shared" ca="1" si="8"/>
        <v>60</v>
      </c>
      <c r="AP38" s="565">
        <v>4</v>
      </c>
      <c r="AQ38" s="508">
        <f>宝箱设定!$X76</f>
        <v>0.21899999999999997</v>
      </c>
      <c r="AR38" s="170">
        <f ca="1">AQ38*AM$4/AO38/AP38</f>
        <v>8.8512499999999994E-2</v>
      </c>
      <c r="AS38" s="279">
        <f ca="1">ROUND(AR38*10000,0)</f>
        <v>885</v>
      </c>
      <c r="AU38" s="512">
        <v>1</v>
      </c>
      <c r="AV38" s="516" t="s">
        <v>721</v>
      </c>
      <c r="AW38" s="512" t="s">
        <v>1211</v>
      </c>
      <c r="AX38" s="508">
        <f t="shared" ca="1" si="9"/>
        <v>60</v>
      </c>
      <c r="AY38" s="625">
        <v>3.5</v>
      </c>
      <c r="AZ38" s="508">
        <f>宝箱设定!$H76</f>
        <v>0.22199999999999998</v>
      </c>
      <c r="BA38" s="170">
        <f t="shared" ca="1" si="16"/>
        <v>6.87142857142857E-2</v>
      </c>
      <c r="BB38" s="279">
        <f t="shared" ca="1" si="10"/>
        <v>687</v>
      </c>
      <c r="BD38" s="512">
        <v>1</v>
      </c>
      <c r="BE38" s="516" t="s">
        <v>721</v>
      </c>
      <c r="BF38" s="512" t="s">
        <v>1211</v>
      </c>
      <c r="BG38" s="508">
        <f t="shared" ca="1" si="11"/>
        <v>60</v>
      </c>
      <c r="BH38" s="632">
        <v>8.5</v>
      </c>
      <c r="BI38" s="508">
        <f>宝箱设定!$H76</f>
        <v>0.22199999999999998</v>
      </c>
      <c r="BJ38" s="170">
        <f ca="1">BI38*BE$4/BG38/BH38</f>
        <v>6.4205882352941168E-2</v>
      </c>
      <c r="BK38" s="279">
        <f ca="1">ROUND(BJ38*10000,0)</f>
        <v>642</v>
      </c>
      <c r="BM38" s="512">
        <v>1</v>
      </c>
      <c r="BN38" s="527" t="s">
        <v>721</v>
      </c>
      <c r="BO38" s="525" t="s">
        <v>1211</v>
      </c>
      <c r="BP38" s="508">
        <f t="shared" ca="1" si="12"/>
        <v>60</v>
      </c>
      <c r="BQ38" s="632">
        <v>20</v>
      </c>
      <c r="BR38" s="523">
        <f>宝箱设定!$P76</f>
        <v>0.22199999999999998</v>
      </c>
      <c r="BS38" s="170">
        <f ca="1">BR38*BN$4/BP38/BQ38</f>
        <v>6.1049999999999993E-2</v>
      </c>
      <c r="BT38" s="508">
        <f ca="1">ROUND(BS38*10000,0)</f>
        <v>611</v>
      </c>
      <c r="BV38" s="525">
        <v>1</v>
      </c>
      <c r="BW38" s="527" t="s">
        <v>2244</v>
      </c>
      <c r="BX38" s="530" t="s">
        <v>2200</v>
      </c>
      <c r="BY38" s="523">
        <f t="shared" ca="1" si="13"/>
        <v>13.5</v>
      </c>
      <c r="BZ38" s="662">
        <v>7</v>
      </c>
      <c r="CA38" s="523">
        <v>0.111</v>
      </c>
      <c r="CB38" s="170">
        <f ca="1">CA38*BW$4/BY38/BZ38</f>
        <v>5.873015873015873E-2</v>
      </c>
      <c r="CC38" s="429">
        <f ca="1">ROUND(CB38*10000,0)</f>
        <v>587</v>
      </c>
      <c r="CE38" s="525">
        <v>1</v>
      </c>
      <c r="CF38" s="516" t="s">
        <v>721</v>
      </c>
      <c r="CG38" s="512" t="s">
        <v>1211</v>
      </c>
      <c r="CH38" s="523">
        <f ca="1">IF(CG38="部件",VLOOKUP(CE38,INDIRECT(CG38&amp;"价值"),MATCH(LEFT(CF38,2)&amp;"部件",INDIRECT(CG38&amp;"价值标头"),0),FALSE),IF(CG38="加速道具",VLOOKUP(CF38,INDIRECT(CG38&amp;"价值"),MATCH("价格",INDIRECT(CG38&amp;"价值标头"),0),FALSE),VLOOKUP(CE38,INDIRECT(CG38&amp;"价值"),MATCH(CF38,INDIRECT(CG38&amp;"价值标头"),0),FALSE)))</f>
        <v>60</v>
      </c>
      <c r="CI38" s="523">
        <v>2</v>
      </c>
      <c r="CJ38" s="634">
        <v>0.33339999999999997</v>
      </c>
      <c r="CK38" s="170">
        <f ca="1">CJ38*CF$4/CH38/CI38</f>
        <v>0.13891666666666666</v>
      </c>
      <c r="CL38" s="508">
        <f ca="1">ROUND(CK38*10000,0)</f>
        <v>1389</v>
      </c>
      <c r="CN38" s="618">
        <v>1</v>
      </c>
      <c r="CO38" s="621" t="s">
        <v>2244</v>
      </c>
      <c r="CP38" s="616" t="s">
        <v>2200</v>
      </c>
      <c r="CQ38" s="617">
        <f>VLOOKUP(LEFT(CO38,2)&amp;CP38,道具价值!$B$28:$C$30,2,FALSE)</f>
        <v>13.5</v>
      </c>
      <c r="CR38" s="617">
        <v>1</v>
      </c>
      <c r="CS38" s="617">
        <v>0.111</v>
      </c>
      <c r="CT38" s="170">
        <f t="shared" si="14"/>
        <v>0.111</v>
      </c>
      <c r="CU38" s="617">
        <f>ROUND(CT38*10000,0)</f>
        <v>1110</v>
      </c>
      <c r="CW38" s="618">
        <v>1</v>
      </c>
      <c r="CX38" s="621" t="s">
        <v>721</v>
      </c>
      <c r="CY38" s="618" t="s">
        <v>1211</v>
      </c>
      <c r="CZ38" s="617">
        <f ca="1">IF(CY38="部件",VLOOKUP(CW38,INDIRECT(CY38&amp;"价值"),MATCH(LEFT(CX38,2)&amp;"部件",INDIRECT(CY38&amp;"价值标头"),0),FALSE),IF(CY38="加速道具",VLOOKUP(CX38,INDIRECT(CY38&amp;"价值"),MATCH("价格",INDIRECT(CY38&amp;"价值标头"),0),FALSE),VLOOKUP(CW38,INDIRECT(CY38&amp;"价值"),MATCH(CX38,INDIRECT(CY38&amp;"价值标头"),0),FALSE)))</f>
        <v>60</v>
      </c>
      <c r="DA38" s="617">
        <v>3</v>
      </c>
      <c r="DB38" s="617">
        <v>0.33339999999999997</v>
      </c>
      <c r="DC38" s="617">
        <v>0.33339999999999997</v>
      </c>
      <c r="DD38" s="617">
        <f>ROUND(DC38*10000,0)</f>
        <v>3334</v>
      </c>
    </row>
    <row r="39" spans="2:109" x14ac:dyDescent="0.35">
      <c r="B39" s="512">
        <v>1</v>
      </c>
      <c r="C39" s="516" t="s">
        <v>2239</v>
      </c>
      <c r="D39" s="529" t="s">
        <v>2452</v>
      </c>
      <c r="E39" s="508">
        <f t="shared" ca="1" si="15"/>
        <v>13.5</v>
      </c>
      <c r="F39" s="508">
        <v>2</v>
      </c>
      <c r="G39" s="508">
        <v>3.7999999999999999E-2</v>
      </c>
      <c r="H39" s="170">
        <f t="shared" ref="H39:H47" ca="1" si="17">G39*$C$4/E39/F39</f>
        <v>8.2685185185185181E-2</v>
      </c>
      <c r="I39" s="508">
        <f t="shared" ref="I39:I47" ca="1" si="18">ROUND(H39*10000,0)</f>
        <v>827</v>
      </c>
      <c r="K39" s="512">
        <v>1</v>
      </c>
      <c r="L39" s="516" t="s">
        <v>2239</v>
      </c>
      <c r="M39" s="529" t="s">
        <v>2452</v>
      </c>
      <c r="N39" s="508">
        <f t="shared" ca="1" si="5"/>
        <v>13.5</v>
      </c>
      <c r="O39" s="508">
        <v>1</v>
      </c>
      <c r="P39" s="594">
        <v>3.7999999999999999E-2</v>
      </c>
      <c r="Q39" s="170">
        <f t="shared" ref="Q39:Q47" ca="1" si="19">P39*L$4/N39/O39</f>
        <v>0.1322962962962963</v>
      </c>
      <c r="R39" s="508">
        <f t="shared" ref="R39:R47" ca="1" si="20">ROUND(Q39*10000,0)</f>
        <v>1323</v>
      </c>
      <c r="T39" s="512">
        <v>1</v>
      </c>
      <c r="U39" s="516" t="s">
        <v>2239</v>
      </c>
      <c r="V39" s="529" t="s">
        <v>2452</v>
      </c>
      <c r="W39" s="508">
        <f t="shared" ca="1" si="6"/>
        <v>13.5</v>
      </c>
      <c r="X39" s="508">
        <v>1</v>
      </c>
      <c r="Y39" s="594">
        <v>3.7999999999999999E-2</v>
      </c>
      <c r="Z39" s="170">
        <f t="shared" ref="Z39:Z45" ca="1" si="21">Y39*U$4/W39/X39</f>
        <v>0.13370370370370369</v>
      </c>
      <c r="AA39" s="508">
        <f t="shared" ref="AA39:AA45" ca="1" si="22">ROUND(Z39*10000,0)</f>
        <v>1337</v>
      </c>
      <c r="AC39" s="512">
        <v>1</v>
      </c>
      <c r="AD39" s="516" t="s">
        <v>2239</v>
      </c>
      <c r="AE39" s="529" t="s">
        <v>2452</v>
      </c>
      <c r="AF39" s="508">
        <f t="shared" ca="1" si="7"/>
        <v>13.5</v>
      </c>
      <c r="AG39" s="508">
        <v>1.5</v>
      </c>
      <c r="AH39" s="594">
        <v>3.7999999999999999E-2</v>
      </c>
      <c r="AI39" s="170">
        <f t="shared" ref="AI39:AI47" ca="1" si="23">AH39*AD$4/AF39/AG39</f>
        <v>0.12009876543209876</v>
      </c>
      <c r="AJ39" s="508">
        <f t="shared" ref="AJ39:AJ47" ca="1" si="24">ROUND(AI39*10000,0)</f>
        <v>1201</v>
      </c>
      <c r="AL39" s="512">
        <v>1</v>
      </c>
      <c r="AM39" s="516" t="s">
        <v>2239</v>
      </c>
      <c r="AN39" s="529" t="s">
        <v>2452</v>
      </c>
      <c r="AO39" s="508">
        <f t="shared" ca="1" si="8"/>
        <v>13.5</v>
      </c>
      <c r="AP39" s="508">
        <v>2</v>
      </c>
      <c r="AQ39" s="600">
        <v>3.7999999999999999E-2</v>
      </c>
      <c r="AR39" s="170">
        <f t="shared" ref="AR39:AR46" ca="1" si="25">AQ39*AM$4/AO39/AP39</f>
        <v>0.13651851851851851</v>
      </c>
      <c r="AS39" s="508">
        <f t="shared" ref="AS39:AS46" ca="1" si="26">ROUND(AR39*10000,0)</f>
        <v>1365</v>
      </c>
      <c r="AU39" s="512">
        <v>1</v>
      </c>
      <c r="AV39" s="516" t="s">
        <v>2239</v>
      </c>
      <c r="AW39" s="529" t="s">
        <v>2452</v>
      </c>
      <c r="AX39" s="508">
        <f t="shared" ca="1" si="9"/>
        <v>13.5</v>
      </c>
      <c r="AY39" s="508">
        <v>2.5</v>
      </c>
      <c r="AZ39" s="508">
        <v>3.6999999999999998E-2</v>
      </c>
      <c r="BA39" s="170">
        <f t="shared" ca="1" si="16"/>
        <v>7.1259259259259258E-2</v>
      </c>
      <c r="BB39" s="508">
        <f t="shared" ca="1" si="10"/>
        <v>713</v>
      </c>
      <c r="BD39" s="512">
        <v>1</v>
      </c>
      <c r="BE39" s="516" t="s">
        <v>2239</v>
      </c>
      <c r="BF39" s="529" t="s">
        <v>2452</v>
      </c>
      <c r="BG39" s="508">
        <f t="shared" ca="1" si="11"/>
        <v>13.5</v>
      </c>
      <c r="BH39" s="508">
        <v>3.5</v>
      </c>
      <c r="BI39" s="600">
        <v>3.6999999999999998E-2</v>
      </c>
      <c r="BJ39" s="170">
        <f t="shared" ref="BJ39:BJ45" ca="1" si="27">BI39*BE$4/BG39/BH39</f>
        <v>0.11550264550264548</v>
      </c>
      <c r="BK39" s="508">
        <f t="shared" ref="BK39:BK45" ca="1" si="28">ROUND(BJ39*10000,0)</f>
        <v>1155</v>
      </c>
      <c r="BM39" s="512">
        <v>1</v>
      </c>
      <c r="BN39" s="527" t="s">
        <v>2239</v>
      </c>
      <c r="BO39" s="530" t="s">
        <v>2200</v>
      </c>
      <c r="BP39" s="508">
        <f t="shared" ca="1" si="12"/>
        <v>13.5</v>
      </c>
      <c r="BQ39" s="508">
        <v>9.5</v>
      </c>
      <c r="BR39" s="600">
        <v>3.6999999999999998E-2</v>
      </c>
      <c r="BS39" s="170">
        <f t="shared" ref="BS39:BS45" ca="1" si="29">BR39*BN$4/BP39/BQ39</f>
        <v>9.5204678362573097E-2</v>
      </c>
      <c r="BT39" s="523">
        <f t="shared" ref="BT39:BT45" ca="1" si="30">ROUND(BS39*10000,0)</f>
        <v>952</v>
      </c>
      <c r="BV39" s="525">
        <v>1</v>
      </c>
      <c r="BW39" s="527" t="s">
        <v>2246</v>
      </c>
      <c r="BX39" s="530" t="s">
        <v>2200</v>
      </c>
      <c r="BY39" s="523">
        <f t="shared" ca="1" si="13"/>
        <v>13.5</v>
      </c>
      <c r="BZ39" s="662">
        <v>6</v>
      </c>
      <c r="CA39" s="523">
        <v>0.111</v>
      </c>
      <c r="CB39" s="170">
        <f t="shared" ref="CB39:CB44" ca="1" si="31">CA39*BW$4/BY39/BZ39</f>
        <v>6.851851851851852E-2</v>
      </c>
      <c r="CC39" s="523">
        <f t="shared" ref="CC39:CC44" ca="1" si="32">ROUND(CB39*10000,0)</f>
        <v>685</v>
      </c>
      <c r="CN39" s="618">
        <v>1</v>
      </c>
      <c r="CO39" s="621" t="s">
        <v>2246</v>
      </c>
      <c r="CP39" s="616" t="s">
        <v>2200</v>
      </c>
      <c r="CQ39" s="617">
        <f>VLOOKUP(LEFT(CO39,2)&amp;CP39,道具价值!$B$28:$C$30,2,FALSE)</f>
        <v>13.5</v>
      </c>
      <c r="CR39" s="617">
        <v>1</v>
      </c>
      <c r="CS39" s="617">
        <v>0.111</v>
      </c>
      <c r="CT39" s="170">
        <f t="shared" si="14"/>
        <v>0.111</v>
      </c>
      <c r="CU39" s="617">
        <f t="shared" ref="CU39:CU44" si="33">ROUND(CT39*10000,0)</f>
        <v>1110</v>
      </c>
    </row>
    <row r="40" spans="2:109" x14ac:dyDescent="0.35">
      <c r="B40" s="512">
        <v>1</v>
      </c>
      <c r="C40" s="516" t="s">
        <v>2242</v>
      </c>
      <c r="D40" s="529" t="s">
        <v>2452</v>
      </c>
      <c r="E40" s="508">
        <f t="shared" ca="1" si="15"/>
        <v>13.5</v>
      </c>
      <c r="F40" s="594">
        <v>2</v>
      </c>
      <c r="G40" s="594">
        <v>3.7999999999999999E-2</v>
      </c>
      <c r="H40" s="170">
        <f t="shared" ca="1" si="17"/>
        <v>8.2685185185185181E-2</v>
      </c>
      <c r="I40" s="508">
        <f t="shared" ca="1" si="18"/>
        <v>827</v>
      </c>
      <c r="K40" s="512">
        <v>1</v>
      </c>
      <c r="L40" s="516" t="s">
        <v>2242</v>
      </c>
      <c r="M40" s="529" t="s">
        <v>2452</v>
      </c>
      <c r="N40" s="508">
        <f t="shared" ca="1" si="5"/>
        <v>13.5</v>
      </c>
      <c r="O40" s="565">
        <v>1</v>
      </c>
      <c r="P40" s="594">
        <v>3.7999999999999999E-2</v>
      </c>
      <c r="Q40" s="170">
        <f t="shared" ca="1" si="19"/>
        <v>0.1322962962962963</v>
      </c>
      <c r="R40" s="508">
        <f t="shared" ca="1" si="20"/>
        <v>1323</v>
      </c>
      <c r="T40" s="512">
        <v>1</v>
      </c>
      <c r="U40" s="516" t="s">
        <v>2242</v>
      </c>
      <c r="V40" s="529" t="s">
        <v>2452</v>
      </c>
      <c r="W40" s="508">
        <f t="shared" ca="1" si="6"/>
        <v>13.5</v>
      </c>
      <c r="X40" s="565">
        <v>1</v>
      </c>
      <c r="Y40" s="594">
        <v>3.7999999999999999E-2</v>
      </c>
      <c r="Z40" s="170">
        <f t="shared" ca="1" si="21"/>
        <v>0.13370370370370369</v>
      </c>
      <c r="AA40" s="508">
        <f t="shared" ca="1" si="22"/>
        <v>1337</v>
      </c>
      <c r="AC40" s="512">
        <v>1</v>
      </c>
      <c r="AD40" s="516" t="s">
        <v>2242</v>
      </c>
      <c r="AE40" s="529" t="s">
        <v>2452</v>
      </c>
      <c r="AF40" s="508">
        <f t="shared" ca="1" si="7"/>
        <v>13.5</v>
      </c>
      <c r="AG40" s="594">
        <v>1.5</v>
      </c>
      <c r="AH40" s="594">
        <v>3.7999999999999999E-2</v>
      </c>
      <c r="AI40" s="170">
        <f t="shared" ca="1" si="23"/>
        <v>0.12009876543209876</v>
      </c>
      <c r="AJ40" s="508">
        <f t="shared" ca="1" si="24"/>
        <v>1201</v>
      </c>
      <c r="AL40" s="512">
        <v>1</v>
      </c>
      <c r="AM40" s="516" t="s">
        <v>2242</v>
      </c>
      <c r="AN40" s="529" t="s">
        <v>2452</v>
      </c>
      <c r="AO40" s="508">
        <f t="shared" ca="1" si="8"/>
        <v>13.5</v>
      </c>
      <c r="AP40" s="594">
        <v>2</v>
      </c>
      <c r="AQ40" s="600">
        <v>3.7999999999999999E-2</v>
      </c>
      <c r="AR40" s="170">
        <f t="shared" ca="1" si="25"/>
        <v>0.13651851851851851</v>
      </c>
      <c r="AS40" s="508">
        <f t="shared" ca="1" si="26"/>
        <v>1365</v>
      </c>
      <c r="AU40" s="512">
        <v>1</v>
      </c>
      <c r="AV40" s="516" t="s">
        <v>2242</v>
      </c>
      <c r="AW40" s="529" t="s">
        <v>2452</v>
      </c>
      <c r="AX40" s="508">
        <f t="shared" ca="1" si="9"/>
        <v>13.5</v>
      </c>
      <c r="AY40" s="625">
        <v>2.5</v>
      </c>
      <c r="AZ40" s="600">
        <v>3.6999999999999998E-2</v>
      </c>
      <c r="BA40" s="170">
        <f t="shared" ca="1" si="16"/>
        <v>7.1259259259259258E-2</v>
      </c>
      <c r="BB40" s="508">
        <f t="shared" ca="1" si="10"/>
        <v>713</v>
      </c>
      <c r="BD40" s="512">
        <v>1</v>
      </c>
      <c r="BE40" s="516" t="s">
        <v>2242</v>
      </c>
      <c r="BF40" s="529" t="s">
        <v>2452</v>
      </c>
      <c r="BG40" s="508">
        <f t="shared" ca="1" si="11"/>
        <v>13.5</v>
      </c>
      <c r="BH40" s="615">
        <v>3.5</v>
      </c>
      <c r="BI40" s="600">
        <v>3.6999999999999998E-2</v>
      </c>
      <c r="BJ40" s="170">
        <f t="shared" ca="1" si="27"/>
        <v>0.11550264550264548</v>
      </c>
      <c r="BK40" s="508">
        <f t="shared" ca="1" si="28"/>
        <v>1155</v>
      </c>
      <c r="BM40" s="512">
        <v>1</v>
      </c>
      <c r="BN40" s="527" t="s">
        <v>2242</v>
      </c>
      <c r="BO40" s="530" t="s">
        <v>2200</v>
      </c>
      <c r="BP40" s="508">
        <f t="shared" ca="1" si="12"/>
        <v>13.5</v>
      </c>
      <c r="BQ40" s="632">
        <v>9.5</v>
      </c>
      <c r="BR40" s="600">
        <v>3.6999999999999998E-2</v>
      </c>
      <c r="BS40" s="170">
        <f t="shared" ca="1" si="29"/>
        <v>9.5204678362573097E-2</v>
      </c>
      <c r="BT40" s="523">
        <f t="shared" ca="1" si="30"/>
        <v>952</v>
      </c>
      <c r="BV40" s="525">
        <v>1</v>
      </c>
      <c r="BW40" s="527" t="s">
        <v>2248</v>
      </c>
      <c r="BX40" s="530" t="s">
        <v>2200</v>
      </c>
      <c r="BY40" s="523">
        <f t="shared" ca="1" si="13"/>
        <v>13.5</v>
      </c>
      <c r="BZ40" s="662">
        <v>6</v>
      </c>
      <c r="CA40" s="523">
        <v>0.111</v>
      </c>
      <c r="CB40" s="170">
        <f t="shared" ca="1" si="31"/>
        <v>6.851851851851852E-2</v>
      </c>
      <c r="CC40" s="523">
        <f t="shared" ca="1" si="32"/>
        <v>685</v>
      </c>
      <c r="CN40" s="618">
        <v>1</v>
      </c>
      <c r="CO40" s="621" t="s">
        <v>2248</v>
      </c>
      <c r="CP40" s="616" t="s">
        <v>2200</v>
      </c>
      <c r="CQ40" s="617">
        <f>VLOOKUP(LEFT(CO40,2)&amp;CP40,道具价值!$B$28:$C$30,2,FALSE)</f>
        <v>13.5</v>
      </c>
      <c r="CR40" s="617">
        <v>1</v>
      </c>
      <c r="CS40" s="617">
        <v>0.111</v>
      </c>
      <c r="CT40" s="170">
        <f t="shared" si="14"/>
        <v>0.111</v>
      </c>
      <c r="CU40" s="617">
        <f t="shared" si="33"/>
        <v>1110</v>
      </c>
    </row>
    <row r="41" spans="2:109" x14ac:dyDescent="0.35">
      <c r="B41" s="512">
        <v>1</v>
      </c>
      <c r="C41" s="516" t="s">
        <v>2244</v>
      </c>
      <c r="D41" s="529" t="s">
        <v>2452</v>
      </c>
      <c r="E41" s="508">
        <f t="shared" ca="1" si="15"/>
        <v>13.5</v>
      </c>
      <c r="F41" s="594">
        <v>2</v>
      </c>
      <c r="G41" s="594">
        <v>3.7999999999999999E-2</v>
      </c>
      <c r="H41" s="170">
        <f t="shared" ca="1" si="17"/>
        <v>8.2685185185185181E-2</v>
      </c>
      <c r="I41" s="508">
        <f t="shared" ca="1" si="18"/>
        <v>827</v>
      </c>
      <c r="K41" s="512">
        <v>1</v>
      </c>
      <c r="L41" s="516" t="s">
        <v>2244</v>
      </c>
      <c r="M41" s="529" t="s">
        <v>2452</v>
      </c>
      <c r="N41" s="508">
        <f t="shared" ca="1" si="5"/>
        <v>13.5</v>
      </c>
      <c r="O41" s="565">
        <v>1</v>
      </c>
      <c r="P41" s="594">
        <v>3.7999999999999999E-2</v>
      </c>
      <c r="Q41" s="170">
        <f t="shared" ca="1" si="19"/>
        <v>0.1322962962962963</v>
      </c>
      <c r="R41" s="508">
        <f t="shared" ca="1" si="20"/>
        <v>1323</v>
      </c>
      <c r="T41" s="512">
        <v>1</v>
      </c>
      <c r="U41" s="516" t="s">
        <v>2244</v>
      </c>
      <c r="V41" s="529" t="s">
        <v>2452</v>
      </c>
      <c r="W41" s="508">
        <f t="shared" ca="1" si="6"/>
        <v>13.5</v>
      </c>
      <c r="X41" s="565">
        <v>1</v>
      </c>
      <c r="Y41" s="594">
        <v>3.7999999999999999E-2</v>
      </c>
      <c r="Z41" s="170">
        <f t="shared" ca="1" si="21"/>
        <v>0.13370370370370369</v>
      </c>
      <c r="AA41" s="508">
        <f t="shared" ca="1" si="22"/>
        <v>1337</v>
      </c>
      <c r="AC41" s="512">
        <v>1</v>
      </c>
      <c r="AD41" s="516" t="s">
        <v>2244</v>
      </c>
      <c r="AE41" s="529" t="s">
        <v>2452</v>
      </c>
      <c r="AF41" s="508">
        <f t="shared" ca="1" si="7"/>
        <v>13.5</v>
      </c>
      <c r="AG41" s="594">
        <v>1.5</v>
      </c>
      <c r="AH41" s="594">
        <v>3.7999999999999999E-2</v>
      </c>
      <c r="AI41" s="170">
        <f t="shared" ca="1" si="23"/>
        <v>0.12009876543209876</v>
      </c>
      <c r="AJ41" s="508">
        <f t="shared" ca="1" si="24"/>
        <v>1201</v>
      </c>
      <c r="AL41" s="512">
        <v>1</v>
      </c>
      <c r="AM41" s="516" t="s">
        <v>2244</v>
      </c>
      <c r="AN41" s="529" t="s">
        <v>2452</v>
      </c>
      <c r="AO41" s="508">
        <f t="shared" ca="1" si="8"/>
        <v>13.5</v>
      </c>
      <c r="AP41" s="594">
        <v>2</v>
      </c>
      <c r="AQ41" s="600">
        <v>3.7999999999999999E-2</v>
      </c>
      <c r="AR41" s="170">
        <f t="shared" ca="1" si="25"/>
        <v>0.13651851851851851</v>
      </c>
      <c r="AS41" s="508">
        <f t="shared" ca="1" si="26"/>
        <v>1365</v>
      </c>
      <c r="AU41" s="512">
        <v>1</v>
      </c>
      <c r="AV41" s="516" t="s">
        <v>2244</v>
      </c>
      <c r="AW41" s="529" t="s">
        <v>2452</v>
      </c>
      <c r="AX41" s="508">
        <f t="shared" ca="1" si="9"/>
        <v>13.5</v>
      </c>
      <c r="AY41" s="625">
        <v>2.5</v>
      </c>
      <c r="AZ41" s="600">
        <v>3.6999999999999998E-2</v>
      </c>
      <c r="BA41" s="170">
        <f t="shared" ca="1" si="16"/>
        <v>7.1259259259259258E-2</v>
      </c>
      <c r="BB41" s="508">
        <f t="shared" ca="1" si="10"/>
        <v>713</v>
      </c>
      <c r="BD41" s="512">
        <v>1</v>
      </c>
      <c r="BE41" s="516" t="s">
        <v>2244</v>
      </c>
      <c r="BF41" s="529" t="s">
        <v>2452</v>
      </c>
      <c r="BG41" s="508">
        <f t="shared" ca="1" si="11"/>
        <v>13.5</v>
      </c>
      <c r="BH41" s="615">
        <v>3.5</v>
      </c>
      <c r="BI41" s="600">
        <v>3.6999999999999998E-2</v>
      </c>
      <c r="BJ41" s="170">
        <f t="shared" ca="1" si="27"/>
        <v>0.11550264550264548</v>
      </c>
      <c r="BK41" s="508">
        <f t="shared" ca="1" si="28"/>
        <v>1155</v>
      </c>
      <c r="BM41" s="512">
        <v>1</v>
      </c>
      <c r="BN41" s="527" t="s">
        <v>2244</v>
      </c>
      <c r="BO41" s="530" t="s">
        <v>2200</v>
      </c>
      <c r="BP41" s="508">
        <f t="shared" ca="1" si="12"/>
        <v>13.5</v>
      </c>
      <c r="BQ41" s="632">
        <v>9.5</v>
      </c>
      <c r="BR41" s="600">
        <v>3.6999999999999998E-2</v>
      </c>
      <c r="BS41" s="170">
        <f t="shared" ca="1" si="29"/>
        <v>9.5204678362573097E-2</v>
      </c>
      <c r="BT41" s="523">
        <f t="shared" ca="1" si="30"/>
        <v>952</v>
      </c>
      <c r="BV41" s="525">
        <v>1</v>
      </c>
      <c r="BW41" s="527" t="s">
        <v>2250</v>
      </c>
      <c r="BX41" s="530" t="s">
        <v>2200</v>
      </c>
      <c r="BY41" s="523">
        <f t="shared" ca="1" si="13"/>
        <v>13.5</v>
      </c>
      <c r="BZ41" s="662">
        <v>6</v>
      </c>
      <c r="CA41" s="523">
        <v>0.111</v>
      </c>
      <c r="CB41" s="170">
        <f t="shared" ca="1" si="31"/>
        <v>6.851851851851852E-2</v>
      </c>
      <c r="CC41" s="523">
        <f t="shared" ca="1" si="32"/>
        <v>685</v>
      </c>
      <c r="CE41" s="512" t="s">
        <v>597</v>
      </c>
      <c r="CF41" s="512" t="s">
        <v>1225</v>
      </c>
      <c r="CG41" s="513" t="s">
        <v>917</v>
      </c>
      <c r="CH41" s="166" t="s">
        <v>920</v>
      </c>
      <c r="CI41" s="518" t="s">
        <v>967</v>
      </c>
      <c r="CJ41" s="166" t="s">
        <v>854</v>
      </c>
      <c r="CK41" s="166" t="s">
        <v>926</v>
      </c>
      <c r="CL41" s="514" t="s">
        <v>927</v>
      </c>
      <c r="CM41" s="300">
        <f ca="1">SUM(CL42:CL47)</f>
        <v>4962</v>
      </c>
      <c r="CN41" s="618">
        <v>1</v>
      </c>
      <c r="CO41" s="621" t="s">
        <v>2250</v>
      </c>
      <c r="CP41" s="616" t="s">
        <v>2200</v>
      </c>
      <c r="CQ41" s="617">
        <f>VLOOKUP(LEFT(CO41,2)&amp;CP41,道具价值!$B$28:$C$30,2,FALSE)</f>
        <v>13.5</v>
      </c>
      <c r="CR41" s="617">
        <v>1</v>
      </c>
      <c r="CS41" s="617">
        <v>0.111</v>
      </c>
      <c r="CT41" s="170">
        <f t="shared" si="14"/>
        <v>0.111</v>
      </c>
      <c r="CU41" s="617">
        <f t="shared" si="33"/>
        <v>1110</v>
      </c>
      <c r="CW41" s="618" t="s">
        <v>597</v>
      </c>
      <c r="CX41" s="618" t="s">
        <v>1225</v>
      </c>
      <c r="CY41" s="619" t="s">
        <v>917</v>
      </c>
      <c r="CZ41" s="166" t="s">
        <v>920</v>
      </c>
      <c r="DA41" s="622" t="s">
        <v>967</v>
      </c>
      <c r="DB41" s="166" t="s">
        <v>854</v>
      </c>
      <c r="DC41" s="166" t="s">
        <v>926</v>
      </c>
      <c r="DD41" s="620" t="s">
        <v>927</v>
      </c>
      <c r="DE41" s="300">
        <f>SUM(DD42:DD44)</f>
        <v>10000</v>
      </c>
    </row>
    <row r="42" spans="2:109" x14ac:dyDescent="0.35">
      <c r="B42" s="512">
        <v>1</v>
      </c>
      <c r="C42" s="516" t="s">
        <v>2246</v>
      </c>
      <c r="D42" s="529" t="s">
        <v>2452</v>
      </c>
      <c r="E42" s="508">
        <f t="shared" ca="1" si="15"/>
        <v>13.5</v>
      </c>
      <c r="F42" s="594">
        <v>2</v>
      </c>
      <c r="G42" s="594">
        <v>3.7999999999999999E-2</v>
      </c>
      <c r="H42" s="170">
        <f t="shared" ca="1" si="17"/>
        <v>8.2685185185185181E-2</v>
      </c>
      <c r="I42" s="508">
        <f t="shared" ca="1" si="18"/>
        <v>827</v>
      </c>
      <c r="K42" s="512">
        <v>1</v>
      </c>
      <c r="L42" s="516" t="s">
        <v>2246</v>
      </c>
      <c r="M42" s="529" t="s">
        <v>2452</v>
      </c>
      <c r="N42" s="508">
        <f t="shared" ca="1" si="5"/>
        <v>13.5</v>
      </c>
      <c r="O42" s="565">
        <v>1</v>
      </c>
      <c r="P42" s="594">
        <v>3.7999999999999999E-2</v>
      </c>
      <c r="Q42" s="170">
        <f t="shared" ca="1" si="19"/>
        <v>0.1322962962962963</v>
      </c>
      <c r="R42" s="508">
        <f t="shared" ca="1" si="20"/>
        <v>1323</v>
      </c>
      <c r="T42" s="512">
        <v>1</v>
      </c>
      <c r="U42" s="516" t="s">
        <v>2246</v>
      </c>
      <c r="V42" s="529" t="s">
        <v>2452</v>
      </c>
      <c r="W42" s="508">
        <f t="shared" ca="1" si="6"/>
        <v>13.5</v>
      </c>
      <c r="X42" s="565">
        <v>1</v>
      </c>
      <c r="Y42" s="594">
        <v>3.7999999999999999E-2</v>
      </c>
      <c r="Z42" s="170">
        <f t="shared" ca="1" si="21"/>
        <v>0.13370370370370369</v>
      </c>
      <c r="AA42" s="508">
        <f t="shared" ca="1" si="22"/>
        <v>1337</v>
      </c>
      <c r="AC42" s="512">
        <v>1</v>
      </c>
      <c r="AD42" s="516" t="s">
        <v>2246</v>
      </c>
      <c r="AE42" s="529" t="s">
        <v>2452</v>
      </c>
      <c r="AF42" s="508">
        <f t="shared" ca="1" si="7"/>
        <v>13.5</v>
      </c>
      <c r="AG42" s="594">
        <v>1.5</v>
      </c>
      <c r="AH42" s="594">
        <v>3.7999999999999999E-2</v>
      </c>
      <c r="AI42" s="170">
        <f t="shared" ca="1" si="23"/>
        <v>0.12009876543209876</v>
      </c>
      <c r="AJ42" s="508">
        <f t="shared" ca="1" si="24"/>
        <v>1201</v>
      </c>
      <c r="AL42" s="512">
        <v>1</v>
      </c>
      <c r="AM42" s="516" t="s">
        <v>2246</v>
      </c>
      <c r="AN42" s="529" t="s">
        <v>2452</v>
      </c>
      <c r="AO42" s="508">
        <f t="shared" ca="1" si="8"/>
        <v>13.5</v>
      </c>
      <c r="AP42" s="594">
        <v>2</v>
      </c>
      <c r="AQ42" s="600">
        <v>3.7999999999999999E-2</v>
      </c>
      <c r="AR42" s="170">
        <f t="shared" ca="1" si="25"/>
        <v>0.13651851851851851</v>
      </c>
      <c r="AS42" s="508">
        <f t="shared" ca="1" si="26"/>
        <v>1365</v>
      </c>
      <c r="AU42" s="512">
        <v>1</v>
      </c>
      <c r="AV42" s="516" t="s">
        <v>2246</v>
      </c>
      <c r="AW42" s="529" t="s">
        <v>2452</v>
      </c>
      <c r="AX42" s="508">
        <f t="shared" ca="1" si="9"/>
        <v>13.5</v>
      </c>
      <c r="AY42" s="625">
        <v>2.5</v>
      </c>
      <c r="AZ42" s="600">
        <v>3.6999999999999998E-2</v>
      </c>
      <c r="BA42" s="170">
        <f t="shared" ca="1" si="16"/>
        <v>7.1259259259259258E-2</v>
      </c>
      <c r="BB42" s="508">
        <f t="shared" ca="1" si="10"/>
        <v>713</v>
      </c>
      <c r="BD42" s="512">
        <v>1</v>
      </c>
      <c r="BE42" s="516" t="s">
        <v>2246</v>
      </c>
      <c r="BF42" s="529" t="s">
        <v>2452</v>
      </c>
      <c r="BG42" s="508">
        <f t="shared" ca="1" si="11"/>
        <v>13.5</v>
      </c>
      <c r="BH42" s="615">
        <v>3.5</v>
      </c>
      <c r="BI42" s="600">
        <v>3.6999999999999998E-2</v>
      </c>
      <c r="BJ42" s="170">
        <f t="shared" ca="1" si="27"/>
        <v>0.11550264550264548</v>
      </c>
      <c r="BK42" s="508">
        <f t="shared" ca="1" si="28"/>
        <v>1155</v>
      </c>
      <c r="BM42" s="512">
        <v>1</v>
      </c>
      <c r="BN42" s="527" t="s">
        <v>2246</v>
      </c>
      <c r="BO42" s="530" t="s">
        <v>2200</v>
      </c>
      <c r="BP42" s="508">
        <f t="shared" ca="1" si="12"/>
        <v>13.5</v>
      </c>
      <c r="BQ42" s="632">
        <v>9.5</v>
      </c>
      <c r="BR42" s="600">
        <v>3.6999999999999998E-2</v>
      </c>
      <c r="BS42" s="170">
        <f t="shared" ca="1" si="29"/>
        <v>9.5204678362573097E-2</v>
      </c>
      <c r="BT42" s="523">
        <f t="shared" ca="1" si="30"/>
        <v>952</v>
      </c>
      <c r="BV42" s="525">
        <v>1</v>
      </c>
      <c r="BW42" s="527" t="s">
        <v>2252</v>
      </c>
      <c r="BX42" s="530" t="s">
        <v>2200</v>
      </c>
      <c r="BY42" s="523">
        <f t="shared" ca="1" si="13"/>
        <v>13.5</v>
      </c>
      <c r="BZ42" s="662">
        <v>7</v>
      </c>
      <c r="CA42" s="523">
        <v>0.111</v>
      </c>
      <c r="CB42" s="170">
        <f t="shared" ca="1" si="31"/>
        <v>5.873015873015873E-2</v>
      </c>
      <c r="CC42" s="523">
        <f t="shared" ca="1" si="32"/>
        <v>587</v>
      </c>
      <c r="CE42" s="512">
        <v>2</v>
      </c>
      <c r="CF42" s="527" t="s">
        <v>615</v>
      </c>
      <c r="CG42" s="525" t="s">
        <v>1211</v>
      </c>
      <c r="CH42" s="523">
        <f t="shared" ref="CH42:CH47" ca="1" si="34">IF(CG42="部件",VLOOKUP(CE42,INDIRECT(CG42&amp;"价值"),MATCH(LEFT(CF42,2)&amp;"部件",INDIRECT(CG42&amp;"价值标头"),0),FALSE),IF(CG42="加速道具",VLOOKUP(CF42,INDIRECT(CG42&amp;"价值"),MATCH("价格",INDIRECT(CG42&amp;"价值标头"),0),FALSE),VLOOKUP(CE42,INDIRECT(CG42&amp;"价值"),MATCH(CF42,INDIRECT(CG42&amp;"价值标头"),0),FALSE)))</f>
        <v>56.4</v>
      </c>
      <c r="CI42" s="508">
        <v>2</v>
      </c>
      <c r="CJ42" s="508">
        <v>0.17660000000000001</v>
      </c>
      <c r="CK42" s="170">
        <f t="shared" ref="CK42:CK47" ca="1" si="35">CJ42*CF$4/CH42/CI42</f>
        <v>7.828014184397164E-2</v>
      </c>
      <c r="CL42" s="508">
        <f t="shared" ref="CL42:CL47" ca="1" si="36">ROUND(CK42*10000,0)</f>
        <v>783</v>
      </c>
      <c r="CN42" s="618">
        <v>1</v>
      </c>
      <c r="CO42" s="621" t="s">
        <v>2252</v>
      </c>
      <c r="CP42" s="616" t="s">
        <v>2200</v>
      </c>
      <c r="CQ42" s="617">
        <f>VLOOKUP(LEFT(CO42,2)&amp;CP42,道具价值!$B$28:$C$30,2,FALSE)</f>
        <v>13.5</v>
      </c>
      <c r="CR42" s="617">
        <v>1</v>
      </c>
      <c r="CS42" s="617">
        <v>0.111</v>
      </c>
      <c r="CT42" s="170">
        <f t="shared" si="14"/>
        <v>0.111</v>
      </c>
      <c r="CU42" s="617">
        <f t="shared" si="33"/>
        <v>1110</v>
      </c>
      <c r="CW42" s="618">
        <v>2</v>
      </c>
      <c r="CX42" s="621" t="s">
        <v>616</v>
      </c>
      <c r="CY42" s="618" t="s">
        <v>1211</v>
      </c>
      <c r="CZ42" s="617">
        <f t="shared" ref="CZ42:CZ44" ca="1" si="37">IF(CY42="部件",VLOOKUP(CW42,INDIRECT(CY42&amp;"价值"),MATCH(LEFT(CX42,2)&amp;"部件",INDIRECT(CY42&amp;"价值标头"),0),FALSE),IF(CY42="加速道具",VLOOKUP(CX42,INDIRECT(CY42&amp;"价值"),MATCH("价格",INDIRECT(CY42&amp;"价值标头"),0),FALSE),VLOOKUP(CW42,INDIRECT(CY42&amp;"价值"),MATCH(CX42,INDIRECT(CY42&amp;"价值标头"),0),FALSE)))</f>
        <v>60</v>
      </c>
      <c r="DA42" s="617">
        <v>3</v>
      </c>
      <c r="DB42" s="617">
        <v>0.33329999999999999</v>
      </c>
      <c r="DC42" s="617">
        <v>0.33329999999999999</v>
      </c>
      <c r="DD42" s="617">
        <f t="shared" ref="DD42:DD44" si="38">ROUND(DC42*10000,0)</f>
        <v>3333</v>
      </c>
    </row>
    <row r="43" spans="2:109" x14ac:dyDescent="0.35">
      <c r="B43" s="512">
        <v>1</v>
      </c>
      <c r="C43" s="516" t="s">
        <v>2248</v>
      </c>
      <c r="D43" s="529" t="s">
        <v>2452</v>
      </c>
      <c r="E43" s="508">
        <f t="shared" ca="1" si="15"/>
        <v>13.5</v>
      </c>
      <c r="F43" s="594">
        <v>2</v>
      </c>
      <c r="G43" s="594">
        <v>3.7999999999999999E-2</v>
      </c>
      <c r="H43" s="170">
        <f t="shared" ca="1" si="17"/>
        <v>8.2685185185185181E-2</v>
      </c>
      <c r="I43" s="508">
        <f t="shared" ca="1" si="18"/>
        <v>827</v>
      </c>
      <c r="K43" s="512">
        <v>1</v>
      </c>
      <c r="L43" s="516" t="s">
        <v>2248</v>
      </c>
      <c r="M43" s="529" t="s">
        <v>2452</v>
      </c>
      <c r="N43" s="508">
        <f t="shared" ca="1" si="5"/>
        <v>13.5</v>
      </c>
      <c r="O43" s="565">
        <v>1</v>
      </c>
      <c r="P43" s="594">
        <v>3.7999999999999999E-2</v>
      </c>
      <c r="Q43" s="170">
        <f t="shared" ca="1" si="19"/>
        <v>0.1322962962962963</v>
      </c>
      <c r="R43" s="508">
        <f t="shared" ca="1" si="20"/>
        <v>1323</v>
      </c>
      <c r="T43" s="512">
        <v>1</v>
      </c>
      <c r="U43" s="516" t="s">
        <v>2248</v>
      </c>
      <c r="V43" s="529" t="s">
        <v>2452</v>
      </c>
      <c r="W43" s="508">
        <f t="shared" ca="1" si="6"/>
        <v>13.5</v>
      </c>
      <c r="X43" s="565">
        <v>1</v>
      </c>
      <c r="Y43" s="594">
        <v>3.7999999999999999E-2</v>
      </c>
      <c r="Z43" s="170">
        <f t="shared" ca="1" si="21"/>
        <v>0.13370370370370369</v>
      </c>
      <c r="AA43" s="508">
        <f t="shared" ca="1" si="22"/>
        <v>1337</v>
      </c>
      <c r="AC43" s="512">
        <v>1</v>
      </c>
      <c r="AD43" s="516" t="s">
        <v>2248</v>
      </c>
      <c r="AE43" s="529" t="s">
        <v>2452</v>
      </c>
      <c r="AF43" s="508">
        <f t="shared" ca="1" si="7"/>
        <v>13.5</v>
      </c>
      <c r="AG43" s="594">
        <v>1.5</v>
      </c>
      <c r="AH43" s="594">
        <v>3.7999999999999999E-2</v>
      </c>
      <c r="AI43" s="170">
        <f t="shared" ca="1" si="23"/>
        <v>0.12009876543209876</v>
      </c>
      <c r="AJ43" s="508">
        <f t="shared" ca="1" si="24"/>
        <v>1201</v>
      </c>
      <c r="AL43" s="512">
        <v>1</v>
      </c>
      <c r="AM43" s="516" t="s">
        <v>2248</v>
      </c>
      <c r="AN43" s="529" t="s">
        <v>2452</v>
      </c>
      <c r="AO43" s="508">
        <f t="shared" ca="1" si="8"/>
        <v>13.5</v>
      </c>
      <c r="AP43" s="594">
        <v>2</v>
      </c>
      <c r="AQ43" s="600">
        <v>3.7999999999999999E-2</v>
      </c>
      <c r="AR43" s="170">
        <f t="shared" ca="1" si="25"/>
        <v>0.13651851851851851</v>
      </c>
      <c r="AS43" s="508">
        <f t="shared" ca="1" si="26"/>
        <v>1365</v>
      </c>
      <c r="AU43" s="512">
        <v>1</v>
      </c>
      <c r="AV43" s="516" t="s">
        <v>2248</v>
      </c>
      <c r="AW43" s="529" t="s">
        <v>2452</v>
      </c>
      <c r="AX43" s="508">
        <f t="shared" ca="1" si="9"/>
        <v>13.5</v>
      </c>
      <c r="AY43" s="625">
        <v>2.5</v>
      </c>
      <c r="AZ43" s="600">
        <v>3.6999999999999998E-2</v>
      </c>
      <c r="BA43" s="170">
        <f t="shared" ca="1" si="16"/>
        <v>7.1259259259259258E-2</v>
      </c>
      <c r="BB43" s="508">
        <f t="shared" ca="1" si="10"/>
        <v>713</v>
      </c>
      <c r="BD43" s="512">
        <v>1</v>
      </c>
      <c r="BE43" s="516" t="s">
        <v>2248</v>
      </c>
      <c r="BF43" s="529" t="s">
        <v>2452</v>
      </c>
      <c r="BG43" s="508">
        <f t="shared" ca="1" si="11"/>
        <v>13.5</v>
      </c>
      <c r="BH43" s="615">
        <v>3.5</v>
      </c>
      <c r="BI43" s="600">
        <v>3.6999999999999998E-2</v>
      </c>
      <c r="BJ43" s="170">
        <f t="shared" ca="1" si="27"/>
        <v>0.11550264550264548</v>
      </c>
      <c r="BK43" s="508">
        <f t="shared" ca="1" si="28"/>
        <v>1155</v>
      </c>
      <c r="BM43" s="512">
        <v>1</v>
      </c>
      <c r="BN43" s="527" t="s">
        <v>2248</v>
      </c>
      <c r="BO43" s="530" t="s">
        <v>2200</v>
      </c>
      <c r="BP43" s="508">
        <f t="shared" ca="1" si="12"/>
        <v>13.5</v>
      </c>
      <c r="BQ43" s="632">
        <v>9.5</v>
      </c>
      <c r="BR43" s="600">
        <v>3.6999999999999998E-2</v>
      </c>
      <c r="BS43" s="170">
        <f t="shared" ca="1" si="29"/>
        <v>9.5204678362573097E-2</v>
      </c>
      <c r="BT43" s="523">
        <f t="shared" ca="1" si="30"/>
        <v>952</v>
      </c>
      <c r="BV43" s="525">
        <v>1</v>
      </c>
      <c r="BW43" s="525" t="s">
        <v>2254</v>
      </c>
      <c r="BX43" s="530" t="s">
        <v>2200</v>
      </c>
      <c r="BY43" s="523">
        <f t="shared" ca="1" si="13"/>
        <v>13.5</v>
      </c>
      <c r="BZ43" s="662">
        <v>7</v>
      </c>
      <c r="CA43" s="523">
        <v>0.111</v>
      </c>
      <c r="CB43" s="170">
        <f t="shared" ca="1" si="31"/>
        <v>5.873015873015873E-2</v>
      </c>
      <c r="CC43" s="523">
        <f t="shared" ca="1" si="32"/>
        <v>587</v>
      </c>
      <c r="CE43" s="512">
        <v>2</v>
      </c>
      <c r="CF43" s="527" t="s">
        <v>623</v>
      </c>
      <c r="CG43" s="525" t="s">
        <v>1211</v>
      </c>
      <c r="CH43" s="523">
        <f t="shared" ca="1" si="34"/>
        <v>56.4</v>
      </c>
      <c r="CI43" s="634">
        <v>2</v>
      </c>
      <c r="CJ43" s="523">
        <v>0.17660000000000001</v>
      </c>
      <c r="CK43" s="170">
        <f t="shared" ca="1" si="35"/>
        <v>7.828014184397164E-2</v>
      </c>
      <c r="CL43" s="508">
        <f t="shared" ca="1" si="36"/>
        <v>783</v>
      </c>
      <c r="CN43" s="618">
        <v>1</v>
      </c>
      <c r="CO43" s="618" t="s">
        <v>2254</v>
      </c>
      <c r="CP43" s="616" t="s">
        <v>2200</v>
      </c>
      <c r="CQ43" s="617">
        <f>VLOOKUP(LEFT(CO43,2)&amp;CP43,道具价值!$B$28:$C$30,2,FALSE)</f>
        <v>13.5</v>
      </c>
      <c r="CR43" s="617">
        <v>1</v>
      </c>
      <c r="CS43" s="617">
        <v>0.111</v>
      </c>
      <c r="CT43" s="170">
        <f t="shared" si="14"/>
        <v>0.111</v>
      </c>
      <c r="CU43" s="617">
        <f t="shared" si="33"/>
        <v>1110</v>
      </c>
      <c r="CW43" s="618">
        <v>2</v>
      </c>
      <c r="CX43" s="621" t="s">
        <v>624</v>
      </c>
      <c r="CY43" s="618" t="s">
        <v>1211</v>
      </c>
      <c r="CZ43" s="617">
        <f t="shared" ca="1" si="37"/>
        <v>60</v>
      </c>
      <c r="DA43" s="617">
        <v>3</v>
      </c>
      <c r="DB43" s="617">
        <v>0.33329999999999999</v>
      </c>
      <c r="DC43" s="617">
        <v>0.33329999999999999</v>
      </c>
      <c r="DD43" s="617">
        <f t="shared" si="38"/>
        <v>3333</v>
      </c>
    </row>
    <row r="44" spans="2:109" x14ac:dyDescent="0.35">
      <c r="B44" s="512">
        <v>1</v>
      </c>
      <c r="C44" s="516" t="s">
        <v>2250</v>
      </c>
      <c r="D44" s="529" t="s">
        <v>2452</v>
      </c>
      <c r="E44" s="508">
        <f t="shared" ca="1" si="15"/>
        <v>13.5</v>
      </c>
      <c r="F44" s="594">
        <v>2</v>
      </c>
      <c r="G44" s="594">
        <v>3.7999999999999999E-2</v>
      </c>
      <c r="H44" s="170">
        <f t="shared" ca="1" si="17"/>
        <v>8.2685185185185181E-2</v>
      </c>
      <c r="I44" s="508">
        <f t="shared" ca="1" si="18"/>
        <v>827</v>
      </c>
      <c r="K44" s="512">
        <v>1</v>
      </c>
      <c r="L44" s="516" t="s">
        <v>2250</v>
      </c>
      <c r="M44" s="529" t="s">
        <v>2452</v>
      </c>
      <c r="N44" s="508">
        <f t="shared" ca="1" si="5"/>
        <v>13.5</v>
      </c>
      <c r="O44" s="565">
        <v>1</v>
      </c>
      <c r="P44" s="594">
        <v>3.7999999999999999E-2</v>
      </c>
      <c r="Q44" s="170">
        <f t="shared" ca="1" si="19"/>
        <v>0.1322962962962963</v>
      </c>
      <c r="R44" s="508">
        <f t="shared" ca="1" si="20"/>
        <v>1323</v>
      </c>
      <c r="T44" s="512">
        <v>1</v>
      </c>
      <c r="U44" s="516" t="s">
        <v>2250</v>
      </c>
      <c r="V44" s="529" t="s">
        <v>2452</v>
      </c>
      <c r="W44" s="508">
        <f t="shared" ca="1" si="6"/>
        <v>13.5</v>
      </c>
      <c r="X44" s="565">
        <v>1</v>
      </c>
      <c r="Y44" s="594">
        <v>3.7999999999999999E-2</v>
      </c>
      <c r="Z44" s="170">
        <f t="shared" ca="1" si="21"/>
        <v>0.13370370370370369</v>
      </c>
      <c r="AA44" s="508">
        <f t="shared" ca="1" si="22"/>
        <v>1337</v>
      </c>
      <c r="AC44" s="512">
        <v>1</v>
      </c>
      <c r="AD44" s="516" t="s">
        <v>2250</v>
      </c>
      <c r="AE44" s="529" t="s">
        <v>2452</v>
      </c>
      <c r="AF44" s="508">
        <f t="shared" ca="1" si="7"/>
        <v>13.5</v>
      </c>
      <c r="AG44" s="594">
        <v>1.5</v>
      </c>
      <c r="AH44" s="594">
        <v>3.7999999999999999E-2</v>
      </c>
      <c r="AI44" s="170">
        <f t="shared" ca="1" si="23"/>
        <v>0.12009876543209876</v>
      </c>
      <c r="AJ44" s="508">
        <f t="shared" ca="1" si="24"/>
        <v>1201</v>
      </c>
      <c r="AL44" s="512">
        <v>1</v>
      </c>
      <c r="AM44" s="516" t="s">
        <v>2250</v>
      </c>
      <c r="AN44" s="529" t="s">
        <v>2452</v>
      </c>
      <c r="AO44" s="508">
        <f t="shared" ca="1" si="8"/>
        <v>13.5</v>
      </c>
      <c r="AP44" s="594">
        <v>2</v>
      </c>
      <c r="AQ44" s="600">
        <v>3.7999999999999999E-2</v>
      </c>
      <c r="AR44" s="170">
        <f t="shared" ca="1" si="25"/>
        <v>0.13651851851851851</v>
      </c>
      <c r="AS44" s="508">
        <f t="shared" ca="1" si="26"/>
        <v>1365</v>
      </c>
      <c r="AU44" s="512">
        <v>1</v>
      </c>
      <c r="AV44" s="516" t="s">
        <v>2250</v>
      </c>
      <c r="AW44" s="529" t="s">
        <v>2452</v>
      </c>
      <c r="AX44" s="508">
        <f t="shared" ca="1" si="9"/>
        <v>13.5</v>
      </c>
      <c r="AY44" s="625">
        <v>2.5</v>
      </c>
      <c r="AZ44" s="600">
        <v>3.6999999999999998E-2</v>
      </c>
      <c r="BA44" s="170">
        <f t="shared" ca="1" si="16"/>
        <v>7.1259259259259258E-2</v>
      </c>
      <c r="BB44" s="508">
        <f t="shared" ca="1" si="10"/>
        <v>713</v>
      </c>
      <c r="BD44" s="512">
        <v>1</v>
      </c>
      <c r="BE44" s="516" t="s">
        <v>2250</v>
      </c>
      <c r="BF44" s="529" t="s">
        <v>2452</v>
      </c>
      <c r="BG44" s="508">
        <f t="shared" ca="1" si="11"/>
        <v>13.5</v>
      </c>
      <c r="BH44" s="615">
        <v>3.5</v>
      </c>
      <c r="BI44" s="600">
        <v>3.6999999999999998E-2</v>
      </c>
      <c r="BJ44" s="170">
        <f t="shared" ca="1" si="27"/>
        <v>0.11550264550264548</v>
      </c>
      <c r="BK44" s="508">
        <f t="shared" ca="1" si="28"/>
        <v>1155</v>
      </c>
      <c r="BM44" s="512">
        <v>1</v>
      </c>
      <c r="BN44" s="527" t="s">
        <v>2250</v>
      </c>
      <c r="BO44" s="530" t="s">
        <v>2200</v>
      </c>
      <c r="BP44" s="508">
        <f t="shared" ca="1" si="12"/>
        <v>13.5</v>
      </c>
      <c r="BQ44" s="632">
        <v>9.5</v>
      </c>
      <c r="BR44" s="600">
        <v>3.6999999999999998E-2</v>
      </c>
      <c r="BS44" s="170">
        <f t="shared" ca="1" si="29"/>
        <v>9.5204678362573097E-2</v>
      </c>
      <c r="BT44" s="523">
        <f t="shared" ca="1" si="30"/>
        <v>952</v>
      </c>
      <c r="BV44" s="525">
        <v>1</v>
      </c>
      <c r="BW44" s="525" t="s">
        <v>2256</v>
      </c>
      <c r="BX44" s="530" t="s">
        <v>2200</v>
      </c>
      <c r="BY44" s="523">
        <f t="shared" ca="1" si="13"/>
        <v>13.5</v>
      </c>
      <c r="BZ44" s="662">
        <v>7</v>
      </c>
      <c r="CA44" s="523">
        <v>0.112</v>
      </c>
      <c r="CB44" s="170">
        <f t="shared" ca="1" si="31"/>
        <v>5.9259259259259268E-2</v>
      </c>
      <c r="CC44" s="523">
        <f t="shared" ca="1" si="32"/>
        <v>593</v>
      </c>
      <c r="CE44" s="512">
        <v>2</v>
      </c>
      <c r="CF44" s="527" t="s">
        <v>721</v>
      </c>
      <c r="CG44" s="525" t="s">
        <v>1211</v>
      </c>
      <c r="CH44" s="523">
        <f t="shared" ca="1" si="34"/>
        <v>56.4</v>
      </c>
      <c r="CI44" s="634">
        <v>2</v>
      </c>
      <c r="CJ44" s="523">
        <v>0.17660000000000001</v>
      </c>
      <c r="CK44" s="170">
        <f t="shared" ca="1" si="35"/>
        <v>7.828014184397164E-2</v>
      </c>
      <c r="CL44" s="508">
        <f t="shared" ca="1" si="36"/>
        <v>783</v>
      </c>
      <c r="CN44" s="618">
        <v>1</v>
      </c>
      <c r="CO44" s="618" t="s">
        <v>2256</v>
      </c>
      <c r="CP44" s="616" t="s">
        <v>2200</v>
      </c>
      <c r="CQ44" s="617">
        <f>VLOOKUP(LEFT(CO44,2)&amp;CP44,道具价值!$B$28:$C$30,2,FALSE)</f>
        <v>13.5</v>
      </c>
      <c r="CR44" s="617">
        <v>1</v>
      </c>
      <c r="CS44" s="617">
        <v>0.112</v>
      </c>
      <c r="CT44" s="170">
        <f t="shared" si="14"/>
        <v>0.112</v>
      </c>
      <c r="CU44" s="617">
        <f t="shared" si="33"/>
        <v>1120</v>
      </c>
      <c r="CW44" s="618">
        <v>2</v>
      </c>
      <c r="CX44" s="621" t="s">
        <v>630</v>
      </c>
      <c r="CY44" s="618" t="s">
        <v>1211</v>
      </c>
      <c r="CZ44" s="617">
        <f t="shared" ca="1" si="37"/>
        <v>60</v>
      </c>
      <c r="DA44" s="617">
        <v>3</v>
      </c>
      <c r="DB44" s="617">
        <v>0.33339999999999997</v>
      </c>
      <c r="DC44" s="617">
        <v>0.33339999999999997</v>
      </c>
      <c r="DD44" s="617">
        <f t="shared" si="38"/>
        <v>3334</v>
      </c>
    </row>
    <row r="45" spans="2:109" x14ac:dyDescent="0.35">
      <c r="B45" s="512">
        <v>1</v>
      </c>
      <c r="C45" s="516" t="s">
        <v>2252</v>
      </c>
      <c r="D45" s="529" t="s">
        <v>2452</v>
      </c>
      <c r="E45" s="508">
        <f t="shared" ca="1" si="15"/>
        <v>13.5</v>
      </c>
      <c r="F45" s="594">
        <v>2</v>
      </c>
      <c r="G45" s="594">
        <v>3.7999999999999999E-2</v>
      </c>
      <c r="H45" s="170">
        <f t="shared" ca="1" si="17"/>
        <v>8.2685185185185181E-2</v>
      </c>
      <c r="I45" s="508">
        <f t="shared" ca="1" si="18"/>
        <v>827</v>
      </c>
      <c r="K45" s="512">
        <v>1</v>
      </c>
      <c r="L45" s="516" t="s">
        <v>2252</v>
      </c>
      <c r="M45" s="529" t="s">
        <v>2452</v>
      </c>
      <c r="N45" s="508">
        <f t="shared" ca="1" si="5"/>
        <v>13.5</v>
      </c>
      <c r="O45" s="565">
        <v>1</v>
      </c>
      <c r="P45" s="594">
        <v>3.7999999999999999E-2</v>
      </c>
      <c r="Q45" s="170">
        <f t="shared" ca="1" si="19"/>
        <v>0.1322962962962963</v>
      </c>
      <c r="R45" s="508">
        <f t="shared" ca="1" si="20"/>
        <v>1323</v>
      </c>
      <c r="T45" s="512">
        <v>1</v>
      </c>
      <c r="U45" s="516" t="s">
        <v>2252</v>
      </c>
      <c r="V45" s="529" t="s">
        <v>2452</v>
      </c>
      <c r="W45" s="508">
        <f t="shared" ca="1" si="6"/>
        <v>13.5</v>
      </c>
      <c r="X45" s="565">
        <v>1</v>
      </c>
      <c r="Y45" s="594">
        <v>3.7999999999999999E-2</v>
      </c>
      <c r="Z45" s="170">
        <f t="shared" ca="1" si="21"/>
        <v>0.13370370370370369</v>
      </c>
      <c r="AA45" s="508">
        <f t="shared" ca="1" si="22"/>
        <v>1337</v>
      </c>
      <c r="AC45" s="512">
        <v>1</v>
      </c>
      <c r="AD45" s="516" t="s">
        <v>2252</v>
      </c>
      <c r="AE45" s="529" t="s">
        <v>2452</v>
      </c>
      <c r="AF45" s="508">
        <f t="shared" ca="1" si="7"/>
        <v>13.5</v>
      </c>
      <c r="AG45" s="594">
        <v>1.5</v>
      </c>
      <c r="AH45" s="594">
        <v>3.7999999999999999E-2</v>
      </c>
      <c r="AI45" s="170">
        <f t="shared" ca="1" si="23"/>
        <v>0.12009876543209876</v>
      </c>
      <c r="AJ45" s="508">
        <f t="shared" ca="1" si="24"/>
        <v>1201</v>
      </c>
      <c r="AL45" s="512">
        <v>1</v>
      </c>
      <c r="AM45" s="516" t="s">
        <v>2252</v>
      </c>
      <c r="AN45" s="529" t="s">
        <v>2452</v>
      </c>
      <c r="AO45" s="508">
        <f t="shared" ca="1" si="8"/>
        <v>13.5</v>
      </c>
      <c r="AP45" s="594">
        <v>2</v>
      </c>
      <c r="AQ45" s="600">
        <v>3.7999999999999999E-2</v>
      </c>
      <c r="AR45" s="170">
        <f t="shared" ca="1" si="25"/>
        <v>0.13651851851851851</v>
      </c>
      <c r="AS45" s="508">
        <f t="shared" ca="1" si="26"/>
        <v>1365</v>
      </c>
      <c r="AU45" s="512">
        <v>1</v>
      </c>
      <c r="AV45" s="516" t="s">
        <v>2252</v>
      </c>
      <c r="AW45" s="529" t="s">
        <v>2452</v>
      </c>
      <c r="AX45" s="508">
        <f t="shared" ca="1" si="9"/>
        <v>13.5</v>
      </c>
      <c r="AY45" s="625">
        <v>2.5</v>
      </c>
      <c r="AZ45" s="600">
        <v>3.6999999999999998E-2</v>
      </c>
      <c r="BA45" s="170">
        <f t="shared" ca="1" si="16"/>
        <v>7.1259259259259258E-2</v>
      </c>
      <c r="BB45" s="508">
        <f t="shared" ca="1" si="10"/>
        <v>713</v>
      </c>
      <c r="BD45" s="512">
        <v>1</v>
      </c>
      <c r="BE45" s="516" t="s">
        <v>2252</v>
      </c>
      <c r="BF45" s="529" t="s">
        <v>2452</v>
      </c>
      <c r="BG45" s="508">
        <f t="shared" ca="1" si="11"/>
        <v>13.5</v>
      </c>
      <c r="BH45" s="615">
        <v>3.5</v>
      </c>
      <c r="BI45" s="600">
        <v>3.6999999999999998E-2</v>
      </c>
      <c r="BJ45" s="170">
        <f t="shared" ca="1" si="27"/>
        <v>0.11550264550264548</v>
      </c>
      <c r="BK45" s="508">
        <f t="shared" ca="1" si="28"/>
        <v>1155</v>
      </c>
      <c r="BM45" s="512">
        <v>1</v>
      </c>
      <c r="BN45" s="527" t="s">
        <v>2252</v>
      </c>
      <c r="BO45" s="530" t="s">
        <v>2200</v>
      </c>
      <c r="BP45" s="508">
        <f t="shared" ca="1" si="12"/>
        <v>13.5</v>
      </c>
      <c r="BQ45" s="632">
        <v>9.5</v>
      </c>
      <c r="BR45" s="600">
        <v>3.6999999999999998E-2</v>
      </c>
      <c r="BS45" s="170">
        <f t="shared" ca="1" si="29"/>
        <v>9.5204678362573097E-2</v>
      </c>
      <c r="BT45" s="523">
        <f t="shared" ca="1" si="30"/>
        <v>952</v>
      </c>
      <c r="CE45" s="512">
        <v>2</v>
      </c>
      <c r="CF45" s="527" t="s">
        <v>616</v>
      </c>
      <c r="CG45" s="525" t="s">
        <v>1211</v>
      </c>
      <c r="CH45" s="523">
        <f t="shared" ca="1" si="34"/>
        <v>60</v>
      </c>
      <c r="CI45" s="523">
        <v>1.5</v>
      </c>
      <c r="CJ45" s="523">
        <v>0.15679999999999999</v>
      </c>
      <c r="CK45" s="170">
        <f t="shared" ca="1" si="35"/>
        <v>8.7111111111111098E-2</v>
      </c>
      <c r="CL45" s="508">
        <f t="shared" ca="1" si="36"/>
        <v>871</v>
      </c>
    </row>
    <row r="46" spans="2:109" x14ac:dyDescent="0.35">
      <c r="B46" s="512">
        <v>1</v>
      </c>
      <c r="C46" s="273" t="s">
        <v>2254</v>
      </c>
      <c r="D46" s="529" t="s">
        <v>2452</v>
      </c>
      <c r="E46" s="508">
        <f t="shared" ca="1" si="15"/>
        <v>13.5</v>
      </c>
      <c r="F46" s="594">
        <v>2</v>
      </c>
      <c r="G46" s="594">
        <v>3.7999999999999999E-2</v>
      </c>
      <c r="H46" s="170">
        <f t="shared" ca="1" si="17"/>
        <v>8.2685185185185181E-2</v>
      </c>
      <c r="I46" s="508">
        <f t="shared" ca="1" si="18"/>
        <v>827</v>
      </c>
      <c r="K46" s="282">
        <v>1</v>
      </c>
      <c r="L46" s="512" t="s">
        <v>2254</v>
      </c>
      <c r="M46" s="529" t="s">
        <v>2452</v>
      </c>
      <c r="N46" s="508">
        <f t="shared" ca="1" si="5"/>
        <v>13.5</v>
      </c>
      <c r="O46" s="565">
        <v>1</v>
      </c>
      <c r="P46" s="594">
        <v>3.7999999999999999E-2</v>
      </c>
      <c r="Q46" s="170">
        <f t="shared" ca="1" si="19"/>
        <v>0.1322962962962963</v>
      </c>
      <c r="R46" s="508">
        <f t="shared" ca="1" si="20"/>
        <v>1323</v>
      </c>
      <c r="T46" s="512">
        <v>1</v>
      </c>
      <c r="U46" s="512" t="s">
        <v>2254</v>
      </c>
      <c r="V46" s="529" t="s">
        <v>2452</v>
      </c>
      <c r="W46" s="508">
        <f t="shared" ca="1" si="6"/>
        <v>13.5</v>
      </c>
      <c r="X46" s="565">
        <v>1</v>
      </c>
      <c r="Y46" s="594">
        <v>3.7999999999999999E-2</v>
      </c>
      <c r="Z46" s="170">
        <f ca="1">Y46*U$4/W46/X46</f>
        <v>0.13370370370370369</v>
      </c>
      <c r="AA46" s="279">
        <f ca="1">ROUND(Z46*10000,0)</f>
        <v>1337</v>
      </c>
      <c r="AC46" s="512">
        <v>1</v>
      </c>
      <c r="AD46" s="512" t="s">
        <v>2254</v>
      </c>
      <c r="AE46" s="529" t="s">
        <v>2452</v>
      </c>
      <c r="AF46" s="508">
        <f t="shared" ca="1" si="7"/>
        <v>13.5</v>
      </c>
      <c r="AG46" s="594">
        <v>1.5</v>
      </c>
      <c r="AH46" s="594">
        <v>3.7999999999999999E-2</v>
      </c>
      <c r="AI46" s="170">
        <f t="shared" ca="1" si="23"/>
        <v>0.12009876543209876</v>
      </c>
      <c r="AJ46" s="508">
        <f t="shared" ca="1" si="24"/>
        <v>1201</v>
      </c>
      <c r="AL46" s="512">
        <v>1</v>
      </c>
      <c r="AM46" s="512" t="s">
        <v>2254</v>
      </c>
      <c r="AN46" s="529" t="s">
        <v>2452</v>
      </c>
      <c r="AO46" s="508">
        <f t="shared" ca="1" si="8"/>
        <v>13.5</v>
      </c>
      <c r="AP46" s="594">
        <v>2</v>
      </c>
      <c r="AQ46" s="600">
        <v>3.7999999999999999E-2</v>
      </c>
      <c r="AR46" s="170">
        <f t="shared" ca="1" si="25"/>
        <v>0.13651851851851851</v>
      </c>
      <c r="AS46" s="508">
        <f t="shared" ca="1" si="26"/>
        <v>1365</v>
      </c>
      <c r="AU46" s="512">
        <v>1</v>
      </c>
      <c r="AV46" s="512" t="s">
        <v>2254</v>
      </c>
      <c r="AW46" s="529" t="s">
        <v>2452</v>
      </c>
      <c r="AX46" s="508">
        <f t="shared" ca="1" si="9"/>
        <v>13.5</v>
      </c>
      <c r="AY46" s="625">
        <v>2.5</v>
      </c>
      <c r="AZ46" s="600">
        <v>3.6999999999999998E-2</v>
      </c>
      <c r="BA46" s="170">
        <f t="shared" ca="1" si="16"/>
        <v>7.1259259259259258E-2</v>
      </c>
      <c r="BB46" s="508">
        <f t="shared" ca="1" si="10"/>
        <v>713</v>
      </c>
      <c r="BD46" s="512">
        <v>1</v>
      </c>
      <c r="BE46" s="512" t="s">
        <v>2254</v>
      </c>
      <c r="BF46" s="529" t="s">
        <v>2452</v>
      </c>
      <c r="BG46" s="508">
        <f t="shared" ca="1" si="11"/>
        <v>13.5</v>
      </c>
      <c r="BH46" s="615">
        <v>3.5</v>
      </c>
      <c r="BI46" s="600">
        <v>3.6999999999999998E-2</v>
      </c>
      <c r="BJ46" s="170">
        <f ca="1">BI46*BE$4/BG46/BH46</f>
        <v>0.11550264550264548</v>
      </c>
      <c r="BK46" s="279">
        <f ca="1">ROUND(BJ46*10000,0)</f>
        <v>1155</v>
      </c>
      <c r="BM46" s="512">
        <v>1</v>
      </c>
      <c r="BN46" s="525" t="s">
        <v>2254</v>
      </c>
      <c r="BO46" s="530" t="s">
        <v>2200</v>
      </c>
      <c r="BP46" s="508">
        <f t="shared" ca="1" si="12"/>
        <v>13.5</v>
      </c>
      <c r="BQ46" s="632">
        <v>9.5</v>
      </c>
      <c r="BR46" s="600">
        <v>3.6999999999999998E-2</v>
      </c>
      <c r="BS46" s="170">
        <f ca="1">BR46*BN$4/BP46/BQ46</f>
        <v>9.5204678362573097E-2</v>
      </c>
      <c r="BT46" s="508">
        <f ca="1">ROUND(BS46*10000,0)</f>
        <v>952</v>
      </c>
      <c r="CE46" s="512">
        <v>2</v>
      </c>
      <c r="CF46" s="527" t="s">
        <v>624</v>
      </c>
      <c r="CG46" s="525" t="s">
        <v>1211</v>
      </c>
      <c r="CH46" s="523">
        <f t="shared" ca="1" si="34"/>
        <v>60</v>
      </c>
      <c r="CI46" s="662">
        <v>1.5</v>
      </c>
      <c r="CJ46" s="523">
        <v>0.15670000000000001</v>
      </c>
      <c r="CK46" s="170">
        <f t="shared" ca="1" si="35"/>
        <v>8.7055555555555553E-2</v>
      </c>
      <c r="CL46" s="508">
        <f t="shared" ca="1" si="36"/>
        <v>871</v>
      </c>
    </row>
    <row r="47" spans="2:109" x14ac:dyDescent="0.35">
      <c r="B47" s="512">
        <v>1</v>
      </c>
      <c r="C47" s="273" t="s">
        <v>2256</v>
      </c>
      <c r="D47" s="529" t="s">
        <v>2452</v>
      </c>
      <c r="E47" s="508">
        <f t="shared" ca="1" si="15"/>
        <v>13.5</v>
      </c>
      <c r="F47" s="594">
        <v>2</v>
      </c>
      <c r="G47" s="594">
        <v>3.9E-2</v>
      </c>
      <c r="H47" s="170">
        <f t="shared" ca="1" si="17"/>
        <v>8.4861111111111109E-2</v>
      </c>
      <c r="I47" s="508">
        <f t="shared" ca="1" si="18"/>
        <v>849</v>
      </c>
      <c r="K47" s="282">
        <v>1</v>
      </c>
      <c r="L47" s="512" t="s">
        <v>2256</v>
      </c>
      <c r="M47" s="529" t="s">
        <v>2452</v>
      </c>
      <c r="N47" s="508">
        <f t="shared" ca="1" si="5"/>
        <v>13.5</v>
      </c>
      <c r="O47" s="565">
        <v>1</v>
      </c>
      <c r="P47" s="594">
        <v>3.9E-2</v>
      </c>
      <c r="Q47" s="170">
        <f t="shared" ca="1" si="19"/>
        <v>0.13577777777777778</v>
      </c>
      <c r="R47" s="508">
        <f t="shared" ca="1" si="20"/>
        <v>1358</v>
      </c>
      <c r="T47" s="512">
        <v>1</v>
      </c>
      <c r="U47" s="512" t="s">
        <v>2256</v>
      </c>
      <c r="V47" s="529" t="s">
        <v>2452</v>
      </c>
      <c r="W47" s="508">
        <f t="shared" ca="1" si="6"/>
        <v>13.5</v>
      </c>
      <c r="X47" s="565">
        <v>1</v>
      </c>
      <c r="Y47" s="594">
        <v>3.9E-2</v>
      </c>
      <c r="Z47" s="170">
        <f ca="1">Y47*U$4/W47/X47</f>
        <v>0.13722222222222222</v>
      </c>
      <c r="AA47" s="279">
        <f ca="1">ROUND(Z47*10000,0)</f>
        <v>1372</v>
      </c>
      <c r="AC47" s="512">
        <v>1</v>
      </c>
      <c r="AD47" s="512" t="s">
        <v>2256</v>
      </c>
      <c r="AE47" s="529" t="s">
        <v>2452</v>
      </c>
      <c r="AF47" s="508">
        <f t="shared" ca="1" si="7"/>
        <v>13.5</v>
      </c>
      <c r="AG47" s="594">
        <v>1.5</v>
      </c>
      <c r="AH47" s="594">
        <v>3.9E-2</v>
      </c>
      <c r="AI47" s="170">
        <f t="shared" ca="1" si="23"/>
        <v>0.12325925925925925</v>
      </c>
      <c r="AJ47" s="508">
        <f t="shared" ca="1" si="24"/>
        <v>1233</v>
      </c>
      <c r="AL47" s="512">
        <v>1</v>
      </c>
      <c r="AM47" s="512" t="s">
        <v>2256</v>
      </c>
      <c r="AN47" s="529" t="s">
        <v>2452</v>
      </c>
      <c r="AO47" s="508">
        <f t="shared" ca="1" si="8"/>
        <v>13.5</v>
      </c>
      <c r="AP47" s="594">
        <v>2</v>
      </c>
      <c r="AQ47" s="600">
        <v>3.9E-2</v>
      </c>
      <c r="AR47" s="170">
        <f ca="1">AQ47*AM$4/AO47/AP47</f>
        <v>0.1401111111111111</v>
      </c>
      <c r="AS47" s="279">
        <f ca="1">ROUND(AR47*10000,0)</f>
        <v>1401</v>
      </c>
      <c r="AU47" s="512">
        <v>1</v>
      </c>
      <c r="AV47" s="512" t="s">
        <v>2256</v>
      </c>
      <c r="AW47" s="529" t="s">
        <v>2452</v>
      </c>
      <c r="AX47" s="508">
        <f t="shared" ca="1" si="9"/>
        <v>13.5</v>
      </c>
      <c r="AY47" s="625">
        <v>2.5</v>
      </c>
      <c r="AZ47" s="600">
        <v>3.7999999999999999E-2</v>
      </c>
      <c r="BA47" s="170">
        <f ca="1">AZ47*AV$4/AX47/AY47</f>
        <v>7.3185185185185173E-2</v>
      </c>
      <c r="BB47" s="279">
        <f ca="1">ROUND(BA47*10000,0)</f>
        <v>732</v>
      </c>
      <c r="BD47" s="512">
        <v>1</v>
      </c>
      <c r="BE47" s="512" t="s">
        <v>2256</v>
      </c>
      <c r="BF47" s="529" t="s">
        <v>2452</v>
      </c>
      <c r="BG47" s="508">
        <f t="shared" ca="1" si="11"/>
        <v>13.5</v>
      </c>
      <c r="BH47" s="615">
        <v>3.5</v>
      </c>
      <c r="BI47" s="600">
        <v>3.7999999999999999E-2</v>
      </c>
      <c r="BJ47" s="170">
        <f ca="1">BI47*BE$4/BG47/BH47</f>
        <v>0.11862433862433862</v>
      </c>
      <c r="BK47" s="279">
        <f ca="1">ROUND(BJ47*10000,0)</f>
        <v>1186</v>
      </c>
      <c r="BM47" s="512">
        <v>1</v>
      </c>
      <c r="BN47" s="525" t="s">
        <v>2256</v>
      </c>
      <c r="BO47" s="530" t="s">
        <v>2200</v>
      </c>
      <c r="BP47" s="508">
        <f t="shared" ca="1" si="12"/>
        <v>13.5</v>
      </c>
      <c r="BQ47" s="632">
        <v>9.5</v>
      </c>
      <c r="BR47" s="600">
        <v>3.7999999999999999E-2</v>
      </c>
      <c r="BS47" s="170">
        <f ca="1">BR47*BN$4/BP47/BQ47</f>
        <v>9.7777777777777783E-2</v>
      </c>
      <c r="BT47" s="508">
        <f ca="1">ROUND(BS47*10000,0)</f>
        <v>978</v>
      </c>
      <c r="BV47" s="293" t="s">
        <v>597</v>
      </c>
      <c r="BW47" s="293" t="s">
        <v>1225</v>
      </c>
      <c r="BX47" s="291" t="s">
        <v>917</v>
      </c>
      <c r="BY47" s="166" t="s">
        <v>920</v>
      </c>
      <c r="BZ47" s="294" t="s">
        <v>967</v>
      </c>
      <c r="CA47" s="166" t="s">
        <v>854</v>
      </c>
      <c r="CB47" s="166" t="s">
        <v>926</v>
      </c>
      <c r="CC47" s="292" t="s">
        <v>927</v>
      </c>
      <c r="CD47" s="300">
        <f ca="1">SUM(CC48:CC65)</f>
        <v>5568</v>
      </c>
      <c r="CE47" s="512">
        <v>2</v>
      </c>
      <c r="CF47" s="527" t="s">
        <v>630</v>
      </c>
      <c r="CG47" s="525" t="s">
        <v>1211</v>
      </c>
      <c r="CH47" s="523">
        <f t="shared" ca="1" si="34"/>
        <v>60</v>
      </c>
      <c r="CI47" s="662">
        <v>1.5</v>
      </c>
      <c r="CJ47" s="523">
        <v>0.15670000000000001</v>
      </c>
      <c r="CK47" s="170">
        <f t="shared" ca="1" si="35"/>
        <v>8.7055555555555553E-2</v>
      </c>
      <c r="CL47" s="508">
        <f t="shared" ca="1" si="36"/>
        <v>871</v>
      </c>
      <c r="CN47" s="618" t="s">
        <v>597</v>
      </c>
      <c r="CO47" s="618" t="s">
        <v>1225</v>
      </c>
      <c r="CP47" s="619" t="s">
        <v>917</v>
      </c>
      <c r="CQ47" s="166" t="s">
        <v>920</v>
      </c>
      <c r="CR47" s="622" t="s">
        <v>967</v>
      </c>
      <c r="CS47" s="166" t="s">
        <v>854</v>
      </c>
      <c r="CT47" s="166" t="s">
        <v>926</v>
      </c>
      <c r="CU47" s="620" t="s">
        <v>927</v>
      </c>
      <c r="CV47" s="300">
        <f>SUM(CU48:CU65)</f>
        <v>10000</v>
      </c>
      <c r="CW47" s="618" t="s">
        <v>597</v>
      </c>
      <c r="CX47" s="618" t="s">
        <v>1225</v>
      </c>
      <c r="CY47" s="619" t="s">
        <v>917</v>
      </c>
      <c r="CZ47" s="166" t="s">
        <v>920</v>
      </c>
      <c r="DA47" s="622" t="s">
        <v>967</v>
      </c>
      <c r="DB47" s="166" t="s">
        <v>854</v>
      </c>
      <c r="DC47" s="166" t="s">
        <v>926</v>
      </c>
      <c r="DD47" s="620" t="s">
        <v>927</v>
      </c>
      <c r="DE47" s="300">
        <f>SUM(DD48:DD50)</f>
        <v>10000</v>
      </c>
    </row>
    <row r="48" spans="2:109" x14ac:dyDescent="0.35">
      <c r="AC48" s="276"/>
      <c r="AD48" s="276"/>
      <c r="AE48" s="556"/>
      <c r="AF48" s="157"/>
      <c r="AG48" s="157"/>
      <c r="AH48" s="157"/>
      <c r="AI48" s="538"/>
      <c r="AJ48" s="157"/>
      <c r="AL48" s="276"/>
      <c r="AM48" s="276"/>
      <c r="AN48" s="556"/>
      <c r="AO48" s="157"/>
      <c r="AP48" s="157"/>
      <c r="AQ48" s="157"/>
      <c r="AR48" s="538"/>
      <c r="AS48" s="157"/>
      <c r="BV48" s="293">
        <v>2</v>
      </c>
      <c r="BW48" s="527" t="s">
        <v>2239</v>
      </c>
      <c r="BX48" s="530" t="s">
        <v>2200</v>
      </c>
      <c r="BY48" s="523">
        <f t="shared" ref="BY48:BY65" ca="1" si="39">IF(BX48="部件",VLOOKUP(BV48,INDIRECT(BX48&amp;"价值"),MATCH(LEFT(BW48,2)&amp;"部件",INDIRECT(BX48&amp;"价值标头"),0),FALSE),IF(BX48="加速道具",VLOOKUP(BW48,INDIRECT(BX48&amp;"价值"),MATCH("价格",INDIRECT(BX48&amp;"价值标头"),0),FALSE),VLOOKUP(BV48,INDIRECT(BX48&amp;"价值"),MATCH(BW48,INDIRECT(BX48&amp;"价值标头"),0),FALSE)))</f>
        <v>12.824999999999999</v>
      </c>
      <c r="BZ48" s="523">
        <v>7</v>
      </c>
      <c r="CA48" s="401">
        <v>5.5E-2</v>
      </c>
      <c r="CB48" s="170">
        <f t="shared" ref="CB48:CB53" ca="1" si="40">CA48*BW$4/BY48/BZ48</f>
        <v>3.0632135895293792E-2</v>
      </c>
      <c r="CC48" s="290">
        <f t="shared" ref="CC48:CC53" ca="1" si="41">ROUND(CB48*10000,0)</f>
        <v>306</v>
      </c>
      <c r="CN48" s="618">
        <v>2</v>
      </c>
      <c r="CO48" s="621" t="s">
        <v>2239</v>
      </c>
      <c r="CP48" s="616" t="s">
        <v>2200</v>
      </c>
      <c r="CQ48" s="617">
        <f>VLOOKUP(LEFT(CO48,2)&amp;CP48,道具价值!$B$28:$C$30,2,FALSE)</f>
        <v>13.5</v>
      </c>
      <c r="CR48" s="617">
        <v>1</v>
      </c>
      <c r="CS48" s="617">
        <v>5.5E-2</v>
      </c>
      <c r="CT48" s="170">
        <f>CS48</f>
        <v>5.5E-2</v>
      </c>
      <c r="CU48" s="617">
        <f t="shared" ref="CU48:CU65" si="42">ROUND(CT48*10000,0)</f>
        <v>550</v>
      </c>
      <c r="CW48" s="618">
        <v>3</v>
      </c>
      <c r="CX48" s="621" t="s">
        <v>617</v>
      </c>
      <c r="CY48" s="618" t="s">
        <v>1211</v>
      </c>
      <c r="CZ48" s="617">
        <f t="shared" ref="CZ48:CZ50" ca="1" si="43">IF(CY48="部件",VLOOKUP(CW48,INDIRECT(CY48&amp;"价值"),MATCH(LEFT(CX48,2)&amp;"部件",INDIRECT(CY48&amp;"价值标头"),0),FALSE),IF(CY48="加速道具",VLOOKUP(CX48,INDIRECT(CY48&amp;"价值"),MATCH("价格",INDIRECT(CY48&amp;"价值标头"),0),FALSE),VLOOKUP(CW48,INDIRECT(CY48&amp;"价值"),MATCH(CX48,INDIRECT(CY48&amp;"价值标头"),0),FALSE)))</f>
        <v>85</v>
      </c>
      <c r="DA48" s="617">
        <v>3</v>
      </c>
      <c r="DB48" s="617">
        <v>0.33329999999999999</v>
      </c>
      <c r="DC48" s="617">
        <v>0.33329999999999999</v>
      </c>
      <c r="DD48" s="617">
        <f t="shared" ref="DD48:DD50" si="44">ROUND(DC48*10000,0)</f>
        <v>3333</v>
      </c>
    </row>
    <row r="49" spans="2:109" x14ac:dyDescent="0.35">
      <c r="AC49" s="276"/>
      <c r="AD49" s="276"/>
      <c r="AE49" s="556"/>
      <c r="AF49" s="157"/>
      <c r="AG49" s="157"/>
      <c r="AH49" s="157"/>
      <c r="AI49" s="538"/>
      <c r="AJ49" s="157"/>
      <c r="AL49" s="276"/>
      <c r="AM49" s="276"/>
      <c r="AN49" s="556"/>
      <c r="AO49" s="157"/>
      <c r="AP49" s="157"/>
      <c r="AQ49" s="157"/>
      <c r="AR49" s="538"/>
      <c r="AS49" s="157"/>
      <c r="BV49" s="525">
        <v>2</v>
      </c>
      <c r="BW49" s="527" t="s">
        <v>2242</v>
      </c>
      <c r="BX49" s="530" t="s">
        <v>2200</v>
      </c>
      <c r="BY49" s="523">
        <f t="shared" ca="1" si="39"/>
        <v>12.824999999999999</v>
      </c>
      <c r="BZ49" s="662">
        <v>7</v>
      </c>
      <c r="CA49" s="523">
        <v>5.5E-2</v>
      </c>
      <c r="CB49" s="170">
        <f t="shared" ca="1" si="40"/>
        <v>3.0632135895293792E-2</v>
      </c>
      <c r="CC49" s="290">
        <f t="shared" ca="1" si="41"/>
        <v>306</v>
      </c>
      <c r="CN49" s="618">
        <v>2</v>
      </c>
      <c r="CO49" s="621" t="s">
        <v>2242</v>
      </c>
      <c r="CP49" s="616" t="s">
        <v>2200</v>
      </c>
      <c r="CQ49" s="617">
        <f>VLOOKUP(LEFT(CO49,2)&amp;CP49,道具价值!$B$28:$C$30,2,FALSE)</f>
        <v>13.5</v>
      </c>
      <c r="CR49" s="617">
        <v>1</v>
      </c>
      <c r="CS49" s="617">
        <v>5.5E-2</v>
      </c>
      <c r="CT49" s="170">
        <f t="shared" ref="CT49:CT65" si="45">CS49</f>
        <v>5.5E-2</v>
      </c>
      <c r="CU49" s="617">
        <f t="shared" si="42"/>
        <v>550</v>
      </c>
      <c r="CW49" s="618">
        <v>3</v>
      </c>
      <c r="CX49" s="621" t="s">
        <v>626</v>
      </c>
      <c r="CY49" s="618" t="s">
        <v>1211</v>
      </c>
      <c r="CZ49" s="617">
        <f t="shared" ca="1" si="43"/>
        <v>85</v>
      </c>
      <c r="DA49" s="617">
        <v>3</v>
      </c>
      <c r="DB49" s="617">
        <v>0.33329999999999999</v>
      </c>
      <c r="DC49" s="617">
        <v>0.33329999999999999</v>
      </c>
      <c r="DD49" s="617">
        <f t="shared" si="44"/>
        <v>3333</v>
      </c>
    </row>
    <row r="50" spans="2:109" x14ac:dyDescent="0.35">
      <c r="B50" s="273" t="s">
        <v>1226</v>
      </c>
      <c r="C50" s="273" t="s">
        <v>1225</v>
      </c>
      <c r="D50" s="258" t="s">
        <v>917</v>
      </c>
      <c r="E50" s="166" t="s">
        <v>920</v>
      </c>
      <c r="F50" s="261" t="s">
        <v>967</v>
      </c>
      <c r="G50" s="166" t="s">
        <v>854</v>
      </c>
      <c r="H50" s="166" t="s">
        <v>926</v>
      </c>
      <c r="I50" s="259" t="s">
        <v>927</v>
      </c>
      <c r="J50" s="300">
        <f ca="1">SUM(I51:I74)</f>
        <v>9027</v>
      </c>
      <c r="K50" s="282" t="s">
        <v>814</v>
      </c>
      <c r="L50" s="282" t="s">
        <v>1225</v>
      </c>
      <c r="M50" s="280" t="s">
        <v>917</v>
      </c>
      <c r="N50" s="166" t="s">
        <v>920</v>
      </c>
      <c r="O50" s="285" t="s">
        <v>967</v>
      </c>
      <c r="P50" s="166" t="s">
        <v>854</v>
      </c>
      <c r="Q50" s="166" t="s">
        <v>926</v>
      </c>
      <c r="R50" s="281" t="s">
        <v>927</v>
      </c>
      <c r="S50" s="300">
        <f ca="1">SUM(R51:R74)</f>
        <v>14926</v>
      </c>
      <c r="T50" s="512" t="s">
        <v>597</v>
      </c>
      <c r="U50" s="512" t="s">
        <v>1225</v>
      </c>
      <c r="V50" s="513" t="s">
        <v>917</v>
      </c>
      <c r="W50" s="166" t="s">
        <v>920</v>
      </c>
      <c r="X50" s="518" t="s">
        <v>967</v>
      </c>
      <c r="Y50" s="166" t="s">
        <v>854</v>
      </c>
      <c r="Z50" s="166" t="s">
        <v>926</v>
      </c>
      <c r="AA50" s="281" t="s">
        <v>927</v>
      </c>
      <c r="AB50" s="300">
        <f ca="1">SUM(AA51:AA74)</f>
        <v>15094</v>
      </c>
      <c r="AC50" s="512" t="s">
        <v>597</v>
      </c>
      <c r="AD50" s="512" t="s">
        <v>1225</v>
      </c>
      <c r="AE50" s="513" t="s">
        <v>917</v>
      </c>
      <c r="AF50" s="166" t="s">
        <v>920</v>
      </c>
      <c r="AG50" s="398" t="s">
        <v>967</v>
      </c>
      <c r="AH50" s="166" t="s">
        <v>854</v>
      </c>
      <c r="AI50" s="166" t="s">
        <v>926</v>
      </c>
      <c r="AJ50" s="281" t="s">
        <v>927</v>
      </c>
      <c r="AK50" s="300">
        <f ca="1">SUM(AJ51:AJ76)</f>
        <v>13270</v>
      </c>
      <c r="AL50" s="512" t="s">
        <v>597</v>
      </c>
      <c r="AM50" s="512" t="s">
        <v>1225</v>
      </c>
      <c r="AN50" s="513" t="s">
        <v>917</v>
      </c>
      <c r="AO50" s="166" t="s">
        <v>920</v>
      </c>
      <c r="AP50" s="285" t="s">
        <v>967</v>
      </c>
      <c r="AQ50" s="166" t="s">
        <v>854</v>
      </c>
      <c r="AR50" s="166" t="s">
        <v>926</v>
      </c>
      <c r="AS50" s="281" t="s">
        <v>927</v>
      </c>
      <c r="AT50" s="300">
        <f ca="1">SUM(AS51:AS78)</f>
        <v>14541</v>
      </c>
      <c r="AU50" s="512" t="s">
        <v>597</v>
      </c>
      <c r="AV50" s="512" t="s">
        <v>1225</v>
      </c>
      <c r="AW50" s="513" t="s">
        <v>917</v>
      </c>
      <c r="AX50" s="166" t="s">
        <v>920</v>
      </c>
      <c r="AY50" s="518" t="s">
        <v>967</v>
      </c>
      <c r="AZ50" s="166" t="s">
        <v>854</v>
      </c>
      <c r="BA50" s="166" t="s">
        <v>926</v>
      </c>
      <c r="BB50" s="514" t="s">
        <v>927</v>
      </c>
      <c r="BC50" s="300">
        <f ca="1">SUM(BB51:BB77)</f>
        <v>12694</v>
      </c>
      <c r="BD50" s="512" t="s">
        <v>597</v>
      </c>
      <c r="BE50" s="512" t="s">
        <v>1225</v>
      </c>
      <c r="BF50" s="513" t="s">
        <v>917</v>
      </c>
      <c r="BG50" s="166" t="s">
        <v>920</v>
      </c>
      <c r="BH50" s="518" t="s">
        <v>967</v>
      </c>
      <c r="BI50" s="166" t="s">
        <v>854</v>
      </c>
      <c r="BJ50" s="166" t="s">
        <v>926</v>
      </c>
      <c r="BK50" s="281" t="s">
        <v>927</v>
      </c>
      <c r="BL50" s="300">
        <f ca="1">SUM(BK51:BK77)</f>
        <v>11566</v>
      </c>
      <c r="BM50" s="512" t="s">
        <v>597</v>
      </c>
      <c r="BN50" s="525" t="s">
        <v>1225</v>
      </c>
      <c r="BO50" s="526" t="s">
        <v>917</v>
      </c>
      <c r="BP50" s="166" t="s">
        <v>920</v>
      </c>
      <c r="BQ50" s="518" t="s">
        <v>2975</v>
      </c>
      <c r="BR50" s="166" t="s">
        <v>854</v>
      </c>
      <c r="BS50" s="166" t="s">
        <v>926</v>
      </c>
      <c r="BT50" s="514" t="s">
        <v>927</v>
      </c>
      <c r="BU50" s="300">
        <f ca="1">SUM(BT51:BT77)</f>
        <v>10740</v>
      </c>
      <c r="BV50" s="525">
        <v>2</v>
      </c>
      <c r="BW50" s="527" t="s">
        <v>2244</v>
      </c>
      <c r="BX50" s="530" t="s">
        <v>2200</v>
      </c>
      <c r="BY50" s="523">
        <f t="shared" ca="1" si="39"/>
        <v>12.824999999999999</v>
      </c>
      <c r="BZ50" s="662">
        <v>7</v>
      </c>
      <c r="CA50" s="523">
        <v>5.5E-2</v>
      </c>
      <c r="CB50" s="170">
        <f t="shared" ca="1" si="40"/>
        <v>3.0632135895293792E-2</v>
      </c>
      <c r="CC50" s="290">
        <f t="shared" ca="1" si="41"/>
        <v>306</v>
      </c>
      <c r="CE50" s="512" t="s">
        <v>597</v>
      </c>
      <c r="CF50" s="512" t="s">
        <v>1225</v>
      </c>
      <c r="CG50" s="513" t="s">
        <v>917</v>
      </c>
      <c r="CH50" s="166" t="s">
        <v>920</v>
      </c>
      <c r="CI50" s="518" t="s">
        <v>967</v>
      </c>
      <c r="CJ50" s="166" t="s">
        <v>854</v>
      </c>
      <c r="CK50" s="166" t="s">
        <v>926</v>
      </c>
      <c r="CL50" s="514" t="s">
        <v>927</v>
      </c>
      <c r="CM50" s="300">
        <f ca="1">SUM(CL51:CL59)</f>
        <v>5580</v>
      </c>
      <c r="CN50" s="618">
        <v>2</v>
      </c>
      <c r="CO50" s="621" t="s">
        <v>2244</v>
      </c>
      <c r="CP50" s="616" t="s">
        <v>2200</v>
      </c>
      <c r="CQ50" s="617">
        <f>VLOOKUP(LEFT(CO50,2)&amp;CP50,道具价值!$B$28:$C$30,2,FALSE)</f>
        <v>13.5</v>
      </c>
      <c r="CR50" s="617">
        <v>1</v>
      </c>
      <c r="CS50" s="617">
        <v>5.5E-2</v>
      </c>
      <c r="CT50" s="170">
        <f t="shared" si="45"/>
        <v>5.5E-2</v>
      </c>
      <c r="CU50" s="617">
        <f t="shared" si="42"/>
        <v>550</v>
      </c>
      <c r="CW50" s="618">
        <v>3</v>
      </c>
      <c r="CX50" s="621" t="s">
        <v>631</v>
      </c>
      <c r="CY50" s="618" t="s">
        <v>1211</v>
      </c>
      <c r="CZ50" s="617">
        <f t="shared" ca="1" si="43"/>
        <v>85</v>
      </c>
      <c r="DA50" s="617">
        <v>3</v>
      </c>
      <c r="DB50" s="617">
        <v>0.33339999999999997</v>
      </c>
      <c r="DC50" s="617">
        <v>0.33339999999999997</v>
      </c>
      <c r="DD50" s="617">
        <f t="shared" si="44"/>
        <v>3334</v>
      </c>
    </row>
    <row r="51" spans="2:109" x14ac:dyDescent="0.35">
      <c r="B51" s="273">
        <v>2</v>
      </c>
      <c r="C51" s="260" t="s">
        <v>615</v>
      </c>
      <c r="D51" s="273" t="s">
        <v>1235</v>
      </c>
      <c r="E51" s="508">
        <f t="shared" ref="E51:E74" ca="1" si="46">IF(D51="部件",VLOOKUP(B51,INDIRECT(D51&amp;"价值"),MATCH(LEFT(C51,2)&amp;"部件",INDIRECT(D51&amp;"价值标头"),0),FALSE),IF(D51="加速道具",VLOOKUP(C51,INDIRECT(D51&amp;"价值"),MATCH("价格",INDIRECT(D51&amp;"价值标头"),0),FALSE),VLOOKUP(B51,INDIRECT(D51&amp;"价值"),MATCH(C51,INDIRECT(D51&amp;"价值标头"),0),FALSE)))</f>
        <v>56.4</v>
      </c>
      <c r="F51" s="379">
        <v>7.5</v>
      </c>
      <c r="G51" s="394">
        <f>宝箱设定!$X80</f>
        <v>0.14599999999999999</v>
      </c>
      <c r="H51" s="170">
        <f ca="1">G51*$C$4/E51/F51</f>
        <v>2.0277777777777777E-2</v>
      </c>
      <c r="I51" s="256">
        <f t="shared" ref="I51:I74" ca="1" si="47">ROUND(H51*10000,0)</f>
        <v>203</v>
      </c>
      <c r="K51" s="282">
        <v>2</v>
      </c>
      <c r="L51" s="283" t="s">
        <v>615</v>
      </c>
      <c r="M51" s="282" t="s">
        <v>1235</v>
      </c>
      <c r="N51" s="508">
        <f t="shared" ref="N51:N74" ca="1" si="48">IF(M51="部件",VLOOKUP(K51,INDIRECT(M51&amp;"价值"),MATCH(LEFT(L51,2)&amp;"部件",INDIRECT(M51&amp;"价值标头"),0),FALSE),IF(M51="加速道具",VLOOKUP(L51,INDIRECT(M51&amp;"价值"),MATCH("价格",INDIRECT(M51&amp;"价值标头"),0),FALSE),VLOOKUP(K51,INDIRECT(M51&amp;"价值"),MATCH(L51,INDIRECT(M51&amp;"价值标头"),0),FALSE)))</f>
        <v>56.4</v>
      </c>
      <c r="O51" s="565">
        <v>3</v>
      </c>
      <c r="P51" s="508">
        <f>宝箱设定!$X80</f>
        <v>0.14599999999999999</v>
      </c>
      <c r="Q51" s="170">
        <f t="shared" ref="Q51:Q56" ca="1" si="49">P51*L$4/N51/O51</f>
        <v>4.0555555555555553E-2</v>
      </c>
      <c r="R51" s="279">
        <f t="shared" ref="R51:R56" ca="1" si="50">ROUND(Q51*10000,0)</f>
        <v>406</v>
      </c>
      <c r="T51" s="512">
        <v>2</v>
      </c>
      <c r="U51" s="516" t="s">
        <v>615</v>
      </c>
      <c r="V51" s="512" t="s">
        <v>1211</v>
      </c>
      <c r="W51" s="508">
        <f t="shared" ref="W51:W74" ca="1" si="51">IF(V51="部件",VLOOKUP(T51,INDIRECT(V51&amp;"价值"),MATCH(LEFT(U51,2)&amp;"部件",INDIRECT(V51&amp;"价值标头"),0),FALSE),IF(V51="加速道具",VLOOKUP(U51,INDIRECT(V51&amp;"价值"),MATCH("价格",INDIRECT(V51&amp;"价值标头"),0),FALSE),VLOOKUP(T51,INDIRECT(V51&amp;"价值"),MATCH(U51,INDIRECT(V51&amp;"价值标头"),0),FALSE)))</f>
        <v>56.4</v>
      </c>
      <c r="X51" s="594">
        <v>3</v>
      </c>
      <c r="Y51" s="508">
        <f>宝箱设定!$X80</f>
        <v>0.14599999999999999</v>
      </c>
      <c r="Z51" s="170">
        <f t="shared" ref="Z51:Z56" ca="1" si="52">Y51*U$4/W51/X51</f>
        <v>4.0986997635933803E-2</v>
      </c>
      <c r="AA51" s="279">
        <f t="shared" ref="AA51:AA56" ca="1" si="53">ROUND(Z51*10000,0)</f>
        <v>410</v>
      </c>
      <c r="AC51" s="512">
        <v>2</v>
      </c>
      <c r="AD51" s="516" t="s">
        <v>615</v>
      </c>
      <c r="AE51" s="512" t="s">
        <v>1211</v>
      </c>
      <c r="AF51" s="508">
        <f t="shared" ref="AF51:AF76" ca="1" si="54">IF(AE51="部件",VLOOKUP(AC51,INDIRECT(AE51&amp;"价值"),MATCH(LEFT(AD51,2)&amp;"部件",INDIRECT(AE51&amp;"价值标头"),0),FALSE),IF(AE51="加速道具",VLOOKUP(AD51,INDIRECT(AE51&amp;"价值"),MATCH("价格",INDIRECT(AE51&amp;"价值标头"),0),FALSE),VLOOKUP(AC51,INDIRECT(AE51&amp;"价值"),MATCH(AD51,INDIRECT(AE51&amp;"价值标头"),0),FALSE)))</f>
        <v>56.4</v>
      </c>
      <c r="AG51" s="394">
        <v>5</v>
      </c>
      <c r="AH51" s="508">
        <f>宝箱设定!$X80</f>
        <v>0.14599999999999999</v>
      </c>
      <c r="AI51" s="170">
        <f t="shared" ref="AI51:AI56" ca="1" si="55">AH51*AD$4/AF51/AG51</f>
        <v>3.3134751773049642E-2</v>
      </c>
      <c r="AJ51" s="279">
        <f t="shared" ref="AJ51:AJ56" ca="1" si="56">ROUND(AI51*10000,0)</f>
        <v>331</v>
      </c>
      <c r="AL51" s="512">
        <v>2</v>
      </c>
      <c r="AM51" s="516" t="s">
        <v>615</v>
      </c>
      <c r="AN51" s="512" t="s">
        <v>1211</v>
      </c>
      <c r="AO51" s="508">
        <f t="shared" ref="AO51:AO74" ca="1" si="57">IF(AN51="部件",VLOOKUP(AL51,INDIRECT(AN51&amp;"价值"),MATCH(LEFT(AM51,2)&amp;"部件",INDIRECT(AN51&amp;"价值标头"),0),FALSE),IF(AN51="加速道具",VLOOKUP(AM51,INDIRECT(AN51&amp;"价值"),MATCH("价格",INDIRECT(AN51&amp;"价值标头"),0),FALSE),VLOOKUP(AL51,INDIRECT(AN51&amp;"价值"),MATCH(AM51,INDIRECT(AN51&amp;"价值标头"),0),FALSE)))</f>
        <v>56.4</v>
      </c>
      <c r="AP51" s="508">
        <v>5.5</v>
      </c>
      <c r="AQ51" s="508">
        <f>宝箱设定!$X80</f>
        <v>0.14599999999999999</v>
      </c>
      <c r="AR51" s="170">
        <f t="shared" ref="AR51:AR56" ca="1" si="58">AQ51*AM$4/AO51/AP51</f>
        <v>4.5654416505480327E-2</v>
      </c>
      <c r="AS51" s="279">
        <f t="shared" ref="AS51:AS56" ca="1" si="59">ROUND(AR51*10000,0)</f>
        <v>457</v>
      </c>
      <c r="AU51" s="512">
        <v>2</v>
      </c>
      <c r="AV51" s="516" t="s">
        <v>616</v>
      </c>
      <c r="AW51" s="295" t="s">
        <v>918</v>
      </c>
      <c r="AX51" s="508">
        <f t="shared" ref="AX51:AX77" ca="1" si="60">IF(AW51="部件",VLOOKUP(AU51,INDIRECT(AW51&amp;"价值"),MATCH(LEFT(AV51,2)&amp;"部件",INDIRECT(AW51&amp;"价值标头"),0),FALSE),IF(AW51="加速道具",VLOOKUP(AV51,INDIRECT(AW51&amp;"价值"),MATCH("价格",INDIRECT(AW51&amp;"价值标头"),0),FALSE),VLOOKUP(AU51,INDIRECT(AW51&amp;"价值"),MATCH(AV51,INDIRECT(AW51&amp;"价值标头"),0),FALSE)))</f>
        <v>600</v>
      </c>
      <c r="AY51" s="508">
        <v>1</v>
      </c>
      <c r="AZ51" s="508">
        <f>宝箱设定!$H80</f>
        <v>7.3999999999999996E-2</v>
      </c>
      <c r="BA51" s="170">
        <f ca="1">AZ51*AV$4/AX51/AY51</f>
        <v>8.0166666666666667E-3</v>
      </c>
      <c r="BB51" s="508">
        <f t="shared" ref="BB51:BB77" ca="1" si="61">ROUND(BA51*10000,0)</f>
        <v>80</v>
      </c>
      <c r="BD51" s="512">
        <v>2</v>
      </c>
      <c r="BE51" s="516" t="s">
        <v>616</v>
      </c>
      <c r="BF51" s="295" t="s">
        <v>918</v>
      </c>
      <c r="BG51" s="508">
        <f t="shared" ref="BG51:BG77" ca="1" si="62">IF(BF51="部件",VLOOKUP(BD51,INDIRECT(BF51&amp;"价值"),MATCH(LEFT(BE51,2)&amp;"部件",INDIRECT(BF51&amp;"价值标头"),0),FALSE),IF(BF51="加速道具",VLOOKUP(BE51,INDIRECT(BF51&amp;"价值"),MATCH("价格",INDIRECT(BF51&amp;"价值标头"),0),FALSE),VLOOKUP(BD51,INDIRECT(BF51&amp;"价值"),MATCH(BE51,INDIRECT(BF51&amp;"价值标头"),0),FALSE)))</f>
        <v>600</v>
      </c>
      <c r="BH51" s="508">
        <v>1</v>
      </c>
      <c r="BI51" s="508">
        <f>宝箱设定!$H80</f>
        <v>7.3999999999999996E-2</v>
      </c>
      <c r="BJ51" s="170">
        <f t="shared" ref="BJ51:BJ56" ca="1" si="63">BI51*BE$4/BG51/BH51</f>
        <v>1.8191666666666665E-2</v>
      </c>
      <c r="BK51" s="279">
        <f t="shared" ref="BK51:BK56" ca="1" si="64">ROUND(BJ51*10000,0)</f>
        <v>182</v>
      </c>
      <c r="BM51" s="512">
        <v>2</v>
      </c>
      <c r="BN51" s="527" t="s">
        <v>616</v>
      </c>
      <c r="BO51" s="295" t="s">
        <v>918</v>
      </c>
      <c r="BP51" s="508">
        <f t="shared" ref="BP51:BP77" ca="1" si="65">IF(BO51="部件",VLOOKUP(BM51,INDIRECT(BO51&amp;"价值"),MATCH(LEFT(BN51,2)&amp;"部件",INDIRECT(BO51&amp;"价值标头"),0),FALSE),IF(BO51="加速道具",VLOOKUP(BN51,INDIRECT(BO51&amp;"价值"),MATCH("价格",INDIRECT(BO51&amp;"价值标头"),0),FALSE),VLOOKUP(BM51,INDIRECT(BO51&amp;"价值"),MATCH(BN51,INDIRECT(BO51&amp;"价值标头"),0),FALSE)))</f>
        <v>600</v>
      </c>
      <c r="BQ51" s="508">
        <v>3</v>
      </c>
      <c r="BR51" s="523">
        <f>宝箱设定!$P80</f>
        <v>0.14799999999999999</v>
      </c>
      <c r="BS51" s="170">
        <f t="shared" ref="BS51:BS56" ca="1" si="66">BR51*BN$4/BP51/BQ51</f>
        <v>2.7133333333333332E-2</v>
      </c>
      <c r="BT51" s="508">
        <f t="shared" ref="BT51:BT56" ca="1" si="67">ROUND(BS51*10000,0)</f>
        <v>271</v>
      </c>
      <c r="BV51" s="525">
        <v>2</v>
      </c>
      <c r="BW51" s="527" t="s">
        <v>2246</v>
      </c>
      <c r="BX51" s="530" t="s">
        <v>2200</v>
      </c>
      <c r="BY51" s="523">
        <f t="shared" ca="1" si="39"/>
        <v>12.824999999999999</v>
      </c>
      <c r="BZ51" s="662">
        <v>7</v>
      </c>
      <c r="CA51" s="523">
        <v>5.5E-2</v>
      </c>
      <c r="CB51" s="170">
        <f t="shared" ca="1" si="40"/>
        <v>3.0632135895293792E-2</v>
      </c>
      <c r="CC51" s="290">
        <f t="shared" ca="1" si="41"/>
        <v>306</v>
      </c>
      <c r="CE51" s="512">
        <v>3</v>
      </c>
      <c r="CF51" s="527" t="s">
        <v>615</v>
      </c>
      <c r="CG51" s="525" t="s">
        <v>1211</v>
      </c>
      <c r="CH51" s="523">
        <f t="shared" ref="CH51:CH59" ca="1" si="68">IF(CG51="部件",VLOOKUP(CE51,INDIRECT(CG51&amp;"价值"),MATCH(LEFT(CF51,2)&amp;"部件",INDIRECT(CG51&amp;"价值标头"),0),FALSE),IF(CG51="加速道具",VLOOKUP(CF51,INDIRECT(CG51&amp;"价值"),MATCH("价格",INDIRECT(CG51&amp;"价值标头"),0),FALSE),VLOOKUP(CE51,INDIRECT(CG51&amp;"价值"),MATCH(CF51,INDIRECT(CG51&amp;"价值标头"),0),FALSE)))</f>
        <v>52.8</v>
      </c>
      <c r="CI51" s="508">
        <v>1.5</v>
      </c>
      <c r="CJ51" s="508">
        <v>0.14119999999999999</v>
      </c>
      <c r="CK51" s="170">
        <f ca="1">CJ51*CF$4/CH51/CI51</f>
        <v>8.9141414141414133E-2</v>
      </c>
      <c r="CL51" s="508">
        <f ca="1">ROUND(CK51*10000,0)</f>
        <v>891</v>
      </c>
      <c r="CN51" s="618">
        <v>2</v>
      </c>
      <c r="CO51" s="621" t="s">
        <v>2246</v>
      </c>
      <c r="CP51" s="616" t="s">
        <v>2200</v>
      </c>
      <c r="CQ51" s="617">
        <f>VLOOKUP(LEFT(CO51,2)&amp;CP51,道具价值!$B$28:$C$30,2,FALSE)</f>
        <v>13.5</v>
      </c>
      <c r="CR51" s="617">
        <v>1</v>
      </c>
      <c r="CS51" s="617">
        <v>5.5E-2</v>
      </c>
      <c r="CT51" s="170">
        <f t="shared" si="45"/>
        <v>5.5E-2</v>
      </c>
      <c r="CU51" s="617">
        <f t="shared" si="42"/>
        <v>550</v>
      </c>
    </row>
    <row r="52" spans="2:109" x14ac:dyDescent="0.35">
      <c r="B52" s="273">
        <v>2</v>
      </c>
      <c r="C52" s="260" t="s">
        <v>623</v>
      </c>
      <c r="D52" s="273" t="s">
        <v>1235</v>
      </c>
      <c r="E52" s="508">
        <f t="shared" ca="1" si="46"/>
        <v>56.4</v>
      </c>
      <c r="F52" s="594">
        <v>7</v>
      </c>
      <c r="G52" s="508">
        <f>宝箱设定!$X81</f>
        <v>0.14599999999999999</v>
      </c>
      <c r="H52" s="170">
        <f t="shared" ref="H52:H74" ca="1" si="69">G52*$C$4/E52/F52</f>
        <v>2.1726190476190475E-2</v>
      </c>
      <c r="I52" s="256">
        <f t="shared" ca="1" si="47"/>
        <v>217</v>
      </c>
      <c r="K52" s="282">
        <v>2</v>
      </c>
      <c r="L52" s="283" t="s">
        <v>623</v>
      </c>
      <c r="M52" s="282" t="s">
        <v>1235</v>
      </c>
      <c r="N52" s="508">
        <f t="shared" ca="1" si="48"/>
        <v>56.4</v>
      </c>
      <c r="O52" s="625">
        <v>3</v>
      </c>
      <c r="P52" s="508">
        <f>宝箱设定!$X81</f>
        <v>0.14599999999999999</v>
      </c>
      <c r="Q52" s="170">
        <f t="shared" ca="1" si="49"/>
        <v>4.0555555555555553E-2</v>
      </c>
      <c r="R52" s="279">
        <f t="shared" ca="1" si="50"/>
        <v>406</v>
      </c>
      <c r="T52" s="512">
        <v>2</v>
      </c>
      <c r="U52" s="516" t="s">
        <v>623</v>
      </c>
      <c r="V52" s="512" t="s">
        <v>1211</v>
      </c>
      <c r="W52" s="508">
        <f t="shared" ca="1" si="51"/>
        <v>56.4</v>
      </c>
      <c r="X52" s="625">
        <v>3</v>
      </c>
      <c r="Y52" s="508">
        <f>宝箱设定!$X81</f>
        <v>0.14599999999999999</v>
      </c>
      <c r="Z52" s="170">
        <f t="shared" ca="1" si="52"/>
        <v>4.0986997635933803E-2</v>
      </c>
      <c r="AA52" s="279">
        <f t="shared" ca="1" si="53"/>
        <v>410</v>
      </c>
      <c r="AC52" s="512">
        <v>2</v>
      </c>
      <c r="AD52" s="516" t="s">
        <v>623</v>
      </c>
      <c r="AE52" s="512" t="s">
        <v>1211</v>
      </c>
      <c r="AF52" s="508">
        <f t="shared" ca="1" si="54"/>
        <v>56.4</v>
      </c>
      <c r="AG52" s="594">
        <v>5</v>
      </c>
      <c r="AH52" s="508">
        <f>宝箱设定!$X81</f>
        <v>0.14599999999999999</v>
      </c>
      <c r="AI52" s="170">
        <f t="shared" ca="1" si="55"/>
        <v>3.3134751773049642E-2</v>
      </c>
      <c r="AJ52" s="279">
        <f t="shared" ca="1" si="56"/>
        <v>331</v>
      </c>
      <c r="AL52" s="512">
        <v>2</v>
      </c>
      <c r="AM52" s="516" t="s">
        <v>623</v>
      </c>
      <c r="AN52" s="512" t="s">
        <v>1211</v>
      </c>
      <c r="AO52" s="508">
        <f t="shared" ca="1" si="57"/>
        <v>56.4</v>
      </c>
      <c r="AP52" s="600">
        <v>5.5</v>
      </c>
      <c r="AQ52" s="508">
        <f>宝箱设定!$X81</f>
        <v>0.14599999999999999</v>
      </c>
      <c r="AR52" s="170">
        <f t="shared" ca="1" si="58"/>
        <v>4.5654416505480327E-2</v>
      </c>
      <c r="AS52" s="279">
        <f t="shared" ca="1" si="59"/>
        <v>457</v>
      </c>
      <c r="AU52" s="512">
        <v>2</v>
      </c>
      <c r="AV52" s="516" t="s">
        <v>624</v>
      </c>
      <c r="AW52" s="295" t="s">
        <v>918</v>
      </c>
      <c r="AX52" s="508">
        <f t="shared" ca="1" si="60"/>
        <v>600</v>
      </c>
      <c r="AY52" s="508">
        <v>1</v>
      </c>
      <c r="AZ52" s="508">
        <f>宝箱设定!$H81</f>
        <v>7.3999999999999996E-2</v>
      </c>
      <c r="BA52" s="170">
        <f t="shared" ref="BA52:BA77" ca="1" si="70">AZ52*AV$4/AX52/AY52</f>
        <v>8.0166666666666667E-3</v>
      </c>
      <c r="BB52" s="508">
        <f t="shared" ca="1" si="61"/>
        <v>80</v>
      </c>
      <c r="BD52" s="512">
        <v>2</v>
      </c>
      <c r="BE52" s="516" t="s">
        <v>624</v>
      </c>
      <c r="BF52" s="295" t="s">
        <v>918</v>
      </c>
      <c r="BG52" s="508">
        <f t="shared" ca="1" si="62"/>
        <v>600</v>
      </c>
      <c r="BH52" s="508">
        <v>1</v>
      </c>
      <c r="BI52" s="508">
        <f>宝箱设定!$H81</f>
        <v>7.3999999999999996E-2</v>
      </c>
      <c r="BJ52" s="170">
        <f t="shared" ca="1" si="63"/>
        <v>1.8191666666666665E-2</v>
      </c>
      <c r="BK52" s="279">
        <f t="shared" ca="1" si="64"/>
        <v>182</v>
      </c>
      <c r="BM52" s="512">
        <v>2</v>
      </c>
      <c r="BN52" s="527" t="s">
        <v>624</v>
      </c>
      <c r="BO52" s="295" t="s">
        <v>918</v>
      </c>
      <c r="BP52" s="508">
        <f t="shared" ca="1" si="65"/>
        <v>600</v>
      </c>
      <c r="BQ52" s="565">
        <v>3</v>
      </c>
      <c r="BR52" s="523">
        <f>宝箱设定!$P81</f>
        <v>0.14799999999999999</v>
      </c>
      <c r="BS52" s="170">
        <f t="shared" ca="1" si="66"/>
        <v>2.7133333333333332E-2</v>
      </c>
      <c r="BT52" s="508">
        <f t="shared" ca="1" si="67"/>
        <v>271</v>
      </c>
      <c r="BV52" s="525">
        <v>2</v>
      </c>
      <c r="BW52" s="527" t="s">
        <v>2248</v>
      </c>
      <c r="BX52" s="530" t="s">
        <v>2200</v>
      </c>
      <c r="BY52" s="523">
        <f t="shared" ca="1" si="39"/>
        <v>12.824999999999999</v>
      </c>
      <c r="BZ52" s="662">
        <v>7</v>
      </c>
      <c r="CA52" s="523">
        <v>5.5E-2</v>
      </c>
      <c r="CB52" s="170">
        <f t="shared" ca="1" si="40"/>
        <v>3.0632135895293792E-2</v>
      </c>
      <c r="CC52" s="290">
        <f t="shared" ca="1" si="41"/>
        <v>306</v>
      </c>
      <c r="CE52" s="512">
        <v>3</v>
      </c>
      <c r="CF52" s="527" t="s">
        <v>623</v>
      </c>
      <c r="CG52" s="525" t="s">
        <v>1211</v>
      </c>
      <c r="CH52" s="523">
        <f t="shared" ca="1" si="68"/>
        <v>52.8</v>
      </c>
      <c r="CI52" s="662">
        <v>1.5</v>
      </c>
      <c r="CJ52" s="523">
        <v>0.1411</v>
      </c>
      <c r="CK52" s="170">
        <f ca="1">CJ52*CF$4/CH52/CI52</f>
        <v>8.9078282828282826E-2</v>
      </c>
      <c r="CL52" s="508">
        <f ca="1">ROUND(CK52*10000,0)</f>
        <v>891</v>
      </c>
      <c r="CN52" s="618">
        <v>2</v>
      </c>
      <c r="CO52" s="621" t="s">
        <v>2248</v>
      </c>
      <c r="CP52" s="616" t="s">
        <v>2200</v>
      </c>
      <c r="CQ52" s="617">
        <f>VLOOKUP(LEFT(CO52,2)&amp;CP52,道具价值!$B$28:$C$30,2,FALSE)</f>
        <v>13.5</v>
      </c>
      <c r="CR52" s="617">
        <v>1</v>
      </c>
      <c r="CS52" s="617">
        <v>5.5E-2</v>
      </c>
      <c r="CT52" s="170">
        <f t="shared" si="45"/>
        <v>5.5E-2</v>
      </c>
      <c r="CU52" s="617">
        <f t="shared" si="42"/>
        <v>550</v>
      </c>
    </row>
    <row r="53" spans="2:109" x14ac:dyDescent="0.35">
      <c r="B53" s="273">
        <v>2</v>
      </c>
      <c r="C53" s="260" t="s">
        <v>721</v>
      </c>
      <c r="D53" s="273" t="s">
        <v>1235</v>
      </c>
      <c r="E53" s="508">
        <f t="shared" ca="1" si="46"/>
        <v>56.4</v>
      </c>
      <c r="F53" s="594">
        <v>7</v>
      </c>
      <c r="G53" s="508">
        <f>宝箱设定!$X82</f>
        <v>0.14599999999999999</v>
      </c>
      <c r="H53" s="170">
        <f t="shared" ca="1" si="69"/>
        <v>2.1726190476190475E-2</v>
      </c>
      <c r="I53" s="256">
        <f t="shared" ca="1" si="47"/>
        <v>217</v>
      </c>
      <c r="K53" s="282">
        <v>2</v>
      </c>
      <c r="L53" s="283" t="s">
        <v>721</v>
      </c>
      <c r="M53" s="282" t="s">
        <v>1235</v>
      </c>
      <c r="N53" s="508">
        <f t="shared" ca="1" si="48"/>
        <v>56.4</v>
      </c>
      <c r="O53" s="625">
        <v>3</v>
      </c>
      <c r="P53" s="508">
        <f>宝箱设定!$X82</f>
        <v>0.14599999999999999</v>
      </c>
      <c r="Q53" s="170">
        <f t="shared" ca="1" si="49"/>
        <v>4.0555555555555553E-2</v>
      </c>
      <c r="R53" s="279">
        <f t="shared" ca="1" si="50"/>
        <v>406</v>
      </c>
      <c r="T53" s="512">
        <v>2</v>
      </c>
      <c r="U53" s="516" t="s">
        <v>721</v>
      </c>
      <c r="V53" s="512" t="s">
        <v>1211</v>
      </c>
      <c r="W53" s="508">
        <f t="shared" ca="1" si="51"/>
        <v>56.4</v>
      </c>
      <c r="X53" s="625">
        <v>3</v>
      </c>
      <c r="Y53" s="508">
        <f>宝箱设定!$X82</f>
        <v>0.14599999999999999</v>
      </c>
      <c r="Z53" s="170">
        <f t="shared" ca="1" si="52"/>
        <v>4.0986997635933803E-2</v>
      </c>
      <c r="AA53" s="279">
        <f t="shared" ca="1" si="53"/>
        <v>410</v>
      </c>
      <c r="AC53" s="512">
        <v>2</v>
      </c>
      <c r="AD53" s="516" t="s">
        <v>721</v>
      </c>
      <c r="AE53" s="512" t="s">
        <v>1211</v>
      </c>
      <c r="AF53" s="508">
        <f t="shared" ca="1" si="54"/>
        <v>56.4</v>
      </c>
      <c r="AG53" s="594">
        <v>5</v>
      </c>
      <c r="AH53" s="508">
        <f>宝箱设定!$X82</f>
        <v>0.14599999999999999</v>
      </c>
      <c r="AI53" s="170">
        <f t="shared" ca="1" si="55"/>
        <v>3.3134751773049642E-2</v>
      </c>
      <c r="AJ53" s="279">
        <f t="shared" ca="1" si="56"/>
        <v>331</v>
      </c>
      <c r="AL53" s="512">
        <v>2</v>
      </c>
      <c r="AM53" s="516" t="s">
        <v>721</v>
      </c>
      <c r="AN53" s="512" t="s">
        <v>1211</v>
      </c>
      <c r="AO53" s="508">
        <f t="shared" ca="1" si="57"/>
        <v>56.4</v>
      </c>
      <c r="AP53" s="600">
        <v>5.5</v>
      </c>
      <c r="AQ53" s="508">
        <f>宝箱设定!$X82</f>
        <v>0.14599999999999999</v>
      </c>
      <c r="AR53" s="170">
        <f t="shared" ca="1" si="58"/>
        <v>4.5654416505480327E-2</v>
      </c>
      <c r="AS53" s="279">
        <f t="shared" ca="1" si="59"/>
        <v>457</v>
      </c>
      <c r="AU53" s="512">
        <v>2</v>
      </c>
      <c r="AV53" s="516" t="s">
        <v>630</v>
      </c>
      <c r="AW53" s="295" t="s">
        <v>918</v>
      </c>
      <c r="AX53" s="508">
        <f t="shared" ca="1" si="60"/>
        <v>600</v>
      </c>
      <c r="AY53" s="508">
        <v>1</v>
      </c>
      <c r="AZ53" s="508">
        <f>宝箱设定!$H82</f>
        <v>7.3999999999999996E-2</v>
      </c>
      <c r="BA53" s="170">
        <f t="shared" ca="1" si="70"/>
        <v>8.0166666666666667E-3</v>
      </c>
      <c r="BB53" s="508">
        <f t="shared" ca="1" si="61"/>
        <v>80</v>
      </c>
      <c r="BD53" s="512">
        <v>2</v>
      </c>
      <c r="BE53" s="516" t="s">
        <v>630</v>
      </c>
      <c r="BF53" s="295" t="s">
        <v>918</v>
      </c>
      <c r="BG53" s="508">
        <f t="shared" ca="1" si="62"/>
        <v>600</v>
      </c>
      <c r="BH53" s="508">
        <v>1</v>
      </c>
      <c r="BI53" s="508">
        <f>宝箱设定!$H82</f>
        <v>7.3999999999999996E-2</v>
      </c>
      <c r="BJ53" s="170">
        <f t="shared" ca="1" si="63"/>
        <v>1.8191666666666665E-2</v>
      </c>
      <c r="BK53" s="279">
        <f t="shared" ca="1" si="64"/>
        <v>182</v>
      </c>
      <c r="BM53" s="512">
        <v>2</v>
      </c>
      <c r="BN53" s="527" t="s">
        <v>630</v>
      </c>
      <c r="BO53" s="295" t="s">
        <v>918</v>
      </c>
      <c r="BP53" s="508">
        <f t="shared" ca="1" si="65"/>
        <v>600</v>
      </c>
      <c r="BQ53" s="565">
        <v>3</v>
      </c>
      <c r="BR53" s="523">
        <f>宝箱设定!$P82</f>
        <v>0.14799999999999999</v>
      </c>
      <c r="BS53" s="170">
        <f t="shared" ca="1" si="66"/>
        <v>2.7133333333333332E-2</v>
      </c>
      <c r="BT53" s="508">
        <f t="shared" ca="1" si="67"/>
        <v>271</v>
      </c>
      <c r="BV53" s="525">
        <v>2</v>
      </c>
      <c r="BW53" s="527" t="s">
        <v>2250</v>
      </c>
      <c r="BX53" s="530" t="s">
        <v>2200</v>
      </c>
      <c r="BY53" s="523">
        <f t="shared" ca="1" si="39"/>
        <v>12.824999999999999</v>
      </c>
      <c r="BZ53" s="662">
        <v>7</v>
      </c>
      <c r="CA53" s="523">
        <v>5.5E-2</v>
      </c>
      <c r="CB53" s="170">
        <f t="shared" ca="1" si="40"/>
        <v>3.0632135895293792E-2</v>
      </c>
      <c r="CC53" s="290">
        <f t="shared" ca="1" si="41"/>
        <v>306</v>
      </c>
      <c r="CE53" s="512">
        <v>3</v>
      </c>
      <c r="CF53" s="527" t="s">
        <v>721</v>
      </c>
      <c r="CG53" s="525" t="s">
        <v>1211</v>
      </c>
      <c r="CH53" s="523">
        <f t="shared" ca="1" si="68"/>
        <v>52.8</v>
      </c>
      <c r="CI53" s="662">
        <v>1.5</v>
      </c>
      <c r="CJ53" s="523">
        <v>0.1411</v>
      </c>
      <c r="CK53" s="170">
        <f ca="1">CJ53*CF$4/CH53/CI53</f>
        <v>8.9078282828282826E-2</v>
      </c>
      <c r="CL53" s="508">
        <f ca="1">ROUND(CK53*10000,0)</f>
        <v>891</v>
      </c>
      <c r="CN53" s="618">
        <v>2</v>
      </c>
      <c r="CO53" s="621" t="s">
        <v>2250</v>
      </c>
      <c r="CP53" s="616" t="s">
        <v>2200</v>
      </c>
      <c r="CQ53" s="617">
        <f>VLOOKUP(LEFT(CO53,2)&amp;CP53,道具价值!$B$28:$C$30,2,FALSE)</f>
        <v>13.5</v>
      </c>
      <c r="CR53" s="617">
        <v>1</v>
      </c>
      <c r="CS53" s="617">
        <v>5.5E-2</v>
      </c>
      <c r="CT53" s="170">
        <f t="shared" si="45"/>
        <v>5.5E-2</v>
      </c>
      <c r="CU53" s="617">
        <f t="shared" si="42"/>
        <v>550</v>
      </c>
      <c r="CW53" s="618" t="s">
        <v>597</v>
      </c>
      <c r="CX53" s="618" t="s">
        <v>1225</v>
      </c>
      <c r="CY53" s="619" t="s">
        <v>917</v>
      </c>
      <c r="CZ53" s="166" t="s">
        <v>920</v>
      </c>
      <c r="DA53" s="622" t="s">
        <v>967</v>
      </c>
      <c r="DB53" s="166" t="s">
        <v>854</v>
      </c>
      <c r="DC53" s="166" t="s">
        <v>926</v>
      </c>
      <c r="DD53" s="620" t="s">
        <v>927</v>
      </c>
      <c r="DE53" s="300">
        <f>SUM(DD54:DD56)</f>
        <v>10000</v>
      </c>
    </row>
    <row r="54" spans="2:109" x14ac:dyDescent="0.35">
      <c r="B54" s="273">
        <v>2</v>
      </c>
      <c r="C54" s="260" t="s">
        <v>616</v>
      </c>
      <c r="D54" s="273" t="s">
        <v>1235</v>
      </c>
      <c r="E54" s="508">
        <f t="shared" ca="1" si="46"/>
        <v>60</v>
      </c>
      <c r="F54" s="508">
        <v>4</v>
      </c>
      <c r="G54" s="508">
        <f>宝箱设定!$X83</f>
        <v>7.2999999999999995E-2</v>
      </c>
      <c r="H54" s="170">
        <f t="shared" ca="1" si="69"/>
        <v>1.7869791666666666E-2</v>
      </c>
      <c r="I54" s="256">
        <f t="shared" ca="1" si="47"/>
        <v>179</v>
      </c>
      <c r="K54" s="282">
        <v>2</v>
      </c>
      <c r="L54" s="283" t="s">
        <v>616</v>
      </c>
      <c r="M54" s="282" t="s">
        <v>1235</v>
      </c>
      <c r="N54" s="508">
        <f t="shared" ca="1" si="48"/>
        <v>60</v>
      </c>
      <c r="O54" s="565">
        <v>1.5</v>
      </c>
      <c r="P54" s="508">
        <f>宝箱设定!$X83</f>
        <v>7.2999999999999995E-2</v>
      </c>
      <c r="Q54" s="170">
        <f t="shared" ca="1" si="49"/>
        <v>3.8122222222222217E-2</v>
      </c>
      <c r="R54" s="279">
        <f t="shared" ca="1" si="50"/>
        <v>381</v>
      </c>
      <c r="T54" s="512">
        <v>2</v>
      </c>
      <c r="U54" s="516" t="s">
        <v>616</v>
      </c>
      <c r="V54" s="512" t="s">
        <v>1211</v>
      </c>
      <c r="W54" s="508">
        <f t="shared" ca="1" si="51"/>
        <v>60</v>
      </c>
      <c r="X54" s="594">
        <v>1.5</v>
      </c>
      <c r="Y54" s="508">
        <f>宝箱设定!$X83</f>
        <v>7.2999999999999995E-2</v>
      </c>
      <c r="Z54" s="170">
        <f t="shared" ca="1" si="52"/>
        <v>3.8527777777777779E-2</v>
      </c>
      <c r="AA54" s="279">
        <f t="shared" ca="1" si="53"/>
        <v>385</v>
      </c>
      <c r="AC54" s="512">
        <v>2</v>
      </c>
      <c r="AD54" s="516" t="s">
        <v>616</v>
      </c>
      <c r="AE54" s="512" t="s">
        <v>1211</v>
      </c>
      <c r="AF54" s="508">
        <f t="shared" ca="1" si="54"/>
        <v>60</v>
      </c>
      <c r="AG54" s="508">
        <v>1.5</v>
      </c>
      <c r="AH54" s="508">
        <f>宝箱设定!$X83</f>
        <v>7.2999999999999995E-2</v>
      </c>
      <c r="AI54" s="170">
        <f t="shared" ca="1" si="55"/>
        <v>5.1911111111111109E-2</v>
      </c>
      <c r="AJ54" s="279">
        <f t="shared" ca="1" si="56"/>
        <v>519</v>
      </c>
      <c r="AL54" s="512">
        <v>2</v>
      </c>
      <c r="AM54" s="516" t="s">
        <v>616</v>
      </c>
      <c r="AN54" s="512" t="s">
        <v>1211</v>
      </c>
      <c r="AO54" s="508">
        <f t="shared" ca="1" si="57"/>
        <v>60</v>
      </c>
      <c r="AP54" s="508">
        <v>3.5</v>
      </c>
      <c r="AQ54" s="508">
        <f>宝箱设定!$X83</f>
        <v>7.2999999999999995E-2</v>
      </c>
      <c r="AR54" s="170">
        <f t="shared" ca="1" si="58"/>
        <v>3.3719047619047614E-2</v>
      </c>
      <c r="AS54" s="279">
        <f t="shared" ca="1" si="59"/>
        <v>337</v>
      </c>
      <c r="AU54" s="512">
        <v>2</v>
      </c>
      <c r="AV54" s="516" t="s">
        <v>615</v>
      </c>
      <c r="AW54" s="512" t="s">
        <v>1211</v>
      </c>
      <c r="AX54" s="508">
        <f t="shared" ca="1" si="60"/>
        <v>56.4</v>
      </c>
      <c r="AY54" s="565">
        <v>5</v>
      </c>
      <c r="AZ54" s="508">
        <f>宝箱设定!$H83</f>
        <v>0.11099999999999999</v>
      </c>
      <c r="BA54" s="170">
        <f t="shared" ca="1" si="70"/>
        <v>2.5585106382978721E-2</v>
      </c>
      <c r="BB54" s="508">
        <f t="shared" ca="1" si="61"/>
        <v>256</v>
      </c>
      <c r="BD54" s="512">
        <v>2</v>
      </c>
      <c r="BE54" s="516" t="s">
        <v>615</v>
      </c>
      <c r="BF54" s="512" t="s">
        <v>1211</v>
      </c>
      <c r="BG54" s="508">
        <f t="shared" ca="1" si="62"/>
        <v>56.4</v>
      </c>
      <c r="BH54" s="508">
        <v>10</v>
      </c>
      <c r="BI54" s="508">
        <f>宝箱设定!$H83</f>
        <v>0.11099999999999999</v>
      </c>
      <c r="BJ54" s="170">
        <f t="shared" ca="1" si="63"/>
        <v>2.9029255319148933E-2</v>
      </c>
      <c r="BK54" s="379">
        <f t="shared" ca="1" si="64"/>
        <v>290</v>
      </c>
      <c r="BM54" s="512">
        <v>2</v>
      </c>
      <c r="BN54" s="527" t="s">
        <v>615</v>
      </c>
      <c r="BO54" s="525" t="s">
        <v>1211</v>
      </c>
      <c r="BP54" s="508">
        <f t="shared" ca="1" si="65"/>
        <v>56.4</v>
      </c>
      <c r="BQ54" s="508">
        <v>25</v>
      </c>
      <c r="BR54" s="523">
        <f>宝箱设定!$P83</f>
        <v>3.6999999999999998E-2</v>
      </c>
      <c r="BS54" s="170">
        <f t="shared" ca="1" si="66"/>
        <v>8.6595744680851069E-3</v>
      </c>
      <c r="BT54" s="508">
        <f t="shared" ca="1" si="67"/>
        <v>87</v>
      </c>
      <c r="BV54" s="525">
        <v>2</v>
      </c>
      <c r="BW54" s="527" t="s">
        <v>2252</v>
      </c>
      <c r="BX54" s="530" t="s">
        <v>2200</v>
      </c>
      <c r="BY54" s="523">
        <f t="shared" ca="1" si="39"/>
        <v>12.824999999999999</v>
      </c>
      <c r="BZ54" s="662">
        <v>7</v>
      </c>
      <c r="CA54" s="523">
        <v>5.5E-2</v>
      </c>
      <c r="CB54" s="170">
        <f t="shared" ref="CB54:CB65" ca="1" si="71">CA54*BW$4/BY54/BZ54</f>
        <v>3.0632135895293792E-2</v>
      </c>
      <c r="CC54" s="523">
        <f t="shared" ref="CC54:CC65" ca="1" si="72">ROUND(CB54*10000,0)</f>
        <v>306</v>
      </c>
      <c r="CE54" s="525">
        <v>3</v>
      </c>
      <c r="CF54" s="527" t="s">
        <v>616</v>
      </c>
      <c r="CG54" s="525" t="s">
        <v>1211</v>
      </c>
      <c r="CH54" s="523">
        <f t="shared" ca="1" si="68"/>
        <v>56.4</v>
      </c>
      <c r="CI54" s="662">
        <v>2</v>
      </c>
      <c r="CJ54" s="523">
        <v>0.1111</v>
      </c>
      <c r="CK54" s="170">
        <f t="shared" ref="CK54:CK59" ca="1" si="73">CJ54*CF$4/CH54/CI54</f>
        <v>4.9246453900709225E-2</v>
      </c>
      <c r="CL54" s="523">
        <f t="shared" ref="CL54:CL59" ca="1" si="74">ROUND(CK54*10000,0)</f>
        <v>492</v>
      </c>
      <c r="CN54" s="618">
        <v>2</v>
      </c>
      <c r="CO54" s="621" t="s">
        <v>2252</v>
      </c>
      <c r="CP54" s="616" t="s">
        <v>2200</v>
      </c>
      <c r="CQ54" s="617">
        <f>VLOOKUP(LEFT(CO54,2)&amp;CP54,道具价值!$B$28:$C$30,2,FALSE)</f>
        <v>13.5</v>
      </c>
      <c r="CR54" s="617">
        <v>1</v>
      </c>
      <c r="CS54" s="617">
        <v>5.5E-2</v>
      </c>
      <c r="CT54" s="170">
        <f t="shared" si="45"/>
        <v>5.5E-2</v>
      </c>
      <c r="CU54" s="617">
        <f t="shared" si="42"/>
        <v>550</v>
      </c>
      <c r="CW54" s="618">
        <v>5</v>
      </c>
      <c r="CX54" s="621" t="s">
        <v>618</v>
      </c>
      <c r="CY54" s="618" t="s">
        <v>1211</v>
      </c>
      <c r="CZ54" s="617">
        <f t="shared" ref="CZ54:CZ56" ca="1" si="75">IF(CY54="部件",VLOOKUP(CW54,INDIRECT(CY54&amp;"价值"),MATCH(LEFT(CX54,2)&amp;"部件",INDIRECT(CY54&amp;"价值标头"),0),FALSE),IF(CY54="加速道具",VLOOKUP(CX54,INDIRECT(CY54&amp;"价值"),MATCH("价格",INDIRECT(CY54&amp;"价值标头"),0),FALSE),VLOOKUP(CW54,INDIRECT(CY54&amp;"价值"),MATCH(CX54,INDIRECT(CY54&amp;"价值标头"),0),FALSE)))</f>
        <v>60</v>
      </c>
      <c r="DA54" s="617">
        <v>3</v>
      </c>
      <c r="DB54" s="617">
        <v>0.33329999999999999</v>
      </c>
      <c r="DC54" s="617">
        <v>0.33329999999999999</v>
      </c>
      <c r="DD54" s="617">
        <f t="shared" ref="DD54:DD56" si="76">ROUND(DC54*10000,0)</f>
        <v>3333</v>
      </c>
    </row>
    <row r="55" spans="2:109" x14ac:dyDescent="0.35">
      <c r="B55" s="273">
        <v>2</v>
      </c>
      <c r="C55" s="260" t="s">
        <v>624</v>
      </c>
      <c r="D55" s="273" t="s">
        <v>1235</v>
      </c>
      <c r="E55" s="508">
        <f t="shared" ca="1" si="46"/>
        <v>60</v>
      </c>
      <c r="F55" s="594">
        <v>4</v>
      </c>
      <c r="G55" s="508">
        <f>宝箱设定!$X84</f>
        <v>7.2999999999999995E-2</v>
      </c>
      <c r="H55" s="170">
        <f t="shared" ca="1" si="69"/>
        <v>1.7869791666666666E-2</v>
      </c>
      <c r="I55" s="256">
        <f t="shared" ca="1" si="47"/>
        <v>179</v>
      </c>
      <c r="K55" s="282">
        <v>2</v>
      </c>
      <c r="L55" s="283" t="s">
        <v>624</v>
      </c>
      <c r="M55" s="282" t="s">
        <v>1235</v>
      </c>
      <c r="N55" s="508">
        <f t="shared" ca="1" si="48"/>
        <v>60</v>
      </c>
      <c r="O55" s="594">
        <v>1.5</v>
      </c>
      <c r="P55" s="508">
        <f>宝箱设定!$X84</f>
        <v>7.2999999999999995E-2</v>
      </c>
      <c r="Q55" s="170">
        <f t="shared" ca="1" si="49"/>
        <v>3.8122222222222217E-2</v>
      </c>
      <c r="R55" s="279">
        <f t="shared" ca="1" si="50"/>
        <v>381</v>
      </c>
      <c r="T55" s="512">
        <v>2</v>
      </c>
      <c r="U55" s="516" t="s">
        <v>624</v>
      </c>
      <c r="V55" s="512" t="s">
        <v>1211</v>
      </c>
      <c r="W55" s="508">
        <f t="shared" ca="1" si="51"/>
        <v>60</v>
      </c>
      <c r="X55" s="594">
        <v>1.5</v>
      </c>
      <c r="Y55" s="508">
        <f>宝箱设定!$X84</f>
        <v>7.2999999999999995E-2</v>
      </c>
      <c r="Z55" s="170">
        <f t="shared" ca="1" si="52"/>
        <v>3.8527777777777779E-2</v>
      </c>
      <c r="AA55" s="279">
        <f t="shared" ca="1" si="53"/>
        <v>385</v>
      </c>
      <c r="AC55" s="512">
        <v>2</v>
      </c>
      <c r="AD55" s="516" t="s">
        <v>624</v>
      </c>
      <c r="AE55" s="512" t="s">
        <v>1211</v>
      </c>
      <c r="AF55" s="508">
        <f t="shared" ca="1" si="54"/>
        <v>60</v>
      </c>
      <c r="AG55" s="594">
        <v>1.5</v>
      </c>
      <c r="AH55" s="508">
        <f>宝箱设定!$X84</f>
        <v>7.2999999999999995E-2</v>
      </c>
      <c r="AI55" s="170">
        <f t="shared" ca="1" si="55"/>
        <v>5.1911111111111109E-2</v>
      </c>
      <c r="AJ55" s="279">
        <f t="shared" ca="1" si="56"/>
        <v>519</v>
      </c>
      <c r="AL55" s="512">
        <v>2</v>
      </c>
      <c r="AM55" s="516" t="s">
        <v>624</v>
      </c>
      <c r="AN55" s="512" t="s">
        <v>1211</v>
      </c>
      <c r="AO55" s="508">
        <f t="shared" ca="1" si="57"/>
        <v>60</v>
      </c>
      <c r="AP55" s="625">
        <v>3.5</v>
      </c>
      <c r="AQ55" s="508">
        <f>宝箱设定!$X84</f>
        <v>7.2999999999999995E-2</v>
      </c>
      <c r="AR55" s="170">
        <f t="shared" ca="1" si="58"/>
        <v>3.3719047619047614E-2</v>
      </c>
      <c r="AS55" s="279">
        <f t="shared" ca="1" si="59"/>
        <v>337</v>
      </c>
      <c r="AU55" s="512">
        <v>2</v>
      </c>
      <c r="AV55" s="516" t="s">
        <v>623</v>
      </c>
      <c r="AW55" s="512" t="s">
        <v>1211</v>
      </c>
      <c r="AX55" s="508">
        <f t="shared" ca="1" si="60"/>
        <v>56.4</v>
      </c>
      <c r="AY55" s="625">
        <v>5</v>
      </c>
      <c r="AZ55" s="508">
        <f>宝箱设定!$H84</f>
        <v>0.11099999999999999</v>
      </c>
      <c r="BA55" s="170">
        <f t="shared" ca="1" si="70"/>
        <v>2.5585106382978721E-2</v>
      </c>
      <c r="BB55" s="508">
        <f t="shared" ca="1" si="61"/>
        <v>256</v>
      </c>
      <c r="BD55" s="512">
        <v>2</v>
      </c>
      <c r="BE55" s="516" t="s">
        <v>623</v>
      </c>
      <c r="BF55" s="512" t="s">
        <v>1211</v>
      </c>
      <c r="BG55" s="508">
        <f t="shared" ca="1" si="62"/>
        <v>56.4</v>
      </c>
      <c r="BH55" s="632">
        <v>10</v>
      </c>
      <c r="BI55" s="508">
        <f>宝箱设定!$H84</f>
        <v>0.11099999999999999</v>
      </c>
      <c r="BJ55" s="170">
        <f t="shared" ca="1" si="63"/>
        <v>2.9029255319148933E-2</v>
      </c>
      <c r="BK55" s="379">
        <f t="shared" ca="1" si="64"/>
        <v>290</v>
      </c>
      <c r="BM55" s="512">
        <v>2</v>
      </c>
      <c r="BN55" s="527" t="s">
        <v>623</v>
      </c>
      <c r="BO55" s="525" t="s">
        <v>1211</v>
      </c>
      <c r="BP55" s="508">
        <f t="shared" ca="1" si="65"/>
        <v>56.4</v>
      </c>
      <c r="BQ55" s="632">
        <v>25</v>
      </c>
      <c r="BR55" s="523">
        <f>宝箱设定!$P84</f>
        <v>3.6999999999999998E-2</v>
      </c>
      <c r="BS55" s="170">
        <f t="shared" ca="1" si="66"/>
        <v>8.6595744680851069E-3</v>
      </c>
      <c r="BT55" s="508">
        <f t="shared" ca="1" si="67"/>
        <v>87</v>
      </c>
      <c r="BV55" s="525">
        <v>2</v>
      </c>
      <c r="BW55" s="525" t="s">
        <v>2254</v>
      </c>
      <c r="BX55" s="530" t="s">
        <v>2200</v>
      </c>
      <c r="BY55" s="523">
        <f t="shared" ca="1" si="39"/>
        <v>12.824999999999999</v>
      </c>
      <c r="BZ55" s="662">
        <v>7</v>
      </c>
      <c r="CA55" s="523">
        <v>5.5E-2</v>
      </c>
      <c r="CB55" s="170">
        <f t="shared" ca="1" si="71"/>
        <v>3.0632135895293792E-2</v>
      </c>
      <c r="CC55" s="523">
        <f t="shared" ca="1" si="72"/>
        <v>306</v>
      </c>
      <c r="CE55" s="525">
        <v>3</v>
      </c>
      <c r="CF55" s="527" t="s">
        <v>624</v>
      </c>
      <c r="CG55" s="525" t="s">
        <v>1211</v>
      </c>
      <c r="CH55" s="523">
        <f t="shared" ca="1" si="68"/>
        <v>56.4</v>
      </c>
      <c r="CI55" s="662">
        <v>2</v>
      </c>
      <c r="CJ55" s="634">
        <v>0.1111</v>
      </c>
      <c r="CK55" s="170">
        <f t="shared" ca="1" si="73"/>
        <v>4.9246453900709225E-2</v>
      </c>
      <c r="CL55" s="523">
        <f t="shared" ca="1" si="74"/>
        <v>492</v>
      </c>
      <c r="CN55" s="618">
        <v>2</v>
      </c>
      <c r="CO55" s="618" t="s">
        <v>2254</v>
      </c>
      <c r="CP55" s="616" t="s">
        <v>2200</v>
      </c>
      <c r="CQ55" s="617">
        <f>VLOOKUP(LEFT(CO55,2)&amp;CP55,道具价值!$B$28:$C$30,2,FALSE)</f>
        <v>13.5</v>
      </c>
      <c r="CR55" s="617">
        <v>1</v>
      </c>
      <c r="CS55" s="617">
        <v>5.5E-2</v>
      </c>
      <c r="CT55" s="170">
        <f t="shared" si="45"/>
        <v>5.5E-2</v>
      </c>
      <c r="CU55" s="617">
        <f t="shared" si="42"/>
        <v>550</v>
      </c>
      <c r="CW55" s="618">
        <v>5</v>
      </c>
      <c r="CX55" s="621" t="s">
        <v>627</v>
      </c>
      <c r="CY55" s="618" t="s">
        <v>1211</v>
      </c>
      <c r="CZ55" s="617">
        <f t="shared" ca="1" si="75"/>
        <v>60</v>
      </c>
      <c r="DA55" s="617">
        <v>3</v>
      </c>
      <c r="DB55" s="617">
        <v>0.33329999999999999</v>
      </c>
      <c r="DC55" s="617">
        <v>0.33329999999999999</v>
      </c>
      <c r="DD55" s="617">
        <f t="shared" si="76"/>
        <v>3333</v>
      </c>
    </row>
    <row r="56" spans="2:109" x14ac:dyDescent="0.35">
      <c r="B56" s="273">
        <v>2</v>
      </c>
      <c r="C56" s="260" t="s">
        <v>630</v>
      </c>
      <c r="D56" s="273" t="s">
        <v>1235</v>
      </c>
      <c r="E56" s="508">
        <f t="shared" ca="1" si="46"/>
        <v>60</v>
      </c>
      <c r="F56" s="594">
        <v>4</v>
      </c>
      <c r="G56" s="508">
        <f>宝箱设定!$X85</f>
        <v>7.2999999999999995E-2</v>
      </c>
      <c r="H56" s="170">
        <f t="shared" ca="1" si="69"/>
        <v>1.7869791666666666E-2</v>
      </c>
      <c r="I56" s="256">
        <f t="shared" ca="1" si="47"/>
        <v>179</v>
      </c>
      <c r="K56" s="282">
        <v>2</v>
      </c>
      <c r="L56" s="283" t="s">
        <v>630</v>
      </c>
      <c r="M56" s="282" t="s">
        <v>1235</v>
      </c>
      <c r="N56" s="508">
        <f t="shared" ca="1" si="48"/>
        <v>60</v>
      </c>
      <c r="O56" s="594">
        <v>1.5</v>
      </c>
      <c r="P56" s="508">
        <f>宝箱设定!$X85</f>
        <v>7.2999999999999995E-2</v>
      </c>
      <c r="Q56" s="170">
        <f t="shared" ca="1" si="49"/>
        <v>3.8122222222222217E-2</v>
      </c>
      <c r="R56" s="279">
        <f t="shared" ca="1" si="50"/>
        <v>381</v>
      </c>
      <c r="T56" s="512">
        <v>2</v>
      </c>
      <c r="U56" s="516" t="s">
        <v>630</v>
      </c>
      <c r="V56" s="512" t="s">
        <v>1211</v>
      </c>
      <c r="W56" s="508">
        <f t="shared" ca="1" si="51"/>
        <v>60</v>
      </c>
      <c r="X56" s="594">
        <v>1.5</v>
      </c>
      <c r="Y56" s="508">
        <f>宝箱设定!$X85</f>
        <v>7.2999999999999995E-2</v>
      </c>
      <c r="Z56" s="170">
        <f t="shared" ca="1" si="52"/>
        <v>3.8527777777777779E-2</v>
      </c>
      <c r="AA56" s="279">
        <f t="shared" ca="1" si="53"/>
        <v>385</v>
      </c>
      <c r="AC56" s="512">
        <v>2</v>
      </c>
      <c r="AD56" s="516" t="s">
        <v>630</v>
      </c>
      <c r="AE56" s="512" t="s">
        <v>1211</v>
      </c>
      <c r="AF56" s="508">
        <f t="shared" ca="1" si="54"/>
        <v>60</v>
      </c>
      <c r="AG56" s="594">
        <v>1.5</v>
      </c>
      <c r="AH56" s="508">
        <f>宝箱设定!$X85</f>
        <v>7.2999999999999995E-2</v>
      </c>
      <c r="AI56" s="170">
        <f t="shared" ca="1" si="55"/>
        <v>5.1911111111111109E-2</v>
      </c>
      <c r="AJ56" s="279">
        <f t="shared" ca="1" si="56"/>
        <v>519</v>
      </c>
      <c r="AL56" s="512">
        <v>2</v>
      </c>
      <c r="AM56" s="516" t="s">
        <v>630</v>
      </c>
      <c r="AN56" s="512" t="s">
        <v>1211</v>
      </c>
      <c r="AO56" s="508">
        <f t="shared" ca="1" si="57"/>
        <v>60</v>
      </c>
      <c r="AP56" s="625">
        <v>3.5</v>
      </c>
      <c r="AQ56" s="508">
        <f>宝箱设定!$X85</f>
        <v>7.2999999999999995E-2</v>
      </c>
      <c r="AR56" s="170">
        <f t="shared" ca="1" si="58"/>
        <v>3.3719047619047614E-2</v>
      </c>
      <c r="AS56" s="279">
        <f t="shared" ca="1" si="59"/>
        <v>337</v>
      </c>
      <c r="AU56" s="512">
        <v>2</v>
      </c>
      <c r="AV56" s="516" t="s">
        <v>721</v>
      </c>
      <c r="AW56" s="512" t="s">
        <v>1211</v>
      </c>
      <c r="AX56" s="508">
        <f t="shared" ca="1" si="60"/>
        <v>56.4</v>
      </c>
      <c r="AY56" s="625">
        <v>5</v>
      </c>
      <c r="AZ56" s="508">
        <f>宝箱设定!$H85</f>
        <v>0.11099999999999999</v>
      </c>
      <c r="BA56" s="170">
        <f t="shared" ca="1" si="70"/>
        <v>2.5585106382978721E-2</v>
      </c>
      <c r="BB56" s="508">
        <f t="shared" ca="1" si="61"/>
        <v>256</v>
      </c>
      <c r="BD56" s="512">
        <v>2</v>
      </c>
      <c r="BE56" s="516" t="s">
        <v>721</v>
      </c>
      <c r="BF56" s="512" t="s">
        <v>1211</v>
      </c>
      <c r="BG56" s="508">
        <f t="shared" ca="1" si="62"/>
        <v>56.4</v>
      </c>
      <c r="BH56" s="632">
        <v>10</v>
      </c>
      <c r="BI56" s="508">
        <f>宝箱设定!$H85</f>
        <v>0.11099999999999999</v>
      </c>
      <c r="BJ56" s="170">
        <f t="shared" ca="1" si="63"/>
        <v>2.9029255319148933E-2</v>
      </c>
      <c r="BK56" s="379">
        <f t="shared" ca="1" si="64"/>
        <v>290</v>
      </c>
      <c r="BM56" s="512">
        <v>2</v>
      </c>
      <c r="BN56" s="527" t="s">
        <v>721</v>
      </c>
      <c r="BO56" s="525" t="s">
        <v>1211</v>
      </c>
      <c r="BP56" s="508">
        <f t="shared" ca="1" si="65"/>
        <v>56.4</v>
      </c>
      <c r="BQ56" s="632">
        <v>25</v>
      </c>
      <c r="BR56" s="523">
        <f>宝箱设定!$P85</f>
        <v>3.6999999999999998E-2</v>
      </c>
      <c r="BS56" s="170">
        <f t="shared" ca="1" si="66"/>
        <v>8.6595744680851069E-3</v>
      </c>
      <c r="BT56" s="508">
        <f t="shared" ca="1" si="67"/>
        <v>87</v>
      </c>
      <c r="BV56" s="525">
        <v>2</v>
      </c>
      <c r="BW56" s="525" t="s">
        <v>2256</v>
      </c>
      <c r="BX56" s="530" t="s">
        <v>2200</v>
      </c>
      <c r="BY56" s="523">
        <f t="shared" ca="1" si="39"/>
        <v>12.824999999999999</v>
      </c>
      <c r="BZ56" s="662">
        <v>7</v>
      </c>
      <c r="CA56" s="523">
        <v>5.6000000000000001E-2</v>
      </c>
      <c r="CB56" s="170">
        <f t="shared" ca="1" si="71"/>
        <v>3.1189083820662773E-2</v>
      </c>
      <c r="CC56" s="523">
        <f t="shared" ca="1" si="72"/>
        <v>312</v>
      </c>
      <c r="CE56" s="525">
        <v>3</v>
      </c>
      <c r="CF56" s="527" t="s">
        <v>630</v>
      </c>
      <c r="CG56" s="525" t="s">
        <v>1211</v>
      </c>
      <c r="CH56" s="523">
        <f t="shared" ca="1" si="68"/>
        <v>56.4</v>
      </c>
      <c r="CI56" s="662">
        <v>2</v>
      </c>
      <c r="CJ56" s="634">
        <v>0.1111</v>
      </c>
      <c r="CK56" s="170">
        <f t="shared" ca="1" si="73"/>
        <v>4.9246453900709225E-2</v>
      </c>
      <c r="CL56" s="523">
        <f t="shared" ca="1" si="74"/>
        <v>492</v>
      </c>
      <c r="CN56" s="618">
        <v>2</v>
      </c>
      <c r="CO56" s="618" t="s">
        <v>2256</v>
      </c>
      <c r="CP56" s="616" t="s">
        <v>2200</v>
      </c>
      <c r="CQ56" s="617">
        <f>VLOOKUP(LEFT(CO56,2)&amp;CP56,道具价值!$B$28:$C$30,2,FALSE)</f>
        <v>13.5</v>
      </c>
      <c r="CR56" s="617">
        <v>1</v>
      </c>
      <c r="CS56" s="617">
        <v>5.6000000000000001E-2</v>
      </c>
      <c r="CT56" s="170">
        <f t="shared" si="45"/>
        <v>5.6000000000000001E-2</v>
      </c>
      <c r="CU56" s="617">
        <f t="shared" si="42"/>
        <v>560</v>
      </c>
      <c r="CW56" s="618">
        <v>5</v>
      </c>
      <c r="CX56" s="621" t="s">
        <v>628</v>
      </c>
      <c r="CY56" s="618" t="s">
        <v>1211</v>
      </c>
      <c r="CZ56" s="617">
        <f t="shared" ca="1" si="75"/>
        <v>60</v>
      </c>
      <c r="DA56" s="617">
        <v>3</v>
      </c>
      <c r="DB56" s="617">
        <v>0.33339999999999997</v>
      </c>
      <c r="DC56" s="617">
        <v>0.33339999999999997</v>
      </c>
      <c r="DD56" s="617">
        <f t="shared" si="76"/>
        <v>3334</v>
      </c>
    </row>
    <row r="57" spans="2:109" x14ac:dyDescent="0.35">
      <c r="B57" s="512">
        <v>2</v>
      </c>
      <c r="C57" s="516" t="s">
        <v>2239</v>
      </c>
      <c r="D57" s="529" t="s">
        <v>2452</v>
      </c>
      <c r="E57" s="508">
        <f t="shared" ca="1" si="46"/>
        <v>12.824999999999999</v>
      </c>
      <c r="F57" s="523">
        <v>2</v>
      </c>
      <c r="G57" s="508">
        <v>1.9E-2</v>
      </c>
      <c r="H57" s="170">
        <f t="shared" ca="1" si="69"/>
        <v>4.3518518518518519E-2</v>
      </c>
      <c r="I57" s="508">
        <f t="shared" ca="1" si="47"/>
        <v>435</v>
      </c>
      <c r="K57" s="512">
        <v>2</v>
      </c>
      <c r="L57" s="516" t="s">
        <v>2239</v>
      </c>
      <c r="M57" s="529" t="s">
        <v>2452</v>
      </c>
      <c r="N57" s="508">
        <f t="shared" ca="1" si="48"/>
        <v>12.824999999999999</v>
      </c>
      <c r="O57" s="565">
        <v>1</v>
      </c>
      <c r="P57" s="594">
        <v>1.9E-2</v>
      </c>
      <c r="Q57" s="170">
        <f t="shared" ref="Q57:Q72" ca="1" si="77">P57*L$4/N57/O57</f>
        <v>6.9629629629629639E-2</v>
      </c>
      <c r="R57" s="508">
        <f t="shared" ref="R57:R72" ca="1" si="78">ROUND(Q57*10000,0)</f>
        <v>696</v>
      </c>
      <c r="T57" s="512">
        <v>2</v>
      </c>
      <c r="U57" s="516" t="s">
        <v>2239</v>
      </c>
      <c r="V57" s="529" t="s">
        <v>2452</v>
      </c>
      <c r="W57" s="508">
        <f t="shared" ca="1" si="51"/>
        <v>12.824999999999999</v>
      </c>
      <c r="X57" s="594">
        <v>1</v>
      </c>
      <c r="Y57" s="594">
        <v>1.9E-2</v>
      </c>
      <c r="Z57" s="170">
        <f t="shared" ref="Z57:Z72" ca="1" si="79">Y57*U$4/W57/X57</f>
        <v>7.0370370370370375E-2</v>
      </c>
      <c r="AA57" s="508">
        <f t="shared" ref="AA57:AA72" ca="1" si="80">ROUND(Z57*10000,0)</f>
        <v>704</v>
      </c>
      <c r="AC57" s="512">
        <v>2</v>
      </c>
      <c r="AD57" s="516" t="s">
        <v>2239</v>
      </c>
      <c r="AE57" s="529" t="s">
        <v>2452</v>
      </c>
      <c r="AF57" s="508">
        <f t="shared" ca="1" si="54"/>
        <v>12.824999999999999</v>
      </c>
      <c r="AG57" s="508">
        <v>1.5</v>
      </c>
      <c r="AH57" s="508">
        <v>1.7000000000000001E-2</v>
      </c>
      <c r="AI57" s="170">
        <f t="shared" ref="AI57:AI73" ca="1" si="81">AH57*AD$4/AF57/AG57</f>
        <v>5.6556205328135156E-2</v>
      </c>
      <c r="AJ57" s="508">
        <f t="shared" ref="AJ57:AJ73" ca="1" si="82">ROUND(AI57*10000,0)</f>
        <v>566</v>
      </c>
      <c r="AL57" s="512">
        <v>2</v>
      </c>
      <c r="AM57" s="516" t="s">
        <v>2239</v>
      </c>
      <c r="AN57" s="529" t="s">
        <v>2452</v>
      </c>
      <c r="AO57" s="508">
        <f t="shared" ca="1" si="57"/>
        <v>12.824999999999999</v>
      </c>
      <c r="AP57" s="508">
        <v>2</v>
      </c>
      <c r="AQ57" s="508">
        <v>1.7000000000000001E-2</v>
      </c>
      <c r="AR57" s="170">
        <f t="shared" ref="AR57:AR72" ca="1" si="83">AQ57*AM$4/AO57/AP57</f>
        <v>6.4288499025341131E-2</v>
      </c>
      <c r="AS57" s="508">
        <f t="shared" ref="AS57:AS72" ca="1" si="84">ROUND(AR57*10000,0)</f>
        <v>643</v>
      </c>
      <c r="AU57" s="512">
        <v>2</v>
      </c>
      <c r="AV57" s="516" t="s">
        <v>616</v>
      </c>
      <c r="AW57" s="512" t="s">
        <v>1211</v>
      </c>
      <c r="AX57" s="508">
        <f t="shared" ca="1" si="60"/>
        <v>60</v>
      </c>
      <c r="AY57" s="565">
        <v>3</v>
      </c>
      <c r="AZ57" s="508">
        <f>宝箱设定!$H86</f>
        <v>3.6999999999999998E-2</v>
      </c>
      <c r="BA57" s="170">
        <f t="shared" ca="1" si="70"/>
        <v>1.336111111111111E-2</v>
      </c>
      <c r="BB57" s="508">
        <f t="shared" ca="1" si="61"/>
        <v>134</v>
      </c>
      <c r="BD57" s="512">
        <v>2</v>
      </c>
      <c r="BE57" s="516" t="s">
        <v>616</v>
      </c>
      <c r="BF57" s="512" t="s">
        <v>1211</v>
      </c>
      <c r="BG57" s="508">
        <f t="shared" ca="1" si="62"/>
        <v>60</v>
      </c>
      <c r="BH57" s="508">
        <v>5</v>
      </c>
      <c r="BI57" s="508">
        <f>宝箱设定!$H86</f>
        <v>3.6999999999999998E-2</v>
      </c>
      <c r="BJ57" s="170">
        <f t="shared" ref="BJ57:BJ72" ca="1" si="85">BI57*BE$4/BG57/BH57</f>
        <v>1.8191666666666665E-2</v>
      </c>
      <c r="BK57" s="508">
        <f t="shared" ref="BK57:BK72" ca="1" si="86">ROUND(BJ57*10000,0)</f>
        <v>182</v>
      </c>
      <c r="BM57" s="512">
        <v>2</v>
      </c>
      <c r="BN57" s="527" t="s">
        <v>616</v>
      </c>
      <c r="BO57" s="525" t="s">
        <v>1211</v>
      </c>
      <c r="BP57" s="508">
        <f t="shared" ca="1" si="65"/>
        <v>60</v>
      </c>
      <c r="BQ57" s="508">
        <v>10</v>
      </c>
      <c r="BR57" s="523">
        <f>宝箱设定!$P86</f>
        <v>3.6999999999999998E-2</v>
      </c>
      <c r="BS57" s="170">
        <f t="shared" ref="BS57:BS72" ca="1" si="87">BR57*BN$4/BP57/BQ57</f>
        <v>2.035E-2</v>
      </c>
      <c r="BT57" s="523">
        <f t="shared" ref="BT57:BT72" ca="1" si="88">ROUND(BS57*10000,0)</f>
        <v>204</v>
      </c>
      <c r="BV57" s="525">
        <v>2</v>
      </c>
      <c r="BW57" s="527" t="s">
        <v>2241</v>
      </c>
      <c r="BX57" s="530" t="s">
        <v>2200</v>
      </c>
      <c r="BY57" s="523">
        <f t="shared" ca="1" si="39"/>
        <v>12.824999999999999</v>
      </c>
      <c r="BZ57" s="662">
        <v>7</v>
      </c>
      <c r="CA57" s="523">
        <v>5.6000000000000001E-2</v>
      </c>
      <c r="CB57" s="170">
        <f t="shared" ca="1" si="71"/>
        <v>3.1189083820662773E-2</v>
      </c>
      <c r="CC57" s="523">
        <f t="shared" ca="1" si="72"/>
        <v>312</v>
      </c>
      <c r="CE57" s="525">
        <v>3</v>
      </c>
      <c r="CF57" s="527" t="s">
        <v>617</v>
      </c>
      <c r="CG57" s="525" t="s">
        <v>1211</v>
      </c>
      <c r="CH57" s="523">
        <f t="shared" ca="1" si="68"/>
        <v>85</v>
      </c>
      <c r="CI57" s="508">
        <v>1</v>
      </c>
      <c r="CJ57" s="523">
        <v>8.1100000000000005E-2</v>
      </c>
      <c r="CK57" s="170">
        <f t="shared" ca="1" si="73"/>
        <v>4.7705882352941181E-2</v>
      </c>
      <c r="CL57" s="523">
        <f t="shared" ca="1" si="74"/>
        <v>477</v>
      </c>
      <c r="CN57" s="618">
        <v>2</v>
      </c>
      <c r="CO57" s="621" t="s">
        <v>2241</v>
      </c>
      <c r="CP57" s="616" t="s">
        <v>2200</v>
      </c>
      <c r="CQ57" s="617">
        <f>VLOOKUP(LEFT(CO57,2)&amp;CP57,道具价值!$B$28:$C$30,2,FALSE)</f>
        <v>13.5</v>
      </c>
      <c r="CR57" s="617">
        <v>1</v>
      </c>
      <c r="CS57" s="617">
        <v>5.6000000000000001E-2</v>
      </c>
      <c r="CT57" s="170">
        <f t="shared" si="45"/>
        <v>5.6000000000000001E-2</v>
      </c>
      <c r="CU57" s="617">
        <f t="shared" si="42"/>
        <v>560</v>
      </c>
    </row>
    <row r="58" spans="2:109" x14ac:dyDescent="0.35">
      <c r="B58" s="512">
        <v>2</v>
      </c>
      <c r="C58" s="516" t="s">
        <v>2242</v>
      </c>
      <c r="D58" s="529" t="s">
        <v>2452</v>
      </c>
      <c r="E58" s="508">
        <f t="shared" ca="1" si="46"/>
        <v>12.824999999999999</v>
      </c>
      <c r="F58" s="565">
        <v>2</v>
      </c>
      <c r="G58" s="594">
        <v>1.9E-2</v>
      </c>
      <c r="H58" s="170">
        <f t="shared" ca="1" si="69"/>
        <v>4.3518518518518519E-2</v>
      </c>
      <c r="I58" s="508">
        <f t="shared" ca="1" si="47"/>
        <v>435</v>
      </c>
      <c r="K58" s="512">
        <v>2</v>
      </c>
      <c r="L58" s="516" t="s">
        <v>2242</v>
      </c>
      <c r="M58" s="529" t="s">
        <v>2452</v>
      </c>
      <c r="N58" s="508">
        <f t="shared" ca="1" si="48"/>
        <v>12.824999999999999</v>
      </c>
      <c r="O58" s="565">
        <v>1</v>
      </c>
      <c r="P58" s="594">
        <v>1.9E-2</v>
      </c>
      <c r="Q58" s="170">
        <f t="shared" ca="1" si="77"/>
        <v>6.9629629629629639E-2</v>
      </c>
      <c r="R58" s="508">
        <f t="shared" ca="1" si="78"/>
        <v>696</v>
      </c>
      <c r="T58" s="512">
        <v>2</v>
      </c>
      <c r="U58" s="516" t="s">
        <v>2242</v>
      </c>
      <c r="V58" s="529" t="s">
        <v>2452</v>
      </c>
      <c r="W58" s="508">
        <f t="shared" ca="1" si="51"/>
        <v>12.824999999999999</v>
      </c>
      <c r="X58" s="594">
        <v>1</v>
      </c>
      <c r="Y58" s="594">
        <v>1.9E-2</v>
      </c>
      <c r="Z58" s="170">
        <f t="shared" ca="1" si="79"/>
        <v>7.0370370370370375E-2</v>
      </c>
      <c r="AA58" s="508">
        <f t="shared" ca="1" si="80"/>
        <v>704</v>
      </c>
      <c r="AC58" s="512">
        <v>2</v>
      </c>
      <c r="AD58" s="516" t="s">
        <v>2242</v>
      </c>
      <c r="AE58" s="529" t="s">
        <v>2452</v>
      </c>
      <c r="AF58" s="508">
        <f t="shared" ca="1" si="54"/>
        <v>12.824999999999999</v>
      </c>
      <c r="AG58" s="594">
        <v>1.5</v>
      </c>
      <c r="AH58" s="508">
        <v>1.7000000000000001E-2</v>
      </c>
      <c r="AI58" s="170">
        <f t="shared" ca="1" si="81"/>
        <v>5.6556205328135156E-2</v>
      </c>
      <c r="AJ58" s="508">
        <f t="shared" ca="1" si="82"/>
        <v>566</v>
      </c>
      <c r="AL58" s="512">
        <v>2</v>
      </c>
      <c r="AM58" s="516" t="s">
        <v>2242</v>
      </c>
      <c r="AN58" s="529" t="s">
        <v>2452</v>
      </c>
      <c r="AO58" s="508">
        <f t="shared" ca="1" si="57"/>
        <v>12.824999999999999</v>
      </c>
      <c r="AP58" s="594">
        <v>2</v>
      </c>
      <c r="AQ58" s="594">
        <v>1.7000000000000001E-2</v>
      </c>
      <c r="AR58" s="170">
        <f t="shared" ca="1" si="83"/>
        <v>6.4288499025341131E-2</v>
      </c>
      <c r="AS58" s="508">
        <f t="shared" ca="1" si="84"/>
        <v>643</v>
      </c>
      <c r="AU58" s="512">
        <v>2</v>
      </c>
      <c r="AV58" s="516" t="s">
        <v>624</v>
      </c>
      <c r="AW58" s="512" t="s">
        <v>1211</v>
      </c>
      <c r="AX58" s="508">
        <f t="shared" ca="1" si="60"/>
        <v>60</v>
      </c>
      <c r="AY58" s="625">
        <v>3</v>
      </c>
      <c r="AZ58" s="508">
        <f>宝箱设定!$H87</f>
        <v>3.6999999999999998E-2</v>
      </c>
      <c r="BA58" s="170">
        <f t="shared" ca="1" si="70"/>
        <v>1.336111111111111E-2</v>
      </c>
      <c r="BB58" s="508">
        <f t="shared" ca="1" si="61"/>
        <v>134</v>
      </c>
      <c r="BD58" s="512">
        <v>2</v>
      </c>
      <c r="BE58" s="516" t="s">
        <v>624</v>
      </c>
      <c r="BF58" s="512" t="s">
        <v>1211</v>
      </c>
      <c r="BG58" s="508">
        <f t="shared" ca="1" si="62"/>
        <v>60</v>
      </c>
      <c r="BH58" s="632">
        <v>5</v>
      </c>
      <c r="BI58" s="508">
        <f>宝箱设定!$H87</f>
        <v>3.6999999999999998E-2</v>
      </c>
      <c r="BJ58" s="170">
        <f t="shared" ca="1" si="85"/>
        <v>1.8191666666666665E-2</v>
      </c>
      <c r="BK58" s="508">
        <f t="shared" ca="1" si="86"/>
        <v>182</v>
      </c>
      <c r="BM58" s="512">
        <v>2</v>
      </c>
      <c r="BN58" s="527" t="s">
        <v>624</v>
      </c>
      <c r="BO58" s="525" t="s">
        <v>1211</v>
      </c>
      <c r="BP58" s="508">
        <f t="shared" ca="1" si="65"/>
        <v>60</v>
      </c>
      <c r="BQ58" s="605">
        <v>10</v>
      </c>
      <c r="BR58" s="523">
        <f>宝箱设定!$P87</f>
        <v>3.6999999999999998E-2</v>
      </c>
      <c r="BS58" s="170">
        <f t="shared" ca="1" si="87"/>
        <v>2.035E-2</v>
      </c>
      <c r="BT58" s="523">
        <f t="shared" ca="1" si="88"/>
        <v>204</v>
      </c>
      <c r="BV58" s="525">
        <v>2</v>
      </c>
      <c r="BW58" s="527" t="s">
        <v>2243</v>
      </c>
      <c r="BX58" s="530" t="s">
        <v>2200</v>
      </c>
      <c r="BY58" s="523">
        <f t="shared" ca="1" si="39"/>
        <v>12.824999999999999</v>
      </c>
      <c r="BZ58" s="662">
        <v>7</v>
      </c>
      <c r="CA58" s="523">
        <v>5.6000000000000001E-2</v>
      </c>
      <c r="CB58" s="170">
        <f t="shared" ca="1" si="71"/>
        <v>3.1189083820662773E-2</v>
      </c>
      <c r="CC58" s="523">
        <f t="shared" ca="1" si="72"/>
        <v>312</v>
      </c>
      <c r="CE58" s="525">
        <v>3</v>
      </c>
      <c r="CF58" s="527" t="s">
        <v>626</v>
      </c>
      <c r="CG58" s="525" t="s">
        <v>1211</v>
      </c>
      <c r="CH58" s="523">
        <f t="shared" ca="1" si="68"/>
        <v>85</v>
      </c>
      <c r="CI58" s="523">
        <v>1</v>
      </c>
      <c r="CJ58" s="634">
        <v>8.1100000000000005E-2</v>
      </c>
      <c r="CK58" s="170">
        <f t="shared" ca="1" si="73"/>
        <v>4.7705882352941181E-2</v>
      </c>
      <c r="CL58" s="523">
        <f t="shared" ca="1" si="74"/>
        <v>477</v>
      </c>
      <c r="CN58" s="618">
        <v>2</v>
      </c>
      <c r="CO58" s="621" t="s">
        <v>2243</v>
      </c>
      <c r="CP58" s="616" t="s">
        <v>2200</v>
      </c>
      <c r="CQ58" s="617">
        <f>VLOOKUP(LEFT(CO58,2)&amp;CP58,道具价值!$B$28:$C$30,2,FALSE)</f>
        <v>13.5</v>
      </c>
      <c r="CR58" s="617">
        <v>1</v>
      </c>
      <c r="CS58" s="617">
        <v>5.6000000000000001E-2</v>
      </c>
      <c r="CT58" s="170">
        <f t="shared" si="45"/>
        <v>5.6000000000000001E-2</v>
      </c>
      <c r="CU58" s="617">
        <f t="shared" si="42"/>
        <v>560</v>
      </c>
    </row>
    <row r="59" spans="2:109" x14ac:dyDescent="0.35">
      <c r="B59" s="512">
        <v>2</v>
      </c>
      <c r="C59" s="516" t="s">
        <v>2244</v>
      </c>
      <c r="D59" s="529" t="s">
        <v>2452</v>
      </c>
      <c r="E59" s="508">
        <f t="shared" ca="1" si="46"/>
        <v>12.824999999999999</v>
      </c>
      <c r="F59" s="565">
        <v>2</v>
      </c>
      <c r="G59" s="594">
        <v>1.9E-2</v>
      </c>
      <c r="H59" s="170">
        <f t="shared" ca="1" si="69"/>
        <v>4.3518518518518519E-2</v>
      </c>
      <c r="I59" s="508">
        <f t="shared" ca="1" si="47"/>
        <v>435</v>
      </c>
      <c r="K59" s="512">
        <v>2</v>
      </c>
      <c r="L59" s="516" t="s">
        <v>2244</v>
      </c>
      <c r="M59" s="529" t="s">
        <v>2452</v>
      </c>
      <c r="N59" s="508">
        <f t="shared" ca="1" si="48"/>
        <v>12.824999999999999</v>
      </c>
      <c r="O59" s="565">
        <v>1</v>
      </c>
      <c r="P59" s="594">
        <v>1.9E-2</v>
      </c>
      <c r="Q59" s="170">
        <f t="shared" ca="1" si="77"/>
        <v>6.9629629629629639E-2</v>
      </c>
      <c r="R59" s="508">
        <f t="shared" ca="1" si="78"/>
        <v>696</v>
      </c>
      <c r="T59" s="512">
        <v>2</v>
      </c>
      <c r="U59" s="516" t="s">
        <v>2244</v>
      </c>
      <c r="V59" s="529" t="s">
        <v>2452</v>
      </c>
      <c r="W59" s="508">
        <f t="shared" ca="1" si="51"/>
        <v>12.824999999999999</v>
      </c>
      <c r="X59" s="594">
        <v>1</v>
      </c>
      <c r="Y59" s="594">
        <v>1.9E-2</v>
      </c>
      <c r="Z59" s="170">
        <f t="shared" ca="1" si="79"/>
        <v>7.0370370370370375E-2</v>
      </c>
      <c r="AA59" s="508">
        <f t="shared" ca="1" si="80"/>
        <v>704</v>
      </c>
      <c r="AC59" s="512">
        <v>2</v>
      </c>
      <c r="AD59" s="516" t="s">
        <v>2244</v>
      </c>
      <c r="AE59" s="529" t="s">
        <v>2452</v>
      </c>
      <c r="AF59" s="508">
        <f t="shared" ca="1" si="54"/>
        <v>12.824999999999999</v>
      </c>
      <c r="AG59" s="594">
        <v>1.5</v>
      </c>
      <c r="AH59" s="508">
        <v>1.7000000000000001E-2</v>
      </c>
      <c r="AI59" s="170">
        <f t="shared" ca="1" si="81"/>
        <v>5.6556205328135156E-2</v>
      </c>
      <c r="AJ59" s="508">
        <f t="shared" ca="1" si="82"/>
        <v>566</v>
      </c>
      <c r="AL59" s="512">
        <v>2</v>
      </c>
      <c r="AM59" s="516" t="s">
        <v>2244</v>
      </c>
      <c r="AN59" s="529" t="s">
        <v>2452</v>
      </c>
      <c r="AO59" s="508">
        <f t="shared" ca="1" si="57"/>
        <v>12.824999999999999</v>
      </c>
      <c r="AP59" s="594">
        <v>2</v>
      </c>
      <c r="AQ59" s="594">
        <v>1.7000000000000001E-2</v>
      </c>
      <c r="AR59" s="170">
        <f t="shared" ca="1" si="83"/>
        <v>6.4288499025341131E-2</v>
      </c>
      <c r="AS59" s="508">
        <f t="shared" ca="1" si="84"/>
        <v>643</v>
      </c>
      <c r="AU59" s="512">
        <v>2</v>
      </c>
      <c r="AV59" s="516" t="s">
        <v>630</v>
      </c>
      <c r="AW59" s="512" t="s">
        <v>1211</v>
      </c>
      <c r="AX59" s="508">
        <f t="shared" ca="1" si="60"/>
        <v>60</v>
      </c>
      <c r="AY59" s="625">
        <v>3</v>
      </c>
      <c r="AZ59" s="508">
        <f>宝箱设定!$H88</f>
        <v>3.6999999999999998E-2</v>
      </c>
      <c r="BA59" s="170">
        <f t="shared" ca="1" si="70"/>
        <v>1.336111111111111E-2</v>
      </c>
      <c r="BB59" s="508">
        <f t="shared" ca="1" si="61"/>
        <v>134</v>
      </c>
      <c r="BD59" s="512">
        <v>2</v>
      </c>
      <c r="BE59" s="516" t="s">
        <v>630</v>
      </c>
      <c r="BF59" s="512" t="s">
        <v>1211</v>
      </c>
      <c r="BG59" s="508">
        <f t="shared" ca="1" si="62"/>
        <v>60</v>
      </c>
      <c r="BH59" s="632">
        <v>5</v>
      </c>
      <c r="BI59" s="508">
        <f>宝箱设定!$H88</f>
        <v>3.6999999999999998E-2</v>
      </c>
      <c r="BJ59" s="170">
        <f t="shared" ca="1" si="85"/>
        <v>1.8191666666666665E-2</v>
      </c>
      <c r="BK59" s="508">
        <f t="shared" ca="1" si="86"/>
        <v>182</v>
      </c>
      <c r="BM59" s="512">
        <v>2</v>
      </c>
      <c r="BN59" s="527" t="s">
        <v>630</v>
      </c>
      <c r="BO59" s="525" t="s">
        <v>1211</v>
      </c>
      <c r="BP59" s="508">
        <f t="shared" ca="1" si="65"/>
        <v>60</v>
      </c>
      <c r="BQ59" s="605">
        <v>10</v>
      </c>
      <c r="BR59" s="523">
        <f>宝箱设定!$P88</f>
        <v>3.6999999999999998E-2</v>
      </c>
      <c r="BS59" s="170">
        <f t="shared" ca="1" si="87"/>
        <v>2.035E-2</v>
      </c>
      <c r="BT59" s="523">
        <f t="shared" ca="1" si="88"/>
        <v>204</v>
      </c>
      <c r="BV59" s="525">
        <v>2</v>
      </c>
      <c r="BW59" s="527" t="s">
        <v>2245</v>
      </c>
      <c r="BX59" s="530" t="s">
        <v>2200</v>
      </c>
      <c r="BY59" s="523">
        <f t="shared" ca="1" si="39"/>
        <v>12.824999999999999</v>
      </c>
      <c r="BZ59" s="662">
        <v>7</v>
      </c>
      <c r="CA59" s="523">
        <v>5.6000000000000001E-2</v>
      </c>
      <c r="CB59" s="170">
        <f t="shared" ca="1" si="71"/>
        <v>3.1189083820662773E-2</v>
      </c>
      <c r="CC59" s="523">
        <f t="shared" ca="1" si="72"/>
        <v>312</v>
      </c>
      <c r="CE59" s="525">
        <v>3</v>
      </c>
      <c r="CF59" s="527" t="s">
        <v>631</v>
      </c>
      <c r="CG59" s="525" t="s">
        <v>1211</v>
      </c>
      <c r="CH59" s="523">
        <f t="shared" ca="1" si="68"/>
        <v>85</v>
      </c>
      <c r="CI59" s="523">
        <v>1</v>
      </c>
      <c r="CJ59" s="634">
        <v>8.1100000000000005E-2</v>
      </c>
      <c r="CK59" s="170">
        <f t="shared" ca="1" si="73"/>
        <v>4.7705882352941181E-2</v>
      </c>
      <c r="CL59" s="523">
        <f t="shared" ca="1" si="74"/>
        <v>477</v>
      </c>
      <c r="CN59" s="618">
        <v>2</v>
      </c>
      <c r="CO59" s="621" t="s">
        <v>2245</v>
      </c>
      <c r="CP59" s="616" t="s">
        <v>2200</v>
      </c>
      <c r="CQ59" s="617">
        <f>VLOOKUP(LEFT(CO59,2)&amp;CP59,道具价值!$B$28:$C$30,2,FALSE)</f>
        <v>13.5</v>
      </c>
      <c r="CR59" s="617">
        <v>1</v>
      </c>
      <c r="CS59" s="617">
        <v>5.6000000000000001E-2</v>
      </c>
      <c r="CT59" s="170">
        <f t="shared" si="45"/>
        <v>5.6000000000000001E-2</v>
      </c>
      <c r="CU59" s="617">
        <f t="shared" si="42"/>
        <v>560</v>
      </c>
      <c r="CW59" s="618" t="s">
        <v>597</v>
      </c>
      <c r="CX59" s="618" t="s">
        <v>1225</v>
      </c>
      <c r="CY59" s="619" t="s">
        <v>917</v>
      </c>
      <c r="CZ59" s="166" t="s">
        <v>920</v>
      </c>
      <c r="DA59" s="622" t="s">
        <v>967</v>
      </c>
      <c r="DB59" s="166" t="s">
        <v>854</v>
      </c>
      <c r="DC59" s="166" t="s">
        <v>926</v>
      </c>
      <c r="DD59" s="620" t="s">
        <v>927</v>
      </c>
      <c r="DE59" s="300">
        <f>SUM(DD60:DD62)</f>
        <v>10000</v>
      </c>
    </row>
    <row r="60" spans="2:109" x14ac:dyDescent="0.35">
      <c r="B60" s="512">
        <v>2</v>
      </c>
      <c r="C60" s="516" t="s">
        <v>2246</v>
      </c>
      <c r="D60" s="529" t="s">
        <v>2452</v>
      </c>
      <c r="E60" s="508">
        <f t="shared" ca="1" si="46"/>
        <v>12.824999999999999</v>
      </c>
      <c r="F60" s="565">
        <v>2</v>
      </c>
      <c r="G60" s="594">
        <v>1.9E-2</v>
      </c>
      <c r="H60" s="170">
        <f t="shared" ca="1" si="69"/>
        <v>4.3518518518518519E-2</v>
      </c>
      <c r="I60" s="508">
        <f t="shared" ca="1" si="47"/>
        <v>435</v>
      </c>
      <c r="K60" s="512">
        <v>2</v>
      </c>
      <c r="L60" s="516" t="s">
        <v>2246</v>
      </c>
      <c r="M60" s="529" t="s">
        <v>2452</v>
      </c>
      <c r="N60" s="508">
        <f t="shared" ca="1" si="48"/>
        <v>12.824999999999999</v>
      </c>
      <c r="O60" s="565">
        <v>1</v>
      </c>
      <c r="P60" s="594">
        <v>1.9E-2</v>
      </c>
      <c r="Q60" s="170">
        <f t="shared" ca="1" si="77"/>
        <v>6.9629629629629639E-2</v>
      </c>
      <c r="R60" s="508">
        <f t="shared" ca="1" si="78"/>
        <v>696</v>
      </c>
      <c r="T60" s="512">
        <v>2</v>
      </c>
      <c r="U60" s="516" t="s">
        <v>2246</v>
      </c>
      <c r="V60" s="529" t="s">
        <v>2452</v>
      </c>
      <c r="W60" s="508">
        <f t="shared" ca="1" si="51"/>
        <v>12.824999999999999</v>
      </c>
      <c r="X60" s="594">
        <v>1</v>
      </c>
      <c r="Y60" s="594">
        <v>1.9E-2</v>
      </c>
      <c r="Z60" s="170">
        <f t="shared" ca="1" si="79"/>
        <v>7.0370370370370375E-2</v>
      </c>
      <c r="AA60" s="508">
        <f t="shared" ca="1" si="80"/>
        <v>704</v>
      </c>
      <c r="AC60" s="512">
        <v>2</v>
      </c>
      <c r="AD60" s="516" t="s">
        <v>2246</v>
      </c>
      <c r="AE60" s="529" t="s">
        <v>2452</v>
      </c>
      <c r="AF60" s="508">
        <f t="shared" ca="1" si="54"/>
        <v>12.824999999999999</v>
      </c>
      <c r="AG60" s="594">
        <v>1.5</v>
      </c>
      <c r="AH60" s="508">
        <v>1.7000000000000001E-2</v>
      </c>
      <c r="AI60" s="170">
        <f t="shared" ca="1" si="81"/>
        <v>5.6556205328135156E-2</v>
      </c>
      <c r="AJ60" s="508">
        <f t="shared" ca="1" si="82"/>
        <v>566</v>
      </c>
      <c r="AL60" s="512">
        <v>2</v>
      </c>
      <c r="AM60" s="516" t="s">
        <v>2246</v>
      </c>
      <c r="AN60" s="529" t="s">
        <v>2452</v>
      </c>
      <c r="AO60" s="508">
        <f t="shared" ca="1" si="57"/>
        <v>12.824999999999999</v>
      </c>
      <c r="AP60" s="594">
        <v>2</v>
      </c>
      <c r="AQ60" s="594">
        <v>1.7000000000000001E-2</v>
      </c>
      <c r="AR60" s="170">
        <f t="shared" ca="1" si="83"/>
        <v>6.4288499025341131E-2</v>
      </c>
      <c r="AS60" s="508">
        <f t="shared" ca="1" si="84"/>
        <v>643</v>
      </c>
      <c r="AU60" s="512">
        <v>2</v>
      </c>
      <c r="AV60" s="516" t="s">
        <v>2239</v>
      </c>
      <c r="AW60" s="529" t="s">
        <v>2452</v>
      </c>
      <c r="AX60" s="508">
        <f t="shared" ca="1" si="60"/>
        <v>12.824999999999999</v>
      </c>
      <c r="AY60" s="508">
        <v>1.5</v>
      </c>
      <c r="AZ60" s="508">
        <v>1.9E-2</v>
      </c>
      <c r="BA60" s="170">
        <f t="shared" ca="1" si="70"/>
        <v>6.4197530864197536E-2</v>
      </c>
      <c r="BB60" s="508">
        <f t="shared" ca="1" si="61"/>
        <v>642</v>
      </c>
      <c r="BD60" s="512">
        <v>2</v>
      </c>
      <c r="BE60" s="516" t="s">
        <v>2239</v>
      </c>
      <c r="BF60" s="529" t="s">
        <v>2452</v>
      </c>
      <c r="BG60" s="508">
        <f t="shared" ca="1" si="62"/>
        <v>12.824999999999999</v>
      </c>
      <c r="BH60" s="508">
        <v>4</v>
      </c>
      <c r="BI60" s="600">
        <v>1.9E-2</v>
      </c>
      <c r="BJ60" s="170">
        <f t="shared" ca="1" si="85"/>
        <v>5.4629629629629625E-2</v>
      </c>
      <c r="BK60" s="508">
        <f t="shared" ca="1" si="86"/>
        <v>546</v>
      </c>
      <c r="BM60" s="512">
        <v>2</v>
      </c>
      <c r="BN60" s="527" t="s">
        <v>2239</v>
      </c>
      <c r="BO60" s="530" t="s">
        <v>2200</v>
      </c>
      <c r="BP60" s="508">
        <f t="shared" ca="1" si="65"/>
        <v>12.824999999999999</v>
      </c>
      <c r="BQ60" s="508">
        <v>9.5</v>
      </c>
      <c r="BR60" s="600">
        <v>1.9E-2</v>
      </c>
      <c r="BS60" s="170">
        <f t="shared" ca="1" si="87"/>
        <v>5.1461988304093563E-2</v>
      </c>
      <c r="BT60" s="523">
        <f t="shared" ca="1" si="88"/>
        <v>515</v>
      </c>
      <c r="BV60" s="525">
        <v>2</v>
      </c>
      <c r="BW60" s="527" t="s">
        <v>2247</v>
      </c>
      <c r="BX60" s="530" t="s">
        <v>2200</v>
      </c>
      <c r="BY60" s="523">
        <f t="shared" ca="1" si="39"/>
        <v>12.824999999999999</v>
      </c>
      <c r="BZ60" s="662">
        <v>7</v>
      </c>
      <c r="CA60" s="523">
        <v>5.6000000000000001E-2</v>
      </c>
      <c r="CB60" s="170">
        <f t="shared" ca="1" si="71"/>
        <v>3.1189083820662773E-2</v>
      </c>
      <c r="CC60" s="523">
        <f t="shared" ca="1" si="72"/>
        <v>312</v>
      </c>
      <c r="CN60" s="618">
        <v>2</v>
      </c>
      <c r="CO60" s="621" t="s">
        <v>2247</v>
      </c>
      <c r="CP60" s="616" t="s">
        <v>2200</v>
      </c>
      <c r="CQ60" s="617">
        <f>VLOOKUP(LEFT(CO60,2)&amp;CP60,道具价值!$B$28:$C$30,2,FALSE)</f>
        <v>13.5</v>
      </c>
      <c r="CR60" s="617">
        <v>1</v>
      </c>
      <c r="CS60" s="617">
        <v>5.6000000000000001E-2</v>
      </c>
      <c r="CT60" s="170">
        <f t="shared" si="45"/>
        <v>5.6000000000000001E-2</v>
      </c>
      <c r="CU60" s="617">
        <f t="shared" si="42"/>
        <v>560</v>
      </c>
      <c r="CW60" s="618">
        <v>6</v>
      </c>
      <c r="CX60" s="621" t="s">
        <v>619</v>
      </c>
      <c r="CY60" s="618" t="s">
        <v>1211</v>
      </c>
      <c r="CZ60" s="617">
        <f t="shared" ref="CZ60:CZ62" ca="1" si="89">IF(CY60="部件",VLOOKUP(CW60,INDIRECT(CY60&amp;"价值"),MATCH(LEFT(CX60,2)&amp;"部件",INDIRECT(CY60&amp;"价值标头"),0),FALSE),IF(CY60="加速道具",VLOOKUP(CX60,INDIRECT(CY60&amp;"价值"),MATCH("价格",INDIRECT(CY60&amp;"价值标头"),0),FALSE),VLOOKUP(CW60,INDIRECT(CY60&amp;"价值"),MATCH(CX60,INDIRECT(CY60&amp;"价值标头"),0),FALSE)))</f>
        <v>72</v>
      </c>
      <c r="DA60" s="617">
        <v>3</v>
      </c>
      <c r="DB60" s="617">
        <v>0.33329999999999999</v>
      </c>
      <c r="DC60" s="617">
        <v>0.33329999999999999</v>
      </c>
      <c r="DD60" s="617">
        <f t="shared" ref="DD60:DD62" si="90">ROUND(DC60*10000,0)</f>
        <v>3333</v>
      </c>
    </row>
    <row r="61" spans="2:109" x14ac:dyDescent="0.35">
      <c r="B61" s="512">
        <v>2</v>
      </c>
      <c r="C61" s="516" t="s">
        <v>2248</v>
      </c>
      <c r="D61" s="529" t="s">
        <v>2452</v>
      </c>
      <c r="E61" s="508">
        <f t="shared" ca="1" si="46"/>
        <v>12.824999999999999</v>
      </c>
      <c r="F61" s="565">
        <v>2</v>
      </c>
      <c r="G61" s="594">
        <v>1.9E-2</v>
      </c>
      <c r="H61" s="170">
        <f t="shared" ca="1" si="69"/>
        <v>4.3518518518518519E-2</v>
      </c>
      <c r="I61" s="508">
        <f t="shared" ca="1" si="47"/>
        <v>435</v>
      </c>
      <c r="K61" s="512">
        <v>2</v>
      </c>
      <c r="L61" s="516" t="s">
        <v>2248</v>
      </c>
      <c r="M61" s="529" t="s">
        <v>2452</v>
      </c>
      <c r="N61" s="508">
        <f t="shared" ca="1" si="48"/>
        <v>12.824999999999999</v>
      </c>
      <c r="O61" s="565">
        <v>1</v>
      </c>
      <c r="P61" s="594">
        <v>1.9E-2</v>
      </c>
      <c r="Q61" s="170">
        <f t="shared" ca="1" si="77"/>
        <v>6.9629629629629639E-2</v>
      </c>
      <c r="R61" s="508">
        <f t="shared" ca="1" si="78"/>
        <v>696</v>
      </c>
      <c r="T61" s="512">
        <v>2</v>
      </c>
      <c r="U61" s="516" t="s">
        <v>2248</v>
      </c>
      <c r="V61" s="529" t="s">
        <v>2452</v>
      </c>
      <c r="W61" s="508">
        <f t="shared" ca="1" si="51"/>
        <v>12.824999999999999</v>
      </c>
      <c r="X61" s="594">
        <v>1</v>
      </c>
      <c r="Y61" s="594">
        <v>1.9E-2</v>
      </c>
      <c r="Z61" s="170">
        <f t="shared" ca="1" si="79"/>
        <v>7.0370370370370375E-2</v>
      </c>
      <c r="AA61" s="508">
        <f t="shared" ca="1" si="80"/>
        <v>704</v>
      </c>
      <c r="AC61" s="512">
        <v>2</v>
      </c>
      <c r="AD61" s="516" t="s">
        <v>2248</v>
      </c>
      <c r="AE61" s="529" t="s">
        <v>2452</v>
      </c>
      <c r="AF61" s="508">
        <f t="shared" ca="1" si="54"/>
        <v>12.824999999999999</v>
      </c>
      <c r="AG61" s="594">
        <v>1.5</v>
      </c>
      <c r="AH61" s="508">
        <v>1.7000000000000001E-2</v>
      </c>
      <c r="AI61" s="170">
        <f t="shared" ca="1" si="81"/>
        <v>5.6556205328135156E-2</v>
      </c>
      <c r="AJ61" s="508">
        <f t="shared" ca="1" si="82"/>
        <v>566</v>
      </c>
      <c r="AL61" s="512">
        <v>2</v>
      </c>
      <c r="AM61" s="516" t="s">
        <v>2248</v>
      </c>
      <c r="AN61" s="529" t="s">
        <v>2452</v>
      </c>
      <c r="AO61" s="508">
        <f t="shared" ca="1" si="57"/>
        <v>12.824999999999999</v>
      </c>
      <c r="AP61" s="594">
        <v>2</v>
      </c>
      <c r="AQ61" s="594">
        <v>1.7000000000000001E-2</v>
      </c>
      <c r="AR61" s="170">
        <f t="shared" ca="1" si="83"/>
        <v>6.4288499025341131E-2</v>
      </c>
      <c r="AS61" s="508">
        <f t="shared" ca="1" si="84"/>
        <v>643</v>
      </c>
      <c r="AU61" s="512">
        <v>2</v>
      </c>
      <c r="AV61" s="516" t="s">
        <v>2242</v>
      </c>
      <c r="AW61" s="529" t="s">
        <v>2452</v>
      </c>
      <c r="AX61" s="508">
        <f t="shared" ca="1" si="60"/>
        <v>12.824999999999999</v>
      </c>
      <c r="AY61" s="625">
        <v>1.5</v>
      </c>
      <c r="AZ61" s="600">
        <v>1.9E-2</v>
      </c>
      <c r="BA61" s="170">
        <f t="shared" ca="1" si="70"/>
        <v>6.4197530864197536E-2</v>
      </c>
      <c r="BB61" s="508">
        <f t="shared" ca="1" si="61"/>
        <v>642</v>
      </c>
      <c r="BD61" s="512">
        <v>2</v>
      </c>
      <c r="BE61" s="516" t="s">
        <v>2242</v>
      </c>
      <c r="BF61" s="529" t="s">
        <v>2452</v>
      </c>
      <c r="BG61" s="508">
        <f t="shared" ca="1" si="62"/>
        <v>12.824999999999999</v>
      </c>
      <c r="BH61" s="632">
        <v>4</v>
      </c>
      <c r="BI61" s="600">
        <v>1.9E-2</v>
      </c>
      <c r="BJ61" s="170">
        <f t="shared" ca="1" si="85"/>
        <v>5.4629629629629625E-2</v>
      </c>
      <c r="BK61" s="508">
        <f t="shared" ca="1" si="86"/>
        <v>546</v>
      </c>
      <c r="BM61" s="512">
        <v>2</v>
      </c>
      <c r="BN61" s="527" t="s">
        <v>2242</v>
      </c>
      <c r="BO61" s="530" t="s">
        <v>2200</v>
      </c>
      <c r="BP61" s="508">
        <f t="shared" ca="1" si="65"/>
        <v>12.824999999999999</v>
      </c>
      <c r="BQ61" s="632">
        <v>9.5</v>
      </c>
      <c r="BR61" s="600">
        <v>1.9E-2</v>
      </c>
      <c r="BS61" s="170">
        <f t="shared" ca="1" si="87"/>
        <v>5.1461988304093563E-2</v>
      </c>
      <c r="BT61" s="523">
        <f t="shared" ca="1" si="88"/>
        <v>515</v>
      </c>
      <c r="BV61" s="525">
        <v>2</v>
      </c>
      <c r="BW61" s="527" t="s">
        <v>2249</v>
      </c>
      <c r="BX61" s="530" t="s">
        <v>2200</v>
      </c>
      <c r="BY61" s="523">
        <f t="shared" ca="1" si="39"/>
        <v>12.824999999999999</v>
      </c>
      <c r="BZ61" s="662">
        <v>7</v>
      </c>
      <c r="CA61" s="523">
        <v>5.6000000000000001E-2</v>
      </c>
      <c r="CB61" s="170">
        <f t="shared" ca="1" si="71"/>
        <v>3.1189083820662773E-2</v>
      </c>
      <c r="CC61" s="523">
        <f t="shared" ca="1" si="72"/>
        <v>312</v>
      </c>
      <c r="CN61" s="618">
        <v>2</v>
      </c>
      <c r="CO61" s="621" t="s">
        <v>2249</v>
      </c>
      <c r="CP61" s="616" t="s">
        <v>2200</v>
      </c>
      <c r="CQ61" s="617">
        <f>VLOOKUP(LEFT(CO61,2)&amp;CP61,道具价值!$B$28:$C$30,2,FALSE)</f>
        <v>13.5</v>
      </c>
      <c r="CR61" s="617">
        <v>1</v>
      </c>
      <c r="CS61" s="617">
        <v>5.6000000000000001E-2</v>
      </c>
      <c r="CT61" s="170">
        <f t="shared" si="45"/>
        <v>5.6000000000000001E-2</v>
      </c>
      <c r="CU61" s="617">
        <f t="shared" si="42"/>
        <v>560</v>
      </c>
      <c r="CW61" s="618">
        <v>6</v>
      </c>
      <c r="CX61" s="621" t="s">
        <v>718</v>
      </c>
      <c r="CY61" s="618" t="s">
        <v>1211</v>
      </c>
      <c r="CZ61" s="617">
        <f t="shared" ca="1" si="89"/>
        <v>72</v>
      </c>
      <c r="DA61" s="617">
        <v>3</v>
      </c>
      <c r="DB61" s="617">
        <v>0.33329999999999999</v>
      </c>
      <c r="DC61" s="617">
        <v>0.33329999999999999</v>
      </c>
      <c r="DD61" s="617">
        <f t="shared" si="90"/>
        <v>3333</v>
      </c>
    </row>
    <row r="62" spans="2:109" x14ac:dyDescent="0.35">
      <c r="B62" s="512">
        <v>2</v>
      </c>
      <c r="C62" s="516" t="s">
        <v>2250</v>
      </c>
      <c r="D62" s="529" t="s">
        <v>2452</v>
      </c>
      <c r="E62" s="508">
        <f t="shared" ca="1" si="46"/>
        <v>12.824999999999999</v>
      </c>
      <c r="F62" s="565">
        <v>2</v>
      </c>
      <c r="G62" s="594">
        <v>1.9E-2</v>
      </c>
      <c r="H62" s="170">
        <f t="shared" ca="1" si="69"/>
        <v>4.3518518518518519E-2</v>
      </c>
      <c r="I62" s="508">
        <f t="shared" ca="1" si="47"/>
        <v>435</v>
      </c>
      <c r="K62" s="512">
        <v>2</v>
      </c>
      <c r="L62" s="516" t="s">
        <v>2250</v>
      </c>
      <c r="M62" s="529" t="s">
        <v>2452</v>
      </c>
      <c r="N62" s="508">
        <f t="shared" ca="1" si="48"/>
        <v>12.824999999999999</v>
      </c>
      <c r="O62" s="565">
        <v>1</v>
      </c>
      <c r="P62" s="594">
        <v>1.9E-2</v>
      </c>
      <c r="Q62" s="170">
        <f t="shared" ca="1" si="77"/>
        <v>6.9629629629629639E-2</v>
      </c>
      <c r="R62" s="508">
        <f t="shared" ca="1" si="78"/>
        <v>696</v>
      </c>
      <c r="T62" s="512">
        <v>2</v>
      </c>
      <c r="U62" s="516" t="s">
        <v>2250</v>
      </c>
      <c r="V62" s="529" t="s">
        <v>2452</v>
      </c>
      <c r="W62" s="508">
        <f t="shared" ca="1" si="51"/>
        <v>12.824999999999999</v>
      </c>
      <c r="X62" s="594">
        <v>1</v>
      </c>
      <c r="Y62" s="594">
        <v>1.9E-2</v>
      </c>
      <c r="Z62" s="170">
        <f t="shared" ca="1" si="79"/>
        <v>7.0370370370370375E-2</v>
      </c>
      <c r="AA62" s="508">
        <f t="shared" ca="1" si="80"/>
        <v>704</v>
      </c>
      <c r="AC62" s="512">
        <v>2</v>
      </c>
      <c r="AD62" s="516" t="s">
        <v>2250</v>
      </c>
      <c r="AE62" s="529" t="s">
        <v>2452</v>
      </c>
      <c r="AF62" s="508">
        <f t="shared" ca="1" si="54"/>
        <v>12.824999999999999</v>
      </c>
      <c r="AG62" s="594">
        <v>1.5</v>
      </c>
      <c r="AH62" s="508">
        <v>1.7000000000000001E-2</v>
      </c>
      <c r="AI62" s="170">
        <f t="shared" ca="1" si="81"/>
        <v>5.6556205328135156E-2</v>
      </c>
      <c r="AJ62" s="508">
        <f t="shared" ca="1" si="82"/>
        <v>566</v>
      </c>
      <c r="AL62" s="512">
        <v>2</v>
      </c>
      <c r="AM62" s="516" t="s">
        <v>2250</v>
      </c>
      <c r="AN62" s="529" t="s">
        <v>2452</v>
      </c>
      <c r="AO62" s="508">
        <f t="shared" ca="1" si="57"/>
        <v>12.824999999999999</v>
      </c>
      <c r="AP62" s="594">
        <v>2</v>
      </c>
      <c r="AQ62" s="594">
        <v>1.7000000000000001E-2</v>
      </c>
      <c r="AR62" s="170">
        <f t="shared" ca="1" si="83"/>
        <v>6.4288499025341131E-2</v>
      </c>
      <c r="AS62" s="508">
        <f t="shared" ca="1" si="84"/>
        <v>643</v>
      </c>
      <c r="AU62" s="512">
        <v>2</v>
      </c>
      <c r="AV62" s="516" t="s">
        <v>2244</v>
      </c>
      <c r="AW62" s="529" t="s">
        <v>2452</v>
      </c>
      <c r="AX62" s="508">
        <f t="shared" ca="1" si="60"/>
        <v>12.824999999999999</v>
      </c>
      <c r="AY62" s="625">
        <v>1.5</v>
      </c>
      <c r="AZ62" s="600">
        <v>1.9E-2</v>
      </c>
      <c r="BA62" s="170">
        <f t="shared" ca="1" si="70"/>
        <v>6.4197530864197536E-2</v>
      </c>
      <c r="BB62" s="508">
        <f t="shared" ca="1" si="61"/>
        <v>642</v>
      </c>
      <c r="BD62" s="512">
        <v>2</v>
      </c>
      <c r="BE62" s="516" t="s">
        <v>2244</v>
      </c>
      <c r="BF62" s="529" t="s">
        <v>2452</v>
      </c>
      <c r="BG62" s="508">
        <f t="shared" ca="1" si="62"/>
        <v>12.824999999999999</v>
      </c>
      <c r="BH62" s="632">
        <v>4</v>
      </c>
      <c r="BI62" s="600">
        <v>1.9E-2</v>
      </c>
      <c r="BJ62" s="170">
        <f t="shared" ca="1" si="85"/>
        <v>5.4629629629629625E-2</v>
      </c>
      <c r="BK62" s="508">
        <f t="shared" ca="1" si="86"/>
        <v>546</v>
      </c>
      <c r="BM62" s="512">
        <v>2</v>
      </c>
      <c r="BN62" s="527" t="s">
        <v>2244</v>
      </c>
      <c r="BO62" s="530" t="s">
        <v>2200</v>
      </c>
      <c r="BP62" s="508">
        <f t="shared" ca="1" si="65"/>
        <v>12.824999999999999</v>
      </c>
      <c r="BQ62" s="632">
        <v>9.5</v>
      </c>
      <c r="BR62" s="600">
        <v>1.9E-2</v>
      </c>
      <c r="BS62" s="170">
        <f t="shared" ca="1" si="87"/>
        <v>5.1461988304093563E-2</v>
      </c>
      <c r="BT62" s="523">
        <f t="shared" ca="1" si="88"/>
        <v>515</v>
      </c>
      <c r="BV62" s="525">
        <v>2</v>
      </c>
      <c r="BW62" s="527" t="s">
        <v>2251</v>
      </c>
      <c r="BX62" s="530" t="s">
        <v>2200</v>
      </c>
      <c r="BY62" s="523">
        <f t="shared" ca="1" si="39"/>
        <v>12.824999999999999</v>
      </c>
      <c r="BZ62" s="662">
        <v>7</v>
      </c>
      <c r="CA62" s="523">
        <v>5.6000000000000001E-2</v>
      </c>
      <c r="CB62" s="170">
        <f t="shared" ca="1" si="71"/>
        <v>3.1189083820662773E-2</v>
      </c>
      <c r="CC62" s="523">
        <f t="shared" ca="1" si="72"/>
        <v>312</v>
      </c>
      <c r="CE62" s="512" t="s">
        <v>597</v>
      </c>
      <c r="CF62" s="512" t="s">
        <v>1225</v>
      </c>
      <c r="CG62" s="513" t="s">
        <v>917</v>
      </c>
      <c r="CH62" s="166" t="s">
        <v>920</v>
      </c>
      <c r="CI62" s="518" t="s">
        <v>967</v>
      </c>
      <c r="CJ62" s="166" t="s">
        <v>854</v>
      </c>
      <c r="CK62" s="166" t="s">
        <v>926</v>
      </c>
      <c r="CL62" s="514" t="s">
        <v>927</v>
      </c>
      <c r="CM62" s="300">
        <f ca="1">SUM(CL63:CL71)</f>
        <v>5901</v>
      </c>
      <c r="CN62" s="618">
        <v>2</v>
      </c>
      <c r="CO62" s="621" t="s">
        <v>2251</v>
      </c>
      <c r="CP62" s="616" t="s">
        <v>2200</v>
      </c>
      <c r="CQ62" s="617">
        <f>VLOOKUP(LEFT(CO62,2)&amp;CP62,道具价值!$B$28:$C$30,2,FALSE)</f>
        <v>13.5</v>
      </c>
      <c r="CR62" s="617">
        <v>1</v>
      </c>
      <c r="CS62" s="617">
        <v>5.6000000000000001E-2</v>
      </c>
      <c r="CT62" s="170">
        <f t="shared" si="45"/>
        <v>5.6000000000000001E-2</v>
      </c>
      <c r="CU62" s="617">
        <f t="shared" si="42"/>
        <v>560</v>
      </c>
      <c r="CW62" s="618">
        <v>6</v>
      </c>
      <c r="CX62" s="621" t="s">
        <v>632</v>
      </c>
      <c r="CY62" s="618" t="s">
        <v>1211</v>
      </c>
      <c r="CZ62" s="617">
        <f t="shared" ca="1" si="89"/>
        <v>72</v>
      </c>
      <c r="DA62" s="617">
        <v>3</v>
      </c>
      <c r="DB62" s="617">
        <v>0.33339999999999997</v>
      </c>
      <c r="DC62" s="617">
        <v>0.33339999999999997</v>
      </c>
      <c r="DD62" s="617">
        <f t="shared" si="90"/>
        <v>3334</v>
      </c>
    </row>
    <row r="63" spans="2:109" x14ac:dyDescent="0.35">
      <c r="B63" s="512">
        <v>2</v>
      </c>
      <c r="C63" s="516" t="s">
        <v>2252</v>
      </c>
      <c r="D63" s="529" t="s">
        <v>2452</v>
      </c>
      <c r="E63" s="508">
        <f t="shared" ca="1" si="46"/>
        <v>12.824999999999999</v>
      </c>
      <c r="F63" s="565">
        <v>2</v>
      </c>
      <c r="G63" s="594">
        <v>1.9E-2</v>
      </c>
      <c r="H63" s="170">
        <f t="shared" ca="1" si="69"/>
        <v>4.3518518518518519E-2</v>
      </c>
      <c r="I63" s="508">
        <f t="shared" ca="1" si="47"/>
        <v>435</v>
      </c>
      <c r="K63" s="512">
        <v>2</v>
      </c>
      <c r="L63" s="516" t="s">
        <v>2252</v>
      </c>
      <c r="M63" s="529" t="s">
        <v>2452</v>
      </c>
      <c r="N63" s="508">
        <f t="shared" ca="1" si="48"/>
        <v>12.824999999999999</v>
      </c>
      <c r="O63" s="565">
        <v>1</v>
      </c>
      <c r="P63" s="594">
        <v>1.9E-2</v>
      </c>
      <c r="Q63" s="170">
        <f t="shared" ca="1" si="77"/>
        <v>6.9629629629629639E-2</v>
      </c>
      <c r="R63" s="508">
        <f t="shared" ca="1" si="78"/>
        <v>696</v>
      </c>
      <c r="T63" s="512">
        <v>2</v>
      </c>
      <c r="U63" s="516" t="s">
        <v>2252</v>
      </c>
      <c r="V63" s="529" t="s">
        <v>2452</v>
      </c>
      <c r="W63" s="508">
        <f t="shared" ca="1" si="51"/>
        <v>12.824999999999999</v>
      </c>
      <c r="X63" s="594">
        <v>1</v>
      </c>
      <c r="Y63" s="594">
        <v>1.9E-2</v>
      </c>
      <c r="Z63" s="170">
        <f t="shared" ca="1" si="79"/>
        <v>7.0370370370370375E-2</v>
      </c>
      <c r="AA63" s="508">
        <f t="shared" ca="1" si="80"/>
        <v>704</v>
      </c>
      <c r="AC63" s="512">
        <v>2</v>
      </c>
      <c r="AD63" s="516" t="s">
        <v>2252</v>
      </c>
      <c r="AE63" s="529" t="s">
        <v>2452</v>
      </c>
      <c r="AF63" s="508">
        <f t="shared" ca="1" si="54"/>
        <v>12.824999999999999</v>
      </c>
      <c r="AG63" s="594">
        <v>1.5</v>
      </c>
      <c r="AH63" s="508">
        <v>1.7000000000000001E-2</v>
      </c>
      <c r="AI63" s="170">
        <f t="shared" ca="1" si="81"/>
        <v>5.6556205328135156E-2</v>
      </c>
      <c r="AJ63" s="508">
        <f t="shared" ca="1" si="82"/>
        <v>566</v>
      </c>
      <c r="AL63" s="512">
        <v>2</v>
      </c>
      <c r="AM63" s="516" t="s">
        <v>2252</v>
      </c>
      <c r="AN63" s="529" t="s">
        <v>2452</v>
      </c>
      <c r="AO63" s="508">
        <f t="shared" ca="1" si="57"/>
        <v>12.824999999999999</v>
      </c>
      <c r="AP63" s="594">
        <v>2</v>
      </c>
      <c r="AQ63" s="594">
        <v>1.7000000000000001E-2</v>
      </c>
      <c r="AR63" s="170">
        <f t="shared" ca="1" si="83"/>
        <v>6.4288499025341131E-2</v>
      </c>
      <c r="AS63" s="508">
        <f t="shared" ca="1" si="84"/>
        <v>643</v>
      </c>
      <c r="AU63" s="512">
        <v>2</v>
      </c>
      <c r="AV63" s="516" t="s">
        <v>2246</v>
      </c>
      <c r="AW63" s="529" t="s">
        <v>2452</v>
      </c>
      <c r="AX63" s="508">
        <f t="shared" ca="1" si="60"/>
        <v>12.824999999999999</v>
      </c>
      <c r="AY63" s="625">
        <v>1.5</v>
      </c>
      <c r="AZ63" s="600">
        <v>1.9E-2</v>
      </c>
      <c r="BA63" s="170">
        <f t="shared" ca="1" si="70"/>
        <v>6.4197530864197536E-2</v>
      </c>
      <c r="BB63" s="508">
        <f t="shared" ca="1" si="61"/>
        <v>642</v>
      </c>
      <c r="BD63" s="512">
        <v>2</v>
      </c>
      <c r="BE63" s="516" t="s">
        <v>2246</v>
      </c>
      <c r="BF63" s="529" t="s">
        <v>2452</v>
      </c>
      <c r="BG63" s="508">
        <f t="shared" ca="1" si="62"/>
        <v>12.824999999999999</v>
      </c>
      <c r="BH63" s="632">
        <v>4</v>
      </c>
      <c r="BI63" s="600">
        <v>1.9E-2</v>
      </c>
      <c r="BJ63" s="170">
        <f t="shared" ca="1" si="85"/>
        <v>5.4629629629629625E-2</v>
      </c>
      <c r="BK63" s="508">
        <f t="shared" ca="1" si="86"/>
        <v>546</v>
      </c>
      <c r="BM63" s="512">
        <v>2</v>
      </c>
      <c r="BN63" s="527" t="s">
        <v>2246</v>
      </c>
      <c r="BO63" s="530" t="s">
        <v>2200</v>
      </c>
      <c r="BP63" s="508">
        <f t="shared" ca="1" si="65"/>
        <v>12.824999999999999</v>
      </c>
      <c r="BQ63" s="632">
        <v>9.5</v>
      </c>
      <c r="BR63" s="600">
        <v>1.9E-2</v>
      </c>
      <c r="BS63" s="170">
        <f t="shared" ca="1" si="87"/>
        <v>5.1461988304093563E-2</v>
      </c>
      <c r="BT63" s="523">
        <f t="shared" ca="1" si="88"/>
        <v>515</v>
      </c>
      <c r="BV63" s="525">
        <v>2</v>
      </c>
      <c r="BW63" s="527" t="s">
        <v>2253</v>
      </c>
      <c r="BX63" s="530" t="s">
        <v>2200</v>
      </c>
      <c r="BY63" s="523">
        <f t="shared" ca="1" si="39"/>
        <v>12.824999999999999</v>
      </c>
      <c r="BZ63" s="662">
        <v>7</v>
      </c>
      <c r="CA63" s="523">
        <v>5.6000000000000001E-2</v>
      </c>
      <c r="CB63" s="170">
        <f t="shared" ca="1" si="71"/>
        <v>3.1189083820662773E-2</v>
      </c>
      <c r="CC63" s="523">
        <f t="shared" ca="1" si="72"/>
        <v>312</v>
      </c>
      <c r="CE63" s="512">
        <v>4</v>
      </c>
      <c r="CF63" s="527" t="s">
        <v>615</v>
      </c>
      <c r="CG63" s="525" t="s">
        <v>1211</v>
      </c>
      <c r="CH63" s="523">
        <f t="shared" ref="CH63:CH71" ca="1" si="91">IF(CG63="部件",VLOOKUP(CE63,INDIRECT(CG63&amp;"价值"),MATCH(LEFT(CF63,2)&amp;"部件",INDIRECT(CG63&amp;"价值标头"),0),FALSE),IF(CG63="加速道具",VLOOKUP(CF63,INDIRECT(CG63&amp;"价值"),MATCH("价格",INDIRECT(CG63&amp;"价值标头"),0),FALSE),VLOOKUP(CE63,INDIRECT(CG63&amp;"价值"),MATCH(CF63,INDIRECT(CG63&amp;"价值标头"),0),FALSE)))</f>
        <v>49.199999999999996</v>
      </c>
      <c r="CI63" s="523">
        <v>1.5</v>
      </c>
      <c r="CJ63" s="523">
        <v>0.1011</v>
      </c>
      <c r="CK63" s="170">
        <f t="shared" ref="CK63:CK71" ca="1" si="92">CJ63*CF$4/CH63/CI63</f>
        <v>6.8495934959349594E-2</v>
      </c>
      <c r="CL63" s="508">
        <f t="shared" ref="CL63:CL71" ca="1" si="93">ROUND(CK63*10000,0)</f>
        <v>685</v>
      </c>
      <c r="CN63" s="618">
        <v>2</v>
      </c>
      <c r="CO63" s="621" t="s">
        <v>2253</v>
      </c>
      <c r="CP63" s="616" t="s">
        <v>2200</v>
      </c>
      <c r="CQ63" s="617">
        <f>VLOOKUP(LEFT(CO63,2)&amp;CP63,道具价值!$B$28:$C$30,2,FALSE)</f>
        <v>13.5</v>
      </c>
      <c r="CR63" s="617">
        <v>1</v>
      </c>
      <c r="CS63" s="617">
        <v>5.6000000000000001E-2</v>
      </c>
      <c r="CT63" s="170">
        <f t="shared" si="45"/>
        <v>5.6000000000000001E-2</v>
      </c>
      <c r="CU63" s="617">
        <f t="shared" si="42"/>
        <v>560</v>
      </c>
    </row>
    <row r="64" spans="2:109" x14ac:dyDescent="0.35">
      <c r="B64" s="512">
        <v>2</v>
      </c>
      <c r="C64" s="512" t="s">
        <v>2254</v>
      </c>
      <c r="D64" s="529" t="s">
        <v>2452</v>
      </c>
      <c r="E64" s="508">
        <f t="shared" ca="1" si="46"/>
        <v>12.824999999999999</v>
      </c>
      <c r="F64" s="565">
        <v>2</v>
      </c>
      <c r="G64" s="594">
        <v>1.9E-2</v>
      </c>
      <c r="H64" s="170">
        <f t="shared" ca="1" si="69"/>
        <v>4.3518518518518519E-2</v>
      </c>
      <c r="I64" s="508">
        <f t="shared" ca="1" si="47"/>
        <v>435</v>
      </c>
      <c r="K64" s="512">
        <v>2</v>
      </c>
      <c r="L64" s="512" t="s">
        <v>2254</v>
      </c>
      <c r="M64" s="529" t="s">
        <v>2452</v>
      </c>
      <c r="N64" s="508">
        <f t="shared" ca="1" si="48"/>
        <v>12.824999999999999</v>
      </c>
      <c r="O64" s="565">
        <v>1</v>
      </c>
      <c r="P64" s="594">
        <v>1.9E-2</v>
      </c>
      <c r="Q64" s="170">
        <f t="shared" ca="1" si="77"/>
        <v>6.9629629629629639E-2</v>
      </c>
      <c r="R64" s="508">
        <f t="shared" ca="1" si="78"/>
        <v>696</v>
      </c>
      <c r="T64" s="512">
        <v>2</v>
      </c>
      <c r="U64" s="512" t="s">
        <v>2254</v>
      </c>
      <c r="V64" s="529" t="s">
        <v>2452</v>
      </c>
      <c r="W64" s="508">
        <f t="shared" ca="1" si="51"/>
        <v>12.824999999999999</v>
      </c>
      <c r="X64" s="594">
        <v>1</v>
      </c>
      <c r="Y64" s="594">
        <v>1.9E-2</v>
      </c>
      <c r="Z64" s="170">
        <f t="shared" ca="1" si="79"/>
        <v>7.0370370370370375E-2</v>
      </c>
      <c r="AA64" s="508">
        <f t="shared" ca="1" si="80"/>
        <v>704</v>
      </c>
      <c r="AC64" s="512">
        <v>2</v>
      </c>
      <c r="AD64" s="512" t="s">
        <v>2254</v>
      </c>
      <c r="AE64" s="529" t="s">
        <v>2452</v>
      </c>
      <c r="AF64" s="508">
        <f t="shared" ca="1" si="54"/>
        <v>12.824999999999999</v>
      </c>
      <c r="AG64" s="594">
        <v>1.5</v>
      </c>
      <c r="AH64" s="508">
        <v>1.7000000000000001E-2</v>
      </c>
      <c r="AI64" s="170">
        <f t="shared" ca="1" si="81"/>
        <v>5.6556205328135156E-2</v>
      </c>
      <c r="AJ64" s="508">
        <f t="shared" ca="1" si="82"/>
        <v>566</v>
      </c>
      <c r="AL64" s="512">
        <v>2</v>
      </c>
      <c r="AM64" s="512" t="s">
        <v>2254</v>
      </c>
      <c r="AN64" s="529" t="s">
        <v>2452</v>
      </c>
      <c r="AO64" s="508">
        <f t="shared" ca="1" si="57"/>
        <v>12.824999999999999</v>
      </c>
      <c r="AP64" s="594">
        <v>2</v>
      </c>
      <c r="AQ64" s="594">
        <v>1.7000000000000001E-2</v>
      </c>
      <c r="AR64" s="170">
        <f t="shared" ca="1" si="83"/>
        <v>6.4288499025341131E-2</v>
      </c>
      <c r="AS64" s="508">
        <f t="shared" ca="1" si="84"/>
        <v>643</v>
      </c>
      <c r="AU64" s="512">
        <v>2</v>
      </c>
      <c r="AV64" s="516" t="s">
        <v>2248</v>
      </c>
      <c r="AW64" s="529" t="s">
        <v>2452</v>
      </c>
      <c r="AX64" s="508">
        <f t="shared" ca="1" si="60"/>
        <v>12.824999999999999</v>
      </c>
      <c r="AY64" s="625">
        <v>1.5</v>
      </c>
      <c r="AZ64" s="600">
        <v>1.9E-2</v>
      </c>
      <c r="BA64" s="170">
        <f t="shared" ca="1" si="70"/>
        <v>6.4197530864197536E-2</v>
      </c>
      <c r="BB64" s="508">
        <f t="shared" ca="1" si="61"/>
        <v>642</v>
      </c>
      <c r="BD64" s="512">
        <v>2</v>
      </c>
      <c r="BE64" s="516" t="s">
        <v>2248</v>
      </c>
      <c r="BF64" s="529" t="s">
        <v>2452</v>
      </c>
      <c r="BG64" s="508">
        <f t="shared" ca="1" si="62"/>
        <v>12.824999999999999</v>
      </c>
      <c r="BH64" s="632">
        <v>4</v>
      </c>
      <c r="BI64" s="600">
        <v>1.9E-2</v>
      </c>
      <c r="BJ64" s="170">
        <f t="shared" ca="1" si="85"/>
        <v>5.4629629629629625E-2</v>
      </c>
      <c r="BK64" s="508">
        <f t="shared" ca="1" si="86"/>
        <v>546</v>
      </c>
      <c r="BM64" s="512">
        <v>2</v>
      </c>
      <c r="BN64" s="527" t="s">
        <v>2248</v>
      </c>
      <c r="BO64" s="530" t="s">
        <v>2200</v>
      </c>
      <c r="BP64" s="508">
        <f t="shared" ca="1" si="65"/>
        <v>12.824999999999999</v>
      </c>
      <c r="BQ64" s="632">
        <v>9.5</v>
      </c>
      <c r="BR64" s="600">
        <v>1.9E-2</v>
      </c>
      <c r="BS64" s="170">
        <f t="shared" ca="1" si="87"/>
        <v>5.1461988304093563E-2</v>
      </c>
      <c r="BT64" s="523">
        <f t="shared" ca="1" si="88"/>
        <v>515</v>
      </c>
      <c r="BV64" s="525">
        <v>2</v>
      </c>
      <c r="BW64" s="525" t="s">
        <v>2255</v>
      </c>
      <c r="BX64" s="530" t="s">
        <v>2200</v>
      </c>
      <c r="BY64" s="523">
        <f t="shared" ca="1" si="39"/>
        <v>12.824999999999999</v>
      </c>
      <c r="BZ64" s="662">
        <v>7</v>
      </c>
      <c r="CA64" s="523">
        <v>5.6000000000000001E-2</v>
      </c>
      <c r="CB64" s="170">
        <f t="shared" ca="1" si="71"/>
        <v>3.1189083820662773E-2</v>
      </c>
      <c r="CC64" s="523">
        <f t="shared" ca="1" si="72"/>
        <v>312</v>
      </c>
      <c r="CE64" s="512">
        <v>4</v>
      </c>
      <c r="CF64" s="527" t="s">
        <v>623</v>
      </c>
      <c r="CG64" s="525" t="s">
        <v>1211</v>
      </c>
      <c r="CH64" s="523">
        <f t="shared" ca="1" si="91"/>
        <v>49.199999999999996</v>
      </c>
      <c r="CI64" s="662">
        <v>1.5</v>
      </c>
      <c r="CJ64" s="523">
        <v>0.1011</v>
      </c>
      <c r="CK64" s="170">
        <f t="shared" ca="1" si="92"/>
        <v>6.8495934959349594E-2</v>
      </c>
      <c r="CL64" s="508">
        <f t="shared" ca="1" si="93"/>
        <v>685</v>
      </c>
      <c r="CN64" s="618">
        <v>2</v>
      </c>
      <c r="CO64" s="618" t="s">
        <v>2255</v>
      </c>
      <c r="CP64" s="616" t="s">
        <v>2200</v>
      </c>
      <c r="CQ64" s="617">
        <f>VLOOKUP(LEFT(CO64,2)&amp;CP64,道具价值!$B$28:$C$30,2,FALSE)</f>
        <v>13.5</v>
      </c>
      <c r="CR64" s="617">
        <v>1</v>
      </c>
      <c r="CS64" s="617">
        <v>5.6000000000000001E-2</v>
      </c>
      <c r="CT64" s="170">
        <f t="shared" si="45"/>
        <v>5.6000000000000001E-2</v>
      </c>
      <c r="CU64" s="617">
        <f t="shared" si="42"/>
        <v>560</v>
      </c>
    </row>
    <row r="65" spans="2:109" x14ac:dyDescent="0.35">
      <c r="B65" s="512">
        <v>2</v>
      </c>
      <c r="C65" s="512" t="s">
        <v>2256</v>
      </c>
      <c r="D65" s="529" t="s">
        <v>2452</v>
      </c>
      <c r="E65" s="508">
        <f t="shared" ca="1" si="46"/>
        <v>12.824999999999999</v>
      </c>
      <c r="F65" s="565">
        <v>2</v>
      </c>
      <c r="G65" s="594">
        <v>1.9E-2</v>
      </c>
      <c r="H65" s="170">
        <f t="shared" ca="1" si="69"/>
        <v>4.3518518518518519E-2</v>
      </c>
      <c r="I65" s="508">
        <f t="shared" ca="1" si="47"/>
        <v>435</v>
      </c>
      <c r="K65" s="512">
        <v>2</v>
      </c>
      <c r="L65" s="512" t="s">
        <v>2256</v>
      </c>
      <c r="M65" s="529" t="s">
        <v>2452</v>
      </c>
      <c r="N65" s="508">
        <f t="shared" ca="1" si="48"/>
        <v>12.824999999999999</v>
      </c>
      <c r="O65" s="565">
        <v>1</v>
      </c>
      <c r="P65" s="594">
        <v>1.9E-2</v>
      </c>
      <c r="Q65" s="170">
        <f t="shared" ca="1" si="77"/>
        <v>6.9629629629629639E-2</v>
      </c>
      <c r="R65" s="508">
        <f t="shared" ca="1" si="78"/>
        <v>696</v>
      </c>
      <c r="T65" s="512">
        <v>2</v>
      </c>
      <c r="U65" s="512" t="s">
        <v>2256</v>
      </c>
      <c r="V65" s="529" t="s">
        <v>2452</v>
      </c>
      <c r="W65" s="508">
        <f t="shared" ca="1" si="51"/>
        <v>12.824999999999999</v>
      </c>
      <c r="X65" s="594">
        <v>1</v>
      </c>
      <c r="Y65" s="594">
        <v>1.9E-2</v>
      </c>
      <c r="Z65" s="170">
        <f t="shared" ca="1" si="79"/>
        <v>7.0370370370370375E-2</v>
      </c>
      <c r="AA65" s="508">
        <f t="shared" ca="1" si="80"/>
        <v>704</v>
      </c>
      <c r="AC65" s="512">
        <v>2</v>
      </c>
      <c r="AD65" s="512" t="s">
        <v>2256</v>
      </c>
      <c r="AE65" s="529" t="s">
        <v>2452</v>
      </c>
      <c r="AF65" s="508">
        <f t="shared" ca="1" si="54"/>
        <v>12.824999999999999</v>
      </c>
      <c r="AG65" s="594">
        <v>1.5</v>
      </c>
      <c r="AH65" s="508">
        <v>1.7000000000000001E-2</v>
      </c>
      <c r="AI65" s="170">
        <f t="shared" ca="1" si="81"/>
        <v>5.6556205328135156E-2</v>
      </c>
      <c r="AJ65" s="508">
        <f t="shared" ca="1" si="82"/>
        <v>566</v>
      </c>
      <c r="AL65" s="512">
        <v>2</v>
      </c>
      <c r="AM65" s="512" t="s">
        <v>2256</v>
      </c>
      <c r="AN65" s="529" t="s">
        <v>2452</v>
      </c>
      <c r="AO65" s="508">
        <f t="shared" ca="1" si="57"/>
        <v>12.824999999999999</v>
      </c>
      <c r="AP65" s="594">
        <v>2</v>
      </c>
      <c r="AQ65" s="594">
        <v>1.7000000000000001E-2</v>
      </c>
      <c r="AR65" s="170">
        <f t="shared" ca="1" si="83"/>
        <v>6.4288499025341131E-2</v>
      </c>
      <c r="AS65" s="508">
        <f t="shared" ca="1" si="84"/>
        <v>643</v>
      </c>
      <c r="AU65" s="512">
        <v>2</v>
      </c>
      <c r="AV65" s="516" t="s">
        <v>2250</v>
      </c>
      <c r="AW65" s="529" t="s">
        <v>2452</v>
      </c>
      <c r="AX65" s="508">
        <f t="shared" ca="1" si="60"/>
        <v>12.824999999999999</v>
      </c>
      <c r="AY65" s="625">
        <v>1.5</v>
      </c>
      <c r="AZ65" s="600">
        <v>1.9E-2</v>
      </c>
      <c r="BA65" s="170">
        <f t="shared" ca="1" si="70"/>
        <v>6.4197530864197536E-2</v>
      </c>
      <c r="BB65" s="508">
        <f t="shared" ca="1" si="61"/>
        <v>642</v>
      </c>
      <c r="BD65" s="512">
        <v>2</v>
      </c>
      <c r="BE65" s="516" t="s">
        <v>2250</v>
      </c>
      <c r="BF65" s="529" t="s">
        <v>2452</v>
      </c>
      <c r="BG65" s="508">
        <f t="shared" ca="1" si="62"/>
        <v>12.824999999999999</v>
      </c>
      <c r="BH65" s="632">
        <v>4</v>
      </c>
      <c r="BI65" s="600">
        <v>1.9E-2</v>
      </c>
      <c r="BJ65" s="170">
        <f t="shared" ca="1" si="85"/>
        <v>5.4629629629629625E-2</v>
      </c>
      <c r="BK65" s="508">
        <f t="shared" ca="1" si="86"/>
        <v>546</v>
      </c>
      <c r="BM65" s="512">
        <v>2</v>
      </c>
      <c r="BN65" s="527" t="s">
        <v>2250</v>
      </c>
      <c r="BO65" s="530" t="s">
        <v>2200</v>
      </c>
      <c r="BP65" s="508">
        <f t="shared" ca="1" si="65"/>
        <v>12.824999999999999</v>
      </c>
      <c r="BQ65" s="632">
        <v>9.5</v>
      </c>
      <c r="BR65" s="600">
        <v>1.9E-2</v>
      </c>
      <c r="BS65" s="170">
        <f t="shared" ca="1" si="87"/>
        <v>5.1461988304093563E-2</v>
      </c>
      <c r="BT65" s="523">
        <f t="shared" ca="1" si="88"/>
        <v>515</v>
      </c>
      <c r="BV65" s="525">
        <v>2</v>
      </c>
      <c r="BW65" s="525" t="s">
        <v>2257</v>
      </c>
      <c r="BX65" s="530" t="s">
        <v>2200</v>
      </c>
      <c r="BY65" s="523">
        <f t="shared" ca="1" si="39"/>
        <v>12.824999999999999</v>
      </c>
      <c r="BZ65" s="662">
        <v>7</v>
      </c>
      <c r="CA65" s="523">
        <v>5.6000000000000001E-2</v>
      </c>
      <c r="CB65" s="170">
        <f t="shared" ca="1" si="71"/>
        <v>3.1189083820662773E-2</v>
      </c>
      <c r="CC65" s="523">
        <f t="shared" ca="1" si="72"/>
        <v>312</v>
      </c>
      <c r="CE65" s="512">
        <v>4</v>
      </c>
      <c r="CF65" s="527" t="s">
        <v>721</v>
      </c>
      <c r="CG65" s="525" t="s">
        <v>1211</v>
      </c>
      <c r="CH65" s="523">
        <f t="shared" ca="1" si="91"/>
        <v>49.199999999999996</v>
      </c>
      <c r="CI65" s="662">
        <v>1.5</v>
      </c>
      <c r="CJ65" s="523">
        <v>0.1011</v>
      </c>
      <c r="CK65" s="170">
        <f t="shared" ca="1" si="92"/>
        <v>6.8495934959349594E-2</v>
      </c>
      <c r="CL65" s="508">
        <f t="shared" ca="1" si="93"/>
        <v>685</v>
      </c>
      <c r="CN65" s="618">
        <v>2</v>
      </c>
      <c r="CO65" s="618" t="s">
        <v>2257</v>
      </c>
      <c r="CP65" s="616" t="s">
        <v>2200</v>
      </c>
      <c r="CQ65" s="617">
        <f>VLOOKUP(LEFT(CO65,2)&amp;CP65,道具价值!$B$28:$C$30,2,FALSE)</f>
        <v>13.5</v>
      </c>
      <c r="CR65" s="617">
        <v>1</v>
      </c>
      <c r="CS65" s="617">
        <v>5.6000000000000001E-2</v>
      </c>
      <c r="CT65" s="170">
        <f t="shared" si="45"/>
        <v>5.6000000000000001E-2</v>
      </c>
      <c r="CU65" s="617">
        <f t="shared" si="42"/>
        <v>560</v>
      </c>
      <c r="CW65" s="618" t="s">
        <v>597</v>
      </c>
      <c r="CX65" s="618" t="s">
        <v>1225</v>
      </c>
      <c r="CY65" s="619" t="s">
        <v>917</v>
      </c>
      <c r="CZ65" s="166" t="s">
        <v>920</v>
      </c>
      <c r="DA65" s="622" t="s">
        <v>967</v>
      </c>
      <c r="DB65" s="166" t="s">
        <v>854</v>
      </c>
      <c r="DC65" s="166" t="s">
        <v>926</v>
      </c>
      <c r="DD65" s="620" t="s">
        <v>927</v>
      </c>
      <c r="DE65" s="300">
        <f>SUM(DD66:DD68)</f>
        <v>10000</v>
      </c>
    </row>
    <row r="66" spans="2:109" x14ac:dyDescent="0.35">
      <c r="B66" s="512">
        <v>2</v>
      </c>
      <c r="C66" s="516" t="s">
        <v>2241</v>
      </c>
      <c r="D66" s="529" t="s">
        <v>2452</v>
      </c>
      <c r="E66" s="508">
        <f t="shared" ca="1" si="46"/>
        <v>12.824999999999999</v>
      </c>
      <c r="F66" s="565">
        <v>2</v>
      </c>
      <c r="G66" s="594">
        <v>1.9E-2</v>
      </c>
      <c r="H66" s="170">
        <f t="shared" ca="1" si="69"/>
        <v>4.3518518518518519E-2</v>
      </c>
      <c r="I66" s="508">
        <f t="shared" ca="1" si="47"/>
        <v>435</v>
      </c>
      <c r="K66" s="512">
        <v>2</v>
      </c>
      <c r="L66" s="516" t="s">
        <v>2241</v>
      </c>
      <c r="M66" s="529" t="s">
        <v>2452</v>
      </c>
      <c r="N66" s="508">
        <f t="shared" ca="1" si="48"/>
        <v>12.824999999999999</v>
      </c>
      <c r="O66" s="565">
        <v>1</v>
      </c>
      <c r="P66" s="594">
        <v>1.9E-2</v>
      </c>
      <c r="Q66" s="170">
        <f t="shared" ca="1" si="77"/>
        <v>6.9629629629629639E-2</v>
      </c>
      <c r="R66" s="508">
        <f t="shared" ca="1" si="78"/>
        <v>696</v>
      </c>
      <c r="T66" s="512">
        <v>2</v>
      </c>
      <c r="U66" s="516" t="s">
        <v>2241</v>
      </c>
      <c r="V66" s="529" t="s">
        <v>2452</v>
      </c>
      <c r="W66" s="508">
        <f t="shared" ca="1" si="51"/>
        <v>12.824999999999999</v>
      </c>
      <c r="X66" s="594">
        <v>1</v>
      </c>
      <c r="Y66" s="594">
        <v>1.9E-2</v>
      </c>
      <c r="Z66" s="170">
        <f t="shared" ca="1" si="79"/>
        <v>7.0370370370370375E-2</v>
      </c>
      <c r="AA66" s="508">
        <f t="shared" ca="1" si="80"/>
        <v>704</v>
      </c>
      <c r="AC66" s="512">
        <v>2</v>
      </c>
      <c r="AD66" s="516" t="s">
        <v>2241</v>
      </c>
      <c r="AE66" s="529" t="s">
        <v>2452</v>
      </c>
      <c r="AF66" s="508">
        <f t="shared" ca="1" si="54"/>
        <v>12.824999999999999</v>
      </c>
      <c r="AG66" s="594">
        <v>1.5</v>
      </c>
      <c r="AH66" s="508">
        <v>1.7000000000000001E-2</v>
      </c>
      <c r="AI66" s="170">
        <f t="shared" ca="1" si="81"/>
        <v>5.6556205328135156E-2</v>
      </c>
      <c r="AJ66" s="508">
        <f t="shared" ca="1" si="82"/>
        <v>566</v>
      </c>
      <c r="AL66" s="512">
        <v>2</v>
      </c>
      <c r="AM66" s="516" t="s">
        <v>2241</v>
      </c>
      <c r="AN66" s="529" t="s">
        <v>2452</v>
      </c>
      <c r="AO66" s="508">
        <f t="shared" ca="1" si="57"/>
        <v>12.824999999999999</v>
      </c>
      <c r="AP66" s="594">
        <v>2</v>
      </c>
      <c r="AQ66" s="594">
        <v>1.7000000000000001E-2</v>
      </c>
      <c r="AR66" s="170">
        <f t="shared" ca="1" si="83"/>
        <v>6.4288499025341131E-2</v>
      </c>
      <c r="AS66" s="508">
        <f t="shared" ca="1" si="84"/>
        <v>643</v>
      </c>
      <c r="AU66" s="512">
        <v>2</v>
      </c>
      <c r="AV66" s="516" t="s">
        <v>2252</v>
      </c>
      <c r="AW66" s="529" t="s">
        <v>2452</v>
      </c>
      <c r="AX66" s="508">
        <f t="shared" ca="1" si="60"/>
        <v>12.824999999999999</v>
      </c>
      <c r="AY66" s="625">
        <v>1.5</v>
      </c>
      <c r="AZ66" s="600">
        <v>1.9E-2</v>
      </c>
      <c r="BA66" s="170">
        <f t="shared" ca="1" si="70"/>
        <v>6.4197530864197536E-2</v>
      </c>
      <c r="BB66" s="508">
        <f t="shared" ca="1" si="61"/>
        <v>642</v>
      </c>
      <c r="BD66" s="512">
        <v>2</v>
      </c>
      <c r="BE66" s="516" t="s">
        <v>2252</v>
      </c>
      <c r="BF66" s="529" t="s">
        <v>2452</v>
      </c>
      <c r="BG66" s="508">
        <f t="shared" ca="1" si="62"/>
        <v>12.824999999999999</v>
      </c>
      <c r="BH66" s="632">
        <v>4</v>
      </c>
      <c r="BI66" s="600">
        <v>1.9E-2</v>
      </c>
      <c r="BJ66" s="170">
        <f t="shared" ca="1" si="85"/>
        <v>5.4629629629629625E-2</v>
      </c>
      <c r="BK66" s="508">
        <f t="shared" ca="1" si="86"/>
        <v>546</v>
      </c>
      <c r="BM66" s="512">
        <v>2</v>
      </c>
      <c r="BN66" s="527" t="s">
        <v>2252</v>
      </c>
      <c r="BO66" s="530" t="s">
        <v>2200</v>
      </c>
      <c r="BP66" s="508">
        <f t="shared" ca="1" si="65"/>
        <v>12.824999999999999</v>
      </c>
      <c r="BQ66" s="632">
        <v>9.5</v>
      </c>
      <c r="BR66" s="600">
        <v>1.9E-2</v>
      </c>
      <c r="BS66" s="170">
        <f t="shared" ca="1" si="87"/>
        <v>5.1461988304093563E-2</v>
      </c>
      <c r="BT66" s="523">
        <f t="shared" ca="1" si="88"/>
        <v>515</v>
      </c>
      <c r="CE66" s="512">
        <v>4</v>
      </c>
      <c r="CF66" s="527" t="s">
        <v>616</v>
      </c>
      <c r="CG66" s="525" t="s">
        <v>1211</v>
      </c>
      <c r="CH66" s="523">
        <f t="shared" ca="1" si="91"/>
        <v>52.8</v>
      </c>
      <c r="CI66" s="523">
        <v>2</v>
      </c>
      <c r="CJ66" s="523">
        <v>0.1012</v>
      </c>
      <c r="CK66" s="170">
        <f t="shared" ca="1" si="92"/>
        <v>4.7916666666666663E-2</v>
      </c>
      <c r="CL66" s="508">
        <f t="shared" ca="1" si="93"/>
        <v>479</v>
      </c>
      <c r="CW66" s="618">
        <v>8</v>
      </c>
      <c r="CX66" s="621" t="s">
        <v>620</v>
      </c>
      <c r="CY66" s="618" t="s">
        <v>1211</v>
      </c>
      <c r="CZ66" s="617">
        <f t="shared" ref="CZ66:CZ68" ca="1" si="94">IF(CY66="部件",VLOOKUP(CW66,INDIRECT(CY66&amp;"价值"),MATCH(LEFT(CX66,2)&amp;"部件",INDIRECT(CY66&amp;"价值标头"),0),FALSE),IF(CY66="加速道具",VLOOKUP(CX66,INDIRECT(CY66&amp;"价值"),MATCH("价格",INDIRECT(CY66&amp;"价值标头"),0),FALSE),VLOOKUP(CW66,INDIRECT(CY66&amp;"价值"),MATCH(CX66,INDIRECT(CY66&amp;"价值标头"),0),FALSE)))</f>
        <v>100</v>
      </c>
      <c r="DA66" s="617">
        <v>2</v>
      </c>
      <c r="DB66" s="617">
        <v>0.33329999999999999</v>
      </c>
      <c r="DC66" s="617">
        <v>0.33329999999999999</v>
      </c>
      <c r="DD66" s="617">
        <f t="shared" ref="DD66:DD68" si="95">ROUND(DC66*10000,0)</f>
        <v>3333</v>
      </c>
    </row>
    <row r="67" spans="2:109" x14ac:dyDescent="0.35">
      <c r="B67" s="512">
        <v>2</v>
      </c>
      <c r="C67" s="516" t="s">
        <v>2243</v>
      </c>
      <c r="D67" s="529" t="s">
        <v>2452</v>
      </c>
      <c r="E67" s="508">
        <f t="shared" ca="1" si="46"/>
        <v>12.824999999999999</v>
      </c>
      <c r="F67" s="565">
        <v>2</v>
      </c>
      <c r="G67" s="594">
        <v>1.9E-2</v>
      </c>
      <c r="H67" s="170">
        <f t="shared" ca="1" si="69"/>
        <v>4.3518518518518519E-2</v>
      </c>
      <c r="I67" s="508">
        <f t="shared" ca="1" si="47"/>
        <v>435</v>
      </c>
      <c r="K67" s="512">
        <v>2</v>
      </c>
      <c r="L67" s="516" t="s">
        <v>2243</v>
      </c>
      <c r="M67" s="529" t="s">
        <v>2452</v>
      </c>
      <c r="N67" s="508">
        <f t="shared" ca="1" si="48"/>
        <v>12.824999999999999</v>
      </c>
      <c r="O67" s="565">
        <v>1</v>
      </c>
      <c r="P67" s="594">
        <v>1.9E-2</v>
      </c>
      <c r="Q67" s="170">
        <f t="shared" ca="1" si="77"/>
        <v>6.9629629629629639E-2</v>
      </c>
      <c r="R67" s="508">
        <f t="shared" ca="1" si="78"/>
        <v>696</v>
      </c>
      <c r="T67" s="512">
        <v>2</v>
      </c>
      <c r="U67" s="516" t="s">
        <v>2243</v>
      </c>
      <c r="V67" s="529" t="s">
        <v>2452</v>
      </c>
      <c r="W67" s="508">
        <f t="shared" ca="1" si="51"/>
        <v>12.824999999999999</v>
      </c>
      <c r="X67" s="594">
        <v>1</v>
      </c>
      <c r="Y67" s="594">
        <v>1.9E-2</v>
      </c>
      <c r="Z67" s="170">
        <f t="shared" ca="1" si="79"/>
        <v>7.0370370370370375E-2</v>
      </c>
      <c r="AA67" s="508">
        <f t="shared" ca="1" si="80"/>
        <v>704</v>
      </c>
      <c r="AC67" s="512">
        <v>2</v>
      </c>
      <c r="AD67" s="516" t="s">
        <v>2243</v>
      </c>
      <c r="AE67" s="529" t="s">
        <v>2452</v>
      </c>
      <c r="AF67" s="508">
        <f t="shared" ca="1" si="54"/>
        <v>12.824999999999999</v>
      </c>
      <c r="AG67" s="594">
        <v>1.5</v>
      </c>
      <c r="AH67" s="594">
        <v>1.7000000000000001E-2</v>
      </c>
      <c r="AI67" s="170">
        <f t="shared" ca="1" si="81"/>
        <v>5.6556205328135156E-2</v>
      </c>
      <c r="AJ67" s="508">
        <f t="shared" ca="1" si="82"/>
        <v>566</v>
      </c>
      <c r="AL67" s="512">
        <v>2</v>
      </c>
      <c r="AM67" s="516" t="s">
        <v>2243</v>
      </c>
      <c r="AN67" s="529" t="s">
        <v>2452</v>
      </c>
      <c r="AO67" s="508">
        <f t="shared" ca="1" si="57"/>
        <v>12.824999999999999</v>
      </c>
      <c r="AP67" s="594">
        <v>2</v>
      </c>
      <c r="AQ67" s="594">
        <v>1.7000000000000001E-2</v>
      </c>
      <c r="AR67" s="170">
        <f t="shared" ca="1" si="83"/>
        <v>6.4288499025341131E-2</v>
      </c>
      <c r="AS67" s="508">
        <f t="shared" ca="1" si="84"/>
        <v>643</v>
      </c>
      <c r="AU67" s="512">
        <v>2</v>
      </c>
      <c r="AV67" s="512" t="s">
        <v>2254</v>
      </c>
      <c r="AW67" s="529" t="s">
        <v>2452</v>
      </c>
      <c r="AX67" s="508">
        <f t="shared" ca="1" si="60"/>
        <v>12.824999999999999</v>
      </c>
      <c r="AY67" s="625">
        <v>1.5</v>
      </c>
      <c r="AZ67" s="600">
        <v>1.9E-2</v>
      </c>
      <c r="BA67" s="170">
        <f t="shared" ca="1" si="70"/>
        <v>6.4197530864197536E-2</v>
      </c>
      <c r="BB67" s="508">
        <f t="shared" ca="1" si="61"/>
        <v>642</v>
      </c>
      <c r="BD67" s="512">
        <v>2</v>
      </c>
      <c r="BE67" s="512" t="s">
        <v>2254</v>
      </c>
      <c r="BF67" s="529" t="s">
        <v>2452</v>
      </c>
      <c r="BG67" s="508">
        <f t="shared" ca="1" si="62"/>
        <v>12.824999999999999</v>
      </c>
      <c r="BH67" s="632">
        <v>4</v>
      </c>
      <c r="BI67" s="600">
        <v>1.9E-2</v>
      </c>
      <c r="BJ67" s="170">
        <f t="shared" ca="1" si="85"/>
        <v>5.4629629629629625E-2</v>
      </c>
      <c r="BK67" s="508">
        <f t="shared" ca="1" si="86"/>
        <v>546</v>
      </c>
      <c r="BM67" s="512">
        <v>2</v>
      </c>
      <c r="BN67" s="525" t="s">
        <v>2254</v>
      </c>
      <c r="BO67" s="530" t="s">
        <v>2200</v>
      </c>
      <c r="BP67" s="508">
        <f t="shared" ca="1" si="65"/>
        <v>12.824999999999999</v>
      </c>
      <c r="BQ67" s="632">
        <v>9.5</v>
      </c>
      <c r="BR67" s="600">
        <v>1.9E-2</v>
      </c>
      <c r="BS67" s="170">
        <f t="shared" ca="1" si="87"/>
        <v>5.1461988304093563E-2</v>
      </c>
      <c r="BT67" s="523">
        <f t="shared" ca="1" si="88"/>
        <v>515</v>
      </c>
      <c r="CE67" s="512">
        <v>4</v>
      </c>
      <c r="CF67" s="527" t="s">
        <v>624</v>
      </c>
      <c r="CG67" s="525" t="s">
        <v>1211</v>
      </c>
      <c r="CH67" s="523">
        <f t="shared" ca="1" si="91"/>
        <v>52.8</v>
      </c>
      <c r="CI67" s="662">
        <v>2</v>
      </c>
      <c r="CJ67" s="523">
        <v>0.1011</v>
      </c>
      <c r="CK67" s="170">
        <f t="shared" ca="1" si="92"/>
        <v>4.786931818181818E-2</v>
      </c>
      <c r="CL67" s="508">
        <f t="shared" ca="1" si="93"/>
        <v>479</v>
      </c>
      <c r="CW67" s="618">
        <v>8</v>
      </c>
      <c r="CX67" s="621" t="s">
        <v>719</v>
      </c>
      <c r="CY67" s="618" t="s">
        <v>1211</v>
      </c>
      <c r="CZ67" s="617">
        <f t="shared" ca="1" si="94"/>
        <v>100</v>
      </c>
      <c r="DA67" s="617">
        <v>2</v>
      </c>
      <c r="DB67" s="617">
        <v>0.33329999999999999</v>
      </c>
      <c r="DC67" s="617">
        <v>0.33329999999999999</v>
      </c>
      <c r="DD67" s="617">
        <f t="shared" si="95"/>
        <v>3333</v>
      </c>
    </row>
    <row r="68" spans="2:109" x14ac:dyDescent="0.35">
      <c r="B68" s="512">
        <v>2</v>
      </c>
      <c r="C68" s="516" t="s">
        <v>2245</v>
      </c>
      <c r="D68" s="529" t="s">
        <v>2452</v>
      </c>
      <c r="E68" s="508">
        <f t="shared" ca="1" si="46"/>
        <v>12.824999999999999</v>
      </c>
      <c r="F68" s="565">
        <v>2</v>
      </c>
      <c r="G68" s="594">
        <v>1.9E-2</v>
      </c>
      <c r="H68" s="170">
        <f t="shared" ca="1" si="69"/>
        <v>4.3518518518518519E-2</v>
      </c>
      <c r="I68" s="508">
        <f t="shared" ca="1" si="47"/>
        <v>435</v>
      </c>
      <c r="K68" s="512">
        <v>2</v>
      </c>
      <c r="L68" s="516" t="s">
        <v>2245</v>
      </c>
      <c r="M68" s="529" t="s">
        <v>2452</v>
      </c>
      <c r="N68" s="508">
        <f t="shared" ca="1" si="48"/>
        <v>12.824999999999999</v>
      </c>
      <c r="O68" s="565">
        <v>1</v>
      </c>
      <c r="P68" s="594">
        <v>1.9E-2</v>
      </c>
      <c r="Q68" s="170">
        <f t="shared" ca="1" si="77"/>
        <v>6.9629629629629639E-2</v>
      </c>
      <c r="R68" s="508">
        <f t="shared" ca="1" si="78"/>
        <v>696</v>
      </c>
      <c r="T68" s="512">
        <v>2</v>
      </c>
      <c r="U68" s="516" t="s">
        <v>2245</v>
      </c>
      <c r="V68" s="529" t="s">
        <v>2452</v>
      </c>
      <c r="W68" s="508">
        <f t="shared" ca="1" si="51"/>
        <v>12.824999999999999</v>
      </c>
      <c r="X68" s="594">
        <v>1</v>
      </c>
      <c r="Y68" s="594">
        <v>1.9E-2</v>
      </c>
      <c r="Z68" s="170">
        <f t="shared" ca="1" si="79"/>
        <v>7.0370370370370375E-2</v>
      </c>
      <c r="AA68" s="508">
        <f t="shared" ca="1" si="80"/>
        <v>704</v>
      </c>
      <c r="AC68" s="512">
        <v>2</v>
      </c>
      <c r="AD68" s="516" t="s">
        <v>2245</v>
      </c>
      <c r="AE68" s="529" t="s">
        <v>2452</v>
      </c>
      <c r="AF68" s="508">
        <f t="shared" ca="1" si="54"/>
        <v>12.824999999999999</v>
      </c>
      <c r="AG68" s="594">
        <v>1.5</v>
      </c>
      <c r="AH68" s="594">
        <v>1.7000000000000001E-2</v>
      </c>
      <c r="AI68" s="170">
        <f t="shared" ca="1" si="81"/>
        <v>5.6556205328135156E-2</v>
      </c>
      <c r="AJ68" s="508">
        <f t="shared" ca="1" si="82"/>
        <v>566</v>
      </c>
      <c r="AL68" s="512">
        <v>2</v>
      </c>
      <c r="AM68" s="516" t="s">
        <v>2245</v>
      </c>
      <c r="AN68" s="529" t="s">
        <v>2452</v>
      </c>
      <c r="AO68" s="508">
        <f t="shared" ca="1" si="57"/>
        <v>12.824999999999999</v>
      </c>
      <c r="AP68" s="594">
        <v>2</v>
      </c>
      <c r="AQ68" s="594">
        <v>1.7000000000000001E-2</v>
      </c>
      <c r="AR68" s="170">
        <f t="shared" ca="1" si="83"/>
        <v>6.4288499025341131E-2</v>
      </c>
      <c r="AS68" s="508">
        <f t="shared" ca="1" si="84"/>
        <v>643</v>
      </c>
      <c r="AU68" s="512">
        <v>2</v>
      </c>
      <c r="AV68" s="512" t="s">
        <v>2256</v>
      </c>
      <c r="AW68" s="529" t="s">
        <v>2452</v>
      </c>
      <c r="AX68" s="508">
        <f t="shared" ca="1" si="60"/>
        <v>12.824999999999999</v>
      </c>
      <c r="AY68" s="625">
        <v>1.5</v>
      </c>
      <c r="AZ68" s="600">
        <v>1.9E-2</v>
      </c>
      <c r="BA68" s="170">
        <f t="shared" ca="1" si="70"/>
        <v>6.4197530864197536E-2</v>
      </c>
      <c r="BB68" s="508">
        <f t="shared" ca="1" si="61"/>
        <v>642</v>
      </c>
      <c r="BD68" s="512">
        <v>2</v>
      </c>
      <c r="BE68" s="512" t="s">
        <v>2256</v>
      </c>
      <c r="BF68" s="529" t="s">
        <v>2452</v>
      </c>
      <c r="BG68" s="508">
        <f t="shared" ca="1" si="62"/>
        <v>12.824999999999999</v>
      </c>
      <c r="BH68" s="632">
        <v>4</v>
      </c>
      <c r="BI68" s="600">
        <v>1.9E-2</v>
      </c>
      <c r="BJ68" s="170">
        <f t="shared" ca="1" si="85"/>
        <v>5.4629629629629625E-2</v>
      </c>
      <c r="BK68" s="508">
        <f t="shared" ca="1" si="86"/>
        <v>546</v>
      </c>
      <c r="BM68" s="512">
        <v>2</v>
      </c>
      <c r="BN68" s="525" t="s">
        <v>2256</v>
      </c>
      <c r="BO68" s="530" t="s">
        <v>2200</v>
      </c>
      <c r="BP68" s="508">
        <f t="shared" ca="1" si="65"/>
        <v>12.824999999999999</v>
      </c>
      <c r="BQ68" s="632">
        <v>9.5</v>
      </c>
      <c r="BR68" s="600">
        <v>1.9E-2</v>
      </c>
      <c r="BS68" s="170">
        <f t="shared" ca="1" si="87"/>
        <v>5.1461988304093563E-2</v>
      </c>
      <c r="BT68" s="523">
        <f t="shared" ca="1" si="88"/>
        <v>515</v>
      </c>
      <c r="BV68" s="293" t="s">
        <v>597</v>
      </c>
      <c r="BW68" s="293" t="s">
        <v>1225</v>
      </c>
      <c r="BX68" s="291" t="s">
        <v>917</v>
      </c>
      <c r="BY68" s="166" t="s">
        <v>920</v>
      </c>
      <c r="BZ68" s="294" t="s">
        <v>967</v>
      </c>
      <c r="CA68" s="166" t="s">
        <v>854</v>
      </c>
      <c r="CB68" s="166" t="s">
        <v>926</v>
      </c>
      <c r="CC68" s="292" t="s">
        <v>927</v>
      </c>
      <c r="CD68" s="300" t="e">
        <f ca="1">SUM(CC69:CC95)</f>
        <v>#VALUE!</v>
      </c>
      <c r="CE68" s="512">
        <v>4</v>
      </c>
      <c r="CF68" s="527" t="s">
        <v>630</v>
      </c>
      <c r="CG68" s="525" t="s">
        <v>1211</v>
      </c>
      <c r="CH68" s="523">
        <f t="shared" ca="1" si="91"/>
        <v>52.8</v>
      </c>
      <c r="CI68" s="662">
        <v>2</v>
      </c>
      <c r="CJ68" s="523">
        <v>0.1011</v>
      </c>
      <c r="CK68" s="170">
        <f t="shared" ca="1" si="92"/>
        <v>4.786931818181818E-2</v>
      </c>
      <c r="CL68" s="508">
        <f t="shared" ca="1" si="93"/>
        <v>479</v>
      </c>
      <c r="CN68" s="618" t="s">
        <v>597</v>
      </c>
      <c r="CO68" s="618" t="s">
        <v>1225</v>
      </c>
      <c r="CP68" s="619" t="s">
        <v>917</v>
      </c>
      <c r="CQ68" s="166" t="s">
        <v>920</v>
      </c>
      <c r="CR68" s="622" t="s">
        <v>967</v>
      </c>
      <c r="CS68" s="166" t="s">
        <v>854</v>
      </c>
      <c r="CT68" s="166" t="s">
        <v>926</v>
      </c>
      <c r="CU68" s="620" t="s">
        <v>927</v>
      </c>
      <c r="CV68" s="300">
        <f>SUM(CU69:CU77)</f>
        <v>10000</v>
      </c>
      <c r="CW68" s="618">
        <v>8</v>
      </c>
      <c r="CX68" s="621" t="s">
        <v>635</v>
      </c>
      <c r="CY68" s="618" t="s">
        <v>1211</v>
      </c>
      <c r="CZ68" s="617">
        <f t="shared" ca="1" si="94"/>
        <v>100</v>
      </c>
      <c r="DA68" s="617">
        <v>2</v>
      </c>
      <c r="DB68" s="617">
        <v>0.33339999999999997</v>
      </c>
      <c r="DC68" s="617">
        <v>0.33339999999999997</v>
      </c>
      <c r="DD68" s="617">
        <f t="shared" si="95"/>
        <v>3334</v>
      </c>
    </row>
    <row r="69" spans="2:109" x14ac:dyDescent="0.35">
      <c r="B69" s="512">
        <v>2</v>
      </c>
      <c r="C69" s="516" t="s">
        <v>2247</v>
      </c>
      <c r="D69" s="529" t="s">
        <v>2452</v>
      </c>
      <c r="E69" s="508">
        <f t="shared" ca="1" si="46"/>
        <v>12.824999999999999</v>
      </c>
      <c r="F69" s="565">
        <v>2</v>
      </c>
      <c r="G69" s="594">
        <v>1.9E-2</v>
      </c>
      <c r="H69" s="170">
        <f t="shared" ca="1" si="69"/>
        <v>4.3518518518518519E-2</v>
      </c>
      <c r="I69" s="508">
        <f t="shared" ca="1" si="47"/>
        <v>435</v>
      </c>
      <c r="K69" s="512">
        <v>2</v>
      </c>
      <c r="L69" s="516" t="s">
        <v>2247</v>
      </c>
      <c r="M69" s="529" t="s">
        <v>2452</v>
      </c>
      <c r="N69" s="508">
        <f t="shared" ca="1" si="48"/>
        <v>12.824999999999999</v>
      </c>
      <c r="O69" s="565">
        <v>1</v>
      </c>
      <c r="P69" s="594">
        <v>1.9E-2</v>
      </c>
      <c r="Q69" s="170">
        <f t="shared" ca="1" si="77"/>
        <v>6.9629629629629639E-2</v>
      </c>
      <c r="R69" s="508">
        <f t="shared" ca="1" si="78"/>
        <v>696</v>
      </c>
      <c r="T69" s="512">
        <v>2</v>
      </c>
      <c r="U69" s="516" t="s">
        <v>2247</v>
      </c>
      <c r="V69" s="529" t="s">
        <v>2452</v>
      </c>
      <c r="W69" s="508">
        <f t="shared" ca="1" si="51"/>
        <v>12.824999999999999</v>
      </c>
      <c r="X69" s="594">
        <v>1</v>
      </c>
      <c r="Y69" s="594">
        <v>1.9E-2</v>
      </c>
      <c r="Z69" s="170">
        <f t="shared" ca="1" si="79"/>
        <v>7.0370370370370375E-2</v>
      </c>
      <c r="AA69" s="508">
        <f t="shared" ca="1" si="80"/>
        <v>704</v>
      </c>
      <c r="AC69" s="512">
        <v>2</v>
      </c>
      <c r="AD69" s="516" t="s">
        <v>2247</v>
      </c>
      <c r="AE69" s="529" t="s">
        <v>2452</v>
      </c>
      <c r="AF69" s="508">
        <f t="shared" ca="1" si="54"/>
        <v>12.824999999999999</v>
      </c>
      <c r="AG69" s="594">
        <v>1.5</v>
      </c>
      <c r="AH69" s="594">
        <v>1.7000000000000001E-2</v>
      </c>
      <c r="AI69" s="170">
        <f t="shared" ca="1" si="81"/>
        <v>5.6556205328135156E-2</v>
      </c>
      <c r="AJ69" s="508">
        <f t="shared" ca="1" si="82"/>
        <v>566</v>
      </c>
      <c r="AL69" s="512">
        <v>2</v>
      </c>
      <c r="AM69" s="516" t="s">
        <v>2247</v>
      </c>
      <c r="AN69" s="529" t="s">
        <v>2452</v>
      </c>
      <c r="AO69" s="508">
        <f t="shared" ca="1" si="57"/>
        <v>12.824999999999999</v>
      </c>
      <c r="AP69" s="594">
        <v>2</v>
      </c>
      <c r="AQ69" s="594">
        <v>1.7000000000000001E-2</v>
      </c>
      <c r="AR69" s="170">
        <f t="shared" ca="1" si="83"/>
        <v>6.4288499025341131E-2</v>
      </c>
      <c r="AS69" s="508">
        <f t="shared" ca="1" si="84"/>
        <v>643</v>
      </c>
      <c r="AU69" s="512">
        <v>2</v>
      </c>
      <c r="AV69" s="516" t="s">
        <v>2241</v>
      </c>
      <c r="AW69" s="529" t="s">
        <v>2452</v>
      </c>
      <c r="AX69" s="508">
        <f t="shared" ca="1" si="60"/>
        <v>12.824999999999999</v>
      </c>
      <c r="AY69" s="625">
        <v>1.5</v>
      </c>
      <c r="AZ69" s="600">
        <v>1.9E-2</v>
      </c>
      <c r="BA69" s="170">
        <f t="shared" ca="1" si="70"/>
        <v>6.4197530864197536E-2</v>
      </c>
      <c r="BB69" s="508">
        <f t="shared" ca="1" si="61"/>
        <v>642</v>
      </c>
      <c r="BD69" s="512">
        <v>2</v>
      </c>
      <c r="BE69" s="516" t="s">
        <v>2241</v>
      </c>
      <c r="BF69" s="529" t="s">
        <v>2452</v>
      </c>
      <c r="BG69" s="508">
        <f t="shared" ca="1" si="62"/>
        <v>12.824999999999999</v>
      </c>
      <c r="BH69" s="632">
        <v>4</v>
      </c>
      <c r="BI69" s="600">
        <v>1.9E-2</v>
      </c>
      <c r="BJ69" s="170">
        <f t="shared" ca="1" si="85"/>
        <v>5.4629629629629625E-2</v>
      </c>
      <c r="BK69" s="508">
        <f t="shared" ca="1" si="86"/>
        <v>546</v>
      </c>
      <c r="BM69" s="512">
        <v>2</v>
      </c>
      <c r="BN69" s="527" t="s">
        <v>2241</v>
      </c>
      <c r="BO69" s="530" t="s">
        <v>2200</v>
      </c>
      <c r="BP69" s="508">
        <f t="shared" ca="1" si="65"/>
        <v>12.824999999999999</v>
      </c>
      <c r="BQ69" s="632">
        <v>9.5</v>
      </c>
      <c r="BR69" s="600">
        <v>1.9E-2</v>
      </c>
      <c r="BS69" s="170">
        <f t="shared" ca="1" si="87"/>
        <v>5.1461988304093563E-2</v>
      </c>
      <c r="BT69" s="523">
        <f t="shared" ca="1" si="88"/>
        <v>515</v>
      </c>
      <c r="BV69" s="293">
        <v>3</v>
      </c>
      <c r="BW69" s="527" t="s">
        <v>2239</v>
      </c>
      <c r="BX69" s="530" t="s">
        <v>2200</v>
      </c>
      <c r="BY69" s="523">
        <f t="shared" ref="BY69:BY95" ca="1" si="96">IF(BX69="部件",VLOOKUP(BV69,INDIRECT(BX69&amp;"价值"),MATCH(LEFT(BW69,2)&amp;"部件",INDIRECT(BX69&amp;"价值标头"),0),FALSE),IF(BX69="加速道具",VLOOKUP(BW69,INDIRECT(BX69&amp;"价值"),MATCH("价格",INDIRECT(BX69&amp;"价值标头"),0),FALSE),VLOOKUP(BV69,INDIRECT(BX69&amp;"价值"),MATCH(BW69,INDIRECT(BX69&amp;"价值标头"),0),FALSE)))</f>
        <v>12.15</v>
      </c>
      <c r="BZ69" s="523">
        <v>5.5</v>
      </c>
      <c r="CA69" s="394">
        <v>3.7999999999999999E-2</v>
      </c>
      <c r="CB69" s="170">
        <f ca="1">CA69*BW$4/BY69/BZ69</f>
        <v>2.8432472876917317E-2</v>
      </c>
      <c r="CC69" s="290">
        <f ca="1">ROUND(CB69*10000,0)</f>
        <v>284</v>
      </c>
      <c r="CE69" s="512">
        <v>4</v>
      </c>
      <c r="CF69" s="527" t="s">
        <v>617</v>
      </c>
      <c r="CG69" s="525" t="s">
        <v>1211</v>
      </c>
      <c r="CH69" s="523">
        <f t="shared" ca="1" si="91"/>
        <v>81.599999999999994</v>
      </c>
      <c r="CI69" s="523">
        <v>1</v>
      </c>
      <c r="CJ69" s="523">
        <v>0.13109999999999999</v>
      </c>
      <c r="CK69" s="170">
        <f t="shared" ca="1" si="92"/>
        <v>8.0330882352941183E-2</v>
      </c>
      <c r="CL69" s="508">
        <f t="shared" ca="1" si="93"/>
        <v>803</v>
      </c>
      <c r="CN69" s="618">
        <v>3</v>
      </c>
      <c r="CO69" s="621" t="s">
        <v>2258</v>
      </c>
      <c r="CP69" s="616" t="s">
        <v>2200</v>
      </c>
      <c r="CQ69" s="617" t="e">
        <f>VLOOKUP(LEFT(CO69,2)&amp;CP69,道具价值!$B$28:$C$30,2,FALSE)</f>
        <v>#N/A</v>
      </c>
      <c r="CR69" s="617">
        <v>1</v>
      </c>
      <c r="CS69" s="617">
        <v>0.111</v>
      </c>
      <c r="CT69" s="170">
        <f>CS69</f>
        <v>0.111</v>
      </c>
      <c r="CU69" s="617">
        <f t="shared" ref="CU69:CU77" si="97">ROUND(CT69*10000,0)</f>
        <v>1110</v>
      </c>
    </row>
    <row r="70" spans="2:109" x14ac:dyDescent="0.35">
      <c r="B70" s="512">
        <v>2</v>
      </c>
      <c r="C70" s="516" t="s">
        <v>2249</v>
      </c>
      <c r="D70" s="529" t="s">
        <v>2452</v>
      </c>
      <c r="E70" s="508">
        <f t="shared" ca="1" si="46"/>
        <v>12.824999999999999</v>
      </c>
      <c r="F70" s="565">
        <v>2</v>
      </c>
      <c r="G70" s="594">
        <v>1.9E-2</v>
      </c>
      <c r="H70" s="170">
        <f t="shared" ca="1" si="69"/>
        <v>4.3518518518518519E-2</v>
      </c>
      <c r="I70" s="508">
        <f t="shared" ca="1" si="47"/>
        <v>435</v>
      </c>
      <c r="K70" s="512">
        <v>2</v>
      </c>
      <c r="L70" s="516" t="s">
        <v>2249</v>
      </c>
      <c r="M70" s="529" t="s">
        <v>2452</v>
      </c>
      <c r="N70" s="508">
        <f t="shared" ca="1" si="48"/>
        <v>12.824999999999999</v>
      </c>
      <c r="O70" s="565">
        <v>1</v>
      </c>
      <c r="P70" s="594">
        <v>1.9E-2</v>
      </c>
      <c r="Q70" s="170">
        <f t="shared" ca="1" si="77"/>
        <v>6.9629629629629639E-2</v>
      </c>
      <c r="R70" s="508">
        <f t="shared" ca="1" si="78"/>
        <v>696</v>
      </c>
      <c r="T70" s="512">
        <v>2</v>
      </c>
      <c r="U70" s="516" t="s">
        <v>2249</v>
      </c>
      <c r="V70" s="529" t="s">
        <v>2452</v>
      </c>
      <c r="W70" s="508">
        <f t="shared" ca="1" si="51"/>
        <v>12.824999999999999</v>
      </c>
      <c r="X70" s="594">
        <v>1</v>
      </c>
      <c r="Y70" s="594">
        <v>1.9E-2</v>
      </c>
      <c r="Z70" s="170">
        <f t="shared" ca="1" si="79"/>
        <v>7.0370370370370375E-2</v>
      </c>
      <c r="AA70" s="508">
        <f t="shared" ca="1" si="80"/>
        <v>704</v>
      </c>
      <c r="AC70" s="512">
        <v>2</v>
      </c>
      <c r="AD70" s="516" t="s">
        <v>2249</v>
      </c>
      <c r="AE70" s="529" t="s">
        <v>2452</v>
      </c>
      <c r="AF70" s="508">
        <f t="shared" ca="1" si="54"/>
        <v>12.824999999999999</v>
      </c>
      <c r="AG70" s="594">
        <v>1.5</v>
      </c>
      <c r="AH70" s="594">
        <v>1.7000000000000001E-2</v>
      </c>
      <c r="AI70" s="170">
        <f t="shared" ca="1" si="81"/>
        <v>5.6556205328135156E-2</v>
      </c>
      <c r="AJ70" s="508">
        <f t="shared" ca="1" si="82"/>
        <v>566</v>
      </c>
      <c r="AL70" s="512">
        <v>2</v>
      </c>
      <c r="AM70" s="516" t="s">
        <v>2249</v>
      </c>
      <c r="AN70" s="529" t="s">
        <v>2452</v>
      </c>
      <c r="AO70" s="508">
        <f t="shared" ca="1" si="57"/>
        <v>12.824999999999999</v>
      </c>
      <c r="AP70" s="594">
        <v>2</v>
      </c>
      <c r="AQ70" s="594">
        <v>1.7000000000000001E-2</v>
      </c>
      <c r="AR70" s="170">
        <f t="shared" ca="1" si="83"/>
        <v>6.4288499025341131E-2</v>
      </c>
      <c r="AS70" s="508">
        <f t="shared" ca="1" si="84"/>
        <v>643</v>
      </c>
      <c r="AU70" s="512">
        <v>2</v>
      </c>
      <c r="AV70" s="516" t="s">
        <v>2243</v>
      </c>
      <c r="AW70" s="529" t="s">
        <v>2452</v>
      </c>
      <c r="AX70" s="508">
        <f t="shared" ca="1" si="60"/>
        <v>12.824999999999999</v>
      </c>
      <c r="AY70" s="625">
        <v>1.5</v>
      </c>
      <c r="AZ70" s="600">
        <v>1.7999999999999999E-2</v>
      </c>
      <c r="BA70" s="170">
        <f t="shared" ca="1" si="70"/>
        <v>6.0818713450292404E-2</v>
      </c>
      <c r="BB70" s="508">
        <f t="shared" ca="1" si="61"/>
        <v>608</v>
      </c>
      <c r="BD70" s="512">
        <v>2</v>
      </c>
      <c r="BE70" s="516" t="s">
        <v>2243</v>
      </c>
      <c r="BF70" s="529" t="s">
        <v>2452</v>
      </c>
      <c r="BG70" s="508">
        <f t="shared" ca="1" si="62"/>
        <v>12.824999999999999</v>
      </c>
      <c r="BH70" s="632">
        <v>4</v>
      </c>
      <c r="BI70" s="600">
        <v>1.7999999999999999E-2</v>
      </c>
      <c r="BJ70" s="170">
        <f t="shared" ca="1" si="85"/>
        <v>5.1754385964912282E-2</v>
      </c>
      <c r="BK70" s="508">
        <f t="shared" ca="1" si="86"/>
        <v>518</v>
      </c>
      <c r="BM70" s="512">
        <v>2</v>
      </c>
      <c r="BN70" s="527" t="s">
        <v>2243</v>
      </c>
      <c r="BO70" s="530" t="s">
        <v>2200</v>
      </c>
      <c r="BP70" s="508">
        <f t="shared" ca="1" si="65"/>
        <v>12.824999999999999</v>
      </c>
      <c r="BQ70" s="632">
        <v>9.5</v>
      </c>
      <c r="BR70" s="600">
        <v>1.7999999999999999E-2</v>
      </c>
      <c r="BS70" s="170">
        <f t="shared" ca="1" si="87"/>
        <v>4.8753462603878119E-2</v>
      </c>
      <c r="BT70" s="523">
        <f t="shared" ca="1" si="88"/>
        <v>488</v>
      </c>
      <c r="BV70" s="293">
        <v>3</v>
      </c>
      <c r="BW70" s="527" t="s">
        <v>2242</v>
      </c>
      <c r="BX70" s="530" t="s">
        <v>2200</v>
      </c>
      <c r="BY70" s="523">
        <f t="shared" ca="1" si="96"/>
        <v>12.15</v>
      </c>
      <c r="BZ70" s="662">
        <v>5.5</v>
      </c>
      <c r="CA70" s="523">
        <v>3.6999999999999998E-2</v>
      </c>
      <c r="CB70" s="170">
        <f ca="1">CA70*BW$4/BY70/BZ70</f>
        <v>2.7684249906472124E-2</v>
      </c>
      <c r="CC70" s="290">
        <f ca="1">ROUND(CB70*10000,0)</f>
        <v>277</v>
      </c>
      <c r="CE70" s="512">
        <v>4</v>
      </c>
      <c r="CF70" s="527" t="s">
        <v>626</v>
      </c>
      <c r="CG70" s="525" t="s">
        <v>1211</v>
      </c>
      <c r="CH70" s="523">
        <f t="shared" ca="1" si="91"/>
        <v>81.599999999999994</v>
      </c>
      <c r="CI70" s="523">
        <v>1</v>
      </c>
      <c r="CJ70" s="523">
        <v>0.13109999999999999</v>
      </c>
      <c r="CK70" s="170">
        <f t="shared" ca="1" si="92"/>
        <v>8.0330882352941183E-2</v>
      </c>
      <c r="CL70" s="508">
        <f t="shared" ca="1" si="93"/>
        <v>803</v>
      </c>
      <c r="CN70" s="618">
        <v>3</v>
      </c>
      <c r="CO70" s="621" t="s">
        <v>2260</v>
      </c>
      <c r="CP70" s="616" t="s">
        <v>2200</v>
      </c>
      <c r="CQ70" s="617" t="e">
        <f>VLOOKUP(LEFT(CO70,2)&amp;CP70,道具价值!$B$28:$C$30,2,FALSE)</f>
        <v>#N/A</v>
      </c>
      <c r="CR70" s="617">
        <v>1</v>
      </c>
      <c r="CS70" s="617">
        <v>0.111</v>
      </c>
      <c r="CT70" s="170">
        <f t="shared" ref="CT70:CT77" si="98">CS70</f>
        <v>0.111</v>
      </c>
      <c r="CU70" s="617">
        <f t="shared" si="97"/>
        <v>1110</v>
      </c>
    </row>
    <row r="71" spans="2:109" x14ac:dyDescent="0.35">
      <c r="B71" s="512">
        <v>2</v>
      </c>
      <c r="C71" s="516" t="s">
        <v>2251</v>
      </c>
      <c r="D71" s="529" t="s">
        <v>2452</v>
      </c>
      <c r="E71" s="508">
        <f t="shared" ca="1" si="46"/>
        <v>12.824999999999999</v>
      </c>
      <c r="F71" s="565">
        <v>2</v>
      </c>
      <c r="G71" s="594">
        <v>1.9E-2</v>
      </c>
      <c r="H71" s="170">
        <f t="shared" ca="1" si="69"/>
        <v>4.3518518518518519E-2</v>
      </c>
      <c r="I71" s="508">
        <f t="shared" ca="1" si="47"/>
        <v>435</v>
      </c>
      <c r="K71" s="512">
        <v>2</v>
      </c>
      <c r="L71" s="516" t="s">
        <v>2251</v>
      </c>
      <c r="M71" s="529" t="s">
        <v>2452</v>
      </c>
      <c r="N71" s="508">
        <f t="shared" ca="1" si="48"/>
        <v>12.824999999999999</v>
      </c>
      <c r="O71" s="565">
        <v>1</v>
      </c>
      <c r="P71" s="594">
        <v>1.9E-2</v>
      </c>
      <c r="Q71" s="170">
        <f t="shared" ca="1" si="77"/>
        <v>6.9629629629629639E-2</v>
      </c>
      <c r="R71" s="508">
        <f t="shared" ca="1" si="78"/>
        <v>696</v>
      </c>
      <c r="T71" s="512">
        <v>2</v>
      </c>
      <c r="U71" s="516" t="s">
        <v>2251</v>
      </c>
      <c r="V71" s="529" t="s">
        <v>2452</v>
      </c>
      <c r="W71" s="508">
        <f t="shared" ca="1" si="51"/>
        <v>12.824999999999999</v>
      </c>
      <c r="X71" s="594">
        <v>1</v>
      </c>
      <c r="Y71" s="594">
        <v>1.9E-2</v>
      </c>
      <c r="Z71" s="170">
        <f t="shared" ca="1" si="79"/>
        <v>7.0370370370370375E-2</v>
      </c>
      <c r="AA71" s="508">
        <f t="shared" ca="1" si="80"/>
        <v>704</v>
      </c>
      <c r="AC71" s="512">
        <v>2</v>
      </c>
      <c r="AD71" s="516" t="s">
        <v>2251</v>
      </c>
      <c r="AE71" s="529" t="s">
        <v>2452</v>
      </c>
      <c r="AF71" s="508">
        <f t="shared" ca="1" si="54"/>
        <v>12.824999999999999</v>
      </c>
      <c r="AG71" s="594">
        <v>1.5</v>
      </c>
      <c r="AH71" s="594">
        <v>1.7000000000000001E-2</v>
      </c>
      <c r="AI71" s="170">
        <f t="shared" ca="1" si="81"/>
        <v>5.6556205328135156E-2</v>
      </c>
      <c r="AJ71" s="508">
        <f t="shared" ca="1" si="82"/>
        <v>566</v>
      </c>
      <c r="AL71" s="512">
        <v>2</v>
      </c>
      <c r="AM71" s="516" t="s">
        <v>2251</v>
      </c>
      <c r="AN71" s="529" t="s">
        <v>2452</v>
      </c>
      <c r="AO71" s="508">
        <f t="shared" ca="1" si="57"/>
        <v>12.824999999999999</v>
      </c>
      <c r="AP71" s="594">
        <v>2</v>
      </c>
      <c r="AQ71" s="594">
        <v>1.7000000000000001E-2</v>
      </c>
      <c r="AR71" s="170">
        <f t="shared" ca="1" si="83"/>
        <v>6.4288499025341131E-2</v>
      </c>
      <c r="AS71" s="508">
        <f t="shared" ca="1" si="84"/>
        <v>643</v>
      </c>
      <c r="AU71" s="512">
        <v>2</v>
      </c>
      <c r="AV71" s="516" t="s">
        <v>2245</v>
      </c>
      <c r="AW71" s="529" t="s">
        <v>2452</v>
      </c>
      <c r="AX71" s="508">
        <f t="shared" ca="1" si="60"/>
        <v>12.824999999999999</v>
      </c>
      <c r="AY71" s="625">
        <v>1.5</v>
      </c>
      <c r="AZ71" s="600">
        <v>1.7999999999999999E-2</v>
      </c>
      <c r="BA71" s="170">
        <f t="shared" ca="1" si="70"/>
        <v>6.0818713450292404E-2</v>
      </c>
      <c r="BB71" s="508">
        <f t="shared" ca="1" si="61"/>
        <v>608</v>
      </c>
      <c r="BD71" s="512">
        <v>2</v>
      </c>
      <c r="BE71" s="516" t="s">
        <v>2245</v>
      </c>
      <c r="BF71" s="529" t="s">
        <v>2452</v>
      </c>
      <c r="BG71" s="508">
        <f t="shared" ca="1" si="62"/>
        <v>12.824999999999999</v>
      </c>
      <c r="BH71" s="632">
        <v>4</v>
      </c>
      <c r="BI71" s="600">
        <v>1.7999999999999999E-2</v>
      </c>
      <c r="BJ71" s="170">
        <f t="shared" ca="1" si="85"/>
        <v>5.1754385964912282E-2</v>
      </c>
      <c r="BK71" s="508">
        <f t="shared" ca="1" si="86"/>
        <v>518</v>
      </c>
      <c r="BM71" s="512">
        <v>2</v>
      </c>
      <c r="BN71" s="527" t="s">
        <v>2245</v>
      </c>
      <c r="BO71" s="530" t="s">
        <v>2200</v>
      </c>
      <c r="BP71" s="508">
        <f t="shared" ca="1" si="65"/>
        <v>12.824999999999999</v>
      </c>
      <c r="BQ71" s="632">
        <v>9.5</v>
      </c>
      <c r="BR71" s="600">
        <v>1.7999999999999999E-2</v>
      </c>
      <c r="BS71" s="170">
        <f t="shared" ca="1" si="87"/>
        <v>4.8753462603878119E-2</v>
      </c>
      <c r="BT71" s="523">
        <f t="shared" ca="1" si="88"/>
        <v>488</v>
      </c>
      <c r="BV71" s="293">
        <v>3</v>
      </c>
      <c r="BW71" s="527" t="s">
        <v>2244</v>
      </c>
      <c r="BX71" s="530" t="s">
        <v>2200</v>
      </c>
      <c r="BY71" s="523">
        <f t="shared" ca="1" si="96"/>
        <v>12.15</v>
      </c>
      <c r="BZ71" s="662">
        <v>5.5</v>
      </c>
      <c r="CA71" s="523">
        <v>3.6999999999999998E-2</v>
      </c>
      <c r="CB71" s="170">
        <f ca="1">CA71*BW$4/BY71/BZ71</f>
        <v>2.7684249906472124E-2</v>
      </c>
      <c r="CC71" s="290">
        <f ca="1">ROUND(CB71*10000,0)</f>
        <v>277</v>
      </c>
      <c r="CE71" s="512">
        <v>4</v>
      </c>
      <c r="CF71" s="527" t="s">
        <v>631</v>
      </c>
      <c r="CG71" s="525" t="s">
        <v>1211</v>
      </c>
      <c r="CH71" s="523">
        <f t="shared" ca="1" si="91"/>
        <v>81.599999999999994</v>
      </c>
      <c r="CI71" s="523">
        <v>1</v>
      </c>
      <c r="CJ71" s="523">
        <v>0.13109999999999999</v>
      </c>
      <c r="CK71" s="170">
        <f t="shared" ca="1" si="92"/>
        <v>8.0330882352941183E-2</v>
      </c>
      <c r="CL71" s="508">
        <f t="shared" ca="1" si="93"/>
        <v>803</v>
      </c>
      <c r="CN71" s="618">
        <v>3</v>
      </c>
      <c r="CO71" s="621" t="s">
        <v>2262</v>
      </c>
      <c r="CP71" s="616" t="s">
        <v>2200</v>
      </c>
      <c r="CQ71" s="617" t="e">
        <f>VLOOKUP(LEFT(CO71,2)&amp;CP71,道具价值!$B$28:$C$30,2,FALSE)</f>
        <v>#N/A</v>
      </c>
      <c r="CR71" s="617">
        <v>1</v>
      </c>
      <c r="CS71" s="617">
        <v>0.111</v>
      </c>
      <c r="CT71" s="170">
        <f t="shared" si="98"/>
        <v>0.111</v>
      </c>
      <c r="CU71" s="617">
        <f t="shared" si="97"/>
        <v>1110</v>
      </c>
      <c r="CW71" s="618" t="s">
        <v>597</v>
      </c>
      <c r="CX71" s="618" t="s">
        <v>1225</v>
      </c>
      <c r="CY71" s="619" t="s">
        <v>917</v>
      </c>
      <c r="CZ71" s="166" t="s">
        <v>920</v>
      </c>
      <c r="DA71" s="622" t="s">
        <v>967</v>
      </c>
      <c r="DB71" s="166" t="s">
        <v>854</v>
      </c>
      <c r="DC71" s="166" t="s">
        <v>926</v>
      </c>
      <c r="DD71" s="620" t="s">
        <v>927</v>
      </c>
      <c r="DE71" s="300">
        <f>SUM(DD72:DD74)</f>
        <v>10000</v>
      </c>
    </row>
    <row r="72" spans="2:109" x14ac:dyDescent="0.35">
      <c r="B72" s="512">
        <v>2</v>
      </c>
      <c r="C72" s="516" t="s">
        <v>2253</v>
      </c>
      <c r="D72" s="529" t="s">
        <v>2452</v>
      </c>
      <c r="E72" s="508">
        <f t="shared" ca="1" si="46"/>
        <v>12.824999999999999</v>
      </c>
      <c r="F72" s="565">
        <v>2</v>
      </c>
      <c r="G72" s="594">
        <v>1.9E-2</v>
      </c>
      <c r="H72" s="170">
        <f t="shared" ca="1" si="69"/>
        <v>4.3518518518518519E-2</v>
      </c>
      <c r="I72" s="508">
        <f t="shared" ca="1" si="47"/>
        <v>435</v>
      </c>
      <c r="K72" s="512">
        <v>2</v>
      </c>
      <c r="L72" s="516" t="s">
        <v>2253</v>
      </c>
      <c r="M72" s="529" t="s">
        <v>2452</v>
      </c>
      <c r="N72" s="508">
        <f t="shared" ca="1" si="48"/>
        <v>12.824999999999999</v>
      </c>
      <c r="O72" s="565">
        <v>1</v>
      </c>
      <c r="P72" s="594">
        <v>1.9E-2</v>
      </c>
      <c r="Q72" s="170">
        <f t="shared" ca="1" si="77"/>
        <v>6.9629629629629639E-2</v>
      </c>
      <c r="R72" s="508">
        <f t="shared" ca="1" si="78"/>
        <v>696</v>
      </c>
      <c r="T72" s="512">
        <v>2</v>
      </c>
      <c r="U72" s="516" t="s">
        <v>2253</v>
      </c>
      <c r="V72" s="529" t="s">
        <v>2452</v>
      </c>
      <c r="W72" s="508">
        <f t="shared" ca="1" si="51"/>
        <v>12.824999999999999</v>
      </c>
      <c r="X72" s="594">
        <v>1</v>
      </c>
      <c r="Y72" s="594">
        <v>1.9E-2</v>
      </c>
      <c r="Z72" s="170">
        <f t="shared" ca="1" si="79"/>
        <v>7.0370370370370375E-2</v>
      </c>
      <c r="AA72" s="508">
        <f t="shared" ca="1" si="80"/>
        <v>704</v>
      </c>
      <c r="AC72" s="512">
        <v>2</v>
      </c>
      <c r="AD72" s="516" t="s">
        <v>2253</v>
      </c>
      <c r="AE72" s="529" t="s">
        <v>2452</v>
      </c>
      <c r="AF72" s="508">
        <f t="shared" ca="1" si="54"/>
        <v>12.824999999999999</v>
      </c>
      <c r="AG72" s="594">
        <v>1.5</v>
      </c>
      <c r="AH72" s="594">
        <v>1.7000000000000001E-2</v>
      </c>
      <c r="AI72" s="170">
        <f t="shared" ca="1" si="81"/>
        <v>5.6556205328135156E-2</v>
      </c>
      <c r="AJ72" s="508">
        <f t="shared" ca="1" si="82"/>
        <v>566</v>
      </c>
      <c r="AL72" s="512">
        <v>2</v>
      </c>
      <c r="AM72" s="516" t="s">
        <v>2253</v>
      </c>
      <c r="AN72" s="529" t="s">
        <v>2452</v>
      </c>
      <c r="AO72" s="508">
        <f t="shared" ca="1" si="57"/>
        <v>12.824999999999999</v>
      </c>
      <c r="AP72" s="594">
        <v>2</v>
      </c>
      <c r="AQ72" s="594">
        <v>1.7000000000000001E-2</v>
      </c>
      <c r="AR72" s="170">
        <f t="shared" ca="1" si="83"/>
        <v>6.4288499025341131E-2</v>
      </c>
      <c r="AS72" s="508">
        <f t="shared" ca="1" si="84"/>
        <v>643</v>
      </c>
      <c r="AU72" s="512">
        <v>2</v>
      </c>
      <c r="AV72" s="516" t="s">
        <v>2247</v>
      </c>
      <c r="AW72" s="529" t="s">
        <v>2452</v>
      </c>
      <c r="AX72" s="508">
        <f t="shared" ca="1" si="60"/>
        <v>12.824999999999999</v>
      </c>
      <c r="AY72" s="625">
        <v>1.5</v>
      </c>
      <c r="AZ72" s="600">
        <v>1.7999999999999999E-2</v>
      </c>
      <c r="BA72" s="170">
        <f t="shared" ca="1" si="70"/>
        <v>6.0818713450292404E-2</v>
      </c>
      <c r="BB72" s="508">
        <f t="shared" ca="1" si="61"/>
        <v>608</v>
      </c>
      <c r="BD72" s="512">
        <v>2</v>
      </c>
      <c r="BE72" s="516" t="s">
        <v>2247</v>
      </c>
      <c r="BF72" s="529" t="s">
        <v>2452</v>
      </c>
      <c r="BG72" s="508">
        <f t="shared" ca="1" si="62"/>
        <v>12.824999999999999</v>
      </c>
      <c r="BH72" s="632">
        <v>4</v>
      </c>
      <c r="BI72" s="600">
        <v>1.7999999999999999E-2</v>
      </c>
      <c r="BJ72" s="170">
        <f t="shared" ca="1" si="85"/>
        <v>5.1754385964912282E-2</v>
      </c>
      <c r="BK72" s="508">
        <f t="shared" ca="1" si="86"/>
        <v>518</v>
      </c>
      <c r="BM72" s="512">
        <v>2</v>
      </c>
      <c r="BN72" s="527" t="s">
        <v>2247</v>
      </c>
      <c r="BO72" s="530" t="s">
        <v>2200</v>
      </c>
      <c r="BP72" s="508">
        <f t="shared" ca="1" si="65"/>
        <v>12.824999999999999</v>
      </c>
      <c r="BQ72" s="632">
        <v>9.5</v>
      </c>
      <c r="BR72" s="600">
        <v>1.7999999999999999E-2</v>
      </c>
      <c r="BS72" s="170">
        <f t="shared" ca="1" si="87"/>
        <v>4.8753462603878119E-2</v>
      </c>
      <c r="BT72" s="523">
        <f t="shared" ca="1" si="88"/>
        <v>488</v>
      </c>
      <c r="BV72" s="525">
        <v>3</v>
      </c>
      <c r="BW72" s="527" t="s">
        <v>2246</v>
      </c>
      <c r="BX72" s="530" t="s">
        <v>2200</v>
      </c>
      <c r="BY72" s="523">
        <f t="shared" ca="1" si="96"/>
        <v>12.15</v>
      </c>
      <c r="BZ72" s="662">
        <v>5.5</v>
      </c>
      <c r="CA72" s="523">
        <v>3.6999999999999998E-2</v>
      </c>
      <c r="CB72" s="170">
        <f t="shared" ref="CB72:CB95" ca="1" si="99">CA72*BW$4/BY72/BZ72</f>
        <v>2.7684249906472124E-2</v>
      </c>
      <c r="CC72" s="523">
        <f t="shared" ref="CC72:CC95" ca="1" si="100">ROUND(CB72*10000,0)</f>
        <v>277</v>
      </c>
      <c r="CN72" s="618">
        <v>3</v>
      </c>
      <c r="CO72" s="621" t="s">
        <v>2264</v>
      </c>
      <c r="CP72" s="616" t="s">
        <v>2200</v>
      </c>
      <c r="CQ72" s="617" t="e">
        <f>VLOOKUP(LEFT(CO72,2)&amp;CP72,道具价值!$B$28:$C$30,2,FALSE)</f>
        <v>#N/A</v>
      </c>
      <c r="CR72" s="617">
        <v>1</v>
      </c>
      <c r="CS72" s="617">
        <v>0.111</v>
      </c>
      <c r="CT72" s="170">
        <f t="shared" si="98"/>
        <v>0.111</v>
      </c>
      <c r="CU72" s="617">
        <f t="shared" si="97"/>
        <v>1110</v>
      </c>
      <c r="CW72" s="618">
        <v>9</v>
      </c>
      <c r="CX72" s="621" t="s">
        <v>717</v>
      </c>
      <c r="CY72" s="618" t="s">
        <v>1211</v>
      </c>
      <c r="CZ72" s="617">
        <f t="shared" ref="CZ72:CZ74" ca="1" si="101">IF(CY72="部件",VLOOKUP(CW72,INDIRECT(CY72&amp;"价值"),MATCH(LEFT(CX72,2)&amp;"部件",INDIRECT(CY72&amp;"价值标头"),0),FALSE),IF(CY72="加速道具",VLOOKUP(CX72,INDIRECT(CY72&amp;"价值"),MATCH("价格",INDIRECT(CY72&amp;"价值标头"),0),FALSE),VLOOKUP(CW72,INDIRECT(CY72&amp;"价值"),MATCH(CX72,INDIRECT(CY72&amp;"价值标头"),0),FALSE)))</f>
        <v>120</v>
      </c>
      <c r="DA72" s="617">
        <v>2</v>
      </c>
      <c r="DB72" s="617">
        <v>0.33329999999999999</v>
      </c>
      <c r="DC72" s="617">
        <v>0.33329999999999999</v>
      </c>
      <c r="DD72" s="617">
        <f t="shared" ref="DD72:DD74" si="102">ROUND(DC72*10000,0)</f>
        <v>3333</v>
      </c>
    </row>
    <row r="73" spans="2:109" x14ac:dyDescent="0.35">
      <c r="B73" s="273">
        <v>2</v>
      </c>
      <c r="C73" s="273" t="s">
        <v>2255</v>
      </c>
      <c r="D73" s="529" t="s">
        <v>2452</v>
      </c>
      <c r="E73" s="508">
        <f t="shared" ca="1" si="46"/>
        <v>12.824999999999999</v>
      </c>
      <c r="F73" s="565">
        <v>2</v>
      </c>
      <c r="G73" s="594">
        <v>1.9E-2</v>
      </c>
      <c r="H73" s="170">
        <f t="shared" ca="1" si="69"/>
        <v>4.3518518518518519E-2</v>
      </c>
      <c r="I73" s="508">
        <f t="shared" ca="1" si="47"/>
        <v>435</v>
      </c>
      <c r="K73" s="282">
        <v>2</v>
      </c>
      <c r="L73" s="512" t="s">
        <v>2255</v>
      </c>
      <c r="M73" s="529" t="s">
        <v>2452</v>
      </c>
      <c r="N73" s="508">
        <f t="shared" ca="1" si="48"/>
        <v>12.824999999999999</v>
      </c>
      <c r="O73" s="565">
        <v>1</v>
      </c>
      <c r="P73" s="594">
        <v>1.9E-2</v>
      </c>
      <c r="Q73" s="170">
        <f ca="1">P73*L$4/N73/O73</f>
        <v>6.9629629629629639E-2</v>
      </c>
      <c r="R73" s="279">
        <f ca="1">ROUND(Q73*10000,0)</f>
        <v>696</v>
      </c>
      <c r="T73" s="512">
        <v>2</v>
      </c>
      <c r="U73" s="512" t="s">
        <v>2255</v>
      </c>
      <c r="V73" s="529" t="s">
        <v>2452</v>
      </c>
      <c r="W73" s="508">
        <f t="shared" ca="1" si="51"/>
        <v>12.824999999999999</v>
      </c>
      <c r="X73" s="594">
        <v>1</v>
      </c>
      <c r="Y73" s="594">
        <v>1.9E-2</v>
      </c>
      <c r="Z73" s="170">
        <f ca="1">Y73*U$4/W73/X73</f>
        <v>7.0370370370370375E-2</v>
      </c>
      <c r="AA73" s="279">
        <f ca="1">ROUND(Z73*10000,0)</f>
        <v>704</v>
      </c>
      <c r="AC73" s="512">
        <v>2</v>
      </c>
      <c r="AD73" s="512" t="s">
        <v>2255</v>
      </c>
      <c r="AE73" s="529" t="s">
        <v>2452</v>
      </c>
      <c r="AF73" s="508">
        <f t="shared" ca="1" si="54"/>
        <v>12.824999999999999</v>
      </c>
      <c r="AG73" s="594">
        <v>1.5</v>
      </c>
      <c r="AH73" s="594">
        <v>1.7000000000000001E-2</v>
      </c>
      <c r="AI73" s="170">
        <f t="shared" ca="1" si="81"/>
        <v>5.6556205328135156E-2</v>
      </c>
      <c r="AJ73" s="508">
        <f t="shared" ca="1" si="82"/>
        <v>566</v>
      </c>
      <c r="AL73" s="512">
        <v>2</v>
      </c>
      <c r="AM73" s="512" t="s">
        <v>2255</v>
      </c>
      <c r="AN73" s="529" t="s">
        <v>2452</v>
      </c>
      <c r="AO73" s="508">
        <f t="shared" ca="1" si="57"/>
        <v>12.824999999999999</v>
      </c>
      <c r="AP73" s="594">
        <v>2</v>
      </c>
      <c r="AQ73" s="594">
        <v>1.7000000000000001E-2</v>
      </c>
      <c r="AR73" s="170">
        <f ca="1">AQ73*AM$4/AO73/AP73</f>
        <v>6.4288499025341131E-2</v>
      </c>
      <c r="AS73" s="279">
        <f ca="1">ROUND(AR73*10000,0)</f>
        <v>643</v>
      </c>
      <c r="AU73" s="512">
        <v>2</v>
      </c>
      <c r="AV73" s="516" t="s">
        <v>2249</v>
      </c>
      <c r="AW73" s="529" t="s">
        <v>2452</v>
      </c>
      <c r="AX73" s="508">
        <f t="shared" ca="1" si="60"/>
        <v>12.824999999999999</v>
      </c>
      <c r="AY73" s="625">
        <v>1.5</v>
      </c>
      <c r="AZ73" s="600">
        <v>1.7999999999999999E-2</v>
      </c>
      <c r="BA73" s="170">
        <f t="shared" ca="1" si="70"/>
        <v>6.0818713450292404E-2</v>
      </c>
      <c r="BB73" s="508">
        <f t="shared" ca="1" si="61"/>
        <v>608</v>
      </c>
      <c r="BD73" s="512">
        <v>2</v>
      </c>
      <c r="BE73" s="516" t="s">
        <v>2249</v>
      </c>
      <c r="BF73" s="529" t="s">
        <v>2452</v>
      </c>
      <c r="BG73" s="508">
        <f t="shared" ca="1" si="62"/>
        <v>12.824999999999999</v>
      </c>
      <c r="BH73" s="632">
        <v>4</v>
      </c>
      <c r="BI73" s="600">
        <v>1.7999999999999999E-2</v>
      </c>
      <c r="BJ73" s="170">
        <f t="shared" ref="BJ73:BJ77" ca="1" si="103">BI73*BE$4/BG73/BH73</f>
        <v>5.1754385964912282E-2</v>
      </c>
      <c r="BK73" s="279">
        <f t="shared" ref="BK73:BK77" ca="1" si="104">ROUND(BJ73*10000,0)</f>
        <v>518</v>
      </c>
      <c r="BM73" s="512">
        <v>2</v>
      </c>
      <c r="BN73" s="527" t="s">
        <v>2249</v>
      </c>
      <c r="BO73" s="530" t="s">
        <v>2200</v>
      </c>
      <c r="BP73" s="508">
        <f t="shared" ca="1" si="65"/>
        <v>12.824999999999999</v>
      </c>
      <c r="BQ73" s="632">
        <v>9.5</v>
      </c>
      <c r="BR73" s="600">
        <v>1.7999999999999999E-2</v>
      </c>
      <c r="BS73" s="170">
        <f t="shared" ref="BS73:BS77" ca="1" si="105">BR73*BN$4/BP73/BQ73</f>
        <v>4.8753462603878119E-2</v>
      </c>
      <c r="BT73" s="508">
        <f t="shared" ref="BT73:BT77" ca="1" si="106">ROUND(BS73*10000,0)</f>
        <v>488</v>
      </c>
      <c r="BV73" s="525">
        <v>3</v>
      </c>
      <c r="BW73" s="527" t="s">
        <v>2248</v>
      </c>
      <c r="BX73" s="530" t="s">
        <v>2200</v>
      </c>
      <c r="BY73" s="523">
        <f t="shared" ca="1" si="96"/>
        <v>12.15</v>
      </c>
      <c r="BZ73" s="662">
        <v>5.5</v>
      </c>
      <c r="CA73" s="523">
        <v>3.6999999999999998E-2</v>
      </c>
      <c r="CB73" s="170">
        <f t="shared" ca="1" si="99"/>
        <v>2.7684249906472124E-2</v>
      </c>
      <c r="CC73" s="523">
        <f t="shared" ca="1" si="100"/>
        <v>277</v>
      </c>
      <c r="CN73" s="618">
        <v>3</v>
      </c>
      <c r="CO73" s="621" t="s">
        <v>2266</v>
      </c>
      <c r="CP73" s="616" t="s">
        <v>2200</v>
      </c>
      <c r="CQ73" s="617" t="e">
        <f>VLOOKUP(LEFT(CO73,2)&amp;CP73,道具价值!$B$28:$C$30,2,FALSE)</f>
        <v>#N/A</v>
      </c>
      <c r="CR73" s="617">
        <v>1</v>
      </c>
      <c r="CS73" s="617">
        <v>0.111</v>
      </c>
      <c r="CT73" s="170">
        <f t="shared" si="98"/>
        <v>0.111</v>
      </c>
      <c r="CU73" s="617">
        <f t="shared" si="97"/>
        <v>1110</v>
      </c>
      <c r="CW73" s="618">
        <v>9</v>
      </c>
      <c r="CX73" s="621" t="s">
        <v>720</v>
      </c>
      <c r="CY73" s="618" t="s">
        <v>1211</v>
      </c>
      <c r="CZ73" s="617">
        <f t="shared" ca="1" si="101"/>
        <v>120</v>
      </c>
      <c r="DA73" s="617">
        <v>2</v>
      </c>
      <c r="DB73" s="617">
        <v>0.33329999999999999</v>
      </c>
      <c r="DC73" s="617">
        <v>0.33329999999999999</v>
      </c>
      <c r="DD73" s="617">
        <f t="shared" si="102"/>
        <v>3333</v>
      </c>
    </row>
    <row r="74" spans="2:109" x14ac:dyDescent="0.35">
      <c r="B74" s="273">
        <v>2</v>
      </c>
      <c r="C74" s="273" t="s">
        <v>2257</v>
      </c>
      <c r="D74" s="529" t="s">
        <v>2452</v>
      </c>
      <c r="E74" s="508">
        <f t="shared" ca="1" si="46"/>
        <v>12.824999999999999</v>
      </c>
      <c r="F74" s="565">
        <v>2</v>
      </c>
      <c r="G74" s="594">
        <v>0.02</v>
      </c>
      <c r="H74" s="170">
        <f t="shared" ca="1" si="69"/>
        <v>4.5808966861598445E-2</v>
      </c>
      <c r="I74" s="256">
        <f t="shared" ca="1" si="47"/>
        <v>458</v>
      </c>
      <c r="K74" s="282">
        <v>2</v>
      </c>
      <c r="L74" s="512" t="s">
        <v>2257</v>
      </c>
      <c r="M74" s="529" t="s">
        <v>2452</v>
      </c>
      <c r="N74" s="508">
        <f t="shared" ca="1" si="48"/>
        <v>12.824999999999999</v>
      </c>
      <c r="O74" s="565">
        <v>1</v>
      </c>
      <c r="P74" s="594">
        <v>0.02</v>
      </c>
      <c r="Q74" s="170">
        <f ca="1">P74*L$4/N74/O74</f>
        <v>7.3294346978557509E-2</v>
      </c>
      <c r="R74" s="279">
        <f ca="1">ROUND(Q74*10000,0)</f>
        <v>733</v>
      </c>
      <c r="T74" s="512">
        <v>2</v>
      </c>
      <c r="U74" s="512" t="s">
        <v>2257</v>
      </c>
      <c r="V74" s="529" t="s">
        <v>2452</v>
      </c>
      <c r="W74" s="508">
        <f t="shared" ca="1" si="51"/>
        <v>12.824999999999999</v>
      </c>
      <c r="X74" s="594">
        <v>1</v>
      </c>
      <c r="Y74" s="594">
        <v>0.02</v>
      </c>
      <c r="Z74" s="170">
        <f ca="1">Y74*U$4/W74/X74</f>
        <v>7.4074074074074084E-2</v>
      </c>
      <c r="AA74" s="279">
        <f ca="1">ROUND(Z74*10000,0)</f>
        <v>741</v>
      </c>
      <c r="AC74" s="512">
        <v>2</v>
      </c>
      <c r="AD74" s="512" t="s">
        <v>2257</v>
      </c>
      <c r="AE74" s="529" t="s">
        <v>2452</v>
      </c>
      <c r="AF74" s="508">
        <f t="shared" ca="1" si="54"/>
        <v>12.824999999999999</v>
      </c>
      <c r="AG74" s="594">
        <v>1.5</v>
      </c>
      <c r="AH74" s="594">
        <v>1.7000000000000001E-2</v>
      </c>
      <c r="AI74" s="170">
        <f ca="1">AH74*AD$4/AF74/AG74</f>
        <v>5.6556205328135156E-2</v>
      </c>
      <c r="AJ74" s="508">
        <f ca="1">ROUND(AI74*10000,0)</f>
        <v>566</v>
      </c>
      <c r="AL74" s="512">
        <v>2</v>
      </c>
      <c r="AM74" s="512" t="s">
        <v>2257</v>
      </c>
      <c r="AN74" s="529" t="s">
        <v>2452</v>
      </c>
      <c r="AO74" s="508">
        <f t="shared" ca="1" si="57"/>
        <v>12.824999999999999</v>
      </c>
      <c r="AP74" s="594">
        <v>2</v>
      </c>
      <c r="AQ74" s="594">
        <v>1.7000000000000001E-2</v>
      </c>
      <c r="AR74" s="170">
        <f ca="1">AQ74*AM$4/AO74/AP74</f>
        <v>6.4288499025341131E-2</v>
      </c>
      <c r="AS74" s="279">
        <f ca="1">ROUND(AR74*10000,0)</f>
        <v>643</v>
      </c>
      <c r="AU74" s="512">
        <v>2</v>
      </c>
      <c r="AV74" s="516" t="s">
        <v>2251</v>
      </c>
      <c r="AW74" s="529" t="s">
        <v>2452</v>
      </c>
      <c r="AX74" s="508">
        <f t="shared" ca="1" si="60"/>
        <v>12.824999999999999</v>
      </c>
      <c r="AY74" s="625">
        <v>1.5</v>
      </c>
      <c r="AZ74" s="600">
        <v>1.7999999999999999E-2</v>
      </c>
      <c r="BA74" s="170">
        <f t="shared" ca="1" si="70"/>
        <v>6.0818713450292404E-2</v>
      </c>
      <c r="BB74" s="508">
        <f t="shared" ca="1" si="61"/>
        <v>608</v>
      </c>
      <c r="BD74" s="512">
        <v>2</v>
      </c>
      <c r="BE74" s="516" t="s">
        <v>2251</v>
      </c>
      <c r="BF74" s="529" t="s">
        <v>2452</v>
      </c>
      <c r="BG74" s="508">
        <f t="shared" ca="1" si="62"/>
        <v>12.824999999999999</v>
      </c>
      <c r="BH74" s="632">
        <v>4</v>
      </c>
      <c r="BI74" s="600">
        <v>1.7999999999999999E-2</v>
      </c>
      <c r="BJ74" s="170">
        <f t="shared" ca="1" si="103"/>
        <v>5.1754385964912282E-2</v>
      </c>
      <c r="BK74" s="279">
        <f t="shared" ca="1" si="104"/>
        <v>518</v>
      </c>
      <c r="BM74" s="512">
        <v>2</v>
      </c>
      <c r="BN74" s="527" t="s">
        <v>2251</v>
      </c>
      <c r="BO74" s="530" t="s">
        <v>2200</v>
      </c>
      <c r="BP74" s="508">
        <f t="shared" ca="1" si="65"/>
        <v>12.824999999999999</v>
      </c>
      <c r="BQ74" s="632">
        <v>9.5</v>
      </c>
      <c r="BR74" s="600">
        <v>1.7999999999999999E-2</v>
      </c>
      <c r="BS74" s="170">
        <f t="shared" ca="1" si="105"/>
        <v>4.8753462603878119E-2</v>
      </c>
      <c r="BT74" s="508">
        <f t="shared" ca="1" si="106"/>
        <v>488</v>
      </c>
      <c r="BV74" s="525">
        <v>3</v>
      </c>
      <c r="BW74" s="527" t="s">
        <v>2250</v>
      </c>
      <c r="BX74" s="530" t="s">
        <v>2200</v>
      </c>
      <c r="BY74" s="523">
        <f t="shared" ca="1" si="96"/>
        <v>12.15</v>
      </c>
      <c r="BZ74" s="662">
        <v>5.5</v>
      </c>
      <c r="CA74" s="523">
        <v>3.6999999999999998E-2</v>
      </c>
      <c r="CB74" s="170">
        <f t="shared" ca="1" si="99"/>
        <v>2.7684249906472124E-2</v>
      </c>
      <c r="CC74" s="523">
        <f t="shared" ca="1" si="100"/>
        <v>277</v>
      </c>
      <c r="CE74" s="512" t="s">
        <v>597</v>
      </c>
      <c r="CF74" s="512" t="s">
        <v>1225</v>
      </c>
      <c r="CG74" s="513" t="s">
        <v>917</v>
      </c>
      <c r="CH74" s="166" t="s">
        <v>920</v>
      </c>
      <c r="CI74" s="518" t="s">
        <v>967</v>
      </c>
      <c r="CJ74" s="166" t="s">
        <v>854</v>
      </c>
      <c r="CK74" s="166" t="s">
        <v>926</v>
      </c>
      <c r="CL74" s="514" t="s">
        <v>927</v>
      </c>
      <c r="CM74" s="300">
        <f ca="1">SUM(CL75:CL89)</f>
        <v>7276</v>
      </c>
      <c r="CN74" s="618">
        <v>3</v>
      </c>
      <c r="CO74" s="621" t="s">
        <v>2268</v>
      </c>
      <c r="CP74" s="616" t="s">
        <v>2200</v>
      </c>
      <c r="CQ74" s="617" t="e">
        <f>VLOOKUP(LEFT(CO74,2)&amp;CP74,道具价值!$B$28:$C$30,2,FALSE)</f>
        <v>#N/A</v>
      </c>
      <c r="CR74" s="617">
        <v>1</v>
      </c>
      <c r="CS74" s="617">
        <v>0.111</v>
      </c>
      <c r="CT74" s="170">
        <f t="shared" si="98"/>
        <v>0.111</v>
      </c>
      <c r="CU74" s="617">
        <f t="shared" si="97"/>
        <v>1110</v>
      </c>
      <c r="CW74" s="618">
        <v>9</v>
      </c>
      <c r="CX74" s="621" t="s">
        <v>629</v>
      </c>
      <c r="CY74" s="618" t="s">
        <v>1211</v>
      </c>
      <c r="CZ74" s="617">
        <f t="shared" ca="1" si="101"/>
        <v>120</v>
      </c>
      <c r="DA74" s="617">
        <v>2</v>
      </c>
      <c r="DB74" s="617">
        <v>0.33339999999999997</v>
      </c>
      <c r="DC74" s="617">
        <v>0.33339999999999997</v>
      </c>
      <c r="DD74" s="617">
        <f t="shared" si="102"/>
        <v>3334</v>
      </c>
    </row>
    <row r="75" spans="2:109" x14ac:dyDescent="0.35">
      <c r="AC75" s="595">
        <v>2</v>
      </c>
      <c r="AD75" s="601" t="s">
        <v>2878</v>
      </c>
      <c r="AE75" s="601" t="s">
        <v>2879</v>
      </c>
      <c r="AF75" s="594">
        <f t="shared" ca="1" si="54"/>
        <v>35</v>
      </c>
      <c r="AG75" s="594">
        <v>1</v>
      </c>
      <c r="AH75" s="594">
        <v>1.7999999999999999E-2</v>
      </c>
      <c r="AI75" s="170">
        <f ca="1">AH75*AD$4/AF75/AG75</f>
        <v>3.2914285714285708E-2</v>
      </c>
      <c r="AJ75" s="594">
        <f ca="1">ROUND(AI75*10000,0)</f>
        <v>329</v>
      </c>
      <c r="AL75" s="595">
        <v>2</v>
      </c>
      <c r="AM75" s="601" t="s">
        <v>2878</v>
      </c>
      <c r="AN75" s="601" t="s">
        <v>2879</v>
      </c>
      <c r="AO75" s="594">
        <f t="shared" ref="AO75:AO76" ca="1" si="107">IF(AN75="部件",VLOOKUP(AL75,INDIRECT(AN75&amp;"价值"),MATCH(LEFT(AM75,2)&amp;"部件",INDIRECT(AN75&amp;"价值标头"),0),FALSE),IF(AN75="加速道具",VLOOKUP(AM75,INDIRECT(AN75&amp;"价值"),MATCH("价格",INDIRECT(AN75&amp;"价值标头"),0),FALSE),VLOOKUP(AL75,INDIRECT(AN75&amp;"价值"),MATCH(AM75,INDIRECT(AN75&amp;"价值标头"),0),FALSE)))</f>
        <v>35</v>
      </c>
      <c r="AP75" s="594">
        <v>1</v>
      </c>
      <c r="AQ75" s="594">
        <v>8.0000000000000002E-3</v>
      </c>
      <c r="AR75" s="170">
        <f t="shared" ref="AR75:AR76" ca="1" si="108">AQ75*AM$4/AO75/AP75</f>
        <v>2.2171428571428571E-2</v>
      </c>
      <c r="AS75" s="594">
        <f t="shared" ref="AS75:AS78" ca="1" si="109">ROUND(AR75*10000,0)</f>
        <v>222</v>
      </c>
      <c r="AU75" s="512">
        <v>2</v>
      </c>
      <c r="AV75" s="516" t="s">
        <v>2253</v>
      </c>
      <c r="AW75" s="529" t="s">
        <v>2452</v>
      </c>
      <c r="AX75" s="508">
        <f t="shared" ca="1" si="60"/>
        <v>12.824999999999999</v>
      </c>
      <c r="AY75" s="625">
        <v>1.5</v>
      </c>
      <c r="AZ75" s="600">
        <v>1.7999999999999999E-2</v>
      </c>
      <c r="BA75" s="170">
        <f t="shared" ca="1" si="70"/>
        <v>6.0818713450292404E-2</v>
      </c>
      <c r="BB75" s="508">
        <f t="shared" ca="1" si="61"/>
        <v>608</v>
      </c>
      <c r="BD75" s="512">
        <v>2</v>
      </c>
      <c r="BE75" s="516" t="s">
        <v>2253</v>
      </c>
      <c r="BF75" s="529" t="s">
        <v>2452</v>
      </c>
      <c r="BG75" s="508">
        <f t="shared" ca="1" si="62"/>
        <v>12.824999999999999</v>
      </c>
      <c r="BH75" s="632">
        <v>4</v>
      </c>
      <c r="BI75" s="600">
        <v>1.7999999999999999E-2</v>
      </c>
      <c r="BJ75" s="170">
        <f t="shared" ca="1" si="103"/>
        <v>5.1754385964912282E-2</v>
      </c>
      <c r="BK75" s="279">
        <f t="shared" ca="1" si="104"/>
        <v>518</v>
      </c>
      <c r="BM75" s="512">
        <v>2</v>
      </c>
      <c r="BN75" s="527" t="s">
        <v>2253</v>
      </c>
      <c r="BO75" s="530" t="s">
        <v>2200</v>
      </c>
      <c r="BP75" s="508">
        <f t="shared" ca="1" si="65"/>
        <v>12.824999999999999</v>
      </c>
      <c r="BQ75" s="632">
        <v>9.5</v>
      </c>
      <c r="BR75" s="600">
        <v>1.7999999999999999E-2</v>
      </c>
      <c r="BS75" s="170">
        <f t="shared" ca="1" si="105"/>
        <v>4.8753462603878119E-2</v>
      </c>
      <c r="BT75" s="508">
        <f t="shared" ca="1" si="106"/>
        <v>488</v>
      </c>
      <c r="BV75" s="525">
        <v>3</v>
      </c>
      <c r="BW75" s="527" t="s">
        <v>2252</v>
      </c>
      <c r="BX75" s="530" t="s">
        <v>2200</v>
      </c>
      <c r="BY75" s="523">
        <f t="shared" ca="1" si="96"/>
        <v>12.15</v>
      </c>
      <c r="BZ75" s="662">
        <v>5.5</v>
      </c>
      <c r="CA75" s="523">
        <v>3.6999999999999998E-2</v>
      </c>
      <c r="CB75" s="170">
        <f t="shared" ca="1" si="99"/>
        <v>2.7684249906472124E-2</v>
      </c>
      <c r="CC75" s="523">
        <f t="shared" ca="1" si="100"/>
        <v>277</v>
      </c>
      <c r="CE75" s="512">
        <v>5</v>
      </c>
      <c r="CF75" s="527" t="s">
        <v>615</v>
      </c>
      <c r="CG75" s="525" t="s">
        <v>1211</v>
      </c>
      <c r="CH75" s="523">
        <f t="shared" ref="CH75:CH89" ca="1" si="110">IF(CG75="部件",VLOOKUP(CE75,INDIRECT(CG75&amp;"价值"),MATCH(LEFT(CF75,2)&amp;"部件",INDIRECT(CG75&amp;"价值标头"),0),FALSE),IF(CG75="加速道具",VLOOKUP(CF75,INDIRECT(CG75&amp;"价值"),MATCH("价格",INDIRECT(CG75&amp;"价值标头"),0),FALSE),VLOOKUP(CE75,INDIRECT(CG75&amp;"价值"),MATCH(CF75,INDIRECT(CG75&amp;"价值标头"),0),FALSE)))</f>
        <v>45.6</v>
      </c>
      <c r="CI75" s="523">
        <v>2</v>
      </c>
      <c r="CJ75" s="508">
        <v>6.6699999999999995E-2</v>
      </c>
      <c r="CK75" s="170">
        <f t="shared" ref="CK75:CK89" ca="1" si="111">CJ75*CF$4/CH75/CI75</f>
        <v>3.6567982456140347E-2</v>
      </c>
      <c r="CL75" s="508">
        <f t="shared" ref="CL75:CL89" ca="1" si="112">ROUND(CK75*10000,0)</f>
        <v>366</v>
      </c>
      <c r="CN75" s="618">
        <v>3</v>
      </c>
      <c r="CO75" s="621" t="s">
        <v>2270</v>
      </c>
      <c r="CP75" s="616" t="s">
        <v>2200</v>
      </c>
      <c r="CQ75" s="617" t="e">
        <f>VLOOKUP(LEFT(CO75,2)&amp;CP75,道具价值!$B$28:$C$30,2,FALSE)</f>
        <v>#N/A</v>
      </c>
      <c r="CR75" s="617">
        <v>1</v>
      </c>
      <c r="CS75" s="617">
        <v>0.111</v>
      </c>
      <c r="CT75" s="170">
        <f t="shared" si="98"/>
        <v>0.111</v>
      </c>
      <c r="CU75" s="617">
        <f t="shared" si="97"/>
        <v>1110</v>
      </c>
    </row>
    <row r="76" spans="2:109" x14ac:dyDescent="0.35">
      <c r="AC76" s="595">
        <v>2</v>
      </c>
      <c r="AD76" s="601" t="s">
        <v>2880</v>
      </c>
      <c r="AE76" s="601" t="s">
        <v>2879</v>
      </c>
      <c r="AF76" s="594">
        <f t="shared" ca="1" si="54"/>
        <v>60</v>
      </c>
      <c r="AG76" s="594">
        <v>1</v>
      </c>
      <c r="AH76" s="594">
        <v>1.9E-2</v>
      </c>
      <c r="AI76" s="170">
        <f ca="1">AH76*AD$4/AF76/AG76</f>
        <v>2.0266666666666665E-2</v>
      </c>
      <c r="AJ76" s="594">
        <f ca="1">ROUND(AI76*10000,0)</f>
        <v>203</v>
      </c>
      <c r="AL76" s="595">
        <v>2</v>
      </c>
      <c r="AM76" s="601" t="s">
        <v>2880</v>
      </c>
      <c r="AN76" s="601" t="s">
        <v>2879</v>
      </c>
      <c r="AO76" s="594">
        <f t="shared" ca="1" si="107"/>
        <v>60</v>
      </c>
      <c r="AP76" s="594">
        <v>1</v>
      </c>
      <c r="AQ76" s="594">
        <v>8.9999999999999993E-3</v>
      </c>
      <c r="AR76" s="170">
        <f t="shared" ca="1" si="108"/>
        <v>1.4549999999999999E-2</v>
      </c>
      <c r="AS76" s="594">
        <f t="shared" ca="1" si="109"/>
        <v>146</v>
      </c>
      <c r="AU76" s="512">
        <v>2</v>
      </c>
      <c r="AV76" s="512" t="s">
        <v>2255</v>
      </c>
      <c r="AW76" s="529" t="s">
        <v>2452</v>
      </c>
      <c r="AX76" s="508">
        <f t="shared" ca="1" si="60"/>
        <v>12.824999999999999</v>
      </c>
      <c r="AY76" s="625">
        <v>1.5</v>
      </c>
      <c r="AZ76" s="600">
        <v>1.7999999999999999E-2</v>
      </c>
      <c r="BA76" s="170">
        <f t="shared" ca="1" si="70"/>
        <v>6.0818713450292404E-2</v>
      </c>
      <c r="BB76" s="508">
        <f t="shared" ca="1" si="61"/>
        <v>608</v>
      </c>
      <c r="BD76" s="512">
        <v>2</v>
      </c>
      <c r="BE76" s="512" t="s">
        <v>2255</v>
      </c>
      <c r="BF76" s="529" t="s">
        <v>2452</v>
      </c>
      <c r="BG76" s="508">
        <f t="shared" ca="1" si="62"/>
        <v>12.824999999999999</v>
      </c>
      <c r="BH76" s="632">
        <v>4</v>
      </c>
      <c r="BI76" s="600">
        <v>1.7999999999999999E-2</v>
      </c>
      <c r="BJ76" s="170">
        <f t="shared" ca="1" si="103"/>
        <v>5.1754385964912282E-2</v>
      </c>
      <c r="BK76" s="279">
        <f t="shared" ca="1" si="104"/>
        <v>518</v>
      </c>
      <c r="BM76" s="512">
        <v>2</v>
      </c>
      <c r="BN76" s="525" t="s">
        <v>2255</v>
      </c>
      <c r="BO76" s="530" t="s">
        <v>2200</v>
      </c>
      <c r="BP76" s="508">
        <f t="shared" ca="1" si="65"/>
        <v>12.824999999999999</v>
      </c>
      <c r="BQ76" s="632">
        <v>9.5</v>
      </c>
      <c r="BR76" s="600">
        <v>1.7999999999999999E-2</v>
      </c>
      <c r="BS76" s="170">
        <f t="shared" ca="1" si="105"/>
        <v>4.8753462603878119E-2</v>
      </c>
      <c r="BT76" s="508">
        <f t="shared" ca="1" si="106"/>
        <v>488</v>
      </c>
      <c r="BV76" s="525">
        <v>3</v>
      </c>
      <c r="BW76" s="525" t="s">
        <v>2254</v>
      </c>
      <c r="BX76" s="530" t="s">
        <v>2200</v>
      </c>
      <c r="BY76" s="523">
        <f t="shared" ca="1" si="96"/>
        <v>12.15</v>
      </c>
      <c r="BZ76" s="662">
        <v>5.5</v>
      </c>
      <c r="CA76" s="523">
        <v>3.6999999999999998E-2</v>
      </c>
      <c r="CB76" s="170">
        <f t="shared" ca="1" si="99"/>
        <v>2.7684249906472124E-2</v>
      </c>
      <c r="CC76" s="523">
        <f t="shared" ca="1" si="100"/>
        <v>277</v>
      </c>
      <c r="CE76" s="512">
        <v>5</v>
      </c>
      <c r="CF76" s="527" t="s">
        <v>623</v>
      </c>
      <c r="CG76" s="525" t="s">
        <v>1211</v>
      </c>
      <c r="CH76" s="523">
        <f t="shared" ca="1" si="110"/>
        <v>45.6</v>
      </c>
      <c r="CI76" s="662">
        <v>2</v>
      </c>
      <c r="CJ76" s="523">
        <v>6.6699999999999995E-2</v>
      </c>
      <c r="CK76" s="170">
        <f t="shared" ca="1" si="111"/>
        <v>3.6567982456140347E-2</v>
      </c>
      <c r="CL76" s="508">
        <f t="shared" ca="1" si="112"/>
        <v>366</v>
      </c>
      <c r="CN76" s="618">
        <v>3</v>
      </c>
      <c r="CO76" s="618" t="s">
        <v>2272</v>
      </c>
      <c r="CP76" s="616" t="s">
        <v>2200</v>
      </c>
      <c r="CQ76" s="617" t="e">
        <f>VLOOKUP(LEFT(CO76,2)&amp;CP76,道具价值!$B$28:$C$30,2,FALSE)</f>
        <v>#N/A</v>
      </c>
      <c r="CR76" s="617">
        <v>1</v>
      </c>
      <c r="CS76" s="617">
        <v>0.111</v>
      </c>
      <c r="CT76" s="170">
        <f t="shared" si="98"/>
        <v>0.111</v>
      </c>
      <c r="CU76" s="617">
        <f t="shared" si="97"/>
        <v>1110</v>
      </c>
    </row>
    <row r="77" spans="2:109" x14ac:dyDescent="0.35">
      <c r="B77" s="273" t="s">
        <v>1226</v>
      </c>
      <c r="C77" s="273" t="s">
        <v>1225</v>
      </c>
      <c r="D77" s="258" t="s">
        <v>917</v>
      </c>
      <c r="E77" s="166" t="s">
        <v>920</v>
      </c>
      <c r="F77" s="261" t="s">
        <v>967</v>
      </c>
      <c r="G77" s="166" t="s">
        <v>854</v>
      </c>
      <c r="H77" s="166" t="s">
        <v>926</v>
      </c>
      <c r="I77" s="259" t="s">
        <v>927</v>
      </c>
      <c r="J77" s="300" t="e">
        <f ca="1">SUM(I78:I113)</f>
        <v>#VALUE!</v>
      </c>
      <c r="K77" s="282" t="s">
        <v>814</v>
      </c>
      <c r="L77" s="282" t="s">
        <v>1225</v>
      </c>
      <c r="M77" s="280" t="s">
        <v>917</v>
      </c>
      <c r="N77" s="166" t="s">
        <v>920</v>
      </c>
      <c r="O77" s="285" t="s">
        <v>967</v>
      </c>
      <c r="P77" s="166" t="s">
        <v>854</v>
      </c>
      <c r="Q77" s="166" t="s">
        <v>926</v>
      </c>
      <c r="R77" s="281" t="s">
        <v>927</v>
      </c>
      <c r="S77" s="300" t="e">
        <f ca="1">SUM(R78:R113)</f>
        <v>#VALUE!</v>
      </c>
      <c r="T77" s="512" t="s">
        <v>597</v>
      </c>
      <c r="U77" s="512" t="s">
        <v>1225</v>
      </c>
      <c r="V77" s="513" t="s">
        <v>917</v>
      </c>
      <c r="W77" s="166" t="s">
        <v>920</v>
      </c>
      <c r="X77" s="518" t="s">
        <v>967</v>
      </c>
      <c r="Y77" s="166" t="s">
        <v>854</v>
      </c>
      <c r="Z77" s="166" t="s">
        <v>926</v>
      </c>
      <c r="AA77" s="281" t="s">
        <v>927</v>
      </c>
      <c r="AB77" s="300" t="e">
        <f ca="1">SUM(AA78:AA113)</f>
        <v>#VALUE!</v>
      </c>
      <c r="AL77" s="595">
        <v>2</v>
      </c>
      <c r="AM77" s="601" t="s">
        <v>2881</v>
      </c>
      <c r="AN77" s="601" t="s">
        <v>2879</v>
      </c>
      <c r="AO77" s="594">
        <f t="shared" ref="AO77" ca="1" si="113">IF(AN77="部件",VLOOKUP(AL77,INDIRECT(AN77&amp;"价值"),MATCH(LEFT(AM77,2)&amp;"部件",INDIRECT(AN77&amp;"价值标头"),0),FALSE),IF(AN77="加速道具",VLOOKUP(AM77,INDIRECT(AN77&amp;"价值"),MATCH("价格",INDIRECT(AN77&amp;"价值标头"),0),FALSE),VLOOKUP(AL77,INDIRECT(AN77&amp;"价值"),MATCH(AM77,INDIRECT(AN77&amp;"价值标头"),0),FALSE)))</f>
        <v>70</v>
      </c>
      <c r="AP77" s="594">
        <v>1</v>
      </c>
      <c r="AQ77" s="594">
        <v>0.01</v>
      </c>
      <c r="AR77" s="170">
        <f t="shared" ref="AR77" ca="1" si="114">AQ77*AM$4/AO77/AP77</f>
        <v>1.3857142857142856E-2</v>
      </c>
      <c r="AS77" s="594">
        <f t="shared" ca="1" si="109"/>
        <v>139</v>
      </c>
      <c r="AU77" s="512">
        <v>2</v>
      </c>
      <c r="AV77" s="512" t="s">
        <v>2257</v>
      </c>
      <c r="AW77" s="529" t="s">
        <v>2452</v>
      </c>
      <c r="AX77" s="508">
        <f t="shared" ca="1" si="60"/>
        <v>12.824999999999999</v>
      </c>
      <c r="AY77" s="625">
        <v>1.5</v>
      </c>
      <c r="AZ77" s="600">
        <v>1.7999999999999999E-2</v>
      </c>
      <c r="BA77" s="170">
        <f t="shared" ca="1" si="70"/>
        <v>6.0818713450292404E-2</v>
      </c>
      <c r="BB77" s="508">
        <f t="shared" ca="1" si="61"/>
        <v>608</v>
      </c>
      <c r="BD77" s="512">
        <v>2</v>
      </c>
      <c r="BE77" s="512" t="s">
        <v>2257</v>
      </c>
      <c r="BF77" s="529" t="s">
        <v>2452</v>
      </c>
      <c r="BG77" s="508">
        <f t="shared" ca="1" si="62"/>
        <v>12.824999999999999</v>
      </c>
      <c r="BH77" s="632">
        <v>4</v>
      </c>
      <c r="BI77" s="600">
        <v>1.7999999999999999E-2</v>
      </c>
      <c r="BJ77" s="170">
        <f t="shared" ca="1" si="103"/>
        <v>5.1754385964912282E-2</v>
      </c>
      <c r="BK77" s="279">
        <f t="shared" ca="1" si="104"/>
        <v>518</v>
      </c>
      <c r="BM77" s="512">
        <v>2</v>
      </c>
      <c r="BN77" s="525" t="s">
        <v>2257</v>
      </c>
      <c r="BO77" s="530" t="s">
        <v>2200</v>
      </c>
      <c r="BP77" s="508">
        <f t="shared" ca="1" si="65"/>
        <v>12.824999999999999</v>
      </c>
      <c r="BQ77" s="632">
        <v>9.5</v>
      </c>
      <c r="BR77" s="600">
        <v>1.7999999999999999E-2</v>
      </c>
      <c r="BS77" s="170">
        <f t="shared" ca="1" si="105"/>
        <v>4.8753462603878119E-2</v>
      </c>
      <c r="BT77" s="508">
        <f t="shared" ca="1" si="106"/>
        <v>488</v>
      </c>
      <c r="BV77" s="525">
        <v>3</v>
      </c>
      <c r="BW77" s="525" t="s">
        <v>2256</v>
      </c>
      <c r="BX77" s="530" t="s">
        <v>2200</v>
      </c>
      <c r="BY77" s="523">
        <f t="shared" ca="1" si="96"/>
        <v>12.15</v>
      </c>
      <c r="BZ77" s="662">
        <v>5.5</v>
      </c>
      <c r="CA77" s="523">
        <v>3.6999999999999998E-2</v>
      </c>
      <c r="CB77" s="170">
        <f t="shared" ca="1" si="99"/>
        <v>2.7684249906472124E-2</v>
      </c>
      <c r="CC77" s="523">
        <f t="shared" ca="1" si="100"/>
        <v>277</v>
      </c>
      <c r="CE77" s="512">
        <v>5</v>
      </c>
      <c r="CF77" s="527" t="s">
        <v>721</v>
      </c>
      <c r="CG77" s="525" t="s">
        <v>1211</v>
      </c>
      <c r="CH77" s="523">
        <f t="shared" ca="1" si="110"/>
        <v>45.6</v>
      </c>
      <c r="CI77" s="662">
        <v>2</v>
      </c>
      <c r="CJ77" s="523">
        <v>6.6699999999999995E-2</v>
      </c>
      <c r="CK77" s="170">
        <f t="shared" ca="1" si="111"/>
        <v>3.6567982456140347E-2</v>
      </c>
      <c r="CL77" s="508">
        <f t="shared" ca="1" si="112"/>
        <v>366</v>
      </c>
      <c r="CN77" s="618">
        <v>3</v>
      </c>
      <c r="CO77" s="618" t="s">
        <v>2274</v>
      </c>
      <c r="CP77" s="616" t="s">
        <v>2200</v>
      </c>
      <c r="CQ77" s="617" t="e">
        <f>VLOOKUP(LEFT(CO77,2)&amp;CP77,道具价值!$B$28:$C$30,2,FALSE)</f>
        <v>#N/A</v>
      </c>
      <c r="CR77" s="617">
        <v>1</v>
      </c>
      <c r="CS77" s="617">
        <v>0.112</v>
      </c>
      <c r="CT77" s="170">
        <f t="shared" si="98"/>
        <v>0.112</v>
      </c>
      <c r="CU77" s="617">
        <f t="shared" si="97"/>
        <v>1120</v>
      </c>
      <c r="CW77" s="618" t="s">
        <v>597</v>
      </c>
      <c r="CX77" s="618" t="s">
        <v>1225</v>
      </c>
      <c r="CY77" s="619" t="s">
        <v>917</v>
      </c>
      <c r="CZ77" s="166" t="s">
        <v>920</v>
      </c>
      <c r="DA77" s="622" t="s">
        <v>967</v>
      </c>
      <c r="DB77" s="166" t="s">
        <v>854</v>
      </c>
      <c r="DC77" s="166" t="s">
        <v>926</v>
      </c>
      <c r="DD77" s="620" t="s">
        <v>927</v>
      </c>
      <c r="DE77" s="300">
        <f>SUM(DD78:DD80)</f>
        <v>10000</v>
      </c>
    </row>
    <row r="78" spans="2:109" x14ac:dyDescent="0.35">
      <c r="B78" s="512">
        <v>3</v>
      </c>
      <c r="C78" s="516" t="s">
        <v>615</v>
      </c>
      <c r="D78" s="512" t="s">
        <v>1211</v>
      </c>
      <c r="E78" s="508">
        <f t="shared" ref="E78:E113" ca="1" si="115">IF(D78="部件",VLOOKUP(B78,INDIRECT(D78&amp;"价值"),MATCH(LEFT(C78,2)&amp;"部件",INDIRECT(D78&amp;"价值标头"),0),FALSE),IF(D78="加速道具",VLOOKUP(C78,INDIRECT(D78&amp;"价值"),MATCH("价格",INDIRECT(D78&amp;"价值标头"),0),FALSE),VLOOKUP(B78,INDIRECT(D78&amp;"价值"),MATCH(C78,INDIRECT(D78&amp;"价值标头"),0),FALSE)))</f>
        <v>52.8</v>
      </c>
      <c r="F78" s="518">
        <v>7</v>
      </c>
      <c r="G78" s="166">
        <f>宝箱设定!$X89</f>
        <v>7.2999999999999995E-2</v>
      </c>
      <c r="H78" s="170">
        <f ca="1">G78*$C$4/E78/F78</f>
        <v>1.1603760822510823E-2</v>
      </c>
      <c r="I78" s="508">
        <f ca="1">ROUND(H78*10000,0)</f>
        <v>116</v>
      </c>
      <c r="J78" s="300"/>
      <c r="K78" s="512">
        <v>3</v>
      </c>
      <c r="L78" s="516" t="s">
        <v>615</v>
      </c>
      <c r="M78" s="512" t="s">
        <v>1211</v>
      </c>
      <c r="N78" s="508">
        <f t="shared" ref="N78:N113" ca="1" si="116">IF(M78="部件",VLOOKUP(K78,INDIRECT(M78&amp;"价值"),MATCH(LEFT(L78,2)&amp;"部件",INDIRECT(M78&amp;"价值标头"),0),FALSE),IF(M78="加速道具",VLOOKUP(L78,INDIRECT(M78&amp;"价值"),MATCH("价格",INDIRECT(M78&amp;"价值标头"),0),FALSE),VLOOKUP(K78,INDIRECT(M78&amp;"价值"),MATCH(L78,INDIRECT(M78&amp;"价值标头"),0),FALSE)))</f>
        <v>52.8</v>
      </c>
      <c r="O78" s="567">
        <v>2.5</v>
      </c>
      <c r="P78" s="166">
        <f>宝箱设定!$X89</f>
        <v>7.2999999999999995E-2</v>
      </c>
      <c r="Q78" s="170">
        <f t="shared" ref="Q78:Q86" ca="1" si="117">P78*L$4/N78/O78</f>
        <v>2.599242424242424E-2</v>
      </c>
      <c r="R78" s="508">
        <f t="shared" ref="R78:R86" ca="1" si="118">ROUND(Q78*10000,0)</f>
        <v>260</v>
      </c>
      <c r="S78" s="300"/>
      <c r="T78" s="512">
        <v>3</v>
      </c>
      <c r="U78" s="516" t="s">
        <v>615</v>
      </c>
      <c r="V78" s="512" t="s">
        <v>1211</v>
      </c>
      <c r="W78" s="508">
        <f t="shared" ref="W78:W113" ca="1" si="119">IF(V78="部件",VLOOKUP(T78,INDIRECT(V78&amp;"价值"),MATCH(LEFT(U78,2)&amp;"部件",INDIRECT(V78&amp;"价值标头"),0),FALSE),IF(V78="加速道具",VLOOKUP(U78,INDIRECT(V78&amp;"价值"),MATCH("价格",INDIRECT(V78&amp;"价值标头"),0),FALSE),VLOOKUP(T78,INDIRECT(V78&amp;"价值"),MATCH(U78,INDIRECT(V78&amp;"价值标头"),0),FALSE)))</f>
        <v>52.8</v>
      </c>
      <c r="X78" s="598">
        <v>2.5</v>
      </c>
      <c r="Y78" s="166">
        <f>宝箱设定!$X89</f>
        <v>7.2999999999999995E-2</v>
      </c>
      <c r="Z78" s="170">
        <f t="shared" ref="Z78:Z86" ca="1" si="120">Y78*U$4/W78/X78</f>
        <v>2.6268939393939393E-2</v>
      </c>
      <c r="AA78" s="508">
        <f t="shared" ref="AA78:AA86" ca="1" si="121">ROUND(Z78*10000,0)</f>
        <v>263</v>
      </c>
      <c r="AB78" s="300"/>
      <c r="AL78" s="595">
        <v>2</v>
      </c>
      <c r="AM78" s="601" t="s">
        <v>2882</v>
      </c>
      <c r="AN78" s="601" t="s">
        <v>2879</v>
      </c>
      <c r="AO78" s="594">
        <f t="shared" ref="AO78" ca="1" si="122">IF(AN78="部件",VLOOKUP(AL78,INDIRECT(AN78&amp;"价值"),MATCH(LEFT(AM78,2)&amp;"部件",INDIRECT(AN78&amp;"价值标头"),0),FALSE),IF(AN78="加速道具",VLOOKUP(AM78,INDIRECT(AN78&amp;"价值"),MATCH("价格",INDIRECT(AN78&amp;"价值标头"),0),FALSE),VLOOKUP(AL78,INDIRECT(AN78&amp;"价值"),MATCH(AM78,INDIRECT(AN78&amp;"价值标头"),0),FALSE)))</f>
        <v>125</v>
      </c>
      <c r="AP78" s="594">
        <v>1</v>
      </c>
      <c r="AQ78" s="594">
        <v>0.01</v>
      </c>
      <c r="AR78" s="170">
        <f t="shared" ref="AR78" ca="1" si="123">AQ78*AM$4/AO78/AP78</f>
        <v>7.7599999999999995E-3</v>
      </c>
      <c r="AS78" s="594">
        <f t="shared" ca="1" si="109"/>
        <v>78</v>
      </c>
      <c r="BJ78" s="538"/>
      <c r="BK78" s="157"/>
      <c r="BS78" s="538"/>
      <c r="BT78" s="157"/>
      <c r="BV78" s="525">
        <v>3</v>
      </c>
      <c r="BW78" s="527" t="s">
        <v>2241</v>
      </c>
      <c r="BX78" s="530" t="s">
        <v>2200</v>
      </c>
      <c r="BY78" s="523">
        <f t="shared" ca="1" si="96"/>
        <v>12.15</v>
      </c>
      <c r="BZ78" s="662">
        <v>5.5</v>
      </c>
      <c r="CA78" s="523">
        <v>3.6999999999999998E-2</v>
      </c>
      <c r="CB78" s="170">
        <f t="shared" ca="1" si="99"/>
        <v>2.7684249906472124E-2</v>
      </c>
      <c r="CC78" s="523">
        <f t="shared" ca="1" si="100"/>
        <v>277</v>
      </c>
      <c r="CE78" s="512">
        <v>5</v>
      </c>
      <c r="CF78" s="527" t="s">
        <v>616</v>
      </c>
      <c r="CG78" s="525" t="s">
        <v>1211</v>
      </c>
      <c r="CH78" s="523">
        <f t="shared" ca="1" si="110"/>
        <v>49.199999999999996</v>
      </c>
      <c r="CI78" s="523">
        <v>1</v>
      </c>
      <c r="CJ78" s="523">
        <v>6.6699999999999995E-2</v>
      </c>
      <c r="CK78" s="170">
        <f t="shared" ca="1" si="111"/>
        <v>6.7784552845528465E-2</v>
      </c>
      <c r="CL78" s="508">
        <f t="shared" ca="1" si="112"/>
        <v>678</v>
      </c>
      <c r="CW78" s="618">
        <v>10</v>
      </c>
      <c r="CX78" s="621" t="s">
        <v>621</v>
      </c>
      <c r="CY78" s="618" t="s">
        <v>1211</v>
      </c>
      <c r="CZ78" s="617">
        <f t="shared" ref="CZ78:CZ80" ca="1" si="124">IF(CY78="部件",VLOOKUP(CW78,INDIRECT(CY78&amp;"价值"),MATCH(LEFT(CX78,2)&amp;"部件",INDIRECT(CY78&amp;"价值标头"),0),FALSE),IF(CY78="加速道具",VLOOKUP(CX78,INDIRECT(CY78&amp;"价值"),MATCH("价格",INDIRECT(CY78&amp;"价值标头"),0),FALSE),VLOOKUP(CW78,INDIRECT(CY78&amp;"价值"),MATCH(CX78,INDIRECT(CY78&amp;"价值标头"),0),FALSE)))</f>
        <v>142.6</v>
      </c>
      <c r="DA78" s="617">
        <v>2</v>
      </c>
      <c r="DB78" s="617">
        <v>0.33329999999999999</v>
      </c>
      <c r="DC78" s="617">
        <v>0.33329999999999999</v>
      </c>
      <c r="DD78" s="617">
        <f t="shared" ref="DD78:DD80" si="125">ROUND(DC78*10000,0)</f>
        <v>3333</v>
      </c>
    </row>
    <row r="79" spans="2:109" x14ac:dyDescent="0.35">
      <c r="B79" s="512">
        <v>3</v>
      </c>
      <c r="C79" s="516" t="s">
        <v>623</v>
      </c>
      <c r="D79" s="512" t="s">
        <v>1211</v>
      </c>
      <c r="E79" s="508">
        <f t="shared" ca="1" si="115"/>
        <v>52.8</v>
      </c>
      <c r="F79" s="567">
        <v>7</v>
      </c>
      <c r="G79" s="166">
        <f>宝箱设定!$X90</f>
        <v>7.2999999999999995E-2</v>
      </c>
      <c r="H79" s="170">
        <f ca="1">G79*$C$4/E79/F79</f>
        <v>1.1603760822510823E-2</v>
      </c>
      <c r="I79" s="508">
        <f ca="1">ROUND(H79*10000,0)</f>
        <v>116</v>
      </c>
      <c r="J79" s="300"/>
      <c r="K79" s="512">
        <v>3</v>
      </c>
      <c r="L79" s="516" t="s">
        <v>623</v>
      </c>
      <c r="M79" s="512" t="s">
        <v>1211</v>
      </c>
      <c r="N79" s="508">
        <f t="shared" ca="1" si="116"/>
        <v>52.8</v>
      </c>
      <c r="O79" s="628">
        <v>2.5</v>
      </c>
      <c r="P79" s="166">
        <f>宝箱设定!$X90</f>
        <v>7.2999999999999995E-2</v>
      </c>
      <c r="Q79" s="170">
        <f t="shared" ca="1" si="117"/>
        <v>2.599242424242424E-2</v>
      </c>
      <c r="R79" s="508">
        <f t="shared" ca="1" si="118"/>
        <v>260</v>
      </c>
      <c r="S79" s="300"/>
      <c r="T79" s="512">
        <v>3</v>
      </c>
      <c r="U79" s="516" t="s">
        <v>623</v>
      </c>
      <c r="V79" s="512" t="s">
        <v>1211</v>
      </c>
      <c r="W79" s="508">
        <f t="shared" ca="1" si="119"/>
        <v>52.8</v>
      </c>
      <c r="X79" s="628">
        <v>2.5</v>
      </c>
      <c r="Y79" s="166">
        <f>宝箱设定!$X90</f>
        <v>7.2999999999999995E-2</v>
      </c>
      <c r="Z79" s="170">
        <f t="shared" ca="1" si="120"/>
        <v>2.6268939393939393E-2</v>
      </c>
      <c r="AA79" s="508">
        <f t="shared" ca="1" si="121"/>
        <v>263</v>
      </c>
      <c r="AB79" s="300"/>
      <c r="AC79" s="512" t="s">
        <v>597</v>
      </c>
      <c r="AD79" s="512" t="s">
        <v>1225</v>
      </c>
      <c r="AE79" s="513" t="s">
        <v>917</v>
      </c>
      <c r="AF79" s="166" t="s">
        <v>920</v>
      </c>
      <c r="AG79" s="398" t="s">
        <v>967</v>
      </c>
      <c r="AH79" s="166" t="s">
        <v>854</v>
      </c>
      <c r="AI79" s="166" t="s">
        <v>926</v>
      </c>
      <c r="AJ79" s="281" t="s">
        <v>927</v>
      </c>
      <c r="AK79" s="300" t="e">
        <f ca="1">SUM(AJ80:AJ117)</f>
        <v>#VALUE!</v>
      </c>
      <c r="BJ79" s="538"/>
      <c r="BK79" s="157"/>
      <c r="BS79" s="538"/>
      <c r="BT79" s="157"/>
      <c r="BV79" s="525">
        <v>3</v>
      </c>
      <c r="BW79" s="527" t="s">
        <v>2243</v>
      </c>
      <c r="BX79" s="530" t="s">
        <v>2200</v>
      </c>
      <c r="BY79" s="523">
        <f t="shared" ca="1" si="96"/>
        <v>12.15</v>
      </c>
      <c r="BZ79" s="662">
        <v>5.5</v>
      </c>
      <c r="CA79" s="523">
        <v>3.6999999999999998E-2</v>
      </c>
      <c r="CB79" s="170">
        <f t="shared" ca="1" si="99"/>
        <v>2.7684249906472124E-2</v>
      </c>
      <c r="CC79" s="523">
        <f t="shared" ca="1" si="100"/>
        <v>277</v>
      </c>
      <c r="CE79" s="512">
        <v>5</v>
      </c>
      <c r="CF79" s="527" t="s">
        <v>624</v>
      </c>
      <c r="CG79" s="525" t="s">
        <v>1211</v>
      </c>
      <c r="CH79" s="523">
        <f t="shared" ca="1" si="110"/>
        <v>49.199999999999996</v>
      </c>
      <c r="CI79" s="662">
        <v>1</v>
      </c>
      <c r="CJ79" s="523">
        <v>6.6699999999999995E-2</v>
      </c>
      <c r="CK79" s="170">
        <f t="shared" ca="1" si="111"/>
        <v>6.7784552845528465E-2</v>
      </c>
      <c r="CL79" s="508">
        <f t="shared" ca="1" si="112"/>
        <v>678</v>
      </c>
      <c r="CW79" s="618">
        <v>10</v>
      </c>
      <c r="CX79" s="621" t="s">
        <v>634</v>
      </c>
      <c r="CY79" s="618" t="s">
        <v>1211</v>
      </c>
      <c r="CZ79" s="617">
        <f t="shared" ca="1" si="124"/>
        <v>142.6</v>
      </c>
      <c r="DA79" s="617">
        <v>2</v>
      </c>
      <c r="DB79" s="617">
        <v>0.33329999999999999</v>
      </c>
      <c r="DC79" s="617">
        <v>0.33329999999999999</v>
      </c>
      <c r="DD79" s="617">
        <f t="shared" si="125"/>
        <v>3333</v>
      </c>
    </row>
    <row r="80" spans="2:109" x14ac:dyDescent="0.35">
      <c r="B80" s="512">
        <v>3</v>
      </c>
      <c r="C80" s="516" t="s">
        <v>721</v>
      </c>
      <c r="D80" s="512" t="s">
        <v>1211</v>
      </c>
      <c r="E80" s="508">
        <f t="shared" ca="1" si="115"/>
        <v>52.8</v>
      </c>
      <c r="F80" s="567">
        <v>7</v>
      </c>
      <c r="G80" s="166">
        <f>宝箱设定!$X91</f>
        <v>7.2999999999999995E-2</v>
      </c>
      <c r="H80" s="170">
        <f ca="1">G80*$C$4/E80/F80</f>
        <v>1.1603760822510823E-2</v>
      </c>
      <c r="I80" s="508">
        <f ca="1">ROUND(H80*10000,0)</f>
        <v>116</v>
      </c>
      <c r="J80" s="300"/>
      <c r="K80" s="512">
        <v>3</v>
      </c>
      <c r="L80" s="516" t="s">
        <v>721</v>
      </c>
      <c r="M80" s="512" t="s">
        <v>1211</v>
      </c>
      <c r="N80" s="508">
        <f t="shared" ca="1" si="116"/>
        <v>52.8</v>
      </c>
      <c r="O80" s="628">
        <v>2.5</v>
      </c>
      <c r="P80" s="166">
        <f>宝箱设定!$X91</f>
        <v>7.2999999999999995E-2</v>
      </c>
      <c r="Q80" s="170">
        <f t="shared" ca="1" si="117"/>
        <v>2.599242424242424E-2</v>
      </c>
      <c r="R80" s="508">
        <f t="shared" ca="1" si="118"/>
        <v>260</v>
      </c>
      <c r="S80" s="300"/>
      <c r="T80" s="512">
        <v>3</v>
      </c>
      <c r="U80" s="516" t="s">
        <v>721</v>
      </c>
      <c r="V80" s="512" t="s">
        <v>1211</v>
      </c>
      <c r="W80" s="508">
        <f t="shared" ca="1" si="119"/>
        <v>52.8</v>
      </c>
      <c r="X80" s="628">
        <v>2.5</v>
      </c>
      <c r="Y80" s="166">
        <f>宝箱设定!$X91</f>
        <v>7.2999999999999995E-2</v>
      </c>
      <c r="Z80" s="170">
        <f t="shared" ca="1" si="120"/>
        <v>2.6268939393939393E-2</v>
      </c>
      <c r="AA80" s="508">
        <f t="shared" ca="1" si="121"/>
        <v>263</v>
      </c>
      <c r="AB80" s="300"/>
      <c r="AC80" s="512">
        <v>3</v>
      </c>
      <c r="AD80" s="516" t="s">
        <v>615</v>
      </c>
      <c r="AE80" s="512" t="s">
        <v>1211</v>
      </c>
      <c r="AF80" s="508">
        <f t="shared" ref="AF80:AF117" ca="1" si="126">IF(AE80="部件",VLOOKUP(AC80,INDIRECT(AE80&amp;"价值"),MATCH(LEFT(AD80,2)&amp;"部件",INDIRECT(AE80&amp;"价值标头"),0),FALSE),IF(AE80="加速道具",VLOOKUP(AD80,INDIRECT(AE80&amp;"价值"),MATCH("价格",INDIRECT(AE80&amp;"价值标头"),0),FALSE),VLOOKUP(AC80,INDIRECT(AE80&amp;"价值"),MATCH(AD80,INDIRECT(AE80&amp;"价值标头"),0),FALSE)))</f>
        <v>52.8</v>
      </c>
      <c r="AG80" s="528">
        <v>4</v>
      </c>
      <c r="AH80" s="166">
        <f>宝箱设定!$X89</f>
        <v>7.2999999999999995E-2</v>
      </c>
      <c r="AI80" s="170">
        <f t="shared" ref="AI80:AI88" ca="1" si="127">AH80*AD$4/AF80/AG80</f>
        <v>2.2121212121212121E-2</v>
      </c>
      <c r="AJ80" s="508">
        <f t="shared" ref="AJ80:AJ88" ca="1" si="128">ROUND(AI80*10000,0)</f>
        <v>221</v>
      </c>
      <c r="AK80" s="300"/>
      <c r="AU80" s="512" t="s">
        <v>597</v>
      </c>
      <c r="AV80" s="512" t="s">
        <v>1225</v>
      </c>
      <c r="AW80" s="513" t="s">
        <v>917</v>
      </c>
      <c r="AX80" s="166" t="s">
        <v>920</v>
      </c>
      <c r="AY80" s="518" t="s">
        <v>967</v>
      </c>
      <c r="AZ80" s="166" t="s">
        <v>854</v>
      </c>
      <c r="BA80" s="166" t="s">
        <v>926</v>
      </c>
      <c r="BB80" s="514" t="s">
        <v>927</v>
      </c>
      <c r="BC80" s="300" t="e">
        <f ca="1">SUM(BB81:BB119)</f>
        <v>#VALUE!</v>
      </c>
      <c r="BD80" s="512" t="s">
        <v>597</v>
      </c>
      <c r="BE80" s="512" t="s">
        <v>1225</v>
      </c>
      <c r="BF80" s="513" t="s">
        <v>917</v>
      </c>
      <c r="BG80" s="166" t="s">
        <v>920</v>
      </c>
      <c r="BH80" s="518" t="s">
        <v>967</v>
      </c>
      <c r="BI80" s="166" t="s">
        <v>854</v>
      </c>
      <c r="BJ80" s="166" t="s">
        <v>926</v>
      </c>
      <c r="BK80" s="281" t="s">
        <v>927</v>
      </c>
      <c r="BL80" s="300" t="e">
        <f ca="1">SUM(BK81:BK119)</f>
        <v>#VALUE!</v>
      </c>
      <c r="BM80" s="512" t="s">
        <v>597</v>
      </c>
      <c r="BN80" s="525" t="s">
        <v>1225</v>
      </c>
      <c r="BO80" s="526" t="s">
        <v>917</v>
      </c>
      <c r="BP80" s="166" t="s">
        <v>920</v>
      </c>
      <c r="BQ80" s="518" t="s">
        <v>2975</v>
      </c>
      <c r="BR80" s="166" t="s">
        <v>854</v>
      </c>
      <c r="BS80" s="166" t="s">
        <v>926</v>
      </c>
      <c r="BT80" s="514" t="s">
        <v>927</v>
      </c>
      <c r="BU80" s="300" t="e">
        <f ca="1">SUM(BT81:BT119)</f>
        <v>#VALUE!</v>
      </c>
      <c r="BV80" s="525">
        <v>3</v>
      </c>
      <c r="BW80" s="527" t="s">
        <v>2245</v>
      </c>
      <c r="BX80" s="530" t="s">
        <v>2200</v>
      </c>
      <c r="BY80" s="523">
        <f t="shared" ca="1" si="96"/>
        <v>12.15</v>
      </c>
      <c r="BZ80" s="662">
        <v>5.5</v>
      </c>
      <c r="CA80" s="523">
        <v>3.6999999999999998E-2</v>
      </c>
      <c r="CB80" s="170">
        <f t="shared" ca="1" si="99"/>
        <v>2.7684249906472124E-2</v>
      </c>
      <c r="CC80" s="523">
        <f t="shared" ca="1" si="100"/>
        <v>277</v>
      </c>
      <c r="CE80" s="512">
        <v>5</v>
      </c>
      <c r="CF80" s="527" t="s">
        <v>630</v>
      </c>
      <c r="CG80" s="525" t="s">
        <v>1211</v>
      </c>
      <c r="CH80" s="523">
        <f t="shared" ca="1" si="110"/>
        <v>49.199999999999996</v>
      </c>
      <c r="CI80" s="662">
        <v>1</v>
      </c>
      <c r="CJ80" s="523">
        <v>6.6699999999999995E-2</v>
      </c>
      <c r="CK80" s="170">
        <f t="shared" ca="1" si="111"/>
        <v>6.7784552845528465E-2</v>
      </c>
      <c r="CL80" s="508">
        <f t="shared" ca="1" si="112"/>
        <v>678</v>
      </c>
      <c r="CN80" s="618" t="s">
        <v>597</v>
      </c>
      <c r="CO80" s="618" t="s">
        <v>1225</v>
      </c>
      <c r="CP80" s="619" t="s">
        <v>917</v>
      </c>
      <c r="CQ80" s="166" t="s">
        <v>920</v>
      </c>
      <c r="CR80" s="622" t="s">
        <v>967</v>
      </c>
      <c r="CS80" s="166" t="s">
        <v>854</v>
      </c>
      <c r="CT80" s="166" t="s">
        <v>926</v>
      </c>
      <c r="CU80" s="620" t="s">
        <v>927</v>
      </c>
      <c r="CV80" s="300">
        <f>SUM(CU81:CU98)</f>
        <v>10000</v>
      </c>
      <c r="CW80" s="618">
        <v>10</v>
      </c>
      <c r="CX80" s="621" t="s">
        <v>722</v>
      </c>
      <c r="CY80" s="618" t="s">
        <v>1211</v>
      </c>
      <c r="CZ80" s="617">
        <f t="shared" ca="1" si="124"/>
        <v>142.6</v>
      </c>
      <c r="DA80" s="617">
        <v>2</v>
      </c>
      <c r="DB80" s="617">
        <v>0.33339999999999997</v>
      </c>
      <c r="DC80" s="617">
        <v>0.33339999999999997</v>
      </c>
      <c r="DD80" s="617">
        <f t="shared" si="125"/>
        <v>3334</v>
      </c>
    </row>
    <row r="81" spans="2:99" x14ac:dyDescent="0.35">
      <c r="B81" s="273">
        <v>3</v>
      </c>
      <c r="C81" s="260" t="s">
        <v>616</v>
      </c>
      <c r="D81" s="273" t="s">
        <v>1235</v>
      </c>
      <c r="E81" s="508">
        <f t="shared" ca="1" si="115"/>
        <v>56.4</v>
      </c>
      <c r="F81" s="379">
        <v>4.5</v>
      </c>
      <c r="G81" s="166">
        <f>宝箱设定!$X92</f>
        <v>7.2999999999999995E-2</v>
      </c>
      <c r="H81" s="170">
        <f t="shared" ref="H81:H113" ca="1" si="129">G81*$C$4/E81/F81</f>
        <v>1.6898148148148148E-2</v>
      </c>
      <c r="I81" s="256">
        <f t="shared" ref="I81:I113" ca="1" si="130">ROUND(H81*10000,0)</f>
        <v>169</v>
      </c>
      <c r="J81" s="300"/>
      <c r="K81" s="512">
        <v>3</v>
      </c>
      <c r="L81" s="516" t="s">
        <v>616</v>
      </c>
      <c r="M81" s="512" t="s">
        <v>1211</v>
      </c>
      <c r="N81" s="508">
        <f t="shared" ca="1" si="116"/>
        <v>56.4</v>
      </c>
      <c r="O81" s="565">
        <v>2</v>
      </c>
      <c r="P81" s="166">
        <f>宝箱设定!$X92</f>
        <v>7.2999999999999995E-2</v>
      </c>
      <c r="Q81" s="170">
        <f t="shared" ca="1" si="117"/>
        <v>3.0416666666666665E-2</v>
      </c>
      <c r="R81" s="279">
        <f t="shared" ca="1" si="118"/>
        <v>304</v>
      </c>
      <c r="T81" s="512">
        <v>3</v>
      </c>
      <c r="U81" s="516" t="s">
        <v>616</v>
      </c>
      <c r="V81" s="512" t="s">
        <v>1211</v>
      </c>
      <c r="W81" s="508">
        <f t="shared" ca="1" si="119"/>
        <v>56.4</v>
      </c>
      <c r="X81" s="594">
        <v>2</v>
      </c>
      <c r="Y81" s="166">
        <f>宝箱设定!$X92</f>
        <v>7.2999999999999995E-2</v>
      </c>
      <c r="Z81" s="170">
        <f t="shared" ca="1" si="120"/>
        <v>3.0740248226950352E-2</v>
      </c>
      <c r="AA81" s="279">
        <f t="shared" ca="1" si="121"/>
        <v>307</v>
      </c>
      <c r="AC81" s="512">
        <v>3</v>
      </c>
      <c r="AD81" s="516" t="s">
        <v>623</v>
      </c>
      <c r="AE81" s="512" t="s">
        <v>1211</v>
      </c>
      <c r="AF81" s="508">
        <f t="shared" ca="1" si="126"/>
        <v>52.8</v>
      </c>
      <c r="AG81" s="567">
        <v>4</v>
      </c>
      <c r="AH81" s="166">
        <f>宝箱设定!$X90</f>
        <v>7.2999999999999995E-2</v>
      </c>
      <c r="AI81" s="170">
        <f t="shared" ca="1" si="127"/>
        <v>2.2121212121212121E-2</v>
      </c>
      <c r="AJ81" s="508">
        <f t="shared" ca="1" si="128"/>
        <v>221</v>
      </c>
      <c r="AK81" s="300"/>
      <c r="AL81" s="512" t="s">
        <v>597</v>
      </c>
      <c r="AM81" s="512" t="s">
        <v>1225</v>
      </c>
      <c r="AN81" s="513" t="s">
        <v>917</v>
      </c>
      <c r="AO81" s="166" t="s">
        <v>920</v>
      </c>
      <c r="AP81" s="285" t="s">
        <v>967</v>
      </c>
      <c r="AQ81" s="166" t="s">
        <v>854</v>
      </c>
      <c r="AR81" s="166" t="s">
        <v>926</v>
      </c>
      <c r="AS81" s="281" t="s">
        <v>927</v>
      </c>
      <c r="AT81" s="300" t="e">
        <f ca="1">SUM(AS82:AS121)</f>
        <v>#VALUE!</v>
      </c>
      <c r="AU81" s="512">
        <v>3</v>
      </c>
      <c r="AV81" s="516" t="s">
        <v>616</v>
      </c>
      <c r="AW81" s="295" t="s">
        <v>918</v>
      </c>
      <c r="AX81" s="508">
        <f t="shared" ref="AX81:AX119" ca="1" si="131">IF(AW81="部件",VLOOKUP(AU81,INDIRECT(AW81&amp;"价值"),MATCH(LEFT(AV81,2)&amp;"部件",INDIRECT(AW81&amp;"价值标头"),0),FALSE),IF(AW81="加速道具",VLOOKUP(AV81,INDIRECT(AW81&amp;"价值"),MATCH("价格",INDIRECT(AW81&amp;"价值标头"),0),FALSE),VLOOKUP(AU81,INDIRECT(AW81&amp;"价值"),MATCH(AV81,INDIRECT(AW81&amp;"价值标头"),0),FALSE)))</f>
        <v>564</v>
      </c>
      <c r="AY81" s="508">
        <v>1</v>
      </c>
      <c r="AZ81" s="508">
        <f>宝箱设定!$H92</f>
        <v>3.6999999999999998E-2</v>
      </c>
      <c r="BA81" s="170">
        <f ca="1">AZ81*AV$4/AX81/AY81</f>
        <v>4.26418439716312E-3</v>
      </c>
      <c r="BB81" s="508">
        <f ca="1">ROUND(BA81*10000,0)</f>
        <v>43</v>
      </c>
      <c r="BD81" s="512">
        <v>3</v>
      </c>
      <c r="BE81" s="516" t="s">
        <v>616</v>
      </c>
      <c r="BF81" s="295" t="s">
        <v>918</v>
      </c>
      <c r="BG81" s="508">
        <f t="shared" ref="BG81:BG119" ca="1" si="132">IF(BF81="部件",VLOOKUP(BD81,INDIRECT(BF81&amp;"价值"),MATCH(LEFT(BE81,2)&amp;"部件",INDIRECT(BF81&amp;"价值标头"),0),FALSE),IF(BF81="加速道具",VLOOKUP(BE81,INDIRECT(BF81&amp;"价值"),MATCH("价格",INDIRECT(BF81&amp;"价值标头"),0),FALSE),VLOOKUP(BD81,INDIRECT(BF81&amp;"价值"),MATCH(BE81,INDIRECT(BF81&amp;"价值标头"),0),FALSE)))</f>
        <v>564</v>
      </c>
      <c r="BH81" s="508">
        <v>1</v>
      </c>
      <c r="BI81" s="508">
        <f>宝箱设定!$H92</f>
        <v>3.6999999999999998E-2</v>
      </c>
      <c r="BJ81" s="170">
        <f ca="1">BI81*BE$4/BG81/BH81</f>
        <v>9.6764184397163111E-3</v>
      </c>
      <c r="BK81" s="279">
        <f ca="1">ROUND(BJ81*10000,0)</f>
        <v>97</v>
      </c>
      <c r="BM81" s="512">
        <v>3</v>
      </c>
      <c r="BN81" s="527" t="s">
        <v>616</v>
      </c>
      <c r="BO81" s="295" t="s">
        <v>918</v>
      </c>
      <c r="BP81" s="508">
        <f t="shared" ref="BP81:BP119" ca="1" si="133">IF(BO81="部件",VLOOKUP(BM81,INDIRECT(BO81&amp;"价值"),MATCH(LEFT(BN81,2)&amp;"部件",INDIRECT(BO81&amp;"价值标头"),0),FALSE),IF(BO81="加速道具",VLOOKUP(BN81,INDIRECT(BO81&amp;"价值"),MATCH("价格",INDIRECT(BO81&amp;"价值标头"),0),FALSE),VLOOKUP(BM81,INDIRECT(BO81&amp;"价值"),MATCH(BN81,INDIRECT(BO81&amp;"价值标头"),0),FALSE)))</f>
        <v>564</v>
      </c>
      <c r="BQ81" s="508">
        <v>3</v>
      </c>
      <c r="BR81" s="523">
        <f>宝箱设定!$P92</f>
        <v>7.3999999999999996E-2</v>
      </c>
      <c r="BS81" s="170">
        <f ca="1">BR81*BN$4/BP81/BQ81</f>
        <v>1.4432624113475177E-2</v>
      </c>
      <c r="BT81" s="508">
        <f ca="1">ROUND(BS81*10000,0)</f>
        <v>144</v>
      </c>
      <c r="BV81" s="525">
        <v>3</v>
      </c>
      <c r="BW81" s="527" t="s">
        <v>2247</v>
      </c>
      <c r="BX81" s="530" t="s">
        <v>2200</v>
      </c>
      <c r="BY81" s="523">
        <f t="shared" ca="1" si="96"/>
        <v>12.15</v>
      </c>
      <c r="BZ81" s="662">
        <v>5.5</v>
      </c>
      <c r="CA81" s="523">
        <v>3.6999999999999998E-2</v>
      </c>
      <c r="CB81" s="170">
        <f t="shared" ca="1" si="99"/>
        <v>2.7684249906472124E-2</v>
      </c>
      <c r="CC81" s="523">
        <f t="shared" ca="1" si="100"/>
        <v>277</v>
      </c>
      <c r="CE81" s="512">
        <v>5</v>
      </c>
      <c r="CF81" s="527" t="s">
        <v>617</v>
      </c>
      <c r="CG81" s="525" t="s">
        <v>1211</v>
      </c>
      <c r="CH81" s="523">
        <f t="shared" ca="1" si="110"/>
        <v>78.2</v>
      </c>
      <c r="CI81" s="523">
        <v>1</v>
      </c>
      <c r="CJ81" s="523">
        <v>0.1067</v>
      </c>
      <c r="CK81" s="170">
        <f t="shared" ca="1" si="111"/>
        <v>6.822250639386189E-2</v>
      </c>
      <c r="CL81" s="508">
        <f t="shared" ca="1" si="112"/>
        <v>682</v>
      </c>
      <c r="CN81" s="618">
        <v>4</v>
      </c>
      <c r="CO81" s="621" t="s">
        <v>2258</v>
      </c>
      <c r="CP81" s="616" t="s">
        <v>2200</v>
      </c>
      <c r="CQ81" s="617" t="e">
        <f>VLOOKUP(LEFT(CO81,2)&amp;CP81,道具价值!$B$28:$C$30,2,FALSE)</f>
        <v>#N/A</v>
      </c>
      <c r="CR81" s="617">
        <v>1</v>
      </c>
      <c r="CS81" s="617">
        <v>5.5E-2</v>
      </c>
      <c r="CT81" s="170">
        <f t="shared" ref="CT81:CT98" si="134">CS81</f>
        <v>5.5E-2</v>
      </c>
      <c r="CU81" s="617">
        <f t="shared" ref="CU81:CU98" si="135">ROUND(CT81*10000,0)</f>
        <v>550</v>
      </c>
    </row>
    <row r="82" spans="2:99" x14ac:dyDescent="0.35">
      <c r="B82" s="273">
        <v>3</v>
      </c>
      <c r="C82" s="260" t="s">
        <v>624</v>
      </c>
      <c r="D82" s="273" t="s">
        <v>1235</v>
      </c>
      <c r="E82" s="508">
        <f t="shared" ca="1" si="115"/>
        <v>56.4</v>
      </c>
      <c r="F82" s="594">
        <v>4.5</v>
      </c>
      <c r="G82" s="166">
        <f>宝箱设定!$X93</f>
        <v>7.2999999999999995E-2</v>
      </c>
      <c r="H82" s="170">
        <f t="shared" ca="1" si="129"/>
        <v>1.6898148148148148E-2</v>
      </c>
      <c r="I82" s="256">
        <f t="shared" ca="1" si="130"/>
        <v>169</v>
      </c>
      <c r="J82" s="300"/>
      <c r="K82" s="512">
        <v>3</v>
      </c>
      <c r="L82" s="516" t="s">
        <v>624</v>
      </c>
      <c r="M82" s="512" t="s">
        <v>1211</v>
      </c>
      <c r="N82" s="508">
        <f t="shared" ca="1" si="116"/>
        <v>56.4</v>
      </c>
      <c r="O82" s="594">
        <v>2</v>
      </c>
      <c r="P82" s="166">
        <f>宝箱设定!$X93</f>
        <v>7.2999999999999995E-2</v>
      </c>
      <c r="Q82" s="170">
        <f t="shared" ca="1" si="117"/>
        <v>3.0416666666666665E-2</v>
      </c>
      <c r="R82" s="279">
        <f t="shared" ca="1" si="118"/>
        <v>304</v>
      </c>
      <c r="T82" s="512">
        <v>3</v>
      </c>
      <c r="U82" s="516" t="s">
        <v>624</v>
      </c>
      <c r="V82" s="512" t="s">
        <v>1211</v>
      </c>
      <c r="W82" s="508">
        <f t="shared" ca="1" si="119"/>
        <v>56.4</v>
      </c>
      <c r="X82" s="594">
        <v>2</v>
      </c>
      <c r="Y82" s="166">
        <f>宝箱设定!$X93</f>
        <v>7.2999999999999995E-2</v>
      </c>
      <c r="Z82" s="170">
        <f t="shared" ca="1" si="120"/>
        <v>3.0740248226950352E-2</v>
      </c>
      <c r="AA82" s="279">
        <f t="shared" ca="1" si="121"/>
        <v>307</v>
      </c>
      <c r="AC82" s="512">
        <v>3</v>
      </c>
      <c r="AD82" s="516" t="s">
        <v>721</v>
      </c>
      <c r="AE82" s="512" t="s">
        <v>1211</v>
      </c>
      <c r="AF82" s="508">
        <f t="shared" ca="1" si="126"/>
        <v>52.8</v>
      </c>
      <c r="AG82" s="567">
        <v>4</v>
      </c>
      <c r="AH82" s="166">
        <f>宝箱设定!$X91</f>
        <v>7.2999999999999995E-2</v>
      </c>
      <c r="AI82" s="170">
        <f t="shared" ca="1" si="127"/>
        <v>2.2121212121212121E-2</v>
      </c>
      <c r="AJ82" s="508">
        <f t="shared" ca="1" si="128"/>
        <v>221</v>
      </c>
      <c r="AK82" s="300"/>
      <c r="AL82" s="512">
        <v>3</v>
      </c>
      <c r="AM82" s="516" t="s">
        <v>615</v>
      </c>
      <c r="AN82" s="512" t="s">
        <v>1211</v>
      </c>
      <c r="AO82" s="508">
        <f t="shared" ref="AO82:AO117" ca="1" si="136">IF(AN82="部件",VLOOKUP(AL82,INDIRECT(AN82&amp;"价值"),MATCH(LEFT(AM82,2)&amp;"部件",INDIRECT(AN82&amp;"价值标头"),0),FALSE),IF(AN82="加速道具",VLOOKUP(AM82,INDIRECT(AN82&amp;"价值"),MATCH("价格",INDIRECT(AN82&amp;"价值标头"),0),FALSE),VLOOKUP(AL82,INDIRECT(AN82&amp;"价值"),MATCH(AM82,INDIRECT(AN82&amp;"价值标头"),0),FALSE)))</f>
        <v>52.8</v>
      </c>
      <c r="AP82" s="518">
        <v>5.5</v>
      </c>
      <c r="AQ82" s="166">
        <f>宝箱设定!$X89</f>
        <v>7.2999999999999995E-2</v>
      </c>
      <c r="AR82" s="170">
        <f t="shared" ref="AR82:AR90" ca="1" si="137">AQ82*AM$4/AO82/AP82</f>
        <v>2.4383608815426994E-2</v>
      </c>
      <c r="AS82" s="508">
        <f t="shared" ref="AS82:AS90" ca="1" si="138">ROUND(AR82*10000,0)</f>
        <v>244</v>
      </c>
      <c r="AT82" s="300"/>
      <c r="AU82" s="512">
        <v>3</v>
      </c>
      <c r="AV82" s="516" t="s">
        <v>624</v>
      </c>
      <c r="AW82" s="295" t="s">
        <v>918</v>
      </c>
      <c r="AX82" s="508">
        <f t="shared" ca="1" si="131"/>
        <v>564</v>
      </c>
      <c r="AY82" s="508">
        <v>1</v>
      </c>
      <c r="AZ82" s="523">
        <f>宝箱设定!$H93</f>
        <v>3.6999999999999998E-2</v>
      </c>
      <c r="BA82" s="170">
        <f t="shared" ref="BA82:BA119" ca="1" si="139">AZ82*AV$4/AX82/AY82</f>
        <v>4.26418439716312E-3</v>
      </c>
      <c r="BB82" s="508">
        <f t="shared" ref="BB82:BB119" ca="1" si="140">ROUND(BA82*10000,0)</f>
        <v>43</v>
      </c>
      <c r="BD82" s="512">
        <v>3</v>
      </c>
      <c r="BE82" s="516" t="s">
        <v>624</v>
      </c>
      <c r="BF82" s="295" t="s">
        <v>918</v>
      </c>
      <c r="BG82" s="508">
        <f t="shared" ca="1" si="132"/>
        <v>564</v>
      </c>
      <c r="BH82" s="508">
        <v>1</v>
      </c>
      <c r="BI82" s="508">
        <f>宝箱设定!$H93</f>
        <v>3.6999999999999998E-2</v>
      </c>
      <c r="BJ82" s="170">
        <f ca="1">BI82*BE$4/BG82/BH82</f>
        <v>9.6764184397163111E-3</v>
      </c>
      <c r="BK82" s="279">
        <f ca="1">ROUND(BJ82*10000,0)</f>
        <v>97</v>
      </c>
      <c r="BM82" s="512">
        <v>3</v>
      </c>
      <c r="BN82" s="527" t="s">
        <v>624</v>
      </c>
      <c r="BO82" s="295" t="s">
        <v>918</v>
      </c>
      <c r="BP82" s="508">
        <f t="shared" ca="1" si="133"/>
        <v>564</v>
      </c>
      <c r="BQ82" s="523">
        <v>3</v>
      </c>
      <c r="BR82" s="523">
        <f>宝箱设定!$P93</f>
        <v>7.3999999999999996E-2</v>
      </c>
      <c r="BS82" s="170">
        <f ca="1">BR82*BN$4/BP82/BQ82</f>
        <v>1.4432624113475177E-2</v>
      </c>
      <c r="BT82" s="508">
        <f ca="1">ROUND(BS82*10000,0)</f>
        <v>144</v>
      </c>
      <c r="BV82" s="525">
        <v>3</v>
      </c>
      <c r="BW82" s="527" t="s">
        <v>2249</v>
      </c>
      <c r="BX82" s="530" t="s">
        <v>2200</v>
      </c>
      <c r="BY82" s="523">
        <f t="shared" ca="1" si="96"/>
        <v>12.15</v>
      </c>
      <c r="BZ82" s="662">
        <v>5.5</v>
      </c>
      <c r="CA82" s="523">
        <v>3.6999999999999998E-2</v>
      </c>
      <c r="CB82" s="170">
        <f t="shared" ca="1" si="99"/>
        <v>2.7684249906472124E-2</v>
      </c>
      <c r="CC82" s="523">
        <f t="shared" ca="1" si="100"/>
        <v>277</v>
      </c>
      <c r="CE82" s="512">
        <v>5</v>
      </c>
      <c r="CF82" s="527" t="s">
        <v>626</v>
      </c>
      <c r="CG82" s="525" t="s">
        <v>1211</v>
      </c>
      <c r="CH82" s="523">
        <f t="shared" ca="1" si="110"/>
        <v>78.2</v>
      </c>
      <c r="CI82" s="523">
        <v>1</v>
      </c>
      <c r="CJ82" s="523">
        <v>0.1067</v>
      </c>
      <c r="CK82" s="170">
        <f t="shared" ca="1" si="111"/>
        <v>6.822250639386189E-2</v>
      </c>
      <c r="CL82" s="508">
        <f t="shared" ca="1" si="112"/>
        <v>682</v>
      </c>
      <c r="CN82" s="618">
        <v>4</v>
      </c>
      <c r="CO82" s="621" t="s">
        <v>2260</v>
      </c>
      <c r="CP82" s="616" t="s">
        <v>2200</v>
      </c>
      <c r="CQ82" s="617" t="e">
        <f>VLOOKUP(LEFT(CO82,2)&amp;CP82,道具价值!$B$28:$C$30,2,FALSE)</f>
        <v>#N/A</v>
      </c>
      <c r="CR82" s="617">
        <v>1</v>
      </c>
      <c r="CS82" s="617">
        <v>5.5E-2</v>
      </c>
      <c r="CT82" s="170">
        <f t="shared" si="134"/>
        <v>5.5E-2</v>
      </c>
      <c r="CU82" s="617">
        <f t="shared" si="135"/>
        <v>550</v>
      </c>
    </row>
    <row r="83" spans="2:99" x14ac:dyDescent="0.35">
      <c r="B83" s="273">
        <v>3</v>
      </c>
      <c r="C83" s="260" t="s">
        <v>630</v>
      </c>
      <c r="D83" s="273" t="s">
        <v>1235</v>
      </c>
      <c r="E83" s="508">
        <f t="shared" ca="1" si="115"/>
        <v>56.4</v>
      </c>
      <c r="F83" s="594">
        <v>4.5</v>
      </c>
      <c r="G83" s="166">
        <f>宝箱设定!$X94</f>
        <v>7.2999999999999995E-2</v>
      </c>
      <c r="H83" s="170">
        <f t="shared" ca="1" si="129"/>
        <v>1.6898148148148148E-2</v>
      </c>
      <c r="I83" s="256">
        <f t="shared" ca="1" si="130"/>
        <v>169</v>
      </c>
      <c r="J83" s="300"/>
      <c r="K83" s="512">
        <v>3</v>
      </c>
      <c r="L83" s="516" t="s">
        <v>630</v>
      </c>
      <c r="M83" s="512" t="s">
        <v>1211</v>
      </c>
      <c r="N83" s="508">
        <f t="shared" ca="1" si="116"/>
        <v>56.4</v>
      </c>
      <c r="O83" s="594">
        <v>2</v>
      </c>
      <c r="P83" s="166">
        <f>宝箱设定!$X94</f>
        <v>7.2999999999999995E-2</v>
      </c>
      <c r="Q83" s="170">
        <f t="shared" ca="1" si="117"/>
        <v>3.0416666666666665E-2</v>
      </c>
      <c r="R83" s="279">
        <f t="shared" ca="1" si="118"/>
        <v>304</v>
      </c>
      <c r="T83" s="512">
        <v>3</v>
      </c>
      <c r="U83" s="516" t="s">
        <v>630</v>
      </c>
      <c r="V83" s="512" t="s">
        <v>1211</v>
      </c>
      <c r="W83" s="508">
        <f t="shared" ca="1" si="119"/>
        <v>56.4</v>
      </c>
      <c r="X83" s="594">
        <v>2</v>
      </c>
      <c r="Y83" s="166">
        <f>宝箱设定!$X94</f>
        <v>7.2999999999999995E-2</v>
      </c>
      <c r="Z83" s="170">
        <f t="shared" ca="1" si="120"/>
        <v>3.0740248226950352E-2</v>
      </c>
      <c r="AA83" s="279">
        <f t="shared" ca="1" si="121"/>
        <v>307</v>
      </c>
      <c r="AC83" s="512">
        <v>3</v>
      </c>
      <c r="AD83" s="516" t="s">
        <v>616</v>
      </c>
      <c r="AE83" s="512" t="s">
        <v>1211</v>
      </c>
      <c r="AF83" s="508">
        <f t="shared" ca="1" si="126"/>
        <v>56.4</v>
      </c>
      <c r="AG83" s="528">
        <v>2.5</v>
      </c>
      <c r="AH83" s="166">
        <f>宝箱设定!$X92</f>
        <v>7.2999999999999995E-2</v>
      </c>
      <c r="AI83" s="170">
        <f t="shared" ca="1" si="127"/>
        <v>3.3134751773049642E-2</v>
      </c>
      <c r="AJ83" s="279">
        <f t="shared" ca="1" si="128"/>
        <v>331</v>
      </c>
      <c r="AL83" s="512">
        <v>3</v>
      </c>
      <c r="AM83" s="516" t="s">
        <v>623</v>
      </c>
      <c r="AN83" s="512" t="s">
        <v>1211</v>
      </c>
      <c r="AO83" s="508">
        <f t="shared" ca="1" si="136"/>
        <v>52.8</v>
      </c>
      <c r="AP83" s="628">
        <v>5.5</v>
      </c>
      <c r="AQ83" s="166">
        <f>宝箱设定!$X90</f>
        <v>7.2999999999999995E-2</v>
      </c>
      <c r="AR83" s="170">
        <f t="shared" ca="1" si="137"/>
        <v>2.4383608815426994E-2</v>
      </c>
      <c r="AS83" s="508">
        <f t="shared" ca="1" si="138"/>
        <v>244</v>
      </c>
      <c r="AT83" s="300"/>
      <c r="AU83" s="512">
        <v>3</v>
      </c>
      <c r="AV83" s="516" t="s">
        <v>630</v>
      </c>
      <c r="AW83" s="295" t="s">
        <v>918</v>
      </c>
      <c r="AX83" s="508">
        <f t="shared" ca="1" si="131"/>
        <v>564</v>
      </c>
      <c r="AY83" s="508">
        <v>1</v>
      </c>
      <c r="AZ83" s="523">
        <f>宝箱设定!$H94</f>
        <v>3.6999999999999998E-2</v>
      </c>
      <c r="BA83" s="170">
        <f t="shared" ca="1" si="139"/>
        <v>4.26418439716312E-3</v>
      </c>
      <c r="BB83" s="508">
        <f t="shared" ca="1" si="140"/>
        <v>43</v>
      </c>
      <c r="BD83" s="512">
        <v>3</v>
      </c>
      <c r="BE83" s="516" t="s">
        <v>630</v>
      </c>
      <c r="BF83" s="295" t="s">
        <v>918</v>
      </c>
      <c r="BG83" s="508">
        <f t="shared" ca="1" si="132"/>
        <v>564</v>
      </c>
      <c r="BH83" s="508">
        <v>1</v>
      </c>
      <c r="BI83" s="508">
        <f>宝箱设定!$H94</f>
        <v>3.6999999999999998E-2</v>
      </c>
      <c r="BJ83" s="170">
        <f ca="1">BI83*BE$4/BG83/BH83</f>
        <v>9.6764184397163111E-3</v>
      </c>
      <c r="BK83" s="279">
        <f ca="1">ROUND(BJ83*10000,0)</f>
        <v>97</v>
      </c>
      <c r="BM83" s="512">
        <v>3</v>
      </c>
      <c r="BN83" s="527" t="s">
        <v>630</v>
      </c>
      <c r="BO83" s="295" t="s">
        <v>918</v>
      </c>
      <c r="BP83" s="508">
        <f t="shared" ca="1" si="133"/>
        <v>564</v>
      </c>
      <c r="BQ83" s="523">
        <v>3</v>
      </c>
      <c r="BR83" s="523">
        <f>宝箱设定!$P94</f>
        <v>7.3999999999999996E-2</v>
      </c>
      <c r="BS83" s="170">
        <f ca="1">BR83*BN$4/BP83/BQ83</f>
        <v>1.4432624113475177E-2</v>
      </c>
      <c r="BT83" s="508">
        <f ca="1">ROUND(BS83*10000,0)</f>
        <v>144</v>
      </c>
      <c r="BV83" s="525">
        <v>3</v>
      </c>
      <c r="BW83" s="527" t="s">
        <v>2251</v>
      </c>
      <c r="BX83" s="530" t="s">
        <v>2200</v>
      </c>
      <c r="BY83" s="523">
        <f t="shared" ca="1" si="96"/>
        <v>12.15</v>
      </c>
      <c r="BZ83" s="662">
        <v>5.5</v>
      </c>
      <c r="CA83" s="523">
        <v>3.6999999999999998E-2</v>
      </c>
      <c r="CB83" s="170">
        <f t="shared" ca="1" si="99"/>
        <v>2.7684249906472124E-2</v>
      </c>
      <c r="CC83" s="523">
        <f t="shared" ca="1" si="100"/>
        <v>277</v>
      </c>
      <c r="CE83" s="512">
        <v>5</v>
      </c>
      <c r="CF83" s="527" t="s">
        <v>631</v>
      </c>
      <c r="CG83" s="525" t="s">
        <v>1211</v>
      </c>
      <c r="CH83" s="523">
        <f t="shared" ca="1" si="110"/>
        <v>78.2</v>
      </c>
      <c r="CI83" s="523">
        <v>1</v>
      </c>
      <c r="CJ83" s="523">
        <v>0.1067</v>
      </c>
      <c r="CK83" s="170">
        <f t="shared" ca="1" si="111"/>
        <v>6.822250639386189E-2</v>
      </c>
      <c r="CL83" s="508">
        <f t="shared" ca="1" si="112"/>
        <v>682</v>
      </c>
      <c r="CN83" s="618">
        <v>4</v>
      </c>
      <c r="CO83" s="621" t="s">
        <v>2262</v>
      </c>
      <c r="CP83" s="616" t="s">
        <v>2200</v>
      </c>
      <c r="CQ83" s="617" t="e">
        <f>VLOOKUP(LEFT(CO83,2)&amp;CP83,道具价值!$B$28:$C$30,2,FALSE)</f>
        <v>#N/A</v>
      </c>
      <c r="CR83" s="617">
        <v>1</v>
      </c>
      <c r="CS83" s="617">
        <v>5.5E-2</v>
      </c>
      <c r="CT83" s="170">
        <f t="shared" si="134"/>
        <v>5.5E-2</v>
      </c>
      <c r="CU83" s="617">
        <f t="shared" si="135"/>
        <v>550</v>
      </c>
    </row>
    <row r="84" spans="2:99" x14ac:dyDescent="0.35">
      <c r="B84" s="273">
        <v>3</v>
      </c>
      <c r="C84" s="260" t="s">
        <v>617</v>
      </c>
      <c r="D84" s="273" t="s">
        <v>1235</v>
      </c>
      <c r="E84" s="508">
        <f t="shared" ca="1" si="115"/>
        <v>85</v>
      </c>
      <c r="F84" s="359">
        <v>2.5</v>
      </c>
      <c r="G84" s="166">
        <f>宝箱设定!$X95</f>
        <v>7.2999999999999995E-2</v>
      </c>
      <c r="H84" s="170">
        <f t="shared" ca="1" si="129"/>
        <v>2.0182352941176467E-2</v>
      </c>
      <c r="I84" s="256">
        <f t="shared" ca="1" si="130"/>
        <v>202</v>
      </c>
      <c r="J84" s="300"/>
      <c r="K84" s="512">
        <v>3</v>
      </c>
      <c r="L84" s="516" t="s">
        <v>617</v>
      </c>
      <c r="M84" s="512" t="s">
        <v>1211</v>
      </c>
      <c r="N84" s="508">
        <f t="shared" ca="1" si="116"/>
        <v>85</v>
      </c>
      <c r="O84" s="565">
        <v>1</v>
      </c>
      <c r="P84" s="166">
        <f>宝箱设定!$X95</f>
        <v>7.2999999999999995E-2</v>
      </c>
      <c r="Q84" s="170">
        <f t="shared" ca="1" si="117"/>
        <v>4.0364705882352934E-2</v>
      </c>
      <c r="R84" s="279">
        <f t="shared" ca="1" si="118"/>
        <v>404</v>
      </c>
      <c r="T84" s="512">
        <v>3</v>
      </c>
      <c r="U84" s="516" t="s">
        <v>617</v>
      </c>
      <c r="V84" s="512" t="s">
        <v>1211</v>
      </c>
      <c r="W84" s="508">
        <f t="shared" ca="1" si="119"/>
        <v>85</v>
      </c>
      <c r="X84" s="594">
        <v>1</v>
      </c>
      <c r="Y84" s="166">
        <f>宝箱设定!$X95</f>
        <v>7.2999999999999995E-2</v>
      </c>
      <c r="Z84" s="170">
        <f t="shared" ca="1" si="120"/>
        <v>4.0794117647058821E-2</v>
      </c>
      <c r="AA84" s="279">
        <f t="shared" ca="1" si="121"/>
        <v>408</v>
      </c>
      <c r="AC84" s="512">
        <v>3</v>
      </c>
      <c r="AD84" s="516" t="s">
        <v>624</v>
      </c>
      <c r="AE84" s="512" t="s">
        <v>1211</v>
      </c>
      <c r="AF84" s="508">
        <f t="shared" ca="1" si="126"/>
        <v>56.4</v>
      </c>
      <c r="AG84" s="628">
        <v>2.5</v>
      </c>
      <c r="AH84" s="166">
        <f>宝箱设定!$X93</f>
        <v>7.2999999999999995E-2</v>
      </c>
      <c r="AI84" s="170">
        <f t="shared" ca="1" si="127"/>
        <v>3.3134751773049642E-2</v>
      </c>
      <c r="AJ84" s="279">
        <f t="shared" ca="1" si="128"/>
        <v>331</v>
      </c>
      <c r="AL84" s="512">
        <v>3</v>
      </c>
      <c r="AM84" s="516" t="s">
        <v>721</v>
      </c>
      <c r="AN84" s="512" t="s">
        <v>1211</v>
      </c>
      <c r="AO84" s="508">
        <f t="shared" ca="1" si="136"/>
        <v>52.8</v>
      </c>
      <c r="AP84" s="628">
        <v>5.5</v>
      </c>
      <c r="AQ84" s="166">
        <f>宝箱设定!$X91</f>
        <v>7.2999999999999995E-2</v>
      </c>
      <c r="AR84" s="170">
        <f t="shared" ca="1" si="137"/>
        <v>2.4383608815426994E-2</v>
      </c>
      <c r="AS84" s="508">
        <f t="shared" ca="1" si="138"/>
        <v>244</v>
      </c>
      <c r="AT84" s="300"/>
      <c r="AU84" s="512">
        <v>3</v>
      </c>
      <c r="AV84" s="516" t="s">
        <v>617</v>
      </c>
      <c r="AW84" s="295" t="s">
        <v>918</v>
      </c>
      <c r="AX84" s="508">
        <f t="shared" ca="1" si="131"/>
        <v>850</v>
      </c>
      <c r="AY84" s="508">
        <v>1</v>
      </c>
      <c r="AZ84" s="523">
        <f>宝箱设定!$H95</f>
        <v>3.6999999999999998E-2</v>
      </c>
      <c r="BA84" s="170">
        <f t="shared" ca="1" si="139"/>
        <v>2.8294117647058819E-3</v>
      </c>
      <c r="BB84" s="508">
        <f t="shared" ca="1" si="140"/>
        <v>28</v>
      </c>
      <c r="BD84" s="512">
        <v>3</v>
      </c>
      <c r="BE84" s="516" t="s">
        <v>617</v>
      </c>
      <c r="BF84" s="295" t="s">
        <v>918</v>
      </c>
      <c r="BG84" s="508">
        <f t="shared" ca="1" si="132"/>
        <v>850</v>
      </c>
      <c r="BH84" s="508">
        <v>1</v>
      </c>
      <c r="BI84" s="508">
        <f>宝箱设定!$H95</f>
        <v>3.6999999999999998E-2</v>
      </c>
      <c r="BJ84" s="170">
        <f t="shared" ref="BJ84:BJ110" ca="1" si="141">BI84*BE$4/BG84/BH84</f>
        <v>6.4205882352941172E-3</v>
      </c>
      <c r="BK84" s="508">
        <f t="shared" ref="BK84:BK110" ca="1" si="142">ROUND(BJ84*10000,0)</f>
        <v>64</v>
      </c>
      <c r="BM84" s="512">
        <v>3</v>
      </c>
      <c r="BN84" s="527" t="s">
        <v>617</v>
      </c>
      <c r="BO84" s="295" t="s">
        <v>918</v>
      </c>
      <c r="BP84" s="508">
        <f t="shared" ca="1" si="133"/>
        <v>850</v>
      </c>
      <c r="BQ84" s="508">
        <v>1</v>
      </c>
      <c r="BR84" s="523">
        <f>宝箱设定!$P95</f>
        <v>6.6599999999999993E-2</v>
      </c>
      <c r="BS84" s="170">
        <f t="shared" ref="BS84:BS110" ca="1" si="143">BR84*BN$4/BP84/BQ84</f>
        <v>2.5856470588235293E-2</v>
      </c>
      <c r="BT84" s="523">
        <f t="shared" ref="BT84:BT110" ca="1" si="144">ROUND(BS84*10000,0)</f>
        <v>259</v>
      </c>
      <c r="BV84" s="525">
        <v>3</v>
      </c>
      <c r="BW84" s="527" t="s">
        <v>2253</v>
      </c>
      <c r="BX84" s="530" t="s">
        <v>2200</v>
      </c>
      <c r="BY84" s="523">
        <f t="shared" ca="1" si="96"/>
        <v>12.15</v>
      </c>
      <c r="BZ84" s="662">
        <v>5.5</v>
      </c>
      <c r="CA84" s="523">
        <v>3.6999999999999998E-2</v>
      </c>
      <c r="CB84" s="170">
        <f t="shared" ca="1" si="99"/>
        <v>2.7684249906472124E-2</v>
      </c>
      <c r="CC84" s="523">
        <f t="shared" ca="1" si="100"/>
        <v>277</v>
      </c>
      <c r="CE84" s="512">
        <v>5</v>
      </c>
      <c r="CF84" s="527" t="s">
        <v>618</v>
      </c>
      <c r="CG84" s="512" t="s">
        <v>1211</v>
      </c>
      <c r="CH84" s="523">
        <f t="shared" ca="1" si="110"/>
        <v>60</v>
      </c>
      <c r="CI84" s="523">
        <v>1</v>
      </c>
      <c r="CJ84" s="523">
        <v>4.6699999999999998E-2</v>
      </c>
      <c r="CK84" s="170">
        <f t="shared" ca="1" si="111"/>
        <v>3.8916666666666669E-2</v>
      </c>
      <c r="CL84" s="508">
        <f t="shared" ca="1" si="112"/>
        <v>389</v>
      </c>
      <c r="CN84" s="618">
        <v>4</v>
      </c>
      <c r="CO84" s="621" t="s">
        <v>2264</v>
      </c>
      <c r="CP84" s="616" t="s">
        <v>2200</v>
      </c>
      <c r="CQ84" s="617" t="e">
        <f>VLOOKUP(LEFT(CO84,2)&amp;CP84,道具价值!$B$28:$C$30,2,FALSE)</f>
        <v>#N/A</v>
      </c>
      <c r="CR84" s="617">
        <v>1</v>
      </c>
      <c r="CS84" s="617">
        <v>5.5E-2</v>
      </c>
      <c r="CT84" s="170">
        <f t="shared" si="134"/>
        <v>5.5E-2</v>
      </c>
      <c r="CU84" s="617">
        <f t="shared" si="135"/>
        <v>550</v>
      </c>
    </row>
    <row r="85" spans="2:99" x14ac:dyDescent="0.35">
      <c r="B85" s="273">
        <v>3</v>
      </c>
      <c r="C85" s="260" t="s">
        <v>626</v>
      </c>
      <c r="D85" s="273" t="s">
        <v>1235</v>
      </c>
      <c r="E85" s="508">
        <f t="shared" ca="1" si="115"/>
        <v>85</v>
      </c>
      <c r="F85" s="625">
        <v>2.5</v>
      </c>
      <c r="G85" s="166">
        <f>宝箱设定!$X96</f>
        <v>7.2999999999999995E-2</v>
      </c>
      <c r="H85" s="170">
        <f t="shared" ca="1" si="129"/>
        <v>2.0182352941176467E-2</v>
      </c>
      <c r="I85" s="256">
        <f t="shared" ca="1" si="130"/>
        <v>202</v>
      </c>
      <c r="J85" s="300"/>
      <c r="K85" s="512">
        <v>3</v>
      </c>
      <c r="L85" s="516" t="s">
        <v>626</v>
      </c>
      <c r="M85" s="512" t="s">
        <v>1211</v>
      </c>
      <c r="N85" s="508">
        <f t="shared" ca="1" si="116"/>
        <v>85</v>
      </c>
      <c r="O85" s="565">
        <v>1</v>
      </c>
      <c r="P85" s="166">
        <f>宝箱设定!$X96</f>
        <v>7.2999999999999995E-2</v>
      </c>
      <c r="Q85" s="170">
        <f t="shared" ca="1" si="117"/>
        <v>4.0364705882352934E-2</v>
      </c>
      <c r="R85" s="279">
        <f t="shared" ca="1" si="118"/>
        <v>404</v>
      </c>
      <c r="T85" s="512">
        <v>3</v>
      </c>
      <c r="U85" s="516" t="s">
        <v>626</v>
      </c>
      <c r="V85" s="512" t="s">
        <v>1211</v>
      </c>
      <c r="W85" s="508">
        <f t="shared" ca="1" si="119"/>
        <v>85</v>
      </c>
      <c r="X85" s="594">
        <v>1</v>
      </c>
      <c r="Y85" s="166">
        <f>宝箱设定!$X96</f>
        <v>7.2999999999999995E-2</v>
      </c>
      <c r="Z85" s="170">
        <f t="shared" ca="1" si="120"/>
        <v>4.0794117647058821E-2</v>
      </c>
      <c r="AA85" s="279">
        <f t="shared" ca="1" si="121"/>
        <v>408</v>
      </c>
      <c r="AC85" s="512">
        <v>3</v>
      </c>
      <c r="AD85" s="516" t="s">
        <v>630</v>
      </c>
      <c r="AE85" s="512" t="s">
        <v>1211</v>
      </c>
      <c r="AF85" s="508">
        <f t="shared" ca="1" si="126"/>
        <v>56.4</v>
      </c>
      <c r="AG85" s="628">
        <v>2.5</v>
      </c>
      <c r="AH85" s="166">
        <f>宝箱设定!$X94</f>
        <v>7.2999999999999995E-2</v>
      </c>
      <c r="AI85" s="170">
        <f t="shared" ca="1" si="127"/>
        <v>3.3134751773049642E-2</v>
      </c>
      <c r="AJ85" s="279">
        <f t="shared" ca="1" si="128"/>
        <v>331</v>
      </c>
      <c r="AL85" s="512">
        <v>3</v>
      </c>
      <c r="AM85" s="516" t="s">
        <v>616</v>
      </c>
      <c r="AN85" s="512" t="s">
        <v>1211</v>
      </c>
      <c r="AO85" s="508">
        <f t="shared" ca="1" si="136"/>
        <v>56.4</v>
      </c>
      <c r="AP85" s="394">
        <v>4</v>
      </c>
      <c r="AQ85" s="166">
        <f>宝箱设定!$X92</f>
        <v>7.2999999999999995E-2</v>
      </c>
      <c r="AR85" s="170">
        <f t="shared" ca="1" si="137"/>
        <v>3.1387411347517727E-2</v>
      </c>
      <c r="AS85" s="279">
        <f t="shared" ca="1" si="138"/>
        <v>314</v>
      </c>
      <c r="AU85" s="512">
        <v>3</v>
      </c>
      <c r="AV85" s="516" t="s">
        <v>626</v>
      </c>
      <c r="AW85" s="295" t="s">
        <v>918</v>
      </c>
      <c r="AX85" s="508">
        <f t="shared" ca="1" si="131"/>
        <v>850</v>
      </c>
      <c r="AY85" s="508">
        <v>1</v>
      </c>
      <c r="AZ85" s="523">
        <f>宝箱设定!$H96</f>
        <v>3.6999999999999998E-2</v>
      </c>
      <c r="BA85" s="170">
        <f t="shared" ca="1" si="139"/>
        <v>2.8294117647058819E-3</v>
      </c>
      <c r="BB85" s="508">
        <f t="shared" ca="1" si="140"/>
        <v>28</v>
      </c>
      <c r="BD85" s="512">
        <v>3</v>
      </c>
      <c r="BE85" s="516" t="s">
        <v>626</v>
      </c>
      <c r="BF85" s="295" t="s">
        <v>918</v>
      </c>
      <c r="BG85" s="508">
        <f t="shared" ca="1" si="132"/>
        <v>850</v>
      </c>
      <c r="BH85" s="508">
        <v>1</v>
      </c>
      <c r="BI85" s="508">
        <f>宝箱设定!$H96</f>
        <v>3.6999999999999998E-2</v>
      </c>
      <c r="BJ85" s="170">
        <f t="shared" ca="1" si="141"/>
        <v>6.4205882352941172E-3</v>
      </c>
      <c r="BK85" s="508">
        <f t="shared" ca="1" si="142"/>
        <v>64</v>
      </c>
      <c r="BM85" s="512">
        <v>3</v>
      </c>
      <c r="BN85" s="527" t="s">
        <v>626</v>
      </c>
      <c r="BO85" s="295" t="s">
        <v>918</v>
      </c>
      <c r="BP85" s="508">
        <f t="shared" ca="1" si="133"/>
        <v>850</v>
      </c>
      <c r="BQ85" s="615">
        <v>1</v>
      </c>
      <c r="BR85" s="523">
        <f>宝箱设定!$P96</f>
        <v>6.6599999999999993E-2</v>
      </c>
      <c r="BS85" s="170">
        <f t="shared" ca="1" si="143"/>
        <v>2.5856470588235293E-2</v>
      </c>
      <c r="BT85" s="523">
        <f t="shared" ca="1" si="144"/>
        <v>259</v>
      </c>
      <c r="BV85" s="525">
        <v>3</v>
      </c>
      <c r="BW85" s="525" t="s">
        <v>2255</v>
      </c>
      <c r="BX85" s="530" t="s">
        <v>2200</v>
      </c>
      <c r="BY85" s="523">
        <f t="shared" ca="1" si="96"/>
        <v>12.15</v>
      </c>
      <c r="BZ85" s="662">
        <v>5.5</v>
      </c>
      <c r="CA85" s="523">
        <v>3.6999999999999998E-2</v>
      </c>
      <c r="CB85" s="170">
        <f t="shared" ca="1" si="99"/>
        <v>2.7684249906472124E-2</v>
      </c>
      <c r="CC85" s="523">
        <f t="shared" ca="1" si="100"/>
        <v>277</v>
      </c>
      <c r="CE85" s="512">
        <v>5</v>
      </c>
      <c r="CF85" s="527" t="s">
        <v>627</v>
      </c>
      <c r="CG85" s="525" t="s">
        <v>1211</v>
      </c>
      <c r="CH85" s="523">
        <f t="shared" ca="1" si="110"/>
        <v>60</v>
      </c>
      <c r="CI85" s="523">
        <v>1</v>
      </c>
      <c r="CJ85" s="523">
        <v>4.6600000000000003E-2</v>
      </c>
      <c r="CK85" s="170">
        <f t="shared" ca="1" si="111"/>
        <v>3.8833333333333338E-2</v>
      </c>
      <c r="CL85" s="508">
        <f t="shared" ca="1" si="112"/>
        <v>388</v>
      </c>
      <c r="CN85" s="618">
        <v>4</v>
      </c>
      <c r="CO85" s="621" t="s">
        <v>2266</v>
      </c>
      <c r="CP85" s="616" t="s">
        <v>2200</v>
      </c>
      <c r="CQ85" s="617" t="e">
        <f>VLOOKUP(LEFT(CO85,2)&amp;CP85,道具价值!$B$28:$C$30,2,FALSE)</f>
        <v>#N/A</v>
      </c>
      <c r="CR85" s="617">
        <v>1</v>
      </c>
      <c r="CS85" s="617">
        <v>5.5E-2</v>
      </c>
      <c r="CT85" s="170">
        <f t="shared" si="134"/>
        <v>5.5E-2</v>
      </c>
      <c r="CU85" s="617">
        <f t="shared" si="135"/>
        <v>550</v>
      </c>
    </row>
    <row r="86" spans="2:99" x14ac:dyDescent="0.35">
      <c r="B86" s="273">
        <v>3</v>
      </c>
      <c r="C86" s="260" t="s">
        <v>631</v>
      </c>
      <c r="D86" s="273" t="s">
        <v>1235</v>
      </c>
      <c r="E86" s="508">
        <f t="shared" ca="1" si="115"/>
        <v>85</v>
      </c>
      <c r="F86" s="625">
        <v>2.5</v>
      </c>
      <c r="G86" s="166">
        <f>宝箱设定!$X97</f>
        <v>7.2999999999999995E-2</v>
      </c>
      <c r="H86" s="170">
        <f t="shared" ca="1" si="129"/>
        <v>2.0182352941176467E-2</v>
      </c>
      <c r="I86" s="256">
        <f t="shared" ca="1" si="130"/>
        <v>202</v>
      </c>
      <c r="J86" s="300"/>
      <c r="K86" s="512">
        <v>3</v>
      </c>
      <c r="L86" s="516" t="s">
        <v>631</v>
      </c>
      <c r="M86" s="512" t="s">
        <v>1211</v>
      </c>
      <c r="N86" s="508">
        <f t="shared" ca="1" si="116"/>
        <v>85</v>
      </c>
      <c r="O86" s="565">
        <v>1</v>
      </c>
      <c r="P86" s="166">
        <f>宝箱设定!$X97</f>
        <v>7.2999999999999995E-2</v>
      </c>
      <c r="Q86" s="170">
        <f t="shared" ca="1" si="117"/>
        <v>4.0364705882352934E-2</v>
      </c>
      <c r="R86" s="279">
        <f t="shared" ca="1" si="118"/>
        <v>404</v>
      </c>
      <c r="T86" s="512">
        <v>3</v>
      </c>
      <c r="U86" s="516" t="s">
        <v>631</v>
      </c>
      <c r="V86" s="512" t="s">
        <v>1211</v>
      </c>
      <c r="W86" s="508">
        <f t="shared" ca="1" si="119"/>
        <v>85</v>
      </c>
      <c r="X86" s="594">
        <v>1</v>
      </c>
      <c r="Y86" s="166">
        <f>宝箱设定!$X97</f>
        <v>7.2999999999999995E-2</v>
      </c>
      <c r="Z86" s="170">
        <f t="shared" ca="1" si="120"/>
        <v>4.0794117647058821E-2</v>
      </c>
      <c r="AA86" s="279">
        <f t="shared" ca="1" si="121"/>
        <v>408</v>
      </c>
      <c r="AC86" s="512">
        <v>3</v>
      </c>
      <c r="AD86" s="516" t="s">
        <v>617</v>
      </c>
      <c r="AE86" s="512" t="s">
        <v>1211</v>
      </c>
      <c r="AF86" s="508">
        <f t="shared" ca="1" si="126"/>
        <v>85</v>
      </c>
      <c r="AG86" s="518">
        <v>1.5</v>
      </c>
      <c r="AH86" s="166">
        <f>宝箱设定!$X95</f>
        <v>7.2999999999999995E-2</v>
      </c>
      <c r="AI86" s="170">
        <f t="shared" ca="1" si="127"/>
        <v>3.664313725490196E-2</v>
      </c>
      <c r="AJ86" s="279">
        <f t="shared" ca="1" si="128"/>
        <v>366</v>
      </c>
      <c r="AL86" s="512">
        <v>3</v>
      </c>
      <c r="AM86" s="516" t="s">
        <v>624</v>
      </c>
      <c r="AN86" s="512" t="s">
        <v>1211</v>
      </c>
      <c r="AO86" s="508">
        <f t="shared" ca="1" si="136"/>
        <v>56.4</v>
      </c>
      <c r="AP86" s="523">
        <v>4</v>
      </c>
      <c r="AQ86" s="166">
        <f>宝箱设定!$X93</f>
        <v>7.2999999999999995E-2</v>
      </c>
      <c r="AR86" s="170">
        <f t="shared" ca="1" si="137"/>
        <v>3.1387411347517727E-2</v>
      </c>
      <c r="AS86" s="279">
        <f t="shared" ca="1" si="138"/>
        <v>314</v>
      </c>
      <c r="AU86" s="512">
        <v>3</v>
      </c>
      <c r="AV86" s="516" t="s">
        <v>631</v>
      </c>
      <c r="AW86" s="295" t="s">
        <v>918</v>
      </c>
      <c r="AX86" s="508">
        <f t="shared" ca="1" si="131"/>
        <v>850</v>
      </c>
      <c r="AY86" s="508">
        <v>1</v>
      </c>
      <c r="AZ86" s="523">
        <f>宝箱设定!$H97</f>
        <v>3.6999999999999998E-2</v>
      </c>
      <c r="BA86" s="170">
        <f t="shared" ca="1" si="139"/>
        <v>2.8294117647058819E-3</v>
      </c>
      <c r="BB86" s="508">
        <f t="shared" ca="1" si="140"/>
        <v>28</v>
      </c>
      <c r="BD86" s="512">
        <v>3</v>
      </c>
      <c r="BE86" s="516" t="s">
        <v>631</v>
      </c>
      <c r="BF86" s="295" t="s">
        <v>918</v>
      </c>
      <c r="BG86" s="508">
        <f t="shared" ca="1" si="132"/>
        <v>850</v>
      </c>
      <c r="BH86" s="508">
        <v>1</v>
      </c>
      <c r="BI86" s="508">
        <f>宝箱设定!$H97</f>
        <v>3.6999999999999998E-2</v>
      </c>
      <c r="BJ86" s="170">
        <f t="shared" ca="1" si="141"/>
        <v>6.4205882352941172E-3</v>
      </c>
      <c r="BK86" s="508">
        <f t="shared" ca="1" si="142"/>
        <v>64</v>
      </c>
      <c r="BM86" s="512">
        <v>3</v>
      </c>
      <c r="BN86" s="527" t="s">
        <v>631</v>
      </c>
      <c r="BO86" s="295" t="s">
        <v>918</v>
      </c>
      <c r="BP86" s="508">
        <f t="shared" ca="1" si="133"/>
        <v>850</v>
      </c>
      <c r="BQ86" s="615">
        <v>1</v>
      </c>
      <c r="BR86" s="523">
        <f>宝箱设定!$P97</f>
        <v>6.6599999999999993E-2</v>
      </c>
      <c r="BS86" s="170">
        <f t="shared" ca="1" si="143"/>
        <v>2.5856470588235293E-2</v>
      </c>
      <c r="BT86" s="523">
        <f t="shared" ca="1" si="144"/>
        <v>259</v>
      </c>
      <c r="BV86" s="525">
        <v>3</v>
      </c>
      <c r="BW86" s="525" t="s">
        <v>2257</v>
      </c>
      <c r="BX86" s="530" t="s">
        <v>2200</v>
      </c>
      <c r="BY86" s="523">
        <f t="shared" ca="1" si="96"/>
        <v>12.15</v>
      </c>
      <c r="BZ86" s="662">
        <v>5.5</v>
      </c>
      <c r="CA86" s="523">
        <v>3.6999999999999998E-2</v>
      </c>
      <c r="CB86" s="170">
        <f t="shared" ca="1" si="99"/>
        <v>2.7684249906472124E-2</v>
      </c>
      <c r="CC86" s="523">
        <f t="shared" ca="1" si="100"/>
        <v>277</v>
      </c>
      <c r="CE86" s="512">
        <v>5</v>
      </c>
      <c r="CF86" s="527" t="s">
        <v>628</v>
      </c>
      <c r="CG86" s="525" t="s">
        <v>1211</v>
      </c>
      <c r="CH86" s="523">
        <f t="shared" ca="1" si="110"/>
        <v>60</v>
      </c>
      <c r="CI86" s="523">
        <v>1</v>
      </c>
      <c r="CJ86" s="523">
        <v>4.6600000000000003E-2</v>
      </c>
      <c r="CK86" s="170">
        <f t="shared" ca="1" si="111"/>
        <v>3.8833333333333338E-2</v>
      </c>
      <c r="CL86" s="508">
        <f t="shared" ca="1" si="112"/>
        <v>388</v>
      </c>
      <c r="CN86" s="618">
        <v>4</v>
      </c>
      <c r="CO86" s="621" t="s">
        <v>2268</v>
      </c>
      <c r="CP86" s="616" t="s">
        <v>2200</v>
      </c>
      <c r="CQ86" s="617" t="e">
        <f>VLOOKUP(LEFT(CO86,2)&amp;CP86,道具价值!$B$28:$C$30,2,FALSE)</f>
        <v>#N/A</v>
      </c>
      <c r="CR86" s="617">
        <v>1</v>
      </c>
      <c r="CS86" s="617">
        <v>5.5E-2</v>
      </c>
      <c r="CT86" s="170">
        <f t="shared" si="134"/>
        <v>5.5E-2</v>
      </c>
      <c r="CU86" s="617">
        <f t="shared" si="135"/>
        <v>550</v>
      </c>
    </row>
    <row r="87" spans="2:99" x14ac:dyDescent="0.35">
      <c r="B87" s="512">
        <v>3</v>
      </c>
      <c r="C87" s="516" t="s">
        <v>2239</v>
      </c>
      <c r="D87" s="529" t="s">
        <v>2452</v>
      </c>
      <c r="E87" s="508">
        <f t="shared" ca="1" si="115"/>
        <v>12.15</v>
      </c>
      <c r="F87" s="508">
        <v>2</v>
      </c>
      <c r="G87" s="508">
        <v>1.2999999999999999E-2</v>
      </c>
      <c r="H87" s="170">
        <f t="shared" ca="1" si="129"/>
        <v>3.1430041152263367E-2</v>
      </c>
      <c r="I87" s="508">
        <f t="shared" ca="1" si="130"/>
        <v>314</v>
      </c>
      <c r="J87" s="300"/>
      <c r="K87" s="512">
        <v>3</v>
      </c>
      <c r="L87" s="516" t="s">
        <v>2239</v>
      </c>
      <c r="M87" s="529" t="s">
        <v>2452</v>
      </c>
      <c r="N87" s="508">
        <f t="shared" ca="1" si="116"/>
        <v>12.15</v>
      </c>
      <c r="O87" s="565">
        <v>1</v>
      </c>
      <c r="P87" s="594">
        <v>1.2500000000000001E-2</v>
      </c>
      <c r="Q87" s="170">
        <f t="shared" ref="Q87:Q113" ca="1" si="145">P87*L$4/N87/O87</f>
        <v>4.8353909465020578E-2</v>
      </c>
      <c r="R87" s="508">
        <f t="shared" ref="R87:R113" ca="1" si="146">ROUND(Q87*10000,0)</f>
        <v>484</v>
      </c>
      <c r="T87" s="512">
        <v>3</v>
      </c>
      <c r="U87" s="516" t="s">
        <v>2239</v>
      </c>
      <c r="V87" s="529" t="s">
        <v>2452</v>
      </c>
      <c r="W87" s="508">
        <f t="shared" ca="1" si="119"/>
        <v>12.15</v>
      </c>
      <c r="X87" s="594">
        <v>1</v>
      </c>
      <c r="Y87" s="594">
        <v>1.2500000000000001E-2</v>
      </c>
      <c r="Z87" s="170">
        <f t="shared" ref="Z87:Z113" ca="1" si="147">Y87*U$4/W87/X87</f>
        <v>4.8868312757201646E-2</v>
      </c>
      <c r="AA87" s="508">
        <f t="shared" ref="AA87:AA113" ca="1" si="148">ROUND(Z87*10000,0)</f>
        <v>489</v>
      </c>
      <c r="AC87" s="512">
        <v>3</v>
      </c>
      <c r="AD87" s="516" t="s">
        <v>626</v>
      </c>
      <c r="AE87" s="512" t="s">
        <v>1211</v>
      </c>
      <c r="AF87" s="508">
        <f t="shared" ca="1" si="126"/>
        <v>85</v>
      </c>
      <c r="AG87" s="567">
        <v>1.5</v>
      </c>
      <c r="AH87" s="166">
        <f>宝箱设定!$X96</f>
        <v>7.2999999999999995E-2</v>
      </c>
      <c r="AI87" s="170">
        <f t="shared" ca="1" si="127"/>
        <v>3.664313725490196E-2</v>
      </c>
      <c r="AJ87" s="279">
        <f t="shared" ca="1" si="128"/>
        <v>366</v>
      </c>
      <c r="AL87" s="512">
        <v>3</v>
      </c>
      <c r="AM87" s="516" t="s">
        <v>630</v>
      </c>
      <c r="AN87" s="512" t="s">
        <v>1211</v>
      </c>
      <c r="AO87" s="508">
        <f t="shared" ca="1" si="136"/>
        <v>56.4</v>
      </c>
      <c r="AP87" s="523">
        <v>4</v>
      </c>
      <c r="AQ87" s="166">
        <f>宝箱设定!$X94</f>
        <v>7.2999999999999995E-2</v>
      </c>
      <c r="AR87" s="170">
        <f t="shared" ca="1" si="137"/>
        <v>3.1387411347517727E-2</v>
      </c>
      <c r="AS87" s="279">
        <f t="shared" ca="1" si="138"/>
        <v>314</v>
      </c>
      <c r="AU87" s="512">
        <v>3</v>
      </c>
      <c r="AV87" s="516" t="s">
        <v>616</v>
      </c>
      <c r="AW87" s="512" t="s">
        <v>1211</v>
      </c>
      <c r="AX87" s="508">
        <f t="shared" ca="1" si="131"/>
        <v>56.4</v>
      </c>
      <c r="AY87" s="508">
        <v>4.5</v>
      </c>
      <c r="AZ87" s="523">
        <f>宝箱设定!$H98</f>
        <v>0.11099999999999999</v>
      </c>
      <c r="BA87" s="170">
        <f t="shared" ca="1" si="139"/>
        <v>2.842789598108747E-2</v>
      </c>
      <c r="BB87" s="508">
        <f t="shared" ca="1" si="140"/>
        <v>284</v>
      </c>
      <c r="BD87" s="512">
        <v>3</v>
      </c>
      <c r="BE87" s="516" t="s">
        <v>616</v>
      </c>
      <c r="BF87" s="512" t="s">
        <v>1211</v>
      </c>
      <c r="BG87" s="508">
        <f t="shared" ca="1" si="132"/>
        <v>56.4</v>
      </c>
      <c r="BH87" s="508">
        <v>8</v>
      </c>
      <c r="BI87" s="508">
        <f>宝箱设定!$H98</f>
        <v>0.11099999999999999</v>
      </c>
      <c r="BJ87" s="170">
        <f t="shared" ca="1" si="141"/>
        <v>3.6286569148936167E-2</v>
      </c>
      <c r="BK87" s="508">
        <f t="shared" ca="1" si="142"/>
        <v>363</v>
      </c>
      <c r="BM87" s="512">
        <v>3</v>
      </c>
      <c r="BN87" s="527" t="s">
        <v>616</v>
      </c>
      <c r="BO87" s="525" t="s">
        <v>1211</v>
      </c>
      <c r="BP87" s="508">
        <f t="shared" ca="1" si="133"/>
        <v>56.4</v>
      </c>
      <c r="BQ87" s="508">
        <v>22</v>
      </c>
      <c r="BR87" s="523">
        <f>宝箱设定!$P98</f>
        <v>3.6999999999999998E-2</v>
      </c>
      <c r="BS87" s="170">
        <f t="shared" ca="1" si="143"/>
        <v>9.8404255319148939E-3</v>
      </c>
      <c r="BT87" s="523">
        <f t="shared" ca="1" si="144"/>
        <v>98</v>
      </c>
      <c r="BV87" s="525">
        <v>3</v>
      </c>
      <c r="BW87" s="527" t="s">
        <v>2258</v>
      </c>
      <c r="BX87" s="530" t="s">
        <v>2200</v>
      </c>
      <c r="BY87" s="523" t="str">
        <f t="shared" ca="1" si="96"/>
        <v>T2部件</v>
      </c>
      <c r="BZ87" s="508">
        <v>1.5</v>
      </c>
      <c r="CA87" s="523">
        <v>3.6999999999999998E-2</v>
      </c>
      <c r="CB87" s="170" t="e">
        <f t="shared" ca="1" si="99"/>
        <v>#VALUE!</v>
      </c>
      <c r="CC87" s="523" t="e">
        <f t="shared" ca="1" si="100"/>
        <v>#VALUE!</v>
      </c>
      <c r="CE87" s="512">
        <v>5</v>
      </c>
      <c r="CF87" s="527" t="s">
        <v>619</v>
      </c>
      <c r="CG87" s="525" t="s">
        <v>1211</v>
      </c>
      <c r="CH87" s="523">
        <f t="shared" ca="1" si="110"/>
        <v>75</v>
      </c>
      <c r="CI87" s="523">
        <v>1</v>
      </c>
      <c r="CJ87" s="523">
        <v>4.6600000000000003E-2</v>
      </c>
      <c r="CK87" s="170">
        <f t="shared" ca="1" si="111"/>
        <v>3.1066666666666666E-2</v>
      </c>
      <c r="CL87" s="508">
        <f t="shared" ca="1" si="112"/>
        <v>311</v>
      </c>
      <c r="CN87" s="618">
        <v>4</v>
      </c>
      <c r="CO87" s="621" t="s">
        <v>2270</v>
      </c>
      <c r="CP87" s="616" t="s">
        <v>2200</v>
      </c>
      <c r="CQ87" s="617" t="e">
        <f>VLOOKUP(LEFT(CO87,2)&amp;CP87,道具价值!$B$28:$C$30,2,FALSE)</f>
        <v>#N/A</v>
      </c>
      <c r="CR87" s="617">
        <v>1</v>
      </c>
      <c r="CS87" s="617">
        <v>5.5E-2</v>
      </c>
      <c r="CT87" s="170">
        <f t="shared" si="134"/>
        <v>5.5E-2</v>
      </c>
      <c r="CU87" s="617">
        <f t="shared" si="135"/>
        <v>550</v>
      </c>
    </row>
    <row r="88" spans="2:99" x14ac:dyDescent="0.35">
      <c r="B88" s="512">
        <v>3</v>
      </c>
      <c r="C88" s="516" t="s">
        <v>2242</v>
      </c>
      <c r="D88" s="529" t="s">
        <v>2452</v>
      </c>
      <c r="E88" s="508">
        <f t="shared" ca="1" si="115"/>
        <v>12.15</v>
      </c>
      <c r="F88" s="565">
        <v>2</v>
      </c>
      <c r="G88" s="594">
        <v>1.2999999999999999E-2</v>
      </c>
      <c r="H88" s="170">
        <f t="shared" ca="1" si="129"/>
        <v>3.1430041152263367E-2</v>
      </c>
      <c r="I88" s="508">
        <f t="shared" ca="1" si="130"/>
        <v>314</v>
      </c>
      <c r="J88" s="300"/>
      <c r="K88" s="512">
        <v>3</v>
      </c>
      <c r="L88" s="516" t="s">
        <v>2242</v>
      </c>
      <c r="M88" s="529" t="s">
        <v>2452</v>
      </c>
      <c r="N88" s="508">
        <f t="shared" ca="1" si="116"/>
        <v>12.15</v>
      </c>
      <c r="O88" s="565">
        <v>1</v>
      </c>
      <c r="P88" s="625">
        <v>1.2500000000000001E-2</v>
      </c>
      <c r="Q88" s="170">
        <f t="shared" ca="1" si="145"/>
        <v>4.8353909465020578E-2</v>
      </c>
      <c r="R88" s="508">
        <f t="shared" ca="1" si="146"/>
        <v>484</v>
      </c>
      <c r="T88" s="512">
        <v>3</v>
      </c>
      <c r="U88" s="516" t="s">
        <v>2242</v>
      </c>
      <c r="V88" s="529" t="s">
        <v>2452</v>
      </c>
      <c r="W88" s="508">
        <f t="shared" ca="1" si="119"/>
        <v>12.15</v>
      </c>
      <c r="X88" s="594">
        <v>1</v>
      </c>
      <c r="Y88" s="625">
        <v>1.2500000000000001E-2</v>
      </c>
      <c r="Z88" s="170">
        <f t="shared" ca="1" si="147"/>
        <v>4.8868312757201646E-2</v>
      </c>
      <c r="AA88" s="508">
        <f t="shared" ca="1" si="148"/>
        <v>489</v>
      </c>
      <c r="AC88" s="512">
        <v>3</v>
      </c>
      <c r="AD88" s="516" t="s">
        <v>631</v>
      </c>
      <c r="AE88" s="512" t="s">
        <v>1211</v>
      </c>
      <c r="AF88" s="508">
        <f t="shared" ca="1" si="126"/>
        <v>85</v>
      </c>
      <c r="AG88" s="567">
        <v>1.5</v>
      </c>
      <c r="AH88" s="166">
        <f>宝箱设定!$X97</f>
        <v>7.2999999999999995E-2</v>
      </c>
      <c r="AI88" s="170">
        <f t="shared" ca="1" si="127"/>
        <v>3.664313725490196E-2</v>
      </c>
      <c r="AJ88" s="279">
        <f t="shared" ca="1" si="128"/>
        <v>366</v>
      </c>
      <c r="AL88" s="512">
        <v>3</v>
      </c>
      <c r="AM88" s="516" t="s">
        <v>617</v>
      </c>
      <c r="AN88" s="512" t="s">
        <v>1211</v>
      </c>
      <c r="AO88" s="508">
        <f t="shared" ca="1" si="136"/>
        <v>85</v>
      </c>
      <c r="AP88" s="379">
        <v>2.5</v>
      </c>
      <c r="AQ88" s="166">
        <f>宝箱设定!$X95</f>
        <v>7.2999999999999995E-2</v>
      </c>
      <c r="AR88" s="170">
        <f t="shared" ca="1" si="137"/>
        <v>3.332235294117647E-2</v>
      </c>
      <c r="AS88" s="279">
        <f t="shared" ca="1" si="138"/>
        <v>333</v>
      </c>
      <c r="AU88" s="512">
        <v>3</v>
      </c>
      <c r="AV88" s="516" t="s">
        <v>624</v>
      </c>
      <c r="AW88" s="512" t="s">
        <v>1211</v>
      </c>
      <c r="AX88" s="508">
        <f t="shared" ca="1" si="131"/>
        <v>56.4</v>
      </c>
      <c r="AY88" s="565">
        <v>4.5</v>
      </c>
      <c r="AZ88" s="523">
        <f>宝箱设定!$H99</f>
        <v>0.11099999999999999</v>
      </c>
      <c r="BA88" s="170">
        <f t="shared" ca="1" si="139"/>
        <v>2.842789598108747E-2</v>
      </c>
      <c r="BB88" s="508">
        <f t="shared" ca="1" si="140"/>
        <v>284</v>
      </c>
      <c r="BD88" s="512">
        <v>3</v>
      </c>
      <c r="BE88" s="516" t="s">
        <v>624</v>
      </c>
      <c r="BF88" s="512" t="s">
        <v>1211</v>
      </c>
      <c r="BG88" s="508">
        <f t="shared" ca="1" si="132"/>
        <v>56.4</v>
      </c>
      <c r="BH88" s="615">
        <v>8</v>
      </c>
      <c r="BI88" s="508">
        <f>宝箱设定!$H99</f>
        <v>0.11099999999999999</v>
      </c>
      <c r="BJ88" s="170">
        <f t="shared" ca="1" si="141"/>
        <v>3.6286569148936167E-2</v>
      </c>
      <c r="BK88" s="508">
        <f t="shared" ca="1" si="142"/>
        <v>363</v>
      </c>
      <c r="BM88" s="512">
        <v>3</v>
      </c>
      <c r="BN88" s="527" t="s">
        <v>624</v>
      </c>
      <c r="BO88" s="525" t="s">
        <v>1211</v>
      </c>
      <c r="BP88" s="508">
        <f t="shared" ca="1" si="133"/>
        <v>56.4</v>
      </c>
      <c r="BQ88" s="615">
        <v>22</v>
      </c>
      <c r="BR88" s="523">
        <f>宝箱设定!$P99</f>
        <v>3.6999999999999998E-2</v>
      </c>
      <c r="BS88" s="170">
        <f t="shared" ca="1" si="143"/>
        <v>9.8404255319148939E-3</v>
      </c>
      <c r="BT88" s="523">
        <f t="shared" ca="1" si="144"/>
        <v>98</v>
      </c>
      <c r="BV88" s="525">
        <v>3</v>
      </c>
      <c r="BW88" s="527" t="s">
        <v>2260</v>
      </c>
      <c r="BX88" s="530" t="s">
        <v>2200</v>
      </c>
      <c r="BY88" s="523" t="str">
        <f t="shared" ca="1" si="96"/>
        <v>T2部件</v>
      </c>
      <c r="BZ88" s="662">
        <v>1.5</v>
      </c>
      <c r="CA88" s="523">
        <v>3.6999999999999998E-2</v>
      </c>
      <c r="CB88" s="170" t="e">
        <f t="shared" ca="1" si="99"/>
        <v>#VALUE!</v>
      </c>
      <c r="CC88" s="523" t="e">
        <f t="shared" ca="1" si="100"/>
        <v>#VALUE!</v>
      </c>
      <c r="CE88" s="512">
        <v>5</v>
      </c>
      <c r="CF88" s="527" t="s">
        <v>718</v>
      </c>
      <c r="CG88" s="525" t="s">
        <v>1211</v>
      </c>
      <c r="CH88" s="523">
        <f t="shared" ca="1" si="110"/>
        <v>75</v>
      </c>
      <c r="CI88" s="523">
        <v>1</v>
      </c>
      <c r="CJ88" s="523">
        <v>4.6600000000000003E-2</v>
      </c>
      <c r="CK88" s="170">
        <f t="shared" ca="1" si="111"/>
        <v>3.1066666666666666E-2</v>
      </c>
      <c r="CL88" s="508">
        <f t="shared" ca="1" si="112"/>
        <v>311</v>
      </c>
      <c r="CN88" s="618">
        <v>4</v>
      </c>
      <c r="CO88" s="618" t="s">
        <v>2272</v>
      </c>
      <c r="CP88" s="616" t="s">
        <v>2200</v>
      </c>
      <c r="CQ88" s="617" t="e">
        <f>VLOOKUP(LEFT(CO88,2)&amp;CP88,道具价值!$B$28:$C$30,2,FALSE)</f>
        <v>#N/A</v>
      </c>
      <c r="CR88" s="617">
        <v>1</v>
      </c>
      <c r="CS88" s="617">
        <v>5.5E-2</v>
      </c>
      <c r="CT88" s="170">
        <f t="shared" si="134"/>
        <v>5.5E-2</v>
      </c>
      <c r="CU88" s="617">
        <f t="shared" si="135"/>
        <v>550</v>
      </c>
    </row>
    <row r="89" spans="2:99" x14ac:dyDescent="0.35">
      <c r="B89" s="512">
        <v>3</v>
      </c>
      <c r="C89" s="516" t="s">
        <v>2244</v>
      </c>
      <c r="D89" s="529" t="s">
        <v>2452</v>
      </c>
      <c r="E89" s="508">
        <f t="shared" ca="1" si="115"/>
        <v>12.15</v>
      </c>
      <c r="F89" s="565">
        <v>2</v>
      </c>
      <c r="G89" s="594">
        <v>1.2999999999999999E-2</v>
      </c>
      <c r="H89" s="170">
        <f t="shared" ca="1" si="129"/>
        <v>3.1430041152263367E-2</v>
      </c>
      <c r="I89" s="508">
        <f t="shared" ca="1" si="130"/>
        <v>314</v>
      </c>
      <c r="J89" s="300"/>
      <c r="K89" s="512">
        <v>3</v>
      </c>
      <c r="L89" s="516" t="s">
        <v>2244</v>
      </c>
      <c r="M89" s="578" t="s">
        <v>2200</v>
      </c>
      <c r="N89" s="508">
        <f t="shared" ca="1" si="116"/>
        <v>12.15</v>
      </c>
      <c r="O89" s="565">
        <v>1</v>
      </c>
      <c r="P89" s="625">
        <v>1.2500000000000001E-2</v>
      </c>
      <c r="Q89" s="170">
        <f t="shared" ca="1" si="145"/>
        <v>4.8353909465020578E-2</v>
      </c>
      <c r="R89" s="508">
        <f t="shared" ca="1" si="146"/>
        <v>484</v>
      </c>
      <c r="T89" s="512">
        <v>3</v>
      </c>
      <c r="U89" s="516" t="s">
        <v>2244</v>
      </c>
      <c r="V89" s="529" t="s">
        <v>2452</v>
      </c>
      <c r="W89" s="508">
        <f t="shared" ca="1" si="119"/>
        <v>12.15</v>
      </c>
      <c r="X89" s="594">
        <v>1</v>
      </c>
      <c r="Y89" s="625">
        <v>1.2500000000000001E-2</v>
      </c>
      <c r="Z89" s="170">
        <f t="shared" ca="1" si="147"/>
        <v>4.8868312757201646E-2</v>
      </c>
      <c r="AA89" s="508">
        <f t="shared" ca="1" si="148"/>
        <v>489</v>
      </c>
      <c r="AC89" s="512">
        <v>3</v>
      </c>
      <c r="AD89" s="516" t="s">
        <v>2239</v>
      </c>
      <c r="AE89" s="529" t="s">
        <v>2452</v>
      </c>
      <c r="AF89" s="508">
        <f t="shared" ca="1" si="126"/>
        <v>12.15</v>
      </c>
      <c r="AG89" s="508">
        <v>1</v>
      </c>
      <c r="AH89" s="508">
        <v>8.0000000000000002E-3</v>
      </c>
      <c r="AI89" s="170">
        <f t="shared" ref="AI89:AI115" ca="1" si="149">AH89*AD$4/AF89/AG89</f>
        <v>4.2139917695473247E-2</v>
      </c>
      <c r="AJ89" s="508">
        <f t="shared" ref="AJ89:AJ115" ca="1" si="150">ROUND(AI89*10000,0)</f>
        <v>421</v>
      </c>
      <c r="AL89" s="512">
        <v>3</v>
      </c>
      <c r="AM89" s="516" t="s">
        <v>626</v>
      </c>
      <c r="AN89" s="512" t="s">
        <v>1211</v>
      </c>
      <c r="AO89" s="508">
        <f t="shared" ca="1" si="136"/>
        <v>85</v>
      </c>
      <c r="AP89" s="625">
        <v>2.5</v>
      </c>
      <c r="AQ89" s="166">
        <f>宝箱设定!$X96</f>
        <v>7.2999999999999995E-2</v>
      </c>
      <c r="AR89" s="170">
        <f t="shared" ca="1" si="137"/>
        <v>3.332235294117647E-2</v>
      </c>
      <c r="AS89" s="279">
        <f t="shared" ca="1" si="138"/>
        <v>333</v>
      </c>
      <c r="AU89" s="512">
        <v>3</v>
      </c>
      <c r="AV89" s="516" t="s">
        <v>630</v>
      </c>
      <c r="AW89" s="512" t="s">
        <v>1211</v>
      </c>
      <c r="AX89" s="508">
        <f t="shared" ca="1" si="131"/>
        <v>56.4</v>
      </c>
      <c r="AY89" s="565">
        <v>4.5</v>
      </c>
      <c r="AZ89" s="523">
        <f>宝箱设定!$H100</f>
        <v>0.11099999999999999</v>
      </c>
      <c r="BA89" s="170">
        <f t="shared" ca="1" si="139"/>
        <v>2.842789598108747E-2</v>
      </c>
      <c r="BB89" s="508">
        <f t="shared" ca="1" si="140"/>
        <v>284</v>
      </c>
      <c r="BD89" s="512">
        <v>3</v>
      </c>
      <c r="BE89" s="516" t="s">
        <v>630</v>
      </c>
      <c r="BF89" s="512" t="s">
        <v>1211</v>
      </c>
      <c r="BG89" s="508">
        <f t="shared" ca="1" si="132"/>
        <v>56.4</v>
      </c>
      <c r="BH89" s="615">
        <v>8</v>
      </c>
      <c r="BI89" s="508">
        <f>宝箱设定!$H100</f>
        <v>0.11099999999999999</v>
      </c>
      <c r="BJ89" s="170">
        <f t="shared" ca="1" si="141"/>
        <v>3.6286569148936167E-2</v>
      </c>
      <c r="BK89" s="508">
        <f t="shared" ca="1" si="142"/>
        <v>363</v>
      </c>
      <c r="BM89" s="512">
        <v>3</v>
      </c>
      <c r="BN89" s="527" t="s">
        <v>630</v>
      </c>
      <c r="BO89" s="525" t="s">
        <v>1211</v>
      </c>
      <c r="BP89" s="508">
        <f t="shared" ca="1" si="133"/>
        <v>56.4</v>
      </c>
      <c r="BQ89" s="615">
        <v>22</v>
      </c>
      <c r="BR89" s="523">
        <f>宝箱设定!$P100</f>
        <v>3.6999999999999998E-2</v>
      </c>
      <c r="BS89" s="170">
        <f t="shared" ca="1" si="143"/>
        <v>9.8404255319148939E-3</v>
      </c>
      <c r="BT89" s="523">
        <f t="shared" ca="1" si="144"/>
        <v>98</v>
      </c>
      <c r="BV89" s="525">
        <v>3</v>
      </c>
      <c r="BW89" s="527" t="s">
        <v>2262</v>
      </c>
      <c r="BX89" s="530" t="s">
        <v>2200</v>
      </c>
      <c r="BY89" s="523" t="str">
        <f t="shared" ca="1" si="96"/>
        <v>T2部件</v>
      </c>
      <c r="BZ89" s="662">
        <v>1.5</v>
      </c>
      <c r="CA89" s="523">
        <v>3.6999999999999998E-2</v>
      </c>
      <c r="CB89" s="170" t="e">
        <f t="shared" ca="1" si="99"/>
        <v>#VALUE!</v>
      </c>
      <c r="CC89" s="523" t="e">
        <f t="shared" ca="1" si="100"/>
        <v>#VALUE!</v>
      </c>
      <c r="CE89" s="512">
        <v>5</v>
      </c>
      <c r="CF89" s="527" t="s">
        <v>632</v>
      </c>
      <c r="CG89" s="525" t="s">
        <v>1211</v>
      </c>
      <c r="CH89" s="523">
        <f t="shared" ca="1" si="110"/>
        <v>75</v>
      </c>
      <c r="CI89" s="523">
        <v>1</v>
      </c>
      <c r="CJ89" s="523">
        <v>4.6600000000000003E-2</v>
      </c>
      <c r="CK89" s="170">
        <f t="shared" ca="1" si="111"/>
        <v>3.1066666666666666E-2</v>
      </c>
      <c r="CL89" s="508">
        <f t="shared" ca="1" si="112"/>
        <v>311</v>
      </c>
      <c r="CN89" s="618">
        <v>4</v>
      </c>
      <c r="CO89" s="618" t="s">
        <v>2274</v>
      </c>
      <c r="CP89" s="616" t="s">
        <v>2200</v>
      </c>
      <c r="CQ89" s="617" t="e">
        <f>VLOOKUP(LEFT(CO89,2)&amp;CP89,道具价值!$B$28:$C$30,2,FALSE)</f>
        <v>#N/A</v>
      </c>
      <c r="CR89" s="617">
        <v>1</v>
      </c>
      <c r="CS89" s="617">
        <v>5.6000000000000001E-2</v>
      </c>
      <c r="CT89" s="170">
        <f t="shared" si="134"/>
        <v>5.6000000000000001E-2</v>
      </c>
      <c r="CU89" s="617">
        <f t="shared" si="135"/>
        <v>560</v>
      </c>
    </row>
    <row r="90" spans="2:99" x14ac:dyDescent="0.35">
      <c r="B90" s="512">
        <v>3</v>
      </c>
      <c r="C90" s="516" t="s">
        <v>2246</v>
      </c>
      <c r="D90" s="529" t="s">
        <v>2452</v>
      </c>
      <c r="E90" s="508">
        <f t="shared" ca="1" si="115"/>
        <v>12.15</v>
      </c>
      <c r="F90" s="565">
        <v>2</v>
      </c>
      <c r="G90" s="594">
        <v>1.2999999999999999E-2</v>
      </c>
      <c r="H90" s="170">
        <f t="shared" ca="1" si="129"/>
        <v>3.1430041152263367E-2</v>
      </c>
      <c r="I90" s="508">
        <f t="shared" ca="1" si="130"/>
        <v>314</v>
      </c>
      <c r="J90" s="300"/>
      <c r="K90" s="512">
        <v>3</v>
      </c>
      <c r="L90" s="516" t="s">
        <v>2246</v>
      </c>
      <c r="M90" s="529" t="s">
        <v>2452</v>
      </c>
      <c r="N90" s="508">
        <f t="shared" ca="1" si="116"/>
        <v>12.15</v>
      </c>
      <c r="O90" s="565">
        <v>1</v>
      </c>
      <c r="P90" s="625">
        <v>1.2500000000000001E-2</v>
      </c>
      <c r="Q90" s="170">
        <f t="shared" ca="1" si="145"/>
        <v>4.8353909465020578E-2</v>
      </c>
      <c r="R90" s="508">
        <f t="shared" ca="1" si="146"/>
        <v>484</v>
      </c>
      <c r="T90" s="512">
        <v>3</v>
      </c>
      <c r="U90" s="516" t="s">
        <v>2246</v>
      </c>
      <c r="V90" s="529" t="s">
        <v>2452</v>
      </c>
      <c r="W90" s="508">
        <f t="shared" ca="1" si="119"/>
        <v>12.15</v>
      </c>
      <c r="X90" s="594">
        <v>1</v>
      </c>
      <c r="Y90" s="625">
        <v>1.2500000000000001E-2</v>
      </c>
      <c r="Z90" s="170">
        <f t="shared" ca="1" si="147"/>
        <v>4.8868312757201646E-2</v>
      </c>
      <c r="AA90" s="508">
        <f t="shared" ca="1" si="148"/>
        <v>489</v>
      </c>
      <c r="AC90" s="512">
        <v>3</v>
      </c>
      <c r="AD90" s="516" t="s">
        <v>2242</v>
      </c>
      <c r="AE90" s="529" t="s">
        <v>2452</v>
      </c>
      <c r="AF90" s="508">
        <f t="shared" ca="1" si="126"/>
        <v>12.15</v>
      </c>
      <c r="AG90" s="594">
        <v>1</v>
      </c>
      <c r="AH90" s="600">
        <v>8.0000000000000002E-3</v>
      </c>
      <c r="AI90" s="170">
        <f t="shared" ca="1" si="149"/>
        <v>4.2139917695473247E-2</v>
      </c>
      <c r="AJ90" s="508">
        <f t="shared" ca="1" si="150"/>
        <v>421</v>
      </c>
      <c r="AL90" s="512">
        <v>3</v>
      </c>
      <c r="AM90" s="516" t="s">
        <v>631</v>
      </c>
      <c r="AN90" s="512" t="s">
        <v>1211</v>
      </c>
      <c r="AO90" s="508">
        <f t="shared" ca="1" si="136"/>
        <v>85</v>
      </c>
      <c r="AP90" s="625">
        <v>2.5</v>
      </c>
      <c r="AQ90" s="166">
        <f>宝箱设定!$X97</f>
        <v>7.2999999999999995E-2</v>
      </c>
      <c r="AR90" s="170">
        <f t="shared" ca="1" si="137"/>
        <v>3.332235294117647E-2</v>
      </c>
      <c r="AS90" s="279">
        <f t="shared" ca="1" si="138"/>
        <v>333</v>
      </c>
      <c r="AU90" s="512">
        <v>3</v>
      </c>
      <c r="AV90" s="516" t="s">
        <v>617</v>
      </c>
      <c r="AW90" s="512" t="s">
        <v>1211</v>
      </c>
      <c r="AX90" s="508">
        <f t="shared" ca="1" si="131"/>
        <v>85</v>
      </c>
      <c r="AY90" s="508">
        <v>1.5</v>
      </c>
      <c r="AZ90" s="523">
        <f>宝箱设定!$H101</f>
        <v>3.6999999999999998E-2</v>
      </c>
      <c r="BA90" s="170">
        <f t="shared" ca="1" si="139"/>
        <v>1.8862745098039212E-2</v>
      </c>
      <c r="BB90" s="508">
        <f t="shared" ca="1" si="140"/>
        <v>189</v>
      </c>
      <c r="BD90" s="512">
        <v>3</v>
      </c>
      <c r="BE90" s="516" t="s">
        <v>617</v>
      </c>
      <c r="BF90" s="512" t="s">
        <v>1211</v>
      </c>
      <c r="BG90" s="508">
        <f t="shared" ca="1" si="132"/>
        <v>85</v>
      </c>
      <c r="BH90" s="508">
        <v>5</v>
      </c>
      <c r="BI90" s="508">
        <f>宝箱设定!$H101</f>
        <v>3.6999999999999998E-2</v>
      </c>
      <c r="BJ90" s="170">
        <f t="shared" ca="1" si="141"/>
        <v>1.2841176470588234E-2</v>
      </c>
      <c r="BK90" s="508">
        <f t="shared" ca="1" si="142"/>
        <v>128</v>
      </c>
      <c r="BM90" s="512">
        <v>3</v>
      </c>
      <c r="BN90" s="527" t="s">
        <v>617</v>
      </c>
      <c r="BO90" s="525" t="s">
        <v>1211</v>
      </c>
      <c r="BP90" s="508">
        <f t="shared" ca="1" si="133"/>
        <v>85</v>
      </c>
      <c r="BQ90" s="508">
        <v>8</v>
      </c>
      <c r="BR90" s="523">
        <f>宝箱设定!$P101</f>
        <v>3.3299999999999996E-2</v>
      </c>
      <c r="BS90" s="170">
        <f t="shared" ca="1" si="143"/>
        <v>1.6160294117647057E-2</v>
      </c>
      <c r="BT90" s="523">
        <f t="shared" ca="1" si="144"/>
        <v>162</v>
      </c>
      <c r="BV90" s="525">
        <v>3</v>
      </c>
      <c r="BW90" s="527" t="s">
        <v>2264</v>
      </c>
      <c r="BX90" s="530" t="s">
        <v>2200</v>
      </c>
      <c r="BY90" s="523" t="str">
        <f t="shared" ca="1" si="96"/>
        <v>T2部件</v>
      </c>
      <c r="BZ90" s="662">
        <v>1.5</v>
      </c>
      <c r="CA90" s="523">
        <v>3.6999999999999998E-2</v>
      </c>
      <c r="CB90" s="170" t="e">
        <f t="shared" ca="1" si="99"/>
        <v>#VALUE!</v>
      </c>
      <c r="CC90" s="523" t="e">
        <f t="shared" ca="1" si="100"/>
        <v>#VALUE!</v>
      </c>
      <c r="CN90" s="618">
        <v>4</v>
      </c>
      <c r="CO90" s="621" t="s">
        <v>2259</v>
      </c>
      <c r="CP90" s="616" t="s">
        <v>2200</v>
      </c>
      <c r="CQ90" s="617" t="e">
        <f>VLOOKUP(LEFT(CO90,2)&amp;CP90,道具价值!$B$28:$C$30,2,FALSE)</f>
        <v>#N/A</v>
      </c>
      <c r="CR90" s="617">
        <v>1</v>
      </c>
      <c r="CS90" s="617">
        <v>5.6000000000000001E-2</v>
      </c>
      <c r="CT90" s="170">
        <f t="shared" si="134"/>
        <v>5.6000000000000001E-2</v>
      </c>
      <c r="CU90" s="617">
        <f t="shared" si="135"/>
        <v>560</v>
      </c>
    </row>
    <row r="91" spans="2:99" x14ac:dyDescent="0.35">
      <c r="B91" s="512">
        <v>3</v>
      </c>
      <c r="C91" s="516" t="s">
        <v>2248</v>
      </c>
      <c r="D91" s="529" t="s">
        <v>2452</v>
      </c>
      <c r="E91" s="508">
        <f t="shared" ca="1" si="115"/>
        <v>12.15</v>
      </c>
      <c r="F91" s="565">
        <v>2</v>
      </c>
      <c r="G91" s="594">
        <v>1.2999999999999999E-2</v>
      </c>
      <c r="H91" s="170">
        <f t="shared" ca="1" si="129"/>
        <v>3.1430041152263367E-2</v>
      </c>
      <c r="I91" s="508">
        <f t="shared" ca="1" si="130"/>
        <v>314</v>
      </c>
      <c r="J91" s="300"/>
      <c r="K91" s="512">
        <v>3</v>
      </c>
      <c r="L91" s="516" t="s">
        <v>2248</v>
      </c>
      <c r="M91" s="529" t="s">
        <v>2452</v>
      </c>
      <c r="N91" s="508">
        <f t="shared" ca="1" si="116"/>
        <v>12.15</v>
      </c>
      <c r="O91" s="565">
        <v>1</v>
      </c>
      <c r="P91" s="625">
        <v>1.2500000000000001E-2</v>
      </c>
      <c r="Q91" s="170">
        <f t="shared" ca="1" si="145"/>
        <v>4.8353909465020578E-2</v>
      </c>
      <c r="R91" s="508">
        <f t="shared" ca="1" si="146"/>
        <v>484</v>
      </c>
      <c r="T91" s="512">
        <v>3</v>
      </c>
      <c r="U91" s="516" t="s">
        <v>2248</v>
      </c>
      <c r="V91" s="529" t="s">
        <v>2452</v>
      </c>
      <c r="W91" s="508">
        <f t="shared" ca="1" si="119"/>
        <v>12.15</v>
      </c>
      <c r="X91" s="594">
        <v>1</v>
      </c>
      <c r="Y91" s="625">
        <v>1.2500000000000001E-2</v>
      </c>
      <c r="Z91" s="170">
        <f t="shared" ca="1" si="147"/>
        <v>4.8868312757201646E-2</v>
      </c>
      <c r="AA91" s="508">
        <f t="shared" ca="1" si="148"/>
        <v>489</v>
      </c>
      <c r="AC91" s="512">
        <v>3</v>
      </c>
      <c r="AD91" s="516" t="s">
        <v>2244</v>
      </c>
      <c r="AE91" s="529" t="s">
        <v>2452</v>
      </c>
      <c r="AF91" s="508">
        <f t="shared" ca="1" si="126"/>
        <v>12.15</v>
      </c>
      <c r="AG91" s="594">
        <v>1</v>
      </c>
      <c r="AH91" s="600">
        <v>8.0000000000000002E-3</v>
      </c>
      <c r="AI91" s="170">
        <f t="shared" ca="1" si="149"/>
        <v>4.2139917695473247E-2</v>
      </c>
      <c r="AJ91" s="508">
        <f t="shared" ca="1" si="150"/>
        <v>421</v>
      </c>
      <c r="AL91" s="512">
        <v>3</v>
      </c>
      <c r="AM91" s="516" t="s">
        <v>2239</v>
      </c>
      <c r="AN91" s="529" t="s">
        <v>2452</v>
      </c>
      <c r="AO91" s="508">
        <f t="shared" ca="1" si="136"/>
        <v>12.15</v>
      </c>
      <c r="AP91" s="508">
        <v>2</v>
      </c>
      <c r="AQ91" s="508">
        <v>0.01</v>
      </c>
      <c r="AR91" s="170">
        <f t="shared" ref="AR91:AR121" ca="1" si="151">AQ91*AM$4/AO91/AP91</f>
        <v>3.9917695473251025E-2</v>
      </c>
      <c r="AS91" s="508">
        <f t="shared" ref="AS91:AS121" ca="1" si="152">ROUND(AR91*10000,0)</f>
        <v>399</v>
      </c>
      <c r="AU91" s="512">
        <v>3</v>
      </c>
      <c r="AV91" s="516" t="s">
        <v>626</v>
      </c>
      <c r="AW91" s="512" t="s">
        <v>1211</v>
      </c>
      <c r="AX91" s="508">
        <f t="shared" ca="1" si="131"/>
        <v>85</v>
      </c>
      <c r="AY91" s="625">
        <v>1.5</v>
      </c>
      <c r="AZ91" s="523">
        <f>宝箱设定!$H102</f>
        <v>3.6999999999999998E-2</v>
      </c>
      <c r="BA91" s="170">
        <f t="shared" ca="1" si="139"/>
        <v>1.8862745098039212E-2</v>
      </c>
      <c r="BB91" s="508">
        <f t="shared" ca="1" si="140"/>
        <v>189</v>
      </c>
      <c r="BD91" s="512">
        <v>3</v>
      </c>
      <c r="BE91" s="516" t="s">
        <v>626</v>
      </c>
      <c r="BF91" s="512" t="s">
        <v>1211</v>
      </c>
      <c r="BG91" s="508">
        <f t="shared" ca="1" si="132"/>
        <v>85</v>
      </c>
      <c r="BH91" s="615">
        <v>5</v>
      </c>
      <c r="BI91" s="508">
        <f>宝箱设定!$H102</f>
        <v>3.6999999999999998E-2</v>
      </c>
      <c r="BJ91" s="170">
        <f t="shared" ca="1" si="141"/>
        <v>1.2841176470588234E-2</v>
      </c>
      <c r="BK91" s="508">
        <f t="shared" ca="1" si="142"/>
        <v>128</v>
      </c>
      <c r="BM91" s="512">
        <v>3</v>
      </c>
      <c r="BN91" s="527" t="s">
        <v>626</v>
      </c>
      <c r="BO91" s="525" t="s">
        <v>1211</v>
      </c>
      <c r="BP91" s="508">
        <f t="shared" ca="1" si="133"/>
        <v>85</v>
      </c>
      <c r="BQ91" s="632">
        <v>8</v>
      </c>
      <c r="BR91" s="523">
        <f>宝箱设定!$P102</f>
        <v>3.3299999999999996E-2</v>
      </c>
      <c r="BS91" s="170">
        <f t="shared" ca="1" si="143"/>
        <v>1.6160294117647057E-2</v>
      </c>
      <c r="BT91" s="523">
        <f t="shared" ca="1" si="144"/>
        <v>162</v>
      </c>
      <c r="BV91" s="525">
        <v>3</v>
      </c>
      <c r="BW91" s="527" t="s">
        <v>2266</v>
      </c>
      <c r="BX91" s="530" t="s">
        <v>2200</v>
      </c>
      <c r="BY91" s="523" t="str">
        <f t="shared" ca="1" si="96"/>
        <v>T2部件</v>
      </c>
      <c r="BZ91" s="662">
        <v>1.5</v>
      </c>
      <c r="CA91" s="523">
        <v>3.6999999999999998E-2</v>
      </c>
      <c r="CB91" s="170" t="e">
        <f t="shared" ca="1" si="99"/>
        <v>#VALUE!</v>
      </c>
      <c r="CC91" s="523" t="e">
        <f t="shared" ca="1" si="100"/>
        <v>#VALUE!</v>
      </c>
      <c r="CN91" s="618">
        <v>4</v>
      </c>
      <c r="CO91" s="621" t="s">
        <v>2261</v>
      </c>
      <c r="CP91" s="616" t="s">
        <v>2200</v>
      </c>
      <c r="CQ91" s="617" t="e">
        <f>VLOOKUP(LEFT(CO91,2)&amp;CP91,道具价值!$B$28:$C$30,2,FALSE)</f>
        <v>#N/A</v>
      </c>
      <c r="CR91" s="617">
        <v>1</v>
      </c>
      <c r="CS91" s="617">
        <v>5.6000000000000001E-2</v>
      </c>
      <c r="CT91" s="170">
        <f t="shared" si="134"/>
        <v>5.6000000000000001E-2</v>
      </c>
      <c r="CU91" s="617">
        <f t="shared" si="135"/>
        <v>560</v>
      </c>
    </row>
    <row r="92" spans="2:99" x14ac:dyDescent="0.35">
      <c r="B92" s="512">
        <v>3</v>
      </c>
      <c r="C92" s="516" t="s">
        <v>2250</v>
      </c>
      <c r="D92" s="529" t="s">
        <v>2452</v>
      </c>
      <c r="E92" s="508">
        <f t="shared" ca="1" si="115"/>
        <v>12.15</v>
      </c>
      <c r="F92" s="565">
        <v>2</v>
      </c>
      <c r="G92" s="594">
        <v>1.2999999999999999E-2</v>
      </c>
      <c r="H92" s="170">
        <f t="shared" ca="1" si="129"/>
        <v>3.1430041152263367E-2</v>
      </c>
      <c r="I92" s="508">
        <f t="shared" ca="1" si="130"/>
        <v>314</v>
      </c>
      <c r="J92" s="300"/>
      <c r="K92" s="512">
        <v>3</v>
      </c>
      <c r="L92" s="516" t="s">
        <v>2250</v>
      </c>
      <c r="M92" s="529" t="s">
        <v>2452</v>
      </c>
      <c r="N92" s="508">
        <f t="shared" ca="1" si="116"/>
        <v>12.15</v>
      </c>
      <c r="O92" s="565">
        <v>1</v>
      </c>
      <c r="P92" s="625">
        <v>1.2500000000000001E-2</v>
      </c>
      <c r="Q92" s="170">
        <f t="shared" ca="1" si="145"/>
        <v>4.8353909465020578E-2</v>
      </c>
      <c r="R92" s="508">
        <f t="shared" ca="1" si="146"/>
        <v>484</v>
      </c>
      <c r="T92" s="512">
        <v>3</v>
      </c>
      <c r="U92" s="516" t="s">
        <v>2250</v>
      </c>
      <c r="V92" s="529" t="s">
        <v>2452</v>
      </c>
      <c r="W92" s="508">
        <f t="shared" ca="1" si="119"/>
        <v>12.15</v>
      </c>
      <c r="X92" s="594">
        <v>1</v>
      </c>
      <c r="Y92" s="625">
        <v>1.2500000000000001E-2</v>
      </c>
      <c r="Z92" s="170">
        <f t="shared" ca="1" si="147"/>
        <v>4.8868312757201646E-2</v>
      </c>
      <c r="AA92" s="508">
        <f t="shared" ca="1" si="148"/>
        <v>489</v>
      </c>
      <c r="AC92" s="512">
        <v>3</v>
      </c>
      <c r="AD92" s="516" t="s">
        <v>2246</v>
      </c>
      <c r="AE92" s="529" t="s">
        <v>2452</v>
      </c>
      <c r="AF92" s="508">
        <f t="shared" ca="1" si="126"/>
        <v>12.15</v>
      </c>
      <c r="AG92" s="594">
        <v>1</v>
      </c>
      <c r="AH92" s="600">
        <v>8.0000000000000002E-3</v>
      </c>
      <c r="AI92" s="170">
        <f t="shared" ca="1" si="149"/>
        <v>4.2139917695473247E-2</v>
      </c>
      <c r="AJ92" s="508">
        <f t="shared" ca="1" si="150"/>
        <v>421</v>
      </c>
      <c r="AL92" s="512">
        <v>3</v>
      </c>
      <c r="AM92" s="516" t="s">
        <v>2242</v>
      </c>
      <c r="AN92" s="529" t="s">
        <v>2452</v>
      </c>
      <c r="AO92" s="508">
        <f t="shared" ca="1" si="136"/>
        <v>12.15</v>
      </c>
      <c r="AP92" s="600">
        <v>2</v>
      </c>
      <c r="AQ92" s="508">
        <v>0.01</v>
      </c>
      <c r="AR92" s="170">
        <f t="shared" ca="1" si="151"/>
        <v>3.9917695473251025E-2</v>
      </c>
      <c r="AS92" s="508">
        <f t="shared" ca="1" si="152"/>
        <v>399</v>
      </c>
      <c r="AU92" s="512">
        <v>3</v>
      </c>
      <c r="AV92" s="516" t="s">
        <v>631</v>
      </c>
      <c r="AW92" s="512" t="s">
        <v>1211</v>
      </c>
      <c r="AX92" s="508">
        <f t="shared" ca="1" si="131"/>
        <v>85</v>
      </c>
      <c r="AY92" s="625">
        <v>1.5</v>
      </c>
      <c r="AZ92" s="523">
        <f>宝箱设定!$H103</f>
        <v>3.6999999999999998E-2</v>
      </c>
      <c r="BA92" s="170">
        <f t="shared" ca="1" si="139"/>
        <v>1.8862745098039212E-2</v>
      </c>
      <c r="BB92" s="508">
        <f t="shared" ca="1" si="140"/>
        <v>189</v>
      </c>
      <c r="BD92" s="512">
        <v>3</v>
      </c>
      <c r="BE92" s="516" t="s">
        <v>631</v>
      </c>
      <c r="BF92" s="512" t="s">
        <v>1211</v>
      </c>
      <c r="BG92" s="508">
        <f t="shared" ca="1" si="132"/>
        <v>85</v>
      </c>
      <c r="BH92" s="615">
        <v>5</v>
      </c>
      <c r="BI92" s="508">
        <f>宝箱设定!$H103</f>
        <v>3.6999999999999998E-2</v>
      </c>
      <c r="BJ92" s="170">
        <f t="shared" ca="1" si="141"/>
        <v>1.2841176470588234E-2</v>
      </c>
      <c r="BK92" s="508">
        <f t="shared" ca="1" si="142"/>
        <v>128</v>
      </c>
      <c r="BM92" s="512">
        <v>3</v>
      </c>
      <c r="BN92" s="527" t="s">
        <v>631</v>
      </c>
      <c r="BO92" s="525" t="s">
        <v>1211</v>
      </c>
      <c r="BP92" s="508">
        <f t="shared" ca="1" si="133"/>
        <v>85</v>
      </c>
      <c r="BQ92" s="632">
        <v>8</v>
      </c>
      <c r="BR92" s="523">
        <f>宝箱设定!$P103</f>
        <v>3.3299999999999996E-2</v>
      </c>
      <c r="BS92" s="170">
        <f t="shared" ca="1" si="143"/>
        <v>1.6160294117647057E-2</v>
      </c>
      <c r="BT92" s="523">
        <f t="shared" ca="1" si="144"/>
        <v>162</v>
      </c>
      <c r="BV92" s="525">
        <v>3</v>
      </c>
      <c r="BW92" s="527" t="s">
        <v>2268</v>
      </c>
      <c r="BX92" s="530" t="s">
        <v>2200</v>
      </c>
      <c r="BY92" s="523" t="str">
        <f t="shared" ca="1" si="96"/>
        <v>T2部件</v>
      </c>
      <c r="BZ92" s="662">
        <v>1.5</v>
      </c>
      <c r="CA92" s="523">
        <v>3.6999999999999998E-2</v>
      </c>
      <c r="CB92" s="170" t="e">
        <f t="shared" ca="1" si="99"/>
        <v>#VALUE!</v>
      </c>
      <c r="CC92" s="523" t="e">
        <f t="shared" ca="1" si="100"/>
        <v>#VALUE!</v>
      </c>
      <c r="CE92" s="512" t="s">
        <v>597</v>
      </c>
      <c r="CF92" s="512" t="s">
        <v>1225</v>
      </c>
      <c r="CG92" s="513" t="s">
        <v>917</v>
      </c>
      <c r="CH92" s="166" t="s">
        <v>920</v>
      </c>
      <c r="CI92" s="518" t="s">
        <v>967</v>
      </c>
      <c r="CJ92" s="166" t="s">
        <v>854</v>
      </c>
      <c r="CK92" s="166" t="s">
        <v>926</v>
      </c>
      <c r="CL92" s="514" t="s">
        <v>927</v>
      </c>
      <c r="CM92" s="300">
        <f ca="1">SUM(CL93:CL107)</f>
        <v>7504</v>
      </c>
      <c r="CN92" s="618">
        <v>4</v>
      </c>
      <c r="CO92" s="621" t="s">
        <v>2263</v>
      </c>
      <c r="CP92" s="616" t="s">
        <v>2200</v>
      </c>
      <c r="CQ92" s="617" t="e">
        <f>VLOOKUP(LEFT(CO92,2)&amp;CP92,道具价值!$B$28:$C$30,2,FALSE)</f>
        <v>#N/A</v>
      </c>
      <c r="CR92" s="617">
        <v>1</v>
      </c>
      <c r="CS92" s="617">
        <v>5.6000000000000001E-2</v>
      </c>
      <c r="CT92" s="170">
        <f t="shared" si="134"/>
        <v>5.6000000000000001E-2</v>
      </c>
      <c r="CU92" s="617">
        <f t="shared" si="135"/>
        <v>560</v>
      </c>
    </row>
    <row r="93" spans="2:99" x14ac:dyDescent="0.35">
      <c r="B93" s="512">
        <v>3</v>
      </c>
      <c r="C93" s="516" t="s">
        <v>2252</v>
      </c>
      <c r="D93" s="529" t="s">
        <v>2452</v>
      </c>
      <c r="E93" s="508">
        <f t="shared" ca="1" si="115"/>
        <v>12.15</v>
      </c>
      <c r="F93" s="565">
        <v>2</v>
      </c>
      <c r="G93" s="594">
        <v>1.2999999999999999E-2</v>
      </c>
      <c r="H93" s="170">
        <f t="shared" ca="1" si="129"/>
        <v>3.1430041152263367E-2</v>
      </c>
      <c r="I93" s="508">
        <f t="shared" ca="1" si="130"/>
        <v>314</v>
      </c>
      <c r="J93" s="300"/>
      <c r="K93" s="512">
        <v>3</v>
      </c>
      <c r="L93" s="516" t="s">
        <v>2252</v>
      </c>
      <c r="M93" s="529" t="s">
        <v>2452</v>
      </c>
      <c r="N93" s="508">
        <f t="shared" ca="1" si="116"/>
        <v>12.15</v>
      </c>
      <c r="O93" s="565">
        <v>1</v>
      </c>
      <c r="P93" s="625">
        <v>1.2500000000000001E-2</v>
      </c>
      <c r="Q93" s="170">
        <f t="shared" ca="1" si="145"/>
        <v>4.8353909465020578E-2</v>
      </c>
      <c r="R93" s="508">
        <f t="shared" ca="1" si="146"/>
        <v>484</v>
      </c>
      <c r="T93" s="512">
        <v>3</v>
      </c>
      <c r="U93" s="516" t="s">
        <v>2252</v>
      </c>
      <c r="V93" s="529" t="s">
        <v>2452</v>
      </c>
      <c r="W93" s="508">
        <f t="shared" ca="1" si="119"/>
        <v>12.15</v>
      </c>
      <c r="X93" s="594">
        <v>1</v>
      </c>
      <c r="Y93" s="625">
        <v>1.2500000000000001E-2</v>
      </c>
      <c r="Z93" s="170">
        <f t="shared" ca="1" si="147"/>
        <v>4.8868312757201646E-2</v>
      </c>
      <c r="AA93" s="508">
        <f t="shared" ca="1" si="148"/>
        <v>489</v>
      </c>
      <c r="AC93" s="512">
        <v>3</v>
      </c>
      <c r="AD93" s="516" t="s">
        <v>2248</v>
      </c>
      <c r="AE93" s="529" t="s">
        <v>2452</v>
      </c>
      <c r="AF93" s="508">
        <f t="shared" ca="1" si="126"/>
        <v>12.15</v>
      </c>
      <c r="AG93" s="594">
        <v>1</v>
      </c>
      <c r="AH93" s="600">
        <v>8.0000000000000002E-3</v>
      </c>
      <c r="AI93" s="170">
        <f t="shared" ca="1" si="149"/>
        <v>4.2139917695473247E-2</v>
      </c>
      <c r="AJ93" s="508">
        <f t="shared" ca="1" si="150"/>
        <v>421</v>
      </c>
      <c r="AL93" s="512">
        <v>3</v>
      </c>
      <c r="AM93" s="516" t="s">
        <v>2244</v>
      </c>
      <c r="AN93" s="529" t="s">
        <v>2452</v>
      </c>
      <c r="AO93" s="508">
        <f t="shared" ca="1" si="136"/>
        <v>12.15</v>
      </c>
      <c r="AP93" s="600">
        <v>2</v>
      </c>
      <c r="AQ93" s="508">
        <v>0.01</v>
      </c>
      <c r="AR93" s="170">
        <f t="shared" ca="1" si="151"/>
        <v>3.9917695473251025E-2</v>
      </c>
      <c r="AS93" s="508">
        <f t="shared" ca="1" si="152"/>
        <v>399</v>
      </c>
      <c r="AU93" s="512">
        <v>3</v>
      </c>
      <c r="AV93" s="516" t="s">
        <v>2239</v>
      </c>
      <c r="AW93" s="529" t="s">
        <v>2452</v>
      </c>
      <c r="AX93" s="508">
        <f t="shared" ca="1" si="131"/>
        <v>12.15</v>
      </c>
      <c r="AY93" s="625">
        <v>1.5</v>
      </c>
      <c r="AZ93" s="565">
        <v>1.4999999999999999E-2</v>
      </c>
      <c r="BA93" s="170">
        <f t="shared" ca="1" si="139"/>
        <v>5.3497942386831275E-2</v>
      </c>
      <c r="BB93" s="508">
        <f t="shared" ca="1" si="140"/>
        <v>535</v>
      </c>
      <c r="BD93" s="512">
        <v>3</v>
      </c>
      <c r="BE93" s="516" t="s">
        <v>2239</v>
      </c>
      <c r="BF93" s="529" t="s">
        <v>2452</v>
      </c>
      <c r="BG93" s="508">
        <f t="shared" ca="1" si="132"/>
        <v>12.15</v>
      </c>
      <c r="BH93" s="508">
        <v>3.5</v>
      </c>
      <c r="BI93" s="600">
        <v>1.6E-2</v>
      </c>
      <c r="BJ93" s="170">
        <f t="shared" ca="1" si="141"/>
        <v>5.5496766607877716E-2</v>
      </c>
      <c r="BK93" s="508">
        <f t="shared" ca="1" si="142"/>
        <v>555</v>
      </c>
      <c r="BM93" s="512">
        <v>3</v>
      </c>
      <c r="BN93" s="527" t="s">
        <v>2239</v>
      </c>
      <c r="BO93" s="530" t="s">
        <v>2200</v>
      </c>
      <c r="BP93" s="508">
        <f t="shared" ca="1" si="133"/>
        <v>12.15</v>
      </c>
      <c r="BQ93" s="632">
        <v>8</v>
      </c>
      <c r="BR93" s="600">
        <v>1.5900000000000001E-2</v>
      </c>
      <c r="BS93" s="170">
        <f t="shared" ca="1" si="143"/>
        <v>5.3981481481481478E-2</v>
      </c>
      <c r="BT93" s="523">
        <f t="shared" ca="1" si="144"/>
        <v>540</v>
      </c>
      <c r="BV93" s="525">
        <v>3</v>
      </c>
      <c r="BW93" s="527" t="s">
        <v>2270</v>
      </c>
      <c r="BX93" s="530" t="s">
        <v>2200</v>
      </c>
      <c r="BY93" s="523" t="str">
        <f t="shared" ca="1" si="96"/>
        <v>T2部件</v>
      </c>
      <c r="BZ93" s="662">
        <v>1.5</v>
      </c>
      <c r="CA93" s="523">
        <v>3.6999999999999998E-2</v>
      </c>
      <c r="CB93" s="170" t="e">
        <f t="shared" ca="1" si="99"/>
        <v>#VALUE!</v>
      </c>
      <c r="CC93" s="523" t="e">
        <f t="shared" ca="1" si="100"/>
        <v>#VALUE!</v>
      </c>
      <c r="CE93" s="512">
        <v>6</v>
      </c>
      <c r="CF93" s="527" t="s">
        <v>615</v>
      </c>
      <c r="CG93" s="525" t="s">
        <v>1211</v>
      </c>
      <c r="CH93" s="523">
        <f t="shared" ref="CH93:CH107" ca="1" si="153">IF(CG93="部件",VLOOKUP(CE93,INDIRECT(CG93&amp;"价值"),MATCH(LEFT(CF93,2)&amp;"部件",INDIRECT(CG93&amp;"价值标头"),0),FALSE),IF(CG93="加速道具",VLOOKUP(CF93,INDIRECT(CG93&amp;"价值"),MATCH("价格",INDIRECT(CG93&amp;"价值标头"),0),FALSE),VLOOKUP(CE93,INDIRECT(CG93&amp;"价值"),MATCH(CF93,INDIRECT(CG93&amp;"价值标头"),0),FALSE)))</f>
        <v>42</v>
      </c>
      <c r="CI93" s="523">
        <v>1.5</v>
      </c>
      <c r="CJ93" s="523">
        <v>5.67E-2</v>
      </c>
      <c r="CK93" s="170">
        <f t="shared" ref="CK93:CK98" ca="1" si="154">CJ93*CF$4/CH93/CI93</f>
        <v>4.5000000000000005E-2</v>
      </c>
      <c r="CL93" s="508">
        <f t="shared" ref="CL93:CL98" ca="1" si="155">ROUND(CK93*10000,0)</f>
        <v>450</v>
      </c>
      <c r="CN93" s="618">
        <v>4</v>
      </c>
      <c r="CO93" s="621" t="s">
        <v>2265</v>
      </c>
      <c r="CP93" s="616" t="s">
        <v>2200</v>
      </c>
      <c r="CQ93" s="617" t="e">
        <f>VLOOKUP(LEFT(CO93,2)&amp;CP93,道具价值!$B$28:$C$30,2,FALSE)</f>
        <v>#N/A</v>
      </c>
      <c r="CR93" s="617">
        <v>1</v>
      </c>
      <c r="CS93" s="617">
        <v>5.6000000000000001E-2</v>
      </c>
      <c r="CT93" s="170">
        <f t="shared" si="134"/>
        <v>5.6000000000000001E-2</v>
      </c>
      <c r="CU93" s="617">
        <f t="shared" si="135"/>
        <v>560</v>
      </c>
    </row>
    <row r="94" spans="2:99" x14ac:dyDescent="0.35">
      <c r="B94" s="512">
        <v>3</v>
      </c>
      <c r="C94" s="512" t="s">
        <v>2254</v>
      </c>
      <c r="D94" s="529" t="s">
        <v>2452</v>
      </c>
      <c r="E94" s="508">
        <f t="shared" ca="1" si="115"/>
        <v>12.15</v>
      </c>
      <c r="F94" s="565">
        <v>2</v>
      </c>
      <c r="G94" s="594">
        <v>1.2999999999999999E-2</v>
      </c>
      <c r="H94" s="170">
        <f t="shared" ca="1" si="129"/>
        <v>3.1430041152263367E-2</v>
      </c>
      <c r="I94" s="508">
        <f t="shared" ca="1" si="130"/>
        <v>314</v>
      </c>
      <c r="J94" s="300"/>
      <c r="K94" s="512">
        <v>3</v>
      </c>
      <c r="L94" s="512" t="s">
        <v>2254</v>
      </c>
      <c r="M94" s="529" t="s">
        <v>2452</v>
      </c>
      <c r="N94" s="508">
        <f t="shared" ca="1" si="116"/>
        <v>12.15</v>
      </c>
      <c r="O94" s="565">
        <v>1</v>
      </c>
      <c r="P94" s="625">
        <v>1.2500000000000001E-2</v>
      </c>
      <c r="Q94" s="170">
        <f t="shared" ca="1" si="145"/>
        <v>4.8353909465020578E-2</v>
      </c>
      <c r="R94" s="508">
        <f t="shared" ca="1" si="146"/>
        <v>484</v>
      </c>
      <c r="T94" s="512">
        <v>3</v>
      </c>
      <c r="U94" s="512" t="s">
        <v>2254</v>
      </c>
      <c r="V94" s="529" t="s">
        <v>2452</v>
      </c>
      <c r="W94" s="508">
        <f t="shared" ca="1" si="119"/>
        <v>12.15</v>
      </c>
      <c r="X94" s="594">
        <v>1</v>
      </c>
      <c r="Y94" s="625">
        <v>1.2500000000000001E-2</v>
      </c>
      <c r="Z94" s="170">
        <f t="shared" ca="1" si="147"/>
        <v>4.8868312757201646E-2</v>
      </c>
      <c r="AA94" s="508">
        <f t="shared" ca="1" si="148"/>
        <v>489</v>
      </c>
      <c r="AC94" s="512">
        <v>3</v>
      </c>
      <c r="AD94" s="516" t="s">
        <v>2250</v>
      </c>
      <c r="AE94" s="529" t="s">
        <v>2452</v>
      </c>
      <c r="AF94" s="508">
        <f t="shared" ca="1" si="126"/>
        <v>12.15</v>
      </c>
      <c r="AG94" s="594">
        <v>1</v>
      </c>
      <c r="AH94" s="600">
        <v>8.0000000000000002E-3</v>
      </c>
      <c r="AI94" s="170">
        <f t="shared" ca="1" si="149"/>
        <v>4.2139917695473247E-2</v>
      </c>
      <c r="AJ94" s="508">
        <f t="shared" ca="1" si="150"/>
        <v>421</v>
      </c>
      <c r="AL94" s="512">
        <v>3</v>
      </c>
      <c r="AM94" s="516" t="s">
        <v>2246</v>
      </c>
      <c r="AN94" s="529" t="s">
        <v>2452</v>
      </c>
      <c r="AO94" s="508">
        <f t="shared" ca="1" si="136"/>
        <v>12.15</v>
      </c>
      <c r="AP94" s="600">
        <v>2</v>
      </c>
      <c r="AQ94" s="508">
        <v>0.01</v>
      </c>
      <c r="AR94" s="170">
        <f t="shared" ca="1" si="151"/>
        <v>3.9917695473251025E-2</v>
      </c>
      <c r="AS94" s="508">
        <f t="shared" ca="1" si="152"/>
        <v>399</v>
      </c>
      <c r="AU94" s="512">
        <v>3</v>
      </c>
      <c r="AV94" s="516" t="s">
        <v>2242</v>
      </c>
      <c r="AW94" s="529" t="s">
        <v>2452</v>
      </c>
      <c r="AX94" s="508">
        <f t="shared" ca="1" si="131"/>
        <v>12.15</v>
      </c>
      <c r="AY94" s="625">
        <v>1.5</v>
      </c>
      <c r="AZ94" s="625">
        <v>1.4999999999999999E-2</v>
      </c>
      <c r="BA94" s="170">
        <f t="shared" ca="1" si="139"/>
        <v>5.3497942386831275E-2</v>
      </c>
      <c r="BB94" s="508">
        <f t="shared" ca="1" si="140"/>
        <v>535</v>
      </c>
      <c r="BD94" s="512">
        <v>3</v>
      </c>
      <c r="BE94" s="516" t="s">
        <v>2242</v>
      </c>
      <c r="BF94" s="529" t="s">
        <v>2452</v>
      </c>
      <c r="BG94" s="508">
        <f t="shared" ca="1" si="132"/>
        <v>12.15</v>
      </c>
      <c r="BH94" s="632">
        <v>3.5</v>
      </c>
      <c r="BI94" s="600">
        <v>1.4999999999999999E-2</v>
      </c>
      <c r="BJ94" s="170">
        <f t="shared" ca="1" si="141"/>
        <v>5.2028218694885352E-2</v>
      </c>
      <c r="BK94" s="508">
        <f t="shared" ca="1" si="142"/>
        <v>520</v>
      </c>
      <c r="BM94" s="512">
        <v>3</v>
      </c>
      <c r="BN94" s="527" t="s">
        <v>2242</v>
      </c>
      <c r="BO94" s="530" t="s">
        <v>2200</v>
      </c>
      <c r="BP94" s="508">
        <f t="shared" ca="1" si="133"/>
        <v>12.15</v>
      </c>
      <c r="BQ94" s="632">
        <v>8</v>
      </c>
      <c r="BR94" s="600">
        <v>1.5900000000000001E-2</v>
      </c>
      <c r="BS94" s="170">
        <f t="shared" ca="1" si="143"/>
        <v>5.3981481481481478E-2</v>
      </c>
      <c r="BT94" s="523">
        <f t="shared" ca="1" si="144"/>
        <v>540</v>
      </c>
      <c r="BV94" s="525">
        <v>3</v>
      </c>
      <c r="BW94" s="525" t="s">
        <v>2272</v>
      </c>
      <c r="BX94" s="530" t="s">
        <v>2200</v>
      </c>
      <c r="BY94" s="523" t="str">
        <f t="shared" ca="1" si="96"/>
        <v>T2部件</v>
      </c>
      <c r="BZ94" s="662">
        <v>1.5</v>
      </c>
      <c r="CA94" s="523">
        <v>3.6999999999999998E-2</v>
      </c>
      <c r="CB94" s="170" t="e">
        <f t="shared" ca="1" si="99"/>
        <v>#VALUE!</v>
      </c>
      <c r="CC94" s="523" t="e">
        <f t="shared" ca="1" si="100"/>
        <v>#VALUE!</v>
      </c>
      <c r="CE94" s="512">
        <v>6</v>
      </c>
      <c r="CF94" s="527" t="s">
        <v>623</v>
      </c>
      <c r="CG94" s="525" t="s">
        <v>1211</v>
      </c>
      <c r="CH94" s="523">
        <f t="shared" ca="1" si="153"/>
        <v>42</v>
      </c>
      <c r="CI94" s="662">
        <v>1.5</v>
      </c>
      <c r="CJ94" s="634">
        <v>5.67E-2</v>
      </c>
      <c r="CK94" s="170">
        <f t="shared" ca="1" si="154"/>
        <v>4.5000000000000005E-2</v>
      </c>
      <c r="CL94" s="508">
        <f t="shared" ca="1" si="155"/>
        <v>450</v>
      </c>
      <c r="CN94" s="618">
        <v>4</v>
      </c>
      <c r="CO94" s="621" t="s">
        <v>2267</v>
      </c>
      <c r="CP94" s="616" t="s">
        <v>2200</v>
      </c>
      <c r="CQ94" s="617" t="e">
        <f>VLOOKUP(LEFT(CO94,2)&amp;CP94,道具价值!$B$28:$C$30,2,FALSE)</f>
        <v>#N/A</v>
      </c>
      <c r="CR94" s="617">
        <v>1</v>
      </c>
      <c r="CS94" s="617">
        <v>5.6000000000000001E-2</v>
      </c>
      <c r="CT94" s="170">
        <f t="shared" si="134"/>
        <v>5.6000000000000001E-2</v>
      </c>
      <c r="CU94" s="617">
        <f t="shared" si="135"/>
        <v>560</v>
      </c>
    </row>
    <row r="95" spans="2:99" x14ac:dyDescent="0.35">
      <c r="B95" s="512">
        <v>3</v>
      </c>
      <c r="C95" s="512" t="s">
        <v>2256</v>
      </c>
      <c r="D95" s="529" t="s">
        <v>2452</v>
      </c>
      <c r="E95" s="508">
        <f t="shared" ca="1" si="115"/>
        <v>12.15</v>
      </c>
      <c r="F95" s="565">
        <v>2</v>
      </c>
      <c r="G95" s="594">
        <v>1.2999999999999999E-2</v>
      </c>
      <c r="H95" s="170">
        <f t="shared" ca="1" si="129"/>
        <v>3.1430041152263367E-2</v>
      </c>
      <c r="I95" s="508">
        <f t="shared" ca="1" si="130"/>
        <v>314</v>
      </c>
      <c r="J95" s="300"/>
      <c r="K95" s="512">
        <v>3</v>
      </c>
      <c r="L95" s="512" t="s">
        <v>2256</v>
      </c>
      <c r="M95" s="529" t="s">
        <v>2452</v>
      </c>
      <c r="N95" s="508">
        <f t="shared" ca="1" si="116"/>
        <v>12.15</v>
      </c>
      <c r="O95" s="565">
        <v>1</v>
      </c>
      <c r="P95" s="625">
        <v>1.2500000000000001E-2</v>
      </c>
      <c r="Q95" s="170">
        <f t="shared" ca="1" si="145"/>
        <v>4.8353909465020578E-2</v>
      </c>
      <c r="R95" s="508">
        <f t="shared" ca="1" si="146"/>
        <v>484</v>
      </c>
      <c r="T95" s="512">
        <v>3</v>
      </c>
      <c r="U95" s="512" t="s">
        <v>2256</v>
      </c>
      <c r="V95" s="529" t="s">
        <v>2452</v>
      </c>
      <c r="W95" s="508">
        <f t="shared" ca="1" si="119"/>
        <v>12.15</v>
      </c>
      <c r="X95" s="594">
        <v>1</v>
      </c>
      <c r="Y95" s="625">
        <v>1.2500000000000001E-2</v>
      </c>
      <c r="Z95" s="170">
        <f t="shared" ca="1" si="147"/>
        <v>4.8868312757201646E-2</v>
      </c>
      <c r="AA95" s="508">
        <f t="shared" ca="1" si="148"/>
        <v>489</v>
      </c>
      <c r="AC95" s="512">
        <v>3</v>
      </c>
      <c r="AD95" s="516" t="s">
        <v>2252</v>
      </c>
      <c r="AE95" s="529" t="s">
        <v>2452</v>
      </c>
      <c r="AF95" s="508">
        <f t="shared" ca="1" si="126"/>
        <v>12.15</v>
      </c>
      <c r="AG95" s="594">
        <v>1</v>
      </c>
      <c r="AH95" s="600">
        <v>8.0000000000000002E-3</v>
      </c>
      <c r="AI95" s="170">
        <f t="shared" ca="1" si="149"/>
        <v>4.2139917695473247E-2</v>
      </c>
      <c r="AJ95" s="508">
        <f t="shared" ca="1" si="150"/>
        <v>421</v>
      </c>
      <c r="AL95" s="512">
        <v>3</v>
      </c>
      <c r="AM95" s="516" t="s">
        <v>2248</v>
      </c>
      <c r="AN95" s="529" t="s">
        <v>2452</v>
      </c>
      <c r="AO95" s="508">
        <f t="shared" ca="1" si="136"/>
        <v>12.15</v>
      </c>
      <c r="AP95" s="600">
        <v>2</v>
      </c>
      <c r="AQ95" s="508">
        <v>0.01</v>
      </c>
      <c r="AR95" s="170">
        <f t="shared" ca="1" si="151"/>
        <v>3.9917695473251025E-2</v>
      </c>
      <c r="AS95" s="508">
        <f t="shared" ca="1" si="152"/>
        <v>399</v>
      </c>
      <c r="AU95" s="512">
        <v>3</v>
      </c>
      <c r="AV95" s="516" t="s">
        <v>2244</v>
      </c>
      <c r="AW95" s="529" t="s">
        <v>2452</v>
      </c>
      <c r="AX95" s="508">
        <f t="shared" ca="1" si="131"/>
        <v>12.15</v>
      </c>
      <c r="AY95" s="625">
        <v>1.5</v>
      </c>
      <c r="AZ95" s="625">
        <v>1.4999999999999999E-2</v>
      </c>
      <c r="BA95" s="170">
        <f t="shared" ca="1" si="139"/>
        <v>5.3497942386831275E-2</v>
      </c>
      <c r="BB95" s="508">
        <f t="shared" ca="1" si="140"/>
        <v>535</v>
      </c>
      <c r="BD95" s="512">
        <v>3</v>
      </c>
      <c r="BE95" s="516" t="s">
        <v>2244</v>
      </c>
      <c r="BF95" s="529" t="s">
        <v>2452</v>
      </c>
      <c r="BG95" s="508">
        <f t="shared" ca="1" si="132"/>
        <v>12.15</v>
      </c>
      <c r="BH95" s="632">
        <v>3.5</v>
      </c>
      <c r="BI95" s="600">
        <v>1.4999999999999999E-2</v>
      </c>
      <c r="BJ95" s="170">
        <f t="shared" ca="1" si="141"/>
        <v>5.2028218694885352E-2</v>
      </c>
      <c r="BK95" s="508">
        <f t="shared" ca="1" si="142"/>
        <v>520</v>
      </c>
      <c r="BM95" s="512">
        <v>3</v>
      </c>
      <c r="BN95" s="527" t="s">
        <v>2244</v>
      </c>
      <c r="BO95" s="530" t="s">
        <v>2200</v>
      </c>
      <c r="BP95" s="508">
        <f t="shared" ca="1" si="133"/>
        <v>12.15</v>
      </c>
      <c r="BQ95" s="632">
        <v>8</v>
      </c>
      <c r="BR95" s="600">
        <v>1.5900000000000001E-2</v>
      </c>
      <c r="BS95" s="170">
        <f t="shared" ca="1" si="143"/>
        <v>5.3981481481481478E-2</v>
      </c>
      <c r="BT95" s="523">
        <f t="shared" ca="1" si="144"/>
        <v>540</v>
      </c>
      <c r="BV95" s="525">
        <v>3</v>
      </c>
      <c r="BW95" s="525" t="s">
        <v>2274</v>
      </c>
      <c r="BX95" s="530" t="s">
        <v>2200</v>
      </c>
      <c r="BY95" s="523" t="str">
        <f t="shared" ca="1" si="96"/>
        <v>T2部件</v>
      </c>
      <c r="BZ95" s="662">
        <v>1.5</v>
      </c>
      <c r="CA95" s="523">
        <v>3.6999999999999998E-2</v>
      </c>
      <c r="CB95" s="170" t="e">
        <f t="shared" ca="1" si="99"/>
        <v>#VALUE!</v>
      </c>
      <c r="CC95" s="523" t="e">
        <f t="shared" ca="1" si="100"/>
        <v>#VALUE!</v>
      </c>
      <c r="CE95" s="512">
        <v>6</v>
      </c>
      <c r="CF95" s="527" t="s">
        <v>721</v>
      </c>
      <c r="CG95" s="525" t="s">
        <v>1211</v>
      </c>
      <c r="CH95" s="523">
        <f t="shared" ca="1" si="153"/>
        <v>42</v>
      </c>
      <c r="CI95" s="662">
        <v>1.5</v>
      </c>
      <c r="CJ95" s="634">
        <v>5.67E-2</v>
      </c>
      <c r="CK95" s="170">
        <f t="shared" ca="1" si="154"/>
        <v>4.5000000000000005E-2</v>
      </c>
      <c r="CL95" s="508">
        <f t="shared" ca="1" si="155"/>
        <v>450</v>
      </c>
      <c r="CN95" s="618">
        <v>4</v>
      </c>
      <c r="CO95" s="621" t="s">
        <v>2269</v>
      </c>
      <c r="CP95" s="616" t="s">
        <v>2200</v>
      </c>
      <c r="CQ95" s="617" t="e">
        <f>VLOOKUP(LEFT(CO95,2)&amp;CP95,道具价值!$B$28:$C$30,2,FALSE)</f>
        <v>#N/A</v>
      </c>
      <c r="CR95" s="617">
        <v>1</v>
      </c>
      <c r="CS95" s="617">
        <v>5.6000000000000001E-2</v>
      </c>
      <c r="CT95" s="170">
        <f t="shared" si="134"/>
        <v>5.6000000000000001E-2</v>
      </c>
      <c r="CU95" s="617">
        <f t="shared" si="135"/>
        <v>560</v>
      </c>
    </row>
    <row r="96" spans="2:99" x14ac:dyDescent="0.35">
      <c r="B96" s="512">
        <v>3</v>
      </c>
      <c r="C96" s="516" t="s">
        <v>2241</v>
      </c>
      <c r="D96" s="529" t="s">
        <v>2452</v>
      </c>
      <c r="E96" s="508">
        <f t="shared" ca="1" si="115"/>
        <v>12.15</v>
      </c>
      <c r="F96" s="565">
        <v>2</v>
      </c>
      <c r="G96" s="594">
        <v>1.2999999999999999E-2</v>
      </c>
      <c r="H96" s="170">
        <f t="shared" ca="1" si="129"/>
        <v>3.1430041152263367E-2</v>
      </c>
      <c r="I96" s="508">
        <f t="shared" ca="1" si="130"/>
        <v>314</v>
      </c>
      <c r="J96" s="300"/>
      <c r="K96" s="512">
        <v>3</v>
      </c>
      <c r="L96" s="516" t="s">
        <v>2241</v>
      </c>
      <c r="M96" s="529" t="s">
        <v>2452</v>
      </c>
      <c r="N96" s="508">
        <f t="shared" ca="1" si="116"/>
        <v>12.15</v>
      </c>
      <c r="O96" s="565">
        <v>1</v>
      </c>
      <c r="P96" s="625">
        <v>1.2500000000000001E-2</v>
      </c>
      <c r="Q96" s="170">
        <f t="shared" ca="1" si="145"/>
        <v>4.8353909465020578E-2</v>
      </c>
      <c r="R96" s="508">
        <f t="shared" ca="1" si="146"/>
        <v>484</v>
      </c>
      <c r="T96" s="512">
        <v>3</v>
      </c>
      <c r="U96" s="516" t="s">
        <v>2241</v>
      </c>
      <c r="V96" s="529" t="s">
        <v>2452</v>
      </c>
      <c r="W96" s="508">
        <f t="shared" ca="1" si="119"/>
        <v>12.15</v>
      </c>
      <c r="X96" s="594">
        <v>1</v>
      </c>
      <c r="Y96" s="625">
        <v>1.2500000000000001E-2</v>
      </c>
      <c r="Z96" s="170">
        <f t="shared" ca="1" si="147"/>
        <v>4.8868312757201646E-2</v>
      </c>
      <c r="AA96" s="508">
        <f t="shared" ca="1" si="148"/>
        <v>489</v>
      </c>
      <c r="AC96" s="512">
        <v>3</v>
      </c>
      <c r="AD96" s="512" t="s">
        <v>2254</v>
      </c>
      <c r="AE96" s="529" t="s">
        <v>2452</v>
      </c>
      <c r="AF96" s="508">
        <f t="shared" ca="1" si="126"/>
        <v>12.15</v>
      </c>
      <c r="AG96" s="594">
        <v>1</v>
      </c>
      <c r="AH96" s="600">
        <v>8.0000000000000002E-3</v>
      </c>
      <c r="AI96" s="170">
        <f t="shared" ca="1" si="149"/>
        <v>4.2139917695473247E-2</v>
      </c>
      <c r="AJ96" s="508">
        <f t="shared" ca="1" si="150"/>
        <v>421</v>
      </c>
      <c r="AL96" s="512">
        <v>3</v>
      </c>
      <c r="AM96" s="516" t="s">
        <v>2250</v>
      </c>
      <c r="AN96" s="529" t="s">
        <v>2452</v>
      </c>
      <c r="AO96" s="508">
        <f t="shared" ca="1" si="136"/>
        <v>12.15</v>
      </c>
      <c r="AP96" s="600">
        <v>2</v>
      </c>
      <c r="AQ96" s="508">
        <v>0.01</v>
      </c>
      <c r="AR96" s="170">
        <f t="shared" ca="1" si="151"/>
        <v>3.9917695473251025E-2</v>
      </c>
      <c r="AS96" s="508">
        <f t="shared" ca="1" si="152"/>
        <v>399</v>
      </c>
      <c r="AU96" s="512">
        <v>3</v>
      </c>
      <c r="AV96" s="516" t="s">
        <v>2246</v>
      </c>
      <c r="AW96" s="529" t="s">
        <v>2452</v>
      </c>
      <c r="AX96" s="508">
        <f t="shared" ca="1" si="131"/>
        <v>12.15</v>
      </c>
      <c r="AY96" s="625">
        <v>1.5</v>
      </c>
      <c r="AZ96" s="625">
        <v>1.4999999999999999E-2</v>
      </c>
      <c r="BA96" s="170">
        <f t="shared" ca="1" si="139"/>
        <v>5.3497942386831275E-2</v>
      </c>
      <c r="BB96" s="508">
        <f t="shared" ca="1" si="140"/>
        <v>535</v>
      </c>
      <c r="BD96" s="512">
        <v>3</v>
      </c>
      <c r="BE96" s="516" t="s">
        <v>2246</v>
      </c>
      <c r="BF96" s="529" t="s">
        <v>2452</v>
      </c>
      <c r="BG96" s="508">
        <f t="shared" ca="1" si="132"/>
        <v>12.15</v>
      </c>
      <c r="BH96" s="632">
        <v>3.5</v>
      </c>
      <c r="BI96" s="600">
        <v>1.4999999999999999E-2</v>
      </c>
      <c r="BJ96" s="170">
        <f t="shared" ca="1" si="141"/>
        <v>5.2028218694885352E-2</v>
      </c>
      <c r="BK96" s="508">
        <f t="shared" ca="1" si="142"/>
        <v>520</v>
      </c>
      <c r="BM96" s="512">
        <v>3</v>
      </c>
      <c r="BN96" s="527" t="s">
        <v>2246</v>
      </c>
      <c r="BO96" s="530" t="s">
        <v>2200</v>
      </c>
      <c r="BP96" s="508">
        <f t="shared" ca="1" si="133"/>
        <v>12.15</v>
      </c>
      <c r="BQ96" s="632">
        <v>8</v>
      </c>
      <c r="BR96" s="600">
        <v>1.5900000000000001E-2</v>
      </c>
      <c r="BS96" s="170">
        <f t="shared" ca="1" si="143"/>
        <v>5.3981481481481478E-2</v>
      </c>
      <c r="BT96" s="523">
        <f t="shared" ca="1" si="144"/>
        <v>540</v>
      </c>
      <c r="CE96" s="512">
        <v>6</v>
      </c>
      <c r="CF96" s="527" t="s">
        <v>616</v>
      </c>
      <c r="CG96" s="525" t="s">
        <v>1211</v>
      </c>
      <c r="CH96" s="523">
        <f t="shared" ca="1" si="153"/>
        <v>45.6</v>
      </c>
      <c r="CI96" s="523">
        <v>1.5</v>
      </c>
      <c r="CJ96" s="523">
        <v>6.6699999999999995E-2</v>
      </c>
      <c r="CK96" s="170">
        <f t="shared" ca="1" si="154"/>
        <v>4.8757309941520464E-2</v>
      </c>
      <c r="CL96" s="508">
        <f t="shared" ca="1" si="155"/>
        <v>488</v>
      </c>
      <c r="CN96" s="618">
        <v>4</v>
      </c>
      <c r="CO96" s="621" t="s">
        <v>2271</v>
      </c>
      <c r="CP96" s="616" t="s">
        <v>2200</v>
      </c>
      <c r="CQ96" s="617" t="e">
        <f>VLOOKUP(LEFT(CO96,2)&amp;CP96,道具价值!$B$28:$C$30,2,FALSE)</f>
        <v>#N/A</v>
      </c>
      <c r="CR96" s="617">
        <v>1</v>
      </c>
      <c r="CS96" s="617">
        <v>5.6000000000000001E-2</v>
      </c>
      <c r="CT96" s="170">
        <f t="shared" si="134"/>
        <v>5.6000000000000001E-2</v>
      </c>
      <c r="CU96" s="617">
        <f t="shared" si="135"/>
        <v>560</v>
      </c>
    </row>
    <row r="97" spans="2:100" x14ac:dyDescent="0.35">
      <c r="B97" s="512">
        <v>3</v>
      </c>
      <c r="C97" s="516" t="s">
        <v>2243</v>
      </c>
      <c r="D97" s="529" t="s">
        <v>2452</v>
      </c>
      <c r="E97" s="508">
        <f t="shared" ca="1" si="115"/>
        <v>12.15</v>
      </c>
      <c r="F97" s="565">
        <v>2</v>
      </c>
      <c r="G97" s="594">
        <v>1.2999999999999999E-2</v>
      </c>
      <c r="H97" s="170">
        <f t="shared" ca="1" si="129"/>
        <v>3.1430041152263367E-2</v>
      </c>
      <c r="I97" s="508">
        <f t="shared" ca="1" si="130"/>
        <v>314</v>
      </c>
      <c r="J97" s="300"/>
      <c r="K97" s="512">
        <v>3</v>
      </c>
      <c r="L97" s="516" t="s">
        <v>2243</v>
      </c>
      <c r="M97" s="529" t="s">
        <v>2452</v>
      </c>
      <c r="N97" s="508">
        <f t="shared" ca="1" si="116"/>
        <v>12.15</v>
      </c>
      <c r="O97" s="565">
        <v>1</v>
      </c>
      <c r="P97" s="625">
        <v>1.2500000000000001E-2</v>
      </c>
      <c r="Q97" s="170">
        <f t="shared" ca="1" si="145"/>
        <v>4.8353909465020578E-2</v>
      </c>
      <c r="R97" s="508">
        <f t="shared" ca="1" si="146"/>
        <v>484</v>
      </c>
      <c r="T97" s="512">
        <v>3</v>
      </c>
      <c r="U97" s="516" t="s">
        <v>2243</v>
      </c>
      <c r="V97" s="529" t="s">
        <v>2452</v>
      </c>
      <c r="W97" s="508">
        <f t="shared" ca="1" si="119"/>
        <v>12.15</v>
      </c>
      <c r="X97" s="594">
        <v>1</v>
      </c>
      <c r="Y97" s="625">
        <v>1.2500000000000001E-2</v>
      </c>
      <c r="Z97" s="170">
        <f t="shared" ca="1" si="147"/>
        <v>4.8868312757201646E-2</v>
      </c>
      <c r="AA97" s="508">
        <f t="shared" ca="1" si="148"/>
        <v>489</v>
      </c>
      <c r="AC97" s="512">
        <v>3</v>
      </c>
      <c r="AD97" s="512" t="s">
        <v>2256</v>
      </c>
      <c r="AE97" s="529" t="s">
        <v>2452</v>
      </c>
      <c r="AF97" s="508">
        <f t="shared" ca="1" si="126"/>
        <v>12.15</v>
      </c>
      <c r="AG97" s="594">
        <v>1</v>
      </c>
      <c r="AH97" s="600">
        <v>8.0000000000000002E-3</v>
      </c>
      <c r="AI97" s="170">
        <f t="shared" ca="1" si="149"/>
        <v>4.2139917695473247E-2</v>
      </c>
      <c r="AJ97" s="508">
        <f t="shared" ca="1" si="150"/>
        <v>421</v>
      </c>
      <c r="AL97" s="512">
        <v>3</v>
      </c>
      <c r="AM97" s="516" t="s">
        <v>2252</v>
      </c>
      <c r="AN97" s="529" t="s">
        <v>2452</v>
      </c>
      <c r="AO97" s="508">
        <f t="shared" ca="1" si="136"/>
        <v>12.15</v>
      </c>
      <c r="AP97" s="600">
        <v>2</v>
      </c>
      <c r="AQ97" s="508">
        <v>0.01</v>
      </c>
      <c r="AR97" s="170">
        <f t="shared" ca="1" si="151"/>
        <v>3.9917695473251025E-2</v>
      </c>
      <c r="AS97" s="508">
        <f t="shared" ca="1" si="152"/>
        <v>399</v>
      </c>
      <c r="AU97" s="512">
        <v>3</v>
      </c>
      <c r="AV97" s="516" t="s">
        <v>2248</v>
      </c>
      <c r="AW97" s="529" t="s">
        <v>2452</v>
      </c>
      <c r="AX97" s="508">
        <f t="shared" ca="1" si="131"/>
        <v>12.15</v>
      </c>
      <c r="AY97" s="625">
        <v>1.5</v>
      </c>
      <c r="AZ97" s="625">
        <v>1.4999999999999999E-2</v>
      </c>
      <c r="BA97" s="170">
        <f t="shared" ca="1" si="139"/>
        <v>5.3497942386831275E-2</v>
      </c>
      <c r="BB97" s="508">
        <f t="shared" ca="1" si="140"/>
        <v>535</v>
      </c>
      <c r="BD97" s="512">
        <v>3</v>
      </c>
      <c r="BE97" s="516" t="s">
        <v>2248</v>
      </c>
      <c r="BF97" s="529" t="s">
        <v>2452</v>
      </c>
      <c r="BG97" s="508">
        <f t="shared" ca="1" si="132"/>
        <v>12.15</v>
      </c>
      <c r="BH97" s="632">
        <v>3.5</v>
      </c>
      <c r="BI97" s="600">
        <v>1.4999999999999999E-2</v>
      </c>
      <c r="BJ97" s="170">
        <f t="shared" ca="1" si="141"/>
        <v>5.2028218694885352E-2</v>
      </c>
      <c r="BK97" s="508">
        <f t="shared" ca="1" si="142"/>
        <v>520</v>
      </c>
      <c r="BM97" s="512">
        <v>3</v>
      </c>
      <c r="BN97" s="527" t="s">
        <v>2248</v>
      </c>
      <c r="BO97" s="530" t="s">
        <v>2200</v>
      </c>
      <c r="BP97" s="508">
        <f t="shared" ca="1" si="133"/>
        <v>12.15</v>
      </c>
      <c r="BQ97" s="632">
        <v>8</v>
      </c>
      <c r="BR97" s="600">
        <v>1.5900000000000001E-2</v>
      </c>
      <c r="BS97" s="170">
        <f t="shared" ca="1" si="143"/>
        <v>5.3981481481481478E-2</v>
      </c>
      <c r="BT97" s="523">
        <f t="shared" ca="1" si="144"/>
        <v>540</v>
      </c>
      <c r="CE97" s="512">
        <v>6</v>
      </c>
      <c r="CF97" s="527" t="s">
        <v>624</v>
      </c>
      <c r="CG97" s="525" t="s">
        <v>1211</v>
      </c>
      <c r="CH97" s="523">
        <f t="shared" ca="1" si="153"/>
        <v>45.6</v>
      </c>
      <c r="CI97" s="662">
        <v>1.5</v>
      </c>
      <c r="CJ97" s="523">
        <v>6.6699999999999995E-2</v>
      </c>
      <c r="CK97" s="170">
        <f t="shared" ca="1" si="154"/>
        <v>4.8757309941520464E-2</v>
      </c>
      <c r="CL97" s="508">
        <f t="shared" ca="1" si="155"/>
        <v>488</v>
      </c>
      <c r="CN97" s="618">
        <v>4</v>
      </c>
      <c r="CO97" s="618" t="s">
        <v>2273</v>
      </c>
      <c r="CP97" s="616" t="s">
        <v>2200</v>
      </c>
      <c r="CQ97" s="617" t="e">
        <f>VLOOKUP(LEFT(CO97,2)&amp;CP97,道具价值!$B$28:$C$30,2,FALSE)</f>
        <v>#N/A</v>
      </c>
      <c r="CR97" s="617">
        <v>1</v>
      </c>
      <c r="CS97" s="617">
        <v>5.6000000000000001E-2</v>
      </c>
      <c r="CT97" s="170">
        <f t="shared" si="134"/>
        <v>5.6000000000000001E-2</v>
      </c>
      <c r="CU97" s="617">
        <f t="shared" si="135"/>
        <v>560</v>
      </c>
    </row>
    <row r="98" spans="2:100" x14ac:dyDescent="0.35">
      <c r="B98" s="512">
        <v>3</v>
      </c>
      <c r="C98" s="516" t="s">
        <v>2245</v>
      </c>
      <c r="D98" s="529" t="s">
        <v>2452</v>
      </c>
      <c r="E98" s="508">
        <f t="shared" ca="1" si="115"/>
        <v>12.15</v>
      </c>
      <c r="F98" s="565">
        <v>2</v>
      </c>
      <c r="G98" s="594">
        <v>1.2999999999999999E-2</v>
      </c>
      <c r="H98" s="170">
        <f t="shared" ca="1" si="129"/>
        <v>3.1430041152263367E-2</v>
      </c>
      <c r="I98" s="508">
        <f t="shared" ca="1" si="130"/>
        <v>314</v>
      </c>
      <c r="J98" s="300"/>
      <c r="K98" s="512">
        <v>3</v>
      </c>
      <c r="L98" s="516" t="s">
        <v>2245</v>
      </c>
      <c r="M98" s="529" t="s">
        <v>2452</v>
      </c>
      <c r="N98" s="508">
        <f t="shared" ca="1" si="116"/>
        <v>12.15</v>
      </c>
      <c r="O98" s="565">
        <v>1</v>
      </c>
      <c r="P98" s="625">
        <v>1.2500000000000001E-2</v>
      </c>
      <c r="Q98" s="170">
        <f t="shared" ca="1" si="145"/>
        <v>4.8353909465020578E-2</v>
      </c>
      <c r="R98" s="508">
        <f t="shared" ca="1" si="146"/>
        <v>484</v>
      </c>
      <c r="T98" s="512">
        <v>3</v>
      </c>
      <c r="U98" s="516" t="s">
        <v>2245</v>
      </c>
      <c r="V98" s="529" t="s">
        <v>2452</v>
      </c>
      <c r="W98" s="508">
        <f t="shared" ca="1" si="119"/>
        <v>12.15</v>
      </c>
      <c r="X98" s="594">
        <v>1</v>
      </c>
      <c r="Y98" s="625">
        <v>1.2500000000000001E-2</v>
      </c>
      <c r="Z98" s="170">
        <f t="shared" ca="1" si="147"/>
        <v>4.8868312757201646E-2</v>
      </c>
      <c r="AA98" s="508">
        <f t="shared" ca="1" si="148"/>
        <v>489</v>
      </c>
      <c r="AC98" s="512">
        <v>3</v>
      </c>
      <c r="AD98" s="516" t="s">
        <v>2241</v>
      </c>
      <c r="AE98" s="529" t="s">
        <v>2452</v>
      </c>
      <c r="AF98" s="508">
        <f t="shared" ca="1" si="126"/>
        <v>12.15</v>
      </c>
      <c r="AG98" s="594">
        <v>1</v>
      </c>
      <c r="AH98" s="600">
        <v>8.0000000000000002E-3</v>
      </c>
      <c r="AI98" s="170">
        <f t="shared" ca="1" si="149"/>
        <v>4.2139917695473247E-2</v>
      </c>
      <c r="AJ98" s="508">
        <f t="shared" ca="1" si="150"/>
        <v>421</v>
      </c>
      <c r="AL98" s="512">
        <v>3</v>
      </c>
      <c r="AM98" s="512" t="s">
        <v>2254</v>
      </c>
      <c r="AN98" s="529" t="s">
        <v>2452</v>
      </c>
      <c r="AO98" s="508">
        <f t="shared" ca="1" si="136"/>
        <v>12.15</v>
      </c>
      <c r="AP98" s="600">
        <v>2</v>
      </c>
      <c r="AQ98" s="508">
        <v>0.01</v>
      </c>
      <c r="AR98" s="170">
        <f t="shared" ca="1" si="151"/>
        <v>3.9917695473251025E-2</v>
      </c>
      <c r="AS98" s="508">
        <f t="shared" ca="1" si="152"/>
        <v>399</v>
      </c>
      <c r="AU98" s="512">
        <v>3</v>
      </c>
      <c r="AV98" s="516" t="s">
        <v>2250</v>
      </c>
      <c r="AW98" s="529" t="s">
        <v>2452</v>
      </c>
      <c r="AX98" s="508">
        <f t="shared" ca="1" si="131"/>
        <v>12.15</v>
      </c>
      <c r="AY98" s="625">
        <v>1.5</v>
      </c>
      <c r="AZ98" s="625">
        <v>1.4999999999999999E-2</v>
      </c>
      <c r="BA98" s="170">
        <f t="shared" ca="1" si="139"/>
        <v>5.3497942386831275E-2</v>
      </c>
      <c r="BB98" s="508">
        <f t="shared" ca="1" si="140"/>
        <v>535</v>
      </c>
      <c r="BD98" s="512">
        <v>3</v>
      </c>
      <c r="BE98" s="516" t="s">
        <v>2250</v>
      </c>
      <c r="BF98" s="529" t="s">
        <v>2452</v>
      </c>
      <c r="BG98" s="508">
        <f t="shared" ca="1" si="132"/>
        <v>12.15</v>
      </c>
      <c r="BH98" s="632">
        <v>3.5</v>
      </c>
      <c r="BI98" s="600">
        <v>1.4999999999999999E-2</v>
      </c>
      <c r="BJ98" s="170">
        <f t="shared" ca="1" si="141"/>
        <v>5.2028218694885352E-2</v>
      </c>
      <c r="BK98" s="508">
        <f t="shared" ca="1" si="142"/>
        <v>520</v>
      </c>
      <c r="BM98" s="512">
        <v>3</v>
      </c>
      <c r="BN98" s="527" t="s">
        <v>2250</v>
      </c>
      <c r="BO98" s="530" t="s">
        <v>2200</v>
      </c>
      <c r="BP98" s="508">
        <f t="shared" ca="1" si="133"/>
        <v>12.15</v>
      </c>
      <c r="BQ98" s="632">
        <v>8</v>
      </c>
      <c r="BR98" s="600">
        <v>1.5900000000000001E-2</v>
      </c>
      <c r="BS98" s="170">
        <f t="shared" ca="1" si="143"/>
        <v>5.3981481481481478E-2</v>
      </c>
      <c r="BT98" s="523">
        <f t="shared" ca="1" si="144"/>
        <v>540</v>
      </c>
      <c r="BV98" s="293" t="s">
        <v>597</v>
      </c>
      <c r="BW98" s="293" t="s">
        <v>1225</v>
      </c>
      <c r="BX98" s="291" t="s">
        <v>917</v>
      </c>
      <c r="BY98" s="166" t="s">
        <v>920</v>
      </c>
      <c r="BZ98" s="294" t="s">
        <v>967</v>
      </c>
      <c r="CA98" s="166" t="s">
        <v>854</v>
      </c>
      <c r="CB98" s="166" t="s">
        <v>926</v>
      </c>
      <c r="CC98" s="292" t="s">
        <v>927</v>
      </c>
      <c r="CD98" s="300" t="e">
        <f ca="1">SUM(CC99:CC134)</f>
        <v>#VALUE!</v>
      </c>
      <c r="CE98" s="512">
        <v>6</v>
      </c>
      <c r="CF98" s="527" t="s">
        <v>630</v>
      </c>
      <c r="CG98" s="525" t="s">
        <v>1211</v>
      </c>
      <c r="CH98" s="523">
        <f t="shared" ca="1" si="153"/>
        <v>45.6</v>
      </c>
      <c r="CI98" s="662">
        <v>1.5</v>
      </c>
      <c r="CJ98" s="523">
        <v>6.6699999999999995E-2</v>
      </c>
      <c r="CK98" s="170">
        <f t="shared" ca="1" si="154"/>
        <v>4.8757309941520464E-2</v>
      </c>
      <c r="CL98" s="508">
        <f t="shared" ca="1" si="155"/>
        <v>488</v>
      </c>
      <c r="CN98" s="618">
        <v>4</v>
      </c>
      <c r="CO98" s="618" t="s">
        <v>2275</v>
      </c>
      <c r="CP98" s="616" t="s">
        <v>2200</v>
      </c>
      <c r="CQ98" s="617" t="e">
        <f>VLOOKUP(LEFT(CO98,2)&amp;CP98,道具价值!$B$28:$C$30,2,FALSE)</f>
        <v>#N/A</v>
      </c>
      <c r="CR98" s="617">
        <v>1</v>
      </c>
      <c r="CS98" s="617">
        <v>5.6000000000000001E-2</v>
      </c>
      <c r="CT98" s="170">
        <f t="shared" si="134"/>
        <v>5.6000000000000001E-2</v>
      </c>
      <c r="CU98" s="617">
        <f t="shared" si="135"/>
        <v>560</v>
      </c>
    </row>
    <row r="99" spans="2:100" x14ac:dyDescent="0.35">
      <c r="B99" s="512">
        <v>3</v>
      </c>
      <c r="C99" s="516" t="s">
        <v>2247</v>
      </c>
      <c r="D99" s="529" t="s">
        <v>2452</v>
      </c>
      <c r="E99" s="508">
        <f t="shared" ca="1" si="115"/>
        <v>12.15</v>
      </c>
      <c r="F99" s="565">
        <v>2</v>
      </c>
      <c r="G99" s="594">
        <v>1.2999999999999999E-2</v>
      </c>
      <c r="H99" s="170">
        <f t="shared" ca="1" si="129"/>
        <v>3.1430041152263367E-2</v>
      </c>
      <c r="I99" s="508">
        <f t="shared" ca="1" si="130"/>
        <v>314</v>
      </c>
      <c r="J99" s="300"/>
      <c r="K99" s="512">
        <v>3</v>
      </c>
      <c r="L99" s="516" t="s">
        <v>2247</v>
      </c>
      <c r="M99" s="529" t="s">
        <v>2452</v>
      </c>
      <c r="N99" s="508">
        <f t="shared" ca="1" si="116"/>
        <v>12.15</v>
      </c>
      <c r="O99" s="565">
        <v>1</v>
      </c>
      <c r="P99" s="625">
        <v>1.2500000000000001E-2</v>
      </c>
      <c r="Q99" s="170">
        <f t="shared" ca="1" si="145"/>
        <v>4.8353909465020578E-2</v>
      </c>
      <c r="R99" s="508">
        <f t="shared" ca="1" si="146"/>
        <v>484</v>
      </c>
      <c r="T99" s="512">
        <v>3</v>
      </c>
      <c r="U99" s="516" t="s">
        <v>2247</v>
      </c>
      <c r="V99" s="529" t="s">
        <v>2452</v>
      </c>
      <c r="W99" s="508">
        <f t="shared" ca="1" si="119"/>
        <v>12.15</v>
      </c>
      <c r="X99" s="594">
        <v>1</v>
      </c>
      <c r="Y99" s="625">
        <v>1.2500000000000001E-2</v>
      </c>
      <c r="Z99" s="170">
        <f t="shared" ca="1" si="147"/>
        <v>4.8868312757201646E-2</v>
      </c>
      <c r="AA99" s="508">
        <f t="shared" ca="1" si="148"/>
        <v>489</v>
      </c>
      <c r="AC99" s="512">
        <v>3</v>
      </c>
      <c r="AD99" s="516" t="s">
        <v>2243</v>
      </c>
      <c r="AE99" s="529" t="s">
        <v>2452</v>
      </c>
      <c r="AF99" s="508">
        <f t="shared" ca="1" si="126"/>
        <v>12.15</v>
      </c>
      <c r="AG99" s="594">
        <v>1</v>
      </c>
      <c r="AH99" s="600">
        <v>8.0000000000000002E-3</v>
      </c>
      <c r="AI99" s="170">
        <f t="shared" ca="1" si="149"/>
        <v>4.2139917695473247E-2</v>
      </c>
      <c r="AJ99" s="508">
        <f t="shared" ca="1" si="150"/>
        <v>421</v>
      </c>
      <c r="AL99" s="512">
        <v>3</v>
      </c>
      <c r="AM99" s="512" t="s">
        <v>2256</v>
      </c>
      <c r="AN99" s="529" t="s">
        <v>2452</v>
      </c>
      <c r="AO99" s="508">
        <f t="shared" ca="1" si="136"/>
        <v>12.15</v>
      </c>
      <c r="AP99" s="600">
        <v>2</v>
      </c>
      <c r="AQ99" s="508">
        <v>0.01</v>
      </c>
      <c r="AR99" s="170">
        <f t="shared" ca="1" si="151"/>
        <v>3.9917695473251025E-2</v>
      </c>
      <c r="AS99" s="508">
        <f t="shared" ca="1" si="152"/>
        <v>399</v>
      </c>
      <c r="AU99" s="512">
        <v>3</v>
      </c>
      <c r="AV99" s="516" t="s">
        <v>2252</v>
      </c>
      <c r="AW99" s="529" t="s">
        <v>2452</v>
      </c>
      <c r="AX99" s="508">
        <f t="shared" ca="1" si="131"/>
        <v>12.15</v>
      </c>
      <c r="AY99" s="625">
        <v>1.5</v>
      </c>
      <c r="AZ99" s="625">
        <v>1.4999999999999999E-2</v>
      </c>
      <c r="BA99" s="170">
        <f t="shared" ca="1" si="139"/>
        <v>5.3497942386831275E-2</v>
      </c>
      <c r="BB99" s="508">
        <f t="shared" ca="1" si="140"/>
        <v>535</v>
      </c>
      <c r="BD99" s="512">
        <v>3</v>
      </c>
      <c r="BE99" s="516" t="s">
        <v>2252</v>
      </c>
      <c r="BF99" s="529" t="s">
        <v>2452</v>
      </c>
      <c r="BG99" s="508">
        <f t="shared" ca="1" si="132"/>
        <v>12.15</v>
      </c>
      <c r="BH99" s="632">
        <v>3.5</v>
      </c>
      <c r="BI99" s="600">
        <v>1.4999999999999999E-2</v>
      </c>
      <c r="BJ99" s="170">
        <f t="shared" ca="1" si="141"/>
        <v>5.2028218694885352E-2</v>
      </c>
      <c r="BK99" s="508">
        <f t="shared" ca="1" si="142"/>
        <v>520</v>
      </c>
      <c r="BM99" s="512">
        <v>3</v>
      </c>
      <c r="BN99" s="527" t="s">
        <v>2252</v>
      </c>
      <c r="BO99" s="530" t="s">
        <v>2200</v>
      </c>
      <c r="BP99" s="508">
        <f t="shared" ca="1" si="133"/>
        <v>12.15</v>
      </c>
      <c r="BQ99" s="632">
        <v>8</v>
      </c>
      <c r="BR99" s="600">
        <v>1.5900000000000001E-2</v>
      </c>
      <c r="BS99" s="170">
        <f t="shared" ca="1" si="143"/>
        <v>5.3981481481481478E-2</v>
      </c>
      <c r="BT99" s="523">
        <f t="shared" ca="1" si="144"/>
        <v>540</v>
      </c>
      <c r="BV99" s="293">
        <v>4</v>
      </c>
      <c r="BW99" s="527" t="s">
        <v>2239</v>
      </c>
      <c r="BX99" s="530" t="s">
        <v>2200</v>
      </c>
      <c r="BY99" s="523">
        <f t="shared" ref="BY99:BY134" ca="1" si="156">IF(BX99="部件",VLOOKUP(BV99,INDIRECT(BX99&amp;"价值"),MATCH(LEFT(BW99,2)&amp;"部件",INDIRECT(BX99&amp;"价值标头"),0),FALSE),IF(BX99="加速道具",VLOOKUP(BW99,INDIRECT(BX99&amp;"价值"),MATCH("价格",INDIRECT(BX99&amp;"价值标头"),0),FALSE),VLOOKUP(BV99,INDIRECT(BX99&amp;"价值"),MATCH(BW99,INDIRECT(BX99&amp;"价值标头"),0),FALSE)))</f>
        <v>11.475</v>
      </c>
      <c r="BZ99" s="523">
        <v>4.5</v>
      </c>
      <c r="CA99" s="405">
        <v>2.9000000000000001E-2</v>
      </c>
      <c r="CB99" s="170">
        <f t="shared" ref="CB99:CB113" ca="1" si="157">CA99*BW$4/BY99/BZ99</f>
        <v>2.8080367949649004E-2</v>
      </c>
      <c r="CC99" s="290">
        <f t="shared" ref="CC99:CC113" ca="1" si="158">ROUND(CB99*10000,0)</f>
        <v>281</v>
      </c>
      <c r="CE99" s="512">
        <v>6</v>
      </c>
      <c r="CF99" s="527" t="s">
        <v>617</v>
      </c>
      <c r="CG99" s="512" t="s">
        <v>1211</v>
      </c>
      <c r="CH99" s="523">
        <f t="shared" ca="1" si="153"/>
        <v>74.8</v>
      </c>
      <c r="CI99" s="523">
        <v>1</v>
      </c>
      <c r="CJ99" s="523">
        <v>8.6699999999999999E-2</v>
      </c>
      <c r="CK99" s="170">
        <f t="shared" ref="CK99:CK107" ca="1" si="159">CJ99*CF$4/CH99/CI99</f>
        <v>5.7954545454545453E-2</v>
      </c>
      <c r="CL99" s="508">
        <f t="shared" ref="CL99:CL107" ca="1" si="160">ROUND(CK99*10000,0)</f>
        <v>580</v>
      </c>
    </row>
    <row r="100" spans="2:100" x14ac:dyDescent="0.35">
      <c r="B100" s="512">
        <v>3</v>
      </c>
      <c r="C100" s="516" t="s">
        <v>2249</v>
      </c>
      <c r="D100" s="529" t="s">
        <v>2452</v>
      </c>
      <c r="E100" s="508">
        <f t="shared" ca="1" si="115"/>
        <v>12.15</v>
      </c>
      <c r="F100" s="565">
        <v>2</v>
      </c>
      <c r="G100" s="594">
        <v>1.2999999999999999E-2</v>
      </c>
      <c r="H100" s="170">
        <f t="shared" ca="1" si="129"/>
        <v>3.1430041152263367E-2</v>
      </c>
      <c r="I100" s="508">
        <f t="shared" ca="1" si="130"/>
        <v>314</v>
      </c>
      <c r="J100" s="300"/>
      <c r="K100" s="512">
        <v>3</v>
      </c>
      <c r="L100" s="516" t="s">
        <v>2249</v>
      </c>
      <c r="M100" s="529" t="s">
        <v>2452</v>
      </c>
      <c r="N100" s="508">
        <f t="shared" ca="1" si="116"/>
        <v>12.15</v>
      </c>
      <c r="O100" s="565">
        <v>1</v>
      </c>
      <c r="P100" s="625">
        <v>1.2500000000000001E-2</v>
      </c>
      <c r="Q100" s="170">
        <f t="shared" ca="1" si="145"/>
        <v>4.8353909465020578E-2</v>
      </c>
      <c r="R100" s="508">
        <f t="shared" ca="1" si="146"/>
        <v>484</v>
      </c>
      <c r="T100" s="512">
        <v>3</v>
      </c>
      <c r="U100" s="516" t="s">
        <v>2249</v>
      </c>
      <c r="V100" s="529" t="s">
        <v>2452</v>
      </c>
      <c r="W100" s="508">
        <f t="shared" ca="1" si="119"/>
        <v>12.15</v>
      </c>
      <c r="X100" s="594">
        <v>1</v>
      </c>
      <c r="Y100" s="625">
        <v>1.2500000000000001E-2</v>
      </c>
      <c r="Z100" s="170">
        <f t="shared" ca="1" si="147"/>
        <v>4.8868312757201646E-2</v>
      </c>
      <c r="AA100" s="508">
        <f t="shared" ca="1" si="148"/>
        <v>489</v>
      </c>
      <c r="AC100" s="512">
        <v>3</v>
      </c>
      <c r="AD100" s="516" t="s">
        <v>2245</v>
      </c>
      <c r="AE100" s="529" t="s">
        <v>2452</v>
      </c>
      <c r="AF100" s="508">
        <f t="shared" ca="1" si="126"/>
        <v>12.15</v>
      </c>
      <c r="AG100" s="594">
        <v>1</v>
      </c>
      <c r="AH100" s="600">
        <v>8.0000000000000002E-3</v>
      </c>
      <c r="AI100" s="170">
        <f t="shared" ca="1" si="149"/>
        <v>4.2139917695473247E-2</v>
      </c>
      <c r="AJ100" s="508">
        <f t="shared" ca="1" si="150"/>
        <v>421</v>
      </c>
      <c r="AL100" s="512">
        <v>3</v>
      </c>
      <c r="AM100" s="516" t="s">
        <v>2241</v>
      </c>
      <c r="AN100" s="529" t="s">
        <v>2452</v>
      </c>
      <c r="AO100" s="508">
        <f t="shared" ca="1" si="136"/>
        <v>12.15</v>
      </c>
      <c r="AP100" s="600">
        <v>2</v>
      </c>
      <c r="AQ100" s="508">
        <v>0.01</v>
      </c>
      <c r="AR100" s="170">
        <f t="shared" ca="1" si="151"/>
        <v>3.9917695473251025E-2</v>
      </c>
      <c r="AS100" s="508">
        <f t="shared" ca="1" si="152"/>
        <v>399</v>
      </c>
      <c r="AU100" s="512">
        <v>3</v>
      </c>
      <c r="AV100" s="512" t="s">
        <v>2254</v>
      </c>
      <c r="AW100" s="529" t="s">
        <v>2452</v>
      </c>
      <c r="AX100" s="508">
        <f t="shared" ca="1" si="131"/>
        <v>12.15</v>
      </c>
      <c r="AY100" s="625">
        <v>1.5</v>
      </c>
      <c r="AZ100" s="625">
        <v>1.4999999999999999E-2</v>
      </c>
      <c r="BA100" s="170">
        <f t="shared" ca="1" si="139"/>
        <v>5.3497942386831275E-2</v>
      </c>
      <c r="BB100" s="508">
        <f t="shared" ca="1" si="140"/>
        <v>535</v>
      </c>
      <c r="BD100" s="512">
        <v>3</v>
      </c>
      <c r="BE100" s="512" t="s">
        <v>2254</v>
      </c>
      <c r="BF100" s="529" t="s">
        <v>2452</v>
      </c>
      <c r="BG100" s="508">
        <f t="shared" ca="1" si="132"/>
        <v>12.15</v>
      </c>
      <c r="BH100" s="632">
        <v>3.5</v>
      </c>
      <c r="BI100" s="600">
        <v>1.4999999999999999E-2</v>
      </c>
      <c r="BJ100" s="170">
        <f t="shared" ca="1" si="141"/>
        <v>5.2028218694885352E-2</v>
      </c>
      <c r="BK100" s="508">
        <f t="shared" ca="1" si="142"/>
        <v>520</v>
      </c>
      <c r="BM100" s="512">
        <v>3</v>
      </c>
      <c r="BN100" s="525" t="s">
        <v>2254</v>
      </c>
      <c r="BO100" s="530" t="s">
        <v>2200</v>
      </c>
      <c r="BP100" s="508">
        <f t="shared" ca="1" si="133"/>
        <v>12.15</v>
      </c>
      <c r="BQ100" s="632">
        <v>8</v>
      </c>
      <c r="BR100" s="600">
        <v>1.5900000000000001E-2</v>
      </c>
      <c r="BS100" s="170">
        <f t="shared" ca="1" si="143"/>
        <v>5.3981481481481478E-2</v>
      </c>
      <c r="BT100" s="523">
        <f t="shared" ca="1" si="144"/>
        <v>540</v>
      </c>
      <c r="BV100" s="293">
        <v>4</v>
      </c>
      <c r="BW100" s="527" t="s">
        <v>2242</v>
      </c>
      <c r="BX100" s="530" t="s">
        <v>2200</v>
      </c>
      <c r="BY100" s="523">
        <f t="shared" ca="1" si="156"/>
        <v>11.475</v>
      </c>
      <c r="BZ100" s="662">
        <v>4.5</v>
      </c>
      <c r="CA100" s="632">
        <v>2.9000000000000001E-2</v>
      </c>
      <c r="CB100" s="170">
        <f t="shared" ca="1" si="157"/>
        <v>2.8080367949649004E-2</v>
      </c>
      <c r="CC100" s="290">
        <f t="shared" ca="1" si="158"/>
        <v>281</v>
      </c>
      <c r="CE100" s="512">
        <v>6</v>
      </c>
      <c r="CF100" s="527" t="s">
        <v>626</v>
      </c>
      <c r="CG100" s="512" t="s">
        <v>1211</v>
      </c>
      <c r="CH100" s="523">
        <f t="shared" ca="1" si="153"/>
        <v>74.8</v>
      </c>
      <c r="CI100" s="523">
        <v>1</v>
      </c>
      <c r="CJ100" s="523">
        <v>8.6699999999999999E-2</v>
      </c>
      <c r="CK100" s="170">
        <f t="shared" ca="1" si="159"/>
        <v>5.7954545454545453E-2</v>
      </c>
      <c r="CL100" s="508">
        <f t="shared" ca="1" si="160"/>
        <v>580</v>
      </c>
    </row>
    <row r="101" spans="2:100" x14ac:dyDescent="0.35">
      <c r="B101" s="512">
        <v>3</v>
      </c>
      <c r="C101" s="516" t="s">
        <v>2251</v>
      </c>
      <c r="D101" s="529" t="s">
        <v>2452</v>
      </c>
      <c r="E101" s="508">
        <f t="shared" ca="1" si="115"/>
        <v>12.15</v>
      </c>
      <c r="F101" s="565">
        <v>2</v>
      </c>
      <c r="G101" s="594">
        <v>1.2999999999999999E-2</v>
      </c>
      <c r="H101" s="170">
        <f t="shared" ca="1" si="129"/>
        <v>3.1430041152263367E-2</v>
      </c>
      <c r="I101" s="508">
        <f t="shared" ca="1" si="130"/>
        <v>314</v>
      </c>
      <c r="J101" s="300"/>
      <c r="K101" s="512">
        <v>3</v>
      </c>
      <c r="L101" s="516" t="s">
        <v>2251</v>
      </c>
      <c r="M101" s="529" t="s">
        <v>2452</v>
      </c>
      <c r="N101" s="508">
        <f t="shared" ca="1" si="116"/>
        <v>12.15</v>
      </c>
      <c r="O101" s="565">
        <v>1</v>
      </c>
      <c r="P101" s="625">
        <v>1.2500000000000001E-2</v>
      </c>
      <c r="Q101" s="170">
        <f t="shared" ca="1" si="145"/>
        <v>4.8353909465020578E-2</v>
      </c>
      <c r="R101" s="508">
        <f t="shared" ca="1" si="146"/>
        <v>484</v>
      </c>
      <c r="T101" s="512">
        <v>3</v>
      </c>
      <c r="U101" s="516" t="s">
        <v>2251</v>
      </c>
      <c r="V101" s="529" t="s">
        <v>2452</v>
      </c>
      <c r="W101" s="508">
        <f t="shared" ca="1" si="119"/>
        <v>12.15</v>
      </c>
      <c r="X101" s="594">
        <v>1</v>
      </c>
      <c r="Y101" s="625">
        <v>1.2500000000000001E-2</v>
      </c>
      <c r="Z101" s="170">
        <f t="shared" ca="1" si="147"/>
        <v>4.8868312757201646E-2</v>
      </c>
      <c r="AA101" s="508">
        <f t="shared" ca="1" si="148"/>
        <v>489</v>
      </c>
      <c r="AC101" s="512">
        <v>3</v>
      </c>
      <c r="AD101" s="516" t="s">
        <v>2247</v>
      </c>
      <c r="AE101" s="529" t="s">
        <v>2452</v>
      </c>
      <c r="AF101" s="508">
        <f t="shared" ca="1" si="126"/>
        <v>12.15</v>
      </c>
      <c r="AG101" s="594">
        <v>1</v>
      </c>
      <c r="AH101" s="600">
        <v>8.0000000000000002E-3</v>
      </c>
      <c r="AI101" s="170">
        <f t="shared" ca="1" si="149"/>
        <v>4.2139917695473247E-2</v>
      </c>
      <c r="AJ101" s="508">
        <f t="shared" ca="1" si="150"/>
        <v>421</v>
      </c>
      <c r="AL101" s="512">
        <v>3</v>
      </c>
      <c r="AM101" s="516" t="s">
        <v>2243</v>
      </c>
      <c r="AN101" s="529" t="s">
        <v>2452</v>
      </c>
      <c r="AO101" s="508">
        <f t="shared" ca="1" si="136"/>
        <v>12.15</v>
      </c>
      <c r="AP101" s="600">
        <v>2</v>
      </c>
      <c r="AQ101" s="508">
        <v>0.01</v>
      </c>
      <c r="AR101" s="170">
        <f t="shared" ca="1" si="151"/>
        <v>3.9917695473251025E-2</v>
      </c>
      <c r="AS101" s="508">
        <f t="shared" ca="1" si="152"/>
        <v>399</v>
      </c>
      <c r="AU101" s="512">
        <v>3</v>
      </c>
      <c r="AV101" s="512" t="s">
        <v>2256</v>
      </c>
      <c r="AW101" s="529" t="s">
        <v>2452</v>
      </c>
      <c r="AX101" s="508">
        <f t="shared" ca="1" si="131"/>
        <v>12.15</v>
      </c>
      <c r="AY101" s="625">
        <v>1.5</v>
      </c>
      <c r="AZ101" s="625">
        <v>1.4999999999999999E-2</v>
      </c>
      <c r="BA101" s="170">
        <f t="shared" ca="1" si="139"/>
        <v>5.3497942386831275E-2</v>
      </c>
      <c r="BB101" s="508">
        <f t="shared" ca="1" si="140"/>
        <v>535</v>
      </c>
      <c r="BD101" s="512">
        <v>3</v>
      </c>
      <c r="BE101" s="512" t="s">
        <v>2256</v>
      </c>
      <c r="BF101" s="529" t="s">
        <v>2452</v>
      </c>
      <c r="BG101" s="508">
        <f t="shared" ca="1" si="132"/>
        <v>12.15</v>
      </c>
      <c r="BH101" s="632">
        <v>3.5</v>
      </c>
      <c r="BI101" s="600">
        <v>1.4999999999999999E-2</v>
      </c>
      <c r="BJ101" s="170">
        <f t="shared" ca="1" si="141"/>
        <v>5.2028218694885352E-2</v>
      </c>
      <c r="BK101" s="508">
        <f t="shared" ca="1" si="142"/>
        <v>520</v>
      </c>
      <c r="BM101" s="512">
        <v>3</v>
      </c>
      <c r="BN101" s="525" t="s">
        <v>2256</v>
      </c>
      <c r="BO101" s="530" t="s">
        <v>2200</v>
      </c>
      <c r="BP101" s="508">
        <f t="shared" ca="1" si="133"/>
        <v>12.15</v>
      </c>
      <c r="BQ101" s="632">
        <v>8</v>
      </c>
      <c r="BR101" s="600">
        <v>1.5900000000000001E-2</v>
      </c>
      <c r="BS101" s="170">
        <f t="shared" ca="1" si="143"/>
        <v>5.3981481481481478E-2</v>
      </c>
      <c r="BT101" s="523">
        <f t="shared" ca="1" si="144"/>
        <v>540</v>
      </c>
      <c r="BV101" s="293">
        <v>4</v>
      </c>
      <c r="BW101" s="527" t="s">
        <v>2244</v>
      </c>
      <c r="BX101" s="530" t="s">
        <v>2200</v>
      </c>
      <c r="BY101" s="523">
        <f t="shared" ca="1" si="156"/>
        <v>11.475</v>
      </c>
      <c r="BZ101" s="662">
        <v>4.5</v>
      </c>
      <c r="CA101" s="632">
        <v>2.9000000000000001E-2</v>
      </c>
      <c r="CB101" s="170">
        <f t="shared" ca="1" si="157"/>
        <v>2.8080367949649004E-2</v>
      </c>
      <c r="CC101" s="290">
        <f t="shared" ca="1" si="158"/>
        <v>281</v>
      </c>
      <c r="CE101" s="512">
        <v>6</v>
      </c>
      <c r="CF101" s="527" t="s">
        <v>631</v>
      </c>
      <c r="CG101" s="512" t="s">
        <v>1211</v>
      </c>
      <c r="CH101" s="523">
        <f t="shared" ca="1" si="153"/>
        <v>74.8</v>
      </c>
      <c r="CI101" s="523">
        <v>1</v>
      </c>
      <c r="CJ101" s="523">
        <v>8.6699999999999999E-2</v>
      </c>
      <c r="CK101" s="170">
        <f t="shared" ca="1" si="159"/>
        <v>5.7954545454545453E-2</v>
      </c>
      <c r="CL101" s="508">
        <f t="shared" ca="1" si="160"/>
        <v>580</v>
      </c>
      <c r="CN101" s="618" t="s">
        <v>597</v>
      </c>
      <c r="CO101" s="618" t="s">
        <v>1225</v>
      </c>
      <c r="CP101" s="619" t="s">
        <v>917</v>
      </c>
      <c r="CQ101" s="166" t="s">
        <v>920</v>
      </c>
      <c r="CR101" s="622" t="s">
        <v>967</v>
      </c>
      <c r="CS101" s="166" t="s">
        <v>854</v>
      </c>
      <c r="CT101" s="166" t="s">
        <v>926</v>
      </c>
      <c r="CU101" s="620" t="s">
        <v>927</v>
      </c>
      <c r="CV101" s="300">
        <f>SUM(CU102:CU110)</f>
        <v>10000</v>
      </c>
    </row>
    <row r="102" spans="2:100" x14ac:dyDescent="0.35">
      <c r="B102" s="512">
        <v>3</v>
      </c>
      <c r="C102" s="516" t="s">
        <v>2253</v>
      </c>
      <c r="D102" s="529" t="s">
        <v>2452</v>
      </c>
      <c r="E102" s="508">
        <f t="shared" ca="1" si="115"/>
        <v>12.15</v>
      </c>
      <c r="F102" s="565">
        <v>2</v>
      </c>
      <c r="G102" s="594">
        <v>1.2999999999999999E-2</v>
      </c>
      <c r="H102" s="170">
        <f t="shared" ca="1" si="129"/>
        <v>3.1430041152263367E-2</v>
      </c>
      <c r="I102" s="508">
        <f t="shared" ca="1" si="130"/>
        <v>314</v>
      </c>
      <c r="J102" s="300"/>
      <c r="K102" s="512">
        <v>3</v>
      </c>
      <c r="L102" s="516" t="s">
        <v>2253</v>
      </c>
      <c r="M102" s="529" t="s">
        <v>2452</v>
      </c>
      <c r="N102" s="508">
        <f t="shared" ca="1" si="116"/>
        <v>12.15</v>
      </c>
      <c r="O102" s="565">
        <v>1</v>
      </c>
      <c r="P102" s="625">
        <v>1.2500000000000001E-2</v>
      </c>
      <c r="Q102" s="170">
        <f t="shared" ca="1" si="145"/>
        <v>4.8353909465020578E-2</v>
      </c>
      <c r="R102" s="508">
        <f t="shared" ca="1" si="146"/>
        <v>484</v>
      </c>
      <c r="T102" s="512">
        <v>3</v>
      </c>
      <c r="U102" s="516" t="s">
        <v>2253</v>
      </c>
      <c r="V102" s="529" t="s">
        <v>2452</v>
      </c>
      <c r="W102" s="508">
        <f t="shared" ca="1" si="119"/>
        <v>12.15</v>
      </c>
      <c r="X102" s="594">
        <v>1</v>
      </c>
      <c r="Y102" s="625">
        <v>1.2500000000000001E-2</v>
      </c>
      <c r="Z102" s="170">
        <f t="shared" ca="1" si="147"/>
        <v>4.8868312757201646E-2</v>
      </c>
      <c r="AA102" s="508">
        <f t="shared" ca="1" si="148"/>
        <v>489</v>
      </c>
      <c r="AC102" s="512">
        <v>3</v>
      </c>
      <c r="AD102" s="516" t="s">
        <v>2249</v>
      </c>
      <c r="AE102" s="529" t="s">
        <v>2452</v>
      </c>
      <c r="AF102" s="508">
        <f t="shared" ca="1" si="126"/>
        <v>12.15</v>
      </c>
      <c r="AG102" s="594">
        <v>1</v>
      </c>
      <c r="AH102" s="600">
        <v>8.0000000000000002E-3</v>
      </c>
      <c r="AI102" s="170">
        <f t="shared" ca="1" si="149"/>
        <v>4.2139917695473247E-2</v>
      </c>
      <c r="AJ102" s="508">
        <f t="shared" ca="1" si="150"/>
        <v>421</v>
      </c>
      <c r="AL102" s="512">
        <v>3</v>
      </c>
      <c r="AM102" s="516" t="s">
        <v>2245</v>
      </c>
      <c r="AN102" s="529" t="s">
        <v>2452</v>
      </c>
      <c r="AO102" s="508">
        <f t="shared" ca="1" si="136"/>
        <v>12.15</v>
      </c>
      <c r="AP102" s="600">
        <v>2</v>
      </c>
      <c r="AQ102" s="508">
        <v>0.01</v>
      </c>
      <c r="AR102" s="170">
        <f t="shared" ca="1" si="151"/>
        <v>3.9917695473251025E-2</v>
      </c>
      <c r="AS102" s="508">
        <f t="shared" ca="1" si="152"/>
        <v>399</v>
      </c>
      <c r="AU102" s="512">
        <v>3</v>
      </c>
      <c r="AV102" s="516" t="s">
        <v>2241</v>
      </c>
      <c r="AW102" s="529" t="s">
        <v>2452</v>
      </c>
      <c r="AX102" s="508">
        <f t="shared" ca="1" si="131"/>
        <v>12.15</v>
      </c>
      <c r="AY102" s="625">
        <v>1.5</v>
      </c>
      <c r="AZ102" s="625">
        <v>1.4999999999999999E-2</v>
      </c>
      <c r="BA102" s="170">
        <f t="shared" ca="1" si="139"/>
        <v>5.3497942386831275E-2</v>
      </c>
      <c r="BB102" s="508">
        <f t="shared" ca="1" si="140"/>
        <v>535</v>
      </c>
      <c r="BD102" s="512">
        <v>3</v>
      </c>
      <c r="BE102" s="516" t="s">
        <v>2241</v>
      </c>
      <c r="BF102" s="529" t="s">
        <v>2452</v>
      </c>
      <c r="BG102" s="508">
        <f t="shared" ca="1" si="132"/>
        <v>12.15</v>
      </c>
      <c r="BH102" s="632">
        <v>3.5</v>
      </c>
      <c r="BI102" s="600">
        <v>1.4999999999999999E-2</v>
      </c>
      <c r="BJ102" s="170">
        <f t="shared" ca="1" si="141"/>
        <v>5.2028218694885352E-2</v>
      </c>
      <c r="BK102" s="508">
        <f t="shared" ca="1" si="142"/>
        <v>520</v>
      </c>
      <c r="BM102" s="512">
        <v>3</v>
      </c>
      <c r="BN102" s="527" t="s">
        <v>2241</v>
      </c>
      <c r="BO102" s="530" t="s">
        <v>2200</v>
      </c>
      <c r="BP102" s="508">
        <f t="shared" ca="1" si="133"/>
        <v>12.15</v>
      </c>
      <c r="BQ102" s="632">
        <v>8</v>
      </c>
      <c r="BR102" s="600">
        <v>1.5900000000000001E-2</v>
      </c>
      <c r="BS102" s="170">
        <f t="shared" ca="1" si="143"/>
        <v>5.3981481481481478E-2</v>
      </c>
      <c r="BT102" s="523">
        <f t="shared" ca="1" si="144"/>
        <v>540</v>
      </c>
      <c r="BV102" s="293">
        <v>4</v>
      </c>
      <c r="BW102" s="527" t="s">
        <v>2246</v>
      </c>
      <c r="BX102" s="530" t="s">
        <v>2200</v>
      </c>
      <c r="BY102" s="523">
        <f t="shared" ca="1" si="156"/>
        <v>11.475</v>
      </c>
      <c r="BZ102" s="662">
        <v>4.5</v>
      </c>
      <c r="CA102" s="632">
        <v>2.9000000000000001E-2</v>
      </c>
      <c r="CB102" s="170">
        <f t="shared" ca="1" si="157"/>
        <v>2.8080367949649004E-2</v>
      </c>
      <c r="CC102" s="290">
        <f t="shared" ca="1" si="158"/>
        <v>281</v>
      </c>
      <c r="CE102" s="512">
        <v>6</v>
      </c>
      <c r="CF102" s="527" t="s">
        <v>618</v>
      </c>
      <c r="CG102" s="512" t="s">
        <v>1211</v>
      </c>
      <c r="CH102" s="523">
        <f t="shared" ca="1" si="153"/>
        <v>56.4</v>
      </c>
      <c r="CI102" s="523">
        <v>1</v>
      </c>
      <c r="CJ102" s="523">
        <v>6.6699999999999995E-2</v>
      </c>
      <c r="CK102" s="170">
        <f t="shared" ca="1" si="159"/>
        <v>5.9131205673758867E-2</v>
      </c>
      <c r="CL102" s="508">
        <f t="shared" ca="1" si="160"/>
        <v>591</v>
      </c>
      <c r="CN102" s="618">
        <v>6</v>
      </c>
      <c r="CO102" s="621" t="s">
        <v>2276</v>
      </c>
      <c r="CP102" s="616" t="s">
        <v>2200</v>
      </c>
      <c r="CQ102" s="617" t="e">
        <f>VLOOKUP(LEFT(CO102,2)&amp;CP102,道具价值!$B$28:$C$30,2,FALSE)</f>
        <v>#N/A</v>
      </c>
      <c r="CR102" s="618">
        <v>1</v>
      </c>
      <c r="CS102" s="617">
        <v>0.111</v>
      </c>
      <c r="CT102" s="170">
        <f>CS102</f>
        <v>0.111</v>
      </c>
      <c r="CU102" s="617">
        <f>ROUND(CT102*10000,0)</f>
        <v>1110</v>
      </c>
    </row>
    <row r="103" spans="2:100" x14ac:dyDescent="0.35">
      <c r="B103" s="512">
        <v>3</v>
      </c>
      <c r="C103" s="512" t="s">
        <v>2255</v>
      </c>
      <c r="D103" s="529" t="s">
        <v>2452</v>
      </c>
      <c r="E103" s="508">
        <f t="shared" ca="1" si="115"/>
        <v>12.15</v>
      </c>
      <c r="F103" s="565">
        <v>2</v>
      </c>
      <c r="G103" s="594">
        <v>1.2999999999999999E-2</v>
      </c>
      <c r="H103" s="170">
        <f t="shared" ca="1" si="129"/>
        <v>3.1430041152263367E-2</v>
      </c>
      <c r="I103" s="508">
        <f t="shared" ca="1" si="130"/>
        <v>314</v>
      </c>
      <c r="J103" s="300"/>
      <c r="K103" s="512">
        <v>3</v>
      </c>
      <c r="L103" s="512" t="s">
        <v>2255</v>
      </c>
      <c r="M103" s="529" t="s">
        <v>2452</v>
      </c>
      <c r="N103" s="508">
        <f t="shared" ca="1" si="116"/>
        <v>12.15</v>
      </c>
      <c r="O103" s="565">
        <v>1</v>
      </c>
      <c r="P103" s="625">
        <v>1.2500000000000001E-2</v>
      </c>
      <c r="Q103" s="170">
        <f t="shared" ca="1" si="145"/>
        <v>4.8353909465020578E-2</v>
      </c>
      <c r="R103" s="508">
        <f t="shared" ca="1" si="146"/>
        <v>484</v>
      </c>
      <c r="T103" s="512">
        <v>3</v>
      </c>
      <c r="U103" s="512" t="s">
        <v>2255</v>
      </c>
      <c r="V103" s="529" t="s">
        <v>2452</v>
      </c>
      <c r="W103" s="508">
        <f t="shared" ca="1" si="119"/>
        <v>12.15</v>
      </c>
      <c r="X103" s="594">
        <v>1</v>
      </c>
      <c r="Y103" s="625">
        <v>1.2500000000000001E-2</v>
      </c>
      <c r="Z103" s="170">
        <f t="shared" ca="1" si="147"/>
        <v>4.8868312757201646E-2</v>
      </c>
      <c r="AA103" s="508">
        <f t="shared" ca="1" si="148"/>
        <v>489</v>
      </c>
      <c r="AC103" s="512">
        <v>3</v>
      </c>
      <c r="AD103" s="516" t="s">
        <v>2251</v>
      </c>
      <c r="AE103" s="529" t="s">
        <v>2452</v>
      </c>
      <c r="AF103" s="508">
        <f t="shared" ca="1" si="126"/>
        <v>12.15</v>
      </c>
      <c r="AG103" s="594">
        <v>1</v>
      </c>
      <c r="AH103" s="600">
        <v>8.0000000000000002E-3</v>
      </c>
      <c r="AI103" s="170">
        <f t="shared" ca="1" si="149"/>
        <v>4.2139917695473247E-2</v>
      </c>
      <c r="AJ103" s="508">
        <f t="shared" ca="1" si="150"/>
        <v>421</v>
      </c>
      <c r="AL103" s="512">
        <v>3</v>
      </c>
      <c r="AM103" s="516" t="s">
        <v>2247</v>
      </c>
      <c r="AN103" s="529" t="s">
        <v>2452</v>
      </c>
      <c r="AO103" s="508">
        <f t="shared" ca="1" si="136"/>
        <v>12.15</v>
      </c>
      <c r="AP103" s="600">
        <v>2</v>
      </c>
      <c r="AQ103" s="508">
        <v>0.01</v>
      </c>
      <c r="AR103" s="170">
        <f t="shared" ca="1" si="151"/>
        <v>3.9917695473251025E-2</v>
      </c>
      <c r="AS103" s="508">
        <f t="shared" ca="1" si="152"/>
        <v>399</v>
      </c>
      <c r="AU103" s="512">
        <v>3</v>
      </c>
      <c r="AV103" s="516" t="s">
        <v>2243</v>
      </c>
      <c r="AW103" s="529" t="s">
        <v>2452</v>
      </c>
      <c r="AX103" s="508">
        <f t="shared" ca="1" si="131"/>
        <v>12.15</v>
      </c>
      <c r="AY103" s="625">
        <v>1.5</v>
      </c>
      <c r="AZ103" s="625">
        <v>1.4999999999999999E-2</v>
      </c>
      <c r="BA103" s="170">
        <f t="shared" ca="1" si="139"/>
        <v>5.3497942386831275E-2</v>
      </c>
      <c r="BB103" s="508">
        <f t="shared" ca="1" si="140"/>
        <v>535</v>
      </c>
      <c r="BD103" s="512">
        <v>3</v>
      </c>
      <c r="BE103" s="516" t="s">
        <v>2243</v>
      </c>
      <c r="BF103" s="529" t="s">
        <v>2452</v>
      </c>
      <c r="BG103" s="508">
        <f t="shared" ca="1" si="132"/>
        <v>12.15</v>
      </c>
      <c r="BH103" s="632">
        <v>3.5</v>
      </c>
      <c r="BI103" s="600">
        <v>1.4999999999999999E-2</v>
      </c>
      <c r="BJ103" s="170">
        <f t="shared" ca="1" si="141"/>
        <v>5.2028218694885352E-2</v>
      </c>
      <c r="BK103" s="508">
        <f t="shared" ca="1" si="142"/>
        <v>520</v>
      </c>
      <c r="BM103" s="512">
        <v>3</v>
      </c>
      <c r="BN103" s="527" t="s">
        <v>2243</v>
      </c>
      <c r="BO103" s="530" t="s">
        <v>2200</v>
      </c>
      <c r="BP103" s="508">
        <f t="shared" ca="1" si="133"/>
        <v>12.15</v>
      </c>
      <c r="BQ103" s="632">
        <v>8</v>
      </c>
      <c r="BR103" s="600">
        <v>1.5900000000000001E-2</v>
      </c>
      <c r="BS103" s="170">
        <f t="shared" ca="1" si="143"/>
        <v>5.3981481481481478E-2</v>
      </c>
      <c r="BT103" s="523">
        <f t="shared" ca="1" si="144"/>
        <v>540</v>
      </c>
      <c r="BV103" s="293">
        <v>4</v>
      </c>
      <c r="BW103" s="527" t="s">
        <v>2248</v>
      </c>
      <c r="BX103" s="530" t="s">
        <v>2200</v>
      </c>
      <c r="BY103" s="523">
        <f t="shared" ca="1" si="156"/>
        <v>11.475</v>
      </c>
      <c r="BZ103" s="662">
        <v>4.5</v>
      </c>
      <c r="CA103" s="632">
        <v>2.9000000000000001E-2</v>
      </c>
      <c r="CB103" s="170">
        <f t="shared" ca="1" si="157"/>
        <v>2.8080367949649004E-2</v>
      </c>
      <c r="CC103" s="290">
        <f t="shared" ca="1" si="158"/>
        <v>281</v>
      </c>
      <c r="CE103" s="512">
        <v>6</v>
      </c>
      <c r="CF103" s="527" t="s">
        <v>627</v>
      </c>
      <c r="CG103" s="512" t="s">
        <v>1211</v>
      </c>
      <c r="CH103" s="523">
        <f t="shared" ca="1" si="153"/>
        <v>56.4</v>
      </c>
      <c r="CI103" s="523">
        <v>1</v>
      </c>
      <c r="CJ103" s="523">
        <v>6.6600000000000006E-2</v>
      </c>
      <c r="CK103" s="170">
        <f t="shared" ca="1" si="159"/>
        <v>5.9042553191489371E-2</v>
      </c>
      <c r="CL103" s="508">
        <f t="shared" ca="1" si="160"/>
        <v>590</v>
      </c>
      <c r="CN103" s="618">
        <v>6</v>
      </c>
      <c r="CO103" s="621" t="s">
        <v>2278</v>
      </c>
      <c r="CP103" s="616" t="s">
        <v>2200</v>
      </c>
      <c r="CQ103" s="617" t="e">
        <f>VLOOKUP(LEFT(CO103,2)&amp;CP103,道具价值!$B$28:$C$30,2,FALSE)</f>
        <v>#N/A</v>
      </c>
      <c r="CR103" s="618">
        <v>1</v>
      </c>
      <c r="CS103" s="617">
        <v>0.111</v>
      </c>
      <c r="CT103" s="170">
        <f t="shared" ref="CT103:CT110" si="161">CS103</f>
        <v>0.111</v>
      </c>
      <c r="CU103" s="617">
        <f>ROUND(CT103*10000,0)</f>
        <v>1110</v>
      </c>
    </row>
    <row r="104" spans="2:100" x14ac:dyDescent="0.35">
      <c r="B104" s="512">
        <v>3</v>
      </c>
      <c r="C104" s="512" t="s">
        <v>2257</v>
      </c>
      <c r="D104" s="529" t="s">
        <v>2452</v>
      </c>
      <c r="E104" s="508">
        <f t="shared" ca="1" si="115"/>
        <v>12.15</v>
      </c>
      <c r="F104" s="565">
        <v>2</v>
      </c>
      <c r="G104" s="594">
        <v>1.2999999999999999E-2</v>
      </c>
      <c r="H104" s="170">
        <f t="shared" ca="1" si="129"/>
        <v>3.1430041152263367E-2</v>
      </c>
      <c r="I104" s="508">
        <f t="shared" ca="1" si="130"/>
        <v>314</v>
      </c>
      <c r="J104" s="300"/>
      <c r="K104" s="512">
        <v>3</v>
      </c>
      <c r="L104" s="512" t="s">
        <v>2257</v>
      </c>
      <c r="M104" s="529" t="s">
        <v>2452</v>
      </c>
      <c r="N104" s="508">
        <f t="shared" ca="1" si="116"/>
        <v>12.15</v>
      </c>
      <c r="O104" s="565">
        <v>1</v>
      </c>
      <c r="P104" s="625">
        <v>1.2500000000000001E-2</v>
      </c>
      <c r="Q104" s="170">
        <f t="shared" ca="1" si="145"/>
        <v>4.8353909465020578E-2</v>
      </c>
      <c r="R104" s="508">
        <f t="shared" ca="1" si="146"/>
        <v>484</v>
      </c>
      <c r="T104" s="512">
        <v>3</v>
      </c>
      <c r="U104" s="512" t="s">
        <v>2257</v>
      </c>
      <c r="V104" s="529" t="s">
        <v>2452</v>
      </c>
      <c r="W104" s="508">
        <f t="shared" ca="1" si="119"/>
        <v>12.15</v>
      </c>
      <c r="X104" s="594">
        <v>1</v>
      </c>
      <c r="Y104" s="625">
        <v>1.2500000000000001E-2</v>
      </c>
      <c r="Z104" s="170">
        <f t="shared" ca="1" si="147"/>
        <v>4.8868312757201646E-2</v>
      </c>
      <c r="AA104" s="508">
        <f t="shared" ca="1" si="148"/>
        <v>489</v>
      </c>
      <c r="AC104" s="512">
        <v>3</v>
      </c>
      <c r="AD104" s="516" t="s">
        <v>2253</v>
      </c>
      <c r="AE104" s="529" t="s">
        <v>2452</v>
      </c>
      <c r="AF104" s="508">
        <f t="shared" ca="1" si="126"/>
        <v>12.15</v>
      </c>
      <c r="AG104" s="594">
        <v>1</v>
      </c>
      <c r="AH104" s="600">
        <v>8.0000000000000002E-3</v>
      </c>
      <c r="AI104" s="170">
        <f t="shared" ca="1" si="149"/>
        <v>4.2139917695473247E-2</v>
      </c>
      <c r="AJ104" s="508">
        <f t="shared" ca="1" si="150"/>
        <v>421</v>
      </c>
      <c r="AL104" s="512">
        <v>3</v>
      </c>
      <c r="AM104" s="516" t="s">
        <v>2249</v>
      </c>
      <c r="AN104" s="529" t="s">
        <v>2452</v>
      </c>
      <c r="AO104" s="508">
        <f t="shared" ca="1" si="136"/>
        <v>12.15</v>
      </c>
      <c r="AP104" s="600">
        <v>2</v>
      </c>
      <c r="AQ104" s="508">
        <v>0.01</v>
      </c>
      <c r="AR104" s="170">
        <f t="shared" ca="1" si="151"/>
        <v>3.9917695473251025E-2</v>
      </c>
      <c r="AS104" s="508">
        <f t="shared" ca="1" si="152"/>
        <v>399</v>
      </c>
      <c r="AU104" s="512">
        <v>3</v>
      </c>
      <c r="AV104" s="516" t="s">
        <v>2245</v>
      </c>
      <c r="AW104" s="529" t="s">
        <v>2452</v>
      </c>
      <c r="AX104" s="508">
        <f t="shared" ca="1" si="131"/>
        <v>12.15</v>
      </c>
      <c r="AY104" s="625">
        <v>1.5</v>
      </c>
      <c r="AZ104" s="625">
        <v>1.4999999999999999E-2</v>
      </c>
      <c r="BA104" s="170">
        <f t="shared" ca="1" si="139"/>
        <v>5.3497942386831275E-2</v>
      </c>
      <c r="BB104" s="508">
        <f t="shared" ca="1" si="140"/>
        <v>535</v>
      </c>
      <c r="BD104" s="512">
        <v>3</v>
      </c>
      <c r="BE104" s="516" t="s">
        <v>2245</v>
      </c>
      <c r="BF104" s="529" t="s">
        <v>2452</v>
      </c>
      <c r="BG104" s="508">
        <f t="shared" ca="1" si="132"/>
        <v>12.15</v>
      </c>
      <c r="BH104" s="632">
        <v>3.5</v>
      </c>
      <c r="BI104" s="600">
        <v>1.4999999999999999E-2</v>
      </c>
      <c r="BJ104" s="170">
        <f t="shared" ca="1" si="141"/>
        <v>5.2028218694885352E-2</v>
      </c>
      <c r="BK104" s="508">
        <f t="shared" ca="1" si="142"/>
        <v>520</v>
      </c>
      <c r="BM104" s="512">
        <v>3</v>
      </c>
      <c r="BN104" s="527" t="s">
        <v>2245</v>
      </c>
      <c r="BO104" s="530" t="s">
        <v>2200</v>
      </c>
      <c r="BP104" s="508">
        <f t="shared" ca="1" si="133"/>
        <v>12.15</v>
      </c>
      <c r="BQ104" s="632">
        <v>8</v>
      </c>
      <c r="BR104" s="600">
        <v>1.5900000000000001E-2</v>
      </c>
      <c r="BS104" s="170">
        <f t="shared" ca="1" si="143"/>
        <v>5.3981481481481478E-2</v>
      </c>
      <c r="BT104" s="523">
        <f t="shared" ca="1" si="144"/>
        <v>540</v>
      </c>
      <c r="BV104" s="293">
        <v>4</v>
      </c>
      <c r="BW104" s="527" t="s">
        <v>2250</v>
      </c>
      <c r="BX104" s="530" t="s">
        <v>2200</v>
      </c>
      <c r="BY104" s="523">
        <f t="shared" ca="1" si="156"/>
        <v>11.475</v>
      </c>
      <c r="BZ104" s="662">
        <v>4.5</v>
      </c>
      <c r="CA104" s="632">
        <v>2.9000000000000001E-2</v>
      </c>
      <c r="CB104" s="170">
        <f t="shared" ca="1" si="157"/>
        <v>2.8080367949649004E-2</v>
      </c>
      <c r="CC104" s="290">
        <f t="shared" ca="1" si="158"/>
        <v>281</v>
      </c>
      <c r="CE104" s="512">
        <v>6</v>
      </c>
      <c r="CF104" s="527" t="s">
        <v>628</v>
      </c>
      <c r="CG104" s="512" t="s">
        <v>1211</v>
      </c>
      <c r="CH104" s="523">
        <f t="shared" ca="1" si="153"/>
        <v>56.4</v>
      </c>
      <c r="CI104" s="523">
        <v>1</v>
      </c>
      <c r="CJ104" s="634">
        <v>6.6600000000000006E-2</v>
      </c>
      <c r="CK104" s="170">
        <f t="shared" ca="1" si="159"/>
        <v>5.9042553191489371E-2</v>
      </c>
      <c r="CL104" s="508">
        <f t="shared" ca="1" si="160"/>
        <v>590</v>
      </c>
      <c r="CN104" s="618">
        <v>6</v>
      </c>
      <c r="CO104" s="621" t="s">
        <v>2280</v>
      </c>
      <c r="CP104" s="616" t="s">
        <v>2200</v>
      </c>
      <c r="CQ104" s="617" t="e">
        <f>VLOOKUP(LEFT(CO104,2)&amp;CP104,道具价值!$B$28:$C$30,2,FALSE)</f>
        <v>#N/A</v>
      </c>
      <c r="CR104" s="618">
        <v>1</v>
      </c>
      <c r="CS104" s="617">
        <v>0.111</v>
      </c>
      <c r="CT104" s="170">
        <f t="shared" si="161"/>
        <v>0.111</v>
      </c>
      <c r="CU104" s="617">
        <f>ROUND(CT104*10000,0)</f>
        <v>1110</v>
      </c>
    </row>
    <row r="105" spans="2:100" x14ac:dyDescent="0.35">
      <c r="B105" s="512">
        <v>3</v>
      </c>
      <c r="C105" s="516" t="s">
        <v>2258</v>
      </c>
      <c r="D105" s="529" t="s">
        <v>2452</v>
      </c>
      <c r="E105" s="508" t="str">
        <f t="shared" ca="1" si="115"/>
        <v>T2部件</v>
      </c>
      <c r="F105" s="565">
        <v>2</v>
      </c>
      <c r="G105" s="594">
        <v>1.2999999999999999E-2</v>
      </c>
      <c r="H105" s="170" t="e">
        <f t="shared" ca="1" si="129"/>
        <v>#VALUE!</v>
      </c>
      <c r="I105" s="508" t="e">
        <f t="shared" ca="1" si="130"/>
        <v>#VALUE!</v>
      </c>
      <c r="J105" s="300"/>
      <c r="K105" s="512">
        <v>3</v>
      </c>
      <c r="L105" s="516" t="s">
        <v>2258</v>
      </c>
      <c r="M105" s="529" t="s">
        <v>2452</v>
      </c>
      <c r="N105" s="508" t="str">
        <f t="shared" ca="1" si="116"/>
        <v>T2部件</v>
      </c>
      <c r="O105" s="565">
        <v>1</v>
      </c>
      <c r="P105" s="594">
        <v>1.4E-2</v>
      </c>
      <c r="Q105" s="170" t="e">
        <f t="shared" ca="1" si="145"/>
        <v>#VALUE!</v>
      </c>
      <c r="R105" s="508" t="e">
        <f t="shared" ca="1" si="146"/>
        <v>#VALUE!</v>
      </c>
      <c r="T105" s="512">
        <v>3</v>
      </c>
      <c r="U105" s="516" t="s">
        <v>2258</v>
      </c>
      <c r="V105" s="529" t="s">
        <v>2452</v>
      </c>
      <c r="W105" s="508" t="str">
        <f t="shared" ca="1" si="119"/>
        <v>T2部件</v>
      </c>
      <c r="X105" s="594">
        <v>1</v>
      </c>
      <c r="Y105" s="594">
        <v>1.4E-2</v>
      </c>
      <c r="Z105" s="170" t="e">
        <f t="shared" ca="1" si="147"/>
        <v>#VALUE!</v>
      </c>
      <c r="AA105" s="508" t="e">
        <f t="shared" ca="1" si="148"/>
        <v>#VALUE!</v>
      </c>
      <c r="AC105" s="512">
        <v>3</v>
      </c>
      <c r="AD105" s="512" t="s">
        <v>2255</v>
      </c>
      <c r="AE105" s="529" t="s">
        <v>2452</v>
      </c>
      <c r="AF105" s="508">
        <f t="shared" ca="1" si="126"/>
        <v>12.15</v>
      </c>
      <c r="AG105" s="594">
        <v>1</v>
      </c>
      <c r="AH105" s="600">
        <v>8.0000000000000002E-3</v>
      </c>
      <c r="AI105" s="170">
        <f t="shared" ca="1" si="149"/>
        <v>4.2139917695473247E-2</v>
      </c>
      <c r="AJ105" s="508">
        <f t="shared" ca="1" si="150"/>
        <v>421</v>
      </c>
      <c r="AL105" s="512">
        <v>3</v>
      </c>
      <c r="AM105" s="516" t="s">
        <v>2251</v>
      </c>
      <c r="AN105" s="529" t="s">
        <v>2452</v>
      </c>
      <c r="AO105" s="508">
        <f t="shared" ca="1" si="136"/>
        <v>12.15</v>
      </c>
      <c r="AP105" s="600">
        <v>2</v>
      </c>
      <c r="AQ105" s="508">
        <v>0.01</v>
      </c>
      <c r="AR105" s="170">
        <f t="shared" ca="1" si="151"/>
        <v>3.9917695473251025E-2</v>
      </c>
      <c r="AS105" s="508">
        <f t="shared" ca="1" si="152"/>
        <v>399</v>
      </c>
      <c r="AU105" s="512">
        <v>3</v>
      </c>
      <c r="AV105" s="516" t="s">
        <v>2247</v>
      </c>
      <c r="AW105" s="529" t="s">
        <v>2452</v>
      </c>
      <c r="AX105" s="508">
        <f t="shared" ca="1" si="131"/>
        <v>12.15</v>
      </c>
      <c r="AY105" s="625">
        <v>1.5</v>
      </c>
      <c r="AZ105" s="625">
        <v>1.4999999999999999E-2</v>
      </c>
      <c r="BA105" s="170">
        <f t="shared" ca="1" si="139"/>
        <v>5.3497942386831275E-2</v>
      </c>
      <c r="BB105" s="508">
        <f t="shared" ca="1" si="140"/>
        <v>535</v>
      </c>
      <c r="BD105" s="512">
        <v>3</v>
      </c>
      <c r="BE105" s="516" t="s">
        <v>2247</v>
      </c>
      <c r="BF105" s="529" t="s">
        <v>2452</v>
      </c>
      <c r="BG105" s="508">
        <f t="shared" ca="1" si="132"/>
        <v>12.15</v>
      </c>
      <c r="BH105" s="632">
        <v>3.5</v>
      </c>
      <c r="BI105" s="600">
        <v>1.4999999999999999E-2</v>
      </c>
      <c r="BJ105" s="170">
        <f t="shared" ca="1" si="141"/>
        <v>5.2028218694885352E-2</v>
      </c>
      <c r="BK105" s="508">
        <f t="shared" ca="1" si="142"/>
        <v>520</v>
      </c>
      <c r="BM105" s="512">
        <v>3</v>
      </c>
      <c r="BN105" s="527" t="s">
        <v>2247</v>
      </c>
      <c r="BO105" s="530" t="s">
        <v>2200</v>
      </c>
      <c r="BP105" s="508">
        <f t="shared" ca="1" si="133"/>
        <v>12.15</v>
      </c>
      <c r="BQ105" s="632">
        <v>8</v>
      </c>
      <c r="BR105" s="600">
        <v>1.5900000000000001E-2</v>
      </c>
      <c r="BS105" s="170">
        <f t="shared" ca="1" si="143"/>
        <v>5.3981481481481478E-2</v>
      </c>
      <c r="BT105" s="523">
        <f t="shared" ca="1" si="144"/>
        <v>540</v>
      </c>
      <c r="BV105" s="293">
        <v>4</v>
      </c>
      <c r="BW105" s="527" t="s">
        <v>2252</v>
      </c>
      <c r="BX105" s="530" t="s">
        <v>2200</v>
      </c>
      <c r="BY105" s="523">
        <f t="shared" ca="1" si="156"/>
        <v>11.475</v>
      </c>
      <c r="BZ105" s="662">
        <v>4.5</v>
      </c>
      <c r="CA105" s="632">
        <v>2.9000000000000001E-2</v>
      </c>
      <c r="CB105" s="170">
        <f t="shared" ca="1" si="157"/>
        <v>2.8080367949649004E-2</v>
      </c>
      <c r="CC105" s="290">
        <f t="shared" ca="1" si="158"/>
        <v>281</v>
      </c>
      <c r="CE105" s="512">
        <v>6</v>
      </c>
      <c r="CF105" s="527" t="s">
        <v>619</v>
      </c>
      <c r="CG105" s="512" t="s">
        <v>1211</v>
      </c>
      <c r="CH105" s="523">
        <f t="shared" ca="1" si="153"/>
        <v>72</v>
      </c>
      <c r="CI105" s="523">
        <v>1</v>
      </c>
      <c r="CJ105" s="523">
        <v>5.6599999999999998E-2</v>
      </c>
      <c r="CK105" s="170">
        <f t="shared" ca="1" si="159"/>
        <v>3.9305555555555559E-2</v>
      </c>
      <c r="CL105" s="508">
        <f t="shared" ca="1" si="160"/>
        <v>393</v>
      </c>
      <c r="CN105" s="618">
        <v>6</v>
      </c>
      <c r="CO105" s="621" t="s">
        <v>2282</v>
      </c>
      <c r="CP105" s="616" t="s">
        <v>2200</v>
      </c>
      <c r="CQ105" s="617" t="e">
        <f>VLOOKUP(LEFT(CO105,2)&amp;CP105,道具价值!$B$28:$C$30,2,FALSE)</f>
        <v>#N/A</v>
      </c>
      <c r="CR105" s="618">
        <v>1</v>
      </c>
      <c r="CS105" s="617">
        <v>0.111</v>
      </c>
      <c r="CT105" s="170">
        <f t="shared" si="161"/>
        <v>0.111</v>
      </c>
      <c r="CU105" s="617">
        <f t="shared" ref="CU105:CU110" si="162">ROUND(CT105*10000,0)</f>
        <v>1110</v>
      </c>
    </row>
    <row r="106" spans="2:100" x14ac:dyDescent="0.35">
      <c r="B106" s="512">
        <v>3</v>
      </c>
      <c r="C106" s="516" t="s">
        <v>2260</v>
      </c>
      <c r="D106" s="529" t="s">
        <v>2452</v>
      </c>
      <c r="E106" s="508" t="str">
        <f t="shared" ca="1" si="115"/>
        <v>T2部件</v>
      </c>
      <c r="F106" s="508">
        <v>2</v>
      </c>
      <c r="G106" s="594">
        <v>1.2E-2</v>
      </c>
      <c r="H106" s="170" t="e">
        <f t="shared" ca="1" si="129"/>
        <v>#VALUE!</v>
      </c>
      <c r="I106" s="508" t="e">
        <f t="shared" ca="1" si="130"/>
        <v>#VALUE!</v>
      </c>
      <c r="J106" s="300"/>
      <c r="K106" s="512">
        <v>3</v>
      </c>
      <c r="L106" s="516" t="s">
        <v>2260</v>
      </c>
      <c r="M106" s="529" t="s">
        <v>2452</v>
      </c>
      <c r="N106" s="508" t="str">
        <f t="shared" ca="1" si="116"/>
        <v>T2部件</v>
      </c>
      <c r="O106" s="565">
        <v>1</v>
      </c>
      <c r="P106" s="594">
        <v>1.2999999999999999E-2</v>
      </c>
      <c r="Q106" s="170" t="e">
        <f t="shared" ca="1" si="145"/>
        <v>#VALUE!</v>
      </c>
      <c r="R106" s="508" t="e">
        <f t="shared" ca="1" si="146"/>
        <v>#VALUE!</v>
      </c>
      <c r="T106" s="512">
        <v>3</v>
      </c>
      <c r="U106" s="516" t="s">
        <v>2260</v>
      </c>
      <c r="V106" s="529" t="s">
        <v>2452</v>
      </c>
      <c r="W106" s="508" t="str">
        <f t="shared" ca="1" si="119"/>
        <v>T2部件</v>
      </c>
      <c r="X106" s="594">
        <v>1</v>
      </c>
      <c r="Y106" s="594">
        <v>1.2999999999999999E-2</v>
      </c>
      <c r="Z106" s="170" t="e">
        <f t="shared" ca="1" si="147"/>
        <v>#VALUE!</v>
      </c>
      <c r="AA106" s="508" t="e">
        <f t="shared" ca="1" si="148"/>
        <v>#VALUE!</v>
      </c>
      <c r="AC106" s="512">
        <v>3</v>
      </c>
      <c r="AD106" s="512" t="s">
        <v>2257</v>
      </c>
      <c r="AE106" s="529" t="s">
        <v>2452</v>
      </c>
      <c r="AF106" s="508">
        <f t="shared" ca="1" si="126"/>
        <v>12.15</v>
      </c>
      <c r="AG106" s="594">
        <v>1</v>
      </c>
      <c r="AH106" s="600">
        <v>8.0000000000000002E-3</v>
      </c>
      <c r="AI106" s="170">
        <f t="shared" ca="1" si="149"/>
        <v>4.2139917695473247E-2</v>
      </c>
      <c r="AJ106" s="508">
        <f t="shared" ca="1" si="150"/>
        <v>421</v>
      </c>
      <c r="AL106" s="512">
        <v>3</v>
      </c>
      <c r="AM106" s="516" t="s">
        <v>2253</v>
      </c>
      <c r="AN106" s="529" t="s">
        <v>2452</v>
      </c>
      <c r="AO106" s="508">
        <f t="shared" ca="1" si="136"/>
        <v>12.15</v>
      </c>
      <c r="AP106" s="600">
        <v>2</v>
      </c>
      <c r="AQ106" s="508">
        <v>0.01</v>
      </c>
      <c r="AR106" s="170">
        <f t="shared" ca="1" si="151"/>
        <v>3.9917695473251025E-2</v>
      </c>
      <c r="AS106" s="508">
        <f t="shared" ca="1" si="152"/>
        <v>399</v>
      </c>
      <c r="AU106" s="512">
        <v>3</v>
      </c>
      <c r="AV106" s="516" t="s">
        <v>2249</v>
      </c>
      <c r="AW106" s="529" t="s">
        <v>2452</v>
      </c>
      <c r="AX106" s="508">
        <f t="shared" ca="1" si="131"/>
        <v>12.15</v>
      </c>
      <c r="AY106" s="625">
        <v>1.5</v>
      </c>
      <c r="AZ106" s="625">
        <v>1.4999999999999999E-2</v>
      </c>
      <c r="BA106" s="170">
        <f t="shared" ca="1" si="139"/>
        <v>5.3497942386831275E-2</v>
      </c>
      <c r="BB106" s="508">
        <f t="shared" ca="1" si="140"/>
        <v>535</v>
      </c>
      <c r="BD106" s="512">
        <v>3</v>
      </c>
      <c r="BE106" s="516" t="s">
        <v>2249</v>
      </c>
      <c r="BF106" s="529" t="s">
        <v>2452</v>
      </c>
      <c r="BG106" s="508">
        <f t="shared" ca="1" si="132"/>
        <v>12.15</v>
      </c>
      <c r="BH106" s="632">
        <v>3.5</v>
      </c>
      <c r="BI106" s="600">
        <v>1.4999999999999999E-2</v>
      </c>
      <c r="BJ106" s="170">
        <f t="shared" ca="1" si="141"/>
        <v>5.2028218694885352E-2</v>
      </c>
      <c r="BK106" s="508">
        <f t="shared" ca="1" si="142"/>
        <v>520</v>
      </c>
      <c r="BM106" s="512">
        <v>3</v>
      </c>
      <c r="BN106" s="527" t="s">
        <v>2249</v>
      </c>
      <c r="BO106" s="530" t="s">
        <v>2200</v>
      </c>
      <c r="BP106" s="508">
        <f t="shared" ca="1" si="133"/>
        <v>12.15</v>
      </c>
      <c r="BQ106" s="632">
        <v>8</v>
      </c>
      <c r="BR106" s="600">
        <v>1.5900000000000001E-2</v>
      </c>
      <c r="BS106" s="170">
        <f t="shared" ca="1" si="143"/>
        <v>5.3981481481481478E-2</v>
      </c>
      <c r="BT106" s="523">
        <f t="shared" ca="1" si="144"/>
        <v>540</v>
      </c>
      <c r="BV106" s="293">
        <v>4</v>
      </c>
      <c r="BW106" s="525" t="s">
        <v>2254</v>
      </c>
      <c r="BX106" s="530" t="s">
        <v>2200</v>
      </c>
      <c r="BY106" s="523">
        <f t="shared" ca="1" si="156"/>
        <v>11.475</v>
      </c>
      <c r="BZ106" s="662">
        <v>4.5</v>
      </c>
      <c r="CA106" s="632">
        <v>2.9000000000000001E-2</v>
      </c>
      <c r="CB106" s="170">
        <f t="shared" ca="1" si="157"/>
        <v>2.8080367949649004E-2</v>
      </c>
      <c r="CC106" s="290">
        <f t="shared" ca="1" si="158"/>
        <v>281</v>
      </c>
      <c r="CE106" s="512">
        <v>6</v>
      </c>
      <c r="CF106" s="527" t="s">
        <v>718</v>
      </c>
      <c r="CG106" s="512" t="s">
        <v>1211</v>
      </c>
      <c r="CH106" s="523">
        <f t="shared" ca="1" si="153"/>
        <v>72</v>
      </c>
      <c r="CI106" s="523">
        <v>1</v>
      </c>
      <c r="CJ106" s="523">
        <v>5.6599999999999998E-2</v>
      </c>
      <c r="CK106" s="170">
        <f t="shared" ca="1" si="159"/>
        <v>3.9305555555555559E-2</v>
      </c>
      <c r="CL106" s="508">
        <f t="shared" ca="1" si="160"/>
        <v>393</v>
      </c>
      <c r="CN106" s="618">
        <v>6</v>
      </c>
      <c r="CO106" s="621" t="s">
        <v>2284</v>
      </c>
      <c r="CP106" s="616" t="s">
        <v>2200</v>
      </c>
      <c r="CQ106" s="617" t="e">
        <f>VLOOKUP(LEFT(CO106,2)&amp;CP106,道具价值!$B$28:$C$30,2,FALSE)</f>
        <v>#N/A</v>
      </c>
      <c r="CR106" s="618">
        <v>1</v>
      </c>
      <c r="CS106" s="617">
        <v>0.111</v>
      </c>
      <c r="CT106" s="170">
        <f t="shared" si="161"/>
        <v>0.111</v>
      </c>
      <c r="CU106" s="617">
        <f t="shared" si="162"/>
        <v>1110</v>
      </c>
    </row>
    <row r="107" spans="2:100" x14ac:dyDescent="0.35">
      <c r="B107" s="512">
        <v>3</v>
      </c>
      <c r="C107" s="516" t="s">
        <v>2262</v>
      </c>
      <c r="D107" s="529" t="s">
        <v>2452</v>
      </c>
      <c r="E107" s="508" t="str">
        <f t="shared" ca="1" si="115"/>
        <v>T2部件</v>
      </c>
      <c r="F107" s="508">
        <v>2</v>
      </c>
      <c r="G107" s="594">
        <v>1.2E-2</v>
      </c>
      <c r="H107" s="170" t="e">
        <f t="shared" ca="1" si="129"/>
        <v>#VALUE!</v>
      </c>
      <c r="I107" s="508" t="e">
        <f t="shared" ca="1" si="130"/>
        <v>#VALUE!</v>
      </c>
      <c r="J107" s="300"/>
      <c r="K107" s="512">
        <v>3</v>
      </c>
      <c r="L107" s="516" t="s">
        <v>2262</v>
      </c>
      <c r="M107" s="529" t="s">
        <v>2452</v>
      </c>
      <c r="N107" s="508" t="str">
        <f t="shared" ca="1" si="116"/>
        <v>T2部件</v>
      </c>
      <c r="O107" s="565">
        <v>1</v>
      </c>
      <c r="P107" s="625">
        <v>1.2999999999999999E-2</v>
      </c>
      <c r="Q107" s="170" t="e">
        <f t="shared" ca="1" si="145"/>
        <v>#VALUE!</v>
      </c>
      <c r="R107" s="508" t="e">
        <f t="shared" ca="1" si="146"/>
        <v>#VALUE!</v>
      </c>
      <c r="T107" s="512">
        <v>3</v>
      </c>
      <c r="U107" s="516" t="s">
        <v>2262</v>
      </c>
      <c r="V107" s="529" t="s">
        <v>2452</v>
      </c>
      <c r="W107" s="508" t="str">
        <f t="shared" ca="1" si="119"/>
        <v>T2部件</v>
      </c>
      <c r="X107" s="594">
        <v>1</v>
      </c>
      <c r="Y107" s="594">
        <v>1.2999999999999999E-2</v>
      </c>
      <c r="Z107" s="170" t="e">
        <f t="shared" ca="1" si="147"/>
        <v>#VALUE!</v>
      </c>
      <c r="AA107" s="508" t="e">
        <f t="shared" ca="1" si="148"/>
        <v>#VALUE!</v>
      </c>
      <c r="AC107" s="512">
        <v>3</v>
      </c>
      <c r="AD107" s="516" t="s">
        <v>2258</v>
      </c>
      <c r="AE107" s="529" t="s">
        <v>2452</v>
      </c>
      <c r="AF107" s="508" t="str">
        <f t="shared" ca="1" si="126"/>
        <v>T2部件</v>
      </c>
      <c r="AG107" s="508">
        <v>1</v>
      </c>
      <c r="AH107" s="508">
        <v>1.7999999999999999E-2</v>
      </c>
      <c r="AI107" s="170" t="e">
        <f t="shared" ca="1" si="149"/>
        <v>#VALUE!</v>
      </c>
      <c r="AJ107" s="508" t="e">
        <f t="shared" ca="1" si="150"/>
        <v>#VALUE!</v>
      </c>
      <c r="AL107" s="512">
        <v>3</v>
      </c>
      <c r="AM107" s="512" t="s">
        <v>2255</v>
      </c>
      <c r="AN107" s="529" t="s">
        <v>2452</v>
      </c>
      <c r="AO107" s="508">
        <f t="shared" ca="1" si="136"/>
        <v>12.15</v>
      </c>
      <c r="AP107" s="600">
        <v>2</v>
      </c>
      <c r="AQ107" s="508">
        <v>0.01</v>
      </c>
      <c r="AR107" s="170">
        <f t="shared" ca="1" si="151"/>
        <v>3.9917695473251025E-2</v>
      </c>
      <c r="AS107" s="508">
        <f t="shared" ca="1" si="152"/>
        <v>399</v>
      </c>
      <c r="AU107" s="512">
        <v>3</v>
      </c>
      <c r="AV107" s="516" t="s">
        <v>2251</v>
      </c>
      <c r="AW107" s="529" t="s">
        <v>2452</v>
      </c>
      <c r="AX107" s="508">
        <f t="shared" ca="1" si="131"/>
        <v>12.15</v>
      </c>
      <c r="AY107" s="625">
        <v>1.5</v>
      </c>
      <c r="AZ107" s="625">
        <v>1.4999999999999999E-2</v>
      </c>
      <c r="BA107" s="170">
        <f t="shared" ca="1" si="139"/>
        <v>5.3497942386831275E-2</v>
      </c>
      <c r="BB107" s="508">
        <f t="shared" ca="1" si="140"/>
        <v>535</v>
      </c>
      <c r="BD107" s="512">
        <v>3</v>
      </c>
      <c r="BE107" s="516" t="s">
        <v>2251</v>
      </c>
      <c r="BF107" s="529" t="s">
        <v>2452</v>
      </c>
      <c r="BG107" s="508">
        <f t="shared" ca="1" si="132"/>
        <v>12.15</v>
      </c>
      <c r="BH107" s="632">
        <v>3.5</v>
      </c>
      <c r="BI107" s="600">
        <v>1.4999999999999999E-2</v>
      </c>
      <c r="BJ107" s="170">
        <f t="shared" ca="1" si="141"/>
        <v>5.2028218694885352E-2</v>
      </c>
      <c r="BK107" s="508">
        <f t="shared" ca="1" si="142"/>
        <v>520</v>
      </c>
      <c r="BM107" s="512">
        <v>3</v>
      </c>
      <c r="BN107" s="527" t="s">
        <v>2251</v>
      </c>
      <c r="BO107" s="530" t="s">
        <v>2200</v>
      </c>
      <c r="BP107" s="508">
        <f t="shared" ca="1" si="133"/>
        <v>12.15</v>
      </c>
      <c r="BQ107" s="632">
        <v>8</v>
      </c>
      <c r="BR107" s="600">
        <v>1.5900000000000001E-2</v>
      </c>
      <c r="BS107" s="170">
        <f t="shared" ca="1" si="143"/>
        <v>5.3981481481481478E-2</v>
      </c>
      <c r="BT107" s="523">
        <f t="shared" ca="1" si="144"/>
        <v>540</v>
      </c>
      <c r="BV107" s="293">
        <v>4</v>
      </c>
      <c r="BW107" s="525" t="s">
        <v>2256</v>
      </c>
      <c r="BX107" s="530" t="s">
        <v>2200</v>
      </c>
      <c r="BY107" s="523">
        <f t="shared" ca="1" si="156"/>
        <v>11.475</v>
      </c>
      <c r="BZ107" s="662">
        <v>4.5</v>
      </c>
      <c r="CA107" s="632">
        <v>2.9000000000000001E-2</v>
      </c>
      <c r="CB107" s="170">
        <f t="shared" ca="1" si="157"/>
        <v>2.8080367949649004E-2</v>
      </c>
      <c r="CC107" s="290">
        <f t="shared" ca="1" si="158"/>
        <v>281</v>
      </c>
      <c r="CE107" s="512">
        <v>6</v>
      </c>
      <c r="CF107" s="527" t="s">
        <v>632</v>
      </c>
      <c r="CG107" s="512" t="s">
        <v>1211</v>
      </c>
      <c r="CH107" s="523">
        <f t="shared" ca="1" si="153"/>
        <v>72</v>
      </c>
      <c r="CI107" s="523">
        <v>1</v>
      </c>
      <c r="CJ107" s="523">
        <v>5.6599999999999998E-2</v>
      </c>
      <c r="CK107" s="170">
        <f t="shared" ca="1" si="159"/>
        <v>3.9305555555555559E-2</v>
      </c>
      <c r="CL107" s="508">
        <f t="shared" ca="1" si="160"/>
        <v>393</v>
      </c>
      <c r="CN107" s="618">
        <v>6</v>
      </c>
      <c r="CO107" s="621" t="s">
        <v>2286</v>
      </c>
      <c r="CP107" s="616" t="s">
        <v>2200</v>
      </c>
      <c r="CQ107" s="617" t="e">
        <f>VLOOKUP(LEFT(CO107,2)&amp;CP107,道具价值!$B$28:$C$30,2,FALSE)</f>
        <v>#N/A</v>
      </c>
      <c r="CR107" s="617">
        <v>1</v>
      </c>
      <c r="CS107" s="617">
        <v>0.111</v>
      </c>
      <c r="CT107" s="170">
        <f t="shared" si="161"/>
        <v>0.111</v>
      </c>
      <c r="CU107" s="617">
        <f t="shared" si="162"/>
        <v>1110</v>
      </c>
    </row>
    <row r="108" spans="2:100" x14ac:dyDescent="0.35">
      <c r="B108" s="512">
        <v>3</v>
      </c>
      <c r="C108" s="516" t="s">
        <v>2264</v>
      </c>
      <c r="D108" s="529" t="s">
        <v>2452</v>
      </c>
      <c r="E108" s="508" t="str">
        <f t="shared" ca="1" si="115"/>
        <v>T2部件</v>
      </c>
      <c r="F108" s="508">
        <v>2</v>
      </c>
      <c r="G108" s="594">
        <v>1.2E-2</v>
      </c>
      <c r="H108" s="170" t="e">
        <f t="shared" ca="1" si="129"/>
        <v>#VALUE!</v>
      </c>
      <c r="I108" s="508" t="e">
        <f t="shared" ca="1" si="130"/>
        <v>#VALUE!</v>
      </c>
      <c r="J108" s="300"/>
      <c r="K108" s="512">
        <v>3</v>
      </c>
      <c r="L108" s="516" t="s">
        <v>2264</v>
      </c>
      <c r="M108" s="529" t="s">
        <v>2452</v>
      </c>
      <c r="N108" s="508" t="str">
        <f t="shared" ca="1" si="116"/>
        <v>T2部件</v>
      </c>
      <c r="O108" s="565">
        <v>1</v>
      </c>
      <c r="P108" s="625">
        <v>1.2999999999999999E-2</v>
      </c>
      <c r="Q108" s="170" t="e">
        <f t="shared" ca="1" si="145"/>
        <v>#VALUE!</v>
      </c>
      <c r="R108" s="508" t="e">
        <f t="shared" ca="1" si="146"/>
        <v>#VALUE!</v>
      </c>
      <c r="T108" s="512">
        <v>3</v>
      </c>
      <c r="U108" s="516" t="s">
        <v>2264</v>
      </c>
      <c r="V108" s="529" t="s">
        <v>2452</v>
      </c>
      <c r="W108" s="508" t="str">
        <f t="shared" ca="1" si="119"/>
        <v>T2部件</v>
      </c>
      <c r="X108" s="594">
        <v>1</v>
      </c>
      <c r="Y108" s="594">
        <v>1.2999999999999999E-2</v>
      </c>
      <c r="Z108" s="170" t="e">
        <f t="shared" ca="1" si="147"/>
        <v>#VALUE!</v>
      </c>
      <c r="AA108" s="508" t="e">
        <f t="shared" ca="1" si="148"/>
        <v>#VALUE!</v>
      </c>
      <c r="AC108" s="512">
        <v>3</v>
      </c>
      <c r="AD108" s="516" t="s">
        <v>2260</v>
      </c>
      <c r="AE108" s="529" t="s">
        <v>2452</v>
      </c>
      <c r="AF108" s="508" t="str">
        <f t="shared" ca="1" si="126"/>
        <v>T2部件</v>
      </c>
      <c r="AG108" s="508">
        <v>1</v>
      </c>
      <c r="AH108" s="600">
        <v>1.7999999999999999E-2</v>
      </c>
      <c r="AI108" s="170" t="e">
        <f t="shared" ca="1" si="149"/>
        <v>#VALUE!</v>
      </c>
      <c r="AJ108" s="508" t="e">
        <f t="shared" ca="1" si="150"/>
        <v>#VALUE!</v>
      </c>
      <c r="AL108" s="512">
        <v>3</v>
      </c>
      <c r="AM108" s="512" t="s">
        <v>2257</v>
      </c>
      <c r="AN108" s="529" t="s">
        <v>2452</v>
      </c>
      <c r="AO108" s="508">
        <f t="shared" ca="1" si="136"/>
        <v>12.15</v>
      </c>
      <c r="AP108" s="600">
        <v>2</v>
      </c>
      <c r="AQ108" s="508">
        <v>0.01</v>
      </c>
      <c r="AR108" s="170">
        <f t="shared" ca="1" si="151"/>
        <v>3.9917695473251025E-2</v>
      </c>
      <c r="AS108" s="508">
        <f t="shared" ca="1" si="152"/>
        <v>399</v>
      </c>
      <c r="AU108" s="512">
        <v>3</v>
      </c>
      <c r="AV108" s="516" t="s">
        <v>2253</v>
      </c>
      <c r="AW108" s="529" t="s">
        <v>2452</v>
      </c>
      <c r="AX108" s="508">
        <f t="shared" ca="1" si="131"/>
        <v>12.15</v>
      </c>
      <c r="AY108" s="625">
        <v>1.5</v>
      </c>
      <c r="AZ108" s="625">
        <v>1.4999999999999999E-2</v>
      </c>
      <c r="BA108" s="170">
        <f t="shared" ca="1" si="139"/>
        <v>5.3497942386831275E-2</v>
      </c>
      <c r="BB108" s="508">
        <f t="shared" ca="1" si="140"/>
        <v>535</v>
      </c>
      <c r="BD108" s="512">
        <v>3</v>
      </c>
      <c r="BE108" s="516" t="s">
        <v>2253</v>
      </c>
      <c r="BF108" s="529" t="s">
        <v>2452</v>
      </c>
      <c r="BG108" s="508">
        <f t="shared" ca="1" si="132"/>
        <v>12.15</v>
      </c>
      <c r="BH108" s="632">
        <v>3.5</v>
      </c>
      <c r="BI108" s="600">
        <v>1.4999999999999999E-2</v>
      </c>
      <c r="BJ108" s="170">
        <f t="shared" ca="1" si="141"/>
        <v>5.2028218694885352E-2</v>
      </c>
      <c r="BK108" s="508">
        <f t="shared" ca="1" si="142"/>
        <v>520</v>
      </c>
      <c r="BM108" s="512">
        <v>3</v>
      </c>
      <c r="BN108" s="527" t="s">
        <v>2253</v>
      </c>
      <c r="BO108" s="530" t="s">
        <v>2200</v>
      </c>
      <c r="BP108" s="508">
        <f t="shared" ca="1" si="133"/>
        <v>12.15</v>
      </c>
      <c r="BQ108" s="632">
        <v>8</v>
      </c>
      <c r="BR108" s="600">
        <v>1.5900000000000001E-2</v>
      </c>
      <c r="BS108" s="170">
        <f t="shared" ca="1" si="143"/>
        <v>5.3981481481481478E-2</v>
      </c>
      <c r="BT108" s="523">
        <f t="shared" ca="1" si="144"/>
        <v>540</v>
      </c>
      <c r="BV108" s="293">
        <v>4</v>
      </c>
      <c r="BW108" s="527" t="s">
        <v>2241</v>
      </c>
      <c r="BX108" s="530" t="s">
        <v>2200</v>
      </c>
      <c r="BY108" s="523">
        <f t="shared" ca="1" si="156"/>
        <v>11.475</v>
      </c>
      <c r="BZ108" s="662">
        <v>4.5</v>
      </c>
      <c r="CA108" s="632">
        <v>2.9000000000000001E-2</v>
      </c>
      <c r="CB108" s="170">
        <f t="shared" ca="1" si="157"/>
        <v>2.8080367949649004E-2</v>
      </c>
      <c r="CC108" s="290">
        <f t="shared" ca="1" si="158"/>
        <v>281</v>
      </c>
      <c r="CN108" s="618">
        <v>6</v>
      </c>
      <c r="CO108" s="621" t="s">
        <v>2288</v>
      </c>
      <c r="CP108" s="616" t="s">
        <v>2200</v>
      </c>
      <c r="CQ108" s="617" t="e">
        <f>VLOOKUP(LEFT(CO108,2)&amp;CP108,道具价值!$B$28:$C$30,2,FALSE)</f>
        <v>#N/A</v>
      </c>
      <c r="CR108" s="618">
        <v>1</v>
      </c>
      <c r="CS108" s="617">
        <v>0.111</v>
      </c>
      <c r="CT108" s="170">
        <f t="shared" si="161"/>
        <v>0.111</v>
      </c>
      <c r="CU108" s="617">
        <f t="shared" si="162"/>
        <v>1110</v>
      </c>
    </row>
    <row r="109" spans="2:100" x14ac:dyDescent="0.35">
      <c r="B109" s="512">
        <v>3</v>
      </c>
      <c r="C109" s="516" t="s">
        <v>2266</v>
      </c>
      <c r="D109" s="529" t="s">
        <v>2452</v>
      </c>
      <c r="E109" s="508" t="str">
        <f t="shared" ca="1" si="115"/>
        <v>T2部件</v>
      </c>
      <c r="F109" s="508">
        <v>2</v>
      </c>
      <c r="G109" s="594">
        <v>1.2E-2</v>
      </c>
      <c r="H109" s="170" t="e">
        <f t="shared" ca="1" si="129"/>
        <v>#VALUE!</v>
      </c>
      <c r="I109" s="508" t="e">
        <f t="shared" ca="1" si="130"/>
        <v>#VALUE!</v>
      </c>
      <c r="J109" s="300"/>
      <c r="K109" s="512">
        <v>3</v>
      </c>
      <c r="L109" s="516" t="s">
        <v>2266</v>
      </c>
      <c r="M109" s="529" t="s">
        <v>2452</v>
      </c>
      <c r="N109" s="508" t="str">
        <f t="shared" ca="1" si="116"/>
        <v>T2部件</v>
      </c>
      <c r="O109" s="565">
        <v>1</v>
      </c>
      <c r="P109" s="625">
        <v>1.2999999999999999E-2</v>
      </c>
      <c r="Q109" s="170" t="e">
        <f t="shared" ca="1" si="145"/>
        <v>#VALUE!</v>
      </c>
      <c r="R109" s="508" t="e">
        <f t="shared" ca="1" si="146"/>
        <v>#VALUE!</v>
      </c>
      <c r="T109" s="512">
        <v>3</v>
      </c>
      <c r="U109" s="516" t="s">
        <v>2266</v>
      </c>
      <c r="V109" s="529" t="s">
        <v>2452</v>
      </c>
      <c r="W109" s="508" t="str">
        <f t="shared" ca="1" si="119"/>
        <v>T2部件</v>
      </c>
      <c r="X109" s="594">
        <v>1</v>
      </c>
      <c r="Y109" s="594">
        <v>1.2999999999999999E-2</v>
      </c>
      <c r="Z109" s="170" t="e">
        <f t="shared" ca="1" si="147"/>
        <v>#VALUE!</v>
      </c>
      <c r="AA109" s="508" t="e">
        <f t="shared" ca="1" si="148"/>
        <v>#VALUE!</v>
      </c>
      <c r="AC109" s="512">
        <v>3</v>
      </c>
      <c r="AD109" s="516" t="s">
        <v>2262</v>
      </c>
      <c r="AE109" s="529" t="s">
        <v>2452</v>
      </c>
      <c r="AF109" s="508" t="str">
        <f t="shared" ca="1" si="126"/>
        <v>T2部件</v>
      </c>
      <c r="AG109" s="508">
        <v>1</v>
      </c>
      <c r="AH109" s="600">
        <v>1.7999999999999999E-2</v>
      </c>
      <c r="AI109" s="170" t="e">
        <f t="shared" ca="1" si="149"/>
        <v>#VALUE!</v>
      </c>
      <c r="AJ109" s="508" t="e">
        <f t="shared" ca="1" si="150"/>
        <v>#VALUE!</v>
      </c>
      <c r="AL109" s="512">
        <v>3</v>
      </c>
      <c r="AM109" s="516" t="s">
        <v>2258</v>
      </c>
      <c r="AN109" s="529" t="s">
        <v>2452</v>
      </c>
      <c r="AO109" s="508" t="str">
        <f t="shared" ca="1" si="136"/>
        <v>T2部件</v>
      </c>
      <c r="AP109" s="508">
        <v>1</v>
      </c>
      <c r="AQ109" s="508">
        <v>1.4E-2</v>
      </c>
      <c r="AR109" s="170" t="e">
        <f t="shared" ca="1" si="151"/>
        <v>#VALUE!</v>
      </c>
      <c r="AS109" s="508" t="e">
        <f t="shared" ca="1" si="152"/>
        <v>#VALUE!</v>
      </c>
      <c r="AU109" s="512">
        <v>3</v>
      </c>
      <c r="AV109" s="512" t="s">
        <v>2255</v>
      </c>
      <c r="AW109" s="529" t="s">
        <v>2452</v>
      </c>
      <c r="AX109" s="508">
        <f t="shared" ca="1" si="131"/>
        <v>12.15</v>
      </c>
      <c r="AY109" s="625">
        <v>1.5</v>
      </c>
      <c r="AZ109" s="625">
        <v>1.4999999999999999E-2</v>
      </c>
      <c r="BA109" s="170">
        <f t="shared" ca="1" si="139"/>
        <v>5.3497942386831275E-2</v>
      </c>
      <c r="BB109" s="508">
        <f t="shared" ca="1" si="140"/>
        <v>535</v>
      </c>
      <c r="BD109" s="512">
        <v>3</v>
      </c>
      <c r="BE109" s="512" t="s">
        <v>2255</v>
      </c>
      <c r="BF109" s="529" t="s">
        <v>2452</v>
      </c>
      <c r="BG109" s="508">
        <f t="shared" ca="1" si="132"/>
        <v>12.15</v>
      </c>
      <c r="BH109" s="632">
        <v>3.5</v>
      </c>
      <c r="BI109" s="600">
        <v>1.4999999999999999E-2</v>
      </c>
      <c r="BJ109" s="170">
        <f t="shared" ca="1" si="141"/>
        <v>5.2028218694885352E-2</v>
      </c>
      <c r="BK109" s="508">
        <f t="shared" ca="1" si="142"/>
        <v>520</v>
      </c>
      <c r="BM109" s="512">
        <v>3</v>
      </c>
      <c r="BN109" s="525" t="s">
        <v>2255</v>
      </c>
      <c r="BO109" s="530" t="s">
        <v>2200</v>
      </c>
      <c r="BP109" s="508">
        <f t="shared" ca="1" si="133"/>
        <v>12.15</v>
      </c>
      <c r="BQ109" s="632">
        <v>8</v>
      </c>
      <c r="BR109" s="600">
        <v>1.5900000000000001E-2</v>
      </c>
      <c r="BS109" s="170">
        <f t="shared" ca="1" si="143"/>
        <v>5.3981481481481478E-2</v>
      </c>
      <c r="BT109" s="523">
        <f t="shared" ca="1" si="144"/>
        <v>540</v>
      </c>
      <c r="BV109" s="293">
        <v>4</v>
      </c>
      <c r="BW109" s="527" t="s">
        <v>2243</v>
      </c>
      <c r="BX109" s="530" t="s">
        <v>2200</v>
      </c>
      <c r="BY109" s="523">
        <f t="shared" ca="1" si="156"/>
        <v>11.475</v>
      </c>
      <c r="BZ109" s="662">
        <v>4.5</v>
      </c>
      <c r="CA109" s="632">
        <v>2.9000000000000001E-2</v>
      </c>
      <c r="CB109" s="170">
        <f t="shared" ca="1" si="157"/>
        <v>2.8080367949649004E-2</v>
      </c>
      <c r="CC109" s="290">
        <f t="shared" ca="1" si="158"/>
        <v>281</v>
      </c>
      <c r="CN109" s="618">
        <v>6</v>
      </c>
      <c r="CO109" s="618" t="s">
        <v>2290</v>
      </c>
      <c r="CP109" s="616" t="s">
        <v>2200</v>
      </c>
      <c r="CQ109" s="617" t="e">
        <f>VLOOKUP(LEFT(CO109,2)&amp;CP109,道具价值!$B$28:$C$30,2,FALSE)</f>
        <v>#N/A</v>
      </c>
      <c r="CR109" s="617">
        <v>1</v>
      </c>
      <c r="CS109" s="617">
        <v>0.111</v>
      </c>
      <c r="CT109" s="170">
        <f t="shared" si="161"/>
        <v>0.111</v>
      </c>
      <c r="CU109" s="617">
        <f t="shared" si="162"/>
        <v>1110</v>
      </c>
    </row>
    <row r="110" spans="2:100" x14ac:dyDescent="0.35">
      <c r="B110" s="512">
        <v>3</v>
      </c>
      <c r="C110" s="516" t="s">
        <v>2268</v>
      </c>
      <c r="D110" s="529" t="s">
        <v>2452</v>
      </c>
      <c r="E110" s="508" t="str">
        <f t="shared" ca="1" si="115"/>
        <v>T2部件</v>
      </c>
      <c r="F110" s="508">
        <v>2</v>
      </c>
      <c r="G110" s="594">
        <v>1.2E-2</v>
      </c>
      <c r="H110" s="170" t="e">
        <f t="shared" ca="1" si="129"/>
        <v>#VALUE!</v>
      </c>
      <c r="I110" s="508" t="e">
        <f t="shared" ca="1" si="130"/>
        <v>#VALUE!</v>
      </c>
      <c r="J110" s="300"/>
      <c r="K110" s="512">
        <v>3</v>
      </c>
      <c r="L110" s="516" t="s">
        <v>2268</v>
      </c>
      <c r="M110" s="529" t="s">
        <v>2452</v>
      </c>
      <c r="N110" s="508" t="str">
        <f t="shared" ca="1" si="116"/>
        <v>T2部件</v>
      </c>
      <c r="O110" s="565">
        <v>1</v>
      </c>
      <c r="P110" s="625">
        <v>1.2999999999999999E-2</v>
      </c>
      <c r="Q110" s="170" t="e">
        <f t="shared" ca="1" si="145"/>
        <v>#VALUE!</v>
      </c>
      <c r="R110" s="508" t="e">
        <f t="shared" ca="1" si="146"/>
        <v>#VALUE!</v>
      </c>
      <c r="T110" s="512">
        <v>3</v>
      </c>
      <c r="U110" s="516" t="s">
        <v>2268</v>
      </c>
      <c r="V110" s="529" t="s">
        <v>2452</v>
      </c>
      <c r="W110" s="508" t="str">
        <f t="shared" ca="1" si="119"/>
        <v>T2部件</v>
      </c>
      <c r="X110" s="594">
        <v>1</v>
      </c>
      <c r="Y110" s="594">
        <v>1.2999999999999999E-2</v>
      </c>
      <c r="Z110" s="170" t="e">
        <f t="shared" ca="1" si="147"/>
        <v>#VALUE!</v>
      </c>
      <c r="AA110" s="508" t="e">
        <f t="shared" ca="1" si="148"/>
        <v>#VALUE!</v>
      </c>
      <c r="AC110" s="512">
        <v>3</v>
      </c>
      <c r="AD110" s="516" t="s">
        <v>2264</v>
      </c>
      <c r="AE110" s="529" t="s">
        <v>2452</v>
      </c>
      <c r="AF110" s="508" t="str">
        <f t="shared" ca="1" si="126"/>
        <v>T2部件</v>
      </c>
      <c r="AG110" s="508">
        <v>1</v>
      </c>
      <c r="AH110" s="600">
        <v>1.7999999999999999E-2</v>
      </c>
      <c r="AI110" s="170" t="e">
        <f t="shared" ca="1" si="149"/>
        <v>#VALUE!</v>
      </c>
      <c r="AJ110" s="508" t="e">
        <f t="shared" ca="1" si="150"/>
        <v>#VALUE!</v>
      </c>
      <c r="AL110" s="512">
        <v>3</v>
      </c>
      <c r="AM110" s="516" t="s">
        <v>2260</v>
      </c>
      <c r="AN110" s="529" t="s">
        <v>2452</v>
      </c>
      <c r="AO110" s="508" t="str">
        <f t="shared" ca="1" si="136"/>
        <v>T2部件</v>
      </c>
      <c r="AP110" s="600">
        <v>1</v>
      </c>
      <c r="AQ110" s="600">
        <v>1.4E-2</v>
      </c>
      <c r="AR110" s="170" t="e">
        <f t="shared" ca="1" si="151"/>
        <v>#VALUE!</v>
      </c>
      <c r="AS110" s="508" t="e">
        <f t="shared" ca="1" si="152"/>
        <v>#VALUE!</v>
      </c>
      <c r="AU110" s="512">
        <v>3</v>
      </c>
      <c r="AV110" s="512" t="s">
        <v>2257</v>
      </c>
      <c r="AW110" s="529" t="s">
        <v>2452</v>
      </c>
      <c r="AX110" s="508">
        <f t="shared" ca="1" si="131"/>
        <v>12.15</v>
      </c>
      <c r="AY110" s="625">
        <v>1.5</v>
      </c>
      <c r="AZ110" s="625">
        <v>1.4999999999999999E-2</v>
      </c>
      <c r="BA110" s="170">
        <f t="shared" ca="1" si="139"/>
        <v>5.3497942386831275E-2</v>
      </c>
      <c r="BB110" s="508">
        <f t="shared" ca="1" si="140"/>
        <v>535</v>
      </c>
      <c r="BD110" s="512">
        <v>3</v>
      </c>
      <c r="BE110" s="512" t="s">
        <v>2257</v>
      </c>
      <c r="BF110" s="529" t="s">
        <v>2452</v>
      </c>
      <c r="BG110" s="508">
        <f t="shared" ca="1" si="132"/>
        <v>12.15</v>
      </c>
      <c r="BH110" s="632">
        <v>3.5</v>
      </c>
      <c r="BI110" s="600">
        <v>1.4999999999999999E-2</v>
      </c>
      <c r="BJ110" s="170">
        <f t="shared" ca="1" si="141"/>
        <v>5.2028218694885352E-2</v>
      </c>
      <c r="BK110" s="508">
        <f t="shared" ca="1" si="142"/>
        <v>520</v>
      </c>
      <c r="BM110" s="512">
        <v>3</v>
      </c>
      <c r="BN110" s="525" t="s">
        <v>2257</v>
      </c>
      <c r="BO110" s="530" t="s">
        <v>2200</v>
      </c>
      <c r="BP110" s="508">
        <f t="shared" ca="1" si="133"/>
        <v>12.15</v>
      </c>
      <c r="BQ110" s="632">
        <v>8</v>
      </c>
      <c r="BR110" s="600">
        <v>1.6E-2</v>
      </c>
      <c r="BS110" s="170">
        <f t="shared" ca="1" si="143"/>
        <v>5.4320987654320987E-2</v>
      </c>
      <c r="BT110" s="523">
        <f t="shared" ca="1" si="144"/>
        <v>543</v>
      </c>
      <c r="BV110" s="293">
        <v>4</v>
      </c>
      <c r="BW110" s="527" t="s">
        <v>2245</v>
      </c>
      <c r="BX110" s="530" t="s">
        <v>2200</v>
      </c>
      <c r="BY110" s="523">
        <f t="shared" ca="1" si="156"/>
        <v>11.475</v>
      </c>
      <c r="BZ110" s="662">
        <v>4.5</v>
      </c>
      <c r="CA110" s="632">
        <v>2.9000000000000001E-2</v>
      </c>
      <c r="CB110" s="170">
        <f t="shared" ca="1" si="157"/>
        <v>2.8080367949649004E-2</v>
      </c>
      <c r="CC110" s="290">
        <f t="shared" ca="1" si="158"/>
        <v>281</v>
      </c>
      <c r="CE110" s="512" t="s">
        <v>597</v>
      </c>
      <c r="CF110" s="512" t="s">
        <v>1225</v>
      </c>
      <c r="CG110" s="513" t="s">
        <v>917</v>
      </c>
      <c r="CH110" s="166" t="s">
        <v>920</v>
      </c>
      <c r="CI110" s="518" t="s">
        <v>967</v>
      </c>
      <c r="CJ110" s="166" t="s">
        <v>854</v>
      </c>
      <c r="CK110" s="166" t="s">
        <v>926</v>
      </c>
      <c r="CL110" s="514" t="s">
        <v>927</v>
      </c>
      <c r="CM110" s="300">
        <f ca="1">SUM(CL111:CL125)</f>
        <v>7618</v>
      </c>
      <c r="CN110" s="618">
        <v>6</v>
      </c>
      <c r="CO110" s="618" t="s">
        <v>2292</v>
      </c>
      <c r="CP110" s="616" t="s">
        <v>2200</v>
      </c>
      <c r="CQ110" s="617" t="e">
        <f>VLOOKUP(LEFT(CO110,2)&amp;CP110,道具价值!$B$28:$C$30,2,FALSE)</f>
        <v>#N/A</v>
      </c>
      <c r="CR110" s="618">
        <v>1</v>
      </c>
      <c r="CS110" s="617">
        <v>0.112</v>
      </c>
      <c r="CT110" s="170">
        <f t="shared" si="161"/>
        <v>0.112</v>
      </c>
      <c r="CU110" s="617">
        <f t="shared" si="162"/>
        <v>1120</v>
      </c>
    </row>
    <row r="111" spans="2:100" x14ac:dyDescent="0.35">
      <c r="B111" s="512">
        <v>3</v>
      </c>
      <c r="C111" s="516" t="s">
        <v>2270</v>
      </c>
      <c r="D111" s="529" t="s">
        <v>2452</v>
      </c>
      <c r="E111" s="508" t="str">
        <f t="shared" ca="1" si="115"/>
        <v>T2部件</v>
      </c>
      <c r="F111" s="508">
        <v>2</v>
      </c>
      <c r="G111" s="594">
        <v>1.2E-2</v>
      </c>
      <c r="H111" s="170" t="e">
        <f t="shared" ca="1" si="129"/>
        <v>#VALUE!</v>
      </c>
      <c r="I111" s="508" t="e">
        <f t="shared" ca="1" si="130"/>
        <v>#VALUE!</v>
      </c>
      <c r="J111" s="300"/>
      <c r="K111" s="512">
        <v>3</v>
      </c>
      <c r="L111" s="516" t="s">
        <v>2270</v>
      </c>
      <c r="M111" s="529" t="s">
        <v>2452</v>
      </c>
      <c r="N111" s="508" t="str">
        <f t="shared" ca="1" si="116"/>
        <v>T2部件</v>
      </c>
      <c r="O111" s="565">
        <v>1</v>
      </c>
      <c r="P111" s="625">
        <v>1.2999999999999999E-2</v>
      </c>
      <c r="Q111" s="170" t="e">
        <f t="shared" ca="1" si="145"/>
        <v>#VALUE!</v>
      </c>
      <c r="R111" s="508" t="e">
        <f t="shared" ca="1" si="146"/>
        <v>#VALUE!</v>
      </c>
      <c r="T111" s="512">
        <v>3</v>
      </c>
      <c r="U111" s="516" t="s">
        <v>2270</v>
      </c>
      <c r="V111" s="529" t="s">
        <v>2452</v>
      </c>
      <c r="W111" s="508" t="str">
        <f t="shared" ca="1" si="119"/>
        <v>T2部件</v>
      </c>
      <c r="X111" s="594">
        <v>1</v>
      </c>
      <c r="Y111" s="594">
        <v>1.2999999999999999E-2</v>
      </c>
      <c r="Z111" s="170" t="e">
        <f t="shared" ca="1" si="147"/>
        <v>#VALUE!</v>
      </c>
      <c r="AA111" s="508" t="e">
        <f t="shared" ca="1" si="148"/>
        <v>#VALUE!</v>
      </c>
      <c r="AC111" s="512">
        <v>3</v>
      </c>
      <c r="AD111" s="516" t="s">
        <v>2266</v>
      </c>
      <c r="AE111" s="529" t="s">
        <v>2452</v>
      </c>
      <c r="AF111" s="508" t="str">
        <f t="shared" ca="1" si="126"/>
        <v>T2部件</v>
      </c>
      <c r="AG111" s="508">
        <v>1</v>
      </c>
      <c r="AH111" s="600">
        <v>1.7999999999999999E-2</v>
      </c>
      <c r="AI111" s="170" t="e">
        <f t="shared" ca="1" si="149"/>
        <v>#VALUE!</v>
      </c>
      <c r="AJ111" s="508" t="e">
        <f t="shared" ca="1" si="150"/>
        <v>#VALUE!</v>
      </c>
      <c r="AL111" s="512">
        <v>3</v>
      </c>
      <c r="AM111" s="516" t="s">
        <v>2262</v>
      </c>
      <c r="AN111" s="529" t="s">
        <v>2452</v>
      </c>
      <c r="AO111" s="508" t="str">
        <f t="shared" ca="1" si="136"/>
        <v>T2部件</v>
      </c>
      <c r="AP111" s="600">
        <v>1</v>
      </c>
      <c r="AQ111" s="600">
        <v>1.4E-2</v>
      </c>
      <c r="AR111" s="170" t="e">
        <f t="shared" ca="1" si="151"/>
        <v>#VALUE!</v>
      </c>
      <c r="AS111" s="508" t="e">
        <f t="shared" ca="1" si="152"/>
        <v>#VALUE!</v>
      </c>
      <c r="AU111" s="512">
        <v>3</v>
      </c>
      <c r="AV111" s="516" t="s">
        <v>2258</v>
      </c>
      <c r="AW111" s="529" t="s">
        <v>2452</v>
      </c>
      <c r="AX111" s="508" t="str">
        <f t="shared" ca="1" si="131"/>
        <v>T2部件</v>
      </c>
      <c r="AY111" s="565">
        <v>1</v>
      </c>
      <c r="AZ111" s="508">
        <v>8.0000000000000002E-3</v>
      </c>
      <c r="BA111" s="170" t="e">
        <f t="shared" ca="1" si="139"/>
        <v>#VALUE!</v>
      </c>
      <c r="BB111" s="508" t="e">
        <f t="shared" ca="1" si="140"/>
        <v>#VALUE!</v>
      </c>
      <c r="BD111" s="512">
        <v>3</v>
      </c>
      <c r="BE111" s="516" t="s">
        <v>2258</v>
      </c>
      <c r="BF111" s="529" t="s">
        <v>2452</v>
      </c>
      <c r="BG111" s="508" t="str">
        <f t="shared" ca="1" si="132"/>
        <v>T2部件</v>
      </c>
      <c r="BH111" s="508">
        <v>1.5</v>
      </c>
      <c r="BI111" s="600">
        <v>7.0000000000000001E-3</v>
      </c>
      <c r="BJ111" s="170" t="e">
        <f ca="1">BI111*BE$4/BG111/BH111</f>
        <v>#VALUE!</v>
      </c>
      <c r="BK111" s="379" t="e">
        <f ca="1">ROUND(BJ111*10000,0)</f>
        <v>#VALUE!</v>
      </c>
      <c r="BM111" s="512">
        <v>3</v>
      </c>
      <c r="BN111" s="527" t="s">
        <v>2258</v>
      </c>
      <c r="BO111" s="530" t="s">
        <v>2200</v>
      </c>
      <c r="BP111" s="508" t="str">
        <f t="shared" ca="1" si="133"/>
        <v>T2部件</v>
      </c>
      <c r="BQ111" s="508">
        <v>4</v>
      </c>
      <c r="BR111" s="600">
        <v>8.9999999999999993E-3</v>
      </c>
      <c r="BS111" s="170" t="e">
        <f t="shared" ref="BS111:BS119" ca="1" si="163">BR111*BN$4/BP111/BQ111</f>
        <v>#VALUE!</v>
      </c>
      <c r="BT111" s="508" t="e">
        <f t="shared" ref="BT111:BT119" ca="1" si="164">ROUND(BS111*10000,0)</f>
        <v>#VALUE!</v>
      </c>
      <c r="BV111" s="293">
        <v>4</v>
      </c>
      <c r="BW111" s="527" t="s">
        <v>2247</v>
      </c>
      <c r="BX111" s="530" t="s">
        <v>2200</v>
      </c>
      <c r="BY111" s="523">
        <f t="shared" ca="1" si="156"/>
        <v>11.475</v>
      </c>
      <c r="BZ111" s="662">
        <v>4.5</v>
      </c>
      <c r="CA111" s="632">
        <v>2.9000000000000001E-2</v>
      </c>
      <c r="CB111" s="170">
        <f t="shared" ca="1" si="157"/>
        <v>2.8080367949649004E-2</v>
      </c>
      <c r="CC111" s="290">
        <f t="shared" ca="1" si="158"/>
        <v>281</v>
      </c>
      <c r="CE111" s="512">
        <v>7</v>
      </c>
      <c r="CF111" s="527" t="s">
        <v>615</v>
      </c>
      <c r="CG111" s="525" t="s">
        <v>1211</v>
      </c>
      <c r="CH111" s="523">
        <f t="shared" ref="CH111:CH125" ca="1" si="165">IF(CG111="部件",VLOOKUP(CE111,INDIRECT(CG111&amp;"价值"),MATCH(LEFT(CF111,2)&amp;"部件",INDIRECT(CG111&amp;"价值标头"),0),FALSE),IF(CG111="加速道具",VLOOKUP(CF111,INDIRECT(CG111&amp;"价值"),MATCH("价格",INDIRECT(CG111&amp;"价值标头"),0),FALSE),VLOOKUP(CE111,INDIRECT(CG111&amp;"价值"),MATCH(CF111,INDIRECT(CG111&amp;"价值标头"),0),FALSE)))</f>
        <v>38.4</v>
      </c>
      <c r="CI111" s="662">
        <v>2</v>
      </c>
      <c r="CJ111" s="523">
        <v>6.6699999999999995E-2</v>
      </c>
      <c r="CK111" s="170">
        <f t="shared" ref="CK111:CK125" ca="1" si="166">CJ111*CF$4/CH111/CI111</f>
        <v>4.3424479166666669E-2</v>
      </c>
      <c r="CL111" s="508">
        <f t="shared" ref="CL111:CL125" ca="1" si="167">ROUND(CK111*10000,0)</f>
        <v>434</v>
      </c>
    </row>
    <row r="112" spans="2:100" x14ac:dyDescent="0.35">
      <c r="B112" s="512">
        <v>3</v>
      </c>
      <c r="C112" s="512" t="s">
        <v>2272</v>
      </c>
      <c r="D112" s="529" t="s">
        <v>2452</v>
      </c>
      <c r="E112" s="508" t="str">
        <f t="shared" ca="1" si="115"/>
        <v>T2部件</v>
      </c>
      <c r="F112" s="508">
        <v>2</v>
      </c>
      <c r="G112" s="594">
        <v>1.2E-2</v>
      </c>
      <c r="H112" s="170" t="e">
        <f t="shared" ca="1" si="129"/>
        <v>#VALUE!</v>
      </c>
      <c r="I112" s="508" t="e">
        <f t="shared" ca="1" si="130"/>
        <v>#VALUE!</v>
      </c>
      <c r="J112" s="300"/>
      <c r="K112" s="512">
        <v>3</v>
      </c>
      <c r="L112" s="512" t="s">
        <v>2272</v>
      </c>
      <c r="M112" s="529" t="s">
        <v>2452</v>
      </c>
      <c r="N112" s="508" t="str">
        <f t="shared" ca="1" si="116"/>
        <v>T2部件</v>
      </c>
      <c r="O112" s="565">
        <v>1</v>
      </c>
      <c r="P112" s="625">
        <v>1.2999999999999999E-2</v>
      </c>
      <c r="Q112" s="170" t="e">
        <f t="shared" ca="1" si="145"/>
        <v>#VALUE!</v>
      </c>
      <c r="R112" s="508" t="e">
        <f t="shared" ca="1" si="146"/>
        <v>#VALUE!</v>
      </c>
      <c r="T112" s="512">
        <v>3</v>
      </c>
      <c r="U112" s="512" t="s">
        <v>2272</v>
      </c>
      <c r="V112" s="529" t="s">
        <v>2452</v>
      </c>
      <c r="W112" s="508" t="str">
        <f t="shared" ca="1" si="119"/>
        <v>T2部件</v>
      </c>
      <c r="X112" s="594">
        <v>1</v>
      </c>
      <c r="Y112" s="594">
        <v>1.2999999999999999E-2</v>
      </c>
      <c r="Z112" s="170" t="e">
        <f t="shared" ca="1" si="147"/>
        <v>#VALUE!</v>
      </c>
      <c r="AA112" s="508" t="e">
        <f t="shared" ca="1" si="148"/>
        <v>#VALUE!</v>
      </c>
      <c r="AC112" s="512">
        <v>3</v>
      </c>
      <c r="AD112" s="516" t="s">
        <v>2268</v>
      </c>
      <c r="AE112" s="529" t="s">
        <v>2452</v>
      </c>
      <c r="AF112" s="508" t="str">
        <f t="shared" ca="1" si="126"/>
        <v>T2部件</v>
      </c>
      <c r="AG112" s="508">
        <v>1</v>
      </c>
      <c r="AH112" s="600">
        <v>1.7999999999999999E-2</v>
      </c>
      <c r="AI112" s="170" t="e">
        <f t="shared" ca="1" si="149"/>
        <v>#VALUE!</v>
      </c>
      <c r="AJ112" s="508" t="e">
        <f t="shared" ca="1" si="150"/>
        <v>#VALUE!</v>
      </c>
      <c r="AL112" s="512">
        <v>3</v>
      </c>
      <c r="AM112" s="516" t="s">
        <v>2264</v>
      </c>
      <c r="AN112" s="529" t="s">
        <v>2452</v>
      </c>
      <c r="AO112" s="508" t="str">
        <f t="shared" ca="1" si="136"/>
        <v>T2部件</v>
      </c>
      <c r="AP112" s="600">
        <v>1</v>
      </c>
      <c r="AQ112" s="600">
        <v>1.4E-2</v>
      </c>
      <c r="AR112" s="170" t="e">
        <f t="shared" ca="1" si="151"/>
        <v>#VALUE!</v>
      </c>
      <c r="AS112" s="508" t="e">
        <f t="shared" ca="1" si="152"/>
        <v>#VALUE!</v>
      </c>
      <c r="AU112" s="512">
        <v>3</v>
      </c>
      <c r="AV112" s="516" t="s">
        <v>2260</v>
      </c>
      <c r="AW112" s="529" t="s">
        <v>2452</v>
      </c>
      <c r="AX112" s="508" t="str">
        <f t="shared" ca="1" si="131"/>
        <v>T2部件</v>
      </c>
      <c r="AY112" s="508">
        <v>1</v>
      </c>
      <c r="AZ112" s="615">
        <v>7.0000000000000001E-3</v>
      </c>
      <c r="BA112" s="170" t="e">
        <f t="shared" ca="1" si="139"/>
        <v>#VALUE!</v>
      </c>
      <c r="BB112" s="508" t="e">
        <f t="shared" ca="1" si="140"/>
        <v>#VALUE!</v>
      </c>
      <c r="BD112" s="512">
        <v>3</v>
      </c>
      <c r="BE112" s="516" t="s">
        <v>2260</v>
      </c>
      <c r="BF112" s="529" t="s">
        <v>2452</v>
      </c>
      <c r="BG112" s="508" t="str">
        <f t="shared" ca="1" si="132"/>
        <v>T2部件</v>
      </c>
      <c r="BH112" s="615">
        <v>1.5</v>
      </c>
      <c r="BI112" s="600">
        <v>7.0000000000000001E-3</v>
      </c>
      <c r="BJ112" s="170" t="e">
        <f t="shared" ref="BJ112:BJ119" ca="1" si="168">BI112*BE$4/BG112/BH112</f>
        <v>#VALUE!</v>
      </c>
      <c r="BK112" s="279" t="e">
        <f t="shared" ref="BK112:BK119" ca="1" si="169">ROUND(BJ112*10000,0)</f>
        <v>#VALUE!</v>
      </c>
      <c r="BM112" s="512">
        <v>3</v>
      </c>
      <c r="BN112" s="527" t="s">
        <v>2260</v>
      </c>
      <c r="BO112" s="530" t="s">
        <v>2200</v>
      </c>
      <c r="BP112" s="508" t="str">
        <f t="shared" ca="1" si="133"/>
        <v>T2部件</v>
      </c>
      <c r="BQ112" s="565">
        <v>4</v>
      </c>
      <c r="BR112" s="600">
        <v>8.9999999999999993E-3</v>
      </c>
      <c r="BS112" s="170" t="e">
        <f t="shared" ca="1" si="163"/>
        <v>#VALUE!</v>
      </c>
      <c r="BT112" s="508" t="e">
        <f t="shared" ca="1" si="164"/>
        <v>#VALUE!</v>
      </c>
      <c r="BV112" s="293">
        <v>4</v>
      </c>
      <c r="BW112" s="527" t="s">
        <v>2249</v>
      </c>
      <c r="BX112" s="530" t="s">
        <v>2200</v>
      </c>
      <c r="BY112" s="523">
        <f t="shared" ca="1" si="156"/>
        <v>11.475</v>
      </c>
      <c r="BZ112" s="662">
        <v>4.5</v>
      </c>
      <c r="CA112" s="632">
        <v>2.9000000000000001E-2</v>
      </c>
      <c r="CB112" s="170">
        <f t="shared" ca="1" si="157"/>
        <v>2.8080367949649004E-2</v>
      </c>
      <c r="CC112" s="290">
        <f t="shared" ca="1" si="158"/>
        <v>281</v>
      </c>
      <c r="CE112" s="512">
        <v>7</v>
      </c>
      <c r="CF112" s="527" t="s">
        <v>623</v>
      </c>
      <c r="CG112" s="525" t="s">
        <v>1211</v>
      </c>
      <c r="CH112" s="523">
        <f t="shared" ca="1" si="165"/>
        <v>38.4</v>
      </c>
      <c r="CI112" s="662">
        <v>2</v>
      </c>
      <c r="CJ112" s="523">
        <v>6.6699999999999995E-2</v>
      </c>
      <c r="CK112" s="170">
        <f t="shared" ca="1" si="166"/>
        <v>4.3424479166666669E-2</v>
      </c>
      <c r="CL112" s="508">
        <f t="shared" ca="1" si="167"/>
        <v>434</v>
      </c>
    </row>
    <row r="113" spans="2:100" x14ac:dyDescent="0.35">
      <c r="B113" s="512">
        <v>3</v>
      </c>
      <c r="C113" s="512" t="s">
        <v>2274</v>
      </c>
      <c r="D113" s="529" t="s">
        <v>2452</v>
      </c>
      <c r="E113" s="508" t="str">
        <f t="shared" ca="1" si="115"/>
        <v>T2部件</v>
      </c>
      <c r="F113" s="508">
        <v>2</v>
      </c>
      <c r="G113" s="594">
        <v>1.2E-2</v>
      </c>
      <c r="H113" s="170" t="e">
        <f t="shared" ca="1" si="129"/>
        <v>#VALUE!</v>
      </c>
      <c r="I113" s="508" t="e">
        <f t="shared" ca="1" si="130"/>
        <v>#VALUE!</v>
      </c>
      <c r="J113" s="300"/>
      <c r="K113" s="512">
        <v>3</v>
      </c>
      <c r="L113" s="512" t="s">
        <v>2274</v>
      </c>
      <c r="M113" s="529" t="s">
        <v>2452</v>
      </c>
      <c r="N113" s="508" t="str">
        <f t="shared" ca="1" si="116"/>
        <v>T2部件</v>
      </c>
      <c r="O113" s="565">
        <v>1</v>
      </c>
      <c r="P113" s="625">
        <v>1.2999999999999999E-2</v>
      </c>
      <c r="Q113" s="170" t="e">
        <f t="shared" ca="1" si="145"/>
        <v>#VALUE!</v>
      </c>
      <c r="R113" s="508" t="e">
        <f t="shared" ca="1" si="146"/>
        <v>#VALUE!</v>
      </c>
      <c r="T113" s="512">
        <v>3</v>
      </c>
      <c r="U113" s="512" t="s">
        <v>2274</v>
      </c>
      <c r="V113" s="529" t="s">
        <v>2452</v>
      </c>
      <c r="W113" s="508" t="str">
        <f t="shared" ca="1" si="119"/>
        <v>T2部件</v>
      </c>
      <c r="X113" s="594">
        <v>1</v>
      </c>
      <c r="Y113" s="594">
        <v>1.2999999999999999E-2</v>
      </c>
      <c r="Z113" s="170" t="e">
        <f t="shared" ca="1" si="147"/>
        <v>#VALUE!</v>
      </c>
      <c r="AA113" s="508" t="e">
        <f t="shared" ca="1" si="148"/>
        <v>#VALUE!</v>
      </c>
      <c r="AC113" s="512">
        <v>3</v>
      </c>
      <c r="AD113" s="516" t="s">
        <v>2270</v>
      </c>
      <c r="AE113" s="529" t="s">
        <v>2452</v>
      </c>
      <c r="AF113" s="508" t="str">
        <f t="shared" ca="1" si="126"/>
        <v>T2部件</v>
      </c>
      <c r="AG113" s="508">
        <v>1</v>
      </c>
      <c r="AH113" s="600">
        <v>1.7999999999999999E-2</v>
      </c>
      <c r="AI113" s="170" t="e">
        <f t="shared" ca="1" si="149"/>
        <v>#VALUE!</v>
      </c>
      <c r="AJ113" s="508" t="e">
        <f t="shared" ca="1" si="150"/>
        <v>#VALUE!</v>
      </c>
      <c r="AL113" s="512">
        <v>3</v>
      </c>
      <c r="AM113" s="516" t="s">
        <v>2266</v>
      </c>
      <c r="AN113" s="529" t="s">
        <v>2452</v>
      </c>
      <c r="AO113" s="508" t="str">
        <f t="shared" ca="1" si="136"/>
        <v>T2部件</v>
      </c>
      <c r="AP113" s="600">
        <v>1</v>
      </c>
      <c r="AQ113" s="600">
        <v>1.4E-2</v>
      </c>
      <c r="AR113" s="170" t="e">
        <f t="shared" ca="1" si="151"/>
        <v>#VALUE!</v>
      </c>
      <c r="AS113" s="508" t="e">
        <f t="shared" ca="1" si="152"/>
        <v>#VALUE!</v>
      </c>
      <c r="AU113" s="512">
        <v>3</v>
      </c>
      <c r="AV113" s="516" t="s">
        <v>2262</v>
      </c>
      <c r="AW113" s="529" t="s">
        <v>2452</v>
      </c>
      <c r="AX113" s="508" t="str">
        <f t="shared" ca="1" si="131"/>
        <v>T2部件</v>
      </c>
      <c r="AY113" s="615">
        <v>1</v>
      </c>
      <c r="AZ113" s="615">
        <v>7.0000000000000001E-3</v>
      </c>
      <c r="BA113" s="170" t="e">
        <f t="shared" ca="1" si="139"/>
        <v>#VALUE!</v>
      </c>
      <c r="BB113" s="508" t="e">
        <f t="shared" ca="1" si="140"/>
        <v>#VALUE!</v>
      </c>
      <c r="BD113" s="512">
        <v>3</v>
      </c>
      <c r="BE113" s="516" t="s">
        <v>2262</v>
      </c>
      <c r="BF113" s="529" t="s">
        <v>2452</v>
      </c>
      <c r="BG113" s="508" t="str">
        <f t="shared" ca="1" si="132"/>
        <v>T2部件</v>
      </c>
      <c r="BH113" s="615">
        <v>1.5</v>
      </c>
      <c r="BI113" s="600">
        <v>7.0000000000000001E-3</v>
      </c>
      <c r="BJ113" s="170" t="e">
        <f t="shared" ca="1" si="168"/>
        <v>#VALUE!</v>
      </c>
      <c r="BK113" s="279" t="e">
        <f t="shared" ca="1" si="169"/>
        <v>#VALUE!</v>
      </c>
      <c r="BM113" s="512">
        <v>3</v>
      </c>
      <c r="BN113" s="527" t="s">
        <v>2262</v>
      </c>
      <c r="BO113" s="530" t="s">
        <v>2200</v>
      </c>
      <c r="BP113" s="508" t="str">
        <f t="shared" ca="1" si="133"/>
        <v>T2部件</v>
      </c>
      <c r="BQ113" s="565">
        <v>4</v>
      </c>
      <c r="BR113" s="600">
        <v>8.9999999999999993E-3</v>
      </c>
      <c r="BS113" s="170" t="e">
        <f t="shared" ca="1" si="163"/>
        <v>#VALUE!</v>
      </c>
      <c r="BT113" s="508" t="e">
        <f t="shared" ca="1" si="164"/>
        <v>#VALUE!</v>
      </c>
      <c r="BV113" s="293">
        <v>4</v>
      </c>
      <c r="BW113" s="527" t="s">
        <v>2251</v>
      </c>
      <c r="BX113" s="530" t="s">
        <v>2200</v>
      </c>
      <c r="BY113" s="523">
        <f t="shared" ca="1" si="156"/>
        <v>11.475</v>
      </c>
      <c r="BZ113" s="662">
        <v>4.5</v>
      </c>
      <c r="CA113" s="632">
        <v>2.9000000000000001E-2</v>
      </c>
      <c r="CB113" s="170">
        <f t="shared" ca="1" si="157"/>
        <v>2.8080367949649004E-2</v>
      </c>
      <c r="CC113" s="290">
        <f t="shared" ca="1" si="158"/>
        <v>281</v>
      </c>
      <c r="CE113" s="512">
        <v>7</v>
      </c>
      <c r="CF113" s="527" t="s">
        <v>721</v>
      </c>
      <c r="CG113" s="525" t="s">
        <v>1211</v>
      </c>
      <c r="CH113" s="523">
        <f t="shared" ca="1" si="165"/>
        <v>38.4</v>
      </c>
      <c r="CI113" s="662">
        <v>2</v>
      </c>
      <c r="CJ113" s="523">
        <v>6.6699999999999995E-2</v>
      </c>
      <c r="CK113" s="170">
        <f t="shared" ca="1" si="166"/>
        <v>4.3424479166666669E-2</v>
      </c>
      <c r="CL113" s="508">
        <f t="shared" ca="1" si="167"/>
        <v>434</v>
      </c>
      <c r="CN113" s="618" t="s">
        <v>597</v>
      </c>
      <c r="CO113" s="618" t="s">
        <v>1225</v>
      </c>
      <c r="CP113" s="619" t="s">
        <v>917</v>
      </c>
      <c r="CQ113" s="166" t="s">
        <v>920</v>
      </c>
      <c r="CR113" s="622" t="s">
        <v>967</v>
      </c>
      <c r="CS113" s="166" t="s">
        <v>854</v>
      </c>
      <c r="CT113" s="166" t="s">
        <v>926</v>
      </c>
      <c r="CU113" s="620" t="s">
        <v>927</v>
      </c>
      <c r="CV113" s="300">
        <f>SUM(CU114:CU131)</f>
        <v>10000</v>
      </c>
    </row>
    <row r="114" spans="2:100" x14ac:dyDescent="0.35">
      <c r="AC114" s="512">
        <v>3</v>
      </c>
      <c r="AD114" s="512" t="s">
        <v>2272</v>
      </c>
      <c r="AE114" s="529" t="s">
        <v>2452</v>
      </c>
      <c r="AF114" s="508" t="str">
        <f t="shared" ca="1" si="126"/>
        <v>T2部件</v>
      </c>
      <c r="AG114" s="508">
        <v>1</v>
      </c>
      <c r="AH114" s="600">
        <v>1.7999999999999999E-2</v>
      </c>
      <c r="AI114" s="170" t="e">
        <f t="shared" ca="1" si="149"/>
        <v>#VALUE!</v>
      </c>
      <c r="AJ114" s="508" t="e">
        <f t="shared" ca="1" si="150"/>
        <v>#VALUE!</v>
      </c>
      <c r="AL114" s="512">
        <v>3</v>
      </c>
      <c r="AM114" s="516" t="s">
        <v>2268</v>
      </c>
      <c r="AN114" s="529" t="s">
        <v>2452</v>
      </c>
      <c r="AO114" s="508" t="str">
        <f t="shared" ca="1" si="136"/>
        <v>T2部件</v>
      </c>
      <c r="AP114" s="600">
        <v>1</v>
      </c>
      <c r="AQ114" s="600">
        <v>1.4E-2</v>
      </c>
      <c r="AR114" s="170" t="e">
        <f t="shared" ca="1" si="151"/>
        <v>#VALUE!</v>
      </c>
      <c r="AS114" s="508" t="e">
        <f t="shared" ca="1" si="152"/>
        <v>#VALUE!</v>
      </c>
      <c r="AU114" s="512">
        <v>3</v>
      </c>
      <c r="AV114" s="516" t="s">
        <v>2264</v>
      </c>
      <c r="AW114" s="529" t="s">
        <v>2452</v>
      </c>
      <c r="AX114" s="508" t="str">
        <f t="shared" ca="1" si="131"/>
        <v>T2部件</v>
      </c>
      <c r="AY114" s="615">
        <v>1</v>
      </c>
      <c r="AZ114" s="615">
        <v>7.0000000000000001E-3</v>
      </c>
      <c r="BA114" s="170" t="e">
        <f t="shared" ca="1" si="139"/>
        <v>#VALUE!</v>
      </c>
      <c r="BB114" s="508" t="e">
        <f t="shared" ca="1" si="140"/>
        <v>#VALUE!</v>
      </c>
      <c r="BD114" s="512">
        <v>3</v>
      </c>
      <c r="BE114" s="516" t="s">
        <v>2264</v>
      </c>
      <c r="BF114" s="529" t="s">
        <v>2452</v>
      </c>
      <c r="BG114" s="508" t="str">
        <f t="shared" ca="1" si="132"/>
        <v>T2部件</v>
      </c>
      <c r="BH114" s="615">
        <v>1.5</v>
      </c>
      <c r="BI114" s="600">
        <v>7.0000000000000001E-3</v>
      </c>
      <c r="BJ114" s="170" t="e">
        <f t="shared" ca="1" si="168"/>
        <v>#VALUE!</v>
      </c>
      <c r="BK114" s="279" t="e">
        <f t="shared" ca="1" si="169"/>
        <v>#VALUE!</v>
      </c>
      <c r="BM114" s="512">
        <v>3</v>
      </c>
      <c r="BN114" s="527" t="s">
        <v>2264</v>
      </c>
      <c r="BO114" s="530" t="s">
        <v>2200</v>
      </c>
      <c r="BP114" s="508" t="str">
        <f t="shared" ca="1" si="133"/>
        <v>T2部件</v>
      </c>
      <c r="BQ114" s="565">
        <v>4</v>
      </c>
      <c r="BR114" s="600">
        <v>8.9999999999999993E-3</v>
      </c>
      <c r="BS114" s="170" t="e">
        <f t="shared" ca="1" si="163"/>
        <v>#VALUE!</v>
      </c>
      <c r="BT114" s="508" t="e">
        <f t="shared" ca="1" si="164"/>
        <v>#VALUE!</v>
      </c>
      <c r="BV114" s="525">
        <v>4</v>
      </c>
      <c r="BW114" s="527" t="s">
        <v>2253</v>
      </c>
      <c r="BX114" s="530" t="s">
        <v>2200</v>
      </c>
      <c r="BY114" s="523">
        <f t="shared" ca="1" si="156"/>
        <v>11.475</v>
      </c>
      <c r="BZ114" s="662">
        <v>4.5</v>
      </c>
      <c r="CA114" s="632">
        <v>2.9000000000000001E-2</v>
      </c>
      <c r="CB114" s="170">
        <f t="shared" ref="CB114:CB134" ca="1" si="170">CA114*BW$4/BY114/BZ114</f>
        <v>2.8080367949649004E-2</v>
      </c>
      <c r="CC114" s="523">
        <f t="shared" ref="CC114:CC134" ca="1" si="171">ROUND(CB114*10000,0)</f>
        <v>281</v>
      </c>
      <c r="CE114" s="512">
        <v>7</v>
      </c>
      <c r="CF114" s="527" t="s">
        <v>616</v>
      </c>
      <c r="CG114" s="525" t="s">
        <v>1211</v>
      </c>
      <c r="CH114" s="523">
        <f t="shared" ca="1" si="165"/>
        <v>42</v>
      </c>
      <c r="CI114" s="662">
        <v>1.5</v>
      </c>
      <c r="CJ114" s="523">
        <v>6.4699999999999994E-2</v>
      </c>
      <c r="CK114" s="170">
        <f t="shared" ca="1" si="166"/>
        <v>5.1349206349206346E-2</v>
      </c>
      <c r="CL114" s="508">
        <f t="shared" ca="1" si="167"/>
        <v>513</v>
      </c>
      <c r="CN114" s="618">
        <v>7</v>
      </c>
      <c r="CO114" s="621" t="s">
        <v>2276</v>
      </c>
      <c r="CP114" s="616" t="s">
        <v>2200</v>
      </c>
      <c r="CQ114" s="617" t="e">
        <f>VLOOKUP(LEFT(CO114,2)&amp;CP114,道具价值!$B$28:$C$30,2,FALSE)</f>
        <v>#N/A</v>
      </c>
      <c r="CR114" s="618">
        <v>1</v>
      </c>
      <c r="CS114" s="617">
        <v>5.5E-2</v>
      </c>
      <c r="CT114" s="170">
        <f t="shared" ref="CT114:CT131" si="172">CS114</f>
        <v>5.5E-2</v>
      </c>
      <c r="CU114" s="617">
        <f t="shared" ref="CU114:CU131" si="173">ROUND(CT114*10000,0)</f>
        <v>550</v>
      </c>
    </row>
    <row r="115" spans="2:100" x14ac:dyDescent="0.35">
      <c r="AC115" s="512">
        <v>3</v>
      </c>
      <c r="AD115" s="512" t="s">
        <v>2274</v>
      </c>
      <c r="AE115" s="529" t="s">
        <v>2452</v>
      </c>
      <c r="AF115" s="508" t="str">
        <f t="shared" ca="1" si="126"/>
        <v>T2部件</v>
      </c>
      <c r="AG115" s="508">
        <v>1</v>
      </c>
      <c r="AH115" s="600">
        <v>1.7999999999999999E-2</v>
      </c>
      <c r="AI115" s="170" t="e">
        <f t="shared" ca="1" si="149"/>
        <v>#VALUE!</v>
      </c>
      <c r="AJ115" s="508" t="e">
        <f t="shared" ca="1" si="150"/>
        <v>#VALUE!</v>
      </c>
      <c r="AL115" s="512">
        <v>3</v>
      </c>
      <c r="AM115" s="516" t="s">
        <v>2270</v>
      </c>
      <c r="AN115" s="529" t="s">
        <v>2452</v>
      </c>
      <c r="AO115" s="508" t="str">
        <f t="shared" ca="1" si="136"/>
        <v>T2部件</v>
      </c>
      <c r="AP115" s="600">
        <v>1</v>
      </c>
      <c r="AQ115" s="600">
        <v>1.4E-2</v>
      </c>
      <c r="AR115" s="170" t="e">
        <f t="shared" ca="1" si="151"/>
        <v>#VALUE!</v>
      </c>
      <c r="AS115" s="508" t="e">
        <f t="shared" ca="1" si="152"/>
        <v>#VALUE!</v>
      </c>
      <c r="AU115" s="512">
        <v>3</v>
      </c>
      <c r="AV115" s="516" t="s">
        <v>2266</v>
      </c>
      <c r="AW115" s="529" t="s">
        <v>2452</v>
      </c>
      <c r="AX115" s="508" t="str">
        <f t="shared" ca="1" si="131"/>
        <v>T2部件</v>
      </c>
      <c r="AY115" s="615">
        <v>1</v>
      </c>
      <c r="AZ115" s="615">
        <v>7.0000000000000001E-3</v>
      </c>
      <c r="BA115" s="170" t="e">
        <f t="shared" ca="1" si="139"/>
        <v>#VALUE!</v>
      </c>
      <c r="BB115" s="508" t="e">
        <f t="shared" ca="1" si="140"/>
        <v>#VALUE!</v>
      </c>
      <c r="BD115" s="512">
        <v>3</v>
      </c>
      <c r="BE115" s="516" t="s">
        <v>2266</v>
      </c>
      <c r="BF115" s="529" t="s">
        <v>2452</v>
      </c>
      <c r="BG115" s="508" t="str">
        <f t="shared" ca="1" si="132"/>
        <v>T2部件</v>
      </c>
      <c r="BH115" s="615">
        <v>1.5</v>
      </c>
      <c r="BI115" s="600">
        <v>7.0000000000000001E-3</v>
      </c>
      <c r="BJ115" s="170" t="e">
        <f t="shared" ca="1" si="168"/>
        <v>#VALUE!</v>
      </c>
      <c r="BK115" s="279" t="e">
        <f t="shared" ca="1" si="169"/>
        <v>#VALUE!</v>
      </c>
      <c r="BM115" s="512">
        <v>3</v>
      </c>
      <c r="BN115" s="527" t="s">
        <v>2266</v>
      </c>
      <c r="BO115" s="530" t="s">
        <v>2200</v>
      </c>
      <c r="BP115" s="508" t="str">
        <f t="shared" ca="1" si="133"/>
        <v>T2部件</v>
      </c>
      <c r="BQ115" s="565">
        <v>4</v>
      </c>
      <c r="BR115" s="600">
        <v>8.9999999999999993E-3</v>
      </c>
      <c r="BS115" s="170" t="e">
        <f t="shared" ca="1" si="163"/>
        <v>#VALUE!</v>
      </c>
      <c r="BT115" s="508" t="e">
        <f t="shared" ca="1" si="164"/>
        <v>#VALUE!</v>
      </c>
      <c r="BV115" s="525">
        <v>4</v>
      </c>
      <c r="BW115" s="525" t="s">
        <v>2255</v>
      </c>
      <c r="BX115" s="530" t="s">
        <v>2200</v>
      </c>
      <c r="BY115" s="523">
        <f t="shared" ca="1" si="156"/>
        <v>11.475</v>
      </c>
      <c r="BZ115" s="662">
        <v>4.5</v>
      </c>
      <c r="CA115" s="632">
        <v>2.9000000000000001E-2</v>
      </c>
      <c r="CB115" s="170">
        <f t="shared" ca="1" si="170"/>
        <v>2.8080367949649004E-2</v>
      </c>
      <c r="CC115" s="523">
        <f t="shared" ca="1" si="171"/>
        <v>281</v>
      </c>
      <c r="CE115" s="512">
        <v>7</v>
      </c>
      <c r="CF115" s="527" t="s">
        <v>624</v>
      </c>
      <c r="CG115" s="525" t="s">
        <v>1211</v>
      </c>
      <c r="CH115" s="523">
        <f t="shared" ca="1" si="165"/>
        <v>42</v>
      </c>
      <c r="CI115" s="662">
        <v>1.5</v>
      </c>
      <c r="CJ115" s="634">
        <v>6.4699999999999994E-2</v>
      </c>
      <c r="CK115" s="170">
        <f t="shared" ca="1" si="166"/>
        <v>5.1349206349206346E-2</v>
      </c>
      <c r="CL115" s="508">
        <f t="shared" ca="1" si="167"/>
        <v>513</v>
      </c>
      <c r="CN115" s="618">
        <v>7</v>
      </c>
      <c r="CO115" s="621" t="s">
        <v>2278</v>
      </c>
      <c r="CP115" s="616" t="s">
        <v>2200</v>
      </c>
      <c r="CQ115" s="617" t="e">
        <f>VLOOKUP(LEFT(CO115,2)&amp;CP115,道具价值!$B$28:$C$30,2,FALSE)</f>
        <v>#N/A</v>
      </c>
      <c r="CR115" s="618">
        <v>1</v>
      </c>
      <c r="CS115" s="617">
        <v>5.5E-2</v>
      </c>
      <c r="CT115" s="170">
        <f t="shared" si="172"/>
        <v>5.5E-2</v>
      </c>
      <c r="CU115" s="617">
        <f t="shared" si="173"/>
        <v>550</v>
      </c>
    </row>
    <row r="116" spans="2:100" x14ac:dyDescent="0.35">
      <c r="B116" s="273" t="s">
        <v>1226</v>
      </c>
      <c r="C116" s="273" t="s">
        <v>1225</v>
      </c>
      <c r="D116" s="258" t="s">
        <v>917</v>
      </c>
      <c r="E116" s="166" t="s">
        <v>920</v>
      </c>
      <c r="F116" s="261" t="s">
        <v>967</v>
      </c>
      <c r="G116" s="166" t="s">
        <v>854</v>
      </c>
      <c r="H116" s="166" t="s">
        <v>926</v>
      </c>
      <c r="I116" s="259" t="s">
        <v>927</v>
      </c>
      <c r="J116" s="300" t="e">
        <f ca="1">SUM(I117:I158)</f>
        <v>#VALUE!</v>
      </c>
      <c r="K116" s="282" t="s">
        <v>814</v>
      </c>
      <c r="L116" s="282" t="s">
        <v>1225</v>
      </c>
      <c r="M116" s="280" t="s">
        <v>917</v>
      </c>
      <c r="N116" s="166" t="s">
        <v>920</v>
      </c>
      <c r="O116" s="285" t="s">
        <v>967</v>
      </c>
      <c r="P116" s="166" t="s">
        <v>854</v>
      </c>
      <c r="Q116" s="166" t="s">
        <v>926</v>
      </c>
      <c r="R116" s="281" t="s">
        <v>927</v>
      </c>
      <c r="S116" s="300" t="e">
        <f ca="1">SUM(R117:R158)</f>
        <v>#VALUE!</v>
      </c>
      <c r="T116" s="512" t="s">
        <v>597</v>
      </c>
      <c r="U116" s="512" t="s">
        <v>1225</v>
      </c>
      <c r="V116" s="513" t="s">
        <v>917</v>
      </c>
      <c r="W116" s="166" t="s">
        <v>920</v>
      </c>
      <c r="X116" s="518" t="s">
        <v>967</v>
      </c>
      <c r="Y116" s="166" t="s">
        <v>854</v>
      </c>
      <c r="Z116" s="166" t="s">
        <v>926</v>
      </c>
      <c r="AA116" s="281" t="s">
        <v>927</v>
      </c>
      <c r="AB116" s="300" t="e">
        <f ca="1">SUM(AA117:AA158)</f>
        <v>#VALUE!</v>
      </c>
      <c r="AC116" s="595">
        <v>3</v>
      </c>
      <c r="AD116" s="601" t="s">
        <v>2878</v>
      </c>
      <c r="AE116" s="601" t="s">
        <v>2879</v>
      </c>
      <c r="AF116" s="594">
        <f t="shared" ca="1" si="126"/>
        <v>35</v>
      </c>
      <c r="AG116" s="594">
        <v>1</v>
      </c>
      <c r="AH116" s="594">
        <v>1.7999999999999999E-2</v>
      </c>
      <c r="AI116" s="170">
        <f ca="1">AH116*AD$4/AF116/AG116</f>
        <v>3.2914285714285708E-2</v>
      </c>
      <c r="AJ116" s="594">
        <f ca="1">ROUND(AI116*10000,0)</f>
        <v>329</v>
      </c>
      <c r="AL116" s="512">
        <v>3</v>
      </c>
      <c r="AM116" s="512" t="s">
        <v>2272</v>
      </c>
      <c r="AN116" s="529" t="s">
        <v>2452</v>
      </c>
      <c r="AO116" s="508" t="str">
        <f t="shared" ca="1" si="136"/>
        <v>T2部件</v>
      </c>
      <c r="AP116" s="600">
        <v>1</v>
      </c>
      <c r="AQ116" s="600">
        <v>1.4E-2</v>
      </c>
      <c r="AR116" s="170" t="e">
        <f t="shared" ca="1" si="151"/>
        <v>#VALUE!</v>
      </c>
      <c r="AS116" s="508" t="e">
        <f t="shared" ca="1" si="152"/>
        <v>#VALUE!</v>
      </c>
      <c r="AU116" s="512">
        <v>3</v>
      </c>
      <c r="AV116" s="516" t="s">
        <v>2268</v>
      </c>
      <c r="AW116" s="529" t="s">
        <v>2452</v>
      </c>
      <c r="AX116" s="508" t="str">
        <f t="shared" ca="1" si="131"/>
        <v>T2部件</v>
      </c>
      <c r="AY116" s="615">
        <v>1</v>
      </c>
      <c r="AZ116" s="615">
        <v>7.0000000000000001E-3</v>
      </c>
      <c r="BA116" s="170" t="e">
        <f t="shared" ca="1" si="139"/>
        <v>#VALUE!</v>
      </c>
      <c r="BB116" s="508" t="e">
        <f t="shared" ca="1" si="140"/>
        <v>#VALUE!</v>
      </c>
      <c r="BD116" s="512">
        <v>3</v>
      </c>
      <c r="BE116" s="516" t="s">
        <v>2268</v>
      </c>
      <c r="BF116" s="529" t="s">
        <v>2452</v>
      </c>
      <c r="BG116" s="508" t="str">
        <f t="shared" ca="1" si="132"/>
        <v>T2部件</v>
      </c>
      <c r="BH116" s="615">
        <v>1.5</v>
      </c>
      <c r="BI116" s="600">
        <v>7.0000000000000001E-3</v>
      </c>
      <c r="BJ116" s="170" t="e">
        <f t="shared" ca="1" si="168"/>
        <v>#VALUE!</v>
      </c>
      <c r="BK116" s="279" t="e">
        <f t="shared" ca="1" si="169"/>
        <v>#VALUE!</v>
      </c>
      <c r="BM116" s="512">
        <v>3</v>
      </c>
      <c r="BN116" s="527" t="s">
        <v>2268</v>
      </c>
      <c r="BO116" s="530" t="s">
        <v>2200</v>
      </c>
      <c r="BP116" s="508" t="str">
        <f t="shared" ca="1" si="133"/>
        <v>T2部件</v>
      </c>
      <c r="BQ116" s="565">
        <v>4</v>
      </c>
      <c r="BR116" s="600">
        <v>8.9999999999999993E-3</v>
      </c>
      <c r="BS116" s="170" t="e">
        <f t="shared" ca="1" si="163"/>
        <v>#VALUE!</v>
      </c>
      <c r="BT116" s="508" t="e">
        <f t="shared" ca="1" si="164"/>
        <v>#VALUE!</v>
      </c>
      <c r="BV116" s="525">
        <v>4</v>
      </c>
      <c r="BW116" s="525" t="s">
        <v>2257</v>
      </c>
      <c r="BX116" s="530" t="s">
        <v>2200</v>
      </c>
      <c r="BY116" s="523">
        <f t="shared" ca="1" si="156"/>
        <v>11.475</v>
      </c>
      <c r="BZ116" s="662">
        <v>4.5</v>
      </c>
      <c r="CA116" s="632">
        <v>2.9000000000000001E-2</v>
      </c>
      <c r="CB116" s="170">
        <f t="shared" ca="1" si="170"/>
        <v>2.8080367949649004E-2</v>
      </c>
      <c r="CC116" s="523">
        <f t="shared" ca="1" si="171"/>
        <v>281</v>
      </c>
      <c r="CE116" s="512">
        <v>7</v>
      </c>
      <c r="CF116" s="527" t="s">
        <v>630</v>
      </c>
      <c r="CG116" s="525" t="s">
        <v>1211</v>
      </c>
      <c r="CH116" s="523">
        <f t="shared" ca="1" si="165"/>
        <v>42</v>
      </c>
      <c r="CI116" s="662">
        <v>1.5</v>
      </c>
      <c r="CJ116" s="634">
        <v>6.4699999999999994E-2</v>
      </c>
      <c r="CK116" s="170">
        <f t="shared" ca="1" si="166"/>
        <v>5.1349206349206346E-2</v>
      </c>
      <c r="CL116" s="508">
        <f t="shared" ca="1" si="167"/>
        <v>513</v>
      </c>
      <c r="CN116" s="618">
        <v>7</v>
      </c>
      <c r="CO116" s="621" t="s">
        <v>2280</v>
      </c>
      <c r="CP116" s="616" t="s">
        <v>2200</v>
      </c>
      <c r="CQ116" s="617" t="e">
        <f>VLOOKUP(LEFT(CO116,2)&amp;CP116,道具价值!$B$28:$C$30,2,FALSE)</f>
        <v>#N/A</v>
      </c>
      <c r="CR116" s="618">
        <v>1</v>
      </c>
      <c r="CS116" s="617">
        <v>5.5E-2</v>
      </c>
      <c r="CT116" s="170">
        <f t="shared" si="172"/>
        <v>5.5E-2</v>
      </c>
      <c r="CU116" s="617">
        <f t="shared" si="173"/>
        <v>550</v>
      </c>
    </row>
    <row r="117" spans="2:100" x14ac:dyDescent="0.35">
      <c r="B117" s="273">
        <v>4</v>
      </c>
      <c r="C117" s="260" t="s">
        <v>616</v>
      </c>
      <c r="D117" s="273" t="s">
        <v>1235</v>
      </c>
      <c r="E117" s="508">
        <f t="shared" ref="E117:E158" ca="1" si="174">IF(D117="部件",VLOOKUP(B117,INDIRECT(D117&amp;"价值"),MATCH(LEFT(C117,2)&amp;"部件",INDIRECT(D117&amp;"价值标头"),0),FALSE),IF(D117="加速道具",VLOOKUP(C117,INDIRECT(D117&amp;"价值"),MATCH("价格",INDIRECT(D117&amp;"价值标头"),0),FALSE),VLOOKUP(B117,INDIRECT(D117&amp;"价值"),MATCH(C117,INDIRECT(D117&amp;"价值标头"),0),FALSE)))</f>
        <v>52.8</v>
      </c>
      <c r="F117" s="359">
        <v>5</v>
      </c>
      <c r="G117" s="408">
        <f>宝箱设定!$X101</f>
        <v>0.13869999999999999</v>
      </c>
      <c r="H117" s="170">
        <f t="shared" ref="H117:H158" ca="1" si="175">G117*$C$4/E117/F117</f>
        <v>3.0866003787878786E-2</v>
      </c>
      <c r="I117" s="256">
        <f t="shared" ref="I117:I158" ca="1" si="176">ROUND(H117*10000,0)</f>
        <v>309</v>
      </c>
      <c r="K117" s="282">
        <v>4</v>
      </c>
      <c r="L117" s="283" t="s">
        <v>616</v>
      </c>
      <c r="M117" s="282" t="s">
        <v>1235</v>
      </c>
      <c r="N117" s="508">
        <f t="shared" ref="N117:N158" ca="1" si="177">IF(M117="部件",VLOOKUP(K117,INDIRECT(M117&amp;"价值"),MATCH(LEFT(L117,2)&amp;"部件",INDIRECT(M117&amp;"价值标头"),0),FALSE),IF(M117="加速道具",VLOOKUP(L117,INDIRECT(M117&amp;"价值"),MATCH("价格",INDIRECT(M117&amp;"价值标头"),0),FALSE),VLOOKUP(K117,INDIRECT(M117&amp;"价值"),MATCH(L117,INDIRECT(M117&amp;"价值标头"),0),FALSE)))</f>
        <v>52.8</v>
      </c>
      <c r="O117" s="565">
        <v>2.5</v>
      </c>
      <c r="P117" s="508">
        <f>宝箱设定!$X101</f>
        <v>0.13869999999999999</v>
      </c>
      <c r="Q117" s="170">
        <f t="shared" ref="Q117:Q122" ca="1" si="178">P117*L$4/N117/O117</f>
        <v>4.938560606060606E-2</v>
      </c>
      <c r="R117" s="279">
        <f t="shared" ref="R117:R122" ca="1" si="179">ROUND(Q117*10000,0)</f>
        <v>494</v>
      </c>
      <c r="T117" s="512">
        <v>4</v>
      </c>
      <c r="U117" s="516" t="s">
        <v>616</v>
      </c>
      <c r="V117" s="512" t="s">
        <v>1211</v>
      </c>
      <c r="W117" s="508">
        <f t="shared" ref="W117:W158" ca="1" si="180">IF(V117="部件",VLOOKUP(T117,INDIRECT(V117&amp;"价值"),MATCH(LEFT(U117,2)&amp;"部件",INDIRECT(V117&amp;"价值标头"),0),FALSE),IF(V117="加速道具",VLOOKUP(U117,INDIRECT(V117&amp;"价值"),MATCH("价格",INDIRECT(V117&amp;"价值标头"),0),FALSE),VLOOKUP(T117,INDIRECT(V117&amp;"价值"),MATCH(U117,INDIRECT(V117&amp;"价值标头"),0),FALSE)))</f>
        <v>52.8</v>
      </c>
      <c r="X117" s="594">
        <v>2.5</v>
      </c>
      <c r="Y117" s="508">
        <f>宝箱设定!$X101</f>
        <v>0.13869999999999999</v>
      </c>
      <c r="Z117" s="170">
        <f t="shared" ref="Z117:Z122" ca="1" si="181">Y117*U$4/W117/X117</f>
        <v>4.9910984848484843E-2</v>
      </c>
      <c r="AA117" s="279">
        <f t="shared" ref="AA117:AA122" ca="1" si="182">ROUND(Z117*10000,0)</f>
        <v>499</v>
      </c>
      <c r="AC117" s="595">
        <v>3</v>
      </c>
      <c r="AD117" s="601" t="s">
        <v>2880</v>
      </c>
      <c r="AE117" s="601" t="s">
        <v>2879</v>
      </c>
      <c r="AF117" s="594">
        <f t="shared" ca="1" si="126"/>
        <v>60</v>
      </c>
      <c r="AG117" s="594">
        <v>1</v>
      </c>
      <c r="AH117" s="594">
        <v>1.9E-2</v>
      </c>
      <c r="AI117" s="170">
        <f ca="1">AH117*AD$4/AF117/AG117</f>
        <v>2.0266666666666665E-2</v>
      </c>
      <c r="AJ117" s="594">
        <f ca="1">ROUND(AI117*10000,0)</f>
        <v>203</v>
      </c>
      <c r="AL117" s="512">
        <v>3</v>
      </c>
      <c r="AM117" s="512" t="s">
        <v>2274</v>
      </c>
      <c r="AN117" s="529" t="s">
        <v>2452</v>
      </c>
      <c r="AO117" s="508" t="str">
        <f t="shared" ca="1" si="136"/>
        <v>T2部件</v>
      </c>
      <c r="AP117" s="600">
        <v>1</v>
      </c>
      <c r="AQ117" s="600">
        <v>1.4E-2</v>
      </c>
      <c r="AR117" s="170" t="e">
        <f t="shared" ca="1" si="151"/>
        <v>#VALUE!</v>
      </c>
      <c r="AS117" s="508" t="e">
        <f t="shared" ca="1" si="152"/>
        <v>#VALUE!</v>
      </c>
      <c r="AU117" s="512">
        <v>3</v>
      </c>
      <c r="AV117" s="516" t="s">
        <v>2270</v>
      </c>
      <c r="AW117" s="529" t="s">
        <v>2452</v>
      </c>
      <c r="AX117" s="508" t="str">
        <f t="shared" ca="1" si="131"/>
        <v>T2部件</v>
      </c>
      <c r="AY117" s="615">
        <v>1</v>
      </c>
      <c r="AZ117" s="615">
        <v>7.0000000000000001E-3</v>
      </c>
      <c r="BA117" s="170" t="e">
        <f t="shared" ca="1" si="139"/>
        <v>#VALUE!</v>
      </c>
      <c r="BB117" s="508" t="e">
        <f t="shared" ca="1" si="140"/>
        <v>#VALUE!</v>
      </c>
      <c r="BD117" s="512">
        <v>3</v>
      </c>
      <c r="BE117" s="516" t="s">
        <v>2270</v>
      </c>
      <c r="BF117" s="529" t="s">
        <v>2452</v>
      </c>
      <c r="BG117" s="508" t="str">
        <f t="shared" ca="1" si="132"/>
        <v>T2部件</v>
      </c>
      <c r="BH117" s="615">
        <v>1.5</v>
      </c>
      <c r="BI117" s="600">
        <v>7.0000000000000001E-3</v>
      </c>
      <c r="BJ117" s="170" t="e">
        <f t="shared" ca="1" si="168"/>
        <v>#VALUE!</v>
      </c>
      <c r="BK117" s="279" t="e">
        <f t="shared" ca="1" si="169"/>
        <v>#VALUE!</v>
      </c>
      <c r="BM117" s="512">
        <v>3</v>
      </c>
      <c r="BN117" s="527" t="s">
        <v>2270</v>
      </c>
      <c r="BO117" s="530" t="s">
        <v>2200</v>
      </c>
      <c r="BP117" s="508" t="str">
        <f t="shared" ca="1" si="133"/>
        <v>T2部件</v>
      </c>
      <c r="BQ117" s="565">
        <v>4</v>
      </c>
      <c r="BR117" s="600">
        <v>8.9999999999999993E-3</v>
      </c>
      <c r="BS117" s="170" t="e">
        <f t="shared" ca="1" si="163"/>
        <v>#VALUE!</v>
      </c>
      <c r="BT117" s="508" t="e">
        <f t="shared" ca="1" si="164"/>
        <v>#VALUE!</v>
      </c>
      <c r="BV117" s="525">
        <v>4</v>
      </c>
      <c r="BW117" s="527" t="s">
        <v>2258</v>
      </c>
      <c r="BX117" s="530" t="s">
        <v>2200</v>
      </c>
      <c r="BY117" s="523" t="str">
        <f t="shared" ca="1" si="156"/>
        <v>T2部件</v>
      </c>
      <c r="BZ117" s="523">
        <v>2</v>
      </c>
      <c r="CA117" s="523">
        <v>2.6599999999999999E-2</v>
      </c>
      <c r="CB117" s="170" t="e">
        <f t="shared" ca="1" si="170"/>
        <v>#VALUE!</v>
      </c>
      <c r="CC117" s="523" t="e">
        <f t="shared" ca="1" si="171"/>
        <v>#VALUE!</v>
      </c>
      <c r="CE117" s="512">
        <v>7</v>
      </c>
      <c r="CF117" s="527" t="s">
        <v>617</v>
      </c>
      <c r="CG117" s="525" t="s">
        <v>1211</v>
      </c>
      <c r="CH117" s="523">
        <f t="shared" ca="1" si="165"/>
        <v>71.399999999999991</v>
      </c>
      <c r="CI117" s="662">
        <v>1</v>
      </c>
      <c r="CJ117" s="523">
        <v>7.8700000000000006E-2</v>
      </c>
      <c r="CK117" s="170">
        <f t="shared" ca="1" si="166"/>
        <v>5.5112044817927183E-2</v>
      </c>
      <c r="CL117" s="508">
        <f t="shared" ca="1" si="167"/>
        <v>551</v>
      </c>
      <c r="CN117" s="618">
        <v>7</v>
      </c>
      <c r="CO117" s="621" t="s">
        <v>2282</v>
      </c>
      <c r="CP117" s="616" t="s">
        <v>2200</v>
      </c>
      <c r="CQ117" s="617" t="e">
        <f>VLOOKUP(LEFT(CO117,2)&amp;CP117,道具价值!$B$28:$C$30,2,FALSE)</f>
        <v>#N/A</v>
      </c>
      <c r="CR117" s="618">
        <v>1</v>
      </c>
      <c r="CS117" s="617">
        <v>5.5E-2</v>
      </c>
      <c r="CT117" s="170">
        <f t="shared" si="172"/>
        <v>5.5E-2</v>
      </c>
      <c r="CU117" s="617">
        <f t="shared" si="173"/>
        <v>550</v>
      </c>
    </row>
    <row r="118" spans="2:100" x14ac:dyDescent="0.35">
      <c r="B118" s="273">
        <v>4</v>
      </c>
      <c r="C118" s="260" t="s">
        <v>624</v>
      </c>
      <c r="D118" s="273" t="s">
        <v>1235</v>
      </c>
      <c r="E118" s="508">
        <f t="shared" ca="1" si="174"/>
        <v>52.8</v>
      </c>
      <c r="F118" s="594">
        <v>5</v>
      </c>
      <c r="G118" s="508">
        <f>宝箱设定!$X102</f>
        <v>0.13869999999999999</v>
      </c>
      <c r="H118" s="170">
        <f t="shared" ca="1" si="175"/>
        <v>3.0866003787878786E-2</v>
      </c>
      <c r="I118" s="256">
        <f t="shared" ca="1" si="176"/>
        <v>309</v>
      </c>
      <c r="K118" s="282">
        <v>4</v>
      </c>
      <c r="L118" s="283" t="s">
        <v>624</v>
      </c>
      <c r="M118" s="282" t="s">
        <v>1235</v>
      </c>
      <c r="N118" s="508">
        <f t="shared" ca="1" si="177"/>
        <v>52.8</v>
      </c>
      <c r="O118" s="625">
        <v>2.5</v>
      </c>
      <c r="P118" s="508">
        <f>宝箱设定!$X102</f>
        <v>0.13869999999999999</v>
      </c>
      <c r="Q118" s="170">
        <f t="shared" ca="1" si="178"/>
        <v>4.938560606060606E-2</v>
      </c>
      <c r="R118" s="279">
        <f t="shared" ca="1" si="179"/>
        <v>494</v>
      </c>
      <c r="T118" s="512">
        <v>4</v>
      </c>
      <c r="U118" s="516" t="s">
        <v>624</v>
      </c>
      <c r="V118" s="512" t="s">
        <v>1211</v>
      </c>
      <c r="W118" s="508">
        <f t="shared" ca="1" si="180"/>
        <v>52.8</v>
      </c>
      <c r="X118" s="625">
        <v>2.5</v>
      </c>
      <c r="Y118" s="508">
        <f>宝箱设定!$X102</f>
        <v>0.13869999999999999</v>
      </c>
      <c r="Z118" s="170">
        <f t="shared" ca="1" si="181"/>
        <v>4.9910984848484843E-2</v>
      </c>
      <c r="AA118" s="279">
        <f t="shared" ca="1" si="182"/>
        <v>499</v>
      </c>
      <c r="AL118" s="595">
        <v>3</v>
      </c>
      <c r="AM118" s="601" t="s">
        <v>2878</v>
      </c>
      <c r="AN118" s="601" t="s">
        <v>2879</v>
      </c>
      <c r="AO118" s="594">
        <f t="shared" ref="AO118:AO121" ca="1" si="183">IF(AN118="部件",VLOOKUP(AL118,INDIRECT(AN118&amp;"价值"),MATCH(LEFT(AM118,2)&amp;"部件",INDIRECT(AN118&amp;"价值标头"),0),FALSE),IF(AN118="加速道具",VLOOKUP(AM118,INDIRECT(AN118&amp;"价值"),MATCH("价格",INDIRECT(AN118&amp;"价值标头"),0),FALSE),VLOOKUP(AL118,INDIRECT(AN118&amp;"价值"),MATCH(AM118,INDIRECT(AN118&amp;"价值标头"),0),FALSE)))</f>
        <v>35</v>
      </c>
      <c r="AP118" s="594">
        <v>1</v>
      </c>
      <c r="AQ118" s="594">
        <v>8.0000000000000002E-3</v>
      </c>
      <c r="AR118" s="170">
        <f t="shared" ca="1" si="151"/>
        <v>2.2171428571428571E-2</v>
      </c>
      <c r="AS118" s="594">
        <f t="shared" ca="1" si="152"/>
        <v>222</v>
      </c>
      <c r="AU118" s="512">
        <v>3</v>
      </c>
      <c r="AV118" s="512" t="s">
        <v>2272</v>
      </c>
      <c r="AW118" s="529" t="s">
        <v>2452</v>
      </c>
      <c r="AX118" s="508" t="str">
        <f t="shared" ca="1" si="131"/>
        <v>T2部件</v>
      </c>
      <c r="AY118" s="615">
        <v>1</v>
      </c>
      <c r="AZ118" s="615">
        <v>7.0000000000000001E-3</v>
      </c>
      <c r="BA118" s="170" t="e">
        <f t="shared" ca="1" si="139"/>
        <v>#VALUE!</v>
      </c>
      <c r="BB118" s="508" t="e">
        <f t="shared" ca="1" si="140"/>
        <v>#VALUE!</v>
      </c>
      <c r="BD118" s="512">
        <v>3</v>
      </c>
      <c r="BE118" s="512" t="s">
        <v>2272</v>
      </c>
      <c r="BF118" s="529" t="s">
        <v>2452</v>
      </c>
      <c r="BG118" s="508" t="str">
        <f t="shared" ca="1" si="132"/>
        <v>T2部件</v>
      </c>
      <c r="BH118" s="615">
        <v>1.5</v>
      </c>
      <c r="BI118" s="600">
        <v>7.0000000000000001E-3</v>
      </c>
      <c r="BJ118" s="170" t="e">
        <f t="shared" ca="1" si="168"/>
        <v>#VALUE!</v>
      </c>
      <c r="BK118" s="279" t="e">
        <f t="shared" ca="1" si="169"/>
        <v>#VALUE!</v>
      </c>
      <c r="BM118" s="512">
        <v>3</v>
      </c>
      <c r="BN118" s="525" t="s">
        <v>2272</v>
      </c>
      <c r="BO118" s="530" t="s">
        <v>2200</v>
      </c>
      <c r="BP118" s="508" t="str">
        <f t="shared" ca="1" si="133"/>
        <v>T2部件</v>
      </c>
      <c r="BQ118" s="565">
        <v>4</v>
      </c>
      <c r="BR118" s="600">
        <v>8.9999999999999993E-3</v>
      </c>
      <c r="BS118" s="170" t="e">
        <f t="shared" ca="1" si="163"/>
        <v>#VALUE!</v>
      </c>
      <c r="BT118" s="508" t="e">
        <f t="shared" ca="1" si="164"/>
        <v>#VALUE!</v>
      </c>
      <c r="BV118" s="525">
        <v>4</v>
      </c>
      <c r="BW118" s="527" t="s">
        <v>2260</v>
      </c>
      <c r="BX118" s="530" t="s">
        <v>2200</v>
      </c>
      <c r="BY118" s="523" t="str">
        <f t="shared" ca="1" si="156"/>
        <v>T2部件</v>
      </c>
      <c r="BZ118" s="662">
        <v>2</v>
      </c>
      <c r="CA118" s="632">
        <v>2.6599999999999999E-2</v>
      </c>
      <c r="CB118" s="170" t="e">
        <f t="shared" ca="1" si="170"/>
        <v>#VALUE!</v>
      </c>
      <c r="CC118" s="523" t="e">
        <f t="shared" ca="1" si="171"/>
        <v>#VALUE!</v>
      </c>
      <c r="CE118" s="512">
        <v>7</v>
      </c>
      <c r="CF118" s="527" t="s">
        <v>626</v>
      </c>
      <c r="CG118" s="512" t="s">
        <v>1211</v>
      </c>
      <c r="CH118" s="523">
        <f t="shared" ca="1" si="165"/>
        <v>71.399999999999991</v>
      </c>
      <c r="CI118" s="662">
        <v>1</v>
      </c>
      <c r="CJ118" s="634">
        <v>7.8700000000000006E-2</v>
      </c>
      <c r="CK118" s="170">
        <f t="shared" ca="1" si="166"/>
        <v>5.5112044817927183E-2</v>
      </c>
      <c r="CL118" s="508">
        <f t="shared" ca="1" si="167"/>
        <v>551</v>
      </c>
      <c r="CN118" s="618">
        <v>7</v>
      </c>
      <c r="CO118" s="621" t="s">
        <v>2284</v>
      </c>
      <c r="CP118" s="616" t="s">
        <v>2200</v>
      </c>
      <c r="CQ118" s="617" t="e">
        <f>VLOOKUP(LEFT(CO118,2)&amp;CP118,道具价值!$B$28:$C$30,2,FALSE)</f>
        <v>#N/A</v>
      </c>
      <c r="CR118" s="618">
        <v>1</v>
      </c>
      <c r="CS118" s="617">
        <v>5.5E-2</v>
      </c>
      <c r="CT118" s="170">
        <f t="shared" si="172"/>
        <v>5.5E-2</v>
      </c>
      <c r="CU118" s="617">
        <f t="shared" si="173"/>
        <v>550</v>
      </c>
    </row>
    <row r="119" spans="2:100" x14ac:dyDescent="0.35">
      <c r="B119" s="273">
        <v>4</v>
      </c>
      <c r="C119" s="260" t="s">
        <v>630</v>
      </c>
      <c r="D119" s="273" t="s">
        <v>1235</v>
      </c>
      <c r="E119" s="508">
        <f t="shared" ca="1" si="174"/>
        <v>52.8</v>
      </c>
      <c r="F119" s="594">
        <v>5</v>
      </c>
      <c r="G119" s="508">
        <f>宝箱设定!$X103</f>
        <v>0.13869999999999999</v>
      </c>
      <c r="H119" s="170">
        <f t="shared" ca="1" si="175"/>
        <v>3.0866003787878786E-2</v>
      </c>
      <c r="I119" s="256">
        <f t="shared" ca="1" si="176"/>
        <v>309</v>
      </c>
      <c r="K119" s="282">
        <v>4</v>
      </c>
      <c r="L119" s="283" t="s">
        <v>630</v>
      </c>
      <c r="M119" s="282" t="s">
        <v>1235</v>
      </c>
      <c r="N119" s="508">
        <f t="shared" ca="1" si="177"/>
        <v>52.8</v>
      </c>
      <c r="O119" s="625">
        <v>2.5</v>
      </c>
      <c r="P119" s="508">
        <f>宝箱设定!$X103</f>
        <v>0.13869999999999999</v>
      </c>
      <c r="Q119" s="170">
        <f t="shared" ca="1" si="178"/>
        <v>4.938560606060606E-2</v>
      </c>
      <c r="R119" s="279">
        <f t="shared" ca="1" si="179"/>
        <v>494</v>
      </c>
      <c r="T119" s="512">
        <v>4</v>
      </c>
      <c r="U119" s="516" t="s">
        <v>630</v>
      </c>
      <c r="V119" s="512" t="s">
        <v>1211</v>
      </c>
      <c r="W119" s="508">
        <f t="shared" ca="1" si="180"/>
        <v>52.8</v>
      </c>
      <c r="X119" s="625">
        <v>2.5</v>
      </c>
      <c r="Y119" s="508">
        <f>宝箱设定!$X103</f>
        <v>0.13869999999999999</v>
      </c>
      <c r="Z119" s="170">
        <f t="shared" ca="1" si="181"/>
        <v>4.9910984848484843E-2</v>
      </c>
      <c r="AA119" s="279">
        <f t="shared" ca="1" si="182"/>
        <v>499</v>
      </c>
      <c r="AL119" s="595">
        <v>3</v>
      </c>
      <c r="AM119" s="601" t="s">
        <v>2880</v>
      </c>
      <c r="AN119" s="601" t="s">
        <v>2879</v>
      </c>
      <c r="AO119" s="594">
        <f t="shared" ca="1" si="183"/>
        <v>60</v>
      </c>
      <c r="AP119" s="600">
        <v>1</v>
      </c>
      <c r="AQ119" s="594">
        <v>8.9999999999999993E-3</v>
      </c>
      <c r="AR119" s="170">
        <f t="shared" ca="1" si="151"/>
        <v>1.4549999999999999E-2</v>
      </c>
      <c r="AS119" s="594">
        <f t="shared" ca="1" si="152"/>
        <v>146</v>
      </c>
      <c r="AU119" s="512">
        <v>3</v>
      </c>
      <c r="AV119" s="512" t="s">
        <v>2274</v>
      </c>
      <c r="AW119" s="529" t="s">
        <v>2452</v>
      </c>
      <c r="AX119" s="508" t="str">
        <f t="shared" ca="1" si="131"/>
        <v>T2部件</v>
      </c>
      <c r="AY119" s="615">
        <v>1</v>
      </c>
      <c r="AZ119" s="615">
        <v>7.0000000000000001E-3</v>
      </c>
      <c r="BA119" s="170" t="e">
        <f t="shared" ca="1" si="139"/>
        <v>#VALUE!</v>
      </c>
      <c r="BB119" s="508" t="e">
        <f t="shared" ca="1" si="140"/>
        <v>#VALUE!</v>
      </c>
      <c r="BD119" s="512">
        <v>3</v>
      </c>
      <c r="BE119" s="512" t="s">
        <v>2274</v>
      </c>
      <c r="BF119" s="529" t="s">
        <v>2452</v>
      </c>
      <c r="BG119" s="508" t="str">
        <f t="shared" ca="1" si="132"/>
        <v>T2部件</v>
      </c>
      <c r="BH119" s="615">
        <v>1.5</v>
      </c>
      <c r="BI119" s="600">
        <v>7.0000000000000001E-3</v>
      </c>
      <c r="BJ119" s="170" t="e">
        <f t="shared" ca="1" si="168"/>
        <v>#VALUE!</v>
      </c>
      <c r="BK119" s="279" t="e">
        <f t="shared" ca="1" si="169"/>
        <v>#VALUE!</v>
      </c>
      <c r="BM119" s="512">
        <v>3</v>
      </c>
      <c r="BN119" s="525" t="s">
        <v>2274</v>
      </c>
      <c r="BO119" s="530" t="s">
        <v>2200</v>
      </c>
      <c r="BP119" s="508" t="str">
        <f t="shared" ca="1" si="133"/>
        <v>T2部件</v>
      </c>
      <c r="BQ119" s="565">
        <v>4</v>
      </c>
      <c r="BR119" s="600">
        <v>8.9999999999999993E-3</v>
      </c>
      <c r="BS119" s="170" t="e">
        <f t="shared" ca="1" si="163"/>
        <v>#VALUE!</v>
      </c>
      <c r="BT119" s="508" t="e">
        <f t="shared" ca="1" si="164"/>
        <v>#VALUE!</v>
      </c>
      <c r="BV119" s="525">
        <v>4</v>
      </c>
      <c r="BW119" s="527" t="s">
        <v>2262</v>
      </c>
      <c r="BX119" s="530" t="s">
        <v>2200</v>
      </c>
      <c r="BY119" s="523" t="str">
        <f t="shared" ca="1" si="156"/>
        <v>T2部件</v>
      </c>
      <c r="BZ119" s="662">
        <v>2</v>
      </c>
      <c r="CA119" s="632">
        <v>2.6599999999999999E-2</v>
      </c>
      <c r="CB119" s="170" t="e">
        <f t="shared" ca="1" si="170"/>
        <v>#VALUE!</v>
      </c>
      <c r="CC119" s="523" t="e">
        <f t="shared" ca="1" si="171"/>
        <v>#VALUE!</v>
      </c>
      <c r="CE119" s="512">
        <v>7</v>
      </c>
      <c r="CF119" s="527" t="s">
        <v>631</v>
      </c>
      <c r="CG119" s="525" t="s">
        <v>1211</v>
      </c>
      <c r="CH119" s="523">
        <f t="shared" ca="1" si="165"/>
        <v>71.399999999999991</v>
      </c>
      <c r="CI119" s="662">
        <v>1</v>
      </c>
      <c r="CJ119" s="634">
        <v>7.8700000000000006E-2</v>
      </c>
      <c r="CK119" s="170">
        <f t="shared" ca="1" si="166"/>
        <v>5.5112044817927183E-2</v>
      </c>
      <c r="CL119" s="508">
        <f t="shared" ca="1" si="167"/>
        <v>551</v>
      </c>
      <c r="CN119" s="618">
        <v>7</v>
      </c>
      <c r="CO119" s="621" t="s">
        <v>2286</v>
      </c>
      <c r="CP119" s="616" t="s">
        <v>2200</v>
      </c>
      <c r="CQ119" s="617" t="e">
        <f>VLOOKUP(LEFT(CO119,2)&amp;CP119,道具价值!$B$28:$C$30,2,FALSE)</f>
        <v>#N/A</v>
      </c>
      <c r="CR119" s="617">
        <v>1</v>
      </c>
      <c r="CS119" s="617">
        <v>5.5E-2</v>
      </c>
      <c r="CT119" s="170">
        <f t="shared" si="172"/>
        <v>5.5E-2</v>
      </c>
      <c r="CU119" s="617">
        <f t="shared" si="173"/>
        <v>550</v>
      </c>
    </row>
    <row r="120" spans="2:100" x14ac:dyDescent="0.35">
      <c r="B120" s="273">
        <v>4</v>
      </c>
      <c r="C120" s="260" t="s">
        <v>617</v>
      </c>
      <c r="D120" s="273" t="s">
        <v>1235</v>
      </c>
      <c r="E120" s="508">
        <f t="shared" ca="1" si="174"/>
        <v>81.599999999999994</v>
      </c>
      <c r="F120" s="359">
        <v>3</v>
      </c>
      <c r="G120" s="508">
        <f>宝箱设定!$X104</f>
        <v>8.0299999999999996E-2</v>
      </c>
      <c r="H120" s="170">
        <f t="shared" ca="1" si="175"/>
        <v>1.9271343954248368E-2</v>
      </c>
      <c r="I120" s="256">
        <f t="shared" ca="1" si="176"/>
        <v>193</v>
      </c>
      <c r="K120" s="282">
        <v>4</v>
      </c>
      <c r="L120" s="283" t="s">
        <v>617</v>
      </c>
      <c r="M120" s="282" t="s">
        <v>1235</v>
      </c>
      <c r="N120" s="508">
        <f t="shared" ca="1" si="177"/>
        <v>81.599999999999994</v>
      </c>
      <c r="O120" s="565">
        <v>1</v>
      </c>
      <c r="P120" s="508">
        <f>宝箱设定!$X104</f>
        <v>8.0299999999999996E-2</v>
      </c>
      <c r="Q120" s="170">
        <f t="shared" ca="1" si="178"/>
        <v>4.6251225490196078E-2</v>
      </c>
      <c r="R120" s="279">
        <f t="shared" ca="1" si="179"/>
        <v>463</v>
      </c>
      <c r="T120" s="512">
        <v>4</v>
      </c>
      <c r="U120" s="516" t="s">
        <v>617</v>
      </c>
      <c r="V120" s="512" t="s">
        <v>1211</v>
      </c>
      <c r="W120" s="508">
        <f t="shared" ca="1" si="180"/>
        <v>81.599999999999994</v>
      </c>
      <c r="X120" s="594">
        <v>1</v>
      </c>
      <c r="Y120" s="508">
        <f>宝箱设定!$X104</f>
        <v>8.0299999999999996E-2</v>
      </c>
      <c r="Z120" s="170">
        <f t="shared" ca="1" si="181"/>
        <v>4.674325980392157E-2</v>
      </c>
      <c r="AA120" s="279">
        <f t="shared" ca="1" si="182"/>
        <v>467</v>
      </c>
      <c r="AC120" s="512" t="s">
        <v>597</v>
      </c>
      <c r="AD120" s="512" t="s">
        <v>1225</v>
      </c>
      <c r="AE120" s="513" t="s">
        <v>917</v>
      </c>
      <c r="AF120" s="166" t="s">
        <v>920</v>
      </c>
      <c r="AG120" s="398" t="s">
        <v>967</v>
      </c>
      <c r="AH120" s="166" t="s">
        <v>854</v>
      </c>
      <c r="AI120" s="166" t="s">
        <v>926</v>
      </c>
      <c r="AJ120" s="281" t="s">
        <v>927</v>
      </c>
      <c r="AK120" s="300" t="e">
        <f ca="1">SUM(AJ121:AJ164)</f>
        <v>#VALUE!</v>
      </c>
      <c r="AL120" s="595">
        <v>3</v>
      </c>
      <c r="AM120" s="601" t="s">
        <v>2881</v>
      </c>
      <c r="AN120" s="601" t="s">
        <v>2879</v>
      </c>
      <c r="AO120" s="594">
        <f t="shared" ca="1" si="183"/>
        <v>70</v>
      </c>
      <c r="AP120" s="600">
        <v>1</v>
      </c>
      <c r="AQ120" s="594">
        <v>0.01</v>
      </c>
      <c r="AR120" s="170">
        <f t="shared" ca="1" si="151"/>
        <v>1.3857142857142856E-2</v>
      </c>
      <c r="AS120" s="594">
        <f t="shared" ca="1" si="152"/>
        <v>139</v>
      </c>
      <c r="BV120" s="525">
        <v>4</v>
      </c>
      <c r="BW120" s="527" t="s">
        <v>2264</v>
      </c>
      <c r="BX120" s="530" t="s">
        <v>2200</v>
      </c>
      <c r="BY120" s="523" t="str">
        <f t="shared" ca="1" si="156"/>
        <v>T2部件</v>
      </c>
      <c r="BZ120" s="662">
        <v>2</v>
      </c>
      <c r="CA120" s="632">
        <v>2.6599999999999999E-2</v>
      </c>
      <c r="CB120" s="170" t="e">
        <f t="shared" ca="1" si="170"/>
        <v>#VALUE!</v>
      </c>
      <c r="CC120" s="523" t="e">
        <f t="shared" ca="1" si="171"/>
        <v>#VALUE!</v>
      </c>
      <c r="CE120" s="512">
        <v>7</v>
      </c>
      <c r="CF120" s="527" t="s">
        <v>618</v>
      </c>
      <c r="CG120" s="525" t="s">
        <v>1211</v>
      </c>
      <c r="CH120" s="523">
        <f t="shared" ca="1" si="165"/>
        <v>52.8</v>
      </c>
      <c r="CI120" s="662">
        <v>1</v>
      </c>
      <c r="CJ120" s="523">
        <v>6.6699999999999995E-2</v>
      </c>
      <c r="CK120" s="170">
        <f t="shared" ca="1" si="166"/>
        <v>6.3162878787878796E-2</v>
      </c>
      <c r="CL120" s="508">
        <f t="shared" ca="1" si="167"/>
        <v>632</v>
      </c>
      <c r="CN120" s="618">
        <v>7</v>
      </c>
      <c r="CO120" s="621" t="s">
        <v>2288</v>
      </c>
      <c r="CP120" s="616" t="s">
        <v>2200</v>
      </c>
      <c r="CQ120" s="617" t="e">
        <f>VLOOKUP(LEFT(CO120,2)&amp;CP120,道具价值!$B$28:$C$30,2,FALSE)</f>
        <v>#N/A</v>
      </c>
      <c r="CR120" s="618">
        <v>1</v>
      </c>
      <c r="CS120" s="617">
        <v>5.5E-2</v>
      </c>
      <c r="CT120" s="170">
        <f t="shared" si="172"/>
        <v>5.5E-2</v>
      </c>
      <c r="CU120" s="617">
        <f t="shared" si="173"/>
        <v>550</v>
      </c>
    </row>
    <row r="121" spans="2:100" x14ac:dyDescent="0.35">
      <c r="B121" s="273">
        <v>4</v>
      </c>
      <c r="C121" s="260" t="s">
        <v>626</v>
      </c>
      <c r="D121" s="273" t="s">
        <v>1235</v>
      </c>
      <c r="E121" s="508">
        <f t="shared" ca="1" si="174"/>
        <v>81.599999999999994</v>
      </c>
      <c r="F121" s="523">
        <v>3</v>
      </c>
      <c r="G121" s="508">
        <f>宝箱设定!$X105</f>
        <v>8.0299999999999996E-2</v>
      </c>
      <c r="H121" s="170">
        <f t="shared" ca="1" si="175"/>
        <v>1.9271343954248368E-2</v>
      </c>
      <c r="I121" s="256">
        <f t="shared" ca="1" si="176"/>
        <v>193</v>
      </c>
      <c r="K121" s="282">
        <v>4</v>
      </c>
      <c r="L121" s="283" t="s">
        <v>626</v>
      </c>
      <c r="M121" s="282" t="s">
        <v>1235</v>
      </c>
      <c r="N121" s="508">
        <f t="shared" ca="1" si="177"/>
        <v>81.599999999999994</v>
      </c>
      <c r="O121" s="594">
        <v>1</v>
      </c>
      <c r="P121" s="508">
        <f>宝箱设定!$X105</f>
        <v>8.0299999999999996E-2</v>
      </c>
      <c r="Q121" s="170">
        <f t="shared" ca="1" si="178"/>
        <v>4.6251225490196078E-2</v>
      </c>
      <c r="R121" s="279">
        <f t="shared" ca="1" si="179"/>
        <v>463</v>
      </c>
      <c r="T121" s="512">
        <v>4</v>
      </c>
      <c r="U121" s="516" t="s">
        <v>626</v>
      </c>
      <c r="V121" s="512" t="s">
        <v>1211</v>
      </c>
      <c r="W121" s="508">
        <f t="shared" ca="1" si="180"/>
        <v>81.599999999999994</v>
      </c>
      <c r="X121" s="594">
        <v>1</v>
      </c>
      <c r="Y121" s="508">
        <f>宝箱设定!$X105</f>
        <v>8.0299999999999996E-2</v>
      </c>
      <c r="Z121" s="170">
        <f t="shared" ca="1" si="181"/>
        <v>4.674325980392157E-2</v>
      </c>
      <c r="AA121" s="279">
        <f t="shared" ca="1" si="182"/>
        <v>467</v>
      </c>
      <c r="AC121" s="512">
        <v>4</v>
      </c>
      <c r="AD121" s="516" t="s">
        <v>616</v>
      </c>
      <c r="AE121" s="512" t="s">
        <v>1211</v>
      </c>
      <c r="AF121" s="508">
        <f t="shared" ref="AF121:AF164" ca="1" si="184">IF(AE121="部件",VLOOKUP(AC121,INDIRECT(AE121&amp;"价值"),MATCH(LEFT(AD121,2)&amp;"部件",INDIRECT(AE121&amp;"价值标头"),0),FALSE),IF(AE121="加速道具",VLOOKUP(AD121,INDIRECT(AE121&amp;"价值"),MATCH("价格",INDIRECT(AE121&amp;"价值标头"),0),FALSE),VLOOKUP(AC121,INDIRECT(AE121&amp;"价值"),MATCH(AD121,INDIRECT(AE121&amp;"价值标头"),0),FALSE)))</f>
        <v>52.8</v>
      </c>
      <c r="AG121" s="394">
        <v>4</v>
      </c>
      <c r="AH121" s="508">
        <f>宝箱设定!$X101</f>
        <v>0.13869999999999999</v>
      </c>
      <c r="AI121" s="170">
        <f t="shared" ref="AI121:AI126" ca="1" si="185">AH121*AD$4/AF121/AG121</f>
        <v>4.2030303030303029E-2</v>
      </c>
      <c r="AJ121" s="279">
        <f t="shared" ref="AJ121:AJ126" ca="1" si="186">ROUND(AI121*10000,0)</f>
        <v>420</v>
      </c>
      <c r="AL121" s="595">
        <v>3</v>
      </c>
      <c r="AM121" s="601" t="s">
        <v>2882</v>
      </c>
      <c r="AN121" s="601" t="s">
        <v>2879</v>
      </c>
      <c r="AO121" s="594">
        <f t="shared" ca="1" si="183"/>
        <v>125</v>
      </c>
      <c r="AP121" s="600">
        <v>1</v>
      </c>
      <c r="AQ121" s="594">
        <v>0.01</v>
      </c>
      <c r="AR121" s="170">
        <f t="shared" ca="1" si="151"/>
        <v>7.7599999999999995E-3</v>
      </c>
      <c r="AS121" s="594">
        <f t="shared" ca="1" si="152"/>
        <v>78</v>
      </c>
      <c r="BV121" s="525">
        <v>4</v>
      </c>
      <c r="BW121" s="527" t="s">
        <v>2266</v>
      </c>
      <c r="BX121" s="530" t="s">
        <v>2200</v>
      </c>
      <c r="BY121" s="523" t="str">
        <f t="shared" ca="1" si="156"/>
        <v>T2部件</v>
      </c>
      <c r="BZ121" s="662">
        <v>2</v>
      </c>
      <c r="CA121" s="632">
        <v>2.6599999999999999E-2</v>
      </c>
      <c r="CB121" s="170" t="e">
        <f t="shared" ca="1" si="170"/>
        <v>#VALUE!</v>
      </c>
      <c r="CC121" s="523" t="e">
        <f t="shared" ca="1" si="171"/>
        <v>#VALUE!</v>
      </c>
      <c r="CE121" s="512">
        <v>7</v>
      </c>
      <c r="CF121" s="527" t="s">
        <v>627</v>
      </c>
      <c r="CG121" s="525" t="s">
        <v>1211</v>
      </c>
      <c r="CH121" s="523">
        <f t="shared" ca="1" si="165"/>
        <v>52.8</v>
      </c>
      <c r="CI121" s="662">
        <v>1</v>
      </c>
      <c r="CJ121" s="523">
        <v>6.6600000000000006E-2</v>
      </c>
      <c r="CK121" s="170">
        <f t="shared" ca="1" si="166"/>
        <v>6.3068181818181829E-2</v>
      </c>
      <c r="CL121" s="508">
        <f t="shared" ca="1" si="167"/>
        <v>631</v>
      </c>
      <c r="CN121" s="618">
        <v>7</v>
      </c>
      <c r="CO121" s="618" t="s">
        <v>2290</v>
      </c>
      <c r="CP121" s="616" t="s">
        <v>2200</v>
      </c>
      <c r="CQ121" s="617" t="e">
        <f>VLOOKUP(LEFT(CO121,2)&amp;CP121,道具价值!$B$28:$C$30,2,FALSE)</f>
        <v>#N/A</v>
      </c>
      <c r="CR121" s="617">
        <v>1</v>
      </c>
      <c r="CS121" s="617">
        <v>5.5E-2</v>
      </c>
      <c r="CT121" s="170">
        <f t="shared" si="172"/>
        <v>5.5E-2</v>
      </c>
      <c r="CU121" s="617">
        <f t="shared" si="173"/>
        <v>550</v>
      </c>
    </row>
    <row r="122" spans="2:100" x14ac:dyDescent="0.35">
      <c r="B122" s="273">
        <v>4</v>
      </c>
      <c r="C122" s="260" t="s">
        <v>631</v>
      </c>
      <c r="D122" s="273" t="s">
        <v>1235</v>
      </c>
      <c r="E122" s="508">
        <f t="shared" ca="1" si="174"/>
        <v>81.599999999999994</v>
      </c>
      <c r="F122" s="523">
        <v>3</v>
      </c>
      <c r="G122" s="508">
        <f>宝箱设定!$X106</f>
        <v>8.0299999999999996E-2</v>
      </c>
      <c r="H122" s="170">
        <f t="shared" ca="1" si="175"/>
        <v>1.9271343954248368E-2</v>
      </c>
      <c r="I122" s="256">
        <f t="shared" ca="1" si="176"/>
        <v>193</v>
      </c>
      <c r="K122" s="282">
        <v>4</v>
      </c>
      <c r="L122" s="283" t="s">
        <v>631</v>
      </c>
      <c r="M122" s="282" t="s">
        <v>1235</v>
      </c>
      <c r="N122" s="508">
        <f t="shared" ca="1" si="177"/>
        <v>81.599999999999994</v>
      </c>
      <c r="O122" s="594">
        <v>1</v>
      </c>
      <c r="P122" s="508">
        <f>宝箱设定!$X106</f>
        <v>8.0299999999999996E-2</v>
      </c>
      <c r="Q122" s="170">
        <f t="shared" ca="1" si="178"/>
        <v>4.6251225490196078E-2</v>
      </c>
      <c r="R122" s="279">
        <f t="shared" ca="1" si="179"/>
        <v>463</v>
      </c>
      <c r="T122" s="512">
        <v>4</v>
      </c>
      <c r="U122" s="516" t="s">
        <v>631</v>
      </c>
      <c r="V122" s="512" t="s">
        <v>1211</v>
      </c>
      <c r="W122" s="508">
        <f t="shared" ca="1" si="180"/>
        <v>81.599999999999994</v>
      </c>
      <c r="X122" s="594">
        <v>1</v>
      </c>
      <c r="Y122" s="508">
        <f>宝箱设定!$X106</f>
        <v>8.0299999999999996E-2</v>
      </c>
      <c r="Z122" s="170">
        <f t="shared" ca="1" si="181"/>
        <v>4.674325980392157E-2</v>
      </c>
      <c r="AA122" s="279">
        <f t="shared" ca="1" si="182"/>
        <v>467</v>
      </c>
      <c r="AC122" s="512">
        <v>4</v>
      </c>
      <c r="AD122" s="516" t="s">
        <v>624</v>
      </c>
      <c r="AE122" s="512" t="s">
        <v>1211</v>
      </c>
      <c r="AF122" s="508">
        <f t="shared" ca="1" si="184"/>
        <v>52.8</v>
      </c>
      <c r="AG122" s="565">
        <v>4</v>
      </c>
      <c r="AH122" s="508">
        <f>宝箱设定!$X102</f>
        <v>0.13869999999999999</v>
      </c>
      <c r="AI122" s="170">
        <f t="shared" ca="1" si="185"/>
        <v>4.2030303030303029E-2</v>
      </c>
      <c r="AJ122" s="279">
        <f t="shared" ca="1" si="186"/>
        <v>420</v>
      </c>
      <c r="AL122" s="276"/>
      <c r="AM122" s="604"/>
      <c r="AN122" s="604"/>
      <c r="AO122" s="157"/>
      <c r="AP122" s="157"/>
      <c r="AQ122" s="157"/>
      <c r="AR122" s="538"/>
      <c r="AS122" s="157"/>
      <c r="AU122" s="512" t="s">
        <v>597</v>
      </c>
      <c r="AV122" s="512" t="s">
        <v>1225</v>
      </c>
      <c r="AW122" s="513" t="s">
        <v>917</v>
      </c>
      <c r="AX122" s="166" t="s">
        <v>920</v>
      </c>
      <c r="AY122" s="518" t="s">
        <v>967</v>
      </c>
      <c r="AZ122" s="166" t="s">
        <v>854</v>
      </c>
      <c r="BA122" s="166" t="s">
        <v>926</v>
      </c>
      <c r="BB122" s="514" t="s">
        <v>927</v>
      </c>
      <c r="BC122" s="300" t="e">
        <f ca="1">SUM(BB123:BB170)</f>
        <v>#VALUE!</v>
      </c>
      <c r="BD122" s="512" t="s">
        <v>597</v>
      </c>
      <c r="BE122" s="512" t="s">
        <v>1225</v>
      </c>
      <c r="BF122" s="513" t="s">
        <v>917</v>
      </c>
      <c r="BG122" s="166" t="s">
        <v>920</v>
      </c>
      <c r="BH122" s="518" t="s">
        <v>967</v>
      </c>
      <c r="BI122" s="166" t="s">
        <v>854</v>
      </c>
      <c r="BJ122" s="166" t="s">
        <v>926</v>
      </c>
      <c r="BK122" s="281" t="s">
        <v>927</v>
      </c>
      <c r="BL122" s="300" t="e">
        <f ca="1">SUM(BK123:BK170)</f>
        <v>#VALUE!</v>
      </c>
      <c r="BM122" s="512" t="s">
        <v>597</v>
      </c>
      <c r="BN122" s="525" t="s">
        <v>1225</v>
      </c>
      <c r="BO122" s="526" t="s">
        <v>917</v>
      </c>
      <c r="BP122" s="166" t="s">
        <v>920</v>
      </c>
      <c r="BQ122" s="518" t="s">
        <v>967</v>
      </c>
      <c r="BR122" s="166" t="s">
        <v>854</v>
      </c>
      <c r="BS122" s="166" t="s">
        <v>926</v>
      </c>
      <c r="BT122" s="514" t="s">
        <v>927</v>
      </c>
      <c r="BU122" s="300" t="e">
        <f ca="1">SUM(BT123:BT152)</f>
        <v>#VALUE!</v>
      </c>
      <c r="BV122" s="525">
        <v>4</v>
      </c>
      <c r="BW122" s="527" t="s">
        <v>2268</v>
      </c>
      <c r="BX122" s="530" t="s">
        <v>2200</v>
      </c>
      <c r="BY122" s="523" t="str">
        <f t="shared" ca="1" si="156"/>
        <v>T2部件</v>
      </c>
      <c r="BZ122" s="662">
        <v>2</v>
      </c>
      <c r="CA122" s="632">
        <v>2.6599999999999999E-2</v>
      </c>
      <c r="CB122" s="170" t="e">
        <f t="shared" ca="1" si="170"/>
        <v>#VALUE!</v>
      </c>
      <c r="CC122" s="523" t="e">
        <f t="shared" ca="1" si="171"/>
        <v>#VALUE!</v>
      </c>
      <c r="CE122" s="512">
        <v>7</v>
      </c>
      <c r="CF122" s="527" t="s">
        <v>628</v>
      </c>
      <c r="CG122" s="525" t="s">
        <v>1211</v>
      </c>
      <c r="CH122" s="523">
        <f t="shared" ca="1" si="165"/>
        <v>52.8</v>
      </c>
      <c r="CI122" s="662">
        <v>1</v>
      </c>
      <c r="CJ122" s="523">
        <v>6.6600000000000006E-2</v>
      </c>
      <c r="CK122" s="170">
        <f t="shared" ca="1" si="166"/>
        <v>6.3068181818181829E-2</v>
      </c>
      <c r="CL122" s="508">
        <f t="shared" ca="1" si="167"/>
        <v>631</v>
      </c>
      <c r="CN122" s="618">
        <v>7</v>
      </c>
      <c r="CO122" s="618" t="s">
        <v>2292</v>
      </c>
      <c r="CP122" s="616" t="s">
        <v>2200</v>
      </c>
      <c r="CQ122" s="617" t="e">
        <f>VLOOKUP(LEFT(CO122,2)&amp;CP122,道具价值!$B$28:$C$30,2,FALSE)</f>
        <v>#N/A</v>
      </c>
      <c r="CR122" s="618">
        <v>1</v>
      </c>
      <c r="CS122" s="617">
        <v>5.6000000000000001E-2</v>
      </c>
      <c r="CT122" s="170">
        <f t="shared" si="172"/>
        <v>5.6000000000000001E-2</v>
      </c>
      <c r="CU122" s="617">
        <f t="shared" si="173"/>
        <v>560</v>
      </c>
    </row>
    <row r="123" spans="2:100" x14ac:dyDescent="0.35">
      <c r="B123" s="512">
        <v>4</v>
      </c>
      <c r="C123" s="516" t="s">
        <v>2239</v>
      </c>
      <c r="D123" s="529" t="s">
        <v>2452</v>
      </c>
      <c r="E123" s="508">
        <f t="shared" ca="1" si="174"/>
        <v>11.475</v>
      </c>
      <c r="F123" s="508">
        <v>2</v>
      </c>
      <c r="G123" s="594">
        <v>0.01</v>
      </c>
      <c r="H123" s="170">
        <f t="shared" ca="1" si="175"/>
        <v>2.5599128540305011E-2</v>
      </c>
      <c r="I123" s="508">
        <f t="shared" ca="1" si="176"/>
        <v>256</v>
      </c>
      <c r="K123" s="512">
        <v>4</v>
      </c>
      <c r="L123" s="516" t="s">
        <v>2239</v>
      </c>
      <c r="M123" s="529" t="s">
        <v>2452</v>
      </c>
      <c r="N123" s="508">
        <f t="shared" ca="1" si="177"/>
        <v>11.475</v>
      </c>
      <c r="O123" s="565">
        <v>1</v>
      </c>
      <c r="P123" s="594">
        <v>1.0999999999999999E-2</v>
      </c>
      <c r="Q123" s="170">
        <f t="shared" ref="Q123:Q155" ca="1" si="187">P123*L$4/N123/O123</f>
        <v>4.505446623093682E-2</v>
      </c>
      <c r="R123" s="508">
        <f t="shared" ref="R123:R155" ca="1" si="188">ROUND(Q123*10000,0)</f>
        <v>451</v>
      </c>
      <c r="T123" s="512">
        <v>4</v>
      </c>
      <c r="U123" s="516" t="s">
        <v>2239</v>
      </c>
      <c r="V123" s="529" t="s">
        <v>2452</v>
      </c>
      <c r="W123" s="508">
        <f t="shared" ca="1" si="180"/>
        <v>11.475</v>
      </c>
      <c r="X123" s="594">
        <v>1</v>
      </c>
      <c r="Y123" s="594">
        <v>1.2E-2</v>
      </c>
      <c r="Z123" s="170">
        <f t="shared" ref="Z123:Z155" ca="1" si="189">Y123*U$4/W123/X123</f>
        <v>4.9673202614379089E-2</v>
      </c>
      <c r="AA123" s="508">
        <f t="shared" ref="AA123:AA155" ca="1" si="190">ROUND(Z123*10000,0)</f>
        <v>497</v>
      </c>
      <c r="AC123" s="512">
        <v>4</v>
      </c>
      <c r="AD123" s="516" t="s">
        <v>630</v>
      </c>
      <c r="AE123" s="512" t="s">
        <v>1211</v>
      </c>
      <c r="AF123" s="508">
        <f t="shared" ca="1" si="184"/>
        <v>52.8</v>
      </c>
      <c r="AG123" s="565">
        <v>4</v>
      </c>
      <c r="AH123" s="508">
        <f>宝箱设定!$X103</f>
        <v>0.13869999999999999</v>
      </c>
      <c r="AI123" s="170">
        <f t="shared" ca="1" si="185"/>
        <v>4.2030303030303029E-2</v>
      </c>
      <c r="AJ123" s="279">
        <f t="shared" ca="1" si="186"/>
        <v>420</v>
      </c>
      <c r="AU123" s="512">
        <v>4</v>
      </c>
      <c r="AV123" s="516" t="s">
        <v>616</v>
      </c>
      <c r="AW123" s="295" t="s">
        <v>2395</v>
      </c>
      <c r="AX123" s="508">
        <f t="shared" ref="AX123:AX170" ca="1" si="191">IF(AW123="部件",VLOOKUP(AU123,INDIRECT(AW123&amp;"价值"),MATCH(LEFT(AV123,2)&amp;"部件",INDIRECT(AW123&amp;"价值标头"),0),FALSE),IF(AW123="加速道具",VLOOKUP(AV123,INDIRECT(AW123&amp;"价值"),MATCH("价格",INDIRECT(AW123&amp;"价值标头"),0),FALSE),VLOOKUP(AU123,INDIRECT(AW123&amp;"价值"),MATCH(AV123,INDIRECT(AW123&amp;"价值标头"),0),FALSE)))</f>
        <v>528</v>
      </c>
      <c r="AY123" s="508">
        <v>1</v>
      </c>
      <c r="AZ123" s="508">
        <f>宝箱设定!$H107</f>
        <v>3.6999999999999998E-2</v>
      </c>
      <c r="BA123" s="170">
        <f t="shared" ref="BA123:BA161" ca="1" si="192">AZ123*AV$4/AX123/AY123</f>
        <v>4.5549242424242423E-3</v>
      </c>
      <c r="BB123" s="508">
        <f t="shared" ref="BB123:BB161" ca="1" si="193">ROUND(BA123*10000,0)</f>
        <v>46</v>
      </c>
      <c r="BD123" s="512">
        <v>4</v>
      </c>
      <c r="BE123" s="516" t="s">
        <v>616</v>
      </c>
      <c r="BF123" s="295" t="s">
        <v>2395</v>
      </c>
      <c r="BG123" s="508">
        <f t="shared" ref="BG123:BG170" ca="1" si="194">IF(BF123="部件",VLOOKUP(BD123,INDIRECT(BF123&amp;"价值"),MATCH(LEFT(BE123,2)&amp;"部件",INDIRECT(BF123&amp;"价值标头"),0),FALSE),IF(BF123="加速道具",VLOOKUP(BE123,INDIRECT(BF123&amp;"价值"),MATCH("价格",INDIRECT(BF123&amp;"价值标头"),0),FALSE),VLOOKUP(BD123,INDIRECT(BF123&amp;"价值"),MATCH(BE123,INDIRECT(BF123&amp;"价值标头"),0),FALSE)))</f>
        <v>528</v>
      </c>
      <c r="BH123" s="508">
        <v>1</v>
      </c>
      <c r="BI123" s="508">
        <f>宝箱设定!$H107</f>
        <v>3.6999999999999998E-2</v>
      </c>
      <c r="BJ123" s="170">
        <f t="shared" ref="BJ123:BJ134" ca="1" si="195">BI123*BE$4/BG123/BH123</f>
        <v>1.0336174242424242E-2</v>
      </c>
      <c r="BK123" s="279">
        <f t="shared" ref="BK123:BK134" ca="1" si="196">ROUND(BJ123*10000,0)</f>
        <v>103</v>
      </c>
      <c r="BM123" s="512">
        <v>4</v>
      </c>
      <c r="BN123" s="527" t="s">
        <v>616</v>
      </c>
      <c r="BO123" s="295" t="s">
        <v>2395</v>
      </c>
      <c r="BP123" s="508">
        <f t="shared" ref="BP123:BP152" ca="1" si="197">IF(BO123="部件",VLOOKUP(BM123,INDIRECT(BO123&amp;"价值"),MATCH(LEFT(BN123,2)&amp;"部件",INDIRECT(BO123&amp;"价值标头"),0),FALSE),IF(BO123="加速道具",VLOOKUP(BN123,INDIRECT(BO123&amp;"价值"),MATCH("价格",INDIRECT(BO123&amp;"价值标头"),0),FALSE),VLOOKUP(BM123,INDIRECT(BO123&amp;"价值"),MATCH(BN123,INDIRECT(BO123&amp;"价值标头"),0),FALSE)))</f>
        <v>528</v>
      </c>
      <c r="BQ123" s="508">
        <v>2</v>
      </c>
      <c r="BR123" s="523">
        <f>宝箱设定!$P107</f>
        <v>3.6999999999999998E-2</v>
      </c>
      <c r="BS123" s="170">
        <f t="shared" ref="BS123:BS134" ca="1" si="198">BR123*BN$4/BP123/BQ123</f>
        <v>1.15625E-2</v>
      </c>
      <c r="BT123" s="508">
        <f t="shared" ref="BT123:BT134" ca="1" si="199">ROUND(BS123*10000,0)</f>
        <v>116</v>
      </c>
      <c r="BV123" s="525">
        <v>4</v>
      </c>
      <c r="BW123" s="527" t="s">
        <v>2270</v>
      </c>
      <c r="BX123" s="530" t="s">
        <v>2200</v>
      </c>
      <c r="BY123" s="523" t="str">
        <f t="shared" ca="1" si="156"/>
        <v>T2部件</v>
      </c>
      <c r="BZ123" s="662">
        <v>2</v>
      </c>
      <c r="CA123" s="632">
        <v>2.6599999999999999E-2</v>
      </c>
      <c r="CB123" s="170" t="e">
        <f t="shared" ca="1" si="170"/>
        <v>#VALUE!</v>
      </c>
      <c r="CC123" s="523" t="e">
        <f t="shared" ca="1" si="171"/>
        <v>#VALUE!</v>
      </c>
      <c r="CE123" s="512">
        <v>7</v>
      </c>
      <c r="CF123" s="527" t="s">
        <v>619</v>
      </c>
      <c r="CG123" s="525" t="s">
        <v>1211</v>
      </c>
      <c r="CH123" s="523">
        <f t="shared" ca="1" si="165"/>
        <v>69</v>
      </c>
      <c r="CI123" s="662">
        <v>1</v>
      </c>
      <c r="CJ123" s="523">
        <v>5.6599999999999998E-2</v>
      </c>
      <c r="CK123" s="170">
        <f t="shared" ca="1" si="166"/>
        <v>4.1014492753623191E-2</v>
      </c>
      <c r="CL123" s="508">
        <f t="shared" ca="1" si="167"/>
        <v>410</v>
      </c>
      <c r="CN123" s="618">
        <v>7</v>
      </c>
      <c r="CO123" s="621" t="s">
        <v>2277</v>
      </c>
      <c r="CP123" s="616" t="s">
        <v>2200</v>
      </c>
      <c r="CQ123" s="617" t="e">
        <f>VLOOKUP(LEFT(CO123,2)&amp;CP123,道具价值!$B$28:$C$30,2,FALSE)</f>
        <v>#N/A</v>
      </c>
      <c r="CR123" s="617">
        <v>1</v>
      </c>
      <c r="CS123" s="617">
        <v>5.6000000000000001E-2</v>
      </c>
      <c r="CT123" s="170">
        <f t="shared" si="172"/>
        <v>5.6000000000000001E-2</v>
      </c>
      <c r="CU123" s="617">
        <f t="shared" si="173"/>
        <v>560</v>
      </c>
    </row>
    <row r="124" spans="2:100" x14ac:dyDescent="0.35">
      <c r="B124" s="512">
        <v>4</v>
      </c>
      <c r="C124" s="516" t="s">
        <v>2242</v>
      </c>
      <c r="D124" s="529" t="s">
        <v>2452</v>
      </c>
      <c r="E124" s="508">
        <f t="shared" ca="1" si="174"/>
        <v>11.475</v>
      </c>
      <c r="F124" s="565">
        <v>2</v>
      </c>
      <c r="G124" s="594">
        <v>8.9999999999999993E-3</v>
      </c>
      <c r="H124" s="170">
        <f t="shared" ca="1" si="175"/>
        <v>2.3039215686274508E-2</v>
      </c>
      <c r="I124" s="508">
        <f t="shared" ca="1" si="176"/>
        <v>230</v>
      </c>
      <c r="K124" s="512">
        <v>4</v>
      </c>
      <c r="L124" s="516" t="s">
        <v>2242</v>
      </c>
      <c r="M124" s="529" t="s">
        <v>2452</v>
      </c>
      <c r="N124" s="508">
        <f t="shared" ca="1" si="177"/>
        <v>11.475</v>
      </c>
      <c r="O124" s="565">
        <v>1</v>
      </c>
      <c r="P124" s="594">
        <v>1.0999999999999999E-2</v>
      </c>
      <c r="Q124" s="170">
        <f t="shared" ca="1" si="187"/>
        <v>4.505446623093682E-2</v>
      </c>
      <c r="R124" s="508">
        <f t="shared" ca="1" si="188"/>
        <v>451</v>
      </c>
      <c r="T124" s="512">
        <v>4</v>
      </c>
      <c r="U124" s="516" t="s">
        <v>2242</v>
      </c>
      <c r="V124" s="529" t="s">
        <v>2452</v>
      </c>
      <c r="W124" s="508">
        <f t="shared" ca="1" si="180"/>
        <v>11.475</v>
      </c>
      <c r="X124" s="594">
        <v>1</v>
      </c>
      <c r="Y124" s="594">
        <v>1.0999999999999999E-2</v>
      </c>
      <c r="Z124" s="170">
        <f t="shared" ca="1" si="189"/>
        <v>4.5533769063180823E-2</v>
      </c>
      <c r="AA124" s="508">
        <f t="shared" ca="1" si="190"/>
        <v>455</v>
      </c>
      <c r="AC124" s="512">
        <v>4</v>
      </c>
      <c r="AD124" s="516" t="s">
        <v>617</v>
      </c>
      <c r="AE124" s="512" t="s">
        <v>1211</v>
      </c>
      <c r="AF124" s="508">
        <f t="shared" ca="1" si="184"/>
        <v>81.599999999999994</v>
      </c>
      <c r="AG124" s="394">
        <v>1.5</v>
      </c>
      <c r="AH124" s="508">
        <f>宝箱设定!$X104</f>
        <v>8.0299999999999996E-2</v>
      </c>
      <c r="AI124" s="170">
        <f t="shared" ca="1" si="185"/>
        <v>4.1986928104575161E-2</v>
      </c>
      <c r="AJ124" s="279">
        <f t="shared" ca="1" si="186"/>
        <v>420</v>
      </c>
      <c r="AL124" s="512" t="s">
        <v>597</v>
      </c>
      <c r="AM124" s="512" t="s">
        <v>1225</v>
      </c>
      <c r="AN124" s="513" t="s">
        <v>917</v>
      </c>
      <c r="AO124" s="166" t="s">
        <v>920</v>
      </c>
      <c r="AP124" s="285" t="s">
        <v>967</v>
      </c>
      <c r="AQ124" s="166" t="s">
        <v>854</v>
      </c>
      <c r="AR124" s="166" t="s">
        <v>926</v>
      </c>
      <c r="AS124" s="281" t="s">
        <v>927</v>
      </c>
      <c r="AT124" s="300" t="e">
        <f ca="1">SUM(AS125:AS170)</f>
        <v>#VALUE!</v>
      </c>
      <c r="AU124" s="512">
        <v>4</v>
      </c>
      <c r="AV124" s="516" t="s">
        <v>624</v>
      </c>
      <c r="AW124" s="295" t="s">
        <v>2395</v>
      </c>
      <c r="AX124" s="508">
        <f t="shared" ca="1" si="191"/>
        <v>528</v>
      </c>
      <c r="AY124" s="508">
        <v>1</v>
      </c>
      <c r="AZ124" s="508">
        <f>宝箱设定!$H108</f>
        <v>3.6999999999999998E-2</v>
      </c>
      <c r="BA124" s="170">
        <f t="shared" ca="1" si="192"/>
        <v>4.5549242424242423E-3</v>
      </c>
      <c r="BB124" s="508">
        <f t="shared" ca="1" si="193"/>
        <v>46</v>
      </c>
      <c r="BD124" s="512">
        <v>4</v>
      </c>
      <c r="BE124" s="516" t="s">
        <v>624</v>
      </c>
      <c r="BF124" s="295" t="s">
        <v>2395</v>
      </c>
      <c r="BG124" s="508">
        <f t="shared" ca="1" si="194"/>
        <v>528</v>
      </c>
      <c r="BH124" s="508">
        <v>1</v>
      </c>
      <c r="BI124" s="508">
        <f>宝箱设定!$H108</f>
        <v>3.6999999999999998E-2</v>
      </c>
      <c r="BJ124" s="170">
        <f ca="1">BI124*BE$4/BG124/BH124</f>
        <v>1.0336174242424242E-2</v>
      </c>
      <c r="BK124" s="379">
        <f ca="1">ROUND(BJ124*10000,0)</f>
        <v>103</v>
      </c>
      <c r="BM124" s="512">
        <v>4</v>
      </c>
      <c r="BN124" s="527" t="s">
        <v>624</v>
      </c>
      <c r="BO124" s="295" t="s">
        <v>2395</v>
      </c>
      <c r="BP124" s="508">
        <f t="shared" ca="1" si="197"/>
        <v>528</v>
      </c>
      <c r="BQ124" s="565">
        <v>2</v>
      </c>
      <c r="BR124" s="523">
        <f>宝箱设定!$P108</f>
        <v>3.6999999999999998E-2</v>
      </c>
      <c r="BS124" s="170">
        <f t="shared" ca="1" si="198"/>
        <v>1.15625E-2</v>
      </c>
      <c r="BT124" s="508">
        <f t="shared" ca="1" si="199"/>
        <v>116</v>
      </c>
      <c r="BV124" s="525">
        <v>4</v>
      </c>
      <c r="BW124" s="525" t="s">
        <v>2272</v>
      </c>
      <c r="BX124" s="530" t="s">
        <v>2200</v>
      </c>
      <c r="BY124" s="523" t="str">
        <f t="shared" ca="1" si="156"/>
        <v>T2部件</v>
      </c>
      <c r="BZ124" s="662">
        <v>2</v>
      </c>
      <c r="CA124" s="632">
        <v>2.6599999999999999E-2</v>
      </c>
      <c r="CB124" s="170" t="e">
        <f t="shared" ca="1" si="170"/>
        <v>#VALUE!</v>
      </c>
      <c r="CC124" s="523" t="e">
        <f t="shared" ca="1" si="171"/>
        <v>#VALUE!</v>
      </c>
      <c r="CE124" s="512">
        <v>7</v>
      </c>
      <c r="CF124" s="527" t="s">
        <v>718</v>
      </c>
      <c r="CG124" s="525" t="s">
        <v>1211</v>
      </c>
      <c r="CH124" s="523">
        <f t="shared" ca="1" si="165"/>
        <v>69</v>
      </c>
      <c r="CI124" s="662">
        <v>1</v>
      </c>
      <c r="CJ124" s="523">
        <v>5.6599999999999998E-2</v>
      </c>
      <c r="CK124" s="170">
        <f t="shared" ca="1" si="166"/>
        <v>4.1014492753623191E-2</v>
      </c>
      <c r="CL124" s="508">
        <f t="shared" ca="1" si="167"/>
        <v>410</v>
      </c>
      <c r="CN124" s="618">
        <v>7</v>
      </c>
      <c r="CO124" s="621" t="s">
        <v>2279</v>
      </c>
      <c r="CP124" s="616" t="s">
        <v>2200</v>
      </c>
      <c r="CQ124" s="617" t="e">
        <f>VLOOKUP(LEFT(CO124,2)&amp;CP124,道具价值!$B$28:$C$30,2,FALSE)</f>
        <v>#N/A</v>
      </c>
      <c r="CR124" s="618">
        <v>1</v>
      </c>
      <c r="CS124" s="617">
        <v>5.6000000000000001E-2</v>
      </c>
      <c r="CT124" s="170">
        <f t="shared" si="172"/>
        <v>5.6000000000000001E-2</v>
      </c>
      <c r="CU124" s="617">
        <f t="shared" si="173"/>
        <v>560</v>
      </c>
    </row>
    <row r="125" spans="2:100" x14ac:dyDescent="0.35">
      <c r="B125" s="512">
        <v>4</v>
      </c>
      <c r="C125" s="516" t="s">
        <v>2244</v>
      </c>
      <c r="D125" s="529" t="s">
        <v>2452</v>
      </c>
      <c r="E125" s="508">
        <f t="shared" ca="1" si="174"/>
        <v>11.475</v>
      </c>
      <c r="F125" s="565">
        <v>2</v>
      </c>
      <c r="G125" s="594">
        <v>8.9999999999999993E-3</v>
      </c>
      <c r="H125" s="170">
        <f t="shared" ca="1" si="175"/>
        <v>2.3039215686274508E-2</v>
      </c>
      <c r="I125" s="508">
        <f t="shared" ca="1" si="176"/>
        <v>230</v>
      </c>
      <c r="K125" s="512">
        <v>4</v>
      </c>
      <c r="L125" s="516" t="s">
        <v>2244</v>
      </c>
      <c r="M125" s="529" t="s">
        <v>2452</v>
      </c>
      <c r="N125" s="508">
        <f t="shared" ca="1" si="177"/>
        <v>11.475</v>
      </c>
      <c r="O125" s="565">
        <v>1</v>
      </c>
      <c r="P125" s="594">
        <v>1.0999999999999999E-2</v>
      </c>
      <c r="Q125" s="170">
        <f t="shared" ca="1" si="187"/>
        <v>4.505446623093682E-2</v>
      </c>
      <c r="R125" s="508">
        <f t="shared" ca="1" si="188"/>
        <v>451</v>
      </c>
      <c r="T125" s="512">
        <v>4</v>
      </c>
      <c r="U125" s="516" t="s">
        <v>2244</v>
      </c>
      <c r="V125" s="529" t="s">
        <v>2452</v>
      </c>
      <c r="W125" s="508">
        <f t="shared" ca="1" si="180"/>
        <v>11.475</v>
      </c>
      <c r="X125" s="594">
        <v>1</v>
      </c>
      <c r="Y125" s="594">
        <v>1.0999999999999999E-2</v>
      </c>
      <c r="Z125" s="170">
        <f t="shared" ca="1" si="189"/>
        <v>4.5533769063180823E-2</v>
      </c>
      <c r="AA125" s="508">
        <f t="shared" ca="1" si="190"/>
        <v>455</v>
      </c>
      <c r="AC125" s="512">
        <v>4</v>
      </c>
      <c r="AD125" s="516" t="s">
        <v>626</v>
      </c>
      <c r="AE125" s="512" t="s">
        <v>1211</v>
      </c>
      <c r="AF125" s="508">
        <f t="shared" ca="1" si="184"/>
        <v>81.599999999999994</v>
      </c>
      <c r="AG125" s="565">
        <v>1.5</v>
      </c>
      <c r="AH125" s="508">
        <f>宝箱设定!$X105</f>
        <v>8.0299999999999996E-2</v>
      </c>
      <c r="AI125" s="170">
        <f t="shared" ca="1" si="185"/>
        <v>4.1986928104575161E-2</v>
      </c>
      <c r="AJ125" s="279">
        <f t="shared" ca="1" si="186"/>
        <v>420</v>
      </c>
      <c r="AL125" s="512">
        <v>4</v>
      </c>
      <c r="AM125" s="516" t="s">
        <v>616</v>
      </c>
      <c r="AN125" s="512" t="s">
        <v>1211</v>
      </c>
      <c r="AO125" s="508">
        <f t="shared" ref="AO125:AO166" ca="1" si="200">IF(AN125="部件",VLOOKUP(AL125,INDIRECT(AN125&amp;"价值"),MATCH(LEFT(AM125,2)&amp;"部件",INDIRECT(AN125&amp;"价值标头"),0),FALSE),IF(AN125="加速道具",VLOOKUP(AM125,INDIRECT(AN125&amp;"价值"),MATCH("价格",INDIRECT(AN125&amp;"价值标头"),0),FALSE),VLOOKUP(AL125,INDIRECT(AN125&amp;"价值"),MATCH(AM125,INDIRECT(AN125&amp;"价值标头"),0),FALSE)))</f>
        <v>52.8</v>
      </c>
      <c r="AP125" s="408">
        <v>5.5</v>
      </c>
      <c r="AQ125" s="508">
        <f>宝箱设定!$X101</f>
        <v>0.13869999999999999</v>
      </c>
      <c r="AR125" s="170">
        <f t="shared" ref="AR125:AR130" ca="1" si="201">AQ125*AM$4/AO125/AP125</f>
        <v>4.6328856749311302E-2</v>
      </c>
      <c r="AS125" s="279">
        <f t="shared" ref="AS125:AS130" ca="1" si="202">ROUND(AR125*10000,0)</f>
        <v>463</v>
      </c>
      <c r="AU125" s="512">
        <v>4</v>
      </c>
      <c r="AV125" s="516" t="s">
        <v>630</v>
      </c>
      <c r="AW125" s="295" t="s">
        <v>2395</v>
      </c>
      <c r="AX125" s="508">
        <f t="shared" ca="1" si="191"/>
        <v>528</v>
      </c>
      <c r="AY125" s="508">
        <v>1</v>
      </c>
      <c r="AZ125" s="508">
        <f>宝箱设定!$H109</f>
        <v>3.6999999999999998E-2</v>
      </c>
      <c r="BA125" s="170">
        <f t="shared" ca="1" si="192"/>
        <v>4.5549242424242423E-3</v>
      </c>
      <c r="BB125" s="508">
        <f t="shared" ca="1" si="193"/>
        <v>46</v>
      </c>
      <c r="BD125" s="512">
        <v>4</v>
      </c>
      <c r="BE125" s="516" t="s">
        <v>630</v>
      </c>
      <c r="BF125" s="295" t="s">
        <v>2395</v>
      </c>
      <c r="BG125" s="508">
        <f t="shared" ca="1" si="194"/>
        <v>528</v>
      </c>
      <c r="BH125" s="508">
        <v>1</v>
      </c>
      <c r="BI125" s="508">
        <f>宝箱设定!$H109</f>
        <v>3.6999999999999998E-2</v>
      </c>
      <c r="BJ125" s="170">
        <f ca="1">BI125*BE$4/BG125/BH125</f>
        <v>1.0336174242424242E-2</v>
      </c>
      <c r="BK125" s="379">
        <f ca="1">ROUND(BJ125*10000,0)</f>
        <v>103</v>
      </c>
      <c r="BM125" s="512">
        <v>4</v>
      </c>
      <c r="BN125" s="527" t="s">
        <v>630</v>
      </c>
      <c r="BO125" s="295" t="s">
        <v>2395</v>
      </c>
      <c r="BP125" s="508">
        <f t="shared" ca="1" si="197"/>
        <v>528</v>
      </c>
      <c r="BQ125" s="565">
        <v>2</v>
      </c>
      <c r="BR125" s="523">
        <f>宝箱设定!$P109</f>
        <v>3.6999999999999998E-2</v>
      </c>
      <c r="BS125" s="170">
        <f t="shared" ca="1" si="198"/>
        <v>1.15625E-2</v>
      </c>
      <c r="BT125" s="508">
        <f t="shared" ca="1" si="199"/>
        <v>116</v>
      </c>
      <c r="BV125" s="525">
        <v>4</v>
      </c>
      <c r="BW125" s="525" t="s">
        <v>2274</v>
      </c>
      <c r="BX125" s="530" t="s">
        <v>2200</v>
      </c>
      <c r="BY125" s="523" t="str">
        <f t="shared" ca="1" si="156"/>
        <v>T2部件</v>
      </c>
      <c r="BZ125" s="662">
        <v>2</v>
      </c>
      <c r="CA125" s="632">
        <v>2.6599999999999999E-2</v>
      </c>
      <c r="CB125" s="170" t="e">
        <f t="shared" ca="1" si="170"/>
        <v>#VALUE!</v>
      </c>
      <c r="CC125" s="523" t="e">
        <f t="shared" ca="1" si="171"/>
        <v>#VALUE!</v>
      </c>
      <c r="CE125" s="512">
        <v>7</v>
      </c>
      <c r="CF125" s="527" t="s">
        <v>632</v>
      </c>
      <c r="CG125" s="525" t="s">
        <v>1211</v>
      </c>
      <c r="CH125" s="523">
        <f t="shared" ca="1" si="165"/>
        <v>69</v>
      </c>
      <c r="CI125" s="662">
        <v>1</v>
      </c>
      <c r="CJ125" s="523">
        <v>5.6599999999999998E-2</v>
      </c>
      <c r="CK125" s="170">
        <f t="shared" ca="1" si="166"/>
        <v>4.1014492753623191E-2</v>
      </c>
      <c r="CL125" s="508">
        <f t="shared" ca="1" si="167"/>
        <v>410</v>
      </c>
      <c r="CN125" s="618">
        <v>7</v>
      </c>
      <c r="CO125" s="621" t="s">
        <v>2281</v>
      </c>
      <c r="CP125" s="616" t="s">
        <v>2200</v>
      </c>
      <c r="CQ125" s="617" t="e">
        <f>VLOOKUP(LEFT(CO125,2)&amp;CP125,道具价值!$B$28:$C$30,2,FALSE)</f>
        <v>#N/A</v>
      </c>
      <c r="CR125" s="617">
        <v>1</v>
      </c>
      <c r="CS125" s="617">
        <v>5.6000000000000001E-2</v>
      </c>
      <c r="CT125" s="170">
        <f t="shared" si="172"/>
        <v>5.6000000000000001E-2</v>
      </c>
      <c r="CU125" s="617">
        <f t="shared" si="173"/>
        <v>560</v>
      </c>
    </row>
    <row r="126" spans="2:100" x14ac:dyDescent="0.35">
      <c r="B126" s="512">
        <v>4</v>
      </c>
      <c r="C126" s="516" t="s">
        <v>2246</v>
      </c>
      <c r="D126" s="529" t="s">
        <v>2452</v>
      </c>
      <c r="E126" s="508">
        <f t="shared" ca="1" si="174"/>
        <v>11.475</v>
      </c>
      <c r="F126" s="565">
        <v>2</v>
      </c>
      <c r="G126" s="594">
        <v>8.9999999999999993E-3</v>
      </c>
      <c r="H126" s="170">
        <f t="shared" ca="1" si="175"/>
        <v>2.3039215686274508E-2</v>
      </c>
      <c r="I126" s="508">
        <f t="shared" ca="1" si="176"/>
        <v>230</v>
      </c>
      <c r="K126" s="512">
        <v>4</v>
      </c>
      <c r="L126" s="516" t="s">
        <v>2246</v>
      </c>
      <c r="M126" s="529" t="s">
        <v>2452</v>
      </c>
      <c r="N126" s="508">
        <f t="shared" ca="1" si="177"/>
        <v>11.475</v>
      </c>
      <c r="O126" s="565">
        <v>1</v>
      </c>
      <c r="P126" s="594">
        <v>1.0999999999999999E-2</v>
      </c>
      <c r="Q126" s="170">
        <f t="shared" ca="1" si="187"/>
        <v>4.505446623093682E-2</v>
      </c>
      <c r="R126" s="508">
        <f t="shared" ca="1" si="188"/>
        <v>451</v>
      </c>
      <c r="T126" s="512">
        <v>4</v>
      </c>
      <c r="U126" s="516" t="s">
        <v>2246</v>
      </c>
      <c r="V126" s="529" t="s">
        <v>2452</v>
      </c>
      <c r="W126" s="508">
        <f t="shared" ca="1" si="180"/>
        <v>11.475</v>
      </c>
      <c r="X126" s="594">
        <v>1</v>
      </c>
      <c r="Y126" s="594">
        <v>1.0999999999999999E-2</v>
      </c>
      <c r="Z126" s="170">
        <f t="shared" ca="1" si="189"/>
        <v>4.5533769063180823E-2</v>
      </c>
      <c r="AA126" s="508">
        <f t="shared" ca="1" si="190"/>
        <v>455</v>
      </c>
      <c r="AC126" s="512">
        <v>4</v>
      </c>
      <c r="AD126" s="516" t="s">
        <v>631</v>
      </c>
      <c r="AE126" s="512" t="s">
        <v>1211</v>
      </c>
      <c r="AF126" s="508">
        <f t="shared" ca="1" si="184"/>
        <v>81.599999999999994</v>
      </c>
      <c r="AG126" s="565">
        <v>1.5</v>
      </c>
      <c r="AH126" s="508">
        <f>宝箱设定!$X106</f>
        <v>8.0299999999999996E-2</v>
      </c>
      <c r="AI126" s="170">
        <f t="shared" ca="1" si="185"/>
        <v>4.1986928104575161E-2</v>
      </c>
      <c r="AJ126" s="279">
        <f t="shared" ca="1" si="186"/>
        <v>420</v>
      </c>
      <c r="AL126" s="512">
        <v>4</v>
      </c>
      <c r="AM126" s="516" t="s">
        <v>624</v>
      </c>
      <c r="AN126" s="512" t="s">
        <v>1211</v>
      </c>
      <c r="AO126" s="508">
        <f t="shared" ca="1" si="200"/>
        <v>52.8</v>
      </c>
      <c r="AP126" s="625">
        <v>5.5</v>
      </c>
      <c r="AQ126" s="508">
        <f>宝箱设定!$X102</f>
        <v>0.13869999999999999</v>
      </c>
      <c r="AR126" s="170">
        <f t="shared" ca="1" si="201"/>
        <v>4.6328856749311302E-2</v>
      </c>
      <c r="AS126" s="279">
        <f t="shared" ca="1" si="202"/>
        <v>463</v>
      </c>
      <c r="AU126" s="512">
        <v>4</v>
      </c>
      <c r="AV126" s="516" t="s">
        <v>617</v>
      </c>
      <c r="AW126" s="295" t="s">
        <v>2395</v>
      </c>
      <c r="AX126" s="508">
        <f t="shared" ca="1" si="191"/>
        <v>816</v>
      </c>
      <c r="AY126" s="508">
        <v>1</v>
      </c>
      <c r="AZ126" s="508">
        <f>宝箱设定!$H110</f>
        <v>3.3299999999999996E-2</v>
      </c>
      <c r="BA126" s="170">
        <f t="shared" ca="1" si="192"/>
        <v>2.6525735294117645E-3</v>
      </c>
      <c r="BB126" s="508">
        <f t="shared" ca="1" si="193"/>
        <v>27</v>
      </c>
      <c r="BD126" s="512">
        <v>4</v>
      </c>
      <c r="BE126" s="516" t="s">
        <v>617</v>
      </c>
      <c r="BF126" s="295" t="s">
        <v>2395</v>
      </c>
      <c r="BG126" s="508">
        <f t="shared" ca="1" si="194"/>
        <v>816</v>
      </c>
      <c r="BH126" s="508">
        <v>1</v>
      </c>
      <c r="BI126" s="508">
        <f>宝箱设定!$H110</f>
        <v>3.3299999999999996E-2</v>
      </c>
      <c r="BJ126" s="170">
        <f ca="1">BI126*BE$4/BG126/BH126</f>
        <v>6.0193014705882345E-3</v>
      </c>
      <c r="BK126" s="379">
        <f ca="1">ROUND(BJ126*10000,0)</f>
        <v>60</v>
      </c>
      <c r="BM126" s="512">
        <v>4</v>
      </c>
      <c r="BN126" s="527" t="s">
        <v>617</v>
      </c>
      <c r="BO126" s="295" t="s">
        <v>2395</v>
      </c>
      <c r="BP126" s="508">
        <f t="shared" ca="1" si="197"/>
        <v>816</v>
      </c>
      <c r="BQ126" s="565">
        <v>1.5</v>
      </c>
      <c r="BR126" s="523">
        <f>宝箱设定!$P110</f>
        <v>0.11099999999999999</v>
      </c>
      <c r="BS126" s="170">
        <f t="shared" ca="1" si="198"/>
        <v>2.992647058823529E-2</v>
      </c>
      <c r="BT126" s="508">
        <f t="shared" ca="1" si="199"/>
        <v>299</v>
      </c>
      <c r="BV126" s="525">
        <v>4</v>
      </c>
      <c r="BW126" s="527" t="s">
        <v>2259</v>
      </c>
      <c r="BX126" s="530" t="s">
        <v>2200</v>
      </c>
      <c r="BY126" s="523" t="str">
        <f t="shared" ca="1" si="156"/>
        <v>T2部件</v>
      </c>
      <c r="BZ126" s="662">
        <v>2</v>
      </c>
      <c r="CA126" s="632">
        <v>2.6599999999999999E-2</v>
      </c>
      <c r="CB126" s="170" t="e">
        <f t="shared" ca="1" si="170"/>
        <v>#VALUE!</v>
      </c>
      <c r="CC126" s="523" t="e">
        <f t="shared" ca="1" si="171"/>
        <v>#VALUE!</v>
      </c>
      <c r="CN126" s="618">
        <v>7</v>
      </c>
      <c r="CO126" s="621" t="s">
        <v>2283</v>
      </c>
      <c r="CP126" s="616" t="s">
        <v>2200</v>
      </c>
      <c r="CQ126" s="617" t="e">
        <f>VLOOKUP(LEFT(CO126,2)&amp;CP126,道具价值!$B$28:$C$30,2,FALSE)</f>
        <v>#N/A</v>
      </c>
      <c r="CR126" s="618">
        <v>1</v>
      </c>
      <c r="CS126" s="617">
        <v>5.6000000000000001E-2</v>
      </c>
      <c r="CT126" s="170">
        <f t="shared" si="172"/>
        <v>5.6000000000000001E-2</v>
      </c>
      <c r="CU126" s="617">
        <f t="shared" si="173"/>
        <v>560</v>
      </c>
    </row>
    <row r="127" spans="2:100" x14ac:dyDescent="0.35">
      <c r="B127" s="512">
        <v>4</v>
      </c>
      <c r="C127" s="516" t="s">
        <v>2248</v>
      </c>
      <c r="D127" s="529" t="s">
        <v>2452</v>
      </c>
      <c r="E127" s="508">
        <f t="shared" ca="1" si="174"/>
        <v>11.475</v>
      </c>
      <c r="F127" s="565">
        <v>2</v>
      </c>
      <c r="G127" s="594">
        <v>8.9999999999999993E-3</v>
      </c>
      <c r="H127" s="170">
        <f t="shared" ca="1" si="175"/>
        <v>2.3039215686274508E-2</v>
      </c>
      <c r="I127" s="508">
        <f t="shared" ca="1" si="176"/>
        <v>230</v>
      </c>
      <c r="K127" s="512">
        <v>4</v>
      </c>
      <c r="L127" s="516" t="s">
        <v>2248</v>
      </c>
      <c r="M127" s="529" t="s">
        <v>2452</v>
      </c>
      <c r="N127" s="508">
        <f t="shared" ca="1" si="177"/>
        <v>11.475</v>
      </c>
      <c r="O127" s="565">
        <v>1</v>
      </c>
      <c r="P127" s="594">
        <v>1.0999999999999999E-2</v>
      </c>
      <c r="Q127" s="170">
        <f t="shared" ca="1" si="187"/>
        <v>4.505446623093682E-2</v>
      </c>
      <c r="R127" s="508">
        <f t="shared" ca="1" si="188"/>
        <v>451</v>
      </c>
      <c r="T127" s="512">
        <v>4</v>
      </c>
      <c r="U127" s="516" t="s">
        <v>2248</v>
      </c>
      <c r="V127" s="529" t="s">
        <v>2452</v>
      </c>
      <c r="W127" s="508">
        <f t="shared" ca="1" si="180"/>
        <v>11.475</v>
      </c>
      <c r="X127" s="594">
        <v>1</v>
      </c>
      <c r="Y127" s="594">
        <v>1.0999999999999999E-2</v>
      </c>
      <c r="Z127" s="170">
        <f t="shared" ca="1" si="189"/>
        <v>4.5533769063180823E-2</v>
      </c>
      <c r="AA127" s="508">
        <f t="shared" ca="1" si="190"/>
        <v>455</v>
      </c>
      <c r="AC127" s="512">
        <v>4</v>
      </c>
      <c r="AD127" s="516" t="s">
        <v>2239</v>
      </c>
      <c r="AE127" s="529" t="s">
        <v>2452</v>
      </c>
      <c r="AF127" s="508">
        <f t="shared" ca="1" si="184"/>
        <v>11.475</v>
      </c>
      <c r="AG127" s="594">
        <v>1</v>
      </c>
      <c r="AH127" s="565">
        <v>8.9999999999999993E-3</v>
      </c>
      <c r="AI127" s="170">
        <f t="shared" ref="AI127:AI160" ca="1" si="203">AH127*AD$4/AF127/AG127</f>
        <v>5.0196078431372547E-2</v>
      </c>
      <c r="AJ127" s="508">
        <f t="shared" ref="AJ127:AJ160" ca="1" si="204">ROUND(AI127*10000,0)</f>
        <v>502</v>
      </c>
      <c r="AL127" s="512">
        <v>4</v>
      </c>
      <c r="AM127" s="516" t="s">
        <v>630</v>
      </c>
      <c r="AN127" s="512" t="s">
        <v>1211</v>
      </c>
      <c r="AO127" s="508">
        <f t="shared" ca="1" si="200"/>
        <v>52.8</v>
      </c>
      <c r="AP127" s="625">
        <v>5.5</v>
      </c>
      <c r="AQ127" s="508">
        <f>宝箱设定!$X103</f>
        <v>0.13869999999999999</v>
      </c>
      <c r="AR127" s="170">
        <f t="shared" ca="1" si="201"/>
        <v>4.6328856749311302E-2</v>
      </c>
      <c r="AS127" s="279">
        <f t="shared" ca="1" si="202"/>
        <v>463</v>
      </c>
      <c r="AU127" s="512">
        <v>4</v>
      </c>
      <c r="AV127" s="516" t="s">
        <v>626</v>
      </c>
      <c r="AW127" s="295" t="s">
        <v>2395</v>
      </c>
      <c r="AX127" s="508">
        <f t="shared" ca="1" si="191"/>
        <v>816</v>
      </c>
      <c r="AY127" s="508">
        <v>1</v>
      </c>
      <c r="AZ127" s="508">
        <f>宝箱设定!$H111</f>
        <v>3.3299999999999996E-2</v>
      </c>
      <c r="BA127" s="170">
        <f t="shared" ca="1" si="192"/>
        <v>2.6525735294117645E-3</v>
      </c>
      <c r="BB127" s="508">
        <f t="shared" ca="1" si="193"/>
        <v>27</v>
      </c>
      <c r="BD127" s="512">
        <v>4</v>
      </c>
      <c r="BE127" s="516" t="s">
        <v>626</v>
      </c>
      <c r="BF127" s="295" t="s">
        <v>2395</v>
      </c>
      <c r="BG127" s="508">
        <f t="shared" ca="1" si="194"/>
        <v>816</v>
      </c>
      <c r="BH127" s="508">
        <v>1</v>
      </c>
      <c r="BI127" s="508">
        <f>宝箱设定!$H111</f>
        <v>3.3299999999999996E-2</v>
      </c>
      <c r="BJ127" s="170">
        <f ca="1">BI127*BE$4/BG127/BH127</f>
        <v>6.0193014705882345E-3</v>
      </c>
      <c r="BK127" s="379">
        <f ca="1">ROUND(BJ127*10000,0)</f>
        <v>60</v>
      </c>
      <c r="BM127" s="512">
        <v>4</v>
      </c>
      <c r="BN127" s="527" t="s">
        <v>626</v>
      </c>
      <c r="BO127" s="295" t="s">
        <v>2395</v>
      </c>
      <c r="BP127" s="508">
        <f t="shared" ca="1" si="197"/>
        <v>816</v>
      </c>
      <c r="BQ127" s="565">
        <v>1.5</v>
      </c>
      <c r="BR127" s="523">
        <f>宝箱设定!$P111</f>
        <v>0.11099999999999999</v>
      </c>
      <c r="BS127" s="170">
        <f t="shared" ca="1" si="198"/>
        <v>2.992647058823529E-2</v>
      </c>
      <c r="BT127" s="508">
        <f t="shared" ca="1" si="199"/>
        <v>299</v>
      </c>
      <c r="BV127" s="525">
        <v>4</v>
      </c>
      <c r="BW127" s="527" t="s">
        <v>2261</v>
      </c>
      <c r="BX127" s="530" t="s">
        <v>2200</v>
      </c>
      <c r="BY127" s="523" t="str">
        <f t="shared" ca="1" si="156"/>
        <v>T2部件</v>
      </c>
      <c r="BZ127" s="662">
        <v>2</v>
      </c>
      <c r="CA127" s="523">
        <v>2.6499999999999999E-2</v>
      </c>
      <c r="CB127" s="170" t="e">
        <f t="shared" ca="1" si="170"/>
        <v>#VALUE!</v>
      </c>
      <c r="CC127" s="523" t="e">
        <f t="shared" ca="1" si="171"/>
        <v>#VALUE!</v>
      </c>
      <c r="CN127" s="618">
        <v>7</v>
      </c>
      <c r="CO127" s="621" t="s">
        <v>2285</v>
      </c>
      <c r="CP127" s="616" t="s">
        <v>2200</v>
      </c>
      <c r="CQ127" s="617" t="e">
        <f>VLOOKUP(LEFT(CO127,2)&amp;CP127,道具价值!$B$28:$C$30,2,FALSE)</f>
        <v>#N/A</v>
      </c>
      <c r="CR127" s="617">
        <v>1</v>
      </c>
      <c r="CS127" s="617">
        <v>5.6000000000000001E-2</v>
      </c>
      <c r="CT127" s="170">
        <f t="shared" si="172"/>
        <v>5.6000000000000001E-2</v>
      </c>
      <c r="CU127" s="617">
        <f t="shared" si="173"/>
        <v>560</v>
      </c>
    </row>
    <row r="128" spans="2:100" x14ac:dyDescent="0.35">
      <c r="B128" s="512">
        <v>4</v>
      </c>
      <c r="C128" s="516" t="s">
        <v>2250</v>
      </c>
      <c r="D128" s="529" t="s">
        <v>2452</v>
      </c>
      <c r="E128" s="508">
        <f t="shared" ca="1" si="174"/>
        <v>11.475</v>
      </c>
      <c r="F128" s="565">
        <v>2</v>
      </c>
      <c r="G128" s="594">
        <v>8.9999999999999993E-3</v>
      </c>
      <c r="H128" s="170">
        <f t="shared" ca="1" si="175"/>
        <v>2.3039215686274508E-2</v>
      </c>
      <c r="I128" s="508">
        <f t="shared" ca="1" si="176"/>
        <v>230</v>
      </c>
      <c r="K128" s="512">
        <v>4</v>
      </c>
      <c r="L128" s="516" t="s">
        <v>2250</v>
      </c>
      <c r="M128" s="529" t="s">
        <v>2452</v>
      </c>
      <c r="N128" s="508">
        <f t="shared" ca="1" si="177"/>
        <v>11.475</v>
      </c>
      <c r="O128" s="565">
        <v>1</v>
      </c>
      <c r="P128" s="594">
        <v>1.0999999999999999E-2</v>
      </c>
      <c r="Q128" s="170">
        <f t="shared" ca="1" si="187"/>
        <v>4.505446623093682E-2</v>
      </c>
      <c r="R128" s="508">
        <f t="shared" ca="1" si="188"/>
        <v>451</v>
      </c>
      <c r="T128" s="512">
        <v>4</v>
      </c>
      <c r="U128" s="516" t="s">
        <v>2250</v>
      </c>
      <c r="V128" s="529" t="s">
        <v>2452</v>
      </c>
      <c r="W128" s="508">
        <f t="shared" ca="1" si="180"/>
        <v>11.475</v>
      </c>
      <c r="X128" s="594">
        <v>1</v>
      </c>
      <c r="Y128" s="594">
        <v>1.0999999999999999E-2</v>
      </c>
      <c r="Z128" s="170">
        <f t="shared" ca="1" si="189"/>
        <v>4.5533769063180823E-2</v>
      </c>
      <c r="AA128" s="508">
        <f t="shared" ca="1" si="190"/>
        <v>455</v>
      </c>
      <c r="AC128" s="512">
        <v>4</v>
      </c>
      <c r="AD128" s="516" t="s">
        <v>2242</v>
      </c>
      <c r="AE128" s="529" t="s">
        <v>2452</v>
      </c>
      <c r="AF128" s="508">
        <f t="shared" ca="1" si="184"/>
        <v>11.475</v>
      </c>
      <c r="AG128" s="594">
        <v>1</v>
      </c>
      <c r="AH128" s="600">
        <v>8.9999999999999993E-3</v>
      </c>
      <c r="AI128" s="170">
        <f t="shared" ca="1" si="203"/>
        <v>5.0196078431372547E-2</v>
      </c>
      <c r="AJ128" s="508">
        <f t="shared" ca="1" si="204"/>
        <v>502</v>
      </c>
      <c r="AL128" s="512">
        <v>4</v>
      </c>
      <c r="AM128" s="516" t="s">
        <v>617</v>
      </c>
      <c r="AN128" s="512" t="s">
        <v>1211</v>
      </c>
      <c r="AO128" s="508">
        <f t="shared" ca="1" si="200"/>
        <v>81.599999999999994</v>
      </c>
      <c r="AP128" s="408">
        <v>2.5</v>
      </c>
      <c r="AQ128" s="508">
        <f>宝箱设定!$X104</f>
        <v>8.0299999999999996E-2</v>
      </c>
      <c r="AR128" s="170">
        <f t="shared" ca="1" si="201"/>
        <v>3.8181862745098036E-2</v>
      </c>
      <c r="AS128" s="279">
        <f t="shared" ca="1" si="202"/>
        <v>382</v>
      </c>
      <c r="AU128" s="512">
        <v>4</v>
      </c>
      <c r="AV128" s="516" t="s">
        <v>631</v>
      </c>
      <c r="AW128" s="295" t="s">
        <v>2395</v>
      </c>
      <c r="AX128" s="508">
        <f t="shared" ca="1" si="191"/>
        <v>816</v>
      </c>
      <c r="AY128" s="508">
        <v>1</v>
      </c>
      <c r="AZ128" s="508">
        <f>宝箱设定!$H112</f>
        <v>3.3299999999999996E-2</v>
      </c>
      <c r="BA128" s="170">
        <f t="shared" ca="1" si="192"/>
        <v>2.6525735294117645E-3</v>
      </c>
      <c r="BB128" s="508">
        <f t="shared" ca="1" si="193"/>
        <v>27</v>
      </c>
      <c r="BD128" s="512">
        <v>4</v>
      </c>
      <c r="BE128" s="516" t="s">
        <v>631</v>
      </c>
      <c r="BF128" s="295" t="s">
        <v>2395</v>
      </c>
      <c r="BG128" s="508">
        <f t="shared" ca="1" si="194"/>
        <v>816</v>
      </c>
      <c r="BH128" s="508">
        <v>1</v>
      </c>
      <c r="BI128" s="508">
        <f>宝箱设定!$H112</f>
        <v>3.3299999999999996E-2</v>
      </c>
      <c r="BJ128" s="170">
        <f ca="1">BI128*BE$4/BG128/BH128</f>
        <v>6.0193014705882345E-3</v>
      </c>
      <c r="BK128" s="379">
        <f ca="1">ROUND(BJ128*10000,0)</f>
        <v>60</v>
      </c>
      <c r="BM128" s="512">
        <v>4</v>
      </c>
      <c r="BN128" s="527" t="s">
        <v>631</v>
      </c>
      <c r="BO128" s="295" t="s">
        <v>2395</v>
      </c>
      <c r="BP128" s="508">
        <f t="shared" ca="1" si="197"/>
        <v>816</v>
      </c>
      <c r="BQ128" s="565">
        <v>1.5</v>
      </c>
      <c r="BR128" s="523">
        <f>宝箱设定!$P112</f>
        <v>0.11099999999999999</v>
      </c>
      <c r="BS128" s="170">
        <f t="shared" ca="1" si="198"/>
        <v>2.992647058823529E-2</v>
      </c>
      <c r="BT128" s="508">
        <f t="shared" ca="1" si="199"/>
        <v>299</v>
      </c>
      <c r="BV128" s="525">
        <v>4</v>
      </c>
      <c r="BW128" s="527" t="s">
        <v>2263</v>
      </c>
      <c r="BX128" s="530" t="s">
        <v>2200</v>
      </c>
      <c r="BY128" s="523" t="str">
        <f t="shared" ca="1" si="156"/>
        <v>T2部件</v>
      </c>
      <c r="BZ128" s="662">
        <v>2</v>
      </c>
      <c r="CA128" s="632">
        <v>2.6499999999999999E-2</v>
      </c>
      <c r="CB128" s="170" t="e">
        <f t="shared" ca="1" si="170"/>
        <v>#VALUE!</v>
      </c>
      <c r="CC128" s="523" t="e">
        <f t="shared" ca="1" si="171"/>
        <v>#VALUE!</v>
      </c>
      <c r="CE128" s="512" t="s">
        <v>597</v>
      </c>
      <c r="CF128" s="512" t="s">
        <v>1225</v>
      </c>
      <c r="CG128" s="513" t="s">
        <v>917</v>
      </c>
      <c r="CH128" s="166" t="s">
        <v>920</v>
      </c>
      <c r="CI128" s="518" t="s">
        <v>967</v>
      </c>
      <c r="CJ128" s="166" t="s">
        <v>854</v>
      </c>
      <c r="CK128" s="166" t="s">
        <v>926</v>
      </c>
      <c r="CL128" s="514" t="s">
        <v>927</v>
      </c>
      <c r="CM128" s="300">
        <f ca="1">SUM(CL129:CL148)</f>
        <v>7893</v>
      </c>
      <c r="CN128" s="618">
        <v>7</v>
      </c>
      <c r="CO128" s="621" t="s">
        <v>2287</v>
      </c>
      <c r="CP128" s="616" t="s">
        <v>2200</v>
      </c>
      <c r="CQ128" s="617" t="e">
        <f>VLOOKUP(LEFT(CO128,2)&amp;CP128,道具价值!$B$28:$C$30,2,FALSE)</f>
        <v>#N/A</v>
      </c>
      <c r="CR128" s="618">
        <v>1</v>
      </c>
      <c r="CS128" s="617">
        <v>5.6000000000000001E-2</v>
      </c>
      <c r="CT128" s="170">
        <f t="shared" si="172"/>
        <v>5.6000000000000001E-2</v>
      </c>
      <c r="CU128" s="617">
        <f t="shared" si="173"/>
        <v>560</v>
      </c>
    </row>
    <row r="129" spans="2:100" x14ac:dyDescent="0.35">
      <c r="B129" s="512">
        <v>4</v>
      </c>
      <c r="C129" s="516" t="s">
        <v>2252</v>
      </c>
      <c r="D129" s="529" t="s">
        <v>2452</v>
      </c>
      <c r="E129" s="508">
        <f t="shared" ca="1" si="174"/>
        <v>11.475</v>
      </c>
      <c r="F129" s="565">
        <v>2</v>
      </c>
      <c r="G129" s="594">
        <v>8.9999999999999993E-3</v>
      </c>
      <c r="H129" s="170">
        <f t="shared" ca="1" si="175"/>
        <v>2.3039215686274508E-2</v>
      </c>
      <c r="I129" s="508">
        <f t="shared" ca="1" si="176"/>
        <v>230</v>
      </c>
      <c r="K129" s="512">
        <v>4</v>
      </c>
      <c r="L129" s="516" t="s">
        <v>2252</v>
      </c>
      <c r="M129" s="529" t="s">
        <v>2452</v>
      </c>
      <c r="N129" s="508">
        <f t="shared" ca="1" si="177"/>
        <v>11.475</v>
      </c>
      <c r="O129" s="565">
        <v>1</v>
      </c>
      <c r="P129" s="594">
        <v>1.0999999999999999E-2</v>
      </c>
      <c r="Q129" s="170">
        <f t="shared" ca="1" si="187"/>
        <v>4.505446623093682E-2</v>
      </c>
      <c r="R129" s="508">
        <f t="shared" ca="1" si="188"/>
        <v>451</v>
      </c>
      <c r="T129" s="512">
        <v>4</v>
      </c>
      <c r="U129" s="516" t="s">
        <v>2252</v>
      </c>
      <c r="V129" s="529" t="s">
        <v>2452</v>
      </c>
      <c r="W129" s="508">
        <f t="shared" ca="1" si="180"/>
        <v>11.475</v>
      </c>
      <c r="X129" s="594">
        <v>1</v>
      </c>
      <c r="Y129" s="594">
        <v>1.0999999999999999E-2</v>
      </c>
      <c r="Z129" s="170">
        <f t="shared" ca="1" si="189"/>
        <v>4.5533769063180823E-2</v>
      </c>
      <c r="AA129" s="508">
        <f t="shared" ca="1" si="190"/>
        <v>455</v>
      </c>
      <c r="AC129" s="512">
        <v>4</v>
      </c>
      <c r="AD129" s="516" t="s">
        <v>2244</v>
      </c>
      <c r="AE129" s="529" t="s">
        <v>2452</v>
      </c>
      <c r="AF129" s="508">
        <f t="shared" ca="1" si="184"/>
        <v>11.475</v>
      </c>
      <c r="AG129" s="594">
        <v>1</v>
      </c>
      <c r="AH129" s="600">
        <v>8.9999999999999993E-3</v>
      </c>
      <c r="AI129" s="170">
        <f t="shared" ca="1" si="203"/>
        <v>5.0196078431372547E-2</v>
      </c>
      <c r="AJ129" s="508">
        <f t="shared" ca="1" si="204"/>
        <v>502</v>
      </c>
      <c r="AL129" s="512">
        <v>4</v>
      </c>
      <c r="AM129" s="516" t="s">
        <v>626</v>
      </c>
      <c r="AN129" s="512" t="s">
        <v>1211</v>
      </c>
      <c r="AO129" s="508">
        <f t="shared" ca="1" si="200"/>
        <v>81.599999999999994</v>
      </c>
      <c r="AP129" s="565">
        <v>2.5</v>
      </c>
      <c r="AQ129" s="508">
        <f>宝箱设定!$X105</f>
        <v>8.0299999999999996E-2</v>
      </c>
      <c r="AR129" s="170">
        <f t="shared" ca="1" si="201"/>
        <v>3.8181862745098036E-2</v>
      </c>
      <c r="AS129" s="279">
        <f t="shared" ca="1" si="202"/>
        <v>382</v>
      </c>
      <c r="AU129" s="512">
        <v>4</v>
      </c>
      <c r="AV129" s="516" t="s">
        <v>616</v>
      </c>
      <c r="AW129" s="512" t="s">
        <v>2394</v>
      </c>
      <c r="AX129" s="508">
        <f t="shared" ca="1" si="191"/>
        <v>52.8</v>
      </c>
      <c r="AY129" s="508">
        <v>5</v>
      </c>
      <c r="AZ129" s="508">
        <f>宝箱设定!$H113</f>
        <v>0.1147</v>
      </c>
      <c r="BA129" s="170">
        <f t="shared" ca="1" si="192"/>
        <v>2.8240530303030302E-2</v>
      </c>
      <c r="BB129" s="508">
        <f t="shared" ca="1" si="193"/>
        <v>282</v>
      </c>
      <c r="BD129" s="512">
        <v>4</v>
      </c>
      <c r="BE129" s="516" t="s">
        <v>616</v>
      </c>
      <c r="BF129" s="512" t="s">
        <v>2394</v>
      </c>
      <c r="BG129" s="508">
        <f t="shared" ca="1" si="194"/>
        <v>52.8</v>
      </c>
      <c r="BH129" s="508">
        <v>9.5</v>
      </c>
      <c r="BI129" s="508">
        <f>宝箱设定!$H113</f>
        <v>0.1147</v>
      </c>
      <c r="BJ129" s="170">
        <f t="shared" ca="1" si="195"/>
        <v>3.3728568580542267E-2</v>
      </c>
      <c r="BK129" s="379">
        <f t="shared" ca="1" si="196"/>
        <v>337</v>
      </c>
      <c r="BM129" s="512">
        <v>4</v>
      </c>
      <c r="BN129" s="527" t="s">
        <v>616</v>
      </c>
      <c r="BO129" s="525" t="s">
        <v>2394</v>
      </c>
      <c r="BP129" s="508">
        <f t="shared" ca="1" si="197"/>
        <v>52.8</v>
      </c>
      <c r="BQ129" s="508">
        <v>10</v>
      </c>
      <c r="BR129" s="523">
        <f>宝箱设定!$P113</f>
        <v>3.6999999999999998E-2</v>
      </c>
      <c r="BS129" s="170">
        <f t="shared" ca="1" si="198"/>
        <v>2.3125E-2</v>
      </c>
      <c r="BT129" s="508">
        <f t="shared" ca="1" si="199"/>
        <v>231</v>
      </c>
      <c r="BV129" s="293">
        <v>4</v>
      </c>
      <c r="BW129" s="527" t="s">
        <v>2265</v>
      </c>
      <c r="BX129" s="530" t="s">
        <v>2200</v>
      </c>
      <c r="BY129" s="523" t="str">
        <f t="shared" ca="1" si="156"/>
        <v>T2部件</v>
      </c>
      <c r="BZ129" s="662">
        <v>2</v>
      </c>
      <c r="CA129" s="632">
        <v>2.6499999999999999E-2</v>
      </c>
      <c r="CB129" s="170" t="e">
        <f t="shared" ca="1" si="170"/>
        <v>#VALUE!</v>
      </c>
      <c r="CC129" s="523" t="e">
        <f t="shared" ca="1" si="171"/>
        <v>#VALUE!</v>
      </c>
      <c r="CE129" s="512">
        <v>8</v>
      </c>
      <c r="CF129" s="527" t="s">
        <v>615</v>
      </c>
      <c r="CG129" s="525" t="s">
        <v>1211</v>
      </c>
      <c r="CH129" s="523">
        <f t="shared" ref="CH129:CH148" ca="1" si="205">IF(CG129="部件",VLOOKUP(CE129,INDIRECT(CG129&amp;"价值"),MATCH(LEFT(CF129,2)&amp;"部件",INDIRECT(CG129&amp;"价值标头"),0),FALSE),IF(CG129="加速道具",VLOOKUP(CF129,INDIRECT(CG129&amp;"价值"),MATCH("价格",INDIRECT(CG129&amp;"价值标头"),0),FALSE),VLOOKUP(CE129,INDIRECT(CG129&amp;"价值"),MATCH(CF129,INDIRECT(CG129&amp;"价值标头"),0),FALSE)))</f>
        <v>34.799999999999997</v>
      </c>
      <c r="CI129" s="523">
        <v>1</v>
      </c>
      <c r="CJ129" s="508">
        <v>1.4999999999999999E-2</v>
      </c>
      <c r="CK129" s="170">
        <f t="shared" ref="CK129:CK148" ca="1" si="206">CJ129*CF$4/CH129/CI129</f>
        <v>2.1551724137931036E-2</v>
      </c>
      <c r="CL129" s="508">
        <f t="shared" ref="CL129:CL148" ca="1" si="207">ROUND(CK129*10000,0)</f>
        <v>216</v>
      </c>
      <c r="CN129" s="618">
        <v>7</v>
      </c>
      <c r="CO129" s="621" t="s">
        <v>2289</v>
      </c>
      <c r="CP129" s="616" t="s">
        <v>2200</v>
      </c>
      <c r="CQ129" s="617" t="e">
        <f>VLOOKUP(LEFT(CO129,2)&amp;CP129,道具价值!$B$28:$C$30,2,FALSE)</f>
        <v>#N/A</v>
      </c>
      <c r="CR129" s="617">
        <v>1</v>
      </c>
      <c r="CS129" s="617">
        <v>5.6000000000000001E-2</v>
      </c>
      <c r="CT129" s="170">
        <f t="shared" si="172"/>
        <v>5.6000000000000001E-2</v>
      </c>
      <c r="CU129" s="617">
        <f t="shared" si="173"/>
        <v>560</v>
      </c>
    </row>
    <row r="130" spans="2:100" x14ac:dyDescent="0.35">
      <c r="B130" s="512">
        <v>4</v>
      </c>
      <c r="C130" s="512" t="s">
        <v>2254</v>
      </c>
      <c r="D130" s="529" t="s">
        <v>2452</v>
      </c>
      <c r="E130" s="508">
        <f t="shared" ca="1" si="174"/>
        <v>11.475</v>
      </c>
      <c r="F130" s="565">
        <v>2</v>
      </c>
      <c r="G130" s="594">
        <v>8.9999999999999993E-3</v>
      </c>
      <c r="H130" s="170">
        <f t="shared" ca="1" si="175"/>
        <v>2.3039215686274508E-2</v>
      </c>
      <c r="I130" s="508">
        <f t="shared" ca="1" si="176"/>
        <v>230</v>
      </c>
      <c r="K130" s="512">
        <v>4</v>
      </c>
      <c r="L130" s="512" t="s">
        <v>2254</v>
      </c>
      <c r="M130" s="529" t="s">
        <v>2452</v>
      </c>
      <c r="N130" s="508">
        <f t="shared" ca="1" si="177"/>
        <v>11.475</v>
      </c>
      <c r="O130" s="565">
        <v>1</v>
      </c>
      <c r="P130" s="594">
        <v>1.0999999999999999E-2</v>
      </c>
      <c r="Q130" s="170">
        <f t="shared" ca="1" si="187"/>
        <v>4.505446623093682E-2</v>
      </c>
      <c r="R130" s="508">
        <f t="shared" ca="1" si="188"/>
        <v>451</v>
      </c>
      <c r="T130" s="512">
        <v>4</v>
      </c>
      <c r="U130" s="512" t="s">
        <v>2254</v>
      </c>
      <c r="V130" s="529" t="s">
        <v>2452</v>
      </c>
      <c r="W130" s="508">
        <f t="shared" ca="1" si="180"/>
        <v>11.475</v>
      </c>
      <c r="X130" s="594">
        <v>1</v>
      </c>
      <c r="Y130" s="594">
        <v>1.0999999999999999E-2</v>
      </c>
      <c r="Z130" s="170">
        <f t="shared" ca="1" si="189"/>
        <v>4.5533769063180823E-2</v>
      </c>
      <c r="AA130" s="508">
        <f t="shared" ca="1" si="190"/>
        <v>455</v>
      </c>
      <c r="AC130" s="512">
        <v>4</v>
      </c>
      <c r="AD130" s="516" t="s">
        <v>2246</v>
      </c>
      <c r="AE130" s="529" t="s">
        <v>2452</v>
      </c>
      <c r="AF130" s="508">
        <f t="shared" ca="1" si="184"/>
        <v>11.475</v>
      </c>
      <c r="AG130" s="594">
        <v>1</v>
      </c>
      <c r="AH130" s="600">
        <v>8.9999999999999993E-3</v>
      </c>
      <c r="AI130" s="170">
        <f t="shared" ca="1" si="203"/>
        <v>5.0196078431372547E-2</v>
      </c>
      <c r="AJ130" s="508">
        <f t="shared" ca="1" si="204"/>
        <v>502</v>
      </c>
      <c r="AL130" s="512">
        <v>4</v>
      </c>
      <c r="AM130" s="516" t="s">
        <v>631</v>
      </c>
      <c r="AN130" s="512" t="s">
        <v>1211</v>
      </c>
      <c r="AO130" s="508">
        <f t="shared" ca="1" si="200"/>
        <v>81.599999999999994</v>
      </c>
      <c r="AP130" s="565">
        <v>2.5</v>
      </c>
      <c r="AQ130" s="508">
        <f>宝箱设定!$X106</f>
        <v>8.0299999999999996E-2</v>
      </c>
      <c r="AR130" s="170">
        <f t="shared" ca="1" si="201"/>
        <v>3.8181862745098036E-2</v>
      </c>
      <c r="AS130" s="279">
        <f t="shared" ca="1" si="202"/>
        <v>382</v>
      </c>
      <c r="AU130" s="512">
        <v>4</v>
      </c>
      <c r="AV130" s="516" t="s">
        <v>624</v>
      </c>
      <c r="AW130" s="512" t="s">
        <v>2394</v>
      </c>
      <c r="AX130" s="508">
        <f t="shared" ca="1" si="191"/>
        <v>52.8</v>
      </c>
      <c r="AY130" s="565">
        <v>5</v>
      </c>
      <c r="AZ130" s="508">
        <f>宝箱设定!$H114</f>
        <v>0.1147</v>
      </c>
      <c r="BA130" s="170">
        <f t="shared" ca="1" si="192"/>
        <v>2.8240530303030302E-2</v>
      </c>
      <c r="BB130" s="508">
        <f t="shared" ca="1" si="193"/>
        <v>282</v>
      </c>
      <c r="BD130" s="512">
        <v>4</v>
      </c>
      <c r="BE130" s="516" t="s">
        <v>624</v>
      </c>
      <c r="BF130" s="512" t="s">
        <v>2394</v>
      </c>
      <c r="BG130" s="508">
        <f t="shared" ca="1" si="194"/>
        <v>52.8</v>
      </c>
      <c r="BH130" s="615">
        <v>9.5</v>
      </c>
      <c r="BI130" s="508">
        <f>宝箱设定!$H114</f>
        <v>0.1147</v>
      </c>
      <c r="BJ130" s="170">
        <f t="shared" ca="1" si="195"/>
        <v>3.3728568580542267E-2</v>
      </c>
      <c r="BK130" s="379">
        <f t="shared" ca="1" si="196"/>
        <v>337</v>
      </c>
      <c r="BM130" s="512">
        <v>4</v>
      </c>
      <c r="BN130" s="527" t="s">
        <v>624</v>
      </c>
      <c r="BO130" s="525" t="s">
        <v>2394</v>
      </c>
      <c r="BP130" s="508">
        <f t="shared" ca="1" si="197"/>
        <v>52.8</v>
      </c>
      <c r="BQ130" s="632">
        <v>10</v>
      </c>
      <c r="BR130" s="523">
        <f>宝箱设定!$P114</f>
        <v>3.6999999999999998E-2</v>
      </c>
      <c r="BS130" s="170">
        <f t="shared" ca="1" si="198"/>
        <v>2.3125E-2</v>
      </c>
      <c r="BT130" s="508">
        <f t="shared" ca="1" si="199"/>
        <v>231</v>
      </c>
      <c r="BV130" s="293">
        <v>4</v>
      </c>
      <c r="BW130" s="527" t="s">
        <v>2267</v>
      </c>
      <c r="BX130" s="530" t="s">
        <v>2200</v>
      </c>
      <c r="BY130" s="523" t="str">
        <f t="shared" ca="1" si="156"/>
        <v>T2部件</v>
      </c>
      <c r="BZ130" s="662">
        <v>2</v>
      </c>
      <c r="CA130" s="632">
        <v>2.6499999999999999E-2</v>
      </c>
      <c r="CB130" s="170" t="e">
        <f t="shared" ca="1" si="170"/>
        <v>#VALUE!</v>
      </c>
      <c r="CC130" s="523" t="e">
        <f t="shared" ca="1" si="171"/>
        <v>#VALUE!</v>
      </c>
      <c r="CE130" s="512">
        <v>8</v>
      </c>
      <c r="CF130" s="527" t="s">
        <v>623</v>
      </c>
      <c r="CG130" s="525" t="s">
        <v>1211</v>
      </c>
      <c r="CH130" s="523">
        <f t="shared" ca="1" si="205"/>
        <v>34.799999999999997</v>
      </c>
      <c r="CI130" s="662">
        <v>1</v>
      </c>
      <c r="CJ130" s="571">
        <v>1.4999999999999999E-2</v>
      </c>
      <c r="CK130" s="170">
        <f t="shared" ca="1" si="206"/>
        <v>2.1551724137931036E-2</v>
      </c>
      <c r="CL130" s="508">
        <f t="shared" ca="1" si="207"/>
        <v>216</v>
      </c>
      <c r="CN130" s="618">
        <v>7</v>
      </c>
      <c r="CO130" s="618" t="s">
        <v>2291</v>
      </c>
      <c r="CP130" s="616" t="s">
        <v>2200</v>
      </c>
      <c r="CQ130" s="617" t="e">
        <f>VLOOKUP(LEFT(CO130,2)&amp;CP130,道具价值!$B$28:$C$30,2,FALSE)</f>
        <v>#N/A</v>
      </c>
      <c r="CR130" s="618">
        <v>1</v>
      </c>
      <c r="CS130" s="617">
        <v>5.6000000000000001E-2</v>
      </c>
      <c r="CT130" s="170">
        <f t="shared" si="172"/>
        <v>5.6000000000000001E-2</v>
      </c>
      <c r="CU130" s="617">
        <f t="shared" si="173"/>
        <v>560</v>
      </c>
    </row>
    <row r="131" spans="2:100" x14ac:dyDescent="0.35">
      <c r="B131" s="512">
        <v>4</v>
      </c>
      <c r="C131" s="512" t="s">
        <v>2256</v>
      </c>
      <c r="D131" s="529" t="s">
        <v>2452</v>
      </c>
      <c r="E131" s="508">
        <f t="shared" ca="1" si="174"/>
        <v>11.475</v>
      </c>
      <c r="F131" s="565">
        <v>2</v>
      </c>
      <c r="G131" s="594">
        <v>8.9999999999999993E-3</v>
      </c>
      <c r="H131" s="170">
        <f t="shared" ca="1" si="175"/>
        <v>2.3039215686274508E-2</v>
      </c>
      <c r="I131" s="508">
        <f t="shared" ca="1" si="176"/>
        <v>230</v>
      </c>
      <c r="K131" s="512">
        <v>4</v>
      </c>
      <c r="L131" s="512" t="s">
        <v>2256</v>
      </c>
      <c r="M131" s="529" t="s">
        <v>2452</v>
      </c>
      <c r="N131" s="508">
        <f t="shared" ca="1" si="177"/>
        <v>11.475</v>
      </c>
      <c r="O131" s="565">
        <v>1</v>
      </c>
      <c r="P131" s="594">
        <v>1.0999999999999999E-2</v>
      </c>
      <c r="Q131" s="170">
        <f t="shared" ca="1" si="187"/>
        <v>4.505446623093682E-2</v>
      </c>
      <c r="R131" s="508">
        <f t="shared" ca="1" si="188"/>
        <v>451</v>
      </c>
      <c r="T131" s="512">
        <v>4</v>
      </c>
      <c r="U131" s="512" t="s">
        <v>2256</v>
      </c>
      <c r="V131" s="529" t="s">
        <v>2452</v>
      </c>
      <c r="W131" s="508">
        <f t="shared" ca="1" si="180"/>
        <v>11.475</v>
      </c>
      <c r="X131" s="594">
        <v>1</v>
      </c>
      <c r="Y131" s="594">
        <v>1.0999999999999999E-2</v>
      </c>
      <c r="Z131" s="170">
        <f t="shared" ca="1" si="189"/>
        <v>4.5533769063180823E-2</v>
      </c>
      <c r="AA131" s="508">
        <f t="shared" ca="1" si="190"/>
        <v>455</v>
      </c>
      <c r="AC131" s="512">
        <v>4</v>
      </c>
      <c r="AD131" s="516" t="s">
        <v>2248</v>
      </c>
      <c r="AE131" s="529" t="s">
        <v>2452</v>
      </c>
      <c r="AF131" s="508">
        <f t="shared" ca="1" si="184"/>
        <v>11.475</v>
      </c>
      <c r="AG131" s="594">
        <v>1</v>
      </c>
      <c r="AH131" s="600">
        <v>8.9999999999999993E-3</v>
      </c>
      <c r="AI131" s="170">
        <f t="shared" ca="1" si="203"/>
        <v>5.0196078431372547E-2</v>
      </c>
      <c r="AJ131" s="508">
        <f t="shared" ca="1" si="204"/>
        <v>502</v>
      </c>
      <c r="AL131" s="512">
        <v>4</v>
      </c>
      <c r="AM131" s="516" t="s">
        <v>2239</v>
      </c>
      <c r="AN131" s="529" t="s">
        <v>2452</v>
      </c>
      <c r="AO131" s="508">
        <f t="shared" ca="1" si="200"/>
        <v>11.475</v>
      </c>
      <c r="AP131" s="600">
        <v>1.5</v>
      </c>
      <c r="AQ131" s="633">
        <v>6.0000000000000001E-3</v>
      </c>
      <c r="AR131" s="170">
        <f t="shared" ref="AR131:AR163" ca="1" si="208">AQ131*AM$4/AO131/AP131</f>
        <v>3.3812636165577344E-2</v>
      </c>
      <c r="AS131" s="508">
        <f t="shared" ref="AS131:AS163" ca="1" si="209">ROUND(AR131*10000,0)</f>
        <v>338</v>
      </c>
      <c r="AU131" s="512">
        <v>4</v>
      </c>
      <c r="AV131" s="516" t="s">
        <v>630</v>
      </c>
      <c r="AW131" s="512" t="s">
        <v>2394</v>
      </c>
      <c r="AX131" s="508">
        <f t="shared" ca="1" si="191"/>
        <v>52.8</v>
      </c>
      <c r="AY131" s="565">
        <v>5</v>
      </c>
      <c r="AZ131" s="508">
        <f>宝箱设定!$H115</f>
        <v>0.1147</v>
      </c>
      <c r="BA131" s="170">
        <f t="shared" ca="1" si="192"/>
        <v>2.8240530303030302E-2</v>
      </c>
      <c r="BB131" s="508">
        <f t="shared" ca="1" si="193"/>
        <v>282</v>
      </c>
      <c r="BD131" s="512">
        <v>4</v>
      </c>
      <c r="BE131" s="516" t="s">
        <v>630</v>
      </c>
      <c r="BF131" s="512" t="s">
        <v>2394</v>
      </c>
      <c r="BG131" s="508">
        <f t="shared" ca="1" si="194"/>
        <v>52.8</v>
      </c>
      <c r="BH131" s="615">
        <v>9.5</v>
      </c>
      <c r="BI131" s="508">
        <f>宝箱设定!$H115</f>
        <v>0.1147</v>
      </c>
      <c r="BJ131" s="170">
        <f t="shared" ca="1" si="195"/>
        <v>3.3728568580542267E-2</v>
      </c>
      <c r="BK131" s="379">
        <f t="shared" ca="1" si="196"/>
        <v>337</v>
      </c>
      <c r="BM131" s="512">
        <v>4</v>
      </c>
      <c r="BN131" s="527" t="s">
        <v>630</v>
      </c>
      <c r="BO131" s="525" t="s">
        <v>2394</v>
      </c>
      <c r="BP131" s="508">
        <f t="shared" ca="1" si="197"/>
        <v>52.8</v>
      </c>
      <c r="BQ131" s="632">
        <v>10</v>
      </c>
      <c r="BR131" s="523">
        <f>宝箱设定!$P115</f>
        <v>3.6999999999999998E-2</v>
      </c>
      <c r="BS131" s="170">
        <f t="shared" ca="1" si="198"/>
        <v>2.3125E-2</v>
      </c>
      <c r="BT131" s="508">
        <f t="shared" ca="1" si="199"/>
        <v>231</v>
      </c>
      <c r="BV131" s="293">
        <v>4</v>
      </c>
      <c r="BW131" s="527" t="s">
        <v>2269</v>
      </c>
      <c r="BX131" s="530" t="s">
        <v>2200</v>
      </c>
      <c r="BY131" s="523" t="str">
        <f t="shared" ca="1" si="156"/>
        <v>T2部件</v>
      </c>
      <c r="BZ131" s="662">
        <v>2</v>
      </c>
      <c r="CA131" s="632">
        <v>2.6499999999999999E-2</v>
      </c>
      <c r="CB131" s="170" t="e">
        <f t="shared" ca="1" si="170"/>
        <v>#VALUE!</v>
      </c>
      <c r="CC131" s="523" t="e">
        <f t="shared" ca="1" si="171"/>
        <v>#VALUE!</v>
      </c>
      <c r="CE131" s="512">
        <v>8</v>
      </c>
      <c r="CF131" s="527" t="s">
        <v>721</v>
      </c>
      <c r="CG131" s="525" t="s">
        <v>1211</v>
      </c>
      <c r="CH131" s="523">
        <f t="shared" ca="1" si="205"/>
        <v>34.799999999999997</v>
      </c>
      <c r="CI131" s="662">
        <v>1</v>
      </c>
      <c r="CJ131" s="571">
        <v>1.4999999999999999E-2</v>
      </c>
      <c r="CK131" s="170">
        <f t="shared" ca="1" si="206"/>
        <v>2.1551724137931036E-2</v>
      </c>
      <c r="CL131" s="508">
        <f t="shared" ca="1" si="207"/>
        <v>216</v>
      </c>
      <c r="CN131" s="618">
        <v>7</v>
      </c>
      <c r="CO131" s="618" t="s">
        <v>2293</v>
      </c>
      <c r="CP131" s="616" t="s">
        <v>2200</v>
      </c>
      <c r="CQ131" s="617" t="e">
        <f>VLOOKUP(LEFT(CO131,2)&amp;CP131,道具价值!$B$28:$C$30,2,FALSE)</f>
        <v>#N/A</v>
      </c>
      <c r="CR131" s="617">
        <v>1</v>
      </c>
      <c r="CS131" s="617">
        <v>5.6000000000000001E-2</v>
      </c>
      <c r="CT131" s="170">
        <f t="shared" si="172"/>
        <v>5.6000000000000001E-2</v>
      </c>
      <c r="CU131" s="617">
        <f t="shared" si="173"/>
        <v>560</v>
      </c>
    </row>
    <row r="132" spans="2:100" x14ac:dyDescent="0.35">
      <c r="B132" s="512">
        <v>4</v>
      </c>
      <c r="C132" s="516" t="s">
        <v>2241</v>
      </c>
      <c r="D132" s="529" t="s">
        <v>2452</v>
      </c>
      <c r="E132" s="508">
        <f t="shared" ca="1" si="174"/>
        <v>11.475</v>
      </c>
      <c r="F132" s="565">
        <v>2</v>
      </c>
      <c r="G132" s="594">
        <v>8.9999999999999993E-3</v>
      </c>
      <c r="H132" s="170">
        <f t="shared" ca="1" si="175"/>
        <v>2.3039215686274508E-2</v>
      </c>
      <c r="I132" s="508">
        <f t="shared" ca="1" si="176"/>
        <v>230</v>
      </c>
      <c r="K132" s="512">
        <v>4</v>
      </c>
      <c r="L132" s="516" t="s">
        <v>2241</v>
      </c>
      <c r="M132" s="529" t="s">
        <v>2452</v>
      </c>
      <c r="N132" s="508">
        <f t="shared" ca="1" si="177"/>
        <v>11.475</v>
      </c>
      <c r="O132" s="565">
        <v>1</v>
      </c>
      <c r="P132" s="594">
        <v>1.0999999999999999E-2</v>
      </c>
      <c r="Q132" s="170">
        <f t="shared" ca="1" si="187"/>
        <v>4.505446623093682E-2</v>
      </c>
      <c r="R132" s="508">
        <f t="shared" ca="1" si="188"/>
        <v>451</v>
      </c>
      <c r="T132" s="512">
        <v>4</v>
      </c>
      <c r="U132" s="516" t="s">
        <v>2241</v>
      </c>
      <c r="V132" s="529" t="s">
        <v>2452</v>
      </c>
      <c r="W132" s="508">
        <f t="shared" ca="1" si="180"/>
        <v>11.475</v>
      </c>
      <c r="X132" s="594">
        <v>1</v>
      </c>
      <c r="Y132" s="594">
        <v>1.0999999999999999E-2</v>
      </c>
      <c r="Z132" s="170">
        <f t="shared" ca="1" si="189"/>
        <v>4.5533769063180823E-2</v>
      </c>
      <c r="AA132" s="508">
        <f t="shared" ca="1" si="190"/>
        <v>455</v>
      </c>
      <c r="AC132" s="512">
        <v>4</v>
      </c>
      <c r="AD132" s="516" t="s">
        <v>2250</v>
      </c>
      <c r="AE132" s="529" t="s">
        <v>2452</v>
      </c>
      <c r="AF132" s="508">
        <f t="shared" ca="1" si="184"/>
        <v>11.475</v>
      </c>
      <c r="AG132" s="594">
        <v>1</v>
      </c>
      <c r="AH132" s="600">
        <v>8.9999999999999993E-3</v>
      </c>
      <c r="AI132" s="170">
        <f t="shared" ca="1" si="203"/>
        <v>5.0196078431372547E-2</v>
      </c>
      <c r="AJ132" s="508">
        <f t="shared" ca="1" si="204"/>
        <v>502</v>
      </c>
      <c r="AL132" s="512">
        <v>4</v>
      </c>
      <c r="AM132" s="516" t="s">
        <v>2242</v>
      </c>
      <c r="AN132" s="529" t="s">
        <v>2452</v>
      </c>
      <c r="AO132" s="508">
        <f t="shared" ca="1" si="200"/>
        <v>11.475</v>
      </c>
      <c r="AP132" s="600">
        <v>1.5</v>
      </c>
      <c r="AQ132" s="633">
        <v>6.0000000000000001E-3</v>
      </c>
      <c r="AR132" s="170">
        <f t="shared" ca="1" si="208"/>
        <v>3.3812636165577344E-2</v>
      </c>
      <c r="AS132" s="508">
        <f t="shared" ca="1" si="209"/>
        <v>338</v>
      </c>
      <c r="AU132" s="512">
        <v>4</v>
      </c>
      <c r="AV132" s="516" t="s">
        <v>617</v>
      </c>
      <c r="AW132" s="512" t="s">
        <v>2394</v>
      </c>
      <c r="AX132" s="508">
        <f t="shared" ca="1" si="191"/>
        <v>81.599999999999994</v>
      </c>
      <c r="AY132" s="508">
        <v>1.5</v>
      </c>
      <c r="AZ132" s="508">
        <f>宝箱设定!$H116</f>
        <v>3.6999999999999998E-2</v>
      </c>
      <c r="BA132" s="170">
        <f t="shared" ca="1" si="192"/>
        <v>1.9648692810457516E-2</v>
      </c>
      <c r="BB132" s="508">
        <f t="shared" ca="1" si="193"/>
        <v>196</v>
      </c>
      <c r="BD132" s="512">
        <v>4</v>
      </c>
      <c r="BE132" s="516" t="s">
        <v>617</v>
      </c>
      <c r="BF132" s="512" t="s">
        <v>2394</v>
      </c>
      <c r="BG132" s="508">
        <f t="shared" ca="1" si="194"/>
        <v>81.599999999999994</v>
      </c>
      <c r="BH132" s="508">
        <v>5</v>
      </c>
      <c r="BI132" s="508">
        <f>宝箱设定!$H116</f>
        <v>3.6999999999999998E-2</v>
      </c>
      <c r="BJ132" s="170">
        <f t="shared" ca="1" si="195"/>
        <v>1.3376225490196078E-2</v>
      </c>
      <c r="BK132" s="379">
        <f t="shared" ca="1" si="196"/>
        <v>134</v>
      </c>
      <c r="BM132" s="512">
        <v>4</v>
      </c>
      <c r="BN132" s="527" t="s">
        <v>617</v>
      </c>
      <c r="BO132" s="525" t="s">
        <v>2394</v>
      </c>
      <c r="BP132" s="508">
        <f t="shared" ca="1" si="197"/>
        <v>81.599999999999994</v>
      </c>
      <c r="BQ132" s="508">
        <v>5</v>
      </c>
      <c r="BR132" s="523">
        <f>宝箱设定!$P116</f>
        <v>3.6999999999999998E-2</v>
      </c>
      <c r="BS132" s="170">
        <f t="shared" ca="1" si="198"/>
        <v>2.9926470588235294E-2</v>
      </c>
      <c r="BT132" s="508">
        <f t="shared" ca="1" si="199"/>
        <v>299</v>
      </c>
      <c r="BV132" s="293">
        <v>4</v>
      </c>
      <c r="BW132" s="527" t="s">
        <v>2271</v>
      </c>
      <c r="BX132" s="530" t="s">
        <v>2200</v>
      </c>
      <c r="BY132" s="523" t="str">
        <f t="shared" ca="1" si="156"/>
        <v>T2部件</v>
      </c>
      <c r="BZ132" s="662">
        <v>2</v>
      </c>
      <c r="CA132" s="632">
        <v>2.6499999999999999E-2</v>
      </c>
      <c r="CB132" s="170" t="e">
        <f t="shared" ca="1" si="170"/>
        <v>#VALUE!</v>
      </c>
      <c r="CC132" s="523" t="e">
        <f t="shared" ca="1" si="171"/>
        <v>#VALUE!</v>
      </c>
      <c r="CE132" s="512">
        <v>8</v>
      </c>
      <c r="CF132" s="527" t="s">
        <v>616</v>
      </c>
      <c r="CG132" s="525" t="s">
        <v>1211</v>
      </c>
      <c r="CH132" s="523">
        <f t="shared" ca="1" si="205"/>
        <v>38.4</v>
      </c>
      <c r="CI132" s="662">
        <v>1</v>
      </c>
      <c r="CJ132" s="578">
        <v>0.02</v>
      </c>
      <c r="CK132" s="170">
        <f t="shared" ca="1" si="206"/>
        <v>2.6041666666666668E-2</v>
      </c>
      <c r="CL132" s="508">
        <f t="shared" ca="1" si="207"/>
        <v>260</v>
      </c>
    </row>
    <row r="133" spans="2:100" x14ac:dyDescent="0.35">
      <c r="B133" s="512">
        <v>4</v>
      </c>
      <c r="C133" s="516" t="s">
        <v>2243</v>
      </c>
      <c r="D133" s="529" t="s">
        <v>2452</v>
      </c>
      <c r="E133" s="508">
        <f t="shared" ca="1" si="174"/>
        <v>11.475</v>
      </c>
      <c r="F133" s="565">
        <v>2</v>
      </c>
      <c r="G133" s="594">
        <v>8.9999999999999993E-3</v>
      </c>
      <c r="H133" s="170">
        <f t="shared" ca="1" si="175"/>
        <v>2.3039215686274508E-2</v>
      </c>
      <c r="I133" s="508">
        <f t="shared" ca="1" si="176"/>
        <v>230</v>
      </c>
      <c r="K133" s="512">
        <v>4</v>
      </c>
      <c r="L133" s="516" t="s">
        <v>2243</v>
      </c>
      <c r="M133" s="529" t="s">
        <v>2452</v>
      </c>
      <c r="N133" s="508">
        <f t="shared" ca="1" si="177"/>
        <v>11.475</v>
      </c>
      <c r="O133" s="565">
        <v>1</v>
      </c>
      <c r="P133" s="594">
        <v>1.0999999999999999E-2</v>
      </c>
      <c r="Q133" s="170">
        <f t="shared" ca="1" si="187"/>
        <v>4.505446623093682E-2</v>
      </c>
      <c r="R133" s="508">
        <f t="shared" ca="1" si="188"/>
        <v>451</v>
      </c>
      <c r="T133" s="512">
        <v>4</v>
      </c>
      <c r="U133" s="516" t="s">
        <v>2243</v>
      </c>
      <c r="V133" s="529" t="s">
        <v>2452</v>
      </c>
      <c r="W133" s="508">
        <f t="shared" ca="1" si="180"/>
        <v>11.475</v>
      </c>
      <c r="X133" s="594">
        <v>1</v>
      </c>
      <c r="Y133" s="594">
        <v>1.0999999999999999E-2</v>
      </c>
      <c r="Z133" s="170">
        <f t="shared" ca="1" si="189"/>
        <v>4.5533769063180823E-2</v>
      </c>
      <c r="AA133" s="508">
        <f t="shared" ca="1" si="190"/>
        <v>455</v>
      </c>
      <c r="AC133" s="512">
        <v>4</v>
      </c>
      <c r="AD133" s="516" t="s">
        <v>2252</v>
      </c>
      <c r="AE133" s="529" t="s">
        <v>2452</v>
      </c>
      <c r="AF133" s="508">
        <f t="shared" ca="1" si="184"/>
        <v>11.475</v>
      </c>
      <c r="AG133" s="594">
        <v>1</v>
      </c>
      <c r="AH133" s="600">
        <v>8.9999999999999993E-3</v>
      </c>
      <c r="AI133" s="170">
        <f t="shared" ca="1" si="203"/>
        <v>5.0196078431372547E-2</v>
      </c>
      <c r="AJ133" s="508">
        <f t="shared" ca="1" si="204"/>
        <v>502</v>
      </c>
      <c r="AL133" s="512">
        <v>4</v>
      </c>
      <c r="AM133" s="516" t="s">
        <v>2244</v>
      </c>
      <c r="AN133" s="529" t="s">
        <v>2452</v>
      </c>
      <c r="AO133" s="508">
        <f t="shared" ca="1" si="200"/>
        <v>11.475</v>
      </c>
      <c r="AP133" s="600">
        <v>1.5</v>
      </c>
      <c r="AQ133" s="633">
        <v>6.0000000000000001E-3</v>
      </c>
      <c r="AR133" s="170">
        <f t="shared" ca="1" si="208"/>
        <v>3.3812636165577344E-2</v>
      </c>
      <c r="AS133" s="508">
        <f t="shared" ca="1" si="209"/>
        <v>338</v>
      </c>
      <c r="AU133" s="512">
        <v>4</v>
      </c>
      <c r="AV133" s="516" t="s">
        <v>626</v>
      </c>
      <c r="AW133" s="512" t="s">
        <v>2394</v>
      </c>
      <c r="AX133" s="508">
        <f t="shared" ca="1" si="191"/>
        <v>81.599999999999994</v>
      </c>
      <c r="AY133" s="523">
        <v>1.5</v>
      </c>
      <c r="AZ133" s="508">
        <f>宝箱设定!$H117</f>
        <v>3.6999999999999998E-2</v>
      </c>
      <c r="BA133" s="170">
        <f t="shared" ca="1" si="192"/>
        <v>1.9648692810457516E-2</v>
      </c>
      <c r="BB133" s="508">
        <f t="shared" ca="1" si="193"/>
        <v>196</v>
      </c>
      <c r="BD133" s="512">
        <v>4</v>
      </c>
      <c r="BE133" s="516" t="s">
        <v>626</v>
      </c>
      <c r="BF133" s="512" t="s">
        <v>2394</v>
      </c>
      <c r="BG133" s="508">
        <f t="shared" ca="1" si="194"/>
        <v>81.599999999999994</v>
      </c>
      <c r="BH133" s="615">
        <v>5</v>
      </c>
      <c r="BI133" s="508">
        <f>宝箱设定!$H117</f>
        <v>3.6999999999999998E-2</v>
      </c>
      <c r="BJ133" s="170">
        <f t="shared" ca="1" si="195"/>
        <v>1.3376225490196078E-2</v>
      </c>
      <c r="BK133" s="379">
        <f t="shared" ca="1" si="196"/>
        <v>134</v>
      </c>
      <c r="BM133" s="512">
        <v>4</v>
      </c>
      <c r="BN133" s="527" t="s">
        <v>626</v>
      </c>
      <c r="BO133" s="525" t="s">
        <v>2394</v>
      </c>
      <c r="BP133" s="508">
        <f t="shared" ca="1" si="197"/>
        <v>81.599999999999994</v>
      </c>
      <c r="BQ133" s="632">
        <v>5</v>
      </c>
      <c r="BR133" s="523">
        <f>宝箱设定!$P117</f>
        <v>3.6999999999999998E-2</v>
      </c>
      <c r="BS133" s="170">
        <f t="shared" ca="1" si="198"/>
        <v>2.9926470588235294E-2</v>
      </c>
      <c r="BT133" s="508">
        <f t="shared" ca="1" si="199"/>
        <v>299</v>
      </c>
      <c r="BV133" s="293">
        <v>4</v>
      </c>
      <c r="BW133" s="525" t="s">
        <v>2273</v>
      </c>
      <c r="BX133" s="530" t="s">
        <v>2200</v>
      </c>
      <c r="BY133" s="523" t="str">
        <f t="shared" ca="1" si="156"/>
        <v>T2部件</v>
      </c>
      <c r="BZ133" s="662">
        <v>2</v>
      </c>
      <c r="CA133" s="632">
        <v>2.6499999999999999E-2</v>
      </c>
      <c r="CB133" s="170" t="e">
        <f t="shared" ca="1" si="170"/>
        <v>#VALUE!</v>
      </c>
      <c r="CC133" s="523" t="e">
        <f t="shared" ca="1" si="171"/>
        <v>#VALUE!</v>
      </c>
      <c r="CE133" s="512">
        <v>8</v>
      </c>
      <c r="CF133" s="527" t="s">
        <v>624</v>
      </c>
      <c r="CG133" s="525" t="s">
        <v>1211</v>
      </c>
      <c r="CH133" s="523">
        <f t="shared" ca="1" si="205"/>
        <v>38.4</v>
      </c>
      <c r="CI133" s="662">
        <v>1</v>
      </c>
      <c r="CJ133" s="578">
        <v>0.02</v>
      </c>
      <c r="CK133" s="170">
        <f t="shared" ca="1" si="206"/>
        <v>2.6041666666666668E-2</v>
      </c>
      <c r="CL133" s="508">
        <f t="shared" ca="1" si="207"/>
        <v>260</v>
      </c>
    </row>
    <row r="134" spans="2:100" x14ac:dyDescent="0.35">
      <c r="B134" s="512">
        <v>4</v>
      </c>
      <c r="C134" s="516" t="s">
        <v>2245</v>
      </c>
      <c r="D134" s="529" t="s">
        <v>2452</v>
      </c>
      <c r="E134" s="508">
        <f t="shared" ca="1" si="174"/>
        <v>11.475</v>
      </c>
      <c r="F134" s="565">
        <v>2</v>
      </c>
      <c r="G134" s="594">
        <v>8.9999999999999993E-3</v>
      </c>
      <c r="H134" s="170">
        <f t="shared" ca="1" si="175"/>
        <v>2.3039215686274508E-2</v>
      </c>
      <c r="I134" s="508">
        <f t="shared" ca="1" si="176"/>
        <v>230</v>
      </c>
      <c r="K134" s="512">
        <v>4</v>
      </c>
      <c r="L134" s="516" t="s">
        <v>2245</v>
      </c>
      <c r="M134" s="529" t="s">
        <v>2452</v>
      </c>
      <c r="N134" s="508">
        <f t="shared" ca="1" si="177"/>
        <v>11.475</v>
      </c>
      <c r="O134" s="565">
        <v>1</v>
      </c>
      <c r="P134" s="594">
        <v>1.0999999999999999E-2</v>
      </c>
      <c r="Q134" s="170">
        <f t="shared" ca="1" si="187"/>
        <v>4.505446623093682E-2</v>
      </c>
      <c r="R134" s="508">
        <f t="shared" ca="1" si="188"/>
        <v>451</v>
      </c>
      <c r="T134" s="512">
        <v>4</v>
      </c>
      <c r="U134" s="516" t="s">
        <v>2245</v>
      </c>
      <c r="V134" s="529" t="s">
        <v>2452</v>
      </c>
      <c r="W134" s="508">
        <f t="shared" ca="1" si="180"/>
        <v>11.475</v>
      </c>
      <c r="X134" s="594">
        <v>1</v>
      </c>
      <c r="Y134" s="594">
        <v>1.0999999999999999E-2</v>
      </c>
      <c r="Z134" s="170">
        <f t="shared" ca="1" si="189"/>
        <v>4.5533769063180823E-2</v>
      </c>
      <c r="AA134" s="508">
        <f t="shared" ca="1" si="190"/>
        <v>455</v>
      </c>
      <c r="AC134" s="512">
        <v>4</v>
      </c>
      <c r="AD134" s="512" t="s">
        <v>2254</v>
      </c>
      <c r="AE134" s="529" t="s">
        <v>2452</v>
      </c>
      <c r="AF134" s="508">
        <f t="shared" ca="1" si="184"/>
        <v>11.475</v>
      </c>
      <c r="AG134" s="594">
        <v>1</v>
      </c>
      <c r="AH134" s="600">
        <v>8.9999999999999993E-3</v>
      </c>
      <c r="AI134" s="170">
        <f t="shared" ca="1" si="203"/>
        <v>5.0196078431372547E-2</v>
      </c>
      <c r="AJ134" s="508">
        <f t="shared" ca="1" si="204"/>
        <v>502</v>
      </c>
      <c r="AL134" s="512">
        <v>4</v>
      </c>
      <c r="AM134" s="516" t="s">
        <v>2246</v>
      </c>
      <c r="AN134" s="529" t="s">
        <v>2452</v>
      </c>
      <c r="AO134" s="508">
        <f t="shared" ca="1" si="200"/>
        <v>11.475</v>
      </c>
      <c r="AP134" s="600">
        <v>1.5</v>
      </c>
      <c r="AQ134" s="633">
        <v>6.0000000000000001E-3</v>
      </c>
      <c r="AR134" s="170">
        <f t="shared" ca="1" si="208"/>
        <v>3.3812636165577344E-2</v>
      </c>
      <c r="AS134" s="508">
        <f t="shared" ca="1" si="209"/>
        <v>338</v>
      </c>
      <c r="AU134" s="512">
        <v>4</v>
      </c>
      <c r="AV134" s="516" t="s">
        <v>631</v>
      </c>
      <c r="AW134" s="512" t="s">
        <v>2394</v>
      </c>
      <c r="AX134" s="508">
        <f t="shared" ca="1" si="191"/>
        <v>81.599999999999994</v>
      </c>
      <c r="AY134" s="523">
        <v>1.5</v>
      </c>
      <c r="AZ134" s="508">
        <f>宝箱设定!$H118</f>
        <v>3.6999999999999998E-2</v>
      </c>
      <c r="BA134" s="170">
        <f t="shared" ca="1" si="192"/>
        <v>1.9648692810457516E-2</v>
      </c>
      <c r="BB134" s="508">
        <f t="shared" ca="1" si="193"/>
        <v>196</v>
      </c>
      <c r="BD134" s="512">
        <v>4</v>
      </c>
      <c r="BE134" s="516" t="s">
        <v>631</v>
      </c>
      <c r="BF134" s="512" t="s">
        <v>2394</v>
      </c>
      <c r="BG134" s="508">
        <f t="shared" ca="1" si="194"/>
        <v>81.599999999999994</v>
      </c>
      <c r="BH134" s="615">
        <v>5</v>
      </c>
      <c r="BI134" s="508">
        <f>宝箱设定!$H118</f>
        <v>3.6999999999999998E-2</v>
      </c>
      <c r="BJ134" s="170">
        <f t="shared" ca="1" si="195"/>
        <v>1.3376225490196078E-2</v>
      </c>
      <c r="BK134" s="379">
        <f t="shared" ca="1" si="196"/>
        <v>134</v>
      </c>
      <c r="BM134" s="512">
        <v>4</v>
      </c>
      <c r="BN134" s="527" t="s">
        <v>631</v>
      </c>
      <c r="BO134" s="525" t="s">
        <v>2394</v>
      </c>
      <c r="BP134" s="508">
        <f t="shared" ca="1" si="197"/>
        <v>81.599999999999994</v>
      </c>
      <c r="BQ134" s="632">
        <v>5</v>
      </c>
      <c r="BR134" s="523">
        <f>宝箱设定!$P118</f>
        <v>3.6999999999999998E-2</v>
      </c>
      <c r="BS134" s="170">
        <f t="shared" ca="1" si="198"/>
        <v>2.9926470588235294E-2</v>
      </c>
      <c r="BT134" s="508">
        <f t="shared" ca="1" si="199"/>
        <v>299</v>
      </c>
      <c r="BV134" s="293">
        <v>4</v>
      </c>
      <c r="BW134" s="525" t="s">
        <v>2275</v>
      </c>
      <c r="BX134" s="530" t="s">
        <v>2200</v>
      </c>
      <c r="BY134" s="523" t="str">
        <f t="shared" ca="1" si="156"/>
        <v>T2部件</v>
      </c>
      <c r="BZ134" s="662">
        <v>2</v>
      </c>
      <c r="CA134" s="632">
        <v>2.6499999999999999E-2</v>
      </c>
      <c r="CB134" s="170" t="e">
        <f t="shared" ca="1" si="170"/>
        <v>#VALUE!</v>
      </c>
      <c r="CC134" s="523" t="e">
        <f t="shared" ca="1" si="171"/>
        <v>#VALUE!</v>
      </c>
      <c r="CE134" s="512">
        <v>8</v>
      </c>
      <c r="CF134" s="527" t="s">
        <v>630</v>
      </c>
      <c r="CG134" s="525" t="s">
        <v>1211</v>
      </c>
      <c r="CH134" s="523">
        <f t="shared" ca="1" si="205"/>
        <v>38.4</v>
      </c>
      <c r="CI134" s="662">
        <v>1</v>
      </c>
      <c r="CJ134" s="578">
        <v>0.02</v>
      </c>
      <c r="CK134" s="170">
        <f t="shared" ca="1" si="206"/>
        <v>2.6041666666666668E-2</v>
      </c>
      <c r="CL134" s="508">
        <f t="shared" ca="1" si="207"/>
        <v>260</v>
      </c>
      <c r="CN134" s="618" t="s">
        <v>597</v>
      </c>
      <c r="CO134" s="618" t="s">
        <v>1225</v>
      </c>
      <c r="CP134" s="619" t="s">
        <v>917</v>
      </c>
      <c r="CQ134" s="166" t="s">
        <v>920</v>
      </c>
      <c r="CR134" s="622" t="s">
        <v>967</v>
      </c>
      <c r="CS134" s="166" t="s">
        <v>854</v>
      </c>
      <c r="CT134" s="166" t="s">
        <v>926</v>
      </c>
      <c r="CU134" s="620" t="s">
        <v>927</v>
      </c>
      <c r="CV134" s="300">
        <f>SUM(CU135:CU143)</f>
        <v>10000</v>
      </c>
    </row>
    <row r="135" spans="2:100" x14ac:dyDescent="0.35">
      <c r="B135" s="512">
        <v>4</v>
      </c>
      <c r="C135" s="516" t="s">
        <v>2247</v>
      </c>
      <c r="D135" s="529" t="s">
        <v>2452</v>
      </c>
      <c r="E135" s="508">
        <f t="shared" ca="1" si="174"/>
        <v>11.475</v>
      </c>
      <c r="F135" s="565">
        <v>2</v>
      </c>
      <c r="G135" s="594">
        <v>8.9999999999999993E-3</v>
      </c>
      <c r="H135" s="170">
        <f t="shared" ca="1" si="175"/>
        <v>2.3039215686274508E-2</v>
      </c>
      <c r="I135" s="508">
        <f t="shared" ca="1" si="176"/>
        <v>230</v>
      </c>
      <c r="K135" s="512">
        <v>4</v>
      </c>
      <c r="L135" s="516" t="s">
        <v>2247</v>
      </c>
      <c r="M135" s="529" t="s">
        <v>2452</v>
      </c>
      <c r="N135" s="508">
        <f t="shared" ca="1" si="177"/>
        <v>11.475</v>
      </c>
      <c r="O135" s="565">
        <v>1</v>
      </c>
      <c r="P135" s="594">
        <v>1.0999999999999999E-2</v>
      </c>
      <c r="Q135" s="170">
        <f t="shared" ca="1" si="187"/>
        <v>4.505446623093682E-2</v>
      </c>
      <c r="R135" s="508">
        <f t="shared" ca="1" si="188"/>
        <v>451</v>
      </c>
      <c r="T135" s="512">
        <v>4</v>
      </c>
      <c r="U135" s="516" t="s">
        <v>2247</v>
      </c>
      <c r="V135" s="529" t="s">
        <v>2452</v>
      </c>
      <c r="W135" s="508">
        <f t="shared" ca="1" si="180"/>
        <v>11.475</v>
      </c>
      <c r="X135" s="594">
        <v>1</v>
      </c>
      <c r="Y135" s="594">
        <v>1.0999999999999999E-2</v>
      </c>
      <c r="Z135" s="170">
        <f t="shared" ca="1" si="189"/>
        <v>4.5533769063180823E-2</v>
      </c>
      <c r="AA135" s="508">
        <f t="shared" ca="1" si="190"/>
        <v>455</v>
      </c>
      <c r="AC135" s="512">
        <v>4</v>
      </c>
      <c r="AD135" s="512" t="s">
        <v>2256</v>
      </c>
      <c r="AE135" s="529" t="s">
        <v>2452</v>
      </c>
      <c r="AF135" s="508">
        <f t="shared" ca="1" si="184"/>
        <v>11.475</v>
      </c>
      <c r="AG135" s="594">
        <v>1</v>
      </c>
      <c r="AH135" s="600">
        <v>8.9999999999999993E-3</v>
      </c>
      <c r="AI135" s="170">
        <f t="shared" ca="1" si="203"/>
        <v>5.0196078431372547E-2</v>
      </c>
      <c r="AJ135" s="508">
        <f t="shared" ca="1" si="204"/>
        <v>502</v>
      </c>
      <c r="AL135" s="512">
        <v>4</v>
      </c>
      <c r="AM135" s="516" t="s">
        <v>2248</v>
      </c>
      <c r="AN135" s="529" t="s">
        <v>2452</v>
      </c>
      <c r="AO135" s="508">
        <f t="shared" ca="1" si="200"/>
        <v>11.475</v>
      </c>
      <c r="AP135" s="600">
        <v>1.5</v>
      </c>
      <c r="AQ135" s="633">
        <v>6.0000000000000001E-3</v>
      </c>
      <c r="AR135" s="170">
        <f t="shared" ca="1" si="208"/>
        <v>3.3812636165577344E-2</v>
      </c>
      <c r="AS135" s="508">
        <f t="shared" ca="1" si="209"/>
        <v>338</v>
      </c>
      <c r="AU135" s="512">
        <v>4</v>
      </c>
      <c r="AV135" s="516" t="s">
        <v>2239</v>
      </c>
      <c r="AW135" s="529" t="s">
        <v>2452</v>
      </c>
      <c r="AX135" s="508">
        <f t="shared" ca="1" si="191"/>
        <v>11.475</v>
      </c>
      <c r="AY135" s="625">
        <v>1.5</v>
      </c>
      <c r="AZ135" s="633">
        <v>0.01</v>
      </c>
      <c r="BA135" s="170">
        <f t="shared" ca="1" si="192"/>
        <v>3.776325344952796E-2</v>
      </c>
      <c r="BB135" s="508">
        <f t="shared" ca="1" si="193"/>
        <v>378</v>
      </c>
      <c r="BD135" s="512">
        <v>4</v>
      </c>
      <c r="BE135" s="516" t="s">
        <v>2239</v>
      </c>
      <c r="BF135" s="529" t="s">
        <v>2452</v>
      </c>
      <c r="BG135" s="508">
        <f t="shared" ca="1" si="194"/>
        <v>11.475</v>
      </c>
      <c r="BH135" s="508">
        <v>3.5</v>
      </c>
      <c r="BI135" s="615">
        <v>8.9999999999999993E-3</v>
      </c>
      <c r="BJ135" s="170">
        <f ca="1">BI135*BE$4/BG135/BH135</f>
        <v>3.3053221288515407E-2</v>
      </c>
      <c r="BK135" s="279">
        <f ca="1">ROUND(BJ135*10000,0)</f>
        <v>331</v>
      </c>
      <c r="BM135" s="512">
        <v>4</v>
      </c>
      <c r="BN135" s="527" t="s">
        <v>2258</v>
      </c>
      <c r="BO135" s="530" t="s">
        <v>2200</v>
      </c>
      <c r="BP135" s="508" t="str">
        <f t="shared" ca="1" si="197"/>
        <v>T2部件</v>
      </c>
      <c r="BQ135" s="508">
        <v>5</v>
      </c>
      <c r="BR135" s="600">
        <v>1.8599999999999998E-2</v>
      </c>
      <c r="BS135" s="170" t="e">
        <f t="shared" ref="BS135:BS152" ca="1" si="210">BR135*BN$4/BP135/BQ135</f>
        <v>#VALUE!</v>
      </c>
      <c r="BT135" s="523" t="e">
        <f t="shared" ref="BT135:BT152" ca="1" si="211">ROUND(BS135*10000,0)</f>
        <v>#VALUE!</v>
      </c>
      <c r="CE135" s="512">
        <v>8</v>
      </c>
      <c r="CF135" s="527" t="s">
        <v>617</v>
      </c>
      <c r="CG135" s="525" t="s">
        <v>1211</v>
      </c>
      <c r="CH135" s="523">
        <f t="shared" ca="1" si="205"/>
        <v>68</v>
      </c>
      <c r="CI135" s="662">
        <v>1</v>
      </c>
      <c r="CJ135" s="523">
        <v>0.06</v>
      </c>
      <c r="CK135" s="170">
        <f t="shared" ca="1" si="206"/>
        <v>4.4117647058823532E-2</v>
      </c>
      <c r="CL135" s="508">
        <f t="shared" ca="1" si="207"/>
        <v>441</v>
      </c>
      <c r="CN135" s="618">
        <v>9</v>
      </c>
      <c r="CO135" s="621" t="s">
        <v>2294</v>
      </c>
      <c r="CP135" s="616" t="s">
        <v>2200</v>
      </c>
      <c r="CQ135" s="617" t="e">
        <f>VLOOKUP(LEFT(CO135,2)&amp;CP135,道具价值!$B$28:$C$30,2,FALSE)</f>
        <v>#N/A</v>
      </c>
      <c r="CR135" s="618">
        <v>1</v>
      </c>
      <c r="CS135" s="617">
        <v>0.111</v>
      </c>
      <c r="CT135" s="170">
        <f>CS135</f>
        <v>0.111</v>
      </c>
      <c r="CU135" s="617">
        <f t="shared" ref="CU135:CU143" si="212">ROUND(CT135*10000,0)</f>
        <v>1110</v>
      </c>
    </row>
    <row r="136" spans="2:100" x14ac:dyDescent="0.35">
      <c r="B136" s="512">
        <v>4</v>
      </c>
      <c r="C136" s="516" t="s">
        <v>2249</v>
      </c>
      <c r="D136" s="529" t="s">
        <v>2452</v>
      </c>
      <c r="E136" s="508">
        <f t="shared" ca="1" si="174"/>
        <v>11.475</v>
      </c>
      <c r="F136" s="565">
        <v>2</v>
      </c>
      <c r="G136" s="594">
        <v>8.9999999999999993E-3</v>
      </c>
      <c r="H136" s="170">
        <f t="shared" ca="1" si="175"/>
        <v>2.3039215686274508E-2</v>
      </c>
      <c r="I136" s="508">
        <f t="shared" ca="1" si="176"/>
        <v>230</v>
      </c>
      <c r="K136" s="512">
        <v>4</v>
      </c>
      <c r="L136" s="516" t="s">
        <v>2249</v>
      </c>
      <c r="M136" s="529" t="s">
        <v>2452</v>
      </c>
      <c r="N136" s="508">
        <f t="shared" ca="1" si="177"/>
        <v>11.475</v>
      </c>
      <c r="O136" s="565">
        <v>1</v>
      </c>
      <c r="P136" s="594">
        <v>1.0999999999999999E-2</v>
      </c>
      <c r="Q136" s="170">
        <f t="shared" ca="1" si="187"/>
        <v>4.505446623093682E-2</v>
      </c>
      <c r="R136" s="508">
        <f t="shared" ca="1" si="188"/>
        <v>451</v>
      </c>
      <c r="T136" s="512">
        <v>4</v>
      </c>
      <c r="U136" s="516" t="s">
        <v>2249</v>
      </c>
      <c r="V136" s="529" t="s">
        <v>2452</v>
      </c>
      <c r="W136" s="508">
        <f t="shared" ca="1" si="180"/>
        <v>11.475</v>
      </c>
      <c r="X136" s="594">
        <v>1</v>
      </c>
      <c r="Y136" s="594">
        <v>1.0999999999999999E-2</v>
      </c>
      <c r="Z136" s="170">
        <f t="shared" ca="1" si="189"/>
        <v>4.5533769063180823E-2</v>
      </c>
      <c r="AA136" s="508">
        <f t="shared" ca="1" si="190"/>
        <v>455</v>
      </c>
      <c r="AC136" s="512">
        <v>4</v>
      </c>
      <c r="AD136" s="516" t="s">
        <v>2241</v>
      </c>
      <c r="AE136" s="529" t="s">
        <v>2452</v>
      </c>
      <c r="AF136" s="508">
        <f t="shared" ca="1" si="184"/>
        <v>11.475</v>
      </c>
      <c r="AG136" s="594">
        <v>1</v>
      </c>
      <c r="AH136" s="600">
        <v>8.9999999999999993E-3</v>
      </c>
      <c r="AI136" s="170">
        <f t="shared" ca="1" si="203"/>
        <v>5.0196078431372547E-2</v>
      </c>
      <c r="AJ136" s="508">
        <f t="shared" ca="1" si="204"/>
        <v>502</v>
      </c>
      <c r="AL136" s="512">
        <v>4</v>
      </c>
      <c r="AM136" s="516" t="s">
        <v>2250</v>
      </c>
      <c r="AN136" s="529" t="s">
        <v>2452</v>
      </c>
      <c r="AO136" s="508">
        <f t="shared" ca="1" si="200"/>
        <v>11.475</v>
      </c>
      <c r="AP136" s="600">
        <v>1.5</v>
      </c>
      <c r="AQ136" s="633">
        <v>6.0000000000000001E-3</v>
      </c>
      <c r="AR136" s="170">
        <f t="shared" ca="1" si="208"/>
        <v>3.3812636165577344E-2</v>
      </c>
      <c r="AS136" s="508">
        <f t="shared" ca="1" si="209"/>
        <v>338</v>
      </c>
      <c r="AU136" s="512">
        <v>4</v>
      </c>
      <c r="AV136" s="516" t="s">
        <v>2242</v>
      </c>
      <c r="AW136" s="529" t="s">
        <v>2452</v>
      </c>
      <c r="AX136" s="508">
        <f t="shared" ca="1" si="191"/>
        <v>11.475</v>
      </c>
      <c r="AY136" s="625">
        <v>1.5</v>
      </c>
      <c r="AZ136" s="633">
        <v>0.01</v>
      </c>
      <c r="BA136" s="170">
        <f t="shared" ca="1" si="192"/>
        <v>3.776325344952796E-2</v>
      </c>
      <c r="BB136" s="508">
        <f t="shared" ca="1" si="193"/>
        <v>378</v>
      </c>
      <c r="BD136" s="512">
        <v>4</v>
      </c>
      <c r="BE136" s="516" t="s">
        <v>2242</v>
      </c>
      <c r="BF136" s="529" t="s">
        <v>2452</v>
      </c>
      <c r="BG136" s="508">
        <f t="shared" ca="1" si="194"/>
        <v>11.475</v>
      </c>
      <c r="BH136" s="632">
        <v>3.5</v>
      </c>
      <c r="BI136" s="615">
        <v>8.9999999999999993E-3</v>
      </c>
      <c r="BJ136" s="170">
        <f ca="1">BI136*BE$4/BG136/BH136</f>
        <v>3.3053221288515407E-2</v>
      </c>
      <c r="BK136" s="279">
        <f ca="1">ROUND(BJ136*10000,0)</f>
        <v>331</v>
      </c>
      <c r="BM136" s="512">
        <v>4</v>
      </c>
      <c r="BN136" s="527" t="s">
        <v>2260</v>
      </c>
      <c r="BO136" s="530" t="s">
        <v>2200</v>
      </c>
      <c r="BP136" s="508" t="str">
        <f t="shared" ca="1" si="197"/>
        <v>T2部件</v>
      </c>
      <c r="BQ136" s="615">
        <v>5</v>
      </c>
      <c r="BR136" s="600">
        <v>1.8599999999999998E-2</v>
      </c>
      <c r="BS136" s="170" t="e">
        <f t="shared" ca="1" si="210"/>
        <v>#VALUE!</v>
      </c>
      <c r="BT136" s="523" t="e">
        <f t="shared" ca="1" si="211"/>
        <v>#VALUE!</v>
      </c>
      <c r="CE136" s="512">
        <v>8</v>
      </c>
      <c r="CF136" s="527" t="s">
        <v>626</v>
      </c>
      <c r="CG136" s="525" t="s">
        <v>1211</v>
      </c>
      <c r="CH136" s="523">
        <f t="shared" ca="1" si="205"/>
        <v>68</v>
      </c>
      <c r="CI136" s="662">
        <v>1</v>
      </c>
      <c r="CJ136" s="634">
        <v>0.06</v>
      </c>
      <c r="CK136" s="170">
        <f t="shared" ca="1" si="206"/>
        <v>4.4117647058823532E-2</v>
      </c>
      <c r="CL136" s="508">
        <f t="shared" ca="1" si="207"/>
        <v>441</v>
      </c>
      <c r="CN136" s="618">
        <v>9</v>
      </c>
      <c r="CO136" s="621" t="s">
        <v>2296</v>
      </c>
      <c r="CP136" s="616" t="s">
        <v>2200</v>
      </c>
      <c r="CQ136" s="617" t="e">
        <f>VLOOKUP(LEFT(CO136,2)&amp;CP136,道具价值!$B$28:$C$30,2,FALSE)</f>
        <v>#N/A</v>
      </c>
      <c r="CR136" s="617">
        <v>1</v>
      </c>
      <c r="CS136" s="617">
        <v>0.111</v>
      </c>
      <c r="CT136" s="170">
        <f t="shared" ref="CT136:CT143" si="213">CS136</f>
        <v>0.111</v>
      </c>
      <c r="CU136" s="617">
        <f t="shared" si="212"/>
        <v>1110</v>
      </c>
    </row>
    <row r="137" spans="2:100" x14ac:dyDescent="0.35">
      <c r="B137" s="512">
        <v>4</v>
      </c>
      <c r="C137" s="516" t="s">
        <v>2251</v>
      </c>
      <c r="D137" s="529" t="s">
        <v>2452</v>
      </c>
      <c r="E137" s="508">
        <f t="shared" ca="1" si="174"/>
        <v>11.475</v>
      </c>
      <c r="F137" s="565">
        <v>2</v>
      </c>
      <c r="G137" s="594">
        <v>8.9999999999999993E-3</v>
      </c>
      <c r="H137" s="170">
        <f t="shared" ca="1" si="175"/>
        <v>2.3039215686274508E-2</v>
      </c>
      <c r="I137" s="508">
        <f t="shared" ca="1" si="176"/>
        <v>230</v>
      </c>
      <c r="K137" s="512">
        <v>4</v>
      </c>
      <c r="L137" s="516" t="s">
        <v>2251</v>
      </c>
      <c r="M137" s="529" t="s">
        <v>2452</v>
      </c>
      <c r="N137" s="508">
        <f t="shared" ca="1" si="177"/>
        <v>11.475</v>
      </c>
      <c r="O137" s="565">
        <v>1</v>
      </c>
      <c r="P137" s="594">
        <v>1.0999999999999999E-2</v>
      </c>
      <c r="Q137" s="170">
        <f t="shared" ca="1" si="187"/>
        <v>4.505446623093682E-2</v>
      </c>
      <c r="R137" s="508">
        <f t="shared" ca="1" si="188"/>
        <v>451</v>
      </c>
      <c r="T137" s="512">
        <v>4</v>
      </c>
      <c r="U137" s="516" t="s">
        <v>2251</v>
      </c>
      <c r="V137" s="529" t="s">
        <v>2452</v>
      </c>
      <c r="W137" s="508">
        <f t="shared" ca="1" si="180"/>
        <v>11.475</v>
      </c>
      <c r="X137" s="594">
        <v>1</v>
      </c>
      <c r="Y137" s="594">
        <v>1.0999999999999999E-2</v>
      </c>
      <c r="Z137" s="170">
        <f t="shared" ca="1" si="189"/>
        <v>4.5533769063180823E-2</v>
      </c>
      <c r="AA137" s="508">
        <f t="shared" ca="1" si="190"/>
        <v>455</v>
      </c>
      <c r="AC137" s="512">
        <v>4</v>
      </c>
      <c r="AD137" s="516" t="s">
        <v>2243</v>
      </c>
      <c r="AE137" s="529" t="s">
        <v>2452</v>
      </c>
      <c r="AF137" s="508">
        <f t="shared" ca="1" si="184"/>
        <v>11.475</v>
      </c>
      <c r="AG137" s="594">
        <v>1</v>
      </c>
      <c r="AH137" s="600">
        <v>8.9999999999999993E-3</v>
      </c>
      <c r="AI137" s="170">
        <f t="shared" ca="1" si="203"/>
        <v>5.0196078431372547E-2</v>
      </c>
      <c r="AJ137" s="508">
        <f t="shared" ca="1" si="204"/>
        <v>502</v>
      </c>
      <c r="AL137" s="512">
        <v>4</v>
      </c>
      <c r="AM137" s="516" t="s">
        <v>2252</v>
      </c>
      <c r="AN137" s="529" t="s">
        <v>2452</v>
      </c>
      <c r="AO137" s="508">
        <f t="shared" ca="1" si="200"/>
        <v>11.475</v>
      </c>
      <c r="AP137" s="600">
        <v>1.5</v>
      </c>
      <c r="AQ137" s="633">
        <v>6.0000000000000001E-3</v>
      </c>
      <c r="AR137" s="170">
        <f t="shared" ca="1" si="208"/>
        <v>3.3812636165577344E-2</v>
      </c>
      <c r="AS137" s="508">
        <f t="shared" ca="1" si="209"/>
        <v>338</v>
      </c>
      <c r="AU137" s="512">
        <v>4</v>
      </c>
      <c r="AV137" s="516" t="s">
        <v>2244</v>
      </c>
      <c r="AW137" s="529" t="s">
        <v>2452</v>
      </c>
      <c r="AX137" s="508">
        <f t="shared" ca="1" si="191"/>
        <v>11.475</v>
      </c>
      <c r="AY137" s="625">
        <v>1.5</v>
      </c>
      <c r="AZ137" s="633">
        <v>0.01</v>
      </c>
      <c r="BA137" s="170">
        <f t="shared" ca="1" si="192"/>
        <v>3.776325344952796E-2</v>
      </c>
      <c r="BB137" s="508">
        <f t="shared" ca="1" si="193"/>
        <v>378</v>
      </c>
      <c r="BD137" s="512">
        <v>4</v>
      </c>
      <c r="BE137" s="516" t="s">
        <v>2244</v>
      </c>
      <c r="BF137" s="529" t="s">
        <v>2452</v>
      </c>
      <c r="BG137" s="508">
        <f t="shared" ca="1" si="194"/>
        <v>11.475</v>
      </c>
      <c r="BH137" s="632">
        <v>3.5</v>
      </c>
      <c r="BI137" s="615">
        <v>8.9999999999999993E-3</v>
      </c>
      <c r="BJ137" s="170">
        <f ca="1">BI137*BE$4/BG137/BH137</f>
        <v>3.3053221288515407E-2</v>
      </c>
      <c r="BK137" s="279">
        <f ca="1">ROUND(BJ137*10000,0)</f>
        <v>331</v>
      </c>
      <c r="BM137" s="512">
        <v>4</v>
      </c>
      <c r="BN137" s="527" t="s">
        <v>2262</v>
      </c>
      <c r="BO137" s="530" t="s">
        <v>2200</v>
      </c>
      <c r="BP137" s="508" t="str">
        <f t="shared" ca="1" si="197"/>
        <v>T2部件</v>
      </c>
      <c r="BQ137" s="615">
        <v>5</v>
      </c>
      <c r="BR137" s="600">
        <v>1.8599999999999998E-2</v>
      </c>
      <c r="BS137" s="170" t="e">
        <f t="shared" ca="1" si="210"/>
        <v>#VALUE!</v>
      </c>
      <c r="BT137" s="523" t="e">
        <f t="shared" ca="1" si="211"/>
        <v>#VALUE!</v>
      </c>
      <c r="BV137" s="293" t="s">
        <v>597</v>
      </c>
      <c r="BW137" s="293" t="s">
        <v>1225</v>
      </c>
      <c r="BX137" s="291" t="s">
        <v>917</v>
      </c>
      <c r="BY137" s="166" t="s">
        <v>920</v>
      </c>
      <c r="BZ137" s="294" t="s">
        <v>967</v>
      </c>
      <c r="CA137" s="166" t="s">
        <v>854</v>
      </c>
      <c r="CB137" s="166" t="s">
        <v>926</v>
      </c>
      <c r="CC137" s="292" t="s">
        <v>927</v>
      </c>
      <c r="CD137" s="300" t="e">
        <f ca="1">SUM(CC138:CC173)</f>
        <v>#VALUE!</v>
      </c>
      <c r="CE137" s="512">
        <v>8</v>
      </c>
      <c r="CF137" s="527" t="s">
        <v>631</v>
      </c>
      <c r="CG137" s="525" t="s">
        <v>1211</v>
      </c>
      <c r="CH137" s="523">
        <f t="shared" ca="1" si="205"/>
        <v>68</v>
      </c>
      <c r="CI137" s="571">
        <v>1</v>
      </c>
      <c r="CJ137" s="634">
        <v>0.06</v>
      </c>
      <c r="CK137" s="170">
        <f t="shared" ca="1" si="206"/>
        <v>4.4117647058823532E-2</v>
      </c>
      <c r="CL137" s="508">
        <f t="shared" ca="1" si="207"/>
        <v>441</v>
      </c>
      <c r="CN137" s="618">
        <v>9</v>
      </c>
      <c r="CO137" s="621" t="s">
        <v>2298</v>
      </c>
      <c r="CP137" s="616" t="s">
        <v>2200</v>
      </c>
      <c r="CQ137" s="617" t="e">
        <f>VLOOKUP(LEFT(CO137,2)&amp;CP137,道具价值!$B$28:$C$30,2,FALSE)</f>
        <v>#N/A</v>
      </c>
      <c r="CR137" s="618">
        <v>1</v>
      </c>
      <c r="CS137" s="617">
        <v>0.111</v>
      </c>
      <c r="CT137" s="170">
        <f t="shared" si="213"/>
        <v>0.111</v>
      </c>
      <c r="CU137" s="617">
        <f t="shared" si="212"/>
        <v>1110</v>
      </c>
    </row>
    <row r="138" spans="2:100" x14ac:dyDescent="0.35">
      <c r="B138" s="512">
        <v>4</v>
      </c>
      <c r="C138" s="516" t="s">
        <v>2253</v>
      </c>
      <c r="D138" s="529" t="s">
        <v>2452</v>
      </c>
      <c r="E138" s="508">
        <f t="shared" ca="1" si="174"/>
        <v>11.475</v>
      </c>
      <c r="F138" s="565">
        <v>2</v>
      </c>
      <c r="G138" s="594">
        <v>8.9999999999999993E-3</v>
      </c>
      <c r="H138" s="170">
        <f t="shared" ca="1" si="175"/>
        <v>2.3039215686274508E-2</v>
      </c>
      <c r="I138" s="508">
        <f t="shared" ca="1" si="176"/>
        <v>230</v>
      </c>
      <c r="K138" s="512">
        <v>4</v>
      </c>
      <c r="L138" s="516" t="s">
        <v>2253</v>
      </c>
      <c r="M138" s="529" t="s">
        <v>2452</v>
      </c>
      <c r="N138" s="508">
        <f t="shared" ca="1" si="177"/>
        <v>11.475</v>
      </c>
      <c r="O138" s="565">
        <v>1</v>
      </c>
      <c r="P138" s="594">
        <v>1.0999999999999999E-2</v>
      </c>
      <c r="Q138" s="170">
        <f t="shared" ca="1" si="187"/>
        <v>4.505446623093682E-2</v>
      </c>
      <c r="R138" s="508">
        <f t="shared" ca="1" si="188"/>
        <v>451</v>
      </c>
      <c r="T138" s="512">
        <v>4</v>
      </c>
      <c r="U138" s="516" t="s">
        <v>2253</v>
      </c>
      <c r="V138" s="529" t="s">
        <v>2452</v>
      </c>
      <c r="W138" s="508">
        <f t="shared" ca="1" si="180"/>
        <v>11.475</v>
      </c>
      <c r="X138" s="594">
        <v>1</v>
      </c>
      <c r="Y138" s="594">
        <v>1.0999999999999999E-2</v>
      </c>
      <c r="Z138" s="170">
        <f t="shared" ca="1" si="189"/>
        <v>4.5533769063180823E-2</v>
      </c>
      <c r="AA138" s="508">
        <f t="shared" ca="1" si="190"/>
        <v>455</v>
      </c>
      <c r="AC138" s="512">
        <v>4</v>
      </c>
      <c r="AD138" s="516" t="s">
        <v>2245</v>
      </c>
      <c r="AE138" s="529" t="s">
        <v>2452</v>
      </c>
      <c r="AF138" s="508">
        <f t="shared" ca="1" si="184"/>
        <v>11.475</v>
      </c>
      <c r="AG138" s="594">
        <v>1</v>
      </c>
      <c r="AH138" s="600">
        <v>8.9999999999999993E-3</v>
      </c>
      <c r="AI138" s="170">
        <f t="shared" ca="1" si="203"/>
        <v>5.0196078431372547E-2</v>
      </c>
      <c r="AJ138" s="508">
        <f t="shared" ca="1" si="204"/>
        <v>502</v>
      </c>
      <c r="AL138" s="512">
        <v>4</v>
      </c>
      <c r="AM138" s="512" t="s">
        <v>2254</v>
      </c>
      <c r="AN138" s="529" t="s">
        <v>2452</v>
      </c>
      <c r="AO138" s="508">
        <f t="shared" ca="1" si="200"/>
        <v>11.475</v>
      </c>
      <c r="AP138" s="600">
        <v>1.5</v>
      </c>
      <c r="AQ138" s="633">
        <v>6.0000000000000001E-3</v>
      </c>
      <c r="AR138" s="170">
        <f t="shared" ca="1" si="208"/>
        <v>3.3812636165577344E-2</v>
      </c>
      <c r="AS138" s="508">
        <f t="shared" ca="1" si="209"/>
        <v>338</v>
      </c>
      <c r="AU138" s="512">
        <v>4</v>
      </c>
      <c r="AV138" s="516" t="s">
        <v>2246</v>
      </c>
      <c r="AW138" s="529" t="s">
        <v>2452</v>
      </c>
      <c r="AX138" s="508">
        <f t="shared" ca="1" si="191"/>
        <v>11.475</v>
      </c>
      <c r="AY138" s="625">
        <v>1.5</v>
      </c>
      <c r="AZ138" s="633">
        <v>0.01</v>
      </c>
      <c r="BA138" s="170">
        <f t="shared" ca="1" si="192"/>
        <v>3.776325344952796E-2</v>
      </c>
      <c r="BB138" s="508">
        <f t="shared" ca="1" si="193"/>
        <v>378</v>
      </c>
      <c r="BD138" s="512">
        <v>4</v>
      </c>
      <c r="BE138" s="516" t="s">
        <v>2246</v>
      </c>
      <c r="BF138" s="529" t="s">
        <v>2452</v>
      </c>
      <c r="BG138" s="508">
        <f t="shared" ca="1" si="194"/>
        <v>11.475</v>
      </c>
      <c r="BH138" s="632">
        <v>3.5</v>
      </c>
      <c r="BI138" s="615">
        <v>8.9999999999999993E-3</v>
      </c>
      <c r="BJ138" s="170">
        <f t="shared" ref="BJ138:BJ143" ca="1" si="214">BI138*BE$4/BG138/BH138</f>
        <v>3.3053221288515407E-2</v>
      </c>
      <c r="BK138" s="279">
        <f t="shared" ref="BK138:BK143" ca="1" si="215">ROUND(BJ138*10000,0)</f>
        <v>331</v>
      </c>
      <c r="BM138" s="512">
        <v>4</v>
      </c>
      <c r="BN138" s="527" t="s">
        <v>2264</v>
      </c>
      <c r="BO138" s="530" t="s">
        <v>2200</v>
      </c>
      <c r="BP138" s="508" t="str">
        <f t="shared" ca="1" si="197"/>
        <v>T2部件</v>
      </c>
      <c r="BQ138" s="615">
        <v>5</v>
      </c>
      <c r="BR138" s="600">
        <v>1.8599999999999998E-2</v>
      </c>
      <c r="BS138" s="170" t="e">
        <f t="shared" ca="1" si="210"/>
        <v>#VALUE!</v>
      </c>
      <c r="BT138" s="523" t="e">
        <f t="shared" ca="1" si="211"/>
        <v>#VALUE!</v>
      </c>
      <c r="BV138" s="293">
        <v>5</v>
      </c>
      <c r="BW138" s="527" t="s">
        <v>2239</v>
      </c>
      <c r="BX138" s="530" t="s">
        <v>2200</v>
      </c>
      <c r="BY138" s="523">
        <f t="shared" ref="BY138:BY173" ca="1" si="216">IF(BX138="部件",VLOOKUP(BV138,INDIRECT(BX138&amp;"价值"),MATCH(LEFT(BW138,2)&amp;"部件",INDIRECT(BX138&amp;"价值标头"),0),FALSE),IF(BX138="加速道具",VLOOKUP(BW138,INDIRECT(BX138&amp;"价值"),MATCH("价格",INDIRECT(BX138&amp;"价值标头"),0),FALSE),VLOOKUP(BV138,INDIRECT(BX138&amp;"价值"),MATCH(BW138,INDIRECT(BX138&amp;"价值标头"),0),FALSE)))</f>
        <v>10.8</v>
      </c>
      <c r="BZ138" s="662">
        <v>4</v>
      </c>
      <c r="CA138" s="523">
        <v>2.1600000000000001E-2</v>
      </c>
      <c r="CB138" s="170">
        <f t="shared" ref="CB138:CB170" ca="1" si="217">CA138*BW$4/BY138/BZ138</f>
        <v>2.5000000000000001E-2</v>
      </c>
      <c r="CC138" s="290">
        <f t="shared" ref="CC138:CC170" ca="1" si="218">ROUND(CB138*10000,0)</f>
        <v>250</v>
      </c>
      <c r="CE138" s="512">
        <v>8</v>
      </c>
      <c r="CF138" s="527" t="s">
        <v>618</v>
      </c>
      <c r="CG138" s="525" t="s">
        <v>1211</v>
      </c>
      <c r="CH138" s="523">
        <f t="shared" ca="1" si="205"/>
        <v>49.199999999999996</v>
      </c>
      <c r="CI138" s="523">
        <v>1</v>
      </c>
      <c r="CJ138" s="523">
        <v>0.08</v>
      </c>
      <c r="CK138" s="170">
        <f t="shared" ca="1" si="206"/>
        <v>8.1300813008130093E-2</v>
      </c>
      <c r="CL138" s="508">
        <f t="shared" ca="1" si="207"/>
        <v>813</v>
      </c>
      <c r="CN138" s="618">
        <v>9</v>
      </c>
      <c r="CO138" s="621" t="s">
        <v>2300</v>
      </c>
      <c r="CP138" s="616" t="s">
        <v>2200</v>
      </c>
      <c r="CQ138" s="617" t="e">
        <f>VLOOKUP(LEFT(CO138,2)&amp;CP138,道具价值!$B$28:$C$30,2,FALSE)</f>
        <v>#N/A</v>
      </c>
      <c r="CR138" s="618">
        <v>1</v>
      </c>
      <c r="CS138" s="617">
        <v>0.111</v>
      </c>
      <c r="CT138" s="170">
        <f t="shared" si="213"/>
        <v>0.111</v>
      </c>
      <c r="CU138" s="617">
        <f t="shared" si="212"/>
        <v>1110</v>
      </c>
    </row>
    <row r="139" spans="2:100" x14ac:dyDescent="0.35">
      <c r="B139" s="512">
        <v>4</v>
      </c>
      <c r="C139" s="512" t="s">
        <v>2255</v>
      </c>
      <c r="D139" s="529" t="s">
        <v>2452</v>
      </c>
      <c r="E139" s="508">
        <f t="shared" ca="1" si="174"/>
        <v>11.475</v>
      </c>
      <c r="F139" s="565">
        <v>2</v>
      </c>
      <c r="G139" s="594">
        <v>8.9999999999999993E-3</v>
      </c>
      <c r="H139" s="170">
        <f t="shared" ca="1" si="175"/>
        <v>2.3039215686274508E-2</v>
      </c>
      <c r="I139" s="508">
        <f t="shared" ca="1" si="176"/>
        <v>230</v>
      </c>
      <c r="K139" s="512">
        <v>4</v>
      </c>
      <c r="L139" s="512" t="s">
        <v>2255</v>
      </c>
      <c r="M139" s="529" t="s">
        <v>2452</v>
      </c>
      <c r="N139" s="508">
        <f t="shared" ca="1" si="177"/>
        <v>11.475</v>
      </c>
      <c r="O139" s="565">
        <v>1</v>
      </c>
      <c r="P139" s="594">
        <v>1.0999999999999999E-2</v>
      </c>
      <c r="Q139" s="170">
        <f t="shared" ca="1" si="187"/>
        <v>4.505446623093682E-2</v>
      </c>
      <c r="R139" s="508">
        <f t="shared" ca="1" si="188"/>
        <v>451</v>
      </c>
      <c r="T139" s="512">
        <v>4</v>
      </c>
      <c r="U139" s="512" t="s">
        <v>2255</v>
      </c>
      <c r="V139" s="529" t="s">
        <v>2452</v>
      </c>
      <c r="W139" s="508">
        <f t="shared" ca="1" si="180"/>
        <v>11.475</v>
      </c>
      <c r="X139" s="594">
        <v>1</v>
      </c>
      <c r="Y139" s="594">
        <v>1.0999999999999999E-2</v>
      </c>
      <c r="Z139" s="170">
        <f t="shared" ca="1" si="189"/>
        <v>4.5533769063180823E-2</v>
      </c>
      <c r="AA139" s="508">
        <f t="shared" ca="1" si="190"/>
        <v>455</v>
      </c>
      <c r="AC139" s="512">
        <v>4</v>
      </c>
      <c r="AD139" s="516" t="s">
        <v>2247</v>
      </c>
      <c r="AE139" s="529" t="s">
        <v>2452</v>
      </c>
      <c r="AF139" s="508">
        <f t="shared" ca="1" si="184"/>
        <v>11.475</v>
      </c>
      <c r="AG139" s="594">
        <v>1</v>
      </c>
      <c r="AH139" s="600">
        <v>8.9999999999999993E-3</v>
      </c>
      <c r="AI139" s="170">
        <f t="shared" ca="1" si="203"/>
        <v>5.0196078431372547E-2</v>
      </c>
      <c r="AJ139" s="508">
        <f t="shared" ca="1" si="204"/>
        <v>502</v>
      </c>
      <c r="AL139" s="512">
        <v>4</v>
      </c>
      <c r="AM139" s="512" t="s">
        <v>2256</v>
      </c>
      <c r="AN139" s="529" t="s">
        <v>2452</v>
      </c>
      <c r="AO139" s="508">
        <f t="shared" ca="1" si="200"/>
        <v>11.475</v>
      </c>
      <c r="AP139" s="600">
        <v>1.5</v>
      </c>
      <c r="AQ139" s="633">
        <v>6.0000000000000001E-3</v>
      </c>
      <c r="AR139" s="170">
        <f t="shared" ca="1" si="208"/>
        <v>3.3812636165577344E-2</v>
      </c>
      <c r="AS139" s="508">
        <f t="shared" ca="1" si="209"/>
        <v>338</v>
      </c>
      <c r="AU139" s="512">
        <v>4</v>
      </c>
      <c r="AV139" s="516" t="s">
        <v>2248</v>
      </c>
      <c r="AW139" s="529" t="s">
        <v>2452</v>
      </c>
      <c r="AX139" s="508">
        <f t="shared" ca="1" si="191"/>
        <v>11.475</v>
      </c>
      <c r="AY139" s="625">
        <v>1.5</v>
      </c>
      <c r="AZ139" s="633">
        <v>0.01</v>
      </c>
      <c r="BA139" s="170">
        <f t="shared" ca="1" si="192"/>
        <v>3.776325344952796E-2</v>
      </c>
      <c r="BB139" s="508">
        <f t="shared" ca="1" si="193"/>
        <v>378</v>
      </c>
      <c r="BD139" s="512">
        <v>4</v>
      </c>
      <c r="BE139" s="516" t="s">
        <v>2248</v>
      </c>
      <c r="BF139" s="529" t="s">
        <v>2452</v>
      </c>
      <c r="BG139" s="508">
        <f t="shared" ca="1" si="194"/>
        <v>11.475</v>
      </c>
      <c r="BH139" s="632">
        <v>3.5</v>
      </c>
      <c r="BI139" s="615">
        <v>8.9999999999999993E-3</v>
      </c>
      <c r="BJ139" s="170">
        <f t="shared" ca="1" si="214"/>
        <v>3.3053221288515407E-2</v>
      </c>
      <c r="BK139" s="279">
        <f t="shared" ca="1" si="215"/>
        <v>331</v>
      </c>
      <c r="BM139" s="512">
        <v>4</v>
      </c>
      <c r="BN139" s="527" t="s">
        <v>2266</v>
      </c>
      <c r="BO139" s="530" t="s">
        <v>2200</v>
      </c>
      <c r="BP139" s="508" t="str">
        <f t="shared" ca="1" si="197"/>
        <v>T2部件</v>
      </c>
      <c r="BQ139" s="615">
        <v>5</v>
      </c>
      <c r="BR139" s="600">
        <v>1.8599999999999998E-2</v>
      </c>
      <c r="BS139" s="170" t="e">
        <f t="shared" ca="1" si="210"/>
        <v>#VALUE!</v>
      </c>
      <c r="BT139" s="523" t="e">
        <f t="shared" ca="1" si="211"/>
        <v>#VALUE!</v>
      </c>
      <c r="BV139" s="293">
        <v>5</v>
      </c>
      <c r="BW139" s="527" t="s">
        <v>2242</v>
      </c>
      <c r="BX139" s="530" t="s">
        <v>2200</v>
      </c>
      <c r="BY139" s="523">
        <f t="shared" ca="1" si="216"/>
        <v>10.8</v>
      </c>
      <c r="BZ139" s="662">
        <v>4</v>
      </c>
      <c r="CA139" s="632">
        <v>2.1600000000000001E-2</v>
      </c>
      <c r="CB139" s="170">
        <f t="shared" ca="1" si="217"/>
        <v>2.5000000000000001E-2</v>
      </c>
      <c r="CC139" s="290">
        <f t="shared" ca="1" si="218"/>
        <v>250</v>
      </c>
      <c r="CE139" s="512">
        <v>8</v>
      </c>
      <c r="CF139" s="527" t="s">
        <v>627</v>
      </c>
      <c r="CG139" s="525" t="s">
        <v>1211</v>
      </c>
      <c r="CH139" s="523">
        <f t="shared" ca="1" si="205"/>
        <v>49.199999999999996</v>
      </c>
      <c r="CI139" s="523">
        <v>1</v>
      </c>
      <c r="CJ139" s="571">
        <v>0.08</v>
      </c>
      <c r="CK139" s="170">
        <f t="shared" ca="1" si="206"/>
        <v>8.1300813008130093E-2</v>
      </c>
      <c r="CL139" s="508">
        <f t="shared" ca="1" si="207"/>
        <v>813</v>
      </c>
      <c r="CN139" s="618">
        <v>9</v>
      </c>
      <c r="CO139" s="621" t="s">
        <v>2302</v>
      </c>
      <c r="CP139" s="616" t="s">
        <v>2200</v>
      </c>
      <c r="CQ139" s="617" t="e">
        <f>VLOOKUP(LEFT(CO139,2)&amp;CP139,道具价值!$B$28:$C$30,2,FALSE)</f>
        <v>#N/A</v>
      </c>
      <c r="CR139" s="618">
        <v>1</v>
      </c>
      <c r="CS139" s="617">
        <v>0.111</v>
      </c>
      <c r="CT139" s="170">
        <f t="shared" si="213"/>
        <v>0.111</v>
      </c>
      <c r="CU139" s="617">
        <f t="shared" si="212"/>
        <v>1110</v>
      </c>
    </row>
    <row r="140" spans="2:100" x14ac:dyDescent="0.35">
      <c r="B140" s="512">
        <v>4</v>
      </c>
      <c r="C140" s="512" t="s">
        <v>2257</v>
      </c>
      <c r="D140" s="529" t="s">
        <v>2452</v>
      </c>
      <c r="E140" s="508">
        <f t="shared" ca="1" si="174"/>
        <v>11.475</v>
      </c>
      <c r="F140" s="565">
        <v>2</v>
      </c>
      <c r="G140" s="594">
        <v>8.9999999999999993E-3</v>
      </c>
      <c r="H140" s="170">
        <f t="shared" ca="1" si="175"/>
        <v>2.3039215686274508E-2</v>
      </c>
      <c r="I140" s="508">
        <f t="shared" ca="1" si="176"/>
        <v>230</v>
      </c>
      <c r="K140" s="512">
        <v>4</v>
      </c>
      <c r="L140" s="512" t="s">
        <v>2257</v>
      </c>
      <c r="M140" s="529" t="s">
        <v>2452</v>
      </c>
      <c r="N140" s="508">
        <f t="shared" ca="1" si="177"/>
        <v>11.475</v>
      </c>
      <c r="O140" s="565">
        <v>1</v>
      </c>
      <c r="P140" s="594">
        <v>1.0999999999999999E-2</v>
      </c>
      <c r="Q140" s="170">
        <f t="shared" ca="1" si="187"/>
        <v>4.505446623093682E-2</v>
      </c>
      <c r="R140" s="508">
        <f t="shared" ca="1" si="188"/>
        <v>451</v>
      </c>
      <c r="T140" s="512">
        <v>4</v>
      </c>
      <c r="U140" s="512" t="s">
        <v>2257</v>
      </c>
      <c r="V140" s="529" t="s">
        <v>2452</v>
      </c>
      <c r="W140" s="508">
        <f t="shared" ca="1" si="180"/>
        <v>11.475</v>
      </c>
      <c r="X140" s="594">
        <v>1</v>
      </c>
      <c r="Y140" s="594">
        <v>1.0999999999999999E-2</v>
      </c>
      <c r="Z140" s="170">
        <f t="shared" ca="1" si="189"/>
        <v>4.5533769063180823E-2</v>
      </c>
      <c r="AA140" s="508">
        <f t="shared" ca="1" si="190"/>
        <v>455</v>
      </c>
      <c r="AC140" s="512">
        <v>4</v>
      </c>
      <c r="AD140" s="516" t="s">
        <v>2249</v>
      </c>
      <c r="AE140" s="529" t="s">
        <v>2452</v>
      </c>
      <c r="AF140" s="508">
        <f t="shared" ca="1" si="184"/>
        <v>11.475</v>
      </c>
      <c r="AG140" s="594">
        <v>1</v>
      </c>
      <c r="AH140" s="600">
        <v>8.9999999999999993E-3</v>
      </c>
      <c r="AI140" s="170">
        <f t="shared" ca="1" si="203"/>
        <v>5.0196078431372547E-2</v>
      </c>
      <c r="AJ140" s="508">
        <f t="shared" ca="1" si="204"/>
        <v>502</v>
      </c>
      <c r="AL140" s="512">
        <v>4</v>
      </c>
      <c r="AM140" s="516" t="s">
        <v>2241</v>
      </c>
      <c r="AN140" s="529" t="s">
        <v>2452</v>
      </c>
      <c r="AO140" s="508">
        <f t="shared" ca="1" si="200"/>
        <v>11.475</v>
      </c>
      <c r="AP140" s="600">
        <v>1.5</v>
      </c>
      <c r="AQ140" s="633">
        <v>6.0000000000000001E-3</v>
      </c>
      <c r="AR140" s="170">
        <f t="shared" ca="1" si="208"/>
        <v>3.3812636165577344E-2</v>
      </c>
      <c r="AS140" s="508">
        <f t="shared" ca="1" si="209"/>
        <v>338</v>
      </c>
      <c r="AU140" s="512">
        <v>4</v>
      </c>
      <c r="AV140" s="516" t="s">
        <v>2250</v>
      </c>
      <c r="AW140" s="529" t="s">
        <v>2452</v>
      </c>
      <c r="AX140" s="508">
        <f t="shared" ca="1" si="191"/>
        <v>11.475</v>
      </c>
      <c r="AY140" s="625">
        <v>1.5</v>
      </c>
      <c r="AZ140" s="633">
        <v>0.01</v>
      </c>
      <c r="BA140" s="170">
        <f t="shared" ca="1" si="192"/>
        <v>3.776325344952796E-2</v>
      </c>
      <c r="BB140" s="508">
        <f t="shared" ca="1" si="193"/>
        <v>378</v>
      </c>
      <c r="BD140" s="512">
        <v>4</v>
      </c>
      <c r="BE140" s="516" t="s">
        <v>2250</v>
      </c>
      <c r="BF140" s="529" t="s">
        <v>2452</v>
      </c>
      <c r="BG140" s="508">
        <f t="shared" ca="1" si="194"/>
        <v>11.475</v>
      </c>
      <c r="BH140" s="632">
        <v>3.5</v>
      </c>
      <c r="BI140" s="615">
        <v>8.9999999999999993E-3</v>
      </c>
      <c r="BJ140" s="170">
        <f t="shared" ca="1" si="214"/>
        <v>3.3053221288515407E-2</v>
      </c>
      <c r="BK140" s="279">
        <f t="shared" ca="1" si="215"/>
        <v>331</v>
      </c>
      <c r="BM140" s="512">
        <v>4</v>
      </c>
      <c r="BN140" s="527" t="s">
        <v>2268</v>
      </c>
      <c r="BO140" s="530" t="s">
        <v>2200</v>
      </c>
      <c r="BP140" s="508" t="str">
        <f t="shared" ca="1" si="197"/>
        <v>T2部件</v>
      </c>
      <c r="BQ140" s="615">
        <v>5</v>
      </c>
      <c r="BR140" s="600">
        <v>1.8599999999999998E-2</v>
      </c>
      <c r="BS140" s="170" t="e">
        <f t="shared" ca="1" si="210"/>
        <v>#VALUE!</v>
      </c>
      <c r="BT140" s="523" t="e">
        <f t="shared" ca="1" si="211"/>
        <v>#VALUE!</v>
      </c>
      <c r="BV140" s="293">
        <v>5</v>
      </c>
      <c r="BW140" s="527" t="s">
        <v>2244</v>
      </c>
      <c r="BX140" s="530" t="s">
        <v>2200</v>
      </c>
      <c r="BY140" s="523">
        <f t="shared" ca="1" si="216"/>
        <v>10.8</v>
      </c>
      <c r="BZ140" s="662">
        <v>4</v>
      </c>
      <c r="CA140" s="632">
        <v>2.1600000000000001E-2</v>
      </c>
      <c r="CB140" s="170">
        <f t="shared" ca="1" si="217"/>
        <v>2.5000000000000001E-2</v>
      </c>
      <c r="CC140" s="290">
        <f t="shared" ca="1" si="218"/>
        <v>250</v>
      </c>
      <c r="CE140" s="512">
        <v>8</v>
      </c>
      <c r="CF140" s="527" t="s">
        <v>628</v>
      </c>
      <c r="CG140" s="525" t="s">
        <v>1211</v>
      </c>
      <c r="CH140" s="523">
        <f t="shared" ca="1" si="205"/>
        <v>49.199999999999996</v>
      </c>
      <c r="CI140" s="523">
        <v>1</v>
      </c>
      <c r="CJ140" s="571">
        <v>0.08</v>
      </c>
      <c r="CK140" s="170">
        <f t="shared" ca="1" si="206"/>
        <v>8.1300813008130093E-2</v>
      </c>
      <c r="CL140" s="508">
        <f t="shared" ca="1" si="207"/>
        <v>813</v>
      </c>
      <c r="CN140" s="618">
        <v>9</v>
      </c>
      <c r="CO140" s="621" t="s">
        <v>2304</v>
      </c>
      <c r="CP140" s="616" t="s">
        <v>2200</v>
      </c>
      <c r="CQ140" s="617" t="e">
        <f>VLOOKUP(LEFT(CO140,2)&amp;CP140,道具价值!$B$28:$C$30,2,FALSE)</f>
        <v>#N/A</v>
      </c>
      <c r="CR140" s="618">
        <v>1</v>
      </c>
      <c r="CS140" s="617">
        <v>0.111</v>
      </c>
      <c r="CT140" s="170">
        <f t="shared" si="213"/>
        <v>0.111</v>
      </c>
      <c r="CU140" s="617">
        <f t="shared" si="212"/>
        <v>1110</v>
      </c>
    </row>
    <row r="141" spans="2:100" x14ac:dyDescent="0.35">
      <c r="B141" s="512">
        <v>4</v>
      </c>
      <c r="C141" s="516" t="s">
        <v>2258</v>
      </c>
      <c r="D141" s="529" t="s">
        <v>2452</v>
      </c>
      <c r="E141" s="508" t="str">
        <f t="shared" ca="1" si="174"/>
        <v>T2部件</v>
      </c>
      <c r="F141" s="508">
        <v>2</v>
      </c>
      <c r="G141" s="594">
        <v>0.01</v>
      </c>
      <c r="H141" s="170" t="e">
        <f t="shared" ca="1" si="175"/>
        <v>#VALUE!</v>
      </c>
      <c r="I141" s="508" t="e">
        <f t="shared" ca="1" si="176"/>
        <v>#VALUE!</v>
      </c>
      <c r="K141" s="512">
        <v>4</v>
      </c>
      <c r="L141" s="516" t="s">
        <v>2258</v>
      </c>
      <c r="M141" s="529" t="s">
        <v>2452</v>
      </c>
      <c r="N141" s="508" t="str">
        <f t="shared" ca="1" si="177"/>
        <v>T2部件</v>
      </c>
      <c r="O141" s="565">
        <v>1</v>
      </c>
      <c r="P141" s="594">
        <v>8.9999999999999993E-3</v>
      </c>
      <c r="Q141" s="170" t="e">
        <f t="shared" ca="1" si="187"/>
        <v>#VALUE!</v>
      </c>
      <c r="R141" s="508" t="e">
        <f t="shared" ca="1" si="188"/>
        <v>#VALUE!</v>
      </c>
      <c r="T141" s="512">
        <v>4</v>
      </c>
      <c r="U141" s="516" t="s">
        <v>2258</v>
      </c>
      <c r="V141" s="529" t="s">
        <v>2452</v>
      </c>
      <c r="W141" s="508" t="str">
        <f t="shared" ca="1" si="180"/>
        <v>T2部件</v>
      </c>
      <c r="X141" s="594">
        <v>1</v>
      </c>
      <c r="Y141" s="594">
        <v>8.0000000000000002E-3</v>
      </c>
      <c r="Z141" s="170" t="e">
        <f t="shared" ca="1" si="189"/>
        <v>#VALUE!</v>
      </c>
      <c r="AA141" s="508" t="e">
        <f t="shared" ca="1" si="190"/>
        <v>#VALUE!</v>
      </c>
      <c r="AC141" s="512">
        <v>4</v>
      </c>
      <c r="AD141" s="516" t="s">
        <v>2251</v>
      </c>
      <c r="AE141" s="529" t="s">
        <v>2452</v>
      </c>
      <c r="AF141" s="508">
        <f t="shared" ca="1" si="184"/>
        <v>11.475</v>
      </c>
      <c r="AG141" s="594">
        <v>1</v>
      </c>
      <c r="AH141" s="600">
        <v>8.9999999999999993E-3</v>
      </c>
      <c r="AI141" s="170">
        <f t="shared" ca="1" si="203"/>
        <v>5.0196078431372547E-2</v>
      </c>
      <c r="AJ141" s="508">
        <f t="shared" ca="1" si="204"/>
        <v>502</v>
      </c>
      <c r="AL141" s="512">
        <v>4</v>
      </c>
      <c r="AM141" s="516" t="s">
        <v>2243</v>
      </c>
      <c r="AN141" s="529" t="s">
        <v>2452</v>
      </c>
      <c r="AO141" s="508">
        <f t="shared" ca="1" si="200"/>
        <v>11.475</v>
      </c>
      <c r="AP141" s="600">
        <v>1.5</v>
      </c>
      <c r="AQ141" s="633">
        <v>6.0000000000000001E-3</v>
      </c>
      <c r="AR141" s="170">
        <f t="shared" ca="1" si="208"/>
        <v>3.3812636165577344E-2</v>
      </c>
      <c r="AS141" s="508">
        <f t="shared" ca="1" si="209"/>
        <v>338</v>
      </c>
      <c r="AU141" s="512">
        <v>4</v>
      </c>
      <c r="AV141" s="516" t="s">
        <v>2252</v>
      </c>
      <c r="AW141" s="529" t="s">
        <v>2452</v>
      </c>
      <c r="AX141" s="508">
        <f t="shared" ca="1" si="191"/>
        <v>11.475</v>
      </c>
      <c r="AY141" s="625">
        <v>1.5</v>
      </c>
      <c r="AZ141" s="633">
        <v>0.01</v>
      </c>
      <c r="BA141" s="170">
        <f t="shared" ca="1" si="192"/>
        <v>3.776325344952796E-2</v>
      </c>
      <c r="BB141" s="508">
        <f t="shared" ca="1" si="193"/>
        <v>378</v>
      </c>
      <c r="BD141" s="512">
        <v>4</v>
      </c>
      <c r="BE141" s="516" t="s">
        <v>2252</v>
      </c>
      <c r="BF141" s="529" t="s">
        <v>2452</v>
      </c>
      <c r="BG141" s="508">
        <f t="shared" ca="1" si="194"/>
        <v>11.475</v>
      </c>
      <c r="BH141" s="632">
        <v>3.5</v>
      </c>
      <c r="BI141" s="615">
        <v>8.9999999999999993E-3</v>
      </c>
      <c r="BJ141" s="170">
        <f t="shared" ca="1" si="214"/>
        <v>3.3053221288515407E-2</v>
      </c>
      <c r="BK141" s="279">
        <f t="shared" ca="1" si="215"/>
        <v>331</v>
      </c>
      <c r="BM141" s="512">
        <v>4</v>
      </c>
      <c r="BN141" s="527" t="s">
        <v>2270</v>
      </c>
      <c r="BO141" s="530" t="s">
        <v>2200</v>
      </c>
      <c r="BP141" s="508" t="str">
        <f t="shared" ca="1" si="197"/>
        <v>T2部件</v>
      </c>
      <c r="BQ141" s="615">
        <v>5</v>
      </c>
      <c r="BR141" s="600">
        <v>1.8599999999999998E-2</v>
      </c>
      <c r="BS141" s="170" t="e">
        <f t="shared" ca="1" si="210"/>
        <v>#VALUE!</v>
      </c>
      <c r="BT141" s="523" t="e">
        <f t="shared" ca="1" si="211"/>
        <v>#VALUE!</v>
      </c>
      <c r="BV141" s="293">
        <v>5</v>
      </c>
      <c r="BW141" s="527" t="s">
        <v>2246</v>
      </c>
      <c r="BX141" s="530" t="s">
        <v>2200</v>
      </c>
      <c r="BY141" s="523">
        <f t="shared" ca="1" si="216"/>
        <v>10.8</v>
      </c>
      <c r="BZ141" s="662">
        <v>4</v>
      </c>
      <c r="CA141" s="632">
        <v>2.1600000000000001E-2</v>
      </c>
      <c r="CB141" s="170">
        <f t="shared" ca="1" si="217"/>
        <v>2.5000000000000001E-2</v>
      </c>
      <c r="CC141" s="290">
        <f t="shared" ca="1" si="218"/>
        <v>250</v>
      </c>
      <c r="CE141" s="512">
        <v>8</v>
      </c>
      <c r="CF141" s="527" t="s">
        <v>619</v>
      </c>
      <c r="CG141" s="525" t="s">
        <v>1211</v>
      </c>
      <c r="CH141" s="523">
        <f t="shared" ca="1" si="205"/>
        <v>66</v>
      </c>
      <c r="CI141" s="523">
        <v>1</v>
      </c>
      <c r="CJ141" s="634">
        <v>6.2E-2</v>
      </c>
      <c r="CK141" s="170">
        <f t="shared" ca="1" si="206"/>
        <v>4.6969696969696974E-2</v>
      </c>
      <c r="CL141" s="508">
        <f t="shared" ca="1" si="207"/>
        <v>470</v>
      </c>
      <c r="CN141" s="618">
        <v>9</v>
      </c>
      <c r="CO141" s="621" t="s">
        <v>2306</v>
      </c>
      <c r="CP141" s="616" t="s">
        <v>2200</v>
      </c>
      <c r="CQ141" s="617" t="e">
        <f>VLOOKUP(LEFT(CO141,2)&amp;CP141,道具价值!$B$28:$C$30,2,FALSE)</f>
        <v>#N/A</v>
      </c>
      <c r="CR141" s="618">
        <v>1</v>
      </c>
      <c r="CS141" s="617">
        <v>0.111</v>
      </c>
      <c r="CT141" s="170">
        <f t="shared" si="213"/>
        <v>0.111</v>
      </c>
      <c r="CU141" s="617">
        <f t="shared" si="212"/>
        <v>1110</v>
      </c>
    </row>
    <row r="142" spans="2:100" x14ac:dyDescent="0.35">
      <c r="B142" s="512">
        <v>4</v>
      </c>
      <c r="C142" s="516" t="s">
        <v>2260</v>
      </c>
      <c r="D142" s="529" t="s">
        <v>2452</v>
      </c>
      <c r="E142" s="508" t="str">
        <f t="shared" ca="1" si="174"/>
        <v>T2部件</v>
      </c>
      <c r="F142" s="508">
        <v>2</v>
      </c>
      <c r="G142" s="594">
        <v>0.01</v>
      </c>
      <c r="H142" s="170" t="e">
        <f t="shared" ca="1" si="175"/>
        <v>#VALUE!</v>
      </c>
      <c r="I142" s="508" t="e">
        <f t="shared" ca="1" si="176"/>
        <v>#VALUE!</v>
      </c>
      <c r="K142" s="512">
        <v>4</v>
      </c>
      <c r="L142" s="516" t="s">
        <v>2260</v>
      </c>
      <c r="M142" s="529" t="s">
        <v>2452</v>
      </c>
      <c r="N142" s="508" t="str">
        <f t="shared" ca="1" si="177"/>
        <v>T2部件</v>
      </c>
      <c r="O142" s="565">
        <v>1</v>
      </c>
      <c r="P142" s="594">
        <v>8.0000000000000002E-3</v>
      </c>
      <c r="Q142" s="170" t="e">
        <f t="shared" ca="1" si="187"/>
        <v>#VALUE!</v>
      </c>
      <c r="R142" s="508" t="e">
        <f t="shared" ca="1" si="188"/>
        <v>#VALUE!</v>
      </c>
      <c r="T142" s="512">
        <v>4</v>
      </c>
      <c r="U142" s="516" t="s">
        <v>2260</v>
      </c>
      <c r="V142" s="529" t="s">
        <v>2452</v>
      </c>
      <c r="W142" s="508" t="str">
        <f t="shared" ca="1" si="180"/>
        <v>T2部件</v>
      </c>
      <c r="X142" s="594">
        <v>1</v>
      </c>
      <c r="Y142" s="594">
        <v>8.0000000000000002E-3</v>
      </c>
      <c r="Z142" s="170" t="e">
        <f t="shared" ca="1" si="189"/>
        <v>#VALUE!</v>
      </c>
      <c r="AA142" s="508" t="e">
        <f t="shared" ca="1" si="190"/>
        <v>#VALUE!</v>
      </c>
      <c r="AC142" s="512">
        <v>4</v>
      </c>
      <c r="AD142" s="516" t="s">
        <v>2253</v>
      </c>
      <c r="AE142" s="529" t="s">
        <v>2452</v>
      </c>
      <c r="AF142" s="508">
        <f t="shared" ca="1" si="184"/>
        <v>11.475</v>
      </c>
      <c r="AG142" s="594">
        <v>1</v>
      </c>
      <c r="AH142" s="600">
        <v>8.9999999999999993E-3</v>
      </c>
      <c r="AI142" s="170">
        <f t="shared" ca="1" si="203"/>
        <v>5.0196078431372547E-2</v>
      </c>
      <c r="AJ142" s="508">
        <f t="shared" ca="1" si="204"/>
        <v>502</v>
      </c>
      <c r="AL142" s="512">
        <v>4</v>
      </c>
      <c r="AM142" s="516" t="s">
        <v>2245</v>
      </c>
      <c r="AN142" s="529" t="s">
        <v>2452</v>
      </c>
      <c r="AO142" s="508">
        <f t="shared" ca="1" si="200"/>
        <v>11.475</v>
      </c>
      <c r="AP142" s="600">
        <v>1.5</v>
      </c>
      <c r="AQ142" s="633">
        <v>6.0000000000000001E-3</v>
      </c>
      <c r="AR142" s="170">
        <f t="shared" ca="1" si="208"/>
        <v>3.3812636165577344E-2</v>
      </c>
      <c r="AS142" s="508">
        <f t="shared" ca="1" si="209"/>
        <v>338</v>
      </c>
      <c r="AU142" s="512">
        <v>4</v>
      </c>
      <c r="AV142" s="512" t="s">
        <v>2254</v>
      </c>
      <c r="AW142" s="529" t="s">
        <v>2452</v>
      </c>
      <c r="AX142" s="508">
        <f t="shared" ca="1" si="191"/>
        <v>11.475</v>
      </c>
      <c r="AY142" s="625">
        <v>1.5</v>
      </c>
      <c r="AZ142" s="633">
        <v>0.01</v>
      </c>
      <c r="BA142" s="170">
        <f t="shared" ca="1" si="192"/>
        <v>3.776325344952796E-2</v>
      </c>
      <c r="BB142" s="508">
        <f t="shared" ca="1" si="193"/>
        <v>378</v>
      </c>
      <c r="BD142" s="512">
        <v>4</v>
      </c>
      <c r="BE142" s="512" t="s">
        <v>2254</v>
      </c>
      <c r="BF142" s="529" t="s">
        <v>2452</v>
      </c>
      <c r="BG142" s="508">
        <f t="shared" ca="1" si="194"/>
        <v>11.475</v>
      </c>
      <c r="BH142" s="632">
        <v>3.5</v>
      </c>
      <c r="BI142" s="615">
        <v>8.9999999999999993E-3</v>
      </c>
      <c r="BJ142" s="170">
        <f t="shared" ca="1" si="214"/>
        <v>3.3053221288515407E-2</v>
      </c>
      <c r="BK142" s="279">
        <f t="shared" ca="1" si="215"/>
        <v>331</v>
      </c>
      <c r="BM142" s="512">
        <v>4</v>
      </c>
      <c r="BN142" s="525" t="s">
        <v>2272</v>
      </c>
      <c r="BO142" s="530" t="s">
        <v>2200</v>
      </c>
      <c r="BP142" s="508" t="str">
        <f t="shared" ca="1" si="197"/>
        <v>T2部件</v>
      </c>
      <c r="BQ142" s="615">
        <v>5</v>
      </c>
      <c r="BR142" s="600">
        <v>1.8599999999999998E-2</v>
      </c>
      <c r="BS142" s="170" t="e">
        <f t="shared" ca="1" si="210"/>
        <v>#VALUE!</v>
      </c>
      <c r="BT142" s="523" t="e">
        <f t="shared" ca="1" si="211"/>
        <v>#VALUE!</v>
      </c>
      <c r="BV142" s="293">
        <v>5</v>
      </c>
      <c r="BW142" s="527" t="s">
        <v>2248</v>
      </c>
      <c r="BX142" s="530" t="s">
        <v>2200</v>
      </c>
      <c r="BY142" s="523">
        <f t="shared" ca="1" si="216"/>
        <v>10.8</v>
      </c>
      <c r="BZ142" s="662">
        <v>4</v>
      </c>
      <c r="CA142" s="632">
        <v>2.1600000000000001E-2</v>
      </c>
      <c r="CB142" s="170">
        <f t="shared" ca="1" si="217"/>
        <v>2.5000000000000001E-2</v>
      </c>
      <c r="CC142" s="290">
        <f t="shared" ca="1" si="218"/>
        <v>250</v>
      </c>
      <c r="CE142" s="512">
        <v>8</v>
      </c>
      <c r="CF142" s="527" t="s">
        <v>718</v>
      </c>
      <c r="CG142" s="525" t="s">
        <v>1211</v>
      </c>
      <c r="CH142" s="523">
        <f t="shared" ca="1" si="205"/>
        <v>66</v>
      </c>
      <c r="CI142" s="523">
        <v>1</v>
      </c>
      <c r="CJ142" s="634">
        <v>6.2E-2</v>
      </c>
      <c r="CK142" s="170">
        <f t="shared" ca="1" si="206"/>
        <v>4.6969696969696974E-2</v>
      </c>
      <c r="CL142" s="508">
        <f t="shared" ca="1" si="207"/>
        <v>470</v>
      </c>
      <c r="CN142" s="618">
        <v>9</v>
      </c>
      <c r="CO142" s="618" t="s">
        <v>2308</v>
      </c>
      <c r="CP142" s="616" t="s">
        <v>2200</v>
      </c>
      <c r="CQ142" s="617" t="e">
        <f>VLOOKUP(LEFT(CO142,2)&amp;CP142,道具价值!$B$28:$C$30,2,FALSE)</f>
        <v>#N/A</v>
      </c>
      <c r="CR142" s="617">
        <v>1</v>
      </c>
      <c r="CS142" s="617">
        <v>0.111</v>
      </c>
      <c r="CT142" s="170">
        <f t="shared" si="213"/>
        <v>0.111</v>
      </c>
      <c r="CU142" s="617">
        <f t="shared" si="212"/>
        <v>1110</v>
      </c>
    </row>
    <row r="143" spans="2:100" x14ac:dyDescent="0.35">
      <c r="B143" s="512">
        <v>4</v>
      </c>
      <c r="C143" s="516" t="s">
        <v>2262</v>
      </c>
      <c r="D143" s="529" t="s">
        <v>2452</v>
      </c>
      <c r="E143" s="508" t="str">
        <f t="shared" ca="1" si="174"/>
        <v>T2部件</v>
      </c>
      <c r="F143" s="508">
        <v>2</v>
      </c>
      <c r="G143" s="594">
        <v>0.01</v>
      </c>
      <c r="H143" s="170" t="e">
        <f t="shared" ca="1" si="175"/>
        <v>#VALUE!</v>
      </c>
      <c r="I143" s="508" t="e">
        <f t="shared" ca="1" si="176"/>
        <v>#VALUE!</v>
      </c>
      <c r="K143" s="512">
        <v>4</v>
      </c>
      <c r="L143" s="516" t="s">
        <v>2262</v>
      </c>
      <c r="M143" s="529" t="s">
        <v>2452</v>
      </c>
      <c r="N143" s="508" t="str">
        <f t="shared" ca="1" si="177"/>
        <v>T2部件</v>
      </c>
      <c r="O143" s="565">
        <v>1</v>
      </c>
      <c r="P143" s="594">
        <v>8.0000000000000002E-3</v>
      </c>
      <c r="Q143" s="170" t="e">
        <f t="shared" ca="1" si="187"/>
        <v>#VALUE!</v>
      </c>
      <c r="R143" s="508" t="e">
        <f t="shared" ca="1" si="188"/>
        <v>#VALUE!</v>
      </c>
      <c r="T143" s="512">
        <v>4</v>
      </c>
      <c r="U143" s="516" t="s">
        <v>2262</v>
      </c>
      <c r="V143" s="529" t="s">
        <v>2452</v>
      </c>
      <c r="W143" s="508" t="str">
        <f t="shared" ca="1" si="180"/>
        <v>T2部件</v>
      </c>
      <c r="X143" s="594">
        <v>1</v>
      </c>
      <c r="Y143" s="594">
        <v>8.0000000000000002E-3</v>
      </c>
      <c r="Z143" s="170" t="e">
        <f t="shared" ca="1" si="189"/>
        <v>#VALUE!</v>
      </c>
      <c r="AA143" s="508" t="e">
        <f t="shared" ca="1" si="190"/>
        <v>#VALUE!</v>
      </c>
      <c r="AC143" s="512">
        <v>4</v>
      </c>
      <c r="AD143" s="512" t="s">
        <v>2255</v>
      </c>
      <c r="AE143" s="529" t="s">
        <v>2452</v>
      </c>
      <c r="AF143" s="508">
        <f t="shared" ca="1" si="184"/>
        <v>11.475</v>
      </c>
      <c r="AG143" s="594">
        <v>1</v>
      </c>
      <c r="AH143" s="600">
        <v>8.9999999999999993E-3</v>
      </c>
      <c r="AI143" s="170">
        <f t="shared" ca="1" si="203"/>
        <v>5.0196078431372547E-2</v>
      </c>
      <c r="AJ143" s="508">
        <f t="shared" ca="1" si="204"/>
        <v>502</v>
      </c>
      <c r="AL143" s="512">
        <v>4</v>
      </c>
      <c r="AM143" s="516" t="s">
        <v>2247</v>
      </c>
      <c r="AN143" s="529" t="s">
        <v>2452</v>
      </c>
      <c r="AO143" s="508">
        <f t="shared" ca="1" si="200"/>
        <v>11.475</v>
      </c>
      <c r="AP143" s="600">
        <v>1.5</v>
      </c>
      <c r="AQ143" s="633">
        <v>6.0000000000000001E-3</v>
      </c>
      <c r="AR143" s="170">
        <f t="shared" ca="1" si="208"/>
        <v>3.3812636165577344E-2</v>
      </c>
      <c r="AS143" s="508">
        <f t="shared" ca="1" si="209"/>
        <v>338</v>
      </c>
      <c r="AU143" s="512">
        <v>4</v>
      </c>
      <c r="AV143" s="512" t="s">
        <v>2256</v>
      </c>
      <c r="AW143" s="529" t="s">
        <v>2452</v>
      </c>
      <c r="AX143" s="508">
        <f t="shared" ca="1" si="191"/>
        <v>11.475</v>
      </c>
      <c r="AY143" s="625">
        <v>1.5</v>
      </c>
      <c r="AZ143" s="633">
        <v>0.01</v>
      </c>
      <c r="BA143" s="170">
        <f t="shared" ca="1" si="192"/>
        <v>3.776325344952796E-2</v>
      </c>
      <c r="BB143" s="508">
        <f t="shared" ca="1" si="193"/>
        <v>378</v>
      </c>
      <c r="BD143" s="512">
        <v>4</v>
      </c>
      <c r="BE143" s="512" t="s">
        <v>2256</v>
      </c>
      <c r="BF143" s="529" t="s">
        <v>2452</v>
      </c>
      <c r="BG143" s="508">
        <f t="shared" ca="1" si="194"/>
        <v>11.475</v>
      </c>
      <c r="BH143" s="632">
        <v>3.5</v>
      </c>
      <c r="BI143" s="615">
        <v>8.9999999999999993E-3</v>
      </c>
      <c r="BJ143" s="170">
        <f t="shared" ca="1" si="214"/>
        <v>3.3053221288515407E-2</v>
      </c>
      <c r="BK143" s="279">
        <f t="shared" ca="1" si="215"/>
        <v>331</v>
      </c>
      <c r="BM143" s="512">
        <v>4</v>
      </c>
      <c r="BN143" s="525" t="s">
        <v>2274</v>
      </c>
      <c r="BO143" s="530" t="s">
        <v>2200</v>
      </c>
      <c r="BP143" s="508" t="str">
        <f t="shared" ca="1" si="197"/>
        <v>T2部件</v>
      </c>
      <c r="BQ143" s="615">
        <v>5</v>
      </c>
      <c r="BR143" s="600">
        <v>1.8599999999999998E-2</v>
      </c>
      <c r="BS143" s="170" t="e">
        <f t="shared" ca="1" si="210"/>
        <v>#VALUE!</v>
      </c>
      <c r="BT143" s="523" t="e">
        <f t="shared" ca="1" si="211"/>
        <v>#VALUE!</v>
      </c>
      <c r="BV143" s="293">
        <v>5</v>
      </c>
      <c r="BW143" s="527" t="s">
        <v>2250</v>
      </c>
      <c r="BX143" s="530" t="s">
        <v>2200</v>
      </c>
      <c r="BY143" s="523">
        <f t="shared" ca="1" si="216"/>
        <v>10.8</v>
      </c>
      <c r="BZ143" s="662">
        <v>4</v>
      </c>
      <c r="CA143" s="632">
        <v>2.1600000000000001E-2</v>
      </c>
      <c r="CB143" s="170">
        <f t="shared" ca="1" si="217"/>
        <v>2.5000000000000001E-2</v>
      </c>
      <c r="CC143" s="290">
        <f t="shared" ca="1" si="218"/>
        <v>250</v>
      </c>
      <c r="CE143" s="512">
        <v>8</v>
      </c>
      <c r="CF143" s="527" t="s">
        <v>632</v>
      </c>
      <c r="CG143" s="525" t="s">
        <v>1211</v>
      </c>
      <c r="CH143" s="523">
        <f t="shared" ca="1" si="205"/>
        <v>66</v>
      </c>
      <c r="CI143" s="523">
        <v>1</v>
      </c>
      <c r="CJ143" s="634">
        <v>6.2E-2</v>
      </c>
      <c r="CK143" s="170">
        <f t="shared" ca="1" si="206"/>
        <v>4.6969696969696974E-2</v>
      </c>
      <c r="CL143" s="508">
        <f t="shared" ca="1" si="207"/>
        <v>470</v>
      </c>
      <c r="CN143" s="618">
        <v>9</v>
      </c>
      <c r="CO143" s="618" t="s">
        <v>2310</v>
      </c>
      <c r="CP143" s="616" t="s">
        <v>2200</v>
      </c>
      <c r="CQ143" s="617" t="e">
        <f>VLOOKUP(LEFT(CO143,2)&amp;CP143,道具价值!$B$28:$C$30,2,FALSE)</f>
        <v>#N/A</v>
      </c>
      <c r="CR143" s="618">
        <v>1</v>
      </c>
      <c r="CS143" s="617">
        <v>0.112</v>
      </c>
      <c r="CT143" s="170">
        <f t="shared" si="213"/>
        <v>0.112</v>
      </c>
      <c r="CU143" s="617">
        <f t="shared" si="212"/>
        <v>1120</v>
      </c>
    </row>
    <row r="144" spans="2:100" x14ac:dyDescent="0.35">
      <c r="B144" s="512">
        <v>4</v>
      </c>
      <c r="C144" s="516" t="s">
        <v>2264</v>
      </c>
      <c r="D144" s="529" t="s">
        <v>2452</v>
      </c>
      <c r="E144" s="508" t="str">
        <f t="shared" ca="1" si="174"/>
        <v>T2部件</v>
      </c>
      <c r="F144" s="508">
        <v>2</v>
      </c>
      <c r="G144" s="594">
        <v>0.01</v>
      </c>
      <c r="H144" s="170" t="e">
        <f t="shared" ca="1" si="175"/>
        <v>#VALUE!</v>
      </c>
      <c r="I144" s="508" t="e">
        <f t="shared" ca="1" si="176"/>
        <v>#VALUE!</v>
      </c>
      <c r="K144" s="512">
        <v>4</v>
      </c>
      <c r="L144" s="516" t="s">
        <v>2264</v>
      </c>
      <c r="M144" s="529" t="s">
        <v>2452</v>
      </c>
      <c r="N144" s="508" t="str">
        <f t="shared" ca="1" si="177"/>
        <v>T2部件</v>
      </c>
      <c r="O144" s="565">
        <v>1</v>
      </c>
      <c r="P144" s="594">
        <v>8.0000000000000002E-3</v>
      </c>
      <c r="Q144" s="170" t="e">
        <f t="shared" ca="1" si="187"/>
        <v>#VALUE!</v>
      </c>
      <c r="R144" s="508" t="e">
        <f t="shared" ca="1" si="188"/>
        <v>#VALUE!</v>
      </c>
      <c r="T144" s="512">
        <v>4</v>
      </c>
      <c r="U144" s="516" t="s">
        <v>2264</v>
      </c>
      <c r="V144" s="529" t="s">
        <v>2452</v>
      </c>
      <c r="W144" s="508" t="str">
        <f t="shared" ca="1" si="180"/>
        <v>T2部件</v>
      </c>
      <c r="X144" s="594">
        <v>1</v>
      </c>
      <c r="Y144" s="594">
        <v>8.0000000000000002E-3</v>
      </c>
      <c r="Z144" s="170" t="e">
        <f t="shared" ca="1" si="189"/>
        <v>#VALUE!</v>
      </c>
      <c r="AA144" s="508" t="e">
        <f t="shared" ca="1" si="190"/>
        <v>#VALUE!</v>
      </c>
      <c r="AC144" s="512">
        <v>4</v>
      </c>
      <c r="AD144" s="512" t="s">
        <v>2257</v>
      </c>
      <c r="AE144" s="529" t="s">
        <v>2452</v>
      </c>
      <c r="AF144" s="508">
        <f t="shared" ca="1" si="184"/>
        <v>11.475</v>
      </c>
      <c r="AG144" s="565">
        <v>1</v>
      </c>
      <c r="AH144" s="600">
        <v>8.9999999999999993E-3</v>
      </c>
      <c r="AI144" s="170">
        <f t="shared" ca="1" si="203"/>
        <v>5.0196078431372547E-2</v>
      </c>
      <c r="AJ144" s="508">
        <f t="shared" ca="1" si="204"/>
        <v>502</v>
      </c>
      <c r="AL144" s="512">
        <v>4</v>
      </c>
      <c r="AM144" s="516" t="s">
        <v>2249</v>
      </c>
      <c r="AN144" s="529" t="s">
        <v>2452</v>
      </c>
      <c r="AO144" s="508">
        <f t="shared" ca="1" si="200"/>
        <v>11.475</v>
      </c>
      <c r="AP144" s="600">
        <v>1.5</v>
      </c>
      <c r="AQ144" s="633">
        <v>6.0000000000000001E-3</v>
      </c>
      <c r="AR144" s="170">
        <f t="shared" ca="1" si="208"/>
        <v>3.3812636165577344E-2</v>
      </c>
      <c r="AS144" s="508">
        <f t="shared" ca="1" si="209"/>
        <v>338</v>
      </c>
      <c r="AU144" s="512">
        <v>4</v>
      </c>
      <c r="AV144" s="516" t="s">
        <v>2241</v>
      </c>
      <c r="AW144" s="529" t="s">
        <v>2452</v>
      </c>
      <c r="AX144" s="508">
        <f t="shared" ca="1" si="191"/>
        <v>11.475</v>
      </c>
      <c r="AY144" s="625">
        <v>1.5</v>
      </c>
      <c r="AZ144" s="633">
        <v>0.01</v>
      </c>
      <c r="BA144" s="170">
        <f t="shared" ca="1" si="192"/>
        <v>3.776325344952796E-2</v>
      </c>
      <c r="BB144" s="508">
        <f t="shared" ca="1" si="193"/>
        <v>378</v>
      </c>
      <c r="BD144" s="512">
        <v>4</v>
      </c>
      <c r="BE144" s="516" t="s">
        <v>2241</v>
      </c>
      <c r="BF144" s="529" t="s">
        <v>2452</v>
      </c>
      <c r="BG144" s="508">
        <f t="shared" ca="1" si="194"/>
        <v>11.475</v>
      </c>
      <c r="BH144" s="632">
        <v>3.5</v>
      </c>
      <c r="BI144" s="615">
        <v>8.9999999999999993E-3</v>
      </c>
      <c r="BJ144" s="170">
        <f t="shared" ref="BJ144:BJ170" ca="1" si="219">BI144*BE$4/BG144/BH144</f>
        <v>3.3053221288515407E-2</v>
      </c>
      <c r="BK144" s="508">
        <f t="shared" ref="BK144:BK170" ca="1" si="220">ROUND(BJ144*10000,0)</f>
        <v>331</v>
      </c>
      <c r="BM144" s="512">
        <v>4</v>
      </c>
      <c r="BN144" s="527" t="s">
        <v>2259</v>
      </c>
      <c r="BO144" s="530" t="s">
        <v>2200</v>
      </c>
      <c r="BP144" s="508" t="str">
        <f t="shared" ca="1" si="197"/>
        <v>T2部件</v>
      </c>
      <c r="BQ144" s="615">
        <v>5</v>
      </c>
      <c r="BR144" s="600">
        <v>1.8599999999999998E-2</v>
      </c>
      <c r="BS144" s="170" t="e">
        <f t="shared" ca="1" si="210"/>
        <v>#VALUE!</v>
      </c>
      <c r="BT144" s="523" t="e">
        <f t="shared" ca="1" si="211"/>
        <v>#VALUE!</v>
      </c>
      <c r="BV144" s="293">
        <v>5</v>
      </c>
      <c r="BW144" s="527" t="s">
        <v>2252</v>
      </c>
      <c r="BX144" s="530" t="s">
        <v>2200</v>
      </c>
      <c r="BY144" s="523">
        <f t="shared" ca="1" si="216"/>
        <v>10.8</v>
      </c>
      <c r="BZ144" s="662">
        <v>4</v>
      </c>
      <c r="CA144" s="632">
        <v>2.1600000000000001E-2</v>
      </c>
      <c r="CB144" s="170">
        <f t="shared" ca="1" si="217"/>
        <v>2.5000000000000001E-2</v>
      </c>
      <c r="CC144" s="290">
        <f t="shared" ca="1" si="218"/>
        <v>250</v>
      </c>
      <c r="CE144" s="512">
        <v>8</v>
      </c>
      <c r="CF144" s="527" t="s">
        <v>620</v>
      </c>
      <c r="CG144" s="525" t="s">
        <v>1211</v>
      </c>
      <c r="CH144" s="523">
        <f t="shared" ca="1" si="205"/>
        <v>100</v>
      </c>
      <c r="CI144" s="523">
        <v>1</v>
      </c>
      <c r="CJ144" s="523">
        <v>0.06</v>
      </c>
      <c r="CK144" s="170">
        <f t="shared" ca="1" si="206"/>
        <v>0.03</v>
      </c>
      <c r="CL144" s="508">
        <f t="shared" ca="1" si="207"/>
        <v>300</v>
      </c>
    </row>
    <row r="145" spans="2:100" x14ac:dyDescent="0.35">
      <c r="B145" s="512">
        <v>4</v>
      </c>
      <c r="C145" s="516" t="s">
        <v>2266</v>
      </c>
      <c r="D145" s="529" t="s">
        <v>2452</v>
      </c>
      <c r="E145" s="508" t="str">
        <f t="shared" ca="1" si="174"/>
        <v>T2部件</v>
      </c>
      <c r="F145" s="508">
        <v>2</v>
      </c>
      <c r="G145" s="594">
        <v>0.01</v>
      </c>
      <c r="H145" s="170" t="e">
        <f t="shared" ca="1" si="175"/>
        <v>#VALUE!</v>
      </c>
      <c r="I145" s="508" t="e">
        <f t="shared" ca="1" si="176"/>
        <v>#VALUE!</v>
      </c>
      <c r="K145" s="512">
        <v>4</v>
      </c>
      <c r="L145" s="516" t="s">
        <v>2266</v>
      </c>
      <c r="M145" s="529" t="s">
        <v>2452</v>
      </c>
      <c r="N145" s="508" t="str">
        <f t="shared" ca="1" si="177"/>
        <v>T2部件</v>
      </c>
      <c r="O145" s="565">
        <v>1</v>
      </c>
      <c r="P145" s="594">
        <v>8.0000000000000002E-3</v>
      </c>
      <c r="Q145" s="170" t="e">
        <f t="shared" ca="1" si="187"/>
        <v>#VALUE!</v>
      </c>
      <c r="R145" s="508" t="e">
        <f t="shared" ca="1" si="188"/>
        <v>#VALUE!</v>
      </c>
      <c r="T145" s="512">
        <v>4</v>
      </c>
      <c r="U145" s="516" t="s">
        <v>2266</v>
      </c>
      <c r="V145" s="529" t="s">
        <v>2452</v>
      </c>
      <c r="W145" s="508" t="str">
        <f t="shared" ca="1" si="180"/>
        <v>T2部件</v>
      </c>
      <c r="X145" s="594">
        <v>1</v>
      </c>
      <c r="Y145" s="594">
        <v>8.0000000000000002E-3</v>
      </c>
      <c r="Z145" s="170" t="e">
        <f t="shared" ca="1" si="189"/>
        <v>#VALUE!</v>
      </c>
      <c r="AA145" s="508" t="e">
        <f t="shared" ca="1" si="190"/>
        <v>#VALUE!</v>
      </c>
      <c r="AC145" s="512">
        <v>4</v>
      </c>
      <c r="AD145" s="516" t="s">
        <v>2258</v>
      </c>
      <c r="AE145" s="529" t="s">
        <v>2452</v>
      </c>
      <c r="AF145" s="508" t="str">
        <f t="shared" ca="1" si="184"/>
        <v>T2部件</v>
      </c>
      <c r="AG145" s="508">
        <v>1</v>
      </c>
      <c r="AH145" s="594">
        <v>8.0000000000000002E-3</v>
      </c>
      <c r="AI145" s="170" t="e">
        <f t="shared" ca="1" si="203"/>
        <v>#VALUE!</v>
      </c>
      <c r="AJ145" s="508" t="e">
        <f t="shared" ca="1" si="204"/>
        <v>#VALUE!</v>
      </c>
      <c r="AL145" s="512">
        <v>4</v>
      </c>
      <c r="AM145" s="516" t="s">
        <v>2251</v>
      </c>
      <c r="AN145" s="529" t="s">
        <v>2452</v>
      </c>
      <c r="AO145" s="508">
        <f t="shared" ca="1" si="200"/>
        <v>11.475</v>
      </c>
      <c r="AP145" s="600">
        <v>1.5</v>
      </c>
      <c r="AQ145" s="633">
        <v>6.0000000000000001E-3</v>
      </c>
      <c r="AR145" s="170">
        <f t="shared" ca="1" si="208"/>
        <v>3.3812636165577344E-2</v>
      </c>
      <c r="AS145" s="508">
        <f t="shared" ca="1" si="209"/>
        <v>338</v>
      </c>
      <c r="AU145" s="512">
        <v>4</v>
      </c>
      <c r="AV145" s="516" t="s">
        <v>2243</v>
      </c>
      <c r="AW145" s="529" t="s">
        <v>2452</v>
      </c>
      <c r="AX145" s="508">
        <f t="shared" ca="1" si="191"/>
        <v>11.475</v>
      </c>
      <c r="AY145" s="625">
        <v>1.5</v>
      </c>
      <c r="AZ145" s="633">
        <v>0.01</v>
      </c>
      <c r="BA145" s="170">
        <f t="shared" ca="1" si="192"/>
        <v>3.776325344952796E-2</v>
      </c>
      <c r="BB145" s="508">
        <f t="shared" ca="1" si="193"/>
        <v>378</v>
      </c>
      <c r="BD145" s="512">
        <v>4</v>
      </c>
      <c r="BE145" s="516" t="s">
        <v>2243</v>
      </c>
      <c r="BF145" s="529" t="s">
        <v>2452</v>
      </c>
      <c r="BG145" s="508">
        <f t="shared" ca="1" si="194"/>
        <v>11.475</v>
      </c>
      <c r="BH145" s="632">
        <v>3.5</v>
      </c>
      <c r="BI145" s="615">
        <v>8.9999999999999993E-3</v>
      </c>
      <c r="BJ145" s="170">
        <f t="shared" ca="1" si="219"/>
        <v>3.3053221288515407E-2</v>
      </c>
      <c r="BK145" s="508">
        <f t="shared" ca="1" si="220"/>
        <v>331</v>
      </c>
      <c r="BM145" s="512">
        <v>4</v>
      </c>
      <c r="BN145" s="527" t="s">
        <v>2261</v>
      </c>
      <c r="BO145" s="530" t="s">
        <v>2200</v>
      </c>
      <c r="BP145" s="508" t="str">
        <f t="shared" ca="1" si="197"/>
        <v>T2部件</v>
      </c>
      <c r="BQ145" s="615">
        <v>5</v>
      </c>
      <c r="BR145" s="600">
        <v>1.8499999999999999E-2</v>
      </c>
      <c r="BS145" s="170" t="e">
        <f t="shared" ca="1" si="210"/>
        <v>#VALUE!</v>
      </c>
      <c r="BT145" s="523" t="e">
        <f t="shared" ca="1" si="211"/>
        <v>#VALUE!</v>
      </c>
      <c r="BV145" s="293">
        <v>5</v>
      </c>
      <c r="BW145" s="525" t="s">
        <v>2254</v>
      </c>
      <c r="BX145" s="530" t="s">
        <v>2200</v>
      </c>
      <c r="BY145" s="523">
        <f t="shared" ca="1" si="216"/>
        <v>10.8</v>
      </c>
      <c r="BZ145" s="662">
        <v>4</v>
      </c>
      <c r="CA145" s="632">
        <v>2.1600000000000001E-2</v>
      </c>
      <c r="CB145" s="170">
        <f t="shared" ca="1" si="217"/>
        <v>2.5000000000000001E-2</v>
      </c>
      <c r="CC145" s="290">
        <f t="shared" ca="1" si="218"/>
        <v>250</v>
      </c>
      <c r="CE145" s="512">
        <v>8</v>
      </c>
      <c r="CF145" s="527" t="s">
        <v>719</v>
      </c>
      <c r="CG145" s="525" t="s">
        <v>1211</v>
      </c>
      <c r="CH145" s="523">
        <f t="shared" ca="1" si="205"/>
        <v>100</v>
      </c>
      <c r="CI145" s="523">
        <v>1</v>
      </c>
      <c r="CJ145" s="634">
        <v>0.06</v>
      </c>
      <c r="CK145" s="170">
        <f t="shared" ca="1" si="206"/>
        <v>0.03</v>
      </c>
      <c r="CL145" s="508">
        <f t="shared" ca="1" si="207"/>
        <v>300</v>
      </c>
    </row>
    <row r="146" spans="2:100" x14ac:dyDescent="0.35">
      <c r="B146" s="512">
        <v>4</v>
      </c>
      <c r="C146" s="516" t="s">
        <v>2268</v>
      </c>
      <c r="D146" s="529" t="s">
        <v>2452</v>
      </c>
      <c r="E146" s="508" t="str">
        <f t="shared" ca="1" si="174"/>
        <v>T2部件</v>
      </c>
      <c r="F146" s="508">
        <v>2</v>
      </c>
      <c r="G146" s="594">
        <v>0.01</v>
      </c>
      <c r="H146" s="170" t="e">
        <f t="shared" ca="1" si="175"/>
        <v>#VALUE!</v>
      </c>
      <c r="I146" s="508" t="e">
        <f t="shared" ca="1" si="176"/>
        <v>#VALUE!</v>
      </c>
      <c r="K146" s="512">
        <v>4</v>
      </c>
      <c r="L146" s="516" t="s">
        <v>2268</v>
      </c>
      <c r="M146" s="529" t="s">
        <v>2452</v>
      </c>
      <c r="N146" s="508" t="str">
        <f t="shared" ca="1" si="177"/>
        <v>T2部件</v>
      </c>
      <c r="O146" s="565">
        <v>1</v>
      </c>
      <c r="P146" s="594">
        <v>8.0000000000000002E-3</v>
      </c>
      <c r="Q146" s="170" t="e">
        <f t="shared" ca="1" si="187"/>
        <v>#VALUE!</v>
      </c>
      <c r="R146" s="508" t="e">
        <f t="shared" ca="1" si="188"/>
        <v>#VALUE!</v>
      </c>
      <c r="T146" s="512">
        <v>4</v>
      </c>
      <c r="U146" s="516" t="s">
        <v>2268</v>
      </c>
      <c r="V146" s="529" t="s">
        <v>2452</v>
      </c>
      <c r="W146" s="508" t="str">
        <f t="shared" ca="1" si="180"/>
        <v>T2部件</v>
      </c>
      <c r="X146" s="594">
        <v>1</v>
      </c>
      <c r="Y146" s="594">
        <v>8.0000000000000002E-3</v>
      </c>
      <c r="Z146" s="170" t="e">
        <f t="shared" ca="1" si="189"/>
        <v>#VALUE!</v>
      </c>
      <c r="AA146" s="508" t="e">
        <f t="shared" ca="1" si="190"/>
        <v>#VALUE!</v>
      </c>
      <c r="AC146" s="512">
        <v>4</v>
      </c>
      <c r="AD146" s="516" t="s">
        <v>2260</v>
      </c>
      <c r="AE146" s="529" t="s">
        <v>2452</v>
      </c>
      <c r="AF146" s="508" t="str">
        <f t="shared" ca="1" si="184"/>
        <v>T2部件</v>
      </c>
      <c r="AG146" s="508">
        <v>1</v>
      </c>
      <c r="AH146" s="600">
        <v>8.0000000000000002E-3</v>
      </c>
      <c r="AI146" s="170" t="e">
        <f t="shared" ca="1" si="203"/>
        <v>#VALUE!</v>
      </c>
      <c r="AJ146" s="508" t="e">
        <f t="shared" ca="1" si="204"/>
        <v>#VALUE!</v>
      </c>
      <c r="AL146" s="512">
        <v>4</v>
      </c>
      <c r="AM146" s="516" t="s">
        <v>2253</v>
      </c>
      <c r="AN146" s="529" t="s">
        <v>2452</v>
      </c>
      <c r="AO146" s="508">
        <f t="shared" ca="1" si="200"/>
        <v>11.475</v>
      </c>
      <c r="AP146" s="600">
        <v>1.5</v>
      </c>
      <c r="AQ146" s="633">
        <v>6.0000000000000001E-3</v>
      </c>
      <c r="AR146" s="170">
        <f t="shared" ca="1" si="208"/>
        <v>3.3812636165577344E-2</v>
      </c>
      <c r="AS146" s="508">
        <f t="shared" ca="1" si="209"/>
        <v>338</v>
      </c>
      <c r="AU146" s="512">
        <v>4</v>
      </c>
      <c r="AV146" s="516" t="s">
        <v>2245</v>
      </c>
      <c r="AW146" s="529" t="s">
        <v>2452</v>
      </c>
      <c r="AX146" s="508">
        <f t="shared" ca="1" si="191"/>
        <v>11.475</v>
      </c>
      <c r="AY146" s="625">
        <v>1.5</v>
      </c>
      <c r="AZ146" s="633">
        <v>0.01</v>
      </c>
      <c r="BA146" s="170">
        <f t="shared" ca="1" si="192"/>
        <v>3.776325344952796E-2</v>
      </c>
      <c r="BB146" s="508">
        <f t="shared" ca="1" si="193"/>
        <v>378</v>
      </c>
      <c r="BD146" s="512">
        <v>4</v>
      </c>
      <c r="BE146" s="516" t="s">
        <v>2245</v>
      </c>
      <c r="BF146" s="529" t="s">
        <v>2452</v>
      </c>
      <c r="BG146" s="508">
        <f t="shared" ca="1" si="194"/>
        <v>11.475</v>
      </c>
      <c r="BH146" s="632">
        <v>3.5</v>
      </c>
      <c r="BI146" s="615">
        <v>8.9999999999999993E-3</v>
      </c>
      <c r="BJ146" s="170">
        <f t="shared" ca="1" si="219"/>
        <v>3.3053221288515407E-2</v>
      </c>
      <c r="BK146" s="508">
        <f t="shared" ca="1" si="220"/>
        <v>331</v>
      </c>
      <c r="BM146" s="512">
        <v>4</v>
      </c>
      <c r="BN146" s="527" t="s">
        <v>2263</v>
      </c>
      <c r="BO146" s="530" t="s">
        <v>2200</v>
      </c>
      <c r="BP146" s="508" t="str">
        <f t="shared" ca="1" si="197"/>
        <v>T2部件</v>
      </c>
      <c r="BQ146" s="615">
        <v>5</v>
      </c>
      <c r="BR146" s="600">
        <v>1.8499999999999999E-2</v>
      </c>
      <c r="BS146" s="170" t="e">
        <f t="shared" ca="1" si="210"/>
        <v>#VALUE!</v>
      </c>
      <c r="BT146" s="523" t="e">
        <f t="shared" ca="1" si="211"/>
        <v>#VALUE!</v>
      </c>
      <c r="BV146" s="293">
        <v>5</v>
      </c>
      <c r="BW146" s="525" t="s">
        <v>2256</v>
      </c>
      <c r="BX146" s="530" t="s">
        <v>2200</v>
      </c>
      <c r="BY146" s="523">
        <f t="shared" ca="1" si="216"/>
        <v>10.8</v>
      </c>
      <c r="BZ146" s="662">
        <v>4</v>
      </c>
      <c r="CA146" s="632">
        <v>2.1600000000000001E-2</v>
      </c>
      <c r="CB146" s="170">
        <f t="shared" ca="1" si="217"/>
        <v>2.5000000000000001E-2</v>
      </c>
      <c r="CC146" s="290">
        <f t="shared" ca="1" si="218"/>
        <v>250</v>
      </c>
      <c r="CE146" s="512">
        <v>8</v>
      </c>
      <c r="CF146" s="527" t="s">
        <v>635</v>
      </c>
      <c r="CG146" s="525" t="s">
        <v>1211</v>
      </c>
      <c r="CH146" s="523">
        <f t="shared" ca="1" si="205"/>
        <v>100</v>
      </c>
      <c r="CI146" s="523">
        <v>1</v>
      </c>
      <c r="CJ146" s="634">
        <v>0.06</v>
      </c>
      <c r="CK146" s="170">
        <f t="shared" ca="1" si="206"/>
        <v>0.03</v>
      </c>
      <c r="CL146" s="508">
        <f t="shared" ca="1" si="207"/>
        <v>300</v>
      </c>
      <c r="CN146" s="618" t="s">
        <v>597</v>
      </c>
      <c r="CO146" s="618" t="s">
        <v>1225</v>
      </c>
      <c r="CP146" s="619" t="s">
        <v>917</v>
      </c>
      <c r="CQ146" s="166" t="s">
        <v>920</v>
      </c>
      <c r="CR146" s="622" t="s">
        <v>967</v>
      </c>
      <c r="CS146" s="166" t="s">
        <v>854</v>
      </c>
      <c r="CT146" s="166" t="s">
        <v>926</v>
      </c>
      <c r="CU146" s="620" t="s">
        <v>927</v>
      </c>
      <c r="CV146" s="300">
        <f>SUM(CU147:CU164)</f>
        <v>10000</v>
      </c>
    </row>
    <row r="147" spans="2:100" x14ac:dyDescent="0.35">
      <c r="B147" s="512">
        <v>4</v>
      </c>
      <c r="C147" s="516" t="s">
        <v>2270</v>
      </c>
      <c r="D147" s="529" t="s">
        <v>2452</v>
      </c>
      <c r="E147" s="508" t="str">
        <f t="shared" ca="1" si="174"/>
        <v>T2部件</v>
      </c>
      <c r="F147" s="508">
        <v>2</v>
      </c>
      <c r="G147" s="594">
        <v>0.01</v>
      </c>
      <c r="H147" s="170" t="e">
        <f t="shared" ca="1" si="175"/>
        <v>#VALUE!</v>
      </c>
      <c r="I147" s="508" t="e">
        <f t="shared" ca="1" si="176"/>
        <v>#VALUE!</v>
      </c>
      <c r="K147" s="512">
        <v>4</v>
      </c>
      <c r="L147" s="516" t="s">
        <v>2270</v>
      </c>
      <c r="M147" s="529" t="s">
        <v>2452</v>
      </c>
      <c r="N147" s="508" t="str">
        <f t="shared" ca="1" si="177"/>
        <v>T2部件</v>
      </c>
      <c r="O147" s="565">
        <v>1</v>
      </c>
      <c r="P147" s="594">
        <v>8.0000000000000002E-3</v>
      </c>
      <c r="Q147" s="170" t="e">
        <f t="shared" ca="1" si="187"/>
        <v>#VALUE!</v>
      </c>
      <c r="R147" s="508" t="e">
        <f t="shared" ca="1" si="188"/>
        <v>#VALUE!</v>
      </c>
      <c r="T147" s="512">
        <v>4</v>
      </c>
      <c r="U147" s="516" t="s">
        <v>2270</v>
      </c>
      <c r="V147" s="529" t="s">
        <v>2452</v>
      </c>
      <c r="W147" s="508" t="str">
        <f t="shared" ca="1" si="180"/>
        <v>T2部件</v>
      </c>
      <c r="X147" s="594">
        <v>1</v>
      </c>
      <c r="Y147" s="594">
        <v>8.0000000000000002E-3</v>
      </c>
      <c r="Z147" s="170" t="e">
        <f t="shared" ca="1" si="189"/>
        <v>#VALUE!</v>
      </c>
      <c r="AA147" s="508" t="e">
        <f t="shared" ca="1" si="190"/>
        <v>#VALUE!</v>
      </c>
      <c r="AC147" s="512">
        <v>4</v>
      </c>
      <c r="AD147" s="516" t="s">
        <v>2262</v>
      </c>
      <c r="AE147" s="529" t="s">
        <v>2452</v>
      </c>
      <c r="AF147" s="508" t="str">
        <f t="shared" ca="1" si="184"/>
        <v>T2部件</v>
      </c>
      <c r="AG147" s="508">
        <v>1</v>
      </c>
      <c r="AH147" s="600">
        <v>8.0000000000000002E-3</v>
      </c>
      <c r="AI147" s="170" t="e">
        <f t="shared" ca="1" si="203"/>
        <v>#VALUE!</v>
      </c>
      <c r="AJ147" s="508" t="e">
        <f t="shared" ca="1" si="204"/>
        <v>#VALUE!</v>
      </c>
      <c r="AL147" s="512">
        <v>4</v>
      </c>
      <c r="AM147" s="512" t="s">
        <v>2255</v>
      </c>
      <c r="AN147" s="529" t="s">
        <v>2452</v>
      </c>
      <c r="AO147" s="508">
        <f t="shared" ca="1" si="200"/>
        <v>11.475</v>
      </c>
      <c r="AP147" s="600">
        <v>1.5</v>
      </c>
      <c r="AQ147" s="633">
        <v>6.0000000000000001E-3</v>
      </c>
      <c r="AR147" s="170">
        <f t="shared" ca="1" si="208"/>
        <v>3.3812636165577344E-2</v>
      </c>
      <c r="AS147" s="508">
        <f t="shared" ca="1" si="209"/>
        <v>338</v>
      </c>
      <c r="AU147" s="512">
        <v>4</v>
      </c>
      <c r="AV147" s="516" t="s">
        <v>2247</v>
      </c>
      <c r="AW147" s="529" t="s">
        <v>2452</v>
      </c>
      <c r="AX147" s="508">
        <f t="shared" ca="1" si="191"/>
        <v>11.475</v>
      </c>
      <c r="AY147" s="625">
        <v>1.5</v>
      </c>
      <c r="AZ147" s="633">
        <v>0.01</v>
      </c>
      <c r="BA147" s="170">
        <f t="shared" ca="1" si="192"/>
        <v>3.776325344952796E-2</v>
      </c>
      <c r="BB147" s="508">
        <f t="shared" ca="1" si="193"/>
        <v>378</v>
      </c>
      <c r="BD147" s="512">
        <v>4</v>
      </c>
      <c r="BE147" s="516" t="s">
        <v>2247</v>
      </c>
      <c r="BF147" s="529" t="s">
        <v>2452</v>
      </c>
      <c r="BG147" s="508">
        <f t="shared" ca="1" si="194"/>
        <v>11.475</v>
      </c>
      <c r="BH147" s="632">
        <v>3.5</v>
      </c>
      <c r="BI147" s="615">
        <v>8.9999999999999993E-3</v>
      </c>
      <c r="BJ147" s="170">
        <f t="shared" ca="1" si="219"/>
        <v>3.3053221288515407E-2</v>
      </c>
      <c r="BK147" s="508">
        <f t="shared" ca="1" si="220"/>
        <v>331</v>
      </c>
      <c r="BM147" s="512">
        <v>4</v>
      </c>
      <c r="BN147" s="527" t="s">
        <v>2265</v>
      </c>
      <c r="BO147" s="530" t="s">
        <v>2200</v>
      </c>
      <c r="BP147" s="508" t="str">
        <f t="shared" ca="1" si="197"/>
        <v>T2部件</v>
      </c>
      <c r="BQ147" s="615">
        <v>5</v>
      </c>
      <c r="BR147" s="600">
        <v>1.8499999999999999E-2</v>
      </c>
      <c r="BS147" s="170" t="e">
        <f t="shared" ca="1" si="210"/>
        <v>#VALUE!</v>
      </c>
      <c r="BT147" s="523" t="e">
        <f t="shared" ca="1" si="211"/>
        <v>#VALUE!</v>
      </c>
      <c r="BV147" s="293">
        <v>5</v>
      </c>
      <c r="BW147" s="527" t="s">
        <v>2241</v>
      </c>
      <c r="BX147" s="530" t="s">
        <v>2200</v>
      </c>
      <c r="BY147" s="523">
        <f t="shared" ca="1" si="216"/>
        <v>10.8</v>
      </c>
      <c r="BZ147" s="662">
        <v>4</v>
      </c>
      <c r="CA147" s="632">
        <v>2.1600000000000001E-2</v>
      </c>
      <c r="CB147" s="170">
        <f t="shared" ca="1" si="217"/>
        <v>2.5000000000000001E-2</v>
      </c>
      <c r="CC147" s="290">
        <f t="shared" ca="1" si="218"/>
        <v>250</v>
      </c>
      <c r="CE147" s="512">
        <v>8</v>
      </c>
      <c r="CF147" s="527" t="s">
        <v>717</v>
      </c>
      <c r="CG147" s="525" t="s">
        <v>1211</v>
      </c>
      <c r="CH147" s="523">
        <f t="shared" ca="1" si="205"/>
        <v>125</v>
      </c>
      <c r="CI147" s="523">
        <v>1</v>
      </c>
      <c r="CJ147" s="523">
        <v>5.3999999999999999E-2</v>
      </c>
      <c r="CK147" s="170">
        <f t="shared" ca="1" si="206"/>
        <v>2.1600000000000001E-2</v>
      </c>
      <c r="CL147" s="508">
        <f t="shared" ca="1" si="207"/>
        <v>216</v>
      </c>
      <c r="CN147" s="618">
        <v>10</v>
      </c>
      <c r="CO147" s="621" t="s">
        <v>2294</v>
      </c>
      <c r="CP147" s="616" t="s">
        <v>2200</v>
      </c>
      <c r="CQ147" s="617" t="e">
        <f>VLOOKUP(LEFT(CO147,2)&amp;CP147,道具价值!$B$28:$C$30,2,FALSE)</f>
        <v>#N/A</v>
      </c>
      <c r="CR147" s="617">
        <v>1</v>
      </c>
      <c r="CS147" s="617">
        <v>5.5E-2</v>
      </c>
      <c r="CT147" s="170">
        <f t="shared" ref="CT147:CT164" si="221">CS147</f>
        <v>5.5E-2</v>
      </c>
      <c r="CU147" s="617">
        <f t="shared" ref="CU147:CU156" si="222">ROUND(CT147*10000,0)</f>
        <v>550</v>
      </c>
    </row>
    <row r="148" spans="2:100" x14ac:dyDescent="0.35">
      <c r="B148" s="512">
        <v>4</v>
      </c>
      <c r="C148" s="512" t="s">
        <v>2272</v>
      </c>
      <c r="D148" s="529" t="s">
        <v>2452</v>
      </c>
      <c r="E148" s="508" t="str">
        <f t="shared" ca="1" si="174"/>
        <v>T2部件</v>
      </c>
      <c r="F148" s="508">
        <v>2</v>
      </c>
      <c r="G148" s="594">
        <v>0.01</v>
      </c>
      <c r="H148" s="170" t="e">
        <f t="shared" ca="1" si="175"/>
        <v>#VALUE!</v>
      </c>
      <c r="I148" s="508" t="e">
        <f t="shared" ca="1" si="176"/>
        <v>#VALUE!</v>
      </c>
      <c r="K148" s="512">
        <v>4</v>
      </c>
      <c r="L148" s="512" t="s">
        <v>2272</v>
      </c>
      <c r="M148" s="529" t="s">
        <v>2452</v>
      </c>
      <c r="N148" s="508" t="str">
        <f t="shared" ca="1" si="177"/>
        <v>T2部件</v>
      </c>
      <c r="O148" s="565">
        <v>1</v>
      </c>
      <c r="P148" s="594">
        <v>8.0000000000000002E-3</v>
      </c>
      <c r="Q148" s="170" t="e">
        <f t="shared" ca="1" si="187"/>
        <v>#VALUE!</v>
      </c>
      <c r="R148" s="508" t="e">
        <f t="shared" ca="1" si="188"/>
        <v>#VALUE!</v>
      </c>
      <c r="T148" s="512">
        <v>4</v>
      </c>
      <c r="U148" s="512" t="s">
        <v>2272</v>
      </c>
      <c r="V148" s="529" t="s">
        <v>2452</v>
      </c>
      <c r="W148" s="508" t="str">
        <f t="shared" ca="1" si="180"/>
        <v>T2部件</v>
      </c>
      <c r="X148" s="594">
        <v>1</v>
      </c>
      <c r="Y148" s="594">
        <v>8.0000000000000002E-3</v>
      </c>
      <c r="Z148" s="170" t="e">
        <f t="shared" ca="1" si="189"/>
        <v>#VALUE!</v>
      </c>
      <c r="AA148" s="508" t="e">
        <f t="shared" ca="1" si="190"/>
        <v>#VALUE!</v>
      </c>
      <c r="AC148" s="512">
        <v>4</v>
      </c>
      <c r="AD148" s="516" t="s">
        <v>2264</v>
      </c>
      <c r="AE148" s="529" t="s">
        <v>2452</v>
      </c>
      <c r="AF148" s="508" t="str">
        <f t="shared" ca="1" si="184"/>
        <v>T2部件</v>
      </c>
      <c r="AG148" s="508">
        <v>1</v>
      </c>
      <c r="AH148" s="600">
        <v>8.0000000000000002E-3</v>
      </c>
      <c r="AI148" s="170" t="e">
        <f t="shared" ca="1" si="203"/>
        <v>#VALUE!</v>
      </c>
      <c r="AJ148" s="508" t="e">
        <f t="shared" ca="1" si="204"/>
        <v>#VALUE!</v>
      </c>
      <c r="AL148" s="512">
        <v>4</v>
      </c>
      <c r="AM148" s="512" t="s">
        <v>2257</v>
      </c>
      <c r="AN148" s="529" t="s">
        <v>2452</v>
      </c>
      <c r="AO148" s="508">
        <f t="shared" ca="1" si="200"/>
        <v>11.475</v>
      </c>
      <c r="AP148" s="565">
        <v>1.5</v>
      </c>
      <c r="AQ148" s="633">
        <v>6.0000000000000001E-3</v>
      </c>
      <c r="AR148" s="170">
        <f t="shared" ca="1" si="208"/>
        <v>3.3812636165577344E-2</v>
      </c>
      <c r="AS148" s="508">
        <f t="shared" ca="1" si="209"/>
        <v>338</v>
      </c>
      <c r="AU148" s="512">
        <v>4</v>
      </c>
      <c r="AV148" s="516" t="s">
        <v>2249</v>
      </c>
      <c r="AW148" s="529" t="s">
        <v>2452</v>
      </c>
      <c r="AX148" s="508">
        <f t="shared" ca="1" si="191"/>
        <v>11.475</v>
      </c>
      <c r="AY148" s="625">
        <v>1.5</v>
      </c>
      <c r="AZ148" s="633">
        <v>0.01</v>
      </c>
      <c r="BA148" s="170">
        <f t="shared" ca="1" si="192"/>
        <v>3.776325344952796E-2</v>
      </c>
      <c r="BB148" s="508">
        <f t="shared" ca="1" si="193"/>
        <v>378</v>
      </c>
      <c r="BD148" s="512">
        <v>4</v>
      </c>
      <c r="BE148" s="516" t="s">
        <v>2249</v>
      </c>
      <c r="BF148" s="529" t="s">
        <v>2452</v>
      </c>
      <c r="BG148" s="508">
        <f t="shared" ca="1" si="194"/>
        <v>11.475</v>
      </c>
      <c r="BH148" s="632">
        <v>3.5</v>
      </c>
      <c r="BI148" s="615">
        <v>8.9999999999999993E-3</v>
      </c>
      <c r="BJ148" s="170">
        <f t="shared" ca="1" si="219"/>
        <v>3.3053221288515407E-2</v>
      </c>
      <c r="BK148" s="508">
        <f t="shared" ca="1" si="220"/>
        <v>331</v>
      </c>
      <c r="BM148" s="512">
        <v>4</v>
      </c>
      <c r="BN148" s="527" t="s">
        <v>2267</v>
      </c>
      <c r="BO148" s="530" t="s">
        <v>2200</v>
      </c>
      <c r="BP148" s="508" t="str">
        <f t="shared" ca="1" si="197"/>
        <v>T2部件</v>
      </c>
      <c r="BQ148" s="615">
        <v>5</v>
      </c>
      <c r="BR148" s="600">
        <v>1.8499999999999999E-2</v>
      </c>
      <c r="BS148" s="170" t="e">
        <f t="shared" ca="1" si="210"/>
        <v>#VALUE!</v>
      </c>
      <c r="BT148" s="523" t="e">
        <f t="shared" ca="1" si="211"/>
        <v>#VALUE!</v>
      </c>
      <c r="BV148" s="293">
        <v>5</v>
      </c>
      <c r="BW148" s="527" t="s">
        <v>2243</v>
      </c>
      <c r="BX148" s="530" t="s">
        <v>2200</v>
      </c>
      <c r="BY148" s="523">
        <f t="shared" ca="1" si="216"/>
        <v>10.8</v>
      </c>
      <c r="BZ148" s="662">
        <v>4</v>
      </c>
      <c r="CA148" s="523">
        <v>2.1499999999999998E-2</v>
      </c>
      <c r="CB148" s="170">
        <f t="shared" ca="1" si="217"/>
        <v>2.4884259259259255E-2</v>
      </c>
      <c r="CC148" s="290">
        <f t="shared" ca="1" si="218"/>
        <v>249</v>
      </c>
      <c r="CE148" s="512">
        <v>8</v>
      </c>
      <c r="CF148" s="527" t="s">
        <v>621</v>
      </c>
      <c r="CG148" s="525" t="s">
        <v>1211</v>
      </c>
      <c r="CH148" s="523">
        <f t="shared" ca="1" si="205"/>
        <v>155</v>
      </c>
      <c r="CI148" s="523">
        <v>1</v>
      </c>
      <c r="CJ148" s="523">
        <v>5.5E-2</v>
      </c>
      <c r="CK148" s="170">
        <f t="shared" ca="1" si="206"/>
        <v>1.7741935483870968E-2</v>
      </c>
      <c r="CL148" s="508">
        <f t="shared" ca="1" si="207"/>
        <v>177</v>
      </c>
      <c r="CN148" s="618">
        <v>10</v>
      </c>
      <c r="CO148" s="621" t="s">
        <v>2296</v>
      </c>
      <c r="CP148" s="616" t="s">
        <v>2200</v>
      </c>
      <c r="CQ148" s="617" t="e">
        <f>VLOOKUP(LEFT(CO148,2)&amp;CP148,道具价值!$B$28:$C$30,2,FALSE)</f>
        <v>#N/A</v>
      </c>
      <c r="CR148" s="617">
        <v>1</v>
      </c>
      <c r="CS148" s="617">
        <v>5.5E-2</v>
      </c>
      <c r="CT148" s="170">
        <f t="shared" si="221"/>
        <v>5.5E-2</v>
      </c>
      <c r="CU148" s="617">
        <f t="shared" si="222"/>
        <v>550</v>
      </c>
    </row>
    <row r="149" spans="2:100" x14ac:dyDescent="0.35">
      <c r="B149" s="512">
        <v>4</v>
      </c>
      <c r="C149" s="512" t="s">
        <v>2274</v>
      </c>
      <c r="D149" s="529" t="s">
        <v>2452</v>
      </c>
      <c r="E149" s="508" t="str">
        <f t="shared" ca="1" si="174"/>
        <v>T2部件</v>
      </c>
      <c r="F149" s="508">
        <v>2</v>
      </c>
      <c r="G149" s="594">
        <v>0.01</v>
      </c>
      <c r="H149" s="170" t="e">
        <f t="shared" ca="1" si="175"/>
        <v>#VALUE!</v>
      </c>
      <c r="I149" s="508" t="e">
        <f t="shared" ca="1" si="176"/>
        <v>#VALUE!</v>
      </c>
      <c r="K149" s="512">
        <v>4</v>
      </c>
      <c r="L149" s="512" t="s">
        <v>2274</v>
      </c>
      <c r="M149" s="529" t="s">
        <v>2452</v>
      </c>
      <c r="N149" s="508" t="str">
        <f t="shared" ca="1" si="177"/>
        <v>T2部件</v>
      </c>
      <c r="O149" s="565">
        <v>1</v>
      </c>
      <c r="P149" s="594">
        <v>8.0000000000000002E-3</v>
      </c>
      <c r="Q149" s="170" t="e">
        <f t="shared" ca="1" si="187"/>
        <v>#VALUE!</v>
      </c>
      <c r="R149" s="508" t="e">
        <f t="shared" ca="1" si="188"/>
        <v>#VALUE!</v>
      </c>
      <c r="T149" s="512">
        <v>4</v>
      </c>
      <c r="U149" s="512" t="s">
        <v>2274</v>
      </c>
      <c r="V149" s="529" t="s">
        <v>2452</v>
      </c>
      <c r="W149" s="508" t="str">
        <f t="shared" ca="1" si="180"/>
        <v>T2部件</v>
      </c>
      <c r="X149" s="594">
        <v>1</v>
      </c>
      <c r="Y149" s="594">
        <v>8.0000000000000002E-3</v>
      </c>
      <c r="Z149" s="170" t="e">
        <f t="shared" ca="1" si="189"/>
        <v>#VALUE!</v>
      </c>
      <c r="AA149" s="508" t="e">
        <f t="shared" ca="1" si="190"/>
        <v>#VALUE!</v>
      </c>
      <c r="AC149" s="512">
        <v>4</v>
      </c>
      <c r="AD149" s="516" t="s">
        <v>2266</v>
      </c>
      <c r="AE149" s="529" t="s">
        <v>2452</v>
      </c>
      <c r="AF149" s="508" t="str">
        <f t="shared" ca="1" si="184"/>
        <v>T2部件</v>
      </c>
      <c r="AG149" s="508">
        <v>1</v>
      </c>
      <c r="AH149" s="600">
        <v>8.0000000000000002E-3</v>
      </c>
      <c r="AI149" s="170" t="e">
        <f t="shared" ca="1" si="203"/>
        <v>#VALUE!</v>
      </c>
      <c r="AJ149" s="508" t="e">
        <f t="shared" ca="1" si="204"/>
        <v>#VALUE!</v>
      </c>
      <c r="AL149" s="512">
        <v>4</v>
      </c>
      <c r="AM149" s="516" t="s">
        <v>2258</v>
      </c>
      <c r="AN149" s="529" t="s">
        <v>2452</v>
      </c>
      <c r="AO149" s="508" t="str">
        <f t="shared" ca="1" si="200"/>
        <v>T2部件</v>
      </c>
      <c r="AP149" s="600">
        <v>1</v>
      </c>
      <c r="AQ149" s="633">
        <v>1.0999999999999999E-2</v>
      </c>
      <c r="AR149" s="170" t="e">
        <f t="shared" ca="1" si="208"/>
        <v>#VALUE!</v>
      </c>
      <c r="AS149" s="508" t="e">
        <f t="shared" ca="1" si="209"/>
        <v>#VALUE!</v>
      </c>
      <c r="AU149" s="512">
        <v>4</v>
      </c>
      <c r="AV149" s="516" t="s">
        <v>2251</v>
      </c>
      <c r="AW149" s="529" t="s">
        <v>2452</v>
      </c>
      <c r="AX149" s="508">
        <f t="shared" ca="1" si="191"/>
        <v>11.475</v>
      </c>
      <c r="AY149" s="625">
        <v>1.5</v>
      </c>
      <c r="AZ149" s="633">
        <v>0.01</v>
      </c>
      <c r="BA149" s="170">
        <f t="shared" ca="1" si="192"/>
        <v>3.776325344952796E-2</v>
      </c>
      <c r="BB149" s="508">
        <f t="shared" ca="1" si="193"/>
        <v>378</v>
      </c>
      <c r="BD149" s="512">
        <v>4</v>
      </c>
      <c r="BE149" s="516" t="s">
        <v>2251</v>
      </c>
      <c r="BF149" s="529" t="s">
        <v>2452</v>
      </c>
      <c r="BG149" s="508">
        <f t="shared" ca="1" si="194"/>
        <v>11.475</v>
      </c>
      <c r="BH149" s="632">
        <v>3.5</v>
      </c>
      <c r="BI149" s="615">
        <v>8.9999999999999993E-3</v>
      </c>
      <c r="BJ149" s="170">
        <f t="shared" ca="1" si="219"/>
        <v>3.3053221288515407E-2</v>
      </c>
      <c r="BK149" s="508">
        <f t="shared" ca="1" si="220"/>
        <v>331</v>
      </c>
      <c r="BM149" s="512">
        <v>4</v>
      </c>
      <c r="BN149" s="527" t="s">
        <v>2269</v>
      </c>
      <c r="BO149" s="530" t="s">
        <v>2200</v>
      </c>
      <c r="BP149" s="508" t="str">
        <f t="shared" ca="1" si="197"/>
        <v>T2部件</v>
      </c>
      <c r="BQ149" s="615">
        <v>5</v>
      </c>
      <c r="BR149" s="600">
        <v>1.8499999999999999E-2</v>
      </c>
      <c r="BS149" s="170" t="e">
        <f t="shared" ca="1" si="210"/>
        <v>#VALUE!</v>
      </c>
      <c r="BT149" s="523" t="e">
        <f t="shared" ca="1" si="211"/>
        <v>#VALUE!</v>
      </c>
      <c r="BV149" s="293">
        <v>5</v>
      </c>
      <c r="BW149" s="527" t="s">
        <v>2245</v>
      </c>
      <c r="BX149" s="530" t="s">
        <v>2200</v>
      </c>
      <c r="BY149" s="523">
        <f t="shared" ca="1" si="216"/>
        <v>10.8</v>
      </c>
      <c r="BZ149" s="662">
        <v>4</v>
      </c>
      <c r="CA149" s="632">
        <v>2.1499999999999998E-2</v>
      </c>
      <c r="CB149" s="170">
        <f t="shared" ca="1" si="217"/>
        <v>2.4884259259259255E-2</v>
      </c>
      <c r="CC149" s="290">
        <f t="shared" ca="1" si="218"/>
        <v>249</v>
      </c>
      <c r="CN149" s="618">
        <v>10</v>
      </c>
      <c r="CO149" s="621" t="s">
        <v>2298</v>
      </c>
      <c r="CP149" s="616" t="s">
        <v>2200</v>
      </c>
      <c r="CQ149" s="617" t="e">
        <f>VLOOKUP(LEFT(CO149,2)&amp;CP149,道具价值!$B$28:$C$30,2,FALSE)</f>
        <v>#N/A</v>
      </c>
      <c r="CR149" s="617">
        <v>1</v>
      </c>
      <c r="CS149" s="617">
        <v>5.5E-2</v>
      </c>
      <c r="CT149" s="170">
        <f t="shared" si="221"/>
        <v>5.5E-2</v>
      </c>
      <c r="CU149" s="617">
        <f t="shared" si="222"/>
        <v>550</v>
      </c>
    </row>
    <row r="150" spans="2:100" x14ac:dyDescent="0.35">
      <c r="B150" s="512">
        <v>4</v>
      </c>
      <c r="C150" s="516" t="s">
        <v>2259</v>
      </c>
      <c r="D150" s="529" t="s">
        <v>2452</v>
      </c>
      <c r="E150" s="508" t="str">
        <f t="shared" ca="1" si="174"/>
        <v>T2部件</v>
      </c>
      <c r="F150" s="508">
        <v>2</v>
      </c>
      <c r="G150" s="594">
        <v>0.01</v>
      </c>
      <c r="H150" s="170" t="e">
        <f t="shared" ca="1" si="175"/>
        <v>#VALUE!</v>
      </c>
      <c r="I150" s="508" t="e">
        <f t="shared" ca="1" si="176"/>
        <v>#VALUE!</v>
      </c>
      <c r="K150" s="512">
        <v>4</v>
      </c>
      <c r="L150" s="516" t="s">
        <v>2259</v>
      </c>
      <c r="M150" s="529" t="s">
        <v>2452</v>
      </c>
      <c r="N150" s="508" t="str">
        <f t="shared" ca="1" si="177"/>
        <v>T2部件</v>
      </c>
      <c r="O150" s="565">
        <v>1</v>
      </c>
      <c r="P150" s="594">
        <v>8.0000000000000002E-3</v>
      </c>
      <c r="Q150" s="170" t="e">
        <f t="shared" ca="1" si="187"/>
        <v>#VALUE!</v>
      </c>
      <c r="R150" s="508" t="e">
        <f t="shared" ca="1" si="188"/>
        <v>#VALUE!</v>
      </c>
      <c r="T150" s="512">
        <v>4</v>
      </c>
      <c r="U150" s="516" t="s">
        <v>2259</v>
      </c>
      <c r="V150" s="529" t="s">
        <v>2452</v>
      </c>
      <c r="W150" s="508" t="str">
        <f t="shared" ca="1" si="180"/>
        <v>T2部件</v>
      </c>
      <c r="X150" s="594">
        <v>1</v>
      </c>
      <c r="Y150" s="594">
        <v>8.0000000000000002E-3</v>
      </c>
      <c r="Z150" s="170" t="e">
        <f t="shared" ca="1" si="189"/>
        <v>#VALUE!</v>
      </c>
      <c r="AA150" s="508" t="e">
        <f t="shared" ca="1" si="190"/>
        <v>#VALUE!</v>
      </c>
      <c r="AC150" s="512">
        <v>4</v>
      </c>
      <c r="AD150" s="516" t="s">
        <v>2268</v>
      </c>
      <c r="AE150" s="529" t="s">
        <v>2452</v>
      </c>
      <c r="AF150" s="508" t="str">
        <f t="shared" ca="1" si="184"/>
        <v>T2部件</v>
      </c>
      <c r="AG150" s="508">
        <v>1</v>
      </c>
      <c r="AH150" s="600">
        <v>8.0000000000000002E-3</v>
      </c>
      <c r="AI150" s="170" t="e">
        <f t="shared" ca="1" si="203"/>
        <v>#VALUE!</v>
      </c>
      <c r="AJ150" s="508" t="e">
        <f t="shared" ca="1" si="204"/>
        <v>#VALUE!</v>
      </c>
      <c r="AL150" s="512">
        <v>4</v>
      </c>
      <c r="AM150" s="516" t="s">
        <v>2260</v>
      </c>
      <c r="AN150" s="529" t="s">
        <v>2452</v>
      </c>
      <c r="AO150" s="508" t="str">
        <f t="shared" ca="1" si="200"/>
        <v>T2部件</v>
      </c>
      <c r="AP150" s="600">
        <v>1</v>
      </c>
      <c r="AQ150" s="633">
        <v>1.0999999999999999E-2</v>
      </c>
      <c r="AR150" s="170" t="e">
        <f t="shared" ca="1" si="208"/>
        <v>#VALUE!</v>
      </c>
      <c r="AS150" s="508" t="e">
        <f t="shared" ca="1" si="209"/>
        <v>#VALUE!</v>
      </c>
      <c r="AU150" s="512">
        <v>4</v>
      </c>
      <c r="AV150" s="516" t="s">
        <v>2253</v>
      </c>
      <c r="AW150" s="529" t="s">
        <v>2452</v>
      </c>
      <c r="AX150" s="508">
        <f t="shared" ca="1" si="191"/>
        <v>11.475</v>
      </c>
      <c r="AY150" s="625">
        <v>1.5</v>
      </c>
      <c r="AZ150" s="633">
        <v>0.01</v>
      </c>
      <c r="BA150" s="170">
        <f t="shared" ca="1" si="192"/>
        <v>3.776325344952796E-2</v>
      </c>
      <c r="BB150" s="508">
        <f t="shared" ca="1" si="193"/>
        <v>378</v>
      </c>
      <c r="BD150" s="512">
        <v>4</v>
      </c>
      <c r="BE150" s="516" t="s">
        <v>2253</v>
      </c>
      <c r="BF150" s="529" t="s">
        <v>2452</v>
      </c>
      <c r="BG150" s="508">
        <f t="shared" ca="1" si="194"/>
        <v>11.475</v>
      </c>
      <c r="BH150" s="632">
        <v>3.5</v>
      </c>
      <c r="BI150" s="615">
        <v>8.9999999999999993E-3</v>
      </c>
      <c r="BJ150" s="170">
        <f t="shared" ca="1" si="219"/>
        <v>3.3053221288515407E-2</v>
      </c>
      <c r="BK150" s="508">
        <f t="shared" ca="1" si="220"/>
        <v>331</v>
      </c>
      <c r="BM150" s="512">
        <v>4</v>
      </c>
      <c r="BN150" s="527" t="s">
        <v>2271</v>
      </c>
      <c r="BO150" s="530" t="s">
        <v>2200</v>
      </c>
      <c r="BP150" s="508" t="str">
        <f t="shared" ca="1" si="197"/>
        <v>T2部件</v>
      </c>
      <c r="BQ150" s="615">
        <v>5</v>
      </c>
      <c r="BR150" s="600">
        <v>1.8499999999999999E-2</v>
      </c>
      <c r="BS150" s="170" t="e">
        <f t="shared" ca="1" si="210"/>
        <v>#VALUE!</v>
      </c>
      <c r="BT150" s="523" t="e">
        <f t="shared" ca="1" si="211"/>
        <v>#VALUE!</v>
      </c>
      <c r="BV150" s="293">
        <v>5</v>
      </c>
      <c r="BW150" s="527" t="s">
        <v>2247</v>
      </c>
      <c r="BX150" s="530" t="s">
        <v>2200</v>
      </c>
      <c r="BY150" s="523">
        <f t="shared" ca="1" si="216"/>
        <v>10.8</v>
      </c>
      <c r="BZ150" s="662">
        <v>4</v>
      </c>
      <c r="CA150" s="632">
        <v>2.1499999999999998E-2</v>
      </c>
      <c r="CB150" s="170">
        <f t="shared" ca="1" si="217"/>
        <v>2.4884259259259255E-2</v>
      </c>
      <c r="CC150" s="290">
        <f t="shared" ca="1" si="218"/>
        <v>249</v>
      </c>
      <c r="CN150" s="618">
        <v>10</v>
      </c>
      <c r="CO150" s="621" t="s">
        <v>2300</v>
      </c>
      <c r="CP150" s="616" t="s">
        <v>2200</v>
      </c>
      <c r="CQ150" s="617" t="e">
        <f>VLOOKUP(LEFT(CO150,2)&amp;CP150,道具价值!$B$28:$C$30,2,FALSE)</f>
        <v>#N/A</v>
      </c>
      <c r="CR150" s="617">
        <v>1</v>
      </c>
      <c r="CS150" s="617">
        <v>5.5E-2</v>
      </c>
      <c r="CT150" s="170">
        <f t="shared" si="221"/>
        <v>5.5E-2</v>
      </c>
      <c r="CU150" s="617">
        <f t="shared" si="222"/>
        <v>550</v>
      </c>
    </row>
    <row r="151" spans="2:100" x14ac:dyDescent="0.35">
      <c r="B151" s="512">
        <v>4</v>
      </c>
      <c r="C151" s="516" t="s">
        <v>2261</v>
      </c>
      <c r="D151" s="529" t="s">
        <v>2452</v>
      </c>
      <c r="E151" s="508" t="str">
        <f t="shared" ca="1" si="174"/>
        <v>T2部件</v>
      </c>
      <c r="F151" s="508">
        <v>2</v>
      </c>
      <c r="G151" s="594">
        <v>0.01</v>
      </c>
      <c r="H151" s="170" t="e">
        <f t="shared" ca="1" si="175"/>
        <v>#VALUE!</v>
      </c>
      <c r="I151" s="508" t="e">
        <f t="shared" ca="1" si="176"/>
        <v>#VALUE!</v>
      </c>
      <c r="K151" s="512">
        <v>4</v>
      </c>
      <c r="L151" s="516" t="s">
        <v>2261</v>
      </c>
      <c r="M151" s="529" t="s">
        <v>2452</v>
      </c>
      <c r="N151" s="508" t="str">
        <f t="shared" ca="1" si="177"/>
        <v>T2部件</v>
      </c>
      <c r="O151" s="565">
        <v>1</v>
      </c>
      <c r="P151" s="594">
        <v>8.0000000000000002E-3</v>
      </c>
      <c r="Q151" s="170" t="e">
        <f t="shared" ca="1" si="187"/>
        <v>#VALUE!</v>
      </c>
      <c r="R151" s="508" t="e">
        <f t="shared" ca="1" si="188"/>
        <v>#VALUE!</v>
      </c>
      <c r="T151" s="512">
        <v>4</v>
      </c>
      <c r="U151" s="516" t="s">
        <v>2261</v>
      </c>
      <c r="V151" s="529" t="s">
        <v>2452</v>
      </c>
      <c r="W151" s="508" t="str">
        <f t="shared" ca="1" si="180"/>
        <v>T2部件</v>
      </c>
      <c r="X151" s="594">
        <v>1</v>
      </c>
      <c r="Y151" s="594">
        <v>8.0000000000000002E-3</v>
      </c>
      <c r="Z151" s="170" t="e">
        <f t="shared" ca="1" si="189"/>
        <v>#VALUE!</v>
      </c>
      <c r="AA151" s="508" t="e">
        <f t="shared" ca="1" si="190"/>
        <v>#VALUE!</v>
      </c>
      <c r="AC151" s="512">
        <v>4</v>
      </c>
      <c r="AD151" s="516" t="s">
        <v>2270</v>
      </c>
      <c r="AE151" s="529" t="s">
        <v>2452</v>
      </c>
      <c r="AF151" s="508" t="str">
        <f t="shared" ca="1" si="184"/>
        <v>T2部件</v>
      </c>
      <c r="AG151" s="508">
        <v>1</v>
      </c>
      <c r="AH151" s="600">
        <v>8.0000000000000002E-3</v>
      </c>
      <c r="AI151" s="170" t="e">
        <f t="shared" ca="1" si="203"/>
        <v>#VALUE!</v>
      </c>
      <c r="AJ151" s="508" t="e">
        <f t="shared" ca="1" si="204"/>
        <v>#VALUE!</v>
      </c>
      <c r="AL151" s="512">
        <v>4</v>
      </c>
      <c r="AM151" s="516" t="s">
        <v>2262</v>
      </c>
      <c r="AN151" s="529" t="s">
        <v>2452</v>
      </c>
      <c r="AO151" s="508" t="str">
        <f t="shared" ca="1" si="200"/>
        <v>T2部件</v>
      </c>
      <c r="AP151" s="600">
        <v>1</v>
      </c>
      <c r="AQ151" s="633">
        <v>1.0999999999999999E-2</v>
      </c>
      <c r="AR151" s="170" t="e">
        <f t="shared" ca="1" si="208"/>
        <v>#VALUE!</v>
      </c>
      <c r="AS151" s="508" t="e">
        <f t="shared" ca="1" si="209"/>
        <v>#VALUE!</v>
      </c>
      <c r="AU151" s="512">
        <v>4</v>
      </c>
      <c r="AV151" s="512" t="s">
        <v>2255</v>
      </c>
      <c r="AW151" s="529" t="s">
        <v>2452</v>
      </c>
      <c r="AX151" s="508">
        <f t="shared" ca="1" si="191"/>
        <v>11.475</v>
      </c>
      <c r="AY151" s="625">
        <v>1.5</v>
      </c>
      <c r="AZ151" s="633">
        <v>0.01</v>
      </c>
      <c r="BA151" s="170">
        <f t="shared" ca="1" si="192"/>
        <v>3.776325344952796E-2</v>
      </c>
      <c r="BB151" s="508">
        <f t="shared" ca="1" si="193"/>
        <v>378</v>
      </c>
      <c r="BD151" s="512">
        <v>4</v>
      </c>
      <c r="BE151" s="512" t="s">
        <v>2255</v>
      </c>
      <c r="BF151" s="529" t="s">
        <v>2452</v>
      </c>
      <c r="BG151" s="508">
        <f t="shared" ca="1" si="194"/>
        <v>11.475</v>
      </c>
      <c r="BH151" s="632">
        <v>3.5</v>
      </c>
      <c r="BI151" s="615">
        <v>8.9999999999999993E-3</v>
      </c>
      <c r="BJ151" s="170">
        <f t="shared" ca="1" si="219"/>
        <v>3.3053221288515407E-2</v>
      </c>
      <c r="BK151" s="508">
        <f t="shared" ca="1" si="220"/>
        <v>331</v>
      </c>
      <c r="BM151" s="512">
        <v>4</v>
      </c>
      <c r="BN151" s="525" t="s">
        <v>2273</v>
      </c>
      <c r="BO151" s="530" t="s">
        <v>2200</v>
      </c>
      <c r="BP151" s="508" t="str">
        <f t="shared" ca="1" si="197"/>
        <v>T2部件</v>
      </c>
      <c r="BQ151" s="615">
        <v>5</v>
      </c>
      <c r="BR151" s="600">
        <v>1.8499999999999999E-2</v>
      </c>
      <c r="BS151" s="170" t="e">
        <f t="shared" ca="1" si="210"/>
        <v>#VALUE!</v>
      </c>
      <c r="BT151" s="523" t="e">
        <f t="shared" ca="1" si="211"/>
        <v>#VALUE!</v>
      </c>
      <c r="BV151" s="293">
        <v>5</v>
      </c>
      <c r="BW151" s="527" t="s">
        <v>2249</v>
      </c>
      <c r="BX151" s="530" t="s">
        <v>2200</v>
      </c>
      <c r="BY151" s="523">
        <f t="shared" ca="1" si="216"/>
        <v>10.8</v>
      </c>
      <c r="BZ151" s="662">
        <v>4</v>
      </c>
      <c r="CA151" s="632">
        <v>2.1499999999999998E-2</v>
      </c>
      <c r="CB151" s="170">
        <f t="shared" ca="1" si="217"/>
        <v>2.4884259259259255E-2</v>
      </c>
      <c r="CC151" s="290">
        <f t="shared" ca="1" si="218"/>
        <v>249</v>
      </c>
      <c r="CE151" s="512" t="s">
        <v>597</v>
      </c>
      <c r="CF151" s="512" t="s">
        <v>1225</v>
      </c>
      <c r="CG151" s="513" t="s">
        <v>917</v>
      </c>
      <c r="CH151" s="166" t="s">
        <v>920</v>
      </c>
      <c r="CI151" s="518" t="s">
        <v>967</v>
      </c>
      <c r="CJ151" s="166" t="s">
        <v>854</v>
      </c>
      <c r="CK151" s="166" t="s">
        <v>926</v>
      </c>
      <c r="CL151" s="514" t="s">
        <v>927</v>
      </c>
      <c r="CM151" s="300">
        <f ca="1">SUM(CL152:CL173)</f>
        <v>7297</v>
      </c>
      <c r="CN151" s="618">
        <v>10</v>
      </c>
      <c r="CO151" s="621" t="s">
        <v>2302</v>
      </c>
      <c r="CP151" s="616" t="s">
        <v>2200</v>
      </c>
      <c r="CQ151" s="617" t="e">
        <f>VLOOKUP(LEFT(CO151,2)&amp;CP151,道具价值!$B$28:$C$30,2,FALSE)</f>
        <v>#N/A</v>
      </c>
      <c r="CR151" s="617">
        <v>1</v>
      </c>
      <c r="CS151" s="617">
        <v>5.5E-2</v>
      </c>
      <c r="CT151" s="170">
        <f t="shared" si="221"/>
        <v>5.5E-2</v>
      </c>
      <c r="CU151" s="617">
        <f t="shared" si="222"/>
        <v>550</v>
      </c>
    </row>
    <row r="152" spans="2:100" x14ac:dyDescent="0.35">
      <c r="B152" s="512">
        <v>4</v>
      </c>
      <c r="C152" s="516" t="s">
        <v>2263</v>
      </c>
      <c r="D152" s="529" t="s">
        <v>2452</v>
      </c>
      <c r="E152" s="508" t="str">
        <f t="shared" ca="1" si="174"/>
        <v>T2部件</v>
      </c>
      <c r="F152" s="508">
        <v>2</v>
      </c>
      <c r="G152" s="594">
        <v>0.01</v>
      </c>
      <c r="H152" s="170" t="e">
        <f t="shared" ca="1" si="175"/>
        <v>#VALUE!</v>
      </c>
      <c r="I152" s="508" t="e">
        <f t="shared" ca="1" si="176"/>
        <v>#VALUE!</v>
      </c>
      <c r="K152" s="512">
        <v>4</v>
      </c>
      <c r="L152" s="516" t="s">
        <v>2263</v>
      </c>
      <c r="M152" s="529" t="s">
        <v>2452</v>
      </c>
      <c r="N152" s="508" t="str">
        <f t="shared" ca="1" si="177"/>
        <v>T2部件</v>
      </c>
      <c r="O152" s="565">
        <v>1</v>
      </c>
      <c r="P152" s="594">
        <v>8.0000000000000002E-3</v>
      </c>
      <c r="Q152" s="170" t="e">
        <f t="shared" ca="1" si="187"/>
        <v>#VALUE!</v>
      </c>
      <c r="R152" s="508" t="e">
        <f t="shared" ca="1" si="188"/>
        <v>#VALUE!</v>
      </c>
      <c r="T152" s="512">
        <v>4</v>
      </c>
      <c r="U152" s="516" t="s">
        <v>2263</v>
      </c>
      <c r="V152" s="529" t="s">
        <v>2452</v>
      </c>
      <c r="W152" s="508" t="str">
        <f t="shared" ca="1" si="180"/>
        <v>T2部件</v>
      </c>
      <c r="X152" s="594">
        <v>1</v>
      </c>
      <c r="Y152" s="594">
        <v>8.0000000000000002E-3</v>
      </c>
      <c r="Z152" s="170" t="e">
        <f t="shared" ca="1" si="189"/>
        <v>#VALUE!</v>
      </c>
      <c r="AA152" s="508" t="e">
        <f t="shared" ca="1" si="190"/>
        <v>#VALUE!</v>
      </c>
      <c r="AC152" s="512">
        <v>4</v>
      </c>
      <c r="AD152" s="512" t="s">
        <v>2272</v>
      </c>
      <c r="AE152" s="529" t="s">
        <v>2452</v>
      </c>
      <c r="AF152" s="508" t="str">
        <f t="shared" ca="1" si="184"/>
        <v>T2部件</v>
      </c>
      <c r="AG152" s="508">
        <v>1</v>
      </c>
      <c r="AH152" s="600">
        <v>8.0000000000000002E-3</v>
      </c>
      <c r="AI152" s="170" t="e">
        <f t="shared" ca="1" si="203"/>
        <v>#VALUE!</v>
      </c>
      <c r="AJ152" s="508" t="e">
        <f t="shared" ca="1" si="204"/>
        <v>#VALUE!</v>
      </c>
      <c r="AL152" s="512">
        <v>4</v>
      </c>
      <c r="AM152" s="516" t="s">
        <v>2264</v>
      </c>
      <c r="AN152" s="529" t="s">
        <v>2452</v>
      </c>
      <c r="AO152" s="508" t="str">
        <f t="shared" ca="1" si="200"/>
        <v>T2部件</v>
      </c>
      <c r="AP152" s="600">
        <v>1</v>
      </c>
      <c r="AQ152" s="633">
        <v>1.0999999999999999E-2</v>
      </c>
      <c r="AR152" s="170" t="e">
        <f t="shared" ca="1" si="208"/>
        <v>#VALUE!</v>
      </c>
      <c r="AS152" s="508" t="e">
        <f t="shared" ca="1" si="209"/>
        <v>#VALUE!</v>
      </c>
      <c r="AU152" s="512">
        <v>4</v>
      </c>
      <c r="AV152" s="512" t="s">
        <v>2257</v>
      </c>
      <c r="AW152" s="529" t="s">
        <v>2452</v>
      </c>
      <c r="AX152" s="508">
        <f t="shared" ca="1" si="191"/>
        <v>11.475</v>
      </c>
      <c r="AY152" s="625">
        <v>1.5</v>
      </c>
      <c r="AZ152" s="633">
        <v>0.01</v>
      </c>
      <c r="BA152" s="170">
        <f t="shared" ca="1" si="192"/>
        <v>3.776325344952796E-2</v>
      </c>
      <c r="BB152" s="508">
        <f t="shared" ca="1" si="193"/>
        <v>378</v>
      </c>
      <c r="BD152" s="512">
        <v>4</v>
      </c>
      <c r="BE152" s="512" t="s">
        <v>2257</v>
      </c>
      <c r="BF152" s="529" t="s">
        <v>2452</v>
      </c>
      <c r="BG152" s="508">
        <f t="shared" ca="1" si="194"/>
        <v>11.475</v>
      </c>
      <c r="BH152" s="632">
        <v>3.5</v>
      </c>
      <c r="BI152" s="615">
        <v>8.9999999999999993E-3</v>
      </c>
      <c r="BJ152" s="170">
        <f t="shared" ca="1" si="219"/>
        <v>3.3053221288515407E-2</v>
      </c>
      <c r="BK152" s="508">
        <f t="shared" ca="1" si="220"/>
        <v>331</v>
      </c>
      <c r="BM152" s="512">
        <v>4</v>
      </c>
      <c r="BN152" s="525" t="s">
        <v>2275</v>
      </c>
      <c r="BO152" s="530" t="s">
        <v>2200</v>
      </c>
      <c r="BP152" s="508" t="str">
        <f t="shared" ca="1" si="197"/>
        <v>T2部件</v>
      </c>
      <c r="BQ152" s="615">
        <v>5</v>
      </c>
      <c r="BR152" s="600">
        <v>1.8499999999999999E-2</v>
      </c>
      <c r="BS152" s="170" t="e">
        <f t="shared" ca="1" si="210"/>
        <v>#VALUE!</v>
      </c>
      <c r="BT152" s="523" t="e">
        <f t="shared" ca="1" si="211"/>
        <v>#VALUE!</v>
      </c>
      <c r="BV152" s="293">
        <v>5</v>
      </c>
      <c r="BW152" s="527" t="s">
        <v>2251</v>
      </c>
      <c r="BX152" s="530" t="s">
        <v>2200</v>
      </c>
      <c r="BY152" s="523">
        <f t="shared" ca="1" si="216"/>
        <v>10.8</v>
      </c>
      <c r="BZ152" s="662">
        <v>4</v>
      </c>
      <c r="CA152" s="632">
        <v>2.1499999999999998E-2</v>
      </c>
      <c r="CB152" s="170">
        <f t="shared" ca="1" si="217"/>
        <v>2.4884259259259255E-2</v>
      </c>
      <c r="CC152" s="290">
        <f t="shared" ca="1" si="218"/>
        <v>249</v>
      </c>
      <c r="CE152" s="512">
        <v>9</v>
      </c>
      <c r="CF152" s="527" t="s">
        <v>615</v>
      </c>
      <c r="CG152" s="525" t="s">
        <v>1211</v>
      </c>
      <c r="CH152" s="523">
        <f t="shared" ref="CH152:CH173" ca="1" si="223">IF(CG152="部件",VLOOKUP(CE152,INDIRECT(CG152&amp;"价值"),MATCH(LEFT(CF152,2)&amp;"部件",INDIRECT(CG152&amp;"价值标头"),0),FALSE),IF(CG152="加速道具",VLOOKUP(CF152,INDIRECT(CG152&amp;"价值"),MATCH("价格",INDIRECT(CG152&amp;"价值标头"),0),FALSE),VLOOKUP(CE152,INDIRECT(CG152&amp;"价值"),MATCH(CF152,INDIRECT(CG152&amp;"价值标头"),0),FALSE)))</f>
        <v>31.200000000000003</v>
      </c>
      <c r="CI152" s="571">
        <v>1</v>
      </c>
      <c r="CJ152" s="508">
        <v>7.0000000000000001E-3</v>
      </c>
      <c r="CK152" s="170">
        <f t="shared" ref="CK152:CK173" ca="1" si="224">CJ152*CF$4/CH152/CI152</f>
        <v>1.1217948717948718E-2</v>
      </c>
      <c r="CL152" s="508">
        <f t="shared" ref="CL152:CL173" ca="1" si="225">ROUND(CK152*10000,0)</f>
        <v>112</v>
      </c>
      <c r="CN152" s="618">
        <v>10</v>
      </c>
      <c r="CO152" s="621" t="s">
        <v>2304</v>
      </c>
      <c r="CP152" s="616" t="s">
        <v>2200</v>
      </c>
      <c r="CQ152" s="617" t="e">
        <f>VLOOKUP(LEFT(CO152,2)&amp;CP152,道具价值!$B$28:$C$30,2,FALSE)</f>
        <v>#N/A</v>
      </c>
      <c r="CR152" s="617">
        <v>1</v>
      </c>
      <c r="CS152" s="617">
        <v>5.5E-2</v>
      </c>
      <c r="CT152" s="170">
        <f t="shared" si="221"/>
        <v>5.5E-2</v>
      </c>
      <c r="CU152" s="617">
        <f t="shared" si="222"/>
        <v>550</v>
      </c>
    </row>
    <row r="153" spans="2:100" x14ac:dyDescent="0.35">
      <c r="B153" s="512">
        <v>4</v>
      </c>
      <c r="C153" s="516" t="s">
        <v>2265</v>
      </c>
      <c r="D153" s="529" t="s">
        <v>2452</v>
      </c>
      <c r="E153" s="508" t="str">
        <f t="shared" ca="1" si="174"/>
        <v>T2部件</v>
      </c>
      <c r="F153" s="508">
        <v>2</v>
      </c>
      <c r="G153" s="594">
        <v>0.01</v>
      </c>
      <c r="H153" s="170" t="e">
        <f t="shared" ca="1" si="175"/>
        <v>#VALUE!</v>
      </c>
      <c r="I153" s="508" t="e">
        <f t="shared" ca="1" si="176"/>
        <v>#VALUE!</v>
      </c>
      <c r="K153" s="512">
        <v>4</v>
      </c>
      <c r="L153" s="516" t="s">
        <v>2265</v>
      </c>
      <c r="M153" s="529" t="s">
        <v>2452</v>
      </c>
      <c r="N153" s="508" t="str">
        <f t="shared" ca="1" si="177"/>
        <v>T2部件</v>
      </c>
      <c r="O153" s="565">
        <v>1</v>
      </c>
      <c r="P153" s="594">
        <v>8.0000000000000002E-3</v>
      </c>
      <c r="Q153" s="170" t="e">
        <f t="shared" ca="1" si="187"/>
        <v>#VALUE!</v>
      </c>
      <c r="R153" s="508" t="e">
        <f t="shared" ca="1" si="188"/>
        <v>#VALUE!</v>
      </c>
      <c r="T153" s="512">
        <v>4</v>
      </c>
      <c r="U153" s="516" t="s">
        <v>2265</v>
      </c>
      <c r="V153" s="529" t="s">
        <v>2452</v>
      </c>
      <c r="W153" s="508" t="str">
        <f t="shared" ca="1" si="180"/>
        <v>T2部件</v>
      </c>
      <c r="X153" s="594">
        <v>1</v>
      </c>
      <c r="Y153" s="594">
        <v>8.0000000000000002E-3</v>
      </c>
      <c r="Z153" s="170" t="e">
        <f t="shared" ca="1" si="189"/>
        <v>#VALUE!</v>
      </c>
      <c r="AA153" s="508" t="e">
        <f t="shared" ca="1" si="190"/>
        <v>#VALUE!</v>
      </c>
      <c r="AC153" s="512">
        <v>4</v>
      </c>
      <c r="AD153" s="512" t="s">
        <v>2274</v>
      </c>
      <c r="AE153" s="529" t="s">
        <v>2452</v>
      </c>
      <c r="AF153" s="508" t="str">
        <f t="shared" ca="1" si="184"/>
        <v>T2部件</v>
      </c>
      <c r="AG153" s="508">
        <v>1</v>
      </c>
      <c r="AH153" s="600">
        <v>8.0000000000000002E-3</v>
      </c>
      <c r="AI153" s="170" t="e">
        <f t="shared" ca="1" si="203"/>
        <v>#VALUE!</v>
      </c>
      <c r="AJ153" s="508" t="e">
        <f t="shared" ca="1" si="204"/>
        <v>#VALUE!</v>
      </c>
      <c r="AL153" s="512">
        <v>4</v>
      </c>
      <c r="AM153" s="516" t="s">
        <v>2266</v>
      </c>
      <c r="AN153" s="529" t="s">
        <v>2452</v>
      </c>
      <c r="AO153" s="508" t="str">
        <f t="shared" ca="1" si="200"/>
        <v>T2部件</v>
      </c>
      <c r="AP153" s="600">
        <v>1</v>
      </c>
      <c r="AQ153" s="633">
        <v>1.0999999999999999E-2</v>
      </c>
      <c r="AR153" s="170" t="e">
        <f t="shared" ca="1" si="208"/>
        <v>#VALUE!</v>
      </c>
      <c r="AS153" s="508" t="e">
        <f t="shared" ca="1" si="209"/>
        <v>#VALUE!</v>
      </c>
      <c r="AU153" s="512">
        <v>4</v>
      </c>
      <c r="AV153" s="516" t="s">
        <v>2258</v>
      </c>
      <c r="AW153" s="529" t="s">
        <v>2452</v>
      </c>
      <c r="AX153" s="508" t="str">
        <f t="shared" ca="1" si="191"/>
        <v>T2部件</v>
      </c>
      <c r="AY153" s="508">
        <v>1</v>
      </c>
      <c r="AZ153" s="633">
        <v>8.9999999999999993E-3</v>
      </c>
      <c r="BA153" s="170" t="e">
        <f t="shared" ca="1" si="192"/>
        <v>#VALUE!</v>
      </c>
      <c r="BB153" s="508" t="e">
        <f t="shared" ca="1" si="193"/>
        <v>#VALUE!</v>
      </c>
      <c r="BD153" s="512">
        <v>4</v>
      </c>
      <c r="BE153" s="516" t="s">
        <v>2258</v>
      </c>
      <c r="BF153" s="529" t="s">
        <v>2452</v>
      </c>
      <c r="BG153" s="508" t="str">
        <f t="shared" ca="1" si="194"/>
        <v>T2部件</v>
      </c>
      <c r="BH153" s="508">
        <v>1.5</v>
      </c>
      <c r="BI153" s="615">
        <v>0.01</v>
      </c>
      <c r="BJ153" s="170" t="e">
        <f t="shared" ca="1" si="219"/>
        <v>#VALUE!</v>
      </c>
      <c r="BK153" s="508" t="e">
        <f t="shared" ca="1" si="220"/>
        <v>#VALUE!</v>
      </c>
      <c r="BS153" s="538"/>
      <c r="BT153" s="157"/>
      <c r="BV153" s="293">
        <v>5</v>
      </c>
      <c r="BW153" s="527" t="s">
        <v>2253</v>
      </c>
      <c r="BX153" s="530" t="s">
        <v>2200</v>
      </c>
      <c r="BY153" s="523">
        <f t="shared" ca="1" si="216"/>
        <v>10.8</v>
      </c>
      <c r="BZ153" s="662">
        <v>4</v>
      </c>
      <c r="CA153" s="632">
        <v>2.1499999999999998E-2</v>
      </c>
      <c r="CB153" s="170">
        <f t="shared" ca="1" si="217"/>
        <v>2.4884259259259255E-2</v>
      </c>
      <c r="CC153" s="290">
        <f t="shared" ca="1" si="218"/>
        <v>249</v>
      </c>
      <c r="CE153" s="512">
        <v>9</v>
      </c>
      <c r="CF153" s="527" t="s">
        <v>623</v>
      </c>
      <c r="CG153" s="525" t="s">
        <v>1211</v>
      </c>
      <c r="CH153" s="523">
        <f t="shared" ca="1" si="223"/>
        <v>31.200000000000003</v>
      </c>
      <c r="CI153" s="571">
        <v>1</v>
      </c>
      <c r="CJ153" s="634">
        <v>7.0000000000000001E-3</v>
      </c>
      <c r="CK153" s="170">
        <f t="shared" ca="1" si="224"/>
        <v>1.1217948717948718E-2</v>
      </c>
      <c r="CL153" s="508">
        <f t="shared" ca="1" si="225"/>
        <v>112</v>
      </c>
      <c r="CN153" s="618">
        <v>10</v>
      </c>
      <c r="CO153" s="621" t="s">
        <v>2306</v>
      </c>
      <c r="CP153" s="616" t="s">
        <v>2200</v>
      </c>
      <c r="CQ153" s="617" t="e">
        <f>VLOOKUP(LEFT(CO153,2)&amp;CP153,道具价值!$B$28:$C$30,2,FALSE)</f>
        <v>#N/A</v>
      </c>
      <c r="CR153" s="617">
        <v>1</v>
      </c>
      <c r="CS153" s="617">
        <v>5.5E-2</v>
      </c>
      <c r="CT153" s="170">
        <f t="shared" si="221"/>
        <v>5.5E-2</v>
      </c>
      <c r="CU153" s="617">
        <f t="shared" si="222"/>
        <v>550</v>
      </c>
    </row>
    <row r="154" spans="2:100" x14ac:dyDescent="0.35">
      <c r="B154" s="512">
        <v>4</v>
      </c>
      <c r="C154" s="516" t="s">
        <v>2267</v>
      </c>
      <c r="D154" s="529" t="s">
        <v>2452</v>
      </c>
      <c r="E154" s="508" t="str">
        <f t="shared" ca="1" si="174"/>
        <v>T2部件</v>
      </c>
      <c r="F154" s="508">
        <v>2</v>
      </c>
      <c r="G154" s="594">
        <v>0.01</v>
      </c>
      <c r="H154" s="170" t="e">
        <f t="shared" ca="1" si="175"/>
        <v>#VALUE!</v>
      </c>
      <c r="I154" s="508" t="e">
        <f t="shared" ca="1" si="176"/>
        <v>#VALUE!</v>
      </c>
      <c r="K154" s="512">
        <v>4</v>
      </c>
      <c r="L154" s="516" t="s">
        <v>2267</v>
      </c>
      <c r="M154" s="529" t="s">
        <v>2452</v>
      </c>
      <c r="N154" s="508" t="str">
        <f t="shared" ca="1" si="177"/>
        <v>T2部件</v>
      </c>
      <c r="O154" s="565">
        <v>1</v>
      </c>
      <c r="P154" s="594">
        <v>8.0000000000000002E-3</v>
      </c>
      <c r="Q154" s="170" t="e">
        <f t="shared" ca="1" si="187"/>
        <v>#VALUE!</v>
      </c>
      <c r="R154" s="508" t="e">
        <f t="shared" ca="1" si="188"/>
        <v>#VALUE!</v>
      </c>
      <c r="T154" s="512">
        <v>4</v>
      </c>
      <c r="U154" s="516" t="s">
        <v>2267</v>
      </c>
      <c r="V154" s="529" t="s">
        <v>2452</v>
      </c>
      <c r="W154" s="508" t="str">
        <f t="shared" ca="1" si="180"/>
        <v>T2部件</v>
      </c>
      <c r="X154" s="594">
        <v>1</v>
      </c>
      <c r="Y154" s="594">
        <v>8.0000000000000002E-3</v>
      </c>
      <c r="Z154" s="170" t="e">
        <f t="shared" ca="1" si="189"/>
        <v>#VALUE!</v>
      </c>
      <c r="AA154" s="508" t="e">
        <f t="shared" ca="1" si="190"/>
        <v>#VALUE!</v>
      </c>
      <c r="AC154" s="512">
        <v>4</v>
      </c>
      <c r="AD154" s="516" t="s">
        <v>2259</v>
      </c>
      <c r="AE154" s="529" t="s">
        <v>2452</v>
      </c>
      <c r="AF154" s="508" t="str">
        <f t="shared" ca="1" si="184"/>
        <v>T2部件</v>
      </c>
      <c r="AG154" s="508">
        <v>1</v>
      </c>
      <c r="AH154" s="600">
        <v>8.0000000000000002E-3</v>
      </c>
      <c r="AI154" s="170" t="e">
        <f t="shared" ca="1" si="203"/>
        <v>#VALUE!</v>
      </c>
      <c r="AJ154" s="508" t="e">
        <f t="shared" ca="1" si="204"/>
        <v>#VALUE!</v>
      </c>
      <c r="AL154" s="512">
        <v>4</v>
      </c>
      <c r="AM154" s="516" t="s">
        <v>2268</v>
      </c>
      <c r="AN154" s="529" t="s">
        <v>2452</v>
      </c>
      <c r="AO154" s="508" t="str">
        <f t="shared" ca="1" si="200"/>
        <v>T2部件</v>
      </c>
      <c r="AP154" s="600">
        <v>1</v>
      </c>
      <c r="AQ154" s="633">
        <v>1.0999999999999999E-2</v>
      </c>
      <c r="AR154" s="170" t="e">
        <f t="shared" ca="1" si="208"/>
        <v>#VALUE!</v>
      </c>
      <c r="AS154" s="508" t="e">
        <f t="shared" ca="1" si="209"/>
        <v>#VALUE!</v>
      </c>
      <c r="AU154" s="512">
        <v>4</v>
      </c>
      <c r="AV154" s="516" t="s">
        <v>2260</v>
      </c>
      <c r="AW154" s="529" t="s">
        <v>2452</v>
      </c>
      <c r="AX154" s="508" t="str">
        <f t="shared" ca="1" si="191"/>
        <v>T2部件</v>
      </c>
      <c r="AY154" s="615">
        <v>1</v>
      </c>
      <c r="AZ154" s="633">
        <v>8.9999999999999993E-3</v>
      </c>
      <c r="BA154" s="170" t="e">
        <f t="shared" ca="1" si="192"/>
        <v>#VALUE!</v>
      </c>
      <c r="BB154" s="508" t="e">
        <f t="shared" ca="1" si="193"/>
        <v>#VALUE!</v>
      </c>
      <c r="BD154" s="512">
        <v>4</v>
      </c>
      <c r="BE154" s="516" t="s">
        <v>2260</v>
      </c>
      <c r="BF154" s="529" t="s">
        <v>2452</v>
      </c>
      <c r="BG154" s="508" t="str">
        <f t="shared" ca="1" si="194"/>
        <v>T2部件</v>
      </c>
      <c r="BH154" s="565">
        <v>1.5</v>
      </c>
      <c r="BI154" s="615">
        <v>0.01</v>
      </c>
      <c r="BJ154" s="170" t="e">
        <f t="shared" ca="1" si="219"/>
        <v>#VALUE!</v>
      </c>
      <c r="BK154" s="508" t="e">
        <f t="shared" ca="1" si="220"/>
        <v>#VALUE!</v>
      </c>
      <c r="BV154" s="293">
        <v>5</v>
      </c>
      <c r="BW154" s="525" t="s">
        <v>2255</v>
      </c>
      <c r="BX154" s="530" t="s">
        <v>2200</v>
      </c>
      <c r="BY154" s="523">
        <f t="shared" ca="1" si="216"/>
        <v>10.8</v>
      </c>
      <c r="BZ154" s="662">
        <v>4</v>
      </c>
      <c r="CA154" s="632">
        <v>2.1499999999999998E-2</v>
      </c>
      <c r="CB154" s="170">
        <f t="shared" ca="1" si="217"/>
        <v>2.4884259259259255E-2</v>
      </c>
      <c r="CC154" s="290">
        <f t="shared" ca="1" si="218"/>
        <v>249</v>
      </c>
      <c r="CE154" s="512">
        <v>9</v>
      </c>
      <c r="CF154" s="527" t="s">
        <v>721</v>
      </c>
      <c r="CG154" s="525" t="s">
        <v>1211</v>
      </c>
      <c r="CH154" s="523">
        <f t="shared" ca="1" si="223"/>
        <v>31.200000000000003</v>
      </c>
      <c r="CI154" s="571">
        <v>1</v>
      </c>
      <c r="CJ154" s="634">
        <v>7.0000000000000001E-3</v>
      </c>
      <c r="CK154" s="170">
        <f t="shared" ca="1" si="224"/>
        <v>1.1217948717948718E-2</v>
      </c>
      <c r="CL154" s="508">
        <f t="shared" ca="1" si="225"/>
        <v>112</v>
      </c>
      <c r="CN154" s="618">
        <v>10</v>
      </c>
      <c r="CO154" s="618" t="s">
        <v>2308</v>
      </c>
      <c r="CP154" s="616" t="s">
        <v>2200</v>
      </c>
      <c r="CQ154" s="617" t="e">
        <f>VLOOKUP(LEFT(CO154,2)&amp;CP154,道具价值!$B$28:$C$30,2,FALSE)</f>
        <v>#N/A</v>
      </c>
      <c r="CR154" s="617">
        <v>1</v>
      </c>
      <c r="CS154" s="617">
        <v>5.5E-2</v>
      </c>
      <c r="CT154" s="170">
        <f t="shared" si="221"/>
        <v>5.5E-2</v>
      </c>
      <c r="CU154" s="617">
        <f t="shared" si="222"/>
        <v>550</v>
      </c>
    </row>
    <row r="155" spans="2:100" x14ac:dyDescent="0.35">
      <c r="B155" s="512">
        <v>4</v>
      </c>
      <c r="C155" s="516" t="s">
        <v>2269</v>
      </c>
      <c r="D155" s="529" t="s">
        <v>2452</v>
      </c>
      <c r="E155" s="508" t="str">
        <f t="shared" ca="1" si="174"/>
        <v>T2部件</v>
      </c>
      <c r="F155" s="508">
        <v>2</v>
      </c>
      <c r="G155" s="594">
        <v>0.01</v>
      </c>
      <c r="H155" s="170" t="e">
        <f t="shared" ca="1" si="175"/>
        <v>#VALUE!</v>
      </c>
      <c r="I155" s="508" t="e">
        <f t="shared" ca="1" si="176"/>
        <v>#VALUE!</v>
      </c>
      <c r="K155" s="512">
        <v>4</v>
      </c>
      <c r="L155" s="516" t="s">
        <v>2269</v>
      </c>
      <c r="M155" s="529" t="s">
        <v>2452</v>
      </c>
      <c r="N155" s="508" t="str">
        <f t="shared" ca="1" si="177"/>
        <v>T2部件</v>
      </c>
      <c r="O155" s="565">
        <v>1</v>
      </c>
      <c r="P155" s="594">
        <v>8.0000000000000002E-3</v>
      </c>
      <c r="Q155" s="170" t="e">
        <f t="shared" ca="1" si="187"/>
        <v>#VALUE!</v>
      </c>
      <c r="R155" s="508" t="e">
        <f t="shared" ca="1" si="188"/>
        <v>#VALUE!</v>
      </c>
      <c r="T155" s="512">
        <v>4</v>
      </c>
      <c r="U155" s="516" t="s">
        <v>2269</v>
      </c>
      <c r="V155" s="529" t="s">
        <v>2452</v>
      </c>
      <c r="W155" s="508" t="str">
        <f t="shared" ca="1" si="180"/>
        <v>T2部件</v>
      </c>
      <c r="X155" s="594">
        <v>1</v>
      </c>
      <c r="Y155" s="594">
        <v>8.0000000000000002E-3</v>
      </c>
      <c r="Z155" s="170" t="e">
        <f t="shared" ca="1" si="189"/>
        <v>#VALUE!</v>
      </c>
      <c r="AA155" s="508" t="e">
        <f t="shared" ca="1" si="190"/>
        <v>#VALUE!</v>
      </c>
      <c r="AC155" s="512">
        <v>4</v>
      </c>
      <c r="AD155" s="516" t="s">
        <v>2261</v>
      </c>
      <c r="AE155" s="529" t="s">
        <v>2452</v>
      </c>
      <c r="AF155" s="508" t="str">
        <f t="shared" ca="1" si="184"/>
        <v>T2部件</v>
      </c>
      <c r="AG155" s="508">
        <v>1</v>
      </c>
      <c r="AH155" s="600">
        <v>8.0000000000000002E-3</v>
      </c>
      <c r="AI155" s="170" t="e">
        <f t="shared" ca="1" si="203"/>
        <v>#VALUE!</v>
      </c>
      <c r="AJ155" s="508" t="e">
        <f t="shared" ca="1" si="204"/>
        <v>#VALUE!</v>
      </c>
      <c r="AL155" s="512">
        <v>4</v>
      </c>
      <c r="AM155" s="516" t="s">
        <v>2270</v>
      </c>
      <c r="AN155" s="529" t="s">
        <v>2452</v>
      </c>
      <c r="AO155" s="508" t="str">
        <f t="shared" ca="1" si="200"/>
        <v>T2部件</v>
      </c>
      <c r="AP155" s="600">
        <v>1</v>
      </c>
      <c r="AQ155" s="633">
        <v>1.0999999999999999E-2</v>
      </c>
      <c r="AR155" s="170" t="e">
        <f t="shared" ca="1" si="208"/>
        <v>#VALUE!</v>
      </c>
      <c r="AS155" s="508" t="e">
        <f t="shared" ca="1" si="209"/>
        <v>#VALUE!</v>
      </c>
      <c r="AU155" s="512">
        <v>4</v>
      </c>
      <c r="AV155" s="516" t="s">
        <v>2262</v>
      </c>
      <c r="AW155" s="529" t="s">
        <v>2452</v>
      </c>
      <c r="AX155" s="508" t="str">
        <f t="shared" ca="1" si="191"/>
        <v>T2部件</v>
      </c>
      <c r="AY155" s="615">
        <v>1</v>
      </c>
      <c r="AZ155" s="633">
        <v>8.9999999999999993E-3</v>
      </c>
      <c r="BA155" s="170" t="e">
        <f t="shared" ca="1" si="192"/>
        <v>#VALUE!</v>
      </c>
      <c r="BB155" s="508" t="e">
        <f t="shared" ca="1" si="193"/>
        <v>#VALUE!</v>
      </c>
      <c r="BD155" s="512">
        <v>4</v>
      </c>
      <c r="BE155" s="516" t="s">
        <v>2262</v>
      </c>
      <c r="BF155" s="529" t="s">
        <v>2452</v>
      </c>
      <c r="BG155" s="508" t="str">
        <f t="shared" ca="1" si="194"/>
        <v>T2部件</v>
      </c>
      <c r="BH155" s="565">
        <v>1.5</v>
      </c>
      <c r="BI155" s="615">
        <v>0.01</v>
      </c>
      <c r="BJ155" s="170" t="e">
        <f t="shared" ca="1" si="219"/>
        <v>#VALUE!</v>
      </c>
      <c r="BK155" s="508" t="e">
        <f t="shared" ca="1" si="220"/>
        <v>#VALUE!</v>
      </c>
      <c r="BM155" s="512" t="s">
        <v>597</v>
      </c>
      <c r="BN155" s="525" t="s">
        <v>1225</v>
      </c>
      <c r="BO155" s="526" t="s">
        <v>917</v>
      </c>
      <c r="BP155" s="166" t="s">
        <v>920</v>
      </c>
      <c r="BQ155" s="518" t="s">
        <v>967</v>
      </c>
      <c r="BR155" s="166" t="s">
        <v>854</v>
      </c>
      <c r="BS155" s="166" t="s">
        <v>926</v>
      </c>
      <c r="BT155" s="514" t="s">
        <v>927</v>
      </c>
      <c r="BU155" s="300" t="e">
        <f ca="1">SUM(BT156:BT191)</f>
        <v>#VALUE!</v>
      </c>
      <c r="BV155" s="293">
        <v>5</v>
      </c>
      <c r="BW155" s="525" t="s">
        <v>2257</v>
      </c>
      <c r="BX155" s="530" t="s">
        <v>2200</v>
      </c>
      <c r="BY155" s="523">
        <f t="shared" ca="1" si="216"/>
        <v>10.8</v>
      </c>
      <c r="BZ155" s="662">
        <v>4</v>
      </c>
      <c r="CA155" s="632">
        <v>2.1499999999999998E-2</v>
      </c>
      <c r="CB155" s="170">
        <f t="shared" ca="1" si="217"/>
        <v>2.4884259259259255E-2</v>
      </c>
      <c r="CC155" s="290">
        <f t="shared" ca="1" si="218"/>
        <v>249</v>
      </c>
      <c r="CE155" s="512">
        <v>9</v>
      </c>
      <c r="CF155" s="527" t="s">
        <v>616</v>
      </c>
      <c r="CG155" s="525" t="s">
        <v>1211</v>
      </c>
      <c r="CH155" s="523">
        <f t="shared" ca="1" si="223"/>
        <v>34.799999999999997</v>
      </c>
      <c r="CI155" s="571">
        <v>1</v>
      </c>
      <c r="CJ155" s="523">
        <v>1.4999999999999999E-2</v>
      </c>
      <c r="CK155" s="170">
        <f t="shared" ca="1" si="224"/>
        <v>2.1551724137931036E-2</v>
      </c>
      <c r="CL155" s="508">
        <f t="shared" ca="1" si="225"/>
        <v>216</v>
      </c>
      <c r="CN155" s="618">
        <v>10</v>
      </c>
      <c r="CO155" s="618" t="s">
        <v>2310</v>
      </c>
      <c r="CP155" s="616" t="s">
        <v>2200</v>
      </c>
      <c r="CQ155" s="617" t="e">
        <f>VLOOKUP(LEFT(CO155,2)&amp;CP155,道具价值!$B$28:$C$30,2,FALSE)</f>
        <v>#N/A</v>
      </c>
      <c r="CR155" s="617">
        <v>1</v>
      </c>
      <c r="CS155" s="617">
        <v>5.6000000000000001E-2</v>
      </c>
      <c r="CT155" s="170">
        <f t="shared" si="221"/>
        <v>5.6000000000000001E-2</v>
      </c>
      <c r="CU155" s="617">
        <f t="shared" si="222"/>
        <v>560</v>
      </c>
    </row>
    <row r="156" spans="2:100" x14ac:dyDescent="0.35">
      <c r="B156" s="512">
        <v>4</v>
      </c>
      <c r="C156" s="516" t="s">
        <v>2271</v>
      </c>
      <c r="D156" s="529" t="s">
        <v>2452</v>
      </c>
      <c r="E156" s="508" t="str">
        <f t="shared" ca="1" si="174"/>
        <v>T2部件</v>
      </c>
      <c r="F156" s="508">
        <v>2</v>
      </c>
      <c r="G156" s="594">
        <v>0.01</v>
      </c>
      <c r="H156" s="170" t="e">
        <f t="shared" ca="1" si="175"/>
        <v>#VALUE!</v>
      </c>
      <c r="I156" s="508" t="e">
        <f t="shared" ca="1" si="176"/>
        <v>#VALUE!</v>
      </c>
      <c r="K156" s="512">
        <v>4</v>
      </c>
      <c r="L156" s="516" t="s">
        <v>2271</v>
      </c>
      <c r="M156" s="529" t="s">
        <v>2452</v>
      </c>
      <c r="N156" s="508" t="str">
        <f t="shared" ca="1" si="177"/>
        <v>T2部件</v>
      </c>
      <c r="O156" s="565">
        <v>1</v>
      </c>
      <c r="P156" s="594">
        <v>8.0000000000000002E-3</v>
      </c>
      <c r="Q156" s="170" t="e">
        <f t="shared" ref="Q156:Q158" ca="1" si="226">P156*L$4/N156/O156</f>
        <v>#VALUE!</v>
      </c>
      <c r="R156" s="279" t="e">
        <f t="shared" ref="R156:R158" ca="1" si="227">ROUND(Q156*10000,0)</f>
        <v>#VALUE!</v>
      </c>
      <c r="T156" s="512">
        <v>4</v>
      </c>
      <c r="U156" s="516" t="s">
        <v>2271</v>
      </c>
      <c r="V156" s="529" t="s">
        <v>2452</v>
      </c>
      <c r="W156" s="508" t="str">
        <f t="shared" ca="1" si="180"/>
        <v>T2部件</v>
      </c>
      <c r="X156" s="594">
        <v>1</v>
      </c>
      <c r="Y156" s="594">
        <v>8.0000000000000002E-3</v>
      </c>
      <c r="Z156" s="170" t="e">
        <f t="shared" ref="Z156:Z158" ca="1" si="228">Y156*U$4/W156/X156</f>
        <v>#VALUE!</v>
      </c>
      <c r="AA156" s="279" t="e">
        <f t="shared" ref="AA156:AA158" ca="1" si="229">ROUND(Z156*10000,0)</f>
        <v>#VALUE!</v>
      </c>
      <c r="AC156" s="512">
        <v>4</v>
      </c>
      <c r="AD156" s="516" t="s">
        <v>2263</v>
      </c>
      <c r="AE156" s="529" t="s">
        <v>2452</v>
      </c>
      <c r="AF156" s="508" t="str">
        <f t="shared" ca="1" si="184"/>
        <v>T2部件</v>
      </c>
      <c r="AG156" s="508">
        <v>1</v>
      </c>
      <c r="AH156" s="600">
        <v>8.0000000000000002E-3</v>
      </c>
      <c r="AI156" s="170" t="e">
        <f t="shared" ca="1" si="203"/>
        <v>#VALUE!</v>
      </c>
      <c r="AJ156" s="508" t="e">
        <f t="shared" ca="1" si="204"/>
        <v>#VALUE!</v>
      </c>
      <c r="AL156" s="512">
        <v>4</v>
      </c>
      <c r="AM156" s="512" t="s">
        <v>2272</v>
      </c>
      <c r="AN156" s="529" t="s">
        <v>2452</v>
      </c>
      <c r="AO156" s="508" t="str">
        <f t="shared" ca="1" si="200"/>
        <v>T2部件</v>
      </c>
      <c r="AP156" s="600">
        <v>1</v>
      </c>
      <c r="AQ156" s="633">
        <v>1.0999999999999999E-2</v>
      </c>
      <c r="AR156" s="170" t="e">
        <f t="shared" ca="1" si="208"/>
        <v>#VALUE!</v>
      </c>
      <c r="AS156" s="508" t="e">
        <f t="shared" ca="1" si="209"/>
        <v>#VALUE!</v>
      </c>
      <c r="AU156" s="512">
        <v>4</v>
      </c>
      <c r="AV156" s="516" t="s">
        <v>2264</v>
      </c>
      <c r="AW156" s="529" t="s">
        <v>2452</v>
      </c>
      <c r="AX156" s="508" t="str">
        <f t="shared" ca="1" si="191"/>
        <v>T2部件</v>
      </c>
      <c r="AY156" s="615">
        <v>1</v>
      </c>
      <c r="AZ156" s="633">
        <v>8.9999999999999993E-3</v>
      </c>
      <c r="BA156" s="170" t="e">
        <f t="shared" ca="1" si="192"/>
        <v>#VALUE!</v>
      </c>
      <c r="BB156" s="508" t="e">
        <f t="shared" ca="1" si="193"/>
        <v>#VALUE!</v>
      </c>
      <c r="BD156" s="512">
        <v>4</v>
      </c>
      <c r="BE156" s="516" t="s">
        <v>2264</v>
      </c>
      <c r="BF156" s="529" t="s">
        <v>2452</v>
      </c>
      <c r="BG156" s="508" t="str">
        <f t="shared" ca="1" si="194"/>
        <v>T2部件</v>
      </c>
      <c r="BH156" s="565">
        <v>1.5</v>
      </c>
      <c r="BI156" s="615">
        <v>0.01</v>
      </c>
      <c r="BJ156" s="170" t="e">
        <f t="shared" ca="1" si="219"/>
        <v>#VALUE!</v>
      </c>
      <c r="BK156" s="508" t="e">
        <f t="shared" ca="1" si="220"/>
        <v>#VALUE!</v>
      </c>
      <c r="BM156" s="512">
        <v>5</v>
      </c>
      <c r="BN156" s="527" t="s">
        <v>617</v>
      </c>
      <c r="BO156" s="295" t="s">
        <v>918</v>
      </c>
      <c r="BP156" s="508">
        <f t="shared" ref="BP156:BP191" ca="1" si="230">IF(BO156="部件",VLOOKUP(BM156,INDIRECT(BO156&amp;"价值"),MATCH(LEFT(BN156,2)&amp;"部件",INDIRECT(BO156&amp;"价值标头"),0),FALSE),IF(BO156="加速道具",VLOOKUP(BN156,INDIRECT(BO156&amp;"价值"),MATCH("价格",INDIRECT(BO156&amp;"价值标头"),0),FALSE),VLOOKUP(BM156,INDIRECT(BO156&amp;"价值"),MATCH(BN156,INDIRECT(BO156&amp;"价值标头"),0),FALSE)))</f>
        <v>782</v>
      </c>
      <c r="BQ156" s="508">
        <v>1</v>
      </c>
      <c r="BR156" s="523">
        <f>宝箱设定!$P122</f>
        <v>5.9200000000000003E-2</v>
      </c>
      <c r="BS156" s="170">
        <f t="shared" ref="BS156:BS182" ca="1" si="231">BR156*BN$4/BP156/BQ156</f>
        <v>2.4982097186700768E-2</v>
      </c>
      <c r="BT156" s="508">
        <f t="shared" ref="BT156:BT182" ca="1" si="232">ROUND(BS156*10000,0)</f>
        <v>250</v>
      </c>
      <c r="BV156" s="293">
        <v>5</v>
      </c>
      <c r="BW156" s="527" t="s">
        <v>2258</v>
      </c>
      <c r="BX156" s="530" t="s">
        <v>2200</v>
      </c>
      <c r="BY156" s="523" t="str">
        <f t="shared" ca="1" si="216"/>
        <v>T2部件</v>
      </c>
      <c r="BZ156" s="662">
        <v>1.5</v>
      </c>
      <c r="CA156" s="523">
        <v>3.4000000000000002E-2</v>
      </c>
      <c r="CB156" s="170" t="e">
        <f t="shared" ca="1" si="217"/>
        <v>#VALUE!</v>
      </c>
      <c r="CC156" s="290" t="e">
        <f t="shared" ca="1" si="218"/>
        <v>#VALUE!</v>
      </c>
      <c r="CE156" s="512">
        <v>9</v>
      </c>
      <c r="CF156" s="527" t="s">
        <v>624</v>
      </c>
      <c r="CG156" s="525" t="s">
        <v>1211</v>
      </c>
      <c r="CH156" s="523">
        <f t="shared" ca="1" si="223"/>
        <v>34.799999999999997</v>
      </c>
      <c r="CI156" s="571">
        <v>1</v>
      </c>
      <c r="CJ156" s="634">
        <v>1.4999999999999999E-2</v>
      </c>
      <c r="CK156" s="170">
        <f t="shared" ca="1" si="224"/>
        <v>2.1551724137931036E-2</v>
      </c>
      <c r="CL156" s="508">
        <f t="shared" ca="1" si="225"/>
        <v>216</v>
      </c>
      <c r="CN156" s="618">
        <v>10</v>
      </c>
      <c r="CO156" s="621" t="s">
        <v>2295</v>
      </c>
      <c r="CP156" s="616" t="s">
        <v>2200</v>
      </c>
      <c r="CQ156" s="617" t="e">
        <f>VLOOKUP(LEFT(CO156,2)&amp;CP156,道具价值!$B$28:$C$30,2,FALSE)</f>
        <v>#N/A</v>
      </c>
      <c r="CR156" s="617">
        <v>1</v>
      </c>
      <c r="CS156" s="617">
        <v>5.6000000000000001E-2</v>
      </c>
      <c r="CT156" s="170">
        <f t="shared" si="221"/>
        <v>5.6000000000000001E-2</v>
      </c>
      <c r="CU156" s="617">
        <f t="shared" si="222"/>
        <v>560</v>
      </c>
    </row>
    <row r="157" spans="2:100" x14ac:dyDescent="0.35">
      <c r="B157" s="512">
        <v>4</v>
      </c>
      <c r="C157" s="512" t="s">
        <v>2273</v>
      </c>
      <c r="D157" s="529" t="s">
        <v>2452</v>
      </c>
      <c r="E157" s="508" t="str">
        <f t="shared" ca="1" si="174"/>
        <v>T2部件</v>
      </c>
      <c r="F157" s="508">
        <v>2</v>
      </c>
      <c r="G157" s="594">
        <v>0.01</v>
      </c>
      <c r="H157" s="170" t="e">
        <f t="shared" ca="1" si="175"/>
        <v>#VALUE!</v>
      </c>
      <c r="I157" s="508" t="e">
        <f t="shared" ca="1" si="176"/>
        <v>#VALUE!</v>
      </c>
      <c r="K157" s="512">
        <v>4</v>
      </c>
      <c r="L157" s="512" t="s">
        <v>2273</v>
      </c>
      <c r="M157" s="529" t="s">
        <v>2452</v>
      </c>
      <c r="N157" s="508" t="str">
        <f t="shared" ca="1" si="177"/>
        <v>T2部件</v>
      </c>
      <c r="O157" s="565">
        <v>1</v>
      </c>
      <c r="P157" s="594">
        <v>8.0000000000000002E-3</v>
      </c>
      <c r="Q157" s="170" t="e">
        <f t="shared" ca="1" si="226"/>
        <v>#VALUE!</v>
      </c>
      <c r="R157" s="279" t="e">
        <f t="shared" ca="1" si="227"/>
        <v>#VALUE!</v>
      </c>
      <c r="T157" s="512">
        <v>4</v>
      </c>
      <c r="U157" s="512" t="s">
        <v>2273</v>
      </c>
      <c r="V157" s="529" t="s">
        <v>2452</v>
      </c>
      <c r="W157" s="508" t="str">
        <f t="shared" ca="1" si="180"/>
        <v>T2部件</v>
      </c>
      <c r="X157" s="594">
        <v>1</v>
      </c>
      <c r="Y157" s="594">
        <v>8.0000000000000002E-3</v>
      </c>
      <c r="Z157" s="170" t="e">
        <f t="shared" ca="1" si="228"/>
        <v>#VALUE!</v>
      </c>
      <c r="AA157" s="279" t="e">
        <f t="shared" ca="1" si="229"/>
        <v>#VALUE!</v>
      </c>
      <c r="AC157" s="512">
        <v>4</v>
      </c>
      <c r="AD157" s="516" t="s">
        <v>2265</v>
      </c>
      <c r="AE157" s="529" t="s">
        <v>2452</v>
      </c>
      <c r="AF157" s="508" t="str">
        <f t="shared" ca="1" si="184"/>
        <v>T2部件</v>
      </c>
      <c r="AG157" s="508">
        <v>1</v>
      </c>
      <c r="AH157" s="600">
        <v>8.0000000000000002E-3</v>
      </c>
      <c r="AI157" s="170" t="e">
        <f t="shared" ca="1" si="203"/>
        <v>#VALUE!</v>
      </c>
      <c r="AJ157" s="508" t="e">
        <f t="shared" ca="1" si="204"/>
        <v>#VALUE!</v>
      </c>
      <c r="AL157" s="512">
        <v>4</v>
      </c>
      <c r="AM157" s="512" t="s">
        <v>2274</v>
      </c>
      <c r="AN157" s="529" t="s">
        <v>2452</v>
      </c>
      <c r="AO157" s="508" t="str">
        <f t="shared" ca="1" si="200"/>
        <v>T2部件</v>
      </c>
      <c r="AP157" s="600">
        <v>1</v>
      </c>
      <c r="AQ157" s="633">
        <v>1.0999999999999999E-2</v>
      </c>
      <c r="AR157" s="170" t="e">
        <f t="shared" ca="1" si="208"/>
        <v>#VALUE!</v>
      </c>
      <c r="AS157" s="508" t="e">
        <f t="shared" ca="1" si="209"/>
        <v>#VALUE!</v>
      </c>
      <c r="AU157" s="512">
        <v>4</v>
      </c>
      <c r="AV157" s="516" t="s">
        <v>2266</v>
      </c>
      <c r="AW157" s="529" t="s">
        <v>2452</v>
      </c>
      <c r="AX157" s="508" t="str">
        <f t="shared" ca="1" si="191"/>
        <v>T2部件</v>
      </c>
      <c r="AY157" s="615">
        <v>1</v>
      </c>
      <c r="AZ157" s="633">
        <v>8.9999999999999993E-3</v>
      </c>
      <c r="BA157" s="170" t="e">
        <f t="shared" ca="1" si="192"/>
        <v>#VALUE!</v>
      </c>
      <c r="BB157" s="508" t="e">
        <f t="shared" ca="1" si="193"/>
        <v>#VALUE!</v>
      </c>
      <c r="BD157" s="512">
        <v>4</v>
      </c>
      <c r="BE157" s="516" t="s">
        <v>2266</v>
      </c>
      <c r="BF157" s="529" t="s">
        <v>2452</v>
      </c>
      <c r="BG157" s="508" t="str">
        <f t="shared" ca="1" si="194"/>
        <v>T2部件</v>
      </c>
      <c r="BH157" s="565">
        <v>1.5</v>
      </c>
      <c r="BI157" s="615">
        <v>0.01</v>
      </c>
      <c r="BJ157" s="170" t="e">
        <f t="shared" ca="1" si="219"/>
        <v>#VALUE!</v>
      </c>
      <c r="BK157" s="508" t="e">
        <f t="shared" ca="1" si="220"/>
        <v>#VALUE!</v>
      </c>
      <c r="BM157" s="512">
        <v>5</v>
      </c>
      <c r="BN157" s="527" t="s">
        <v>626</v>
      </c>
      <c r="BO157" s="295" t="s">
        <v>918</v>
      </c>
      <c r="BP157" s="508">
        <f t="shared" ca="1" si="230"/>
        <v>782</v>
      </c>
      <c r="BQ157" s="508">
        <v>1</v>
      </c>
      <c r="BR157" s="523">
        <f>宝箱设定!$P123</f>
        <v>5.9200000000000003E-2</v>
      </c>
      <c r="BS157" s="170">
        <f t="shared" ca="1" si="231"/>
        <v>2.4982097186700768E-2</v>
      </c>
      <c r="BT157" s="508">
        <f t="shared" ca="1" si="232"/>
        <v>250</v>
      </c>
      <c r="BV157" s="293">
        <v>5</v>
      </c>
      <c r="BW157" s="527" t="s">
        <v>2260</v>
      </c>
      <c r="BX157" s="530" t="s">
        <v>2200</v>
      </c>
      <c r="BY157" s="523" t="str">
        <f t="shared" ca="1" si="216"/>
        <v>T2部件</v>
      </c>
      <c r="BZ157" s="662">
        <v>1.5</v>
      </c>
      <c r="CA157" s="632">
        <v>3.4000000000000002E-2</v>
      </c>
      <c r="CB157" s="170" t="e">
        <f t="shared" ca="1" si="217"/>
        <v>#VALUE!</v>
      </c>
      <c r="CC157" s="290" t="e">
        <f t="shared" ca="1" si="218"/>
        <v>#VALUE!</v>
      </c>
      <c r="CE157" s="512">
        <v>9</v>
      </c>
      <c r="CF157" s="527" t="s">
        <v>630</v>
      </c>
      <c r="CG157" s="525" t="s">
        <v>1211</v>
      </c>
      <c r="CH157" s="523">
        <f t="shared" ca="1" si="223"/>
        <v>34.799999999999997</v>
      </c>
      <c r="CI157" s="571">
        <v>1</v>
      </c>
      <c r="CJ157" s="634">
        <v>1.4999999999999999E-2</v>
      </c>
      <c r="CK157" s="170">
        <f t="shared" ca="1" si="224"/>
        <v>2.1551724137931036E-2</v>
      </c>
      <c r="CL157" s="508">
        <f t="shared" ca="1" si="225"/>
        <v>216</v>
      </c>
      <c r="CN157" s="618">
        <v>10</v>
      </c>
      <c r="CO157" s="621" t="s">
        <v>2297</v>
      </c>
      <c r="CP157" s="616" t="s">
        <v>2200</v>
      </c>
      <c r="CQ157" s="617" t="e">
        <f>VLOOKUP(LEFT(CO157,2)&amp;CP157,道具价值!$B$28:$C$30,2,FALSE)</f>
        <v>#N/A</v>
      </c>
      <c r="CR157" s="617">
        <v>1</v>
      </c>
      <c r="CS157" s="617">
        <v>5.6000000000000001E-2</v>
      </c>
      <c r="CT157" s="170">
        <f t="shared" si="221"/>
        <v>5.6000000000000001E-2</v>
      </c>
      <c r="CU157" s="617">
        <f t="shared" ref="CU157:CU163" si="233">ROUND(CT157*10000,0)</f>
        <v>560</v>
      </c>
    </row>
    <row r="158" spans="2:100" x14ac:dyDescent="0.35">
      <c r="B158" s="512">
        <v>4</v>
      </c>
      <c r="C158" s="512" t="s">
        <v>2275</v>
      </c>
      <c r="D158" s="529" t="s">
        <v>2452</v>
      </c>
      <c r="E158" s="508" t="str">
        <f t="shared" ca="1" si="174"/>
        <v>T2部件</v>
      </c>
      <c r="F158" s="508">
        <v>2</v>
      </c>
      <c r="G158" s="594">
        <v>0.01</v>
      </c>
      <c r="H158" s="170" t="e">
        <f t="shared" ca="1" si="175"/>
        <v>#VALUE!</v>
      </c>
      <c r="I158" s="508" t="e">
        <f t="shared" ca="1" si="176"/>
        <v>#VALUE!</v>
      </c>
      <c r="K158" s="512">
        <v>4</v>
      </c>
      <c r="L158" s="512" t="s">
        <v>2275</v>
      </c>
      <c r="M158" s="529" t="s">
        <v>2452</v>
      </c>
      <c r="N158" s="508" t="str">
        <f t="shared" ca="1" si="177"/>
        <v>T2部件</v>
      </c>
      <c r="O158" s="565">
        <v>1</v>
      </c>
      <c r="P158" s="594">
        <v>8.0000000000000002E-3</v>
      </c>
      <c r="Q158" s="170" t="e">
        <f t="shared" ca="1" si="226"/>
        <v>#VALUE!</v>
      </c>
      <c r="R158" s="279" t="e">
        <f t="shared" ca="1" si="227"/>
        <v>#VALUE!</v>
      </c>
      <c r="T158" s="512">
        <v>4</v>
      </c>
      <c r="U158" s="512" t="s">
        <v>2275</v>
      </c>
      <c r="V158" s="529" t="s">
        <v>2452</v>
      </c>
      <c r="W158" s="508" t="str">
        <f t="shared" ca="1" si="180"/>
        <v>T2部件</v>
      </c>
      <c r="X158" s="594">
        <v>1</v>
      </c>
      <c r="Y158" s="594">
        <v>8.0000000000000002E-3</v>
      </c>
      <c r="Z158" s="170" t="e">
        <f t="shared" ca="1" si="228"/>
        <v>#VALUE!</v>
      </c>
      <c r="AA158" s="279" t="e">
        <f t="shared" ca="1" si="229"/>
        <v>#VALUE!</v>
      </c>
      <c r="AC158" s="512">
        <v>4</v>
      </c>
      <c r="AD158" s="516" t="s">
        <v>2267</v>
      </c>
      <c r="AE158" s="529" t="s">
        <v>2452</v>
      </c>
      <c r="AF158" s="508" t="str">
        <f t="shared" ca="1" si="184"/>
        <v>T2部件</v>
      </c>
      <c r="AG158" s="508">
        <v>1</v>
      </c>
      <c r="AH158" s="600">
        <v>8.0000000000000002E-3</v>
      </c>
      <c r="AI158" s="170" t="e">
        <f t="shared" ca="1" si="203"/>
        <v>#VALUE!</v>
      </c>
      <c r="AJ158" s="508" t="e">
        <f t="shared" ca="1" si="204"/>
        <v>#VALUE!</v>
      </c>
      <c r="AL158" s="512">
        <v>4</v>
      </c>
      <c r="AM158" s="516" t="s">
        <v>2259</v>
      </c>
      <c r="AN158" s="529" t="s">
        <v>2452</v>
      </c>
      <c r="AO158" s="508" t="str">
        <f t="shared" ca="1" si="200"/>
        <v>T2部件</v>
      </c>
      <c r="AP158" s="600">
        <v>1</v>
      </c>
      <c r="AQ158" s="633">
        <v>1.0999999999999999E-2</v>
      </c>
      <c r="AR158" s="170" t="e">
        <f t="shared" ca="1" si="208"/>
        <v>#VALUE!</v>
      </c>
      <c r="AS158" s="508" t="e">
        <f t="shared" ca="1" si="209"/>
        <v>#VALUE!</v>
      </c>
      <c r="AU158" s="512">
        <v>4</v>
      </c>
      <c r="AV158" s="516" t="s">
        <v>2268</v>
      </c>
      <c r="AW158" s="529" t="s">
        <v>2452</v>
      </c>
      <c r="AX158" s="508" t="str">
        <f t="shared" ca="1" si="191"/>
        <v>T2部件</v>
      </c>
      <c r="AY158" s="615">
        <v>1</v>
      </c>
      <c r="AZ158" s="633">
        <v>8.9999999999999993E-3</v>
      </c>
      <c r="BA158" s="170" t="e">
        <f t="shared" ca="1" si="192"/>
        <v>#VALUE!</v>
      </c>
      <c r="BB158" s="508" t="e">
        <f t="shared" ca="1" si="193"/>
        <v>#VALUE!</v>
      </c>
      <c r="BD158" s="512">
        <v>4</v>
      </c>
      <c r="BE158" s="516" t="s">
        <v>2268</v>
      </c>
      <c r="BF158" s="529" t="s">
        <v>2452</v>
      </c>
      <c r="BG158" s="508" t="str">
        <f t="shared" ca="1" si="194"/>
        <v>T2部件</v>
      </c>
      <c r="BH158" s="565">
        <v>1.5</v>
      </c>
      <c r="BI158" s="615">
        <v>0.01</v>
      </c>
      <c r="BJ158" s="170" t="e">
        <f t="shared" ca="1" si="219"/>
        <v>#VALUE!</v>
      </c>
      <c r="BK158" s="508" t="e">
        <f t="shared" ca="1" si="220"/>
        <v>#VALUE!</v>
      </c>
      <c r="BM158" s="512">
        <v>5</v>
      </c>
      <c r="BN158" s="527" t="s">
        <v>631</v>
      </c>
      <c r="BO158" s="295" t="s">
        <v>918</v>
      </c>
      <c r="BP158" s="508">
        <f t="shared" ca="1" si="230"/>
        <v>782</v>
      </c>
      <c r="BQ158" s="508">
        <v>1</v>
      </c>
      <c r="BR158" s="523">
        <f>宝箱设定!$P124</f>
        <v>5.9200000000000003E-2</v>
      </c>
      <c r="BS158" s="170">
        <f t="shared" ca="1" si="231"/>
        <v>2.4982097186700768E-2</v>
      </c>
      <c r="BT158" s="508">
        <f t="shared" ca="1" si="232"/>
        <v>250</v>
      </c>
      <c r="BV158" s="293">
        <v>5</v>
      </c>
      <c r="BW158" s="527" t="s">
        <v>2262</v>
      </c>
      <c r="BX158" s="530" t="s">
        <v>2200</v>
      </c>
      <c r="BY158" s="523" t="str">
        <f t="shared" ca="1" si="216"/>
        <v>T2部件</v>
      </c>
      <c r="BZ158" s="662">
        <v>1.5</v>
      </c>
      <c r="CA158" s="632">
        <v>3.4000000000000002E-2</v>
      </c>
      <c r="CB158" s="170" t="e">
        <f t="shared" ca="1" si="217"/>
        <v>#VALUE!</v>
      </c>
      <c r="CC158" s="290" t="e">
        <f t="shared" ca="1" si="218"/>
        <v>#VALUE!</v>
      </c>
      <c r="CE158" s="512">
        <v>9</v>
      </c>
      <c r="CF158" s="527" t="s">
        <v>617</v>
      </c>
      <c r="CG158" s="525" t="s">
        <v>1211</v>
      </c>
      <c r="CH158" s="523">
        <f t="shared" ca="1" si="223"/>
        <v>64.599999999999994</v>
      </c>
      <c r="CI158" s="571">
        <v>1</v>
      </c>
      <c r="CJ158" s="523">
        <v>4.2999999999999997E-2</v>
      </c>
      <c r="CK158" s="170">
        <f t="shared" ca="1" si="224"/>
        <v>3.3281733746130034E-2</v>
      </c>
      <c r="CL158" s="508">
        <f t="shared" ca="1" si="225"/>
        <v>333</v>
      </c>
      <c r="CN158" s="618">
        <v>10</v>
      </c>
      <c r="CO158" s="621" t="s">
        <v>2299</v>
      </c>
      <c r="CP158" s="616" t="s">
        <v>2200</v>
      </c>
      <c r="CQ158" s="617" t="e">
        <f>VLOOKUP(LEFT(CO158,2)&amp;CP158,道具价值!$B$28:$C$30,2,FALSE)</f>
        <v>#N/A</v>
      </c>
      <c r="CR158" s="617">
        <v>1</v>
      </c>
      <c r="CS158" s="617">
        <v>5.6000000000000001E-2</v>
      </c>
      <c r="CT158" s="170">
        <f t="shared" si="221"/>
        <v>5.6000000000000001E-2</v>
      </c>
      <c r="CU158" s="617">
        <f t="shared" si="233"/>
        <v>560</v>
      </c>
    </row>
    <row r="159" spans="2:100" x14ac:dyDescent="0.35">
      <c r="AC159" s="512">
        <v>4</v>
      </c>
      <c r="AD159" s="516" t="s">
        <v>2269</v>
      </c>
      <c r="AE159" s="529" t="s">
        <v>2452</v>
      </c>
      <c r="AF159" s="508" t="str">
        <f t="shared" ca="1" si="184"/>
        <v>T2部件</v>
      </c>
      <c r="AG159" s="508">
        <v>1</v>
      </c>
      <c r="AH159" s="600">
        <v>8.0000000000000002E-3</v>
      </c>
      <c r="AI159" s="170" t="e">
        <f t="shared" ca="1" si="203"/>
        <v>#VALUE!</v>
      </c>
      <c r="AJ159" s="508" t="e">
        <f t="shared" ca="1" si="204"/>
        <v>#VALUE!</v>
      </c>
      <c r="AL159" s="512">
        <v>4</v>
      </c>
      <c r="AM159" s="516" t="s">
        <v>2261</v>
      </c>
      <c r="AN159" s="529" t="s">
        <v>2452</v>
      </c>
      <c r="AO159" s="508" t="str">
        <f t="shared" ca="1" si="200"/>
        <v>T2部件</v>
      </c>
      <c r="AP159" s="600">
        <v>1</v>
      </c>
      <c r="AQ159" s="633">
        <v>1.0999999999999999E-2</v>
      </c>
      <c r="AR159" s="170" t="e">
        <f t="shared" ca="1" si="208"/>
        <v>#VALUE!</v>
      </c>
      <c r="AS159" s="508" t="e">
        <f t="shared" ca="1" si="209"/>
        <v>#VALUE!</v>
      </c>
      <c r="AU159" s="512">
        <v>4</v>
      </c>
      <c r="AV159" s="516" t="s">
        <v>2270</v>
      </c>
      <c r="AW159" s="529" t="s">
        <v>2452</v>
      </c>
      <c r="AX159" s="508" t="str">
        <f t="shared" ca="1" si="191"/>
        <v>T2部件</v>
      </c>
      <c r="AY159" s="615">
        <v>1</v>
      </c>
      <c r="AZ159" s="633">
        <v>8.9999999999999993E-3</v>
      </c>
      <c r="BA159" s="170" t="e">
        <f t="shared" ca="1" si="192"/>
        <v>#VALUE!</v>
      </c>
      <c r="BB159" s="508" t="e">
        <f t="shared" ca="1" si="193"/>
        <v>#VALUE!</v>
      </c>
      <c r="BD159" s="512">
        <v>4</v>
      </c>
      <c r="BE159" s="516" t="s">
        <v>2270</v>
      </c>
      <c r="BF159" s="529" t="s">
        <v>2452</v>
      </c>
      <c r="BG159" s="508" t="str">
        <f t="shared" ca="1" si="194"/>
        <v>T2部件</v>
      </c>
      <c r="BH159" s="565">
        <v>1.5</v>
      </c>
      <c r="BI159" s="615">
        <v>0.01</v>
      </c>
      <c r="BJ159" s="170" t="e">
        <f t="shared" ca="1" si="219"/>
        <v>#VALUE!</v>
      </c>
      <c r="BK159" s="508" t="e">
        <f t="shared" ca="1" si="220"/>
        <v>#VALUE!</v>
      </c>
      <c r="BM159" s="512">
        <v>5</v>
      </c>
      <c r="BN159" s="527" t="s">
        <v>618</v>
      </c>
      <c r="BO159" s="295" t="s">
        <v>918</v>
      </c>
      <c r="BP159" s="508">
        <f t="shared" ca="1" si="230"/>
        <v>1800</v>
      </c>
      <c r="BQ159" s="508">
        <v>1</v>
      </c>
      <c r="BR159" s="523">
        <f>宝箱设定!$P125</f>
        <v>4.4399999999999995E-2</v>
      </c>
      <c r="BS159" s="170">
        <f t="shared" ca="1" si="231"/>
        <v>8.1399999999999979E-3</v>
      </c>
      <c r="BT159" s="508">
        <f t="shared" ca="1" si="232"/>
        <v>81</v>
      </c>
      <c r="BV159" s="293">
        <v>5</v>
      </c>
      <c r="BW159" s="527" t="s">
        <v>2264</v>
      </c>
      <c r="BX159" s="530" t="s">
        <v>2200</v>
      </c>
      <c r="BY159" s="523" t="str">
        <f t="shared" ca="1" si="216"/>
        <v>T2部件</v>
      </c>
      <c r="BZ159" s="662">
        <v>1.5</v>
      </c>
      <c r="CA159" s="632">
        <v>3.4000000000000002E-2</v>
      </c>
      <c r="CB159" s="170" t="e">
        <f t="shared" ca="1" si="217"/>
        <v>#VALUE!</v>
      </c>
      <c r="CC159" s="290" t="e">
        <f t="shared" ca="1" si="218"/>
        <v>#VALUE!</v>
      </c>
      <c r="CE159" s="512">
        <v>9</v>
      </c>
      <c r="CF159" s="527" t="s">
        <v>626</v>
      </c>
      <c r="CG159" s="525" t="s">
        <v>1211</v>
      </c>
      <c r="CH159" s="523">
        <f t="shared" ca="1" si="223"/>
        <v>64.599999999999994</v>
      </c>
      <c r="CI159" s="571">
        <v>1</v>
      </c>
      <c r="CJ159" s="605">
        <v>4.2999999999999997E-2</v>
      </c>
      <c r="CK159" s="170">
        <f t="shared" ca="1" si="224"/>
        <v>3.3281733746130034E-2</v>
      </c>
      <c r="CL159" s="508">
        <f t="shared" ca="1" si="225"/>
        <v>333</v>
      </c>
      <c r="CN159" s="618">
        <v>10</v>
      </c>
      <c r="CO159" s="621" t="s">
        <v>2301</v>
      </c>
      <c r="CP159" s="616" t="s">
        <v>2200</v>
      </c>
      <c r="CQ159" s="617" t="e">
        <f>VLOOKUP(LEFT(CO159,2)&amp;CP159,道具价值!$B$28:$C$30,2,FALSE)</f>
        <v>#N/A</v>
      </c>
      <c r="CR159" s="617">
        <v>1</v>
      </c>
      <c r="CS159" s="617">
        <v>5.6000000000000001E-2</v>
      </c>
      <c r="CT159" s="170">
        <f t="shared" si="221"/>
        <v>5.6000000000000001E-2</v>
      </c>
      <c r="CU159" s="617">
        <f t="shared" si="233"/>
        <v>560</v>
      </c>
    </row>
    <row r="160" spans="2:100" x14ac:dyDescent="0.35">
      <c r="AC160" s="512">
        <v>4</v>
      </c>
      <c r="AD160" s="516" t="s">
        <v>2271</v>
      </c>
      <c r="AE160" s="529" t="s">
        <v>2452</v>
      </c>
      <c r="AF160" s="508" t="str">
        <f t="shared" ca="1" si="184"/>
        <v>T2部件</v>
      </c>
      <c r="AG160" s="508">
        <v>1</v>
      </c>
      <c r="AH160" s="600">
        <v>8.0000000000000002E-3</v>
      </c>
      <c r="AI160" s="170" t="e">
        <f t="shared" ca="1" si="203"/>
        <v>#VALUE!</v>
      </c>
      <c r="AJ160" s="508" t="e">
        <f t="shared" ca="1" si="204"/>
        <v>#VALUE!</v>
      </c>
      <c r="AL160" s="512">
        <v>4</v>
      </c>
      <c r="AM160" s="516" t="s">
        <v>2263</v>
      </c>
      <c r="AN160" s="529" t="s">
        <v>2452</v>
      </c>
      <c r="AO160" s="508" t="str">
        <f t="shared" ca="1" si="200"/>
        <v>T2部件</v>
      </c>
      <c r="AP160" s="600">
        <v>1</v>
      </c>
      <c r="AQ160" s="633">
        <v>1.0999999999999999E-2</v>
      </c>
      <c r="AR160" s="170" t="e">
        <f t="shared" ca="1" si="208"/>
        <v>#VALUE!</v>
      </c>
      <c r="AS160" s="508" t="e">
        <f t="shared" ca="1" si="209"/>
        <v>#VALUE!</v>
      </c>
      <c r="AU160" s="512">
        <v>4</v>
      </c>
      <c r="AV160" s="512" t="s">
        <v>2272</v>
      </c>
      <c r="AW160" s="529" t="s">
        <v>2452</v>
      </c>
      <c r="AX160" s="508" t="str">
        <f t="shared" ca="1" si="191"/>
        <v>T2部件</v>
      </c>
      <c r="AY160" s="615">
        <v>1</v>
      </c>
      <c r="AZ160" s="633">
        <v>8.9999999999999993E-3</v>
      </c>
      <c r="BA160" s="170" t="e">
        <f t="shared" ca="1" si="192"/>
        <v>#VALUE!</v>
      </c>
      <c r="BB160" s="508" t="e">
        <f t="shared" ca="1" si="193"/>
        <v>#VALUE!</v>
      </c>
      <c r="BD160" s="512">
        <v>4</v>
      </c>
      <c r="BE160" s="512" t="s">
        <v>2272</v>
      </c>
      <c r="BF160" s="529" t="s">
        <v>2452</v>
      </c>
      <c r="BG160" s="508" t="str">
        <f t="shared" ca="1" si="194"/>
        <v>T2部件</v>
      </c>
      <c r="BH160" s="565">
        <v>1.5</v>
      </c>
      <c r="BI160" s="615">
        <v>0.01</v>
      </c>
      <c r="BJ160" s="170" t="e">
        <f t="shared" ca="1" si="219"/>
        <v>#VALUE!</v>
      </c>
      <c r="BK160" s="508" t="e">
        <f t="shared" ca="1" si="220"/>
        <v>#VALUE!</v>
      </c>
      <c r="BM160" s="512">
        <v>5</v>
      </c>
      <c r="BN160" s="527" t="s">
        <v>627</v>
      </c>
      <c r="BO160" s="295" t="s">
        <v>918</v>
      </c>
      <c r="BP160" s="508">
        <f t="shared" ca="1" si="230"/>
        <v>1800</v>
      </c>
      <c r="BQ160" s="508">
        <v>1</v>
      </c>
      <c r="BR160" s="523">
        <f>宝箱设定!$P126</f>
        <v>4.4399999999999995E-2</v>
      </c>
      <c r="BS160" s="170">
        <f t="shared" ca="1" si="231"/>
        <v>8.1399999999999979E-3</v>
      </c>
      <c r="BT160" s="508">
        <f t="shared" ca="1" si="232"/>
        <v>81</v>
      </c>
      <c r="BV160" s="293">
        <v>5</v>
      </c>
      <c r="BW160" s="527" t="s">
        <v>2266</v>
      </c>
      <c r="BX160" s="530" t="s">
        <v>2200</v>
      </c>
      <c r="BY160" s="523" t="str">
        <f t="shared" ca="1" si="216"/>
        <v>T2部件</v>
      </c>
      <c r="BZ160" s="662">
        <v>1.5</v>
      </c>
      <c r="CA160" s="632">
        <v>3.4000000000000002E-2</v>
      </c>
      <c r="CB160" s="170" t="e">
        <f t="shared" ca="1" si="217"/>
        <v>#VALUE!</v>
      </c>
      <c r="CC160" s="290" t="e">
        <f t="shared" ca="1" si="218"/>
        <v>#VALUE!</v>
      </c>
      <c r="CE160" s="512">
        <v>9</v>
      </c>
      <c r="CF160" s="527" t="s">
        <v>631</v>
      </c>
      <c r="CG160" s="525" t="s">
        <v>1211</v>
      </c>
      <c r="CH160" s="523">
        <f t="shared" ca="1" si="223"/>
        <v>64.599999999999994</v>
      </c>
      <c r="CI160" s="571">
        <v>1</v>
      </c>
      <c r="CJ160" s="605">
        <v>4.2999999999999997E-2</v>
      </c>
      <c r="CK160" s="170">
        <f t="shared" ca="1" si="224"/>
        <v>3.3281733746130034E-2</v>
      </c>
      <c r="CL160" s="508">
        <f t="shared" ca="1" si="225"/>
        <v>333</v>
      </c>
      <c r="CN160" s="618">
        <v>10</v>
      </c>
      <c r="CO160" s="621" t="s">
        <v>2303</v>
      </c>
      <c r="CP160" s="616" t="s">
        <v>2200</v>
      </c>
      <c r="CQ160" s="617" t="e">
        <f>VLOOKUP(LEFT(CO160,2)&amp;CP160,道具价值!$B$28:$C$30,2,FALSE)</f>
        <v>#N/A</v>
      </c>
      <c r="CR160" s="617">
        <v>1</v>
      </c>
      <c r="CS160" s="617">
        <v>5.6000000000000001E-2</v>
      </c>
      <c r="CT160" s="170">
        <f t="shared" si="221"/>
        <v>5.6000000000000001E-2</v>
      </c>
      <c r="CU160" s="617">
        <f t="shared" si="233"/>
        <v>560</v>
      </c>
    </row>
    <row r="161" spans="2:99" x14ac:dyDescent="0.35">
      <c r="B161" s="273" t="s">
        <v>1226</v>
      </c>
      <c r="C161" s="273" t="s">
        <v>1225</v>
      </c>
      <c r="D161" s="258" t="s">
        <v>917</v>
      </c>
      <c r="E161" s="166" t="s">
        <v>920</v>
      </c>
      <c r="F161" s="261" t="s">
        <v>967</v>
      </c>
      <c r="G161" s="166" t="s">
        <v>854</v>
      </c>
      <c r="H161" s="166" t="s">
        <v>926</v>
      </c>
      <c r="I161" s="259" t="s">
        <v>927</v>
      </c>
      <c r="J161" s="300" t="e">
        <f ca="1">SUM(I162:I206)</f>
        <v>#VALUE!</v>
      </c>
      <c r="K161" s="282" t="s">
        <v>814</v>
      </c>
      <c r="L161" s="282" t="s">
        <v>1225</v>
      </c>
      <c r="M161" s="280" t="s">
        <v>917</v>
      </c>
      <c r="N161" s="166" t="s">
        <v>920</v>
      </c>
      <c r="O161" s="285" t="s">
        <v>967</v>
      </c>
      <c r="P161" s="166" t="s">
        <v>854</v>
      </c>
      <c r="Q161" s="166" t="s">
        <v>926</v>
      </c>
      <c r="R161" s="281" t="s">
        <v>927</v>
      </c>
      <c r="S161" s="300" t="e">
        <f ca="1">SUM(R162:R206)</f>
        <v>#VALUE!</v>
      </c>
      <c r="T161" s="512" t="s">
        <v>597</v>
      </c>
      <c r="U161" s="512" t="s">
        <v>1225</v>
      </c>
      <c r="V161" s="513" t="s">
        <v>917</v>
      </c>
      <c r="W161" s="166" t="s">
        <v>920</v>
      </c>
      <c r="X161" s="518" t="s">
        <v>967</v>
      </c>
      <c r="Y161" s="166" t="s">
        <v>854</v>
      </c>
      <c r="Z161" s="166" t="s">
        <v>926</v>
      </c>
      <c r="AA161" s="281" t="s">
        <v>927</v>
      </c>
      <c r="AB161" s="300" t="e">
        <f ca="1">SUM(AA162:AA206)</f>
        <v>#VALUE!</v>
      </c>
      <c r="AC161" s="512">
        <v>4</v>
      </c>
      <c r="AD161" s="512" t="s">
        <v>2273</v>
      </c>
      <c r="AE161" s="529" t="s">
        <v>2452</v>
      </c>
      <c r="AF161" s="508" t="str">
        <f t="shared" ca="1" si="184"/>
        <v>T2部件</v>
      </c>
      <c r="AG161" s="508">
        <v>1</v>
      </c>
      <c r="AH161" s="600">
        <v>8.0000000000000002E-3</v>
      </c>
      <c r="AI161" s="170" t="e">
        <f t="shared" ref="AI161:AI162" ca="1" si="234">AH161*AD$4/AF161/AG161</f>
        <v>#VALUE!</v>
      </c>
      <c r="AJ161" s="508" t="e">
        <f t="shared" ref="AJ161:AJ162" ca="1" si="235">ROUND(AI161*10000,0)</f>
        <v>#VALUE!</v>
      </c>
      <c r="AL161" s="512">
        <v>4</v>
      </c>
      <c r="AM161" s="516" t="s">
        <v>2265</v>
      </c>
      <c r="AN161" s="529" t="s">
        <v>2452</v>
      </c>
      <c r="AO161" s="508" t="str">
        <f t="shared" ca="1" si="200"/>
        <v>T2部件</v>
      </c>
      <c r="AP161" s="600">
        <v>1</v>
      </c>
      <c r="AQ161" s="633">
        <v>1.0999999999999999E-2</v>
      </c>
      <c r="AR161" s="170" t="e">
        <f t="shared" ca="1" si="208"/>
        <v>#VALUE!</v>
      </c>
      <c r="AS161" s="508" t="e">
        <f t="shared" ca="1" si="209"/>
        <v>#VALUE!</v>
      </c>
      <c r="AU161" s="512">
        <v>4</v>
      </c>
      <c r="AV161" s="512" t="s">
        <v>2274</v>
      </c>
      <c r="AW161" s="529" t="s">
        <v>2452</v>
      </c>
      <c r="AX161" s="508" t="str">
        <f t="shared" ca="1" si="191"/>
        <v>T2部件</v>
      </c>
      <c r="AY161" s="615">
        <v>1</v>
      </c>
      <c r="AZ161" s="633">
        <v>8.9999999999999993E-3</v>
      </c>
      <c r="BA161" s="170" t="e">
        <f t="shared" ca="1" si="192"/>
        <v>#VALUE!</v>
      </c>
      <c r="BB161" s="508" t="e">
        <f t="shared" ca="1" si="193"/>
        <v>#VALUE!</v>
      </c>
      <c r="BD161" s="512">
        <v>4</v>
      </c>
      <c r="BE161" s="512" t="s">
        <v>2274</v>
      </c>
      <c r="BF161" s="529" t="s">
        <v>2452</v>
      </c>
      <c r="BG161" s="508" t="str">
        <f t="shared" ca="1" si="194"/>
        <v>T2部件</v>
      </c>
      <c r="BH161" s="565">
        <v>1.5</v>
      </c>
      <c r="BI161" s="615">
        <v>0.01</v>
      </c>
      <c r="BJ161" s="170" t="e">
        <f t="shared" ca="1" si="219"/>
        <v>#VALUE!</v>
      </c>
      <c r="BK161" s="508" t="e">
        <f t="shared" ca="1" si="220"/>
        <v>#VALUE!</v>
      </c>
      <c r="BM161" s="512">
        <v>5</v>
      </c>
      <c r="BN161" s="527" t="s">
        <v>628</v>
      </c>
      <c r="BO161" s="295" t="s">
        <v>918</v>
      </c>
      <c r="BP161" s="508">
        <f t="shared" ca="1" si="230"/>
        <v>1800</v>
      </c>
      <c r="BQ161" s="508">
        <v>1</v>
      </c>
      <c r="BR161" s="523">
        <f>宝箱设定!$P127</f>
        <v>4.4399999999999995E-2</v>
      </c>
      <c r="BS161" s="170">
        <f t="shared" ca="1" si="231"/>
        <v>8.1399999999999979E-3</v>
      </c>
      <c r="BT161" s="508">
        <f t="shared" ca="1" si="232"/>
        <v>81</v>
      </c>
      <c r="BV161" s="293">
        <v>5</v>
      </c>
      <c r="BW161" s="527" t="s">
        <v>2268</v>
      </c>
      <c r="BX161" s="530" t="s">
        <v>2200</v>
      </c>
      <c r="BY161" s="523" t="str">
        <f t="shared" ca="1" si="216"/>
        <v>T2部件</v>
      </c>
      <c r="BZ161" s="662">
        <v>1.5</v>
      </c>
      <c r="CA161" s="632">
        <v>3.4000000000000002E-2</v>
      </c>
      <c r="CB161" s="170" t="e">
        <f t="shared" ca="1" si="217"/>
        <v>#VALUE!</v>
      </c>
      <c r="CC161" s="290" t="e">
        <f t="shared" ca="1" si="218"/>
        <v>#VALUE!</v>
      </c>
      <c r="CE161" s="512">
        <v>9</v>
      </c>
      <c r="CF161" s="527" t="s">
        <v>618</v>
      </c>
      <c r="CG161" s="512" t="s">
        <v>1211</v>
      </c>
      <c r="CH161" s="523">
        <f t="shared" ca="1" si="223"/>
        <v>45.6</v>
      </c>
      <c r="CI161" s="523">
        <v>1</v>
      </c>
      <c r="CJ161" s="523">
        <v>0.06</v>
      </c>
      <c r="CK161" s="170">
        <f t="shared" ca="1" si="224"/>
        <v>6.5789473684210523E-2</v>
      </c>
      <c r="CL161" s="508">
        <f t="shared" ca="1" si="225"/>
        <v>658</v>
      </c>
      <c r="CN161" s="618">
        <v>10</v>
      </c>
      <c r="CO161" s="621" t="s">
        <v>2305</v>
      </c>
      <c r="CP161" s="616" t="s">
        <v>2200</v>
      </c>
      <c r="CQ161" s="617" t="e">
        <f>VLOOKUP(LEFT(CO161,2)&amp;CP161,道具价值!$B$28:$C$30,2,FALSE)</f>
        <v>#N/A</v>
      </c>
      <c r="CR161" s="617">
        <v>1</v>
      </c>
      <c r="CS161" s="617">
        <v>5.6000000000000001E-2</v>
      </c>
      <c r="CT161" s="170">
        <f t="shared" si="221"/>
        <v>5.6000000000000001E-2</v>
      </c>
      <c r="CU161" s="617">
        <f t="shared" si="233"/>
        <v>560</v>
      </c>
    </row>
    <row r="162" spans="2:99" x14ac:dyDescent="0.35">
      <c r="B162" s="273">
        <v>5</v>
      </c>
      <c r="C162" s="260" t="s">
        <v>617</v>
      </c>
      <c r="D162" s="273" t="s">
        <v>1235</v>
      </c>
      <c r="E162" s="508">
        <f t="shared" ref="E162:E206" ca="1" si="236">IF(D162="部件",VLOOKUP(B162,INDIRECT(D162&amp;"价值"),MATCH(LEFT(C162,2)&amp;"部件",INDIRECT(D162&amp;"价值标头"),0),FALSE),IF(D162="加速道具",VLOOKUP(C162,INDIRECT(D162&amp;"价值"),MATCH("价格",INDIRECT(D162&amp;"价值标头"),0),FALSE),VLOOKUP(B162,INDIRECT(D162&amp;"价值"),MATCH(C162,INDIRECT(D162&amp;"价值标头"),0),FALSE)))</f>
        <v>78.2</v>
      </c>
      <c r="F162" s="256">
        <v>3</v>
      </c>
      <c r="G162" s="379">
        <f>宝箱设定!$X110</f>
        <v>8.7599999999999997E-2</v>
      </c>
      <c r="H162" s="170">
        <f t="shared" ref="H162:H206" ca="1" si="237">G162*$C$4/E162/F162</f>
        <v>2.1937340153452684E-2</v>
      </c>
      <c r="I162" s="256">
        <f t="shared" ref="I162:I206" ca="1" si="238">ROUND(H162*10000,0)</f>
        <v>219</v>
      </c>
      <c r="K162" s="512">
        <v>5</v>
      </c>
      <c r="L162" s="516" t="s">
        <v>617</v>
      </c>
      <c r="M162" s="512" t="s">
        <v>1211</v>
      </c>
      <c r="N162" s="508">
        <f t="shared" ref="N162:N206" ca="1" si="239">IF(M162="部件",VLOOKUP(K162,INDIRECT(M162&amp;"价值"),MATCH(LEFT(L162,2)&amp;"部件",INDIRECT(M162&amp;"价值标头"),0),FALSE),IF(M162="加速道具",VLOOKUP(L162,INDIRECT(M162&amp;"价值"),MATCH("价格",INDIRECT(M162&amp;"价值标头"),0),FALSE),VLOOKUP(K162,INDIRECT(M162&amp;"价值"),MATCH(L162,INDIRECT(M162&amp;"价值标头"),0),FALSE)))</f>
        <v>78.2</v>
      </c>
      <c r="O162" s="565">
        <v>1.5</v>
      </c>
      <c r="P162" s="508">
        <f>宝箱设定!$X110</f>
        <v>8.7599999999999997E-2</v>
      </c>
      <c r="Q162" s="170">
        <f t="shared" ref="Q162:Q173" ca="1" si="240">P162*L$4/N162/O162</f>
        <v>3.5099744245524291E-2</v>
      </c>
      <c r="R162" s="279">
        <f t="shared" ref="R162:R173" ca="1" si="241">ROUND(Q162*10000,0)</f>
        <v>351</v>
      </c>
      <c r="T162" s="512">
        <v>5</v>
      </c>
      <c r="U162" s="516" t="s">
        <v>617</v>
      </c>
      <c r="V162" s="512" t="s">
        <v>1211</v>
      </c>
      <c r="W162" s="508">
        <f t="shared" ref="W162:W206" ca="1" si="242">IF(V162="部件",VLOOKUP(T162,INDIRECT(V162&amp;"价值"),MATCH(LEFT(U162,2)&amp;"部件",INDIRECT(V162&amp;"价值标头"),0),FALSE),IF(V162="加速道具",VLOOKUP(U162,INDIRECT(V162&amp;"价值"),MATCH("价格",INDIRECT(V162&amp;"价值标头"),0),FALSE),VLOOKUP(T162,INDIRECT(V162&amp;"价值"),MATCH(U162,INDIRECT(V162&amp;"价值标头"),0),FALSE)))</f>
        <v>78.2</v>
      </c>
      <c r="X162" s="565">
        <v>1.5</v>
      </c>
      <c r="Y162" s="508">
        <f>宝箱设定!$X110</f>
        <v>8.7599999999999997E-2</v>
      </c>
      <c r="Z162" s="170">
        <f t="shared" ref="Z162:Z173" ca="1" si="243">Y162*U$4/W162/X162</f>
        <v>3.5473145780051146E-2</v>
      </c>
      <c r="AA162" s="279">
        <f t="shared" ref="AA162:AA173" ca="1" si="244">ROUND(Z162*10000,0)</f>
        <v>355</v>
      </c>
      <c r="AC162" s="512">
        <v>4</v>
      </c>
      <c r="AD162" s="512" t="s">
        <v>2275</v>
      </c>
      <c r="AE162" s="529" t="s">
        <v>2452</v>
      </c>
      <c r="AF162" s="508" t="str">
        <f t="shared" ca="1" si="184"/>
        <v>T2部件</v>
      </c>
      <c r="AG162" s="508">
        <v>1</v>
      </c>
      <c r="AH162" s="600">
        <v>8.0000000000000002E-3</v>
      </c>
      <c r="AI162" s="170" t="e">
        <f t="shared" ca="1" si="234"/>
        <v>#VALUE!</v>
      </c>
      <c r="AJ162" s="508" t="e">
        <f t="shared" ca="1" si="235"/>
        <v>#VALUE!</v>
      </c>
      <c r="AL162" s="512">
        <v>4</v>
      </c>
      <c r="AM162" s="516" t="s">
        <v>2267</v>
      </c>
      <c r="AN162" s="529" t="s">
        <v>2452</v>
      </c>
      <c r="AO162" s="508" t="str">
        <f t="shared" ca="1" si="200"/>
        <v>T2部件</v>
      </c>
      <c r="AP162" s="600">
        <v>1</v>
      </c>
      <c r="AQ162" s="633">
        <v>1.0999999999999999E-2</v>
      </c>
      <c r="AR162" s="170" t="e">
        <f t="shared" ca="1" si="208"/>
        <v>#VALUE!</v>
      </c>
      <c r="AS162" s="508" t="e">
        <f t="shared" ca="1" si="209"/>
        <v>#VALUE!</v>
      </c>
      <c r="AU162" s="512">
        <v>4</v>
      </c>
      <c r="AV162" s="516" t="s">
        <v>2259</v>
      </c>
      <c r="AW162" s="529" t="s">
        <v>2452</v>
      </c>
      <c r="AX162" s="508" t="str">
        <f t="shared" ca="1" si="191"/>
        <v>T2部件</v>
      </c>
      <c r="AY162" s="615">
        <v>1</v>
      </c>
      <c r="AZ162" s="633">
        <v>8.9999999999999993E-3</v>
      </c>
      <c r="BA162" s="170" t="e">
        <f t="shared" ref="BA162:BA170" ca="1" si="245">AZ162*AV$4/AX162/AY162</f>
        <v>#VALUE!</v>
      </c>
      <c r="BB162" s="508" t="e">
        <f t="shared" ref="BB162:BB170" ca="1" si="246">ROUND(BA162*10000,0)</f>
        <v>#VALUE!</v>
      </c>
      <c r="BD162" s="512">
        <v>4</v>
      </c>
      <c r="BE162" s="516" t="s">
        <v>2259</v>
      </c>
      <c r="BF162" s="529" t="s">
        <v>2452</v>
      </c>
      <c r="BG162" s="508" t="str">
        <f t="shared" ca="1" si="194"/>
        <v>T2部件</v>
      </c>
      <c r="BH162" s="565">
        <v>1.5</v>
      </c>
      <c r="BI162" s="615">
        <v>0.01</v>
      </c>
      <c r="BJ162" s="170" t="e">
        <f t="shared" ca="1" si="219"/>
        <v>#VALUE!</v>
      </c>
      <c r="BK162" s="508" t="e">
        <f t="shared" ca="1" si="220"/>
        <v>#VALUE!</v>
      </c>
      <c r="BM162" s="512">
        <v>5</v>
      </c>
      <c r="BN162" s="527" t="s">
        <v>619</v>
      </c>
      <c r="BO162" s="295" t="s">
        <v>918</v>
      </c>
      <c r="BP162" s="508">
        <f t="shared" ca="1" si="230"/>
        <v>2250</v>
      </c>
      <c r="BQ162" s="523">
        <v>1</v>
      </c>
      <c r="BR162" s="523">
        <f>宝箱设定!$P128</f>
        <v>4.4399999999999995E-2</v>
      </c>
      <c r="BS162" s="170">
        <f t="shared" ca="1" si="231"/>
        <v>6.5119999999999987E-3</v>
      </c>
      <c r="BT162" s="508">
        <f t="shared" ca="1" si="232"/>
        <v>65</v>
      </c>
      <c r="BV162" s="293">
        <v>5</v>
      </c>
      <c r="BW162" s="527" t="s">
        <v>2270</v>
      </c>
      <c r="BX162" s="530" t="s">
        <v>2200</v>
      </c>
      <c r="BY162" s="523" t="str">
        <f t="shared" ca="1" si="216"/>
        <v>T2部件</v>
      </c>
      <c r="BZ162" s="662">
        <v>1.5</v>
      </c>
      <c r="CA162" s="632">
        <v>3.4000000000000002E-2</v>
      </c>
      <c r="CB162" s="170" t="e">
        <f t="shared" ca="1" si="217"/>
        <v>#VALUE!</v>
      </c>
      <c r="CC162" s="290" t="e">
        <f t="shared" ca="1" si="218"/>
        <v>#VALUE!</v>
      </c>
      <c r="CE162" s="512">
        <v>9</v>
      </c>
      <c r="CF162" s="527" t="s">
        <v>627</v>
      </c>
      <c r="CG162" s="525" t="s">
        <v>1211</v>
      </c>
      <c r="CH162" s="523">
        <f t="shared" ca="1" si="223"/>
        <v>45.6</v>
      </c>
      <c r="CI162" s="523">
        <v>1</v>
      </c>
      <c r="CJ162" s="571">
        <v>0.06</v>
      </c>
      <c r="CK162" s="170">
        <f t="shared" ca="1" si="224"/>
        <v>6.5789473684210523E-2</v>
      </c>
      <c r="CL162" s="508">
        <f t="shared" ca="1" si="225"/>
        <v>658</v>
      </c>
      <c r="CN162" s="618">
        <v>10</v>
      </c>
      <c r="CO162" s="621" t="s">
        <v>2307</v>
      </c>
      <c r="CP162" s="616" t="s">
        <v>2200</v>
      </c>
      <c r="CQ162" s="617" t="e">
        <f>VLOOKUP(LEFT(CO162,2)&amp;CP162,道具价值!$B$28:$C$30,2,FALSE)</f>
        <v>#N/A</v>
      </c>
      <c r="CR162" s="617">
        <v>1</v>
      </c>
      <c r="CS162" s="617">
        <v>5.6000000000000001E-2</v>
      </c>
      <c r="CT162" s="170">
        <f t="shared" si="221"/>
        <v>5.6000000000000001E-2</v>
      </c>
      <c r="CU162" s="617">
        <f t="shared" si="233"/>
        <v>560</v>
      </c>
    </row>
    <row r="163" spans="2:99" x14ac:dyDescent="0.35">
      <c r="B163" s="273">
        <v>5</v>
      </c>
      <c r="C163" s="260" t="s">
        <v>626</v>
      </c>
      <c r="D163" s="273" t="s">
        <v>1235</v>
      </c>
      <c r="E163" s="508">
        <f t="shared" ca="1" si="236"/>
        <v>78.2</v>
      </c>
      <c r="F163" s="594">
        <v>3</v>
      </c>
      <c r="G163" s="508">
        <f>宝箱设定!$X111</f>
        <v>8.7599999999999997E-2</v>
      </c>
      <c r="H163" s="170">
        <f t="shared" ca="1" si="237"/>
        <v>2.1937340153452684E-2</v>
      </c>
      <c r="I163" s="256">
        <f t="shared" ca="1" si="238"/>
        <v>219</v>
      </c>
      <c r="K163" s="512">
        <v>5</v>
      </c>
      <c r="L163" s="516" t="s">
        <v>626</v>
      </c>
      <c r="M163" s="512" t="s">
        <v>1211</v>
      </c>
      <c r="N163" s="508">
        <f t="shared" ca="1" si="239"/>
        <v>78.2</v>
      </c>
      <c r="O163" s="625">
        <v>1.5</v>
      </c>
      <c r="P163" s="508">
        <f>宝箱设定!$X111</f>
        <v>8.7599999999999997E-2</v>
      </c>
      <c r="Q163" s="170">
        <f t="shared" ca="1" si="240"/>
        <v>3.5099744245524291E-2</v>
      </c>
      <c r="R163" s="279">
        <f t="shared" ca="1" si="241"/>
        <v>351</v>
      </c>
      <c r="T163" s="512">
        <v>5</v>
      </c>
      <c r="U163" s="516" t="s">
        <v>626</v>
      </c>
      <c r="V163" s="512" t="s">
        <v>1211</v>
      </c>
      <c r="W163" s="508">
        <f t="shared" ca="1" si="242"/>
        <v>78.2</v>
      </c>
      <c r="X163" s="625">
        <v>1.5</v>
      </c>
      <c r="Y163" s="508">
        <f>宝箱设定!$X111</f>
        <v>8.7599999999999997E-2</v>
      </c>
      <c r="Z163" s="170">
        <f t="shared" ca="1" si="243"/>
        <v>3.5473145780051146E-2</v>
      </c>
      <c r="AA163" s="279">
        <f t="shared" ca="1" si="244"/>
        <v>355</v>
      </c>
      <c r="AC163" s="595">
        <v>4</v>
      </c>
      <c r="AD163" s="601" t="s">
        <v>2878</v>
      </c>
      <c r="AE163" s="601" t="s">
        <v>2879</v>
      </c>
      <c r="AF163" s="594">
        <f t="shared" ca="1" si="184"/>
        <v>35</v>
      </c>
      <c r="AG163" s="594">
        <v>1</v>
      </c>
      <c r="AH163" s="594">
        <v>1.7999999999999999E-2</v>
      </c>
      <c r="AI163" s="170">
        <f ca="1">AH163*AD$4/AF163/AG163</f>
        <v>3.2914285714285708E-2</v>
      </c>
      <c r="AJ163" s="594">
        <f ca="1">ROUND(AI163*10000,0)</f>
        <v>329</v>
      </c>
      <c r="AL163" s="512">
        <v>4</v>
      </c>
      <c r="AM163" s="516" t="s">
        <v>2269</v>
      </c>
      <c r="AN163" s="529" t="s">
        <v>2452</v>
      </c>
      <c r="AO163" s="508" t="str">
        <f t="shared" ca="1" si="200"/>
        <v>T2部件</v>
      </c>
      <c r="AP163" s="600">
        <v>1</v>
      </c>
      <c r="AQ163" s="633">
        <v>1.0999999999999999E-2</v>
      </c>
      <c r="AR163" s="170" t="e">
        <f t="shared" ca="1" si="208"/>
        <v>#VALUE!</v>
      </c>
      <c r="AS163" s="508" t="e">
        <f t="shared" ca="1" si="209"/>
        <v>#VALUE!</v>
      </c>
      <c r="AU163" s="512">
        <v>4</v>
      </c>
      <c r="AV163" s="516" t="s">
        <v>2261</v>
      </c>
      <c r="AW163" s="529" t="s">
        <v>2452</v>
      </c>
      <c r="AX163" s="508" t="str">
        <f t="shared" ca="1" si="191"/>
        <v>T2部件</v>
      </c>
      <c r="AY163" s="615">
        <v>1</v>
      </c>
      <c r="AZ163" s="633">
        <v>8.0000000000000002E-3</v>
      </c>
      <c r="BA163" s="170" t="e">
        <f t="shared" ca="1" si="245"/>
        <v>#VALUE!</v>
      </c>
      <c r="BB163" s="508" t="e">
        <f t="shared" ca="1" si="246"/>
        <v>#VALUE!</v>
      </c>
      <c r="BD163" s="512">
        <v>4</v>
      </c>
      <c r="BE163" s="516" t="s">
        <v>2261</v>
      </c>
      <c r="BF163" s="529" t="s">
        <v>2452</v>
      </c>
      <c r="BG163" s="508" t="str">
        <f t="shared" ca="1" si="194"/>
        <v>T2部件</v>
      </c>
      <c r="BH163" s="565">
        <v>1.5</v>
      </c>
      <c r="BI163" s="615">
        <v>8.9999999999999993E-3</v>
      </c>
      <c r="BJ163" s="170" t="e">
        <f t="shared" ca="1" si="219"/>
        <v>#VALUE!</v>
      </c>
      <c r="BK163" s="508" t="e">
        <f t="shared" ca="1" si="220"/>
        <v>#VALUE!</v>
      </c>
      <c r="BM163" s="512">
        <v>5</v>
      </c>
      <c r="BN163" s="527" t="s">
        <v>718</v>
      </c>
      <c r="BO163" s="295" t="s">
        <v>918</v>
      </c>
      <c r="BP163" s="508">
        <f t="shared" ca="1" si="230"/>
        <v>2250</v>
      </c>
      <c r="BQ163" s="523">
        <v>1</v>
      </c>
      <c r="BR163" s="523">
        <f>宝箱设定!$P129</f>
        <v>4.4399999999999995E-2</v>
      </c>
      <c r="BS163" s="170">
        <f t="shared" ca="1" si="231"/>
        <v>6.5119999999999987E-3</v>
      </c>
      <c r="BT163" s="508">
        <f t="shared" ca="1" si="232"/>
        <v>65</v>
      </c>
      <c r="BV163" s="293">
        <v>5</v>
      </c>
      <c r="BW163" s="525" t="s">
        <v>2272</v>
      </c>
      <c r="BX163" s="530" t="s">
        <v>2200</v>
      </c>
      <c r="BY163" s="523" t="str">
        <f t="shared" ca="1" si="216"/>
        <v>T2部件</v>
      </c>
      <c r="BZ163" s="662">
        <v>1.5</v>
      </c>
      <c r="CA163" s="632">
        <v>3.4000000000000002E-2</v>
      </c>
      <c r="CB163" s="170" t="e">
        <f t="shared" ca="1" si="217"/>
        <v>#VALUE!</v>
      </c>
      <c r="CC163" s="290" t="e">
        <f t="shared" ca="1" si="218"/>
        <v>#VALUE!</v>
      </c>
      <c r="CE163" s="512">
        <v>9</v>
      </c>
      <c r="CF163" s="527" t="s">
        <v>628</v>
      </c>
      <c r="CG163" s="525" t="s">
        <v>1211</v>
      </c>
      <c r="CH163" s="523">
        <f t="shared" ca="1" si="223"/>
        <v>45.6</v>
      </c>
      <c r="CI163" s="523">
        <v>1</v>
      </c>
      <c r="CJ163" s="571">
        <v>0.06</v>
      </c>
      <c r="CK163" s="170">
        <f t="shared" ca="1" si="224"/>
        <v>6.5789473684210523E-2</v>
      </c>
      <c r="CL163" s="508">
        <f t="shared" ca="1" si="225"/>
        <v>658</v>
      </c>
      <c r="CN163" s="618">
        <v>10</v>
      </c>
      <c r="CO163" s="618" t="s">
        <v>2309</v>
      </c>
      <c r="CP163" s="616" t="s">
        <v>2200</v>
      </c>
      <c r="CQ163" s="617" t="e">
        <f>VLOOKUP(LEFT(CO163,2)&amp;CP163,道具价值!$B$28:$C$30,2,FALSE)</f>
        <v>#N/A</v>
      </c>
      <c r="CR163" s="617">
        <v>1</v>
      </c>
      <c r="CS163" s="617">
        <v>5.6000000000000001E-2</v>
      </c>
      <c r="CT163" s="170">
        <f t="shared" si="221"/>
        <v>5.6000000000000001E-2</v>
      </c>
      <c r="CU163" s="617">
        <f t="shared" si="233"/>
        <v>560</v>
      </c>
    </row>
    <row r="164" spans="2:99" x14ac:dyDescent="0.35">
      <c r="B164" s="273">
        <v>5</v>
      </c>
      <c r="C164" s="260" t="s">
        <v>631</v>
      </c>
      <c r="D164" s="273" t="s">
        <v>1235</v>
      </c>
      <c r="E164" s="508">
        <f t="shared" ca="1" si="236"/>
        <v>78.2</v>
      </c>
      <c r="F164" s="594">
        <v>3</v>
      </c>
      <c r="G164" s="508">
        <f>宝箱设定!$X112</f>
        <v>8.7599999999999997E-2</v>
      </c>
      <c r="H164" s="170">
        <f t="shared" ca="1" si="237"/>
        <v>2.1937340153452684E-2</v>
      </c>
      <c r="I164" s="256">
        <f t="shared" ca="1" si="238"/>
        <v>219</v>
      </c>
      <c r="K164" s="512">
        <v>5</v>
      </c>
      <c r="L164" s="516" t="s">
        <v>631</v>
      </c>
      <c r="M164" s="512" t="s">
        <v>1211</v>
      </c>
      <c r="N164" s="508">
        <f t="shared" ca="1" si="239"/>
        <v>78.2</v>
      </c>
      <c r="O164" s="625">
        <v>1.5</v>
      </c>
      <c r="P164" s="508">
        <f>宝箱设定!$X112</f>
        <v>8.7599999999999997E-2</v>
      </c>
      <c r="Q164" s="170">
        <f t="shared" ca="1" si="240"/>
        <v>3.5099744245524291E-2</v>
      </c>
      <c r="R164" s="279">
        <f t="shared" ca="1" si="241"/>
        <v>351</v>
      </c>
      <c r="T164" s="512">
        <v>5</v>
      </c>
      <c r="U164" s="516" t="s">
        <v>631</v>
      </c>
      <c r="V164" s="512" t="s">
        <v>1211</v>
      </c>
      <c r="W164" s="508">
        <f t="shared" ca="1" si="242"/>
        <v>78.2</v>
      </c>
      <c r="X164" s="625">
        <v>1.5</v>
      </c>
      <c r="Y164" s="508">
        <f>宝箱设定!$X112</f>
        <v>8.7599999999999997E-2</v>
      </c>
      <c r="Z164" s="170">
        <f t="shared" ca="1" si="243"/>
        <v>3.5473145780051146E-2</v>
      </c>
      <c r="AA164" s="279">
        <f t="shared" ca="1" si="244"/>
        <v>355</v>
      </c>
      <c r="AC164" s="595">
        <v>4</v>
      </c>
      <c r="AD164" s="601" t="s">
        <v>2880</v>
      </c>
      <c r="AE164" s="601" t="s">
        <v>2879</v>
      </c>
      <c r="AF164" s="594">
        <f t="shared" ca="1" si="184"/>
        <v>60</v>
      </c>
      <c r="AG164" s="594">
        <v>1</v>
      </c>
      <c r="AH164" s="594">
        <v>1.9E-2</v>
      </c>
      <c r="AI164" s="170">
        <f ca="1">AH164*AD$4/AF164/AG164</f>
        <v>2.0266666666666665E-2</v>
      </c>
      <c r="AJ164" s="594">
        <f ca="1">ROUND(AI164*10000,0)</f>
        <v>203</v>
      </c>
      <c r="AL164" s="512">
        <v>4</v>
      </c>
      <c r="AM164" s="516" t="s">
        <v>2271</v>
      </c>
      <c r="AN164" s="529" t="s">
        <v>2452</v>
      </c>
      <c r="AO164" s="508" t="str">
        <f t="shared" ca="1" si="200"/>
        <v>T2部件</v>
      </c>
      <c r="AP164" s="600">
        <v>1</v>
      </c>
      <c r="AQ164" s="633">
        <v>1.0999999999999999E-2</v>
      </c>
      <c r="AR164" s="170" t="e">
        <f t="shared" ref="AR164:AR170" ca="1" si="247">AQ164*AM$4/AO164/AP164</f>
        <v>#VALUE!</v>
      </c>
      <c r="AS164" s="279" t="e">
        <f t="shared" ref="AS164:AS170" ca="1" si="248">ROUND(AR164*10000,0)</f>
        <v>#VALUE!</v>
      </c>
      <c r="AU164" s="512">
        <v>4</v>
      </c>
      <c r="AV164" s="516" t="s">
        <v>2263</v>
      </c>
      <c r="AW164" s="529" t="s">
        <v>2452</v>
      </c>
      <c r="AX164" s="508" t="str">
        <f t="shared" ca="1" si="191"/>
        <v>T2部件</v>
      </c>
      <c r="AY164" s="615">
        <v>1</v>
      </c>
      <c r="AZ164" s="633">
        <v>8.0000000000000002E-3</v>
      </c>
      <c r="BA164" s="170" t="e">
        <f t="shared" ca="1" si="245"/>
        <v>#VALUE!</v>
      </c>
      <c r="BB164" s="508" t="e">
        <f t="shared" ca="1" si="246"/>
        <v>#VALUE!</v>
      </c>
      <c r="BD164" s="512">
        <v>4</v>
      </c>
      <c r="BE164" s="516" t="s">
        <v>2263</v>
      </c>
      <c r="BF164" s="529" t="s">
        <v>2452</v>
      </c>
      <c r="BG164" s="508" t="str">
        <f t="shared" ca="1" si="194"/>
        <v>T2部件</v>
      </c>
      <c r="BH164" s="565">
        <v>1.5</v>
      </c>
      <c r="BI164" s="615">
        <v>8.9999999999999993E-3</v>
      </c>
      <c r="BJ164" s="170" t="e">
        <f t="shared" ca="1" si="219"/>
        <v>#VALUE!</v>
      </c>
      <c r="BK164" s="508" t="e">
        <f t="shared" ca="1" si="220"/>
        <v>#VALUE!</v>
      </c>
      <c r="BM164" s="512">
        <v>5</v>
      </c>
      <c r="BN164" s="527" t="s">
        <v>632</v>
      </c>
      <c r="BO164" s="295" t="s">
        <v>918</v>
      </c>
      <c r="BP164" s="508">
        <f t="shared" ca="1" si="230"/>
        <v>2250</v>
      </c>
      <c r="BQ164" s="523">
        <v>1</v>
      </c>
      <c r="BR164" s="523">
        <f>宝箱设定!$P130</f>
        <v>4.4399999999999995E-2</v>
      </c>
      <c r="BS164" s="170">
        <f t="shared" ca="1" si="231"/>
        <v>6.5119999999999987E-3</v>
      </c>
      <c r="BT164" s="508">
        <f t="shared" ca="1" si="232"/>
        <v>65</v>
      </c>
      <c r="BV164" s="293">
        <v>5</v>
      </c>
      <c r="BW164" s="525" t="s">
        <v>2274</v>
      </c>
      <c r="BX164" s="530" t="s">
        <v>2200</v>
      </c>
      <c r="BY164" s="523" t="str">
        <f t="shared" ca="1" si="216"/>
        <v>T2部件</v>
      </c>
      <c r="BZ164" s="662">
        <v>1.5</v>
      </c>
      <c r="CA164" s="632">
        <v>3.4000000000000002E-2</v>
      </c>
      <c r="CB164" s="170" t="e">
        <f t="shared" ca="1" si="217"/>
        <v>#VALUE!</v>
      </c>
      <c r="CC164" s="290" t="e">
        <f t="shared" ca="1" si="218"/>
        <v>#VALUE!</v>
      </c>
      <c r="CE164" s="512">
        <v>9</v>
      </c>
      <c r="CF164" s="527" t="s">
        <v>619</v>
      </c>
      <c r="CG164" s="525" t="s">
        <v>1211</v>
      </c>
      <c r="CH164" s="523">
        <f t="shared" ca="1" si="223"/>
        <v>63</v>
      </c>
      <c r="CI164" s="523">
        <v>1</v>
      </c>
      <c r="CJ164" s="523">
        <v>0.06</v>
      </c>
      <c r="CK164" s="170">
        <f t="shared" ca="1" si="224"/>
        <v>4.7619047619047616E-2</v>
      </c>
      <c r="CL164" s="508">
        <f t="shared" ca="1" si="225"/>
        <v>476</v>
      </c>
      <c r="CN164" s="618">
        <v>10</v>
      </c>
      <c r="CO164" s="618" t="s">
        <v>2311</v>
      </c>
      <c r="CP164" s="616" t="s">
        <v>2200</v>
      </c>
      <c r="CQ164" s="617" t="e">
        <f>VLOOKUP(LEFT(CO164,2)&amp;CP164,道具价值!$B$28:$C$30,2,FALSE)</f>
        <v>#N/A</v>
      </c>
      <c r="CR164" s="617">
        <v>1</v>
      </c>
      <c r="CS164" s="617">
        <v>5.6000000000000001E-2</v>
      </c>
      <c r="CT164" s="170">
        <f t="shared" si="221"/>
        <v>5.6000000000000001E-2</v>
      </c>
      <c r="CU164" s="617">
        <f>ROUND(CT164*10000,0)</f>
        <v>560</v>
      </c>
    </row>
    <row r="165" spans="2:99" x14ac:dyDescent="0.35">
      <c r="B165" s="273">
        <v>5</v>
      </c>
      <c r="C165" s="260" t="s">
        <v>618</v>
      </c>
      <c r="D165" s="273" t="s">
        <v>1235</v>
      </c>
      <c r="E165" s="508">
        <f t="shared" ca="1" si="236"/>
        <v>60</v>
      </c>
      <c r="F165" s="379">
        <v>2</v>
      </c>
      <c r="G165" s="508">
        <f>宝箱设定!$X113</f>
        <v>5.8400000000000001E-2</v>
      </c>
      <c r="H165" s="170">
        <f t="shared" ca="1" si="237"/>
        <v>2.8591666666666668E-2</v>
      </c>
      <c r="I165" s="256">
        <f t="shared" ca="1" si="238"/>
        <v>286</v>
      </c>
      <c r="K165" s="512">
        <v>5</v>
      </c>
      <c r="L165" s="516" t="s">
        <v>618</v>
      </c>
      <c r="M165" s="512" t="s">
        <v>1211</v>
      </c>
      <c r="N165" s="508">
        <f t="shared" ca="1" si="239"/>
        <v>60</v>
      </c>
      <c r="O165" s="565">
        <v>1</v>
      </c>
      <c r="P165" s="508">
        <f>宝箱设定!$X113</f>
        <v>5.8400000000000001E-2</v>
      </c>
      <c r="Q165" s="170">
        <f t="shared" ca="1" si="240"/>
        <v>4.5746666666666672E-2</v>
      </c>
      <c r="R165" s="279">
        <f t="shared" ca="1" si="241"/>
        <v>457</v>
      </c>
      <c r="T165" s="512">
        <v>5</v>
      </c>
      <c r="U165" s="516" t="s">
        <v>618</v>
      </c>
      <c r="V165" s="512" t="s">
        <v>1211</v>
      </c>
      <c r="W165" s="508">
        <f t="shared" ca="1" si="242"/>
        <v>60</v>
      </c>
      <c r="X165" s="565">
        <v>1</v>
      </c>
      <c r="Y165" s="508">
        <f>宝箱设定!$X113</f>
        <v>5.8400000000000001E-2</v>
      </c>
      <c r="Z165" s="170">
        <f t="shared" ca="1" si="243"/>
        <v>4.6233333333333335E-2</v>
      </c>
      <c r="AA165" s="279">
        <f t="shared" ca="1" si="244"/>
        <v>462</v>
      </c>
      <c r="AL165" s="512">
        <v>4</v>
      </c>
      <c r="AM165" s="512" t="s">
        <v>2273</v>
      </c>
      <c r="AN165" s="529" t="s">
        <v>2452</v>
      </c>
      <c r="AO165" s="508" t="str">
        <f t="shared" ca="1" si="200"/>
        <v>T2部件</v>
      </c>
      <c r="AP165" s="600">
        <v>1</v>
      </c>
      <c r="AQ165" s="633">
        <v>1.0999999999999999E-2</v>
      </c>
      <c r="AR165" s="170" t="e">
        <f t="shared" ca="1" si="247"/>
        <v>#VALUE!</v>
      </c>
      <c r="AS165" s="279" t="e">
        <f t="shared" ca="1" si="248"/>
        <v>#VALUE!</v>
      </c>
      <c r="AU165" s="512">
        <v>4</v>
      </c>
      <c r="AV165" s="516" t="s">
        <v>2265</v>
      </c>
      <c r="AW165" s="529" t="s">
        <v>2452</v>
      </c>
      <c r="AX165" s="508" t="str">
        <f t="shared" ca="1" si="191"/>
        <v>T2部件</v>
      </c>
      <c r="AY165" s="615">
        <v>1</v>
      </c>
      <c r="AZ165" s="633">
        <v>8.0000000000000002E-3</v>
      </c>
      <c r="BA165" s="170" t="e">
        <f t="shared" ca="1" si="245"/>
        <v>#VALUE!</v>
      </c>
      <c r="BB165" s="508" t="e">
        <f t="shared" ca="1" si="246"/>
        <v>#VALUE!</v>
      </c>
      <c r="BD165" s="512">
        <v>4</v>
      </c>
      <c r="BE165" s="516" t="s">
        <v>2265</v>
      </c>
      <c r="BF165" s="529" t="s">
        <v>2452</v>
      </c>
      <c r="BG165" s="508" t="str">
        <f t="shared" ca="1" si="194"/>
        <v>T2部件</v>
      </c>
      <c r="BH165" s="565">
        <v>1.5</v>
      </c>
      <c r="BI165" s="615">
        <v>8.9999999999999993E-3</v>
      </c>
      <c r="BJ165" s="170" t="e">
        <f t="shared" ca="1" si="219"/>
        <v>#VALUE!</v>
      </c>
      <c r="BK165" s="508" t="e">
        <f t="shared" ca="1" si="220"/>
        <v>#VALUE!</v>
      </c>
      <c r="BM165" s="512">
        <v>5</v>
      </c>
      <c r="BN165" s="527" t="s">
        <v>617</v>
      </c>
      <c r="BO165" s="525" t="s">
        <v>1211</v>
      </c>
      <c r="BP165" s="508">
        <f t="shared" ca="1" si="230"/>
        <v>78.2</v>
      </c>
      <c r="BQ165" s="508">
        <v>8.5</v>
      </c>
      <c r="BR165" s="523">
        <f>宝箱设定!$P131</f>
        <v>2.9600000000000001E-2</v>
      </c>
      <c r="BS165" s="170">
        <f t="shared" ca="1" si="231"/>
        <v>1.469535128629457E-2</v>
      </c>
      <c r="BT165" s="508">
        <f t="shared" ca="1" si="232"/>
        <v>147</v>
      </c>
      <c r="BV165" s="293">
        <v>5</v>
      </c>
      <c r="BW165" s="527" t="s">
        <v>2259</v>
      </c>
      <c r="BX165" s="530" t="s">
        <v>2200</v>
      </c>
      <c r="BY165" s="523" t="str">
        <f t="shared" ca="1" si="216"/>
        <v>T2部件</v>
      </c>
      <c r="BZ165" s="662">
        <v>1.5</v>
      </c>
      <c r="CA165" s="632">
        <v>3.4000000000000002E-2</v>
      </c>
      <c r="CB165" s="170" t="e">
        <f t="shared" ca="1" si="217"/>
        <v>#VALUE!</v>
      </c>
      <c r="CC165" s="290" t="e">
        <f t="shared" ca="1" si="218"/>
        <v>#VALUE!</v>
      </c>
      <c r="CE165" s="512">
        <v>9</v>
      </c>
      <c r="CF165" s="527" t="s">
        <v>718</v>
      </c>
      <c r="CG165" s="525" t="s">
        <v>1211</v>
      </c>
      <c r="CH165" s="523">
        <f t="shared" ca="1" si="223"/>
        <v>63</v>
      </c>
      <c r="CI165" s="523">
        <v>1</v>
      </c>
      <c r="CJ165" s="571">
        <v>0.06</v>
      </c>
      <c r="CK165" s="170">
        <f t="shared" ca="1" si="224"/>
        <v>4.7619047619047616E-2</v>
      </c>
      <c r="CL165" s="508">
        <f t="shared" ca="1" si="225"/>
        <v>476</v>
      </c>
    </row>
    <row r="166" spans="2:99" x14ac:dyDescent="0.35">
      <c r="B166" s="273">
        <v>5</v>
      </c>
      <c r="C166" s="260" t="s">
        <v>627</v>
      </c>
      <c r="D166" s="273" t="s">
        <v>1235</v>
      </c>
      <c r="E166" s="508">
        <f t="shared" ca="1" si="236"/>
        <v>60</v>
      </c>
      <c r="F166" s="379">
        <v>2</v>
      </c>
      <c r="G166" s="508">
        <f>宝箱设定!$X114</f>
        <v>5.8400000000000001E-2</v>
      </c>
      <c r="H166" s="170">
        <f t="shared" ca="1" si="237"/>
        <v>2.8591666666666668E-2</v>
      </c>
      <c r="I166" s="256">
        <f t="shared" ca="1" si="238"/>
        <v>286</v>
      </c>
      <c r="K166" s="512">
        <v>5</v>
      </c>
      <c r="L166" s="516" t="s">
        <v>627</v>
      </c>
      <c r="M166" s="512" t="s">
        <v>1211</v>
      </c>
      <c r="N166" s="508">
        <f t="shared" ca="1" si="239"/>
        <v>60</v>
      </c>
      <c r="O166" s="565">
        <v>1</v>
      </c>
      <c r="P166" s="508">
        <f>宝箱设定!$X114</f>
        <v>5.8400000000000001E-2</v>
      </c>
      <c r="Q166" s="170">
        <f t="shared" ca="1" si="240"/>
        <v>4.5746666666666672E-2</v>
      </c>
      <c r="R166" s="279">
        <f t="shared" ca="1" si="241"/>
        <v>457</v>
      </c>
      <c r="T166" s="512">
        <v>5</v>
      </c>
      <c r="U166" s="516" t="s">
        <v>627</v>
      </c>
      <c r="V166" s="512" t="s">
        <v>1211</v>
      </c>
      <c r="W166" s="508">
        <f t="shared" ca="1" si="242"/>
        <v>60</v>
      </c>
      <c r="X166" s="565">
        <v>1</v>
      </c>
      <c r="Y166" s="508">
        <f>宝箱设定!$X114</f>
        <v>5.8400000000000001E-2</v>
      </c>
      <c r="Z166" s="170">
        <f t="shared" ca="1" si="243"/>
        <v>4.6233333333333335E-2</v>
      </c>
      <c r="AA166" s="279">
        <f t="shared" ca="1" si="244"/>
        <v>462</v>
      </c>
      <c r="AL166" s="512">
        <v>4</v>
      </c>
      <c r="AM166" s="512" t="s">
        <v>2275</v>
      </c>
      <c r="AN166" s="529" t="s">
        <v>2452</v>
      </c>
      <c r="AO166" s="508" t="str">
        <f t="shared" ca="1" si="200"/>
        <v>T2部件</v>
      </c>
      <c r="AP166" s="565">
        <v>1</v>
      </c>
      <c r="AQ166" s="633">
        <v>1.0999999999999999E-2</v>
      </c>
      <c r="AR166" s="170" t="e">
        <f t="shared" ca="1" si="247"/>
        <v>#VALUE!</v>
      </c>
      <c r="AS166" s="279" t="e">
        <f t="shared" ca="1" si="248"/>
        <v>#VALUE!</v>
      </c>
      <c r="AU166" s="512">
        <v>4</v>
      </c>
      <c r="AV166" s="516" t="s">
        <v>2267</v>
      </c>
      <c r="AW166" s="529" t="s">
        <v>2452</v>
      </c>
      <c r="AX166" s="508" t="str">
        <f t="shared" ca="1" si="191"/>
        <v>T2部件</v>
      </c>
      <c r="AY166" s="615">
        <v>1</v>
      </c>
      <c r="AZ166" s="633">
        <v>8.0000000000000002E-3</v>
      </c>
      <c r="BA166" s="170" t="e">
        <f t="shared" ca="1" si="245"/>
        <v>#VALUE!</v>
      </c>
      <c r="BB166" s="508" t="e">
        <f t="shared" ca="1" si="246"/>
        <v>#VALUE!</v>
      </c>
      <c r="BD166" s="512">
        <v>4</v>
      </c>
      <c r="BE166" s="516" t="s">
        <v>2267</v>
      </c>
      <c r="BF166" s="529" t="s">
        <v>2452</v>
      </c>
      <c r="BG166" s="508" t="str">
        <f t="shared" ca="1" si="194"/>
        <v>T2部件</v>
      </c>
      <c r="BH166" s="565">
        <v>1.5</v>
      </c>
      <c r="BI166" s="615">
        <v>8.9999999999999993E-3</v>
      </c>
      <c r="BJ166" s="170" t="e">
        <f t="shared" ca="1" si="219"/>
        <v>#VALUE!</v>
      </c>
      <c r="BK166" s="508" t="e">
        <f t="shared" ca="1" si="220"/>
        <v>#VALUE!</v>
      </c>
      <c r="BM166" s="512">
        <v>5</v>
      </c>
      <c r="BN166" s="527" t="s">
        <v>626</v>
      </c>
      <c r="BO166" s="525" t="s">
        <v>1211</v>
      </c>
      <c r="BP166" s="508">
        <f t="shared" ca="1" si="230"/>
        <v>78.2</v>
      </c>
      <c r="BQ166" s="632">
        <v>8.5</v>
      </c>
      <c r="BR166" s="523">
        <f>宝箱设定!$P132</f>
        <v>2.9600000000000001E-2</v>
      </c>
      <c r="BS166" s="170">
        <f t="shared" ca="1" si="231"/>
        <v>1.469535128629457E-2</v>
      </c>
      <c r="BT166" s="508">
        <f t="shared" ca="1" si="232"/>
        <v>147</v>
      </c>
      <c r="BV166" s="293">
        <v>5</v>
      </c>
      <c r="BW166" s="527" t="s">
        <v>2261</v>
      </c>
      <c r="BX166" s="530" t="s">
        <v>2200</v>
      </c>
      <c r="BY166" s="523" t="str">
        <f t="shared" ca="1" si="216"/>
        <v>T2部件</v>
      </c>
      <c r="BZ166" s="662">
        <v>1.5</v>
      </c>
      <c r="CA166" s="632">
        <v>3.4000000000000002E-2</v>
      </c>
      <c r="CB166" s="170" t="e">
        <f t="shared" ca="1" si="217"/>
        <v>#VALUE!</v>
      </c>
      <c r="CC166" s="290" t="e">
        <f t="shared" ca="1" si="218"/>
        <v>#VALUE!</v>
      </c>
      <c r="CE166" s="512">
        <v>9</v>
      </c>
      <c r="CF166" s="527" t="s">
        <v>632</v>
      </c>
      <c r="CG166" s="525" t="s">
        <v>1211</v>
      </c>
      <c r="CH166" s="523">
        <f t="shared" ca="1" si="223"/>
        <v>63</v>
      </c>
      <c r="CI166" s="523">
        <v>1</v>
      </c>
      <c r="CJ166" s="571">
        <v>0.06</v>
      </c>
      <c r="CK166" s="170">
        <f t="shared" ca="1" si="224"/>
        <v>4.7619047619047616E-2</v>
      </c>
      <c r="CL166" s="508">
        <f t="shared" ca="1" si="225"/>
        <v>476</v>
      </c>
    </row>
    <row r="167" spans="2:99" x14ac:dyDescent="0.35">
      <c r="B167" s="273">
        <v>5</v>
      </c>
      <c r="C167" s="260" t="s">
        <v>628</v>
      </c>
      <c r="D167" s="273" t="s">
        <v>1235</v>
      </c>
      <c r="E167" s="508">
        <f t="shared" ca="1" si="236"/>
        <v>60</v>
      </c>
      <c r="F167" s="379">
        <v>2</v>
      </c>
      <c r="G167" s="508">
        <f>宝箱设定!$X115</f>
        <v>5.8400000000000001E-2</v>
      </c>
      <c r="H167" s="170">
        <f t="shared" ca="1" si="237"/>
        <v>2.8591666666666668E-2</v>
      </c>
      <c r="I167" s="256">
        <f t="shared" ca="1" si="238"/>
        <v>286</v>
      </c>
      <c r="K167" s="512">
        <v>5</v>
      </c>
      <c r="L167" s="516" t="s">
        <v>628</v>
      </c>
      <c r="M167" s="512" t="s">
        <v>1211</v>
      </c>
      <c r="N167" s="508">
        <f t="shared" ca="1" si="239"/>
        <v>60</v>
      </c>
      <c r="O167" s="565">
        <v>1</v>
      </c>
      <c r="P167" s="508">
        <f>宝箱设定!$X115</f>
        <v>5.8400000000000001E-2</v>
      </c>
      <c r="Q167" s="170">
        <f t="shared" ca="1" si="240"/>
        <v>4.5746666666666672E-2</v>
      </c>
      <c r="R167" s="279">
        <f t="shared" ca="1" si="241"/>
        <v>457</v>
      </c>
      <c r="T167" s="512">
        <v>5</v>
      </c>
      <c r="U167" s="516" t="s">
        <v>628</v>
      </c>
      <c r="V167" s="512" t="s">
        <v>1211</v>
      </c>
      <c r="W167" s="508">
        <f t="shared" ca="1" si="242"/>
        <v>60</v>
      </c>
      <c r="X167" s="565">
        <v>1</v>
      </c>
      <c r="Y167" s="508">
        <f>宝箱设定!$X115</f>
        <v>5.8400000000000001E-2</v>
      </c>
      <c r="Z167" s="170">
        <f t="shared" ca="1" si="243"/>
        <v>4.6233333333333335E-2</v>
      </c>
      <c r="AA167" s="279">
        <f t="shared" ca="1" si="244"/>
        <v>462</v>
      </c>
      <c r="AC167" s="512" t="s">
        <v>597</v>
      </c>
      <c r="AD167" s="512" t="s">
        <v>1225</v>
      </c>
      <c r="AE167" s="513" t="s">
        <v>917</v>
      </c>
      <c r="AF167" s="166" t="s">
        <v>920</v>
      </c>
      <c r="AG167" s="398" t="s">
        <v>967</v>
      </c>
      <c r="AH167" s="166" t="s">
        <v>854</v>
      </c>
      <c r="AI167" s="166" t="s">
        <v>926</v>
      </c>
      <c r="AJ167" s="281" t="s">
        <v>927</v>
      </c>
      <c r="AK167" s="300" t="e">
        <f ca="1">SUM(AJ168:AJ214)</f>
        <v>#VALUE!</v>
      </c>
      <c r="AL167" s="595">
        <v>4</v>
      </c>
      <c r="AM167" s="601" t="s">
        <v>2878</v>
      </c>
      <c r="AN167" s="601" t="s">
        <v>2879</v>
      </c>
      <c r="AO167" s="594">
        <f t="shared" ref="AO167:AO170" ca="1" si="249">IF(AN167="部件",VLOOKUP(AL167,INDIRECT(AN167&amp;"价值"),MATCH(LEFT(AM167,2)&amp;"部件",INDIRECT(AN167&amp;"价值标头"),0),FALSE),IF(AN167="加速道具",VLOOKUP(AM167,INDIRECT(AN167&amp;"价值"),MATCH("价格",INDIRECT(AN167&amp;"价值标头"),0),FALSE),VLOOKUP(AL167,INDIRECT(AN167&amp;"价值"),MATCH(AM167,INDIRECT(AN167&amp;"价值标头"),0),FALSE)))</f>
        <v>35</v>
      </c>
      <c r="AP167" s="594">
        <v>1</v>
      </c>
      <c r="AQ167" s="633">
        <v>8.0000000000000002E-3</v>
      </c>
      <c r="AR167" s="170">
        <f t="shared" ca="1" si="247"/>
        <v>2.2171428571428571E-2</v>
      </c>
      <c r="AS167" s="594">
        <f t="shared" ca="1" si="248"/>
        <v>222</v>
      </c>
      <c r="AU167" s="512">
        <v>4</v>
      </c>
      <c r="AV167" s="516" t="s">
        <v>2269</v>
      </c>
      <c r="AW167" s="529" t="s">
        <v>2452</v>
      </c>
      <c r="AX167" s="508" t="str">
        <f t="shared" ca="1" si="191"/>
        <v>T2部件</v>
      </c>
      <c r="AY167" s="615">
        <v>1</v>
      </c>
      <c r="AZ167" s="633">
        <v>8.0000000000000002E-3</v>
      </c>
      <c r="BA167" s="170" t="e">
        <f t="shared" ca="1" si="245"/>
        <v>#VALUE!</v>
      </c>
      <c r="BB167" s="508" t="e">
        <f t="shared" ca="1" si="246"/>
        <v>#VALUE!</v>
      </c>
      <c r="BD167" s="512">
        <v>4</v>
      </c>
      <c r="BE167" s="516" t="s">
        <v>2269</v>
      </c>
      <c r="BF167" s="529" t="s">
        <v>2452</v>
      </c>
      <c r="BG167" s="508" t="str">
        <f t="shared" ca="1" si="194"/>
        <v>T2部件</v>
      </c>
      <c r="BH167" s="565">
        <v>1.5</v>
      </c>
      <c r="BI167" s="615">
        <v>8.9999999999999993E-3</v>
      </c>
      <c r="BJ167" s="170" t="e">
        <f t="shared" ca="1" si="219"/>
        <v>#VALUE!</v>
      </c>
      <c r="BK167" s="508" t="e">
        <f t="shared" ca="1" si="220"/>
        <v>#VALUE!</v>
      </c>
      <c r="BM167" s="512">
        <v>5</v>
      </c>
      <c r="BN167" s="527" t="s">
        <v>631</v>
      </c>
      <c r="BO167" s="525" t="s">
        <v>1211</v>
      </c>
      <c r="BP167" s="508">
        <f t="shared" ca="1" si="230"/>
        <v>78.2</v>
      </c>
      <c r="BQ167" s="632">
        <v>8.5</v>
      </c>
      <c r="BR167" s="523">
        <f>宝箱设定!$P133</f>
        <v>2.9600000000000001E-2</v>
      </c>
      <c r="BS167" s="170">
        <f t="shared" ca="1" si="231"/>
        <v>1.469535128629457E-2</v>
      </c>
      <c r="BT167" s="508">
        <f t="shared" ca="1" si="232"/>
        <v>147</v>
      </c>
      <c r="BV167" s="293">
        <v>5</v>
      </c>
      <c r="BW167" s="527" t="s">
        <v>2263</v>
      </c>
      <c r="BX167" s="530" t="s">
        <v>2200</v>
      </c>
      <c r="BY167" s="523" t="str">
        <f t="shared" ca="1" si="216"/>
        <v>T2部件</v>
      </c>
      <c r="BZ167" s="662">
        <v>1.5</v>
      </c>
      <c r="CA167" s="632">
        <v>3.4000000000000002E-2</v>
      </c>
      <c r="CB167" s="170" t="e">
        <f t="shared" ca="1" si="217"/>
        <v>#VALUE!</v>
      </c>
      <c r="CC167" s="290" t="e">
        <f t="shared" ca="1" si="218"/>
        <v>#VALUE!</v>
      </c>
      <c r="CE167" s="512">
        <v>9</v>
      </c>
      <c r="CF167" s="527" t="s">
        <v>620</v>
      </c>
      <c r="CG167" s="525" t="s">
        <v>1211</v>
      </c>
      <c r="CH167" s="523">
        <f t="shared" ca="1" si="223"/>
        <v>96</v>
      </c>
      <c r="CI167" s="523">
        <v>1</v>
      </c>
      <c r="CJ167" s="523">
        <v>5.5E-2</v>
      </c>
      <c r="CK167" s="170">
        <f t="shared" ca="1" si="224"/>
        <v>2.8645833333333332E-2</v>
      </c>
      <c r="CL167" s="508">
        <f t="shared" ca="1" si="225"/>
        <v>286</v>
      </c>
    </row>
    <row r="168" spans="2:99" x14ac:dyDescent="0.35">
      <c r="B168" s="273">
        <v>5</v>
      </c>
      <c r="C168" s="260" t="s">
        <v>619</v>
      </c>
      <c r="D168" s="273" t="s">
        <v>1235</v>
      </c>
      <c r="E168" s="508">
        <f t="shared" ca="1" si="236"/>
        <v>75</v>
      </c>
      <c r="F168" s="359">
        <v>2</v>
      </c>
      <c r="G168" s="508">
        <f>宝箱设定!$X116</f>
        <v>3.6499999999999998E-2</v>
      </c>
      <c r="H168" s="170">
        <f t="shared" ca="1" si="237"/>
        <v>1.4295833333333331E-2</v>
      </c>
      <c r="I168" s="256">
        <f t="shared" ca="1" si="238"/>
        <v>143</v>
      </c>
      <c r="K168" s="512">
        <v>5</v>
      </c>
      <c r="L168" s="516" t="s">
        <v>619</v>
      </c>
      <c r="M168" s="512" t="s">
        <v>1211</v>
      </c>
      <c r="N168" s="508">
        <f t="shared" ca="1" si="239"/>
        <v>75</v>
      </c>
      <c r="O168" s="565">
        <v>1</v>
      </c>
      <c r="P168" s="508">
        <f>宝箱设定!$X116</f>
        <v>3.6499999999999998E-2</v>
      </c>
      <c r="Q168" s="170">
        <f t="shared" ca="1" si="240"/>
        <v>2.2873333333333332E-2</v>
      </c>
      <c r="R168" s="279">
        <f t="shared" ca="1" si="241"/>
        <v>229</v>
      </c>
      <c r="T168" s="512">
        <v>5</v>
      </c>
      <c r="U168" s="516" t="s">
        <v>619</v>
      </c>
      <c r="V168" s="512" t="s">
        <v>1211</v>
      </c>
      <c r="W168" s="508">
        <f t="shared" ca="1" si="242"/>
        <v>75</v>
      </c>
      <c r="X168" s="565">
        <v>1</v>
      </c>
      <c r="Y168" s="508">
        <f>宝箱设定!$X116</f>
        <v>3.6499999999999998E-2</v>
      </c>
      <c r="Z168" s="170">
        <f t="shared" ca="1" si="243"/>
        <v>2.3116666666666664E-2</v>
      </c>
      <c r="AA168" s="279">
        <f t="shared" ca="1" si="244"/>
        <v>231</v>
      </c>
      <c r="AC168" s="512">
        <v>5</v>
      </c>
      <c r="AD168" s="516" t="s">
        <v>617</v>
      </c>
      <c r="AE168" s="512" t="s">
        <v>1211</v>
      </c>
      <c r="AF168" s="508">
        <f t="shared" ref="AF168:AF214" ca="1" si="250">IF(AE168="部件",VLOOKUP(AC168,INDIRECT(AE168&amp;"价值"),MATCH(LEFT(AD168,2)&amp;"部件",INDIRECT(AE168&amp;"价值标头"),0),FALSE),IF(AE168="加速道具",VLOOKUP(AD168,INDIRECT(AE168&amp;"价值"),MATCH("价格",INDIRECT(AE168&amp;"价值标头"),0),FALSE),VLOOKUP(AC168,INDIRECT(AE168&amp;"价值"),MATCH(AD168,INDIRECT(AE168&amp;"价值标头"),0),FALSE)))</f>
        <v>78.2</v>
      </c>
      <c r="AG168" s="394">
        <v>2</v>
      </c>
      <c r="AH168" s="508">
        <f>宝箱设定!$X110</f>
        <v>8.7599999999999997E-2</v>
      </c>
      <c r="AI168" s="170">
        <f t="shared" ref="AI168:AI179" ca="1" si="251">AH168*AD$4/AF168/AG168</f>
        <v>3.5846547314578002E-2</v>
      </c>
      <c r="AJ168" s="279">
        <f t="shared" ref="AJ168:AJ179" ca="1" si="252">ROUND(AI168*10000,0)</f>
        <v>358</v>
      </c>
      <c r="AL168" s="595">
        <v>4</v>
      </c>
      <c r="AM168" s="601" t="s">
        <v>2880</v>
      </c>
      <c r="AN168" s="601" t="s">
        <v>2879</v>
      </c>
      <c r="AO168" s="594">
        <f t="shared" ca="1" si="249"/>
        <v>60</v>
      </c>
      <c r="AP168" s="594">
        <v>1</v>
      </c>
      <c r="AQ168" s="633">
        <v>8.9999999999999993E-3</v>
      </c>
      <c r="AR168" s="170">
        <f t="shared" ca="1" si="247"/>
        <v>1.4549999999999999E-2</v>
      </c>
      <c r="AS168" s="594">
        <f t="shared" ca="1" si="248"/>
        <v>146</v>
      </c>
      <c r="AU168" s="512">
        <v>4</v>
      </c>
      <c r="AV168" s="516" t="s">
        <v>2271</v>
      </c>
      <c r="AW168" s="529" t="s">
        <v>2452</v>
      </c>
      <c r="AX168" s="508" t="str">
        <f t="shared" ca="1" si="191"/>
        <v>T2部件</v>
      </c>
      <c r="AY168" s="615">
        <v>1</v>
      </c>
      <c r="AZ168" s="633">
        <v>8.0000000000000002E-3</v>
      </c>
      <c r="BA168" s="170" t="e">
        <f t="shared" ca="1" si="245"/>
        <v>#VALUE!</v>
      </c>
      <c r="BB168" s="508" t="e">
        <f t="shared" ca="1" si="246"/>
        <v>#VALUE!</v>
      </c>
      <c r="BD168" s="512">
        <v>4</v>
      </c>
      <c r="BE168" s="516" t="s">
        <v>2271</v>
      </c>
      <c r="BF168" s="529" t="s">
        <v>2452</v>
      </c>
      <c r="BG168" s="508" t="str">
        <f t="shared" ca="1" si="194"/>
        <v>T2部件</v>
      </c>
      <c r="BH168" s="565">
        <v>1.5</v>
      </c>
      <c r="BI168" s="615">
        <v>8.9999999999999993E-3</v>
      </c>
      <c r="BJ168" s="170" t="e">
        <f t="shared" ca="1" si="219"/>
        <v>#VALUE!</v>
      </c>
      <c r="BK168" s="508" t="e">
        <f t="shared" ca="1" si="220"/>
        <v>#VALUE!</v>
      </c>
      <c r="BM168" s="512">
        <v>5</v>
      </c>
      <c r="BN168" s="527" t="s">
        <v>618</v>
      </c>
      <c r="BO168" s="525" t="s">
        <v>1211</v>
      </c>
      <c r="BP168" s="508">
        <f t="shared" ca="1" si="230"/>
        <v>60</v>
      </c>
      <c r="BQ168" s="508">
        <v>5.5</v>
      </c>
      <c r="BR168" s="523">
        <f>宝箱设定!$P134</f>
        <v>2.2199999999999998E-2</v>
      </c>
      <c r="BS168" s="170">
        <f t="shared" ca="1" si="231"/>
        <v>2.2199999999999994E-2</v>
      </c>
      <c r="BT168" s="508">
        <f t="shared" ca="1" si="232"/>
        <v>222</v>
      </c>
      <c r="BV168" s="293">
        <v>5</v>
      </c>
      <c r="BW168" s="527" t="s">
        <v>2265</v>
      </c>
      <c r="BX168" s="530" t="s">
        <v>2200</v>
      </c>
      <c r="BY168" s="523" t="str">
        <f t="shared" ca="1" si="216"/>
        <v>T2部件</v>
      </c>
      <c r="BZ168" s="662">
        <v>1.5</v>
      </c>
      <c r="CA168" s="632">
        <v>3.4000000000000002E-2</v>
      </c>
      <c r="CB168" s="170" t="e">
        <f t="shared" ca="1" si="217"/>
        <v>#VALUE!</v>
      </c>
      <c r="CC168" s="290" t="e">
        <f t="shared" ca="1" si="218"/>
        <v>#VALUE!</v>
      </c>
      <c r="CE168" s="512">
        <v>9</v>
      </c>
      <c r="CF168" s="527" t="s">
        <v>719</v>
      </c>
      <c r="CG168" s="525" t="s">
        <v>1211</v>
      </c>
      <c r="CH168" s="523">
        <f t="shared" ca="1" si="223"/>
        <v>96</v>
      </c>
      <c r="CI168" s="523">
        <v>1</v>
      </c>
      <c r="CJ168" s="571">
        <v>5.5E-2</v>
      </c>
      <c r="CK168" s="170">
        <f t="shared" ca="1" si="224"/>
        <v>2.8645833333333332E-2</v>
      </c>
      <c r="CL168" s="508">
        <f t="shared" ca="1" si="225"/>
        <v>286</v>
      </c>
    </row>
    <row r="169" spans="2:99" x14ac:dyDescent="0.35">
      <c r="B169" s="273">
        <v>5</v>
      </c>
      <c r="C169" s="260" t="s">
        <v>718</v>
      </c>
      <c r="D169" s="273" t="s">
        <v>1235</v>
      </c>
      <c r="E169" s="508">
        <f t="shared" ca="1" si="236"/>
        <v>75</v>
      </c>
      <c r="F169" s="359">
        <v>2</v>
      </c>
      <c r="G169" s="508">
        <f>宝箱设定!$X117</f>
        <v>3.6499999999999998E-2</v>
      </c>
      <c r="H169" s="170">
        <f t="shared" ca="1" si="237"/>
        <v>1.4295833333333331E-2</v>
      </c>
      <c r="I169" s="256">
        <f t="shared" ca="1" si="238"/>
        <v>143</v>
      </c>
      <c r="K169" s="512">
        <v>5</v>
      </c>
      <c r="L169" s="516" t="s">
        <v>718</v>
      </c>
      <c r="M169" s="512" t="s">
        <v>1211</v>
      </c>
      <c r="N169" s="508">
        <f t="shared" ca="1" si="239"/>
        <v>75</v>
      </c>
      <c r="O169" s="565">
        <v>1</v>
      </c>
      <c r="P169" s="508">
        <f>宝箱设定!$X117</f>
        <v>3.6499999999999998E-2</v>
      </c>
      <c r="Q169" s="170">
        <f t="shared" ca="1" si="240"/>
        <v>2.2873333333333332E-2</v>
      </c>
      <c r="R169" s="279">
        <f t="shared" ca="1" si="241"/>
        <v>229</v>
      </c>
      <c r="T169" s="512">
        <v>5</v>
      </c>
      <c r="U169" s="516" t="s">
        <v>718</v>
      </c>
      <c r="V169" s="512" t="s">
        <v>1211</v>
      </c>
      <c r="W169" s="508">
        <f t="shared" ca="1" si="242"/>
        <v>75</v>
      </c>
      <c r="X169" s="565">
        <v>1</v>
      </c>
      <c r="Y169" s="508">
        <f>宝箱设定!$X117</f>
        <v>3.6499999999999998E-2</v>
      </c>
      <c r="Z169" s="170">
        <f t="shared" ca="1" si="243"/>
        <v>2.3116666666666664E-2</v>
      </c>
      <c r="AA169" s="279">
        <f t="shared" ca="1" si="244"/>
        <v>231</v>
      </c>
      <c r="AC169" s="512">
        <v>5</v>
      </c>
      <c r="AD169" s="516" t="s">
        <v>626</v>
      </c>
      <c r="AE169" s="512" t="s">
        <v>1211</v>
      </c>
      <c r="AF169" s="508">
        <f t="shared" ca="1" si="250"/>
        <v>78.2</v>
      </c>
      <c r="AG169" s="594">
        <v>2</v>
      </c>
      <c r="AH169" s="508">
        <f>宝箱设定!$X111</f>
        <v>8.7599999999999997E-2</v>
      </c>
      <c r="AI169" s="170">
        <f t="shared" ca="1" si="251"/>
        <v>3.5846547314578002E-2</v>
      </c>
      <c r="AJ169" s="279">
        <f t="shared" ca="1" si="252"/>
        <v>358</v>
      </c>
      <c r="AL169" s="595">
        <v>4</v>
      </c>
      <c r="AM169" s="601" t="s">
        <v>2881</v>
      </c>
      <c r="AN169" s="601" t="s">
        <v>2879</v>
      </c>
      <c r="AO169" s="594">
        <f t="shared" ca="1" si="249"/>
        <v>70</v>
      </c>
      <c r="AP169" s="594">
        <v>1</v>
      </c>
      <c r="AQ169" s="633">
        <v>0.01</v>
      </c>
      <c r="AR169" s="170">
        <f t="shared" ca="1" si="247"/>
        <v>1.3857142857142856E-2</v>
      </c>
      <c r="AS169" s="594">
        <f t="shared" ca="1" si="248"/>
        <v>139</v>
      </c>
      <c r="AU169" s="512">
        <v>4</v>
      </c>
      <c r="AV169" s="512" t="s">
        <v>2273</v>
      </c>
      <c r="AW169" s="529" t="s">
        <v>2452</v>
      </c>
      <c r="AX169" s="508" t="str">
        <f t="shared" ca="1" si="191"/>
        <v>T2部件</v>
      </c>
      <c r="AY169" s="615">
        <v>1</v>
      </c>
      <c r="AZ169" s="633">
        <v>8.0000000000000002E-3</v>
      </c>
      <c r="BA169" s="170" t="e">
        <f t="shared" ca="1" si="245"/>
        <v>#VALUE!</v>
      </c>
      <c r="BB169" s="508" t="e">
        <f t="shared" ca="1" si="246"/>
        <v>#VALUE!</v>
      </c>
      <c r="BD169" s="512">
        <v>4</v>
      </c>
      <c r="BE169" s="512" t="s">
        <v>2273</v>
      </c>
      <c r="BF169" s="529" t="s">
        <v>2452</v>
      </c>
      <c r="BG169" s="508" t="str">
        <f t="shared" ca="1" si="194"/>
        <v>T2部件</v>
      </c>
      <c r="BH169" s="565">
        <v>1.5</v>
      </c>
      <c r="BI169" s="615">
        <v>8.9999999999999993E-3</v>
      </c>
      <c r="BJ169" s="170" t="e">
        <f t="shared" ca="1" si="219"/>
        <v>#VALUE!</v>
      </c>
      <c r="BK169" s="508" t="e">
        <f t="shared" ca="1" si="220"/>
        <v>#VALUE!</v>
      </c>
      <c r="BM169" s="512">
        <v>5</v>
      </c>
      <c r="BN169" s="527" t="s">
        <v>627</v>
      </c>
      <c r="BO169" s="525" t="s">
        <v>1211</v>
      </c>
      <c r="BP169" s="508">
        <f t="shared" ca="1" si="230"/>
        <v>60</v>
      </c>
      <c r="BQ169" s="632">
        <v>5.5</v>
      </c>
      <c r="BR169" s="523">
        <f>宝箱设定!$P135</f>
        <v>2.2199999999999998E-2</v>
      </c>
      <c r="BS169" s="170">
        <f t="shared" ca="1" si="231"/>
        <v>2.2199999999999994E-2</v>
      </c>
      <c r="BT169" s="508">
        <f t="shared" ca="1" si="232"/>
        <v>222</v>
      </c>
      <c r="BV169" s="293">
        <v>5</v>
      </c>
      <c r="BW169" s="527" t="s">
        <v>2267</v>
      </c>
      <c r="BX169" s="530" t="s">
        <v>2200</v>
      </c>
      <c r="BY169" s="523" t="str">
        <f t="shared" ca="1" si="216"/>
        <v>T2部件</v>
      </c>
      <c r="BZ169" s="662">
        <v>1.5</v>
      </c>
      <c r="CA169" s="632">
        <v>3.4000000000000002E-2</v>
      </c>
      <c r="CB169" s="170" t="e">
        <f t="shared" ca="1" si="217"/>
        <v>#VALUE!</v>
      </c>
      <c r="CC169" s="290" t="e">
        <f t="shared" ca="1" si="218"/>
        <v>#VALUE!</v>
      </c>
      <c r="CE169" s="512">
        <v>9</v>
      </c>
      <c r="CF169" s="527" t="s">
        <v>635</v>
      </c>
      <c r="CG169" s="525" t="s">
        <v>1211</v>
      </c>
      <c r="CH169" s="523">
        <f t="shared" ca="1" si="223"/>
        <v>96</v>
      </c>
      <c r="CI169" s="523">
        <v>1</v>
      </c>
      <c r="CJ169" s="571">
        <v>5.5E-2</v>
      </c>
      <c r="CK169" s="170">
        <f t="shared" ca="1" si="224"/>
        <v>2.8645833333333332E-2</v>
      </c>
      <c r="CL169" s="508">
        <f t="shared" ca="1" si="225"/>
        <v>286</v>
      </c>
    </row>
    <row r="170" spans="2:99" x14ac:dyDescent="0.35">
      <c r="B170" s="273">
        <v>5</v>
      </c>
      <c r="C170" s="260" t="s">
        <v>632</v>
      </c>
      <c r="D170" s="273" t="s">
        <v>1235</v>
      </c>
      <c r="E170" s="508">
        <f t="shared" ca="1" si="236"/>
        <v>75</v>
      </c>
      <c r="F170" s="359">
        <v>2</v>
      </c>
      <c r="G170" s="508">
        <f>宝箱设定!$X118</f>
        <v>3.6499999999999998E-2</v>
      </c>
      <c r="H170" s="170">
        <f t="shared" ca="1" si="237"/>
        <v>1.4295833333333331E-2</v>
      </c>
      <c r="I170" s="256">
        <f t="shared" ca="1" si="238"/>
        <v>143</v>
      </c>
      <c r="K170" s="512">
        <v>5</v>
      </c>
      <c r="L170" s="516" t="s">
        <v>632</v>
      </c>
      <c r="M170" s="512" t="s">
        <v>1211</v>
      </c>
      <c r="N170" s="508">
        <f t="shared" ca="1" si="239"/>
        <v>75</v>
      </c>
      <c r="O170" s="565">
        <v>1</v>
      </c>
      <c r="P170" s="508">
        <f>宝箱设定!$X118</f>
        <v>3.6499999999999998E-2</v>
      </c>
      <c r="Q170" s="170">
        <f t="shared" ca="1" si="240"/>
        <v>2.2873333333333332E-2</v>
      </c>
      <c r="R170" s="279">
        <f t="shared" ca="1" si="241"/>
        <v>229</v>
      </c>
      <c r="T170" s="512">
        <v>5</v>
      </c>
      <c r="U170" s="516" t="s">
        <v>632</v>
      </c>
      <c r="V170" s="512" t="s">
        <v>1211</v>
      </c>
      <c r="W170" s="508">
        <f t="shared" ca="1" si="242"/>
        <v>75</v>
      </c>
      <c r="X170" s="565">
        <v>1</v>
      </c>
      <c r="Y170" s="508">
        <f>宝箱设定!$X118</f>
        <v>3.6499999999999998E-2</v>
      </c>
      <c r="Z170" s="170">
        <f t="shared" ca="1" si="243"/>
        <v>2.3116666666666664E-2</v>
      </c>
      <c r="AA170" s="279">
        <f t="shared" ca="1" si="244"/>
        <v>231</v>
      </c>
      <c r="AC170" s="512">
        <v>5</v>
      </c>
      <c r="AD170" s="516" t="s">
        <v>631</v>
      </c>
      <c r="AE170" s="512" t="s">
        <v>1211</v>
      </c>
      <c r="AF170" s="508">
        <f t="shared" ca="1" si="250"/>
        <v>78.2</v>
      </c>
      <c r="AG170" s="594">
        <v>2</v>
      </c>
      <c r="AH170" s="508">
        <f>宝箱设定!$X112</f>
        <v>8.7599999999999997E-2</v>
      </c>
      <c r="AI170" s="170">
        <f t="shared" ca="1" si="251"/>
        <v>3.5846547314578002E-2</v>
      </c>
      <c r="AJ170" s="279">
        <f t="shared" ca="1" si="252"/>
        <v>358</v>
      </c>
      <c r="AL170" s="595">
        <v>4</v>
      </c>
      <c r="AM170" s="601" t="s">
        <v>2882</v>
      </c>
      <c r="AN170" s="601" t="s">
        <v>2879</v>
      </c>
      <c r="AO170" s="594">
        <f t="shared" ca="1" si="249"/>
        <v>125</v>
      </c>
      <c r="AP170" s="594">
        <v>1</v>
      </c>
      <c r="AQ170" s="633">
        <v>0.01</v>
      </c>
      <c r="AR170" s="170">
        <f t="shared" ca="1" si="247"/>
        <v>7.7599999999999995E-3</v>
      </c>
      <c r="AS170" s="594">
        <f t="shared" ca="1" si="248"/>
        <v>78</v>
      </c>
      <c r="AU170" s="512">
        <v>4</v>
      </c>
      <c r="AV170" s="512" t="s">
        <v>2275</v>
      </c>
      <c r="AW170" s="529" t="s">
        <v>2452</v>
      </c>
      <c r="AX170" s="508" t="str">
        <f t="shared" ca="1" si="191"/>
        <v>T2部件</v>
      </c>
      <c r="AY170" s="615">
        <v>1</v>
      </c>
      <c r="AZ170" s="633">
        <v>8.0000000000000002E-3</v>
      </c>
      <c r="BA170" s="170" t="e">
        <f t="shared" ca="1" si="245"/>
        <v>#VALUE!</v>
      </c>
      <c r="BB170" s="508" t="e">
        <f t="shared" ca="1" si="246"/>
        <v>#VALUE!</v>
      </c>
      <c r="BD170" s="512">
        <v>4</v>
      </c>
      <c r="BE170" s="512" t="s">
        <v>2275</v>
      </c>
      <c r="BF170" s="529" t="s">
        <v>2452</v>
      </c>
      <c r="BG170" s="508" t="str">
        <f t="shared" ca="1" si="194"/>
        <v>T2部件</v>
      </c>
      <c r="BH170" s="565">
        <v>1.5</v>
      </c>
      <c r="BI170" s="615">
        <v>8.9999999999999993E-3</v>
      </c>
      <c r="BJ170" s="170" t="e">
        <f t="shared" ca="1" si="219"/>
        <v>#VALUE!</v>
      </c>
      <c r="BK170" s="508" t="e">
        <f t="shared" ca="1" si="220"/>
        <v>#VALUE!</v>
      </c>
      <c r="BM170" s="512">
        <v>5</v>
      </c>
      <c r="BN170" s="527" t="s">
        <v>628</v>
      </c>
      <c r="BO170" s="525" t="s">
        <v>1211</v>
      </c>
      <c r="BP170" s="508">
        <f t="shared" ca="1" si="230"/>
        <v>60</v>
      </c>
      <c r="BQ170" s="632">
        <v>5.5</v>
      </c>
      <c r="BR170" s="523">
        <f>宝箱设定!$P136</f>
        <v>2.2199999999999998E-2</v>
      </c>
      <c r="BS170" s="170">
        <f t="shared" ca="1" si="231"/>
        <v>2.2199999999999994E-2</v>
      </c>
      <c r="BT170" s="508">
        <f t="shared" ca="1" si="232"/>
        <v>222</v>
      </c>
      <c r="BV170" s="293">
        <v>5</v>
      </c>
      <c r="BW170" s="527" t="s">
        <v>2269</v>
      </c>
      <c r="BX170" s="530" t="s">
        <v>2200</v>
      </c>
      <c r="BY170" s="523" t="str">
        <f t="shared" ca="1" si="216"/>
        <v>T2部件</v>
      </c>
      <c r="BZ170" s="662">
        <v>1.5</v>
      </c>
      <c r="CA170" s="632">
        <v>3.4000000000000002E-2</v>
      </c>
      <c r="CB170" s="170" t="e">
        <f t="shared" ca="1" si="217"/>
        <v>#VALUE!</v>
      </c>
      <c r="CC170" s="290" t="e">
        <f t="shared" ca="1" si="218"/>
        <v>#VALUE!</v>
      </c>
      <c r="CE170" s="512">
        <v>9</v>
      </c>
      <c r="CF170" s="527" t="s">
        <v>717</v>
      </c>
      <c r="CG170" s="525" t="s">
        <v>1211</v>
      </c>
      <c r="CH170" s="523">
        <f t="shared" ca="1" si="223"/>
        <v>120</v>
      </c>
      <c r="CI170" s="523">
        <v>1</v>
      </c>
      <c r="CJ170" s="571">
        <v>7.0000000000000007E-2</v>
      </c>
      <c r="CK170" s="170">
        <f t="shared" ca="1" si="224"/>
        <v>2.9166666666666671E-2</v>
      </c>
      <c r="CL170" s="508">
        <f t="shared" ca="1" si="225"/>
        <v>292</v>
      </c>
    </row>
    <row r="171" spans="2:99" x14ac:dyDescent="0.35">
      <c r="B171" s="273">
        <v>5</v>
      </c>
      <c r="C171" s="516" t="s">
        <v>2239</v>
      </c>
      <c r="D171" s="529" t="s">
        <v>2452</v>
      </c>
      <c r="E171" s="508">
        <f t="shared" ca="1" si="236"/>
        <v>10.8</v>
      </c>
      <c r="F171" s="256">
        <v>2.5</v>
      </c>
      <c r="G171" s="594">
        <v>1.2500000000000001E-2</v>
      </c>
      <c r="H171" s="170">
        <f t="shared" ca="1" si="237"/>
        <v>2.719907407407407E-2</v>
      </c>
      <c r="I171" s="256">
        <f t="shared" ca="1" si="238"/>
        <v>272</v>
      </c>
      <c r="K171" s="512">
        <v>5</v>
      </c>
      <c r="L171" s="516" t="s">
        <v>2239</v>
      </c>
      <c r="M171" s="529" t="s">
        <v>2452</v>
      </c>
      <c r="N171" s="508">
        <f t="shared" ca="1" si="239"/>
        <v>10.8</v>
      </c>
      <c r="O171" s="565">
        <v>1</v>
      </c>
      <c r="P171" s="594">
        <v>1.4999999999999999E-2</v>
      </c>
      <c r="Q171" s="170">
        <f t="shared" ca="1" si="240"/>
        <v>6.5277777777777768E-2</v>
      </c>
      <c r="R171" s="279">
        <f t="shared" ca="1" si="241"/>
        <v>653</v>
      </c>
      <c r="T171" s="512">
        <v>5</v>
      </c>
      <c r="U171" s="516" t="s">
        <v>2239</v>
      </c>
      <c r="V171" s="529" t="s">
        <v>2452</v>
      </c>
      <c r="W171" s="508">
        <f t="shared" ca="1" si="242"/>
        <v>10.8</v>
      </c>
      <c r="X171" s="565">
        <v>1</v>
      </c>
      <c r="Y171" s="633">
        <v>1.4999999999999999E-2</v>
      </c>
      <c r="Z171" s="170">
        <f t="shared" ca="1" si="243"/>
        <v>6.5972222222222224E-2</v>
      </c>
      <c r="AA171" s="279">
        <f t="shared" ca="1" si="244"/>
        <v>660</v>
      </c>
      <c r="AC171" s="512">
        <v>5</v>
      </c>
      <c r="AD171" s="516" t="s">
        <v>618</v>
      </c>
      <c r="AE171" s="512" t="s">
        <v>1211</v>
      </c>
      <c r="AF171" s="508">
        <f t="shared" ca="1" si="250"/>
        <v>60</v>
      </c>
      <c r="AG171" s="565">
        <v>1.5</v>
      </c>
      <c r="AH171" s="508">
        <f>宝箱设定!$X113</f>
        <v>5.8400000000000001E-2</v>
      </c>
      <c r="AI171" s="170">
        <f t="shared" ca="1" si="251"/>
        <v>4.1528888888888886E-2</v>
      </c>
      <c r="AJ171" s="279">
        <f t="shared" ca="1" si="252"/>
        <v>415</v>
      </c>
      <c r="AL171" s="276"/>
      <c r="AM171" s="604"/>
      <c r="AN171" s="604"/>
      <c r="AO171" s="157"/>
      <c r="AP171" s="157"/>
      <c r="AQ171" s="157"/>
      <c r="AR171" s="538"/>
      <c r="AS171" s="157"/>
      <c r="BM171" s="512">
        <v>5</v>
      </c>
      <c r="BN171" s="527" t="s">
        <v>619</v>
      </c>
      <c r="BO171" s="525" t="s">
        <v>1211</v>
      </c>
      <c r="BP171" s="508">
        <f t="shared" ca="1" si="230"/>
        <v>75</v>
      </c>
      <c r="BQ171" s="508">
        <v>3.5</v>
      </c>
      <c r="BR171" s="523">
        <f>宝箱设定!$P137</f>
        <v>2.2199999999999998E-2</v>
      </c>
      <c r="BS171" s="170">
        <f t="shared" ca="1" si="231"/>
        <v>2.7908571428571425E-2</v>
      </c>
      <c r="BT171" s="508">
        <f t="shared" ca="1" si="232"/>
        <v>279</v>
      </c>
      <c r="BV171" s="396">
        <v>5</v>
      </c>
      <c r="BW171" s="527" t="s">
        <v>2271</v>
      </c>
      <c r="BX171" s="530" t="s">
        <v>2200</v>
      </c>
      <c r="BY171" s="523" t="str">
        <f t="shared" ca="1" si="216"/>
        <v>T2部件</v>
      </c>
      <c r="BZ171" s="662">
        <v>1.5</v>
      </c>
      <c r="CA171" s="632">
        <v>3.4000000000000002E-2</v>
      </c>
      <c r="CB171" s="170" t="e">
        <f ca="1">CA171*BW$4/BY171/BZ171</f>
        <v>#VALUE!</v>
      </c>
      <c r="CC171" s="394" t="e">
        <f ca="1">ROUND(CB171*10000,0)</f>
        <v>#VALUE!</v>
      </c>
      <c r="CE171" s="512">
        <v>9</v>
      </c>
      <c r="CF171" s="527" t="s">
        <v>720</v>
      </c>
      <c r="CG171" s="525" t="s">
        <v>1211</v>
      </c>
      <c r="CH171" s="523">
        <f t="shared" ca="1" si="223"/>
        <v>120</v>
      </c>
      <c r="CI171" s="523">
        <v>1</v>
      </c>
      <c r="CJ171" s="571">
        <v>7.0000000000000007E-2</v>
      </c>
      <c r="CK171" s="170">
        <f t="shared" ca="1" si="224"/>
        <v>2.9166666666666671E-2</v>
      </c>
      <c r="CL171" s="508">
        <f t="shared" ca="1" si="225"/>
        <v>292</v>
      </c>
    </row>
    <row r="172" spans="2:99" x14ac:dyDescent="0.35">
      <c r="B172" s="273">
        <v>5</v>
      </c>
      <c r="C172" s="516" t="s">
        <v>2242</v>
      </c>
      <c r="D172" s="529" t="s">
        <v>2452</v>
      </c>
      <c r="E172" s="508">
        <f t="shared" ca="1" si="236"/>
        <v>10.8</v>
      </c>
      <c r="F172" s="625">
        <v>2.5</v>
      </c>
      <c r="G172" s="565">
        <v>1.2500000000000001E-2</v>
      </c>
      <c r="H172" s="170">
        <f t="shared" ca="1" si="237"/>
        <v>2.719907407407407E-2</v>
      </c>
      <c r="I172" s="256">
        <f t="shared" ca="1" si="238"/>
        <v>272</v>
      </c>
      <c r="K172" s="512">
        <v>5</v>
      </c>
      <c r="L172" s="516" t="s">
        <v>2242</v>
      </c>
      <c r="M172" s="529" t="s">
        <v>2452</v>
      </c>
      <c r="N172" s="508">
        <f t="shared" ca="1" si="239"/>
        <v>10.8</v>
      </c>
      <c r="O172" s="565">
        <v>1</v>
      </c>
      <c r="P172" s="625">
        <v>1.4999999999999999E-2</v>
      </c>
      <c r="Q172" s="170">
        <f t="shared" ca="1" si="240"/>
        <v>6.5277777777777768E-2</v>
      </c>
      <c r="R172" s="279">
        <f t="shared" ca="1" si="241"/>
        <v>653</v>
      </c>
      <c r="T172" s="512">
        <v>5</v>
      </c>
      <c r="U172" s="516" t="s">
        <v>2242</v>
      </c>
      <c r="V172" s="529" t="s">
        <v>2452</v>
      </c>
      <c r="W172" s="508">
        <f t="shared" ca="1" si="242"/>
        <v>10.8</v>
      </c>
      <c r="X172" s="565">
        <v>1</v>
      </c>
      <c r="Y172" s="633">
        <v>1.4999999999999999E-2</v>
      </c>
      <c r="Z172" s="170">
        <f t="shared" ca="1" si="243"/>
        <v>6.5972222222222224E-2</v>
      </c>
      <c r="AA172" s="279">
        <f t="shared" ca="1" si="244"/>
        <v>660</v>
      </c>
      <c r="AC172" s="512">
        <v>5</v>
      </c>
      <c r="AD172" s="516" t="s">
        <v>627</v>
      </c>
      <c r="AE172" s="512" t="s">
        <v>1211</v>
      </c>
      <c r="AF172" s="508">
        <f t="shared" ca="1" si="250"/>
        <v>60</v>
      </c>
      <c r="AG172" s="565">
        <v>1.5</v>
      </c>
      <c r="AH172" s="508">
        <f>宝箱设定!$X114</f>
        <v>5.8400000000000001E-2</v>
      </c>
      <c r="AI172" s="170">
        <f t="shared" ca="1" si="251"/>
        <v>4.1528888888888886E-2</v>
      </c>
      <c r="AJ172" s="279">
        <f t="shared" ca="1" si="252"/>
        <v>415</v>
      </c>
      <c r="BM172" s="512">
        <v>5</v>
      </c>
      <c r="BN172" s="527" t="s">
        <v>718</v>
      </c>
      <c r="BO172" s="525" t="s">
        <v>1211</v>
      </c>
      <c r="BP172" s="508">
        <f t="shared" ca="1" si="230"/>
        <v>75</v>
      </c>
      <c r="BQ172" s="632">
        <v>3.5</v>
      </c>
      <c r="BR172" s="523">
        <f>宝箱设定!$P138</f>
        <v>2.2199999999999998E-2</v>
      </c>
      <c r="BS172" s="170">
        <f t="shared" ca="1" si="231"/>
        <v>2.7908571428571425E-2</v>
      </c>
      <c r="BT172" s="508">
        <f t="shared" ca="1" si="232"/>
        <v>279</v>
      </c>
      <c r="BV172" s="396">
        <v>5</v>
      </c>
      <c r="BW172" s="525" t="s">
        <v>2273</v>
      </c>
      <c r="BX172" s="530" t="s">
        <v>2200</v>
      </c>
      <c r="BY172" s="523" t="str">
        <f t="shared" ca="1" si="216"/>
        <v>T2部件</v>
      </c>
      <c r="BZ172" s="662">
        <v>1.5</v>
      </c>
      <c r="CA172" s="632">
        <v>3.4000000000000002E-2</v>
      </c>
      <c r="CB172" s="170" t="e">
        <f ca="1">CA172*BW$4/BY172/BZ172</f>
        <v>#VALUE!</v>
      </c>
      <c r="CC172" s="394" t="e">
        <f ca="1">ROUND(CB172*10000,0)</f>
        <v>#VALUE!</v>
      </c>
      <c r="CE172" s="512">
        <v>9</v>
      </c>
      <c r="CF172" s="527" t="s">
        <v>621</v>
      </c>
      <c r="CG172" s="525" t="s">
        <v>1211</v>
      </c>
      <c r="CH172" s="523">
        <f t="shared" ca="1" si="223"/>
        <v>148.79999999999998</v>
      </c>
      <c r="CI172" s="523">
        <v>1</v>
      </c>
      <c r="CJ172" s="571">
        <v>7.0000000000000007E-2</v>
      </c>
      <c r="CK172" s="170">
        <f t="shared" ca="1" si="224"/>
        <v>2.3521505376344093E-2</v>
      </c>
      <c r="CL172" s="508">
        <f t="shared" ca="1" si="225"/>
        <v>235</v>
      </c>
    </row>
    <row r="173" spans="2:99" x14ac:dyDescent="0.35">
      <c r="B173" s="273">
        <v>5</v>
      </c>
      <c r="C173" s="516" t="s">
        <v>2244</v>
      </c>
      <c r="D173" s="529" t="s">
        <v>2452</v>
      </c>
      <c r="E173" s="508">
        <f t="shared" ca="1" si="236"/>
        <v>10.8</v>
      </c>
      <c r="F173" s="625">
        <v>2.5</v>
      </c>
      <c r="G173" s="594">
        <v>1.2500000000000001E-2</v>
      </c>
      <c r="H173" s="170">
        <f t="shared" ca="1" si="237"/>
        <v>2.719907407407407E-2</v>
      </c>
      <c r="I173" s="256">
        <f t="shared" ca="1" si="238"/>
        <v>272</v>
      </c>
      <c r="K173" s="512">
        <v>5</v>
      </c>
      <c r="L173" s="516" t="s">
        <v>2244</v>
      </c>
      <c r="M173" s="529" t="s">
        <v>2452</v>
      </c>
      <c r="N173" s="508">
        <f t="shared" ca="1" si="239"/>
        <v>10.8</v>
      </c>
      <c r="O173" s="565">
        <v>1</v>
      </c>
      <c r="P173" s="625">
        <v>1.4999999999999999E-2</v>
      </c>
      <c r="Q173" s="170">
        <f t="shared" ca="1" si="240"/>
        <v>6.5277777777777768E-2</v>
      </c>
      <c r="R173" s="279">
        <f t="shared" ca="1" si="241"/>
        <v>653</v>
      </c>
      <c r="T173" s="512">
        <v>5</v>
      </c>
      <c r="U173" s="516" t="s">
        <v>2244</v>
      </c>
      <c r="V173" s="529" t="s">
        <v>2452</v>
      </c>
      <c r="W173" s="508">
        <f t="shared" ca="1" si="242"/>
        <v>10.8</v>
      </c>
      <c r="X173" s="565">
        <v>1</v>
      </c>
      <c r="Y173" s="633">
        <v>1.4999999999999999E-2</v>
      </c>
      <c r="Z173" s="170">
        <f t="shared" ca="1" si="243"/>
        <v>6.5972222222222224E-2</v>
      </c>
      <c r="AA173" s="279">
        <f t="shared" ca="1" si="244"/>
        <v>660</v>
      </c>
      <c r="AC173" s="512">
        <v>5</v>
      </c>
      <c r="AD173" s="516" t="s">
        <v>628</v>
      </c>
      <c r="AE173" s="512" t="s">
        <v>1211</v>
      </c>
      <c r="AF173" s="508">
        <f t="shared" ca="1" si="250"/>
        <v>60</v>
      </c>
      <c r="AG173" s="565">
        <v>1.5</v>
      </c>
      <c r="AH173" s="508">
        <f>宝箱设定!$X115</f>
        <v>5.8400000000000001E-2</v>
      </c>
      <c r="AI173" s="170">
        <f t="shared" ca="1" si="251"/>
        <v>4.1528888888888886E-2</v>
      </c>
      <c r="AJ173" s="279">
        <f t="shared" ca="1" si="252"/>
        <v>415</v>
      </c>
      <c r="AL173" s="512" t="s">
        <v>597</v>
      </c>
      <c r="AM173" s="512" t="s">
        <v>1225</v>
      </c>
      <c r="AN173" s="513" t="s">
        <v>917</v>
      </c>
      <c r="AO173" s="166" t="s">
        <v>920</v>
      </c>
      <c r="AP173" s="285" t="s">
        <v>967</v>
      </c>
      <c r="AQ173" s="166" t="s">
        <v>854</v>
      </c>
      <c r="AR173" s="166" t="s">
        <v>926</v>
      </c>
      <c r="AS173" s="281" t="s">
        <v>927</v>
      </c>
      <c r="AT173" s="300" t="e">
        <f ca="1">SUM(AS174:AS222)</f>
        <v>#VALUE!</v>
      </c>
      <c r="AU173" s="512" t="s">
        <v>597</v>
      </c>
      <c r="AV173" s="512" t="s">
        <v>1225</v>
      </c>
      <c r="AW173" s="513" t="s">
        <v>917</v>
      </c>
      <c r="AX173" s="166" t="s">
        <v>920</v>
      </c>
      <c r="AY173" s="518" t="s">
        <v>967</v>
      </c>
      <c r="AZ173" s="166" t="s">
        <v>854</v>
      </c>
      <c r="BA173" s="166" t="s">
        <v>926</v>
      </c>
      <c r="BB173" s="514" t="s">
        <v>927</v>
      </c>
      <c r="BC173" s="300" t="e">
        <f ca="1">SUM(BB174:BB227)</f>
        <v>#VALUE!</v>
      </c>
      <c r="BD173" s="512" t="s">
        <v>597</v>
      </c>
      <c r="BE173" s="512" t="s">
        <v>1225</v>
      </c>
      <c r="BF173" s="513" t="s">
        <v>917</v>
      </c>
      <c r="BG173" s="166" t="s">
        <v>920</v>
      </c>
      <c r="BH173" s="518" t="s">
        <v>967</v>
      </c>
      <c r="BI173" s="166" t="s">
        <v>854</v>
      </c>
      <c r="BJ173" s="166" t="s">
        <v>926</v>
      </c>
      <c r="BK173" s="281" t="s">
        <v>927</v>
      </c>
      <c r="BL173" s="300" t="e">
        <f ca="1">SUM(BK174:BK227)</f>
        <v>#VALUE!</v>
      </c>
      <c r="BM173" s="512">
        <v>5</v>
      </c>
      <c r="BN173" s="527" t="s">
        <v>632</v>
      </c>
      <c r="BO173" s="525" t="s">
        <v>1211</v>
      </c>
      <c r="BP173" s="508">
        <f t="shared" ca="1" si="230"/>
        <v>75</v>
      </c>
      <c r="BQ173" s="632">
        <v>3.5</v>
      </c>
      <c r="BR173" s="523">
        <f>宝箱设定!$P139</f>
        <v>2.2199999999999998E-2</v>
      </c>
      <c r="BS173" s="170">
        <f t="shared" ca="1" si="231"/>
        <v>2.7908571428571425E-2</v>
      </c>
      <c r="BT173" s="508">
        <f t="shared" ca="1" si="232"/>
        <v>279</v>
      </c>
      <c r="BV173" s="396">
        <v>5</v>
      </c>
      <c r="BW173" s="525" t="s">
        <v>2275</v>
      </c>
      <c r="BX173" s="530" t="s">
        <v>2200</v>
      </c>
      <c r="BY173" s="523" t="str">
        <f t="shared" ca="1" si="216"/>
        <v>T2部件</v>
      </c>
      <c r="BZ173" s="662">
        <v>1.5</v>
      </c>
      <c r="CA173" s="632">
        <v>3.4000000000000002E-2</v>
      </c>
      <c r="CB173" s="170" t="e">
        <f ca="1">CA173*BW$4/BY173/BZ173</f>
        <v>#VALUE!</v>
      </c>
      <c r="CC173" s="394" t="e">
        <f ca="1">ROUND(CB173*10000,0)</f>
        <v>#VALUE!</v>
      </c>
      <c r="CE173" s="512">
        <v>9</v>
      </c>
      <c r="CF173" s="527" t="s">
        <v>634</v>
      </c>
      <c r="CG173" s="525" t="s">
        <v>1211</v>
      </c>
      <c r="CH173" s="523">
        <f t="shared" ca="1" si="223"/>
        <v>148.79999999999998</v>
      </c>
      <c r="CI173" s="523">
        <v>1</v>
      </c>
      <c r="CJ173" s="571">
        <v>7.0000000000000007E-2</v>
      </c>
      <c r="CK173" s="170">
        <f t="shared" ca="1" si="224"/>
        <v>2.3521505376344093E-2</v>
      </c>
      <c r="CL173" s="508">
        <f t="shared" ca="1" si="225"/>
        <v>235</v>
      </c>
    </row>
    <row r="174" spans="2:99" x14ac:dyDescent="0.35">
      <c r="B174" s="512">
        <v>5</v>
      </c>
      <c r="C174" s="516" t="s">
        <v>2246</v>
      </c>
      <c r="D174" s="529" t="s">
        <v>2452</v>
      </c>
      <c r="E174" s="508">
        <f t="shared" ca="1" si="236"/>
        <v>10.8</v>
      </c>
      <c r="F174" s="625">
        <v>2.5</v>
      </c>
      <c r="G174" s="594">
        <v>1.2500000000000001E-2</v>
      </c>
      <c r="H174" s="170">
        <f t="shared" ca="1" si="237"/>
        <v>2.719907407407407E-2</v>
      </c>
      <c r="I174" s="508">
        <f t="shared" ca="1" si="238"/>
        <v>272</v>
      </c>
      <c r="K174" s="512">
        <v>5</v>
      </c>
      <c r="L174" s="516" t="s">
        <v>2246</v>
      </c>
      <c r="M174" s="529" t="s">
        <v>2452</v>
      </c>
      <c r="N174" s="508">
        <f t="shared" ca="1" si="239"/>
        <v>10.8</v>
      </c>
      <c r="O174" s="565">
        <v>1</v>
      </c>
      <c r="P174" s="625">
        <v>1.4999999999999999E-2</v>
      </c>
      <c r="Q174" s="170">
        <f t="shared" ref="Q174:Q206" ca="1" si="253">P174*L$4/N174/O174</f>
        <v>6.5277777777777768E-2</v>
      </c>
      <c r="R174" s="508">
        <f t="shared" ref="R174:R206" ca="1" si="254">ROUND(Q174*10000,0)</f>
        <v>653</v>
      </c>
      <c r="T174" s="512">
        <v>5</v>
      </c>
      <c r="U174" s="516" t="s">
        <v>2246</v>
      </c>
      <c r="V174" s="529" t="s">
        <v>2452</v>
      </c>
      <c r="W174" s="508">
        <f t="shared" ca="1" si="242"/>
        <v>10.8</v>
      </c>
      <c r="X174" s="565">
        <v>1</v>
      </c>
      <c r="Y174" s="633">
        <v>1.4999999999999999E-2</v>
      </c>
      <c r="Z174" s="170">
        <f t="shared" ref="Z174:Z206" ca="1" si="255">Y174*U$4/W174/X174</f>
        <v>6.5972222222222224E-2</v>
      </c>
      <c r="AA174" s="508">
        <f t="shared" ref="AA174:AA206" ca="1" si="256">ROUND(Z174*10000,0)</f>
        <v>660</v>
      </c>
      <c r="AC174" s="512">
        <v>5</v>
      </c>
      <c r="AD174" s="516" t="s">
        <v>619</v>
      </c>
      <c r="AE174" s="512" t="s">
        <v>1211</v>
      </c>
      <c r="AF174" s="508">
        <f t="shared" ca="1" si="250"/>
        <v>75</v>
      </c>
      <c r="AG174" s="408">
        <v>1</v>
      </c>
      <c r="AH174" s="508">
        <f>宝箱设定!$X116</f>
        <v>3.6499999999999998E-2</v>
      </c>
      <c r="AI174" s="170">
        <f t="shared" ca="1" si="251"/>
        <v>3.1146666666666666E-2</v>
      </c>
      <c r="AJ174" s="279">
        <f t="shared" ca="1" si="252"/>
        <v>311</v>
      </c>
      <c r="AL174" s="512">
        <v>5</v>
      </c>
      <c r="AM174" s="516" t="s">
        <v>617</v>
      </c>
      <c r="AN174" s="512" t="s">
        <v>1211</v>
      </c>
      <c r="AO174" s="508">
        <f t="shared" ref="AO174:AO218" ca="1" si="257">IF(AN174="部件",VLOOKUP(AL174,INDIRECT(AN174&amp;"价值"),MATCH(LEFT(AM174,2)&amp;"部件",INDIRECT(AN174&amp;"价值标头"),0),FALSE),IF(AN174="加速道具",VLOOKUP(AM174,INDIRECT(AN174&amp;"价值"),MATCH("价格",INDIRECT(AN174&amp;"价值标头"),0),FALSE),VLOOKUP(AL174,INDIRECT(AN174&amp;"价值"),MATCH(AM174,INDIRECT(AN174&amp;"价值标头"),0),FALSE)))</f>
        <v>78.2</v>
      </c>
      <c r="AP174" s="394">
        <v>3.5</v>
      </c>
      <c r="AQ174" s="508">
        <f>宝箱设定!$X110</f>
        <v>8.7599999999999997E-2</v>
      </c>
      <c r="AR174" s="170">
        <f t="shared" ref="AR174:AR185" ca="1" si="258">AQ174*AM$4/AO174/AP174</f>
        <v>3.1045670442089879E-2</v>
      </c>
      <c r="AS174" s="279">
        <f t="shared" ref="AS174:AS185" ca="1" si="259">ROUND(AR174*10000,0)</f>
        <v>310</v>
      </c>
      <c r="AU174" s="512">
        <v>5</v>
      </c>
      <c r="AV174" s="516" t="s">
        <v>617</v>
      </c>
      <c r="AW174" s="295" t="s">
        <v>2395</v>
      </c>
      <c r="AX174" s="508">
        <f t="shared" ref="AX174:AX205" ca="1" si="260">IF(AW174="部件",VLOOKUP(AU174,INDIRECT(AW174&amp;"价值"),MATCH(LEFT(AV174,2)&amp;"部件",INDIRECT(AW174&amp;"价值标头"),0),FALSE),IF(AW174="加速道具",VLOOKUP(AV174,INDIRECT(AW174&amp;"价值"),MATCH("价格",INDIRECT(AW174&amp;"价值标头"),0),FALSE),VLOOKUP(AU174,INDIRECT(AW174&amp;"价值"),MATCH(AV174,INDIRECT(AW174&amp;"价值标头"),0),FALSE)))</f>
        <v>782</v>
      </c>
      <c r="AY174" s="508">
        <v>1</v>
      </c>
      <c r="AZ174" s="508">
        <f>宝箱设定!$H122</f>
        <v>2.9600000000000001E-2</v>
      </c>
      <c r="BA174" s="170">
        <f t="shared" ref="BA174:BA227" ca="1" si="261">AZ174*AV$4/AX174/AY174</f>
        <v>2.4603580562659847E-3</v>
      </c>
      <c r="BB174" s="508">
        <f t="shared" ref="BB174:BB227" ca="1" si="262">ROUND(BA174*10000,0)</f>
        <v>25</v>
      </c>
      <c r="BD174" s="512">
        <v>5</v>
      </c>
      <c r="BE174" s="516" t="s">
        <v>617</v>
      </c>
      <c r="BF174" s="295" t="s">
        <v>2395</v>
      </c>
      <c r="BG174" s="508">
        <f t="shared" ref="BG174:BG205" ca="1" si="263">IF(BF174="部件",VLOOKUP(BD174,INDIRECT(BF174&amp;"价值"),MATCH(LEFT(BE174,2)&amp;"部件",INDIRECT(BF174&amp;"价值标头"),0),FALSE),IF(BF174="加速道具",VLOOKUP(BE174,INDIRECT(BF174&amp;"价值"),MATCH("价格",INDIRECT(BF174&amp;"价值标头"),0),FALSE),VLOOKUP(BD174,INDIRECT(BF174&amp;"价值"),MATCH(BE174,INDIRECT(BF174&amp;"价值标头"),0),FALSE)))</f>
        <v>782</v>
      </c>
      <c r="BH174" s="508">
        <v>1</v>
      </c>
      <c r="BI174" s="508">
        <f>宝箱设定!$H122</f>
        <v>2.9600000000000001E-2</v>
      </c>
      <c r="BJ174" s="170">
        <f t="shared" ref="BJ174:BJ179" ca="1" si="264">BI174*BE$4/BG174/BH174</f>
        <v>5.583120204603581E-3</v>
      </c>
      <c r="BK174" s="279">
        <f t="shared" ref="BK174:BK179" ca="1" si="265">ROUND(BJ174*10000,0)</f>
        <v>56</v>
      </c>
      <c r="BM174" s="512">
        <v>5</v>
      </c>
      <c r="BN174" s="527" t="s">
        <v>2258</v>
      </c>
      <c r="BO174" s="530" t="s">
        <v>2200</v>
      </c>
      <c r="BP174" s="508" t="str">
        <f t="shared" ca="1" si="230"/>
        <v>T2部件</v>
      </c>
      <c r="BQ174" s="508">
        <v>3.5</v>
      </c>
      <c r="BR174" s="600">
        <v>1.8599999999999998E-2</v>
      </c>
      <c r="BS174" s="170" t="e">
        <f t="shared" ca="1" si="231"/>
        <v>#VALUE!</v>
      </c>
      <c r="BT174" s="508" t="e">
        <f t="shared" ca="1" si="232"/>
        <v>#VALUE!</v>
      </c>
    </row>
    <row r="175" spans="2:99" x14ac:dyDescent="0.35">
      <c r="B175" s="512">
        <v>5</v>
      </c>
      <c r="C175" s="516" t="s">
        <v>2248</v>
      </c>
      <c r="D175" s="529" t="s">
        <v>2452</v>
      </c>
      <c r="E175" s="508">
        <f t="shared" ca="1" si="236"/>
        <v>10.8</v>
      </c>
      <c r="F175" s="625">
        <v>2.5</v>
      </c>
      <c r="G175" s="594">
        <v>1.2500000000000001E-2</v>
      </c>
      <c r="H175" s="170">
        <f t="shared" ca="1" si="237"/>
        <v>2.719907407407407E-2</v>
      </c>
      <c r="I175" s="508">
        <f t="shared" ca="1" si="238"/>
        <v>272</v>
      </c>
      <c r="K175" s="512">
        <v>5</v>
      </c>
      <c r="L175" s="516" t="s">
        <v>2248</v>
      </c>
      <c r="M175" s="529" t="s">
        <v>2452</v>
      </c>
      <c r="N175" s="508">
        <f t="shared" ca="1" si="239"/>
        <v>10.8</v>
      </c>
      <c r="O175" s="565">
        <v>1</v>
      </c>
      <c r="P175" s="625">
        <v>1.4999999999999999E-2</v>
      </c>
      <c r="Q175" s="170">
        <f t="shared" ca="1" si="253"/>
        <v>6.5277777777777768E-2</v>
      </c>
      <c r="R175" s="508">
        <f t="shared" ca="1" si="254"/>
        <v>653</v>
      </c>
      <c r="T175" s="512">
        <v>5</v>
      </c>
      <c r="U175" s="516" t="s">
        <v>2248</v>
      </c>
      <c r="V175" s="529" t="s">
        <v>2452</v>
      </c>
      <c r="W175" s="508">
        <f t="shared" ca="1" si="242"/>
        <v>10.8</v>
      </c>
      <c r="X175" s="565">
        <v>1</v>
      </c>
      <c r="Y175" s="633">
        <v>1.4999999999999999E-2</v>
      </c>
      <c r="Z175" s="170">
        <f t="shared" ca="1" si="255"/>
        <v>6.5972222222222224E-2</v>
      </c>
      <c r="AA175" s="508">
        <f t="shared" ca="1" si="256"/>
        <v>660</v>
      </c>
      <c r="AC175" s="512">
        <v>5</v>
      </c>
      <c r="AD175" s="516" t="s">
        <v>718</v>
      </c>
      <c r="AE175" s="512" t="s">
        <v>1211</v>
      </c>
      <c r="AF175" s="508">
        <f t="shared" ca="1" si="250"/>
        <v>75</v>
      </c>
      <c r="AG175" s="394">
        <v>1</v>
      </c>
      <c r="AH175" s="508">
        <f>宝箱设定!$X117</f>
        <v>3.6499999999999998E-2</v>
      </c>
      <c r="AI175" s="170">
        <f t="shared" ca="1" si="251"/>
        <v>3.1146666666666666E-2</v>
      </c>
      <c r="AJ175" s="279">
        <f t="shared" ca="1" si="252"/>
        <v>311</v>
      </c>
      <c r="AL175" s="512">
        <v>5</v>
      </c>
      <c r="AM175" s="516" t="s">
        <v>626</v>
      </c>
      <c r="AN175" s="512" t="s">
        <v>1211</v>
      </c>
      <c r="AO175" s="508">
        <f t="shared" ca="1" si="257"/>
        <v>78.2</v>
      </c>
      <c r="AP175" s="625">
        <v>3.5</v>
      </c>
      <c r="AQ175" s="508">
        <f>宝箱设定!$X111</f>
        <v>8.7599999999999997E-2</v>
      </c>
      <c r="AR175" s="170">
        <f t="shared" ca="1" si="258"/>
        <v>3.1045670442089879E-2</v>
      </c>
      <c r="AS175" s="279">
        <f t="shared" ca="1" si="259"/>
        <v>310</v>
      </c>
      <c r="AU175" s="512">
        <v>5</v>
      </c>
      <c r="AV175" s="516" t="s">
        <v>626</v>
      </c>
      <c r="AW175" s="295" t="s">
        <v>2395</v>
      </c>
      <c r="AX175" s="508">
        <f t="shared" ca="1" si="260"/>
        <v>782</v>
      </c>
      <c r="AY175" s="508">
        <v>1</v>
      </c>
      <c r="AZ175" s="508">
        <f>宝箱设定!$H123</f>
        <v>2.9600000000000001E-2</v>
      </c>
      <c r="BA175" s="170">
        <f t="shared" ca="1" si="261"/>
        <v>2.4603580562659847E-3</v>
      </c>
      <c r="BB175" s="508">
        <f t="shared" ca="1" si="262"/>
        <v>25</v>
      </c>
      <c r="BD175" s="512">
        <v>5</v>
      </c>
      <c r="BE175" s="516" t="s">
        <v>626</v>
      </c>
      <c r="BF175" s="295" t="s">
        <v>2395</v>
      </c>
      <c r="BG175" s="508">
        <f t="shared" ca="1" si="263"/>
        <v>782</v>
      </c>
      <c r="BH175" s="508">
        <v>1</v>
      </c>
      <c r="BI175" s="508">
        <f>宝箱设定!$H123</f>
        <v>2.9600000000000001E-2</v>
      </c>
      <c r="BJ175" s="170">
        <f ca="1">BI175*BE$4/BG175/BH175</f>
        <v>5.583120204603581E-3</v>
      </c>
      <c r="BK175" s="379">
        <f ca="1">ROUND(BJ175*10000,0)</f>
        <v>56</v>
      </c>
      <c r="BM175" s="512">
        <v>5</v>
      </c>
      <c r="BN175" s="527" t="s">
        <v>2260</v>
      </c>
      <c r="BO175" s="530" t="s">
        <v>2200</v>
      </c>
      <c r="BP175" s="508" t="str">
        <f t="shared" ca="1" si="230"/>
        <v>T2部件</v>
      </c>
      <c r="BQ175" s="632">
        <v>3.5</v>
      </c>
      <c r="BR175" s="600">
        <v>1.8599999999999998E-2</v>
      </c>
      <c r="BS175" s="170" t="e">
        <f t="shared" ca="1" si="231"/>
        <v>#VALUE!</v>
      </c>
      <c r="BT175" s="508" t="e">
        <f t="shared" ca="1" si="232"/>
        <v>#VALUE!</v>
      </c>
    </row>
    <row r="176" spans="2:99" x14ac:dyDescent="0.35">
      <c r="B176" s="512">
        <v>5</v>
      </c>
      <c r="C176" s="516" t="s">
        <v>2250</v>
      </c>
      <c r="D176" s="529" t="s">
        <v>2452</v>
      </c>
      <c r="E176" s="508">
        <f t="shared" ca="1" si="236"/>
        <v>10.8</v>
      </c>
      <c r="F176" s="625">
        <v>2.5</v>
      </c>
      <c r="G176" s="594">
        <v>1.2500000000000001E-2</v>
      </c>
      <c r="H176" s="170">
        <f t="shared" ca="1" si="237"/>
        <v>2.719907407407407E-2</v>
      </c>
      <c r="I176" s="508">
        <f t="shared" ca="1" si="238"/>
        <v>272</v>
      </c>
      <c r="K176" s="512">
        <v>5</v>
      </c>
      <c r="L176" s="516" t="s">
        <v>2250</v>
      </c>
      <c r="M176" s="529" t="s">
        <v>2452</v>
      </c>
      <c r="N176" s="508">
        <f t="shared" ca="1" si="239"/>
        <v>10.8</v>
      </c>
      <c r="O176" s="565">
        <v>1</v>
      </c>
      <c r="P176" s="625">
        <v>1.4999999999999999E-2</v>
      </c>
      <c r="Q176" s="170">
        <f t="shared" ca="1" si="253"/>
        <v>6.5277777777777768E-2</v>
      </c>
      <c r="R176" s="508">
        <f t="shared" ca="1" si="254"/>
        <v>653</v>
      </c>
      <c r="T176" s="512">
        <v>5</v>
      </c>
      <c r="U176" s="516" t="s">
        <v>2250</v>
      </c>
      <c r="V176" s="529" t="s">
        <v>2452</v>
      </c>
      <c r="W176" s="508">
        <f t="shared" ca="1" si="242"/>
        <v>10.8</v>
      </c>
      <c r="X176" s="565">
        <v>1</v>
      </c>
      <c r="Y176" s="633">
        <v>1.4999999999999999E-2</v>
      </c>
      <c r="Z176" s="170">
        <f t="shared" ca="1" si="255"/>
        <v>6.5972222222222224E-2</v>
      </c>
      <c r="AA176" s="508">
        <f t="shared" ca="1" si="256"/>
        <v>660</v>
      </c>
      <c r="AC176" s="512">
        <v>5</v>
      </c>
      <c r="AD176" s="516" t="s">
        <v>632</v>
      </c>
      <c r="AE176" s="512" t="s">
        <v>1211</v>
      </c>
      <c r="AF176" s="508">
        <f t="shared" ca="1" si="250"/>
        <v>75</v>
      </c>
      <c r="AG176" s="394">
        <v>1</v>
      </c>
      <c r="AH176" s="508">
        <f>宝箱设定!$X118</f>
        <v>3.6499999999999998E-2</v>
      </c>
      <c r="AI176" s="170">
        <f t="shared" ca="1" si="251"/>
        <v>3.1146666666666666E-2</v>
      </c>
      <c r="AJ176" s="279">
        <f t="shared" ca="1" si="252"/>
        <v>311</v>
      </c>
      <c r="AL176" s="512">
        <v>5</v>
      </c>
      <c r="AM176" s="516" t="s">
        <v>631</v>
      </c>
      <c r="AN176" s="512" t="s">
        <v>1211</v>
      </c>
      <c r="AO176" s="508">
        <f t="shared" ca="1" si="257"/>
        <v>78.2</v>
      </c>
      <c r="AP176" s="625">
        <v>3.5</v>
      </c>
      <c r="AQ176" s="508">
        <f>宝箱设定!$X112</f>
        <v>8.7599999999999997E-2</v>
      </c>
      <c r="AR176" s="170">
        <f t="shared" ca="1" si="258"/>
        <v>3.1045670442089879E-2</v>
      </c>
      <c r="AS176" s="279">
        <f t="shared" ca="1" si="259"/>
        <v>310</v>
      </c>
      <c r="AU176" s="512">
        <v>5</v>
      </c>
      <c r="AV176" s="516" t="s">
        <v>631</v>
      </c>
      <c r="AW176" s="295" t="s">
        <v>2395</v>
      </c>
      <c r="AX176" s="508">
        <f t="shared" ca="1" si="260"/>
        <v>782</v>
      </c>
      <c r="AY176" s="508">
        <v>1</v>
      </c>
      <c r="AZ176" s="508">
        <f>宝箱设定!$H124</f>
        <v>2.9600000000000001E-2</v>
      </c>
      <c r="BA176" s="170">
        <f t="shared" ca="1" si="261"/>
        <v>2.4603580562659847E-3</v>
      </c>
      <c r="BB176" s="508">
        <f t="shared" ca="1" si="262"/>
        <v>25</v>
      </c>
      <c r="BD176" s="512">
        <v>5</v>
      </c>
      <c r="BE176" s="516" t="s">
        <v>631</v>
      </c>
      <c r="BF176" s="295" t="s">
        <v>2395</v>
      </c>
      <c r="BG176" s="508">
        <f t="shared" ca="1" si="263"/>
        <v>782</v>
      </c>
      <c r="BH176" s="508">
        <v>1</v>
      </c>
      <c r="BI176" s="508">
        <f>宝箱设定!$H124</f>
        <v>2.9600000000000001E-2</v>
      </c>
      <c r="BJ176" s="170">
        <f ca="1">BI176*BE$4/BG176/BH176</f>
        <v>5.583120204603581E-3</v>
      </c>
      <c r="BK176" s="379">
        <f ca="1">ROUND(BJ176*10000,0)</f>
        <v>56</v>
      </c>
      <c r="BM176" s="512">
        <v>5</v>
      </c>
      <c r="BN176" s="527" t="s">
        <v>2262</v>
      </c>
      <c r="BO176" s="530" t="s">
        <v>2200</v>
      </c>
      <c r="BP176" s="508" t="str">
        <f t="shared" ca="1" si="230"/>
        <v>T2部件</v>
      </c>
      <c r="BQ176" s="632">
        <v>3.5</v>
      </c>
      <c r="BR176" s="600">
        <v>1.8599999999999998E-2</v>
      </c>
      <c r="BS176" s="170" t="e">
        <f t="shared" ca="1" si="231"/>
        <v>#VALUE!</v>
      </c>
      <c r="BT176" s="508" t="e">
        <f t="shared" ca="1" si="232"/>
        <v>#VALUE!</v>
      </c>
      <c r="BV176" s="293" t="s">
        <v>597</v>
      </c>
      <c r="BW176" s="293" t="s">
        <v>1225</v>
      </c>
      <c r="BX176" s="291" t="s">
        <v>917</v>
      </c>
      <c r="BY176" s="166" t="s">
        <v>920</v>
      </c>
      <c r="BZ176" s="294" t="s">
        <v>967</v>
      </c>
      <c r="CA176" s="166" t="s">
        <v>854</v>
      </c>
      <c r="CB176" s="166" t="s">
        <v>926</v>
      </c>
      <c r="CC176" s="292" t="s">
        <v>927</v>
      </c>
      <c r="CD176" s="300" t="e">
        <f ca="1">SUM(CC177:CC221)</f>
        <v>#VALUE!</v>
      </c>
      <c r="CE176" s="512" t="s">
        <v>597</v>
      </c>
      <c r="CF176" s="512" t="s">
        <v>1225</v>
      </c>
      <c r="CG176" s="513" t="s">
        <v>917</v>
      </c>
      <c r="CH176" s="166" t="s">
        <v>920</v>
      </c>
      <c r="CI176" s="518" t="s">
        <v>967</v>
      </c>
      <c r="CJ176" s="166" t="s">
        <v>854</v>
      </c>
      <c r="CK176" s="166" t="s">
        <v>926</v>
      </c>
      <c r="CL176" s="514" t="s">
        <v>927</v>
      </c>
      <c r="CM176" s="300">
        <f ca="1">SUM(CL177:CL200)</f>
        <v>6839</v>
      </c>
    </row>
    <row r="177" spans="2:90" x14ac:dyDescent="0.35">
      <c r="B177" s="512">
        <v>5</v>
      </c>
      <c r="C177" s="516" t="s">
        <v>2252</v>
      </c>
      <c r="D177" s="529" t="s">
        <v>2452</v>
      </c>
      <c r="E177" s="508">
        <f t="shared" ca="1" si="236"/>
        <v>10.8</v>
      </c>
      <c r="F177" s="625">
        <v>2.5</v>
      </c>
      <c r="G177" s="594">
        <v>1.2500000000000001E-2</v>
      </c>
      <c r="H177" s="170">
        <f t="shared" ca="1" si="237"/>
        <v>2.719907407407407E-2</v>
      </c>
      <c r="I177" s="508">
        <f t="shared" ca="1" si="238"/>
        <v>272</v>
      </c>
      <c r="K177" s="512">
        <v>5</v>
      </c>
      <c r="L177" s="516" t="s">
        <v>2252</v>
      </c>
      <c r="M177" s="529" t="s">
        <v>2452</v>
      </c>
      <c r="N177" s="508">
        <f t="shared" ca="1" si="239"/>
        <v>10.8</v>
      </c>
      <c r="O177" s="565">
        <v>1</v>
      </c>
      <c r="P177" s="625">
        <v>1.4999999999999999E-2</v>
      </c>
      <c r="Q177" s="170">
        <f t="shared" ca="1" si="253"/>
        <v>6.5277777777777768E-2</v>
      </c>
      <c r="R177" s="508">
        <f t="shared" ca="1" si="254"/>
        <v>653</v>
      </c>
      <c r="T177" s="512">
        <v>5</v>
      </c>
      <c r="U177" s="516" t="s">
        <v>2252</v>
      </c>
      <c r="V177" s="529" t="s">
        <v>2452</v>
      </c>
      <c r="W177" s="508">
        <f t="shared" ca="1" si="242"/>
        <v>10.8</v>
      </c>
      <c r="X177" s="565">
        <v>1</v>
      </c>
      <c r="Y177" s="633">
        <v>1.4999999999999999E-2</v>
      </c>
      <c r="Z177" s="170">
        <f t="shared" ca="1" si="255"/>
        <v>6.5972222222222224E-2</v>
      </c>
      <c r="AA177" s="508">
        <f t="shared" ca="1" si="256"/>
        <v>660</v>
      </c>
      <c r="AC177" s="512">
        <v>5</v>
      </c>
      <c r="AD177" s="516" t="s">
        <v>2239</v>
      </c>
      <c r="AE177" s="529" t="s">
        <v>2452</v>
      </c>
      <c r="AF177" s="508">
        <f t="shared" ca="1" si="250"/>
        <v>10.8</v>
      </c>
      <c r="AG177" s="394">
        <v>1.5</v>
      </c>
      <c r="AH177" s="633">
        <v>1.41E-2</v>
      </c>
      <c r="AI177" s="170">
        <f t="shared" ca="1" si="251"/>
        <v>5.57037037037037E-2</v>
      </c>
      <c r="AJ177" s="279">
        <f t="shared" ca="1" si="252"/>
        <v>557</v>
      </c>
      <c r="AL177" s="512">
        <v>5</v>
      </c>
      <c r="AM177" s="516" t="s">
        <v>618</v>
      </c>
      <c r="AN177" s="512" t="s">
        <v>1211</v>
      </c>
      <c r="AO177" s="508">
        <f t="shared" ca="1" si="257"/>
        <v>60</v>
      </c>
      <c r="AP177" s="394">
        <v>2.5</v>
      </c>
      <c r="AQ177" s="508">
        <f>宝箱设定!$X113</f>
        <v>5.8400000000000001E-2</v>
      </c>
      <c r="AR177" s="170">
        <f t="shared" ca="1" si="258"/>
        <v>3.7765333333333331E-2</v>
      </c>
      <c r="AS177" s="279">
        <f t="shared" ca="1" si="259"/>
        <v>378</v>
      </c>
      <c r="AU177" s="512">
        <v>5</v>
      </c>
      <c r="AV177" s="516" t="s">
        <v>618</v>
      </c>
      <c r="AW177" s="295" t="s">
        <v>2395</v>
      </c>
      <c r="AX177" s="508">
        <f t="shared" ca="1" si="260"/>
        <v>1800</v>
      </c>
      <c r="AY177" s="508">
        <v>1</v>
      </c>
      <c r="AZ177" s="508">
        <f>宝箱设定!$H125</f>
        <v>4.4399999999999995E-2</v>
      </c>
      <c r="BA177" s="170">
        <f t="shared" ca="1" si="261"/>
        <v>1.6033333333333331E-3</v>
      </c>
      <c r="BB177" s="508">
        <f t="shared" ca="1" si="262"/>
        <v>16</v>
      </c>
      <c r="BD177" s="512">
        <v>5</v>
      </c>
      <c r="BE177" s="516" t="s">
        <v>618</v>
      </c>
      <c r="BF177" s="295" t="s">
        <v>2395</v>
      </c>
      <c r="BG177" s="508">
        <f t="shared" ca="1" si="263"/>
        <v>1800</v>
      </c>
      <c r="BH177" s="508">
        <v>1</v>
      </c>
      <c r="BI177" s="508">
        <f>宝箱设定!$H125</f>
        <v>4.4399999999999995E-2</v>
      </c>
      <c r="BJ177" s="170">
        <f ca="1">BI177*BE$4/BG177/BH177</f>
        <v>3.6383333333333333E-3</v>
      </c>
      <c r="BK177" s="379">
        <f ca="1">ROUND(BJ177*10000,0)</f>
        <v>36</v>
      </c>
      <c r="BM177" s="512">
        <v>5</v>
      </c>
      <c r="BN177" s="527" t="s">
        <v>2264</v>
      </c>
      <c r="BO177" s="530" t="s">
        <v>2200</v>
      </c>
      <c r="BP177" s="508" t="str">
        <f t="shared" ca="1" si="230"/>
        <v>T2部件</v>
      </c>
      <c r="BQ177" s="632">
        <v>3.5</v>
      </c>
      <c r="BR177" s="600">
        <v>1.8599999999999998E-2</v>
      </c>
      <c r="BS177" s="170" t="e">
        <f t="shared" ca="1" si="231"/>
        <v>#VALUE!</v>
      </c>
      <c r="BT177" s="508" t="e">
        <f t="shared" ca="1" si="232"/>
        <v>#VALUE!</v>
      </c>
      <c r="BV177" s="293">
        <v>6</v>
      </c>
      <c r="BW177" s="527" t="s">
        <v>2239</v>
      </c>
      <c r="BX177" s="530" t="s">
        <v>2200</v>
      </c>
      <c r="BY177" s="523">
        <f t="shared" ref="BY177:BY221" ca="1" si="266">IF(BX177="部件",VLOOKUP(BV177,INDIRECT(BX177&amp;"价值"),MATCH(LEFT(BW177,2)&amp;"部件",INDIRECT(BX177&amp;"价值标头"),0),FALSE),IF(BX177="加速道具",VLOOKUP(BW177,INDIRECT(BX177&amp;"价值"),MATCH("价格",INDIRECT(BX177&amp;"价值标头"),0),FALSE),VLOOKUP(BV177,INDIRECT(BX177&amp;"价值"),MATCH(BW177,INDIRECT(BX177&amp;"价值标头"),0),FALSE)))</f>
        <v>10.125</v>
      </c>
      <c r="BZ177" s="523">
        <v>3.5</v>
      </c>
      <c r="CA177" s="405">
        <v>1.9E-2</v>
      </c>
      <c r="CB177" s="170">
        <f t="shared" ref="CB177:CB221" ca="1" si="267">CA177*BW$4/BY177/BZ177</f>
        <v>2.6807760141093474E-2</v>
      </c>
      <c r="CC177" s="290">
        <f t="shared" ref="CC177:CC221" ca="1" si="268">ROUND(CB177*10000,0)</f>
        <v>268</v>
      </c>
      <c r="CE177" s="512">
        <v>10</v>
      </c>
      <c r="CF177" s="527" t="s">
        <v>615</v>
      </c>
      <c r="CG177" s="525" t="s">
        <v>1211</v>
      </c>
      <c r="CH177" s="523">
        <f t="shared" ref="CH177:CH200" ca="1" si="269">IF(CG177="部件",VLOOKUP(CE177,INDIRECT(CG177&amp;"价值"),MATCH(LEFT(CF177,2)&amp;"部件",INDIRECT(CG177&amp;"价值标头"),0),FALSE),IF(CG177="加速道具",VLOOKUP(CF177,INDIRECT(CG177&amp;"价值"),MATCH("价格",INDIRECT(CG177&amp;"价值标头"),0),FALSE),VLOOKUP(CE177,INDIRECT(CG177&amp;"价值"),MATCH(CF177,INDIRECT(CG177&amp;"价值标头"),0),FALSE)))</f>
        <v>27.6</v>
      </c>
      <c r="CI177" s="571">
        <v>1</v>
      </c>
      <c r="CJ177" s="508">
        <v>3.0000000000000001E-3</v>
      </c>
      <c r="CK177" s="170">
        <f t="shared" ref="CK177:CK200" ca="1" si="270">CJ177*CF$4/CH177/CI177</f>
        <v>5.434782608695652E-3</v>
      </c>
      <c r="CL177" s="508">
        <f t="shared" ref="CL177:CL200" ca="1" si="271">ROUND(CK177*10000,0)</f>
        <v>54</v>
      </c>
    </row>
    <row r="178" spans="2:90" x14ac:dyDescent="0.35">
      <c r="B178" s="512">
        <v>5</v>
      </c>
      <c r="C178" s="512" t="s">
        <v>2254</v>
      </c>
      <c r="D178" s="529" t="s">
        <v>2452</v>
      </c>
      <c r="E178" s="508">
        <f t="shared" ca="1" si="236"/>
        <v>10.8</v>
      </c>
      <c r="F178" s="625">
        <v>2.5</v>
      </c>
      <c r="G178" s="594">
        <v>1.2500000000000001E-2</v>
      </c>
      <c r="H178" s="170">
        <f t="shared" ca="1" si="237"/>
        <v>2.719907407407407E-2</v>
      </c>
      <c r="I178" s="508">
        <f t="shared" ca="1" si="238"/>
        <v>272</v>
      </c>
      <c r="K178" s="512">
        <v>5</v>
      </c>
      <c r="L178" s="512" t="s">
        <v>2254</v>
      </c>
      <c r="M178" s="529" t="s">
        <v>2452</v>
      </c>
      <c r="N178" s="508">
        <f t="shared" ca="1" si="239"/>
        <v>10.8</v>
      </c>
      <c r="O178" s="565">
        <v>1</v>
      </c>
      <c r="P178" s="625">
        <v>1.4999999999999999E-2</v>
      </c>
      <c r="Q178" s="170">
        <f t="shared" ca="1" si="253"/>
        <v>6.5277777777777768E-2</v>
      </c>
      <c r="R178" s="508">
        <f t="shared" ca="1" si="254"/>
        <v>653</v>
      </c>
      <c r="T178" s="512">
        <v>5</v>
      </c>
      <c r="U178" s="512" t="s">
        <v>2254</v>
      </c>
      <c r="V178" s="529" t="s">
        <v>2452</v>
      </c>
      <c r="W178" s="508">
        <f t="shared" ca="1" si="242"/>
        <v>10.8</v>
      </c>
      <c r="X178" s="565">
        <v>1</v>
      </c>
      <c r="Y178" s="633">
        <v>1.4999999999999999E-2</v>
      </c>
      <c r="Z178" s="170">
        <f t="shared" ca="1" si="255"/>
        <v>6.5972222222222224E-2</v>
      </c>
      <c r="AA178" s="508">
        <f t="shared" ca="1" si="256"/>
        <v>660</v>
      </c>
      <c r="AC178" s="512">
        <v>5</v>
      </c>
      <c r="AD178" s="516" t="s">
        <v>2242</v>
      </c>
      <c r="AE178" s="529" t="s">
        <v>2452</v>
      </c>
      <c r="AF178" s="508">
        <f t="shared" ca="1" si="250"/>
        <v>10.8</v>
      </c>
      <c r="AG178" s="625">
        <v>1.5</v>
      </c>
      <c r="AH178" s="633">
        <v>1.41E-2</v>
      </c>
      <c r="AI178" s="170">
        <f t="shared" ca="1" si="251"/>
        <v>5.57037037037037E-2</v>
      </c>
      <c r="AJ178" s="279">
        <f t="shared" ca="1" si="252"/>
        <v>557</v>
      </c>
      <c r="AL178" s="512">
        <v>5</v>
      </c>
      <c r="AM178" s="516" t="s">
        <v>627</v>
      </c>
      <c r="AN178" s="512" t="s">
        <v>1211</v>
      </c>
      <c r="AO178" s="508">
        <f t="shared" ca="1" si="257"/>
        <v>60</v>
      </c>
      <c r="AP178" s="625">
        <v>2.5</v>
      </c>
      <c r="AQ178" s="508">
        <f>宝箱设定!$X114</f>
        <v>5.8400000000000001E-2</v>
      </c>
      <c r="AR178" s="170">
        <f t="shared" ca="1" si="258"/>
        <v>3.7765333333333331E-2</v>
      </c>
      <c r="AS178" s="279">
        <f t="shared" ca="1" si="259"/>
        <v>378</v>
      </c>
      <c r="AU178" s="512">
        <v>5</v>
      </c>
      <c r="AV178" s="516" t="s">
        <v>627</v>
      </c>
      <c r="AW178" s="295" t="s">
        <v>2395</v>
      </c>
      <c r="AX178" s="508">
        <f t="shared" ca="1" si="260"/>
        <v>1800</v>
      </c>
      <c r="AY178" s="508">
        <v>1</v>
      </c>
      <c r="AZ178" s="508">
        <f>宝箱设定!$H126</f>
        <v>4.4399999999999995E-2</v>
      </c>
      <c r="BA178" s="170">
        <f t="shared" ca="1" si="261"/>
        <v>1.6033333333333331E-3</v>
      </c>
      <c r="BB178" s="508">
        <f t="shared" ca="1" si="262"/>
        <v>16</v>
      </c>
      <c r="BD178" s="512">
        <v>5</v>
      </c>
      <c r="BE178" s="516" t="s">
        <v>627</v>
      </c>
      <c r="BF178" s="295" t="s">
        <v>2395</v>
      </c>
      <c r="BG178" s="508">
        <f t="shared" ca="1" si="263"/>
        <v>1800</v>
      </c>
      <c r="BH178" s="508">
        <v>1</v>
      </c>
      <c r="BI178" s="508">
        <f>宝箱设定!$H126</f>
        <v>4.4399999999999995E-2</v>
      </c>
      <c r="BJ178" s="170">
        <f t="shared" ca="1" si="264"/>
        <v>3.6383333333333333E-3</v>
      </c>
      <c r="BK178" s="279">
        <f t="shared" ca="1" si="265"/>
        <v>36</v>
      </c>
      <c r="BM178" s="512">
        <v>5</v>
      </c>
      <c r="BN178" s="527" t="s">
        <v>2266</v>
      </c>
      <c r="BO178" s="530" t="s">
        <v>2200</v>
      </c>
      <c r="BP178" s="508" t="str">
        <f t="shared" ca="1" si="230"/>
        <v>T2部件</v>
      </c>
      <c r="BQ178" s="632">
        <v>3.5</v>
      </c>
      <c r="BR178" s="600">
        <v>1.8599999999999998E-2</v>
      </c>
      <c r="BS178" s="170" t="e">
        <f t="shared" ca="1" si="231"/>
        <v>#VALUE!</v>
      </c>
      <c r="BT178" s="508" t="e">
        <f t="shared" ca="1" si="232"/>
        <v>#VALUE!</v>
      </c>
      <c r="BV178" s="293">
        <v>6</v>
      </c>
      <c r="BW178" s="527" t="s">
        <v>2242</v>
      </c>
      <c r="BX178" s="530" t="s">
        <v>2200</v>
      </c>
      <c r="BY178" s="523">
        <f t="shared" ca="1" si="266"/>
        <v>10.125</v>
      </c>
      <c r="BZ178" s="662">
        <v>3.5</v>
      </c>
      <c r="CA178" s="634">
        <v>1.9E-2</v>
      </c>
      <c r="CB178" s="170">
        <f t="shared" ca="1" si="267"/>
        <v>2.6807760141093474E-2</v>
      </c>
      <c r="CC178" s="290">
        <f t="shared" ca="1" si="268"/>
        <v>268</v>
      </c>
      <c r="CE178" s="512">
        <v>10</v>
      </c>
      <c r="CF178" s="527" t="s">
        <v>623</v>
      </c>
      <c r="CG178" s="525" t="s">
        <v>1211</v>
      </c>
      <c r="CH178" s="523">
        <f t="shared" ca="1" si="269"/>
        <v>27.6</v>
      </c>
      <c r="CI178" s="571">
        <v>1</v>
      </c>
      <c r="CJ178" s="634">
        <v>3.0000000000000001E-3</v>
      </c>
      <c r="CK178" s="170">
        <f t="shared" ca="1" si="270"/>
        <v>5.434782608695652E-3</v>
      </c>
      <c r="CL178" s="508">
        <f t="shared" ca="1" si="271"/>
        <v>54</v>
      </c>
    </row>
    <row r="179" spans="2:90" x14ac:dyDescent="0.35">
      <c r="B179" s="512">
        <v>5</v>
      </c>
      <c r="C179" s="512" t="s">
        <v>2256</v>
      </c>
      <c r="D179" s="529" t="s">
        <v>2452</v>
      </c>
      <c r="E179" s="508">
        <f t="shared" ca="1" si="236"/>
        <v>10.8</v>
      </c>
      <c r="F179" s="625">
        <v>2.5</v>
      </c>
      <c r="G179" s="594">
        <v>1.2500000000000001E-2</v>
      </c>
      <c r="H179" s="170">
        <f t="shared" ca="1" si="237"/>
        <v>2.719907407407407E-2</v>
      </c>
      <c r="I179" s="508">
        <f t="shared" ca="1" si="238"/>
        <v>272</v>
      </c>
      <c r="K179" s="512">
        <v>5</v>
      </c>
      <c r="L179" s="512" t="s">
        <v>2256</v>
      </c>
      <c r="M179" s="529" t="s">
        <v>2452</v>
      </c>
      <c r="N179" s="508">
        <f t="shared" ca="1" si="239"/>
        <v>10.8</v>
      </c>
      <c r="O179" s="565">
        <v>1</v>
      </c>
      <c r="P179" s="625">
        <v>1.4999999999999999E-2</v>
      </c>
      <c r="Q179" s="170">
        <f t="shared" ca="1" si="253"/>
        <v>6.5277777777777768E-2</v>
      </c>
      <c r="R179" s="508">
        <f t="shared" ca="1" si="254"/>
        <v>653</v>
      </c>
      <c r="T179" s="512">
        <v>5</v>
      </c>
      <c r="U179" s="512" t="s">
        <v>2256</v>
      </c>
      <c r="V179" s="529" t="s">
        <v>2452</v>
      </c>
      <c r="W179" s="508">
        <f t="shared" ca="1" si="242"/>
        <v>10.8</v>
      </c>
      <c r="X179" s="565">
        <v>1</v>
      </c>
      <c r="Y179" s="633">
        <v>1.4999999999999999E-2</v>
      </c>
      <c r="Z179" s="170">
        <f t="shared" ca="1" si="255"/>
        <v>6.5972222222222224E-2</v>
      </c>
      <c r="AA179" s="508">
        <f t="shared" ca="1" si="256"/>
        <v>660</v>
      </c>
      <c r="AC179" s="512">
        <v>5</v>
      </c>
      <c r="AD179" s="516" t="s">
        <v>2244</v>
      </c>
      <c r="AE179" s="529" t="s">
        <v>2452</v>
      </c>
      <c r="AF179" s="508">
        <f t="shared" ca="1" si="250"/>
        <v>10.8</v>
      </c>
      <c r="AG179" s="625">
        <v>1.5</v>
      </c>
      <c r="AH179" s="633">
        <v>1.41E-2</v>
      </c>
      <c r="AI179" s="170">
        <f t="shared" ca="1" si="251"/>
        <v>5.57037037037037E-2</v>
      </c>
      <c r="AJ179" s="279">
        <f t="shared" ca="1" si="252"/>
        <v>557</v>
      </c>
      <c r="AL179" s="512">
        <v>5</v>
      </c>
      <c r="AM179" s="516" t="s">
        <v>628</v>
      </c>
      <c r="AN179" s="512" t="s">
        <v>1211</v>
      </c>
      <c r="AO179" s="508">
        <f t="shared" ca="1" si="257"/>
        <v>60</v>
      </c>
      <c r="AP179" s="625">
        <v>2.5</v>
      </c>
      <c r="AQ179" s="508">
        <f>宝箱设定!$X115</f>
        <v>5.8400000000000001E-2</v>
      </c>
      <c r="AR179" s="170">
        <f t="shared" ca="1" si="258"/>
        <v>3.7765333333333331E-2</v>
      </c>
      <c r="AS179" s="279">
        <f t="shared" ca="1" si="259"/>
        <v>378</v>
      </c>
      <c r="AU179" s="512">
        <v>5</v>
      </c>
      <c r="AV179" s="516" t="s">
        <v>628</v>
      </c>
      <c r="AW179" s="295" t="s">
        <v>2395</v>
      </c>
      <c r="AX179" s="508">
        <f t="shared" ca="1" si="260"/>
        <v>1800</v>
      </c>
      <c r="AY179" s="508">
        <v>1</v>
      </c>
      <c r="AZ179" s="508">
        <f>宝箱设定!$H127</f>
        <v>4.4399999999999995E-2</v>
      </c>
      <c r="BA179" s="170">
        <f t="shared" ca="1" si="261"/>
        <v>1.6033333333333331E-3</v>
      </c>
      <c r="BB179" s="508">
        <f t="shared" ca="1" si="262"/>
        <v>16</v>
      </c>
      <c r="BD179" s="512">
        <v>5</v>
      </c>
      <c r="BE179" s="516" t="s">
        <v>628</v>
      </c>
      <c r="BF179" s="295" t="s">
        <v>2395</v>
      </c>
      <c r="BG179" s="508">
        <f t="shared" ca="1" si="263"/>
        <v>1800</v>
      </c>
      <c r="BH179" s="508">
        <v>1</v>
      </c>
      <c r="BI179" s="508">
        <f>宝箱设定!$H127</f>
        <v>4.4399999999999995E-2</v>
      </c>
      <c r="BJ179" s="170">
        <f t="shared" ca="1" si="264"/>
        <v>3.6383333333333333E-3</v>
      </c>
      <c r="BK179" s="279">
        <f t="shared" ca="1" si="265"/>
        <v>36</v>
      </c>
      <c r="BM179" s="512">
        <v>5</v>
      </c>
      <c r="BN179" s="527" t="s">
        <v>2268</v>
      </c>
      <c r="BO179" s="530" t="s">
        <v>2200</v>
      </c>
      <c r="BP179" s="508" t="str">
        <f t="shared" ca="1" si="230"/>
        <v>T2部件</v>
      </c>
      <c r="BQ179" s="632">
        <v>3.5</v>
      </c>
      <c r="BR179" s="600">
        <v>1.8599999999999998E-2</v>
      </c>
      <c r="BS179" s="170" t="e">
        <f t="shared" ca="1" si="231"/>
        <v>#VALUE!</v>
      </c>
      <c r="BT179" s="508" t="e">
        <f t="shared" ca="1" si="232"/>
        <v>#VALUE!</v>
      </c>
      <c r="BV179" s="293">
        <v>6</v>
      </c>
      <c r="BW179" s="527" t="s">
        <v>2244</v>
      </c>
      <c r="BX179" s="530" t="s">
        <v>2200</v>
      </c>
      <c r="BY179" s="523">
        <f t="shared" ca="1" si="266"/>
        <v>10.125</v>
      </c>
      <c r="BZ179" s="662">
        <v>3.5</v>
      </c>
      <c r="CA179" s="634">
        <v>1.9E-2</v>
      </c>
      <c r="CB179" s="170">
        <f t="shared" ca="1" si="267"/>
        <v>2.6807760141093474E-2</v>
      </c>
      <c r="CC179" s="290">
        <f t="shared" ca="1" si="268"/>
        <v>268</v>
      </c>
      <c r="CE179" s="512">
        <v>10</v>
      </c>
      <c r="CF179" s="527" t="s">
        <v>721</v>
      </c>
      <c r="CG179" s="525" t="s">
        <v>1211</v>
      </c>
      <c r="CH179" s="523">
        <f t="shared" ca="1" si="269"/>
        <v>27.6</v>
      </c>
      <c r="CI179" s="571">
        <v>1</v>
      </c>
      <c r="CJ179" s="634">
        <v>3.0000000000000001E-3</v>
      </c>
      <c r="CK179" s="170">
        <f t="shared" ca="1" si="270"/>
        <v>5.434782608695652E-3</v>
      </c>
      <c r="CL179" s="508">
        <f t="shared" ca="1" si="271"/>
        <v>54</v>
      </c>
    </row>
    <row r="180" spans="2:90" x14ac:dyDescent="0.35">
      <c r="B180" s="512">
        <v>5</v>
      </c>
      <c r="C180" s="516" t="s">
        <v>2241</v>
      </c>
      <c r="D180" s="529" t="s">
        <v>2452</v>
      </c>
      <c r="E180" s="508">
        <f t="shared" ca="1" si="236"/>
        <v>10.8</v>
      </c>
      <c r="F180" s="625">
        <v>2.5</v>
      </c>
      <c r="G180" s="594">
        <v>1.2500000000000001E-2</v>
      </c>
      <c r="H180" s="170">
        <f t="shared" ca="1" si="237"/>
        <v>2.719907407407407E-2</v>
      </c>
      <c r="I180" s="508">
        <f t="shared" ca="1" si="238"/>
        <v>272</v>
      </c>
      <c r="K180" s="512">
        <v>5</v>
      </c>
      <c r="L180" s="516" t="s">
        <v>2241</v>
      </c>
      <c r="M180" s="529" t="s">
        <v>2452</v>
      </c>
      <c r="N180" s="508">
        <f t="shared" ca="1" si="239"/>
        <v>10.8</v>
      </c>
      <c r="O180" s="565">
        <v>1</v>
      </c>
      <c r="P180" s="625">
        <v>1.4999999999999999E-2</v>
      </c>
      <c r="Q180" s="170">
        <f t="shared" ca="1" si="253"/>
        <v>6.5277777777777768E-2</v>
      </c>
      <c r="R180" s="508">
        <f t="shared" ca="1" si="254"/>
        <v>653</v>
      </c>
      <c r="T180" s="512">
        <v>5</v>
      </c>
      <c r="U180" s="516" t="s">
        <v>2241</v>
      </c>
      <c r="V180" s="529" t="s">
        <v>2452</v>
      </c>
      <c r="W180" s="508">
        <f t="shared" ca="1" si="242"/>
        <v>10.8</v>
      </c>
      <c r="X180" s="565">
        <v>1</v>
      </c>
      <c r="Y180" s="633">
        <v>1.4999999999999999E-2</v>
      </c>
      <c r="Z180" s="170">
        <f t="shared" ca="1" si="255"/>
        <v>6.5972222222222224E-2</v>
      </c>
      <c r="AA180" s="508">
        <f t="shared" ca="1" si="256"/>
        <v>660</v>
      </c>
      <c r="AC180" s="512">
        <v>5</v>
      </c>
      <c r="AD180" s="516" t="s">
        <v>2246</v>
      </c>
      <c r="AE180" s="529" t="s">
        <v>2452</v>
      </c>
      <c r="AF180" s="508">
        <f t="shared" ca="1" si="250"/>
        <v>10.8</v>
      </c>
      <c r="AG180" s="625">
        <v>1.5</v>
      </c>
      <c r="AH180" s="633">
        <v>1.41E-2</v>
      </c>
      <c r="AI180" s="170">
        <f t="shared" ref="AI180:AI212" ca="1" si="272">AH180*AD$4/AF180/AG180</f>
        <v>5.57037037037037E-2</v>
      </c>
      <c r="AJ180" s="508">
        <f t="shared" ref="AJ180:AJ212" ca="1" si="273">ROUND(AI180*10000,0)</f>
        <v>557</v>
      </c>
      <c r="AL180" s="512">
        <v>5</v>
      </c>
      <c r="AM180" s="516" t="s">
        <v>619</v>
      </c>
      <c r="AN180" s="512" t="s">
        <v>1211</v>
      </c>
      <c r="AO180" s="508">
        <f t="shared" ca="1" si="257"/>
        <v>75</v>
      </c>
      <c r="AP180" s="279">
        <v>1</v>
      </c>
      <c r="AQ180" s="508">
        <f>宝箱设定!$X116</f>
        <v>3.6499999999999998E-2</v>
      </c>
      <c r="AR180" s="170">
        <f t="shared" ca="1" si="258"/>
        <v>4.7206666666666661E-2</v>
      </c>
      <c r="AS180" s="279">
        <f t="shared" ca="1" si="259"/>
        <v>472</v>
      </c>
      <c r="AU180" s="512">
        <v>5</v>
      </c>
      <c r="AV180" s="516" t="s">
        <v>616</v>
      </c>
      <c r="AW180" s="512" t="s">
        <v>2394</v>
      </c>
      <c r="AX180" s="508">
        <f t="shared" ca="1" si="260"/>
        <v>49.199999999999996</v>
      </c>
      <c r="AY180" s="508">
        <v>3</v>
      </c>
      <c r="AZ180" s="508">
        <f>宝箱设定!$H128</f>
        <v>3.6999999999999998E-2</v>
      </c>
      <c r="BA180" s="170">
        <f t="shared" ca="1" si="261"/>
        <v>1.6294037940379404E-2</v>
      </c>
      <c r="BB180" s="508">
        <f t="shared" ca="1" si="262"/>
        <v>163</v>
      </c>
      <c r="BD180" s="512">
        <v>5</v>
      </c>
      <c r="BE180" s="516" t="s">
        <v>616</v>
      </c>
      <c r="BF180" s="512" t="s">
        <v>2394</v>
      </c>
      <c r="BG180" s="508">
        <f t="shared" ca="1" si="263"/>
        <v>49.199999999999996</v>
      </c>
      <c r="BH180" s="508">
        <v>6</v>
      </c>
      <c r="BI180" s="508">
        <f>宝箱设定!$H128</f>
        <v>3.6999999999999998E-2</v>
      </c>
      <c r="BJ180" s="170">
        <f t="shared" ref="BJ180:BJ200" ca="1" si="274">BI180*BE$4/BG180/BH180</f>
        <v>1.8487466124661248E-2</v>
      </c>
      <c r="BK180" s="379">
        <f t="shared" ref="BK180:BK200" ca="1" si="275">ROUND(BJ180*10000,0)</f>
        <v>185</v>
      </c>
      <c r="BM180" s="512">
        <v>5</v>
      </c>
      <c r="BN180" s="527" t="s">
        <v>2270</v>
      </c>
      <c r="BO180" s="530" t="s">
        <v>2200</v>
      </c>
      <c r="BP180" s="508" t="str">
        <f t="shared" ca="1" si="230"/>
        <v>T2部件</v>
      </c>
      <c r="BQ180" s="632">
        <v>3.5</v>
      </c>
      <c r="BR180" s="600">
        <v>1.8599999999999998E-2</v>
      </c>
      <c r="BS180" s="170" t="e">
        <f t="shared" ca="1" si="231"/>
        <v>#VALUE!</v>
      </c>
      <c r="BT180" s="508" t="e">
        <f t="shared" ca="1" si="232"/>
        <v>#VALUE!</v>
      </c>
      <c r="BV180" s="293">
        <v>6</v>
      </c>
      <c r="BW180" s="527" t="s">
        <v>2246</v>
      </c>
      <c r="BX180" s="530" t="s">
        <v>2200</v>
      </c>
      <c r="BY180" s="523">
        <f t="shared" ca="1" si="266"/>
        <v>10.125</v>
      </c>
      <c r="BZ180" s="662">
        <v>3.5</v>
      </c>
      <c r="CA180" s="634">
        <v>1.9E-2</v>
      </c>
      <c r="CB180" s="170">
        <f t="shared" ca="1" si="267"/>
        <v>2.6807760141093474E-2</v>
      </c>
      <c r="CC180" s="290">
        <f t="shared" ca="1" si="268"/>
        <v>268</v>
      </c>
      <c r="CE180" s="512">
        <v>10</v>
      </c>
      <c r="CF180" s="527" t="s">
        <v>616</v>
      </c>
      <c r="CG180" s="525" t="s">
        <v>1211</v>
      </c>
      <c r="CH180" s="523">
        <f t="shared" ca="1" si="269"/>
        <v>31.200000000000003</v>
      </c>
      <c r="CI180" s="571">
        <v>1</v>
      </c>
      <c r="CJ180" s="523">
        <v>1.4E-2</v>
      </c>
      <c r="CK180" s="170">
        <f t="shared" ca="1" si="270"/>
        <v>2.2435897435897436E-2</v>
      </c>
      <c r="CL180" s="508">
        <f t="shared" ca="1" si="271"/>
        <v>224</v>
      </c>
    </row>
    <row r="181" spans="2:90" x14ac:dyDescent="0.35">
      <c r="B181" s="512">
        <v>5</v>
      </c>
      <c r="C181" s="516" t="s">
        <v>2243</v>
      </c>
      <c r="D181" s="529" t="s">
        <v>2452</v>
      </c>
      <c r="E181" s="508">
        <f t="shared" ca="1" si="236"/>
        <v>10.8</v>
      </c>
      <c r="F181" s="625">
        <v>2.5</v>
      </c>
      <c r="G181" s="594">
        <v>1.2500000000000001E-2</v>
      </c>
      <c r="H181" s="170">
        <f t="shared" ca="1" si="237"/>
        <v>2.719907407407407E-2</v>
      </c>
      <c r="I181" s="508">
        <f t="shared" ca="1" si="238"/>
        <v>272</v>
      </c>
      <c r="K181" s="512">
        <v>5</v>
      </c>
      <c r="L181" s="516" t="s">
        <v>2243</v>
      </c>
      <c r="M181" s="529" t="s">
        <v>2452</v>
      </c>
      <c r="N181" s="508">
        <f t="shared" ca="1" si="239"/>
        <v>10.8</v>
      </c>
      <c r="O181" s="565">
        <v>1</v>
      </c>
      <c r="P181" s="625">
        <v>1.4999999999999999E-2</v>
      </c>
      <c r="Q181" s="170">
        <f t="shared" ca="1" si="253"/>
        <v>6.5277777777777768E-2</v>
      </c>
      <c r="R181" s="508">
        <f t="shared" ca="1" si="254"/>
        <v>653</v>
      </c>
      <c r="T181" s="512">
        <v>5</v>
      </c>
      <c r="U181" s="516" t="s">
        <v>2243</v>
      </c>
      <c r="V181" s="529" t="s">
        <v>2452</v>
      </c>
      <c r="W181" s="508">
        <f t="shared" ca="1" si="242"/>
        <v>10.8</v>
      </c>
      <c r="X181" s="565">
        <v>1</v>
      </c>
      <c r="Y181" s="633">
        <v>1.4999999999999999E-2</v>
      </c>
      <c r="Z181" s="170">
        <f t="shared" ca="1" si="255"/>
        <v>6.5972222222222224E-2</v>
      </c>
      <c r="AA181" s="508">
        <f t="shared" ca="1" si="256"/>
        <v>660</v>
      </c>
      <c r="AC181" s="512">
        <v>5</v>
      </c>
      <c r="AD181" s="516" t="s">
        <v>2248</v>
      </c>
      <c r="AE181" s="529" t="s">
        <v>2452</v>
      </c>
      <c r="AF181" s="508">
        <f t="shared" ca="1" si="250"/>
        <v>10.8</v>
      </c>
      <c r="AG181" s="625">
        <v>1.5</v>
      </c>
      <c r="AH181" s="633">
        <v>1.41E-2</v>
      </c>
      <c r="AI181" s="170">
        <f t="shared" ca="1" si="272"/>
        <v>5.57037037037037E-2</v>
      </c>
      <c r="AJ181" s="508">
        <f t="shared" ca="1" si="273"/>
        <v>557</v>
      </c>
      <c r="AL181" s="512">
        <v>5</v>
      </c>
      <c r="AM181" s="516" t="s">
        <v>718</v>
      </c>
      <c r="AN181" s="512" t="s">
        <v>1211</v>
      </c>
      <c r="AO181" s="508">
        <f t="shared" ca="1" si="257"/>
        <v>75</v>
      </c>
      <c r="AP181" s="565">
        <v>1</v>
      </c>
      <c r="AQ181" s="508">
        <f>宝箱设定!$X117</f>
        <v>3.6499999999999998E-2</v>
      </c>
      <c r="AR181" s="170">
        <f t="shared" ca="1" si="258"/>
        <v>4.7206666666666661E-2</v>
      </c>
      <c r="AS181" s="279">
        <f t="shared" ca="1" si="259"/>
        <v>472</v>
      </c>
      <c r="AU181" s="512">
        <v>5</v>
      </c>
      <c r="AV181" s="516" t="s">
        <v>624</v>
      </c>
      <c r="AW181" s="512" t="s">
        <v>2394</v>
      </c>
      <c r="AX181" s="508">
        <f t="shared" ca="1" si="260"/>
        <v>49.199999999999996</v>
      </c>
      <c r="AY181" s="508">
        <v>3</v>
      </c>
      <c r="AZ181" s="508">
        <f>宝箱设定!$H129</f>
        <v>3.6999999999999998E-2</v>
      </c>
      <c r="BA181" s="170">
        <f t="shared" ca="1" si="261"/>
        <v>1.6294037940379404E-2</v>
      </c>
      <c r="BB181" s="508">
        <f t="shared" ca="1" si="262"/>
        <v>163</v>
      </c>
      <c r="BD181" s="512">
        <v>5</v>
      </c>
      <c r="BE181" s="516" t="s">
        <v>624</v>
      </c>
      <c r="BF181" s="512" t="s">
        <v>2394</v>
      </c>
      <c r="BG181" s="508">
        <f t="shared" ca="1" si="263"/>
        <v>49.199999999999996</v>
      </c>
      <c r="BH181" s="615">
        <v>6</v>
      </c>
      <c r="BI181" s="508">
        <f>宝箱设定!$H129</f>
        <v>3.6999999999999998E-2</v>
      </c>
      <c r="BJ181" s="170">
        <f t="shared" ca="1" si="274"/>
        <v>1.8487466124661248E-2</v>
      </c>
      <c r="BK181" s="379">
        <f t="shared" ca="1" si="275"/>
        <v>185</v>
      </c>
      <c r="BM181" s="512">
        <v>5</v>
      </c>
      <c r="BN181" s="525" t="s">
        <v>2272</v>
      </c>
      <c r="BO181" s="530" t="s">
        <v>2200</v>
      </c>
      <c r="BP181" s="508" t="str">
        <f t="shared" ca="1" si="230"/>
        <v>T2部件</v>
      </c>
      <c r="BQ181" s="632">
        <v>3.5</v>
      </c>
      <c r="BR181" s="600">
        <v>1.8599999999999998E-2</v>
      </c>
      <c r="BS181" s="170" t="e">
        <f t="shared" ca="1" si="231"/>
        <v>#VALUE!</v>
      </c>
      <c r="BT181" s="508" t="e">
        <f t="shared" ca="1" si="232"/>
        <v>#VALUE!</v>
      </c>
      <c r="BV181" s="293">
        <v>6</v>
      </c>
      <c r="BW181" s="527" t="s">
        <v>2248</v>
      </c>
      <c r="BX181" s="530" t="s">
        <v>2200</v>
      </c>
      <c r="BY181" s="523">
        <f t="shared" ca="1" si="266"/>
        <v>10.125</v>
      </c>
      <c r="BZ181" s="662">
        <v>3.5</v>
      </c>
      <c r="CA181" s="634">
        <v>1.9E-2</v>
      </c>
      <c r="CB181" s="170">
        <f t="shared" ca="1" si="267"/>
        <v>2.6807760141093474E-2</v>
      </c>
      <c r="CC181" s="290">
        <f t="shared" ca="1" si="268"/>
        <v>268</v>
      </c>
      <c r="CE181" s="512">
        <v>10</v>
      </c>
      <c r="CF181" s="527" t="s">
        <v>624</v>
      </c>
      <c r="CG181" s="525" t="s">
        <v>1211</v>
      </c>
      <c r="CH181" s="523">
        <f t="shared" ca="1" si="269"/>
        <v>31.200000000000003</v>
      </c>
      <c r="CI181" s="571">
        <v>1</v>
      </c>
      <c r="CJ181" s="634">
        <v>1.4E-2</v>
      </c>
      <c r="CK181" s="170">
        <f t="shared" ca="1" si="270"/>
        <v>2.2435897435897436E-2</v>
      </c>
      <c r="CL181" s="508">
        <f t="shared" ca="1" si="271"/>
        <v>224</v>
      </c>
    </row>
    <row r="182" spans="2:90" x14ac:dyDescent="0.35">
      <c r="B182" s="512">
        <v>5</v>
      </c>
      <c r="C182" s="516" t="s">
        <v>2245</v>
      </c>
      <c r="D182" s="529" t="s">
        <v>2452</v>
      </c>
      <c r="E182" s="508">
        <f t="shared" ca="1" si="236"/>
        <v>10.8</v>
      </c>
      <c r="F182" s="625">
        <v>2.5</v>
      </c>
      <c r="G182" s="594">
        <v>1.26E-2</v>
      </c>
      <c r="H182" s="170">
        <f t="shared" ca="1" si="237"/>
        <v>2.7416666666666662E-2</v>
      </c>
      <c r="I182" s="508">
        <f t="shared" ca="1" si="238"/>
        <v>274</v>
      </c>
      <c r="K182" s="512">
        <v>5</v>
      </c>
      <c r="L182" s="516" t="s">
        <v>2245</v>
      </c>
      <c r="M182" s="529" t="s">
        <v>2452</v>
      </c>
      <c r="N182" s="508">
        <f t="shared" ca="1" si="239"/>
        <v>10.8</v>
      </c>
      <c r="O182" s="565">
        <v>1</v>
      </c>
      <c r="P182" s="625">
        <v>1.4999999999999999E-2</v>
      </c>
      <c r="Q182" s="170">
        <f t="shared" ca="1" si="253"/>
        <v>6.5277777777777768E-2</v>
      </c>
      <c r="R182" s="508">
        <f t="shared" ca="1" si="254"/>
        <v>653</v>
      </c>
      <c r="T182" s="512">
        <v>5</v>
      </c>
      <c r="U182" s="516" t="s">
        <v>2245</v>
      </c>
      <c r="V182" s="529" t="s">
        <v>2452</v>
      </c>
      <c r="W182" s="508">
        <f t="shared" ca="1" si="242"/>
        <v>10.8</v>
      </c>
      <c r="X182" s="565">
        <v>1</v>
      </c>
      <c r="Y182" s="633">
        <v>1.4999999999999999E-2</v>
      </c>
      <c r="Z182" s="170">
        <f t="shared" ca="1" si="255"/>
        <v>6.5972222222222224E-2</v>
      </c>
      <c r="AA182" s="508">
        <f t="shared" ca="1" si="256"/>
        <v>660</v>
      </c>
      <c r="AC182" s="512">
        <v>5</v>
      </c>
      <c r="AD182" s="516" t="s">
        <v>2250</v>
      </c>
      <c r="AE182" s="529" t="s">
        <v>2452</v>
      </c>
      <c r="AF182" s="508">
        <f t="shared" ca="1" si="250"/>
        <v>10.8</v>
      </c>
      <c r="AG182" s="625">
        <v>1.5</v>
      </c>
      <c r="AH182" s="633">
        <v>1.41E-2</v>
      </c>
      <c r="AI182" s="170">
        <f t="shared" ca="1" si="272"/>
        <v>5.57037037037037E-2</v>
      </c>
      <c r="AJ182" s="508">
        <f t="shared" ca="1" si="273"/>
        <v>557</v>
      </c>
      <c r="AL182" s="512">
        <v>5</v>
      </c>
      <c r="AM182" s="516" t="s">
        <v>632</v>
      </c>
      <c r="AN182" s="512" t="s">
        <v>1211</v>
      </c>
      <c r="AO182" s="508">
        <f t="shared" ca="1" si="257"/>
        <v>75</v>
      </c>
      <c r="AP182" s="565">
        <v>1</v>
      </c>
      <c r="AQ182" s="508">
        <f>宝箱设定!$X118</f>
        <v>3.6499999999999998E-2</v>
      </c>
      <c r="AR182" s="170">
        <f t="shared" ca="1" si="258"/>
        <v>4.7206666666666661E-2</v>
      </c>
      <c r="AS182" s="279">
        <f t="shared" ca="1" si="259"/>
        <v>472</v>
      </c>
      <c r="AU182" s="512">
        <v>5</v>
      </c>
      <c r="AV182" s="516" t="s">
        <v>630</v>
      </c>
      <c r="AW182" s="512" t="s">
        <v>2394</v>
      </c>
      <c r="AX182" s="508">
        <f t="shared" ca="1" si="260"/>
        <v>49.199999999999996</v>
      </c>
      <c r="AY182" s="508">
        <v>3</v>
      </c>
      <c r="AZ182" s="508">
        <f>宝箱设定!$H130</f>
        <v>3.6999999999999998E-2</v>
      </c>
      <c r="BA182" s="170">
        <f t="shared" ca="1" si="261"/>
        <v>1.6294037940379404E-2</v>
      </c>
      <c r="BB182" s="508">
        <f t="shared" ca="1" si="262"/>
        <v>163</v>
      </c>
      <c r="BD182" s="512">
        <v>5</v>
      </c>
      <c r="BE182" s="516" t="s">
        <v>630</v>
      </c>
      <c r="BF182" s="512" t="s">
        <v>2394</v>
      </c>
      <c r="BG182" s="508">
        <f t="shared" ca="1" si="263"/>
        <v>49.199999999999996</v>
      </c>
      <c r="BH182" s="615">
        <v>6</v>
      </c>
      <c r="BI182" s="508">
        <f>宝箱设定!$H130</f>
        <v>3.6999999999999998E-2</v>
      </c>
      <c r="BJ182" s="170">
        <f t="shared" ca="1" si="274"/>
        <v>1.8487466124661248E-2</v>
      </c>
      <c r="BK182" s="379">
        <f t="shared" ca="1" si="275"/>
        <v>185</v>
      </c>
      <c r="BM182" s="512">
        <v>5</v>
      </c>
      <c r="BN182" s="525" t="s">
        <v>2274</v>
      </c>
      <c r="BO182" s="530" t="s">
        <v>2200</v>
      </c>
      <c r="BP182" s="508" t="str">
        <f t="shared" ca="1" si="230"/>
        <v>T2部件</v>
      </c>
      <c r="BQ182" s="632">
        <v>3.5</v>
      </c>
      <c r="BR182" s="600">
        <v>1.8599999999999998E-2</v>
      </c>
      <c r="BS182" s="170" t="e">
        <f t="shared" ca="1" si="231"/>
        <v>#VALUE!</v>
      </c>
      <c r="BT182" s="508" t="e">
        <f t="shared" ca="1" si="232"/>
        <v>#VALUE!</v>
      </c>
      <c r="BV182" s="293">
        <v>6</v>
      </c>
      <c r="BW182" s="527" t="s">
        <v>2250</v>
      </c>
      <c r="BX182" s="530" t="s">
        <v>2200</v>
      </c>
      <c r="BY182" s="523">
        <f t="shared" ca="1" si="266"/>
        <v>10.125</v>
      </c>
      <c r="BZ182" s="662">
        <v>3.5</v>
      </c>
      <c r="CA182" s="634">
        <v>1.9E-2</v>
      </c>
      <c r="CB182" s="170">
        <f t="shared" ca="1" si="267"/>
        <v>2.6807760141093474E-2</v>
      </c>
      <c r="CC182" s="290">
        <f t="shared" ca="1" si="268"/>
        <v>268</v>
      </c>
      <c r="CE182" s="512">
        <v>10</v>
      </c>
      <c r="CF182" s="527" t="s">
        <v>630</v>
      </c>
      <c r="CG182" s="525" t="s">
        <v>1211</v>
      </c>
      <c r="CH182" s="523">
        <f t="shared" ca="1" si="269"/>
        <v>31.200000000000003</v>
      </c>
      <c r="CI182" s="571">
        <v>1</v>
      </c>
      <c r="CJ182" s="634">
        <v>1.4E-2</v>
      </c>
      <c r="CK182" s="170">
        <f t="shared" ca="1" si="270"/>
        <v>2.2435897435897436E-2</v>
      </c>
      <c r="CL182" s="508">
        <f t="shared" ca="1" si="271"/>
        <v>224</v>
      </c>
    </row>
    <row r="183" spans="2:90" x14ac:dyDescent="0.35">
      <c r="B183" s="512">
        <v>5</v>
      </c>
      <c r="C183" s="516" t="s">
        <v>2247</v>
      </c>
      <c r="D183" s="529" t="s">
        <v>2452</v>
      </c>
      <c r="E183" s="508">
        <f t="shared" ca="1" si="236"/>
        <v>10.8</v>
      </c>
      <c r="F183" s="625">
        <v>2.5</v>
      </c>
      <c r="G183" s="594">
        <v>1.26E-2</v>
      </c>
      <c r="H183" s="170">
        <f t="shared" ca="1" si="237"/>
        <v>2.7416666666666662E-2</v>
      </c>
      <c r="I183" s="508">
        <f t="shared" ca="1" si="238"/>
        <v>274</v>
      </c>
      <c r="K183" s="512">
        <v>5</v>
      </c>
      <c r="L183" s="516" t="s">
        <v>2247</v>
      </c>
      <c r="M183" s="529" t="s">
        <v>2452</v>
      </c>
      <c r="N183" s="508">
        <f t="shared" ca="1" si="239"/>
        <v>10.8</v>
      </c>
      <c r="O183" s="565">
        <v>1</v>
      </c>
      <c r="P183" s="625">
        <v>1.4999999999999999E-2</v>
      </c>
      <c r="Q183" s="170">
        <f t="shared" ca="1" si="253"/>
        <v>6.5277777777777768E-2</v>
      </c>
      <c r="R183" s="508">
        <f t="shared" ca="1" si="254"/>
        <v>653</v>
      </c>
      <c r="T183" s="512">
        <v>5</v>
      </c>
      <c r="U183" s="516" t="s">
        <v>2247</v>
      </c>
      <c r="V183" s="529" t="s">
        <v>2452</v>
      </c>
      <c r="W183" s="508">
        <f t="shared" ca="1" si="242"/>
        <v>10.8</v>
      </c>
      <c r="X183" s="565">
        <v>1</v>
      </c>
      <c r="Y183" s="633">
        <v>1.4999999999999999E-2</v>
      </c>
      <c r="Z183" s="170">
        <f t="shared" ca="1" si="255"/>
        <v>6.5972222222222224E-2</v>
      </c>
      <c r="AA183" s="508">
        <f t="shared" ca="1" si="256"/>
        <v>660</v>
      </c>
      <c r="AC183" s="512">
        <v>5</v>
      </c>
      <c r="AD183" s="516" t="s">
        <v>2252</v>
      </c>
      <c r="AE183" s="529" t="s">
        <v>2452</v>
      </c>
      <c r="AF183" s="508">
        <f t="shared" ca="1" si="250"/>
        <v>10.8</v>
      </c>
      <c r="AG183" s="625">
        <v>1.5</v>
      </c>
      <c r="AH183" s="633">
        <v>1.41E-2</v>
      </c>
      <c r="AI183" s="170">
        <f t="shared" ca="1" si="272"/>
        <v>5.57037037037037E-2</v>
      </c>
      <c r="AJ183" s="508">
        <f t="shared" ca="1" si="273"/>
        <v>557</v>
      </c>
      <c r="AL183" s="512">
        <v>5</v>
      </c>
      <c r="AM183" s="516" t="s">
        <v>2239</v>
      </c>
      <c r="AN183" s="529" t="s">
        <v>2452</v>
      </c>
      <c r="AO183" s="508">
        <f t="shared" ca="1" si="257"/>
        <v>10.8</v>
      </c>
      <c r="AP183" s="565">
        <v>2.5</v>
      </c>
      <c r="AQ183" s="565">
        <v>1.1599999999999999E-2</v>
      </c>
      <c r="AR183" s="170">
        <f t="shared" ca="1" si="258"/>
        <v>4.1674074074074072E-2</v>
      </c>
      <c r="AS183" s="279">
        <f t="shared" ca="1" si="259"/>
        <v>417</v>
      </c>
      <c r="AU183" s="512">
        <v>5</v>
      </c>
      <c r="AV183" s="516" t="s">
        <v>617</v>
      </c>
      <c r="AW183" s="512" t="s">
        <v>2394</v>
      </c>
      <c r="AX183" s="508">
        <f t="shared" ca="1" si="260"/>
        <v>78.2</v>
      </c>
      <c r="AY183" s="508">
        <v>2.5</v>
      </c>
      <c r="AZ183" s="508">
        <f>宝箱设定!$H131</f>
        <v>3.6999999999999998E-2</v>
      </c>
      <c r="BA183" s="170">
        <f t="shared" ca="1" si="261"/>
        <v>1.2301790281329921E-2</v>
      </c>
      <c r="BB183" s="508">
        <f t="shared" ca="1" si="262"/>
        <v>123</v>
      </c>
      <c r="BD183" s="512">
        <v>5</v>
      </c>
      <c r="BE183" s="516" t="s">
        <v>617</v>
      </c>
      <c r="BF183" s="512" t="s">
        <v>2394</v>
      </c>
      <c r="BG183" s="508">
        <f t="shared" ca="1" si="263"/>
        <v>78.2</v>
      </c>
      <c r="BH183" s="615">
        <v>5</v>
      </c>
      <c r="BI183" s="508">
        <f>宝箱设定!$H131</f>
        <v>3.6999999999999998E-2</v>
      </c>
      <c r="BJ183" s="170">
        <f ca="1">BI183*BE$4/BG183/BH183</f>
        <v>1.3957800511508949E-2</v>
      </c>
      <c r="BK183" s="379">
        <f ca="1">ROUND(BJ183*10000,0)</f>
        <v>140</v>
      </c>
      <c r="BM183" s="512">
        <v>5</v>
      </c>
      <c r="BN183" s="527" t="s">
        <v>2259</v>
      </c>
      <c r="BO183" s="530" t="s">
        <v>2200</v>
      </c>
      <c r="BP183" s="508" t="str">
        <f t="shared" ca="1" si="230"/>
        <v>T2部件</v>
      </c>
      <c r="BQ183" s="632">
        <v>3.5</v>
      </c>
      <c r="BR183" s="600">
        <v>1.8599999999999998E-2</v>
      </c>
      <c r="BS183" s="170" t="e">
        <f t="shared" ref="BS183:BS191" ca="1" si="276">BR183*BN$4/BP183/BQ183</f>
        <v>#VALUE!</v>
      </c>
      <c r="BT183" s="523" t="e">
        <f t="shared" ref="BT183:BT191" ca="1" si="277">ROUND(BS183*10000,0)</f>
        <v>#VALUE!</v>
      </c>
      <c r="BV183" s="406">
        <v>6</v>
      </c>
      <c r="BW183" s="527" t="s">
        <v>2252</v>
      </c>
      <c r="BX183" s="530" t="s">
        <v>2200</v>
      </c>
      <c r="BY183" s="523">
        <f t="shared" ca="1" si="266"/>
        <v>10.125</v>
      </c>
      <c r="BZ183" s="662">
        <v>3.5</v>
      </c>
      <c r="CA183" s="634">
        <v>1.9E-2</v>
      </c>
      <c r="CB183" s="170">
        <f ca="1">CA183*BW$4/BY183/BZ183</f>
        <v>2.6807760141093474E-2</v>
      </c>
      <c r="CC183" s="405">
        <f ca="1">ROUND(CB183*10000,0)</f>
        <v>268</v>
      </c>
      <c r="CE183" s="512">
        <v>10</v>
      </c>
      <c r="CF183" s="527" t="s">
        <v>617</v>
      </c>
      <c r="CG183" s="525" t="s">
        <v>1211</v>
      </c>
      <c r="CH183" s="523">
        <f t="shared" ca="1" si="269"/>
        <v>61.199999999999996</v>
      </c>
      <c r="CI183" s="571">
        <v>1</v>
      </c>
      <c r="CJ183" s="523">
        <v>4.8000000000000001E-2</v>
      </c>
      <c r="CK183" s="170">
        <f t="shared" ca="1" si="270"/>
        <v>3.9215686274509803E-2</v>
      </c>
      <c r="CL183" s="508">
        <f t="shared" ca="1" si="271"/>
        <v>392</v>
      </c>
    </row>
    <row r="184" spans="2:90" x14ac:dyDescent="0.35">
      <c r="B184" s="512">
        <v>5</v>
      </c>
      <c r="C184" s="516" t="s">
        <v>2249</v>
      </c>
      <c r="D184" s="529" t="s">
        <v>2452</v>
      </c>
      <c r="E184" s="508">
        <f t="shared" ca="1" si="236"/>
        <v>10.8</v>
      </c>
      <c r="F184" s="625">
        <v>2.5</v>
      </c>
      <c r="G184" s="594">
        <v>1.26E-2</v>
      </c>
      <c r="H184" s="170">
        <f t="shared" ca="1" si="237"/>
        <v>2.7416666666666662E-2</v>
      </c>
      <c r="I184" s="508">
        <f t="shared" ca="1" si="238"/>
        <v>274</v>
      </c>
      <c r="K184" s="512">
        <v>5</v>
      </c>
      <c r="L184" s="516" t="s">
        <v>2249</v>
      </c>
      <c r="M184" s="529" t="s">
        <v>2452</v>
      </c>
      <c r="N184" s="508">
        <f t="shared" ca="1" si="239"/>
        <v>10.8</v>
      </c>
      <c r="O184" s="565">
        <v>1</v>
      </c>
      <c r="P184" s="625">
        <v>1.4999999999999999E-2</v>
      </c>
      <c r="Q184" s="170">
        <f t="shared" ca="1" si="253"/>
        <v>6.5277777777777768E-2</v>
      </c>
      <c r="R184" s="508">
        <f t="shared" ca="1" si="254"/>
        <v>653</v>
      </c>
      <c r="T184" s="512">
        <v>5</v>
      </c>
      <c r="U184" s="516" t="s">
        <v>2249</v>
      </c>
      <c r="V184" s="529" t="s">
        <v>2452</v>
      </c>
      <c r="W184" s="508">
        <f t="shared" ca="1" si="242"/>
        <v>10.8</v>
      </c>
      <c r="X184" s="565">
        <v>1</v>
      </c>
      <c r="Y184" s="633">
        <v>1.4999999999999999E-2</v>
      </c>
      <c r="Z184" s="170">
        <f t="shared" ca="1" si="255"/>
        <v>6.5972222222222224E-2</v>
      </c>
      <c r="AA184" s="508">
        <f t="shared" ca="1" si="256"/>
        <v>660</v>
      </c>
      <c r="AC184" s="512">
        <v>5</v>
      </c>
      <c r="AD184" s="512" t="s">
        <v>2254</v>
      </c>
      <c r="AE184" s="529" t="s">
        <v>2452</v>
      </c>
      <c r="AF184" s="508">
        <f t="shared" ca="1" si="250"/>
        <v>10.8</v>
      </c>
      <c r="AG184" s="625">
        <v>1.5</v>
      </c>
      <c r="AH184" s="633">
        <v>1.41E-2</v>
      </c>
      <c r="AI184" s="170">
        <f t="shared" ca="1" si="272"/>
        <v>5.57037037037037E-2</v>
      </c>
      <c r="AJ184" s="508">
        <f t="shared" ca="1" si="273"/>
        <v>557</v>
      </c>
      <c r="AL184" s="512">
        <v>5</v>
      </c>
      <c r="AM184" s="516" t="s">
        <v>2242</v>
      </c>
      <c r="AN184" s="529" t="s">
        <v>2452</v>
      </c>
      <c r="AO184" s="508">
        <f t="shared" ca="1" si="257"/>
        <v>10.8</v>
      </c>
      <c r="AP184" s="625">
        <v>2.5</v>
      </c>
      <c r="AQ184" s="600">
        <v>1.1599999999999999E-2</v>
      </c>
      <c r="AR184" s="170">
        <f t="shared" ca="1" si="258"/>
        <v>4.1674074074074072E-2</v>
      </c>
      <c r="AS184" s="279">
        <f t="shared" ca="1" si="259"/>
        <v>417</v>
      </c>
      <c r="AU184" s="512">
        <v>5</v>
      </c>
      <c r="AV184" s="516" t="s">
        <v>626</v>
      </c>
      <c r="AW184" s="512" t="s">
        <v>2394</v>
      </c>
      <c r="AX184" s="508">
        <f t="shared" ca="1" si="260"/>
        <v>78.2</v>
      </c>
      <c r="AY184" s="565">
        <v>2.5</v>
      </c>
      <c r="AZ184" s="508">
        <f>宝箱设定!$H132</f>
        <v>3.6999999999999998E-2</v>
      </c>
      <c r="BA184" s="170">
        <f t="shared" ca="1" si="261"/>
        <v>1.2301790281329921E-2</v>
      </c>
      <c r="BB184" s="508">
        <f t="shared" ca="1" si="262"/>
        <v>123</v>
      </c>
      <c r="BD184" s="512">
        <v>5</v>
      </c>
      <c r="BE184" s="516" t="s">
        <v>626</v>
      </c>
      <c r="BF184" s="512" t="s">
        <v>2394</v>
      </c>
      <c r="BG184" s="508">
        <f t="shared" ca="1" si="263"/>
        <v>78.2</v>
      </c>
      <c r="BH184" s="615">
        <v>5</v>
      </c>
      <c r="BI184" s="508">
        <f>宝箱设定!$H132</f>
        <v>3.6999999999999998E-2</v>
      </c>
      <c r="BJ184" s="170">
        <f ca="1">BI184*BE$4/BG184/BH184</f>
        <v>1.3957800511508949E-2</v>
      </c>
      <c r="BK184" s="379">
        <f ca="1">ROUND(BJ184*10000,0)</f>
        <v>140</v>
      </c>
      <c r="BM184" s="512">
        <v>5</v>
      </c>
      <c r="BN184" s="527" t="s">
        <v>2261</v>
      </c>
      <c r="BO184" s="530" t="s">
        <v>2200</v>
      </c>
      <c r="BP184" s="508" t="str">
        <f t="shared" ca="1" si="230"/>
        <v>T2部件</v>
      </c>
      <c r="BQ184" s="632">
        <v>3.5</v>
      </c>
      <c r="BR184" s="600">
        <v>1.8499999999999999E-2</v>
      </c>
      <c r="BS184" s="170" t="e">
        <f t="shared" ca="1" si="276"/>
        <v>#VALUE!</v>
      </c>
      <c r="BT184" s="523" t="e">
        <f t="shared" ca="1" si="277"/>
        <v>#VALUE!</v>
      </c>
      <c r="BV184" s="406">
        <v>6</v>
      </c>
      <c r="BW184" s="525" t="s">
        <v>2254</v>
      </c>
      <c r="BX184" s="530" t="s">
        <v>2200</v>
      </c>
      <c r="BY184" s="523">
        <f t="shared" ca="1" si="266"/>
        <v>10.125</v>
      </c>
      <c r="BZ184" s="662">
        <v>3.5</v>
      </c>
      <c r="CA184" s="634">
        <v>1.9E-2</v>
      </c>
      <c r="CB184" s="170">
        <f ca="1">CA184*BW$4/BY184/BZ184</f>
        <v>2.6807760141093474E-2</v>
      </c>
      <c r="CC184" s="405">
        <f ca="1">ROUND(CB184*10000,0)</f>
        <v>268</v>
      </c>
      <c r="CE184" s="512">
        <v>10</v>
      </c>
      <c r="CF184" s="527" t="s">
        <v>626</v>
      </c>
      <c r="CG184" s="525" t="s">
        <v>1211</v>
      </c>
      <c r="CH184" s="523">
        <f t="shared" ca="1" si="269"/>
        <v>61.199999999999996</v>
      </c>
      <c r="CI184" s="571">
        <v>1</v>
      </c>
      <c r="CJ184" s="605">
        <v>4.8000000000000001E-2</v>
      </c>
      <c r="CK184" s="170">
        <f t="shared" ca="1" si="270"/>
        <v>3.9215686274509803E-2</v>
      </c>
      <c r="CL184" s="508">
        <f t="shared" ca="1" si="271"/>
        <v>392</v>
      </c>
    </row>
    <row r="185" spans="2:90" x14ac:dyDescent="0.35">
      <c r="B185" s="512">
        <v>5</v>
      </c>
      <c r="C185" s="516" t="s">
        <v>2251</v>
      </c>
      <c r="D185" s="529" t="s">
        <v>2452</v>
      </c>
      <c r="E185" s="508">
        <f t="shared" ca="1" si="236"/>
        <v>10.8</v>
      </c>
      <c r="F185" s="625">
        <v>2.5</v>
      </c>
      <c r="G185" s="594">
        <v>1.26E-2</v>
      </c>
      <c r="H185" s="170">
        <f t="shared" ca="1" si="237"/>
        <v>2.7416666666666662E-2</v>
      </c>
      <c r="I185" s="508">
        <f t="shared" ca="1" si="238"/>
        <v>274</v>
      </c>
      <c r="K185" s="512">
        <v>5</v>
      </c>
      <c r="L185" s="516" t="s">
        <v>2251</v>
      </c>
      <c r="M185" s="529" t="s">
        <v>2452</v>
      </c>
      <c r="N185" s="508">
        <f t="shared" ca="1" si="239"/>
        <v>10.8</v>
      </c>
      <c r="O185" s="565">
        <v>1</v>
      </c>
      <c r="P185" s="625">
        <v>1.4999999999999999E-2</v>
      </c>
      <c r="Q185" s="170">
        <f t="shared" ca="1" si="253"/>
        <v>6.5277777777777768E-2</v>
      </c>
      <c r="R185" s="508">
        <f t="shared" ca="1" si="254"/>
        <v>653</v>
      </c>
      <c r="T185" s="512">
        <v>5</v>
      </c>
      <c r="U185" s="516" t="s">
        <v>2251</v>
      </c>
      <c r="V185" s="529" t="s">
        <v>2452</v>
      </c>
      <c r="W185" s="508">
        <f t="shared" ca="1" si="242"/>
        <v>10.8</v>
      </c>
      <c r="X185" s="565">
        <v>1</v>
      </c>
      <c r="Y185" s="633">
        <v>1.4999999999999999E-2</v>
      </c>
      <c r="Z185" s="170">
        <f t="shared" ca="1" si="255"/>
        <v>6.5972222222222224E-2</v>
      </c>
      <c r="AA185" s="508">
        <f t="shared" ca="1" si="256"/>
        <v>660</v>
      </c>
      <c r="AC185" s="512">
        <v>5</v>
      </c>
      <c r="AD185" s="512" t="s">
        <v>2256</v>
      </c>
      <c r="AE185" s="529" t="s">
        <v>2452</v>
      </c>
      <c r="AF185" s="508">
        <f t="shared" ca="1" si="250"/>
        <v>10.8</v>
      </c>
      <c r="AG185" s="625">
        <v>1.5</v>
      </c>
      <c r="AH185" s="633">
        <v>1.41E-2</v>
      </c>
      <c r="AI185" s="170">
        <f t="shared" ca="1" si="272"/>
        <v>5.57037037037037E-2</v>
      </c>
      <c r="AJ185" s="508">
        <f t="shared" ca="1" si="273"/>
        <v>557</v>
      </c>
      <c r="AL185" s="512">
        <v>5</v>
      </c>
      <c r="AM185" s="516" t="s">
        <v>2244</v>
      </c>
      <c r="AN185" s="529" t="s">
        <v>2452</v>
      </c>
      <c r="AO185" s="508">
        <f t="shared" ca="1" si="257"/>
        <v>10.8</v>
      </c>
      <c r="AP185" s="625">
        <v>2.5</v>
      </c>
      <c r="AQ185" s="600">
        <v>1.1599999999999999E-2</v>
      </c>
      <c r="AR185" s="170">
        <f t="shared" ca="1" si="258"/>
        <v>4.1674074074074072E-2</v>
      </c>
      <c r="AS185" s="279">
        <f t="shared" ca="1" si="259"/>
        <v>417</v>
      </c>
      <c r="AU185" s="512">
        <v>5</v>
      </c>
      <c r="AV185" s="516" t="s">
        <v>631</v>
      </c>
      <c r="AW185" s="512" t="s">
        <v>2394</v>
      </c>
      <c r="AX185" s="508">
        <f t="shared" ca="1" si="260"/>
        <v>78.2</v>
      </c>
      <c r="AY185" s="565">
        <v>2.5</v>
      </c>
      <c r="AZ185" s="508">
        <f>宝箱设定!$H133</f>
        <v>3.6999999999999998E-2</v>
      </c>
      <c r="BA185" s="170">
        <f t="shared" ca="1" si="261"/>
        <v>1.2301790281329921E-2</v>
      </c>
      <c r="BB185" s="508">
        <f t="shared" ca="1" si="262"/>
        <v>123</v>
      </c>
      <c r="BD185" s="512">
        <v>5</v>
      </c>
      <c r="BE185" s="516" t="s">
        <v>631</v>
      </c>
      <c r="BF185" s="512" t="s">
        <v>2394</v>
      </c>
      <c r="BG185" s="508">
        <f t="shared" ca="1" si="263"/>
        <v>78.2</v>
      </c>
      <c r="BH185" s="615">
        <v>5</v>
      </c>
      <c r="BI185" s="508">
        <f>宝箱设定!$H133</f>
        <v>3.6999999999999998E-2</v>
      </c>
      <c r="BJ185" s="170">
        <f ca="1">BI185*BE$4/BG185/BH185</f>
        <v>1.3957800511508949E-2</v>
      </c>
      <c r="BK185" s="379">
        <f ca="1">ROUND(BJ185*10000,0)</f>
        <v>140</v>
      </c>
      <c r="BM185" s="512">
        <v>5</v>
      </c>
      <c r="BN185" s="527" t="s">
        <v>2263</v>
      </c>
      <c r="BO185" s="530" t="s">
        <v>2200</v>
      </c>
      <c r="BP185" s="508" t="str">
        <f t="shared" ca="1" si="230"/>
        <v>T2部件</v>
      </c>
      <c r="BQ185" s="632">
        <v>3.5</v>
      </c>
      <c r="BR185" s="600">
        <v>1.8499999999999999E-2</v>
      </c>
      <c r="BS185" s="170" t="e">
        <f t="shared" ca="1" si="276"/>
        <v>#VALUE!</v>
      </c>
      <c r="BT185" s="523" t="e">
        <f t="shared" ca="1" si="277"/>
        <v>#VALUE!</v>
      </c>
      <c r="BV185" s="406">
        <v>6</v>
      </c>
      <c r="BW185" s="525" t="s">
        <v>2256</v>
      </c>
      <c r="BX185" s="530" t="s">
        <v>2200</v>
      </c>
      <c r="BY185" s="523">
        <f t="shared" ca="1" si="266"/>
        <v>10.125</v>
      </c>
      <c r="BZ185" s="662">
        <v>3.5</v>
      </c>
      <c r="CA185" s="634">
        <v>1.9E-2</v>
      </c>
      <c r="CB185" s="170">
        <f ca="1">CA185*BW$4/BY185/BZ185</f>
        <v>2.6807760141093474E-2</v>
      </c>
      <c r="CC185" s="405">
        <f ca="1">ROUND(CB185*10000,0)</f>
        <v>268</v>
      </c>
      <c r="CE185" s="512">
        <v>10</v>
      </c>
      <c r="CF185" s="527" t="s">
        <v>631</v>
      </c>
      <c r="CG185" s="525" t="s">
        <v>1211</v>
      </c>
      <c r="CH185" s="523">
        <f t="shared" ca="1" si="269"/>
        <v>61.199999999999996</v>
      </c>
      <c r="CI185" s="571">
        <v>1</v>
      </c>
      <c r="CJ185" s="605">
        <v>4.8000000000000001E-2</v>
      </c>
      <c r="CK185" s="170">
        <f t="shared" ca="1" si="270"/>
        <v>3.9215686274509803E-2</v>
      </c>
      <c r="CL185" s="508">
        <f t="shared" ca="1" si="271"/>
        <v>392</v>
      </c>
    </row>
    <row r="186" spans="2:90" x14ac:dyDescent="0.35">
      <c r="B186" s="512">
        <v>5</v>
      </c>
      <c r="C186" s="516" t="s">
        <v>2253</v>
      </c>
      <c r="D186" s="529" t="s">
        <v>2452</v>
      </c>
      <c r="E186" s="508">
        <f t="shared" ca="1" si="236"/>
        <v>10.8</v>
      </c>
      <c r="F186" s="625">
        <v>2.5</v>
      </c>
      <c r="G186" s="594">
        <v>1.26E-2</v>
      </c>
      <c r="H186" s="170">
        <f t="shared" ca="1" si="237"/>
        <v>2.7416666666666662E-2</v>
      </c>
      <c r="I186" s="508">
        <f t="shared" ca="1" si="238"/>
        <v>274</v>
      </c>
      <c r="K186" s="512">
        <v>5</v>
      </c>
      <c r="L186" s="516" t="s">
        <v>2253</v>
      </c>
      <c r="M186" s="529" t="s">
        <v>2452</v>
      </c>
      <c r="N186" s="508">
        <f t="shared" ca="1" si="239"/>
        <v>10.8</v>
      </c>
      <c r="O186" s="565">
        <v>1</v>
      </c>
      <c r="P186" s="625">
        <v>1.4999999999999999E-2</v>
      </c>
      <c r="Q186" s="170">
        <f t="shared" ca="1" si="253"/>
        <v>6.5277777777777768E-2</v>
      </c>
      <c r="R186" s="508">
        <f t="shared" ca="1" si="254"/>
        <v>653</v>
      </c>
      <c r="T186" s="512">
        <v>5</v>
      </c>
      <c r="U186" s="516" t="s">
        <v>2253</v>
      </c>
      <c r="V186" s="529" t="s">
        <v>2452</v>
      </c>
      <c r="W186" s="508">
        <f t="shared" ca="1" si="242"/>
        <v>10.8</v>
      </c>
      <c r="X186" s="565">
        <v>1</v>
      </c>
      <c r="Y186" s="633">
        <v>1.4999999999999999E-2</v>
      </c>
      <c r="Z186" s="170">
        <f t="shared" ca="1" si="255"/>
        <v>6.5972222222222224E-2</v>
      </c>
      <c r="AA186" s="508">
        <f t="shared" ca="1" si="256"/>
        <v>660</v>
      </c>
      <c r="AC186" s="512">
        <v>5</v>
      </c>
      <c r="AD186" s="516" t="s">
        <v>2241</v>
      </c>
      <c r="AE186" s="529" t="s">
        <v>2452</v>
      </c>
      <c r="AF186" s="508">
        <f t="shared" ca="1" si="250"/>
        <v>10.8</v>
      </c>
      <c r="AG186" s="625">
        <v>1.5</v>
      </c>
      <c r="AH186" s="633">
        <v>1.41E-2</v>
      </c>
      <c r="AI186" s="170">
        <f t="shared" ca="1" si="272"/>
        <v>5.57037037037037E-2</v>
      </c>
      <c r="AJ186" s="508">
        <f t="shared" ca="1" si="273"/>
        <v>557</v>
      </c>
      <c r="AL186" s="512">
        <v>5</v>
      </c>
      <c r="AM186" s="516" t="s">
        <v>2246</v>
      </c>
      <c r="AN186" s="529" t="s">
        <v>2452</v>
      </c>
      <c r="AO186" s="508">
        <f t="shared" ca="1" si="257"/>
        <v>10.8</v>
      </c>
      <c r="AP186" s="625">
        <v>2.5</v>
      </c>
      <c r="AQ186" s="600">
        <v>1.1599999999999999E-2</v>
      </c>
      <c r="AR186" s="170">
        <f t="shared" ref="AR186:AR222" ca="1" si="278">AQ186*AM$4/AO186/AP186</f>
        <v>4.1674074074074072E-2</v>
      </c>
      <c r="AS186" s="508">
        <f t="shared" ref="AS186:AS222" ca="1" si="279">ROUND(AR186*10000,0)</f>
        <v>417</v>
      </c>
      <c r="AU186" s="512">
        <v>5</v>
      </c>
      <c r="AV186" s="516" t="s">
        <v>618</v>
      </c>
      <c r="AW186" s="512" t="s">
        <v>2394</v>
      </c>
      <c r="AX186" s="508">
        <f t="shared" ca="1" si="260"/>
        <v>60</v>
      </c>
      <c r="AY186" s="508">
        <v>2</v>
      </c>
      <c r="AZ186" s="508">
        <f>宝箱设定!$H134</f>
        <v>3.6999999999999998E-2</v>
      </c>
      <c r="BA186" s="170">
        <f t="shared" ref="BA186:BA191" ca="1" si="280">AZ186*AV$4/AX186/AY186</f>
        <v>2.0041666666666666E-2</v>
      </c>
      <c r="BB186" s="508">
        <f t="shared" ref="BB186:BB191" ca="1" si="281">ROUND(BA186*10000,0)</f>
        <v>200</v>
      </c>
      <c r="BD186" s="512">
        <v>5</v>
      </c>
      <c r="BE186" s="516" t="s">
        <v>618</v>
      </c>
      <c r="BF186" s="512" t="s">
        <v>2394</v>
      </c>
      <c r="BG186" s="508">
        <f t="shared" ca="1" si="263"/>
        <v>60</v>
      </c>
      <c r="BH186" s="615">
        <v>4</v>
      </c>
      <c r="BI186" s="508">
        <f>宝箱设定!$H134</f>
        <v>3.6999999999999998E-2</v>
      </c>
      <c r="BJ186" s="170">
        <f t="shared" ca="1" si="274"/>
        <v>2.273958333333333E-2</v>
      </c>
      <c r="BK186" s="279">
        <f t="shared" ca="1" si="275"/>
        <v>227</v>
      </c>
      <c r="BM186" s="512">
        <v>5</v>
      </c>
      <c r="BN186" s="527" t="s">
        <v>2265</v>
      </c>
      <c r="BO186" s="530" t="s">
        <v>2200</v>
      </c>
      <c r="BP186" s="508" t="str">
        <f t="shared" ca="1" si="230"/>
        <v>T2部件</v>
      </c>
      <c r="BQ186" s="632">
        <v>3.5</v>
      </c>
      <c r="BR186" s="600">
        <v>1.8499999999999999E-2</v>
      </c>
      <c r="BS186" s="170" t="e">
        <f t="shared" ca="1" si="276"/>
        <v>#VALUE!</v>
      </c>
      <c r="BT186" s="523" t="e">
        <f t="shared" ca="1" si="277"/>
        <v>#VALUE!</v>
      </c>
      <c r="BV186" s="293">
        <v>6</v>
      </c>
      <c r="BW186" s="527" t="s">
        <v>2241</v>
      </c>
      <c r="BX186" s="530" t="s">
        <v>2200</v>
      </c>
      <c r="BY186" s="523">
        <f t="shared" ca="1" si="266"/>
        <v>10.125</v>
      </c>
      <c r="BZ186" s="662">
        <v>3.5</v>
      </c>
      <c r="CA186" s="634">
        <v>1.9E-2</v>
      </c>
      <c r="CB186" s="170">
        <f ca="1">CA186*BW$4/BY186/BZ186</f>
        <v>2.6807760141093474E-2</v>
      </c>
      <c r="CC186" s="405">
        <f ca="1">ROUND(CB186*10000,0)</f>
        <v>268</v>
      </c>
      <c r="CE186" s="512">
        <v>10</v>
      </c>
      <c r="CF186" s="527" t="s">
        <v>618</v>
      </c>
      <c r="CG186" s="512" t="s">
        <v>1211</v>
      </c>
      <c r="CH186" s="523">
        <f t="shared" ca="1" si="269"/>
        <v>42</v>
      </c>
      <c r="CI186" s="523">
        <v>1</v>
      </c>
      <c r="CJ186" s="523">
        <v>3.6999999999999998E-2</v>
      </c>
      <c r="CK186" s="170">
        <f t="shared" ca="1" si="270"/>
        <v>4.4047619047619044E-2</v>
      </c>
      <c r="CL186" s="508">
        <f t="shared" ca="1" si="271"/>
        <v>440</v>
      </c>
    </row>
    <row r="187" spans="2:90" x14ac:dyDescent="0.35">
      <c r="B187" s="512">
        <v>5</v>
      </c>
      <c r="C187" s="512" t="s">
        <v>2255</v>
      </c>
      <c r="D187" s="529" t="s">
        <v>2452</v>
      </c>
      <c r="E187" s="508">
        <f t="shared" ca="1" si="236"/>
        <v>10.8</v>
      </c>
      <c r="F187" s="625">
        <v>2.5</v>
      </c>
      <c r="G187" s="594">
        <v>1.26E-2</v>
      </c>
      <c r="H187" s="170">
        <f t="shared" ca="1" si="237"/>
        <v>2.7416666666666662E-2</v>
      </c>
      <c r="I187" s="508">
        <f t="shared" ca="1" si="238"/>
        <v>274</v>
      </c>
      <c r="K187" s="512">
        <v>5</v>
      </c>
      <c r="L187" s="512" t="s">
        <v>2255</v>
      </c>
      <c r="M187" s="529" t="s">
        <v>2452</v>
      </c>
      <c r="N187" s="508">
        <f t="shared" ca="1" si="239"/>
        <v>10.8</v>
      </c>
      <c r="O187" s="565">
        <v>1</v>
      </c>
      <c r="P187" s="625">
        <v>1.4999999999999999E-2</v>
      </c>
      <c r="Q187" s="170">
        <f t="shared" ca="1" si="253"/>
        <v>6.5277777777777768E-2</v>
      </c>
      <c r="R187" s="508">
        <f t="shared" ca="1" si="254"/>
        <v>653</v>
      </c>
      <c r="T187" s="512">
        <v>5</v>
      </c>
      <c r="U187" s="512" t="s">
        <v>2255</v>
      </c>
      <c r="V187" s="529" t="s">
        <v>2452</v>
      </c>
      <c r="W187" s="508">
        <f t="shared" ca="1" si="242"/>
        <v>10.8</v>
      </c>
      <c r="X187" s="565">
        <v>1</v>
      </c>
      <c r="Y187" s="633">
        <v>1.4999999999999999E-2</v>
      </c>
      <c r="Z187" s="170">
        <f t="shared" ca="1" si="255"/>
        <v>6.5972222222222224E-2</v>
      </c>
      <c r="AA187" s="508">
        <f t="shared" ca="1" si="256"/>
        <v>660</v>
      </c>
      <c r="AC187" s="512">
        <v>5</v>
      </c>
      <c r="AD187" s="516" t="s">
        <v>2243</v>
      </c>
      <c r="AE187" s="529" t="s">
        <v>2452</v>
      </c>
      <c r="AF187" s="508">
        <f t="shared" ca="1" si="250"/>
        <v>10.8</v>
      </c>
      <c r="AG187" s="625">
        <v>1.5</v>
      </c>
      <c r="AH187" s="633">
        <v>1.41E-2</v>
      </c>
      <c r="AI187" s="170">
        <f t="shared" ca="1" si="272"/>
        <v>5.57037037037037E-2</v>
      </c>
      <c r="AJ187" s="508">
        <f t="shared" ca="1" si="273"/>
        <v>557</v>
      </c>
      <c r="AL187" s="512">
        <v>5</v>
      </c>
      <c r="AM187" s="516" t="s">
        <v>2248</v>
      </c>
      <c r="AN187" s="529" t="s">
        <v>2452</v>
      </c>
      <c r="AO187" s="508">
        <f t="shared" ca="1" si="257"/>
        <v>10.8</v>
      </c>
      <c r="AP187" s="625">
        <v>2.5</v>
      </c>
      <c r="AQ187" s="600">
        <v>1.1599999999999999E-2</v>
      </c>
      <c r="AR187" s="170">
        <f t="shared" ca="1" si="278"/>
        <v>4.1674074074074072E-2</v>
      </c>
      <c r="AS187" s="508">
        <f t="shared" ca="1" si="279"/>
        <v>417</v>
      </c>
      <c r="AU187" s="512">
        <v>5</v>
      </c>
      <c r="AV187" s="516" t="s">
        <v>627</v>
      </c>
      <c r="AW187" s="512" t="s">
        <v>2394</v>
      </c>
      <c r="AX187" s="508">
        <f t="shared" ca="1" si="260"/>
        <v>60</v>
      </c>
      <c r="AY187" s="625">
        <v>2</v>
      </c>
      <c r="AZ187" s="508">
        <f>宝箱设定!$H135</f>
        <v>3.6999999999999998E-2</v>
      </c>
      <c r="BA187" s="170">
        <f t="shared" ca="1" si="280"/>
        <v>2.0041666666666666E-2</v>
      </c>
      <c r="BB187" s="508">
        <f t="shared" ca="1" si="281"/>
        <v>200</v>
      </c>
      <c r="BD187" s="512">
        <v>5</v>
      </c>
      <c r="BE187" s="516" t="s">
        <v>627</v>
      </c>
      <c r="BF187" s="512" t="s">
        <v>2394</v>
      </c>
      <c r="BG187" s="508">
        <f t="shared" ca="1" si="263"/>
        <v>60</v>
      </c>
      <c r="BH187" s="615">
        <v>4</v>
      </c>
      <c r="BI187" s="508">
        <f>宝箱设定!$H135</f>
        <v>3.6999999999999998E-2</v>
      </c>
      <c r="BJ187" s="170">
        <f t="shared" ca="1" si="274"/>
        <v>2.273958333333333E-2</v>
      </c>
      <c r="BK187" s="279">
        <f t="shared" ca="1" si="275"/>
        <v>227</v>
      </c>
      <c r="BM187" s="512">
        <v>5</v>
      </c>
      <c r="BN187" s="527" t="s">
        <v>2267</v>
      </c>
      <c r="BO187" s="530" t="s">
        <v>2200</v>
      </c>
      <c r="BP187" s="508" t="str">
        <f t="shared" ca="1" si="230"/>
        <v>T2部件</v>
      </c>
      <c r="BQ187" s="632">
        <v>3.5</v>
      </c>
      <c r="BR187" s="600">
        <v>1.8499999999999999E-2</v>
      </c>
      <c r="BS187" s="170" t="e">
        <f t="shared" ca="1" si="276"/>
        <v>#VALUE!</v>
      </c>
      <c r="BT187" s="523" t="e">
        <f t="shared" ca="1" si="277"/>
        <v>#VALUE!</v>
      </c>
      <c r="BV187" s="293">
        <v>6</v>
      </c>
      <c r="BW187" s="527" t="s">
        <v>2243</v>
      </c>
      <c r="BX187" s="530" t="s">
        <v>2200</v>
      </c>
      <c r="BY187" s="523">
        <f t="shared" ca="1" si="266"/>
        <v>10.125</v>
      </c>
      <c r="BZ187" s="662">
        <v>3.5</v>
      </c>
      <c r="CA187" s="634">
        <v>1.9E-2</v>
      </c>
      <c r="CB187" s="170">
        <f t="shared" ca="1" si="267"/>
        <v>2.6807760141093474E-2</v>
      </c>
      <c r="CC187" s="290">
        <f t="shared" ca="1" si="268"/>
        <v>268</v>
      </c>
      <c r="CE187" s="512">
        <v>10</v>
      </c>
      <c r="CF187" s="527" t="s">
        <v>627</v>
      </c>
      <c r="CG187" s="525" t="s">
        <v>1211</v>
      </c>
      <c r="CH187" s="523">
        <f t="shared" ca="1" si="269"/>
        <v>42</v>
      </c>
      <c r="CI187" s="523">
        <v>1</v>
      </c>
      <c r="CJ187" s="571">
        <v>3.6999999999999998E-2</v>
      </c>
      <c r="CK187" s="170">
        <f t="shared" ca="1" si="270"/>
        <v>4.4047619047619044E-2</v>
      </c>
      <c r="CL187" s="508">
        <f t="shared" ca="1" si="271"/>
        <v>440</v>
      </c>
    </row>
    <row r="188" spans="2:90" x14ac:dyDescent="0.35">
      <c r="B188" s="512">
        <v>5</v>
      </c>
      <c r="C188" s="512" t="s">
        <v>2257</v>
      </c>
      <c r="D188" s="529" t="s">
        <v>2452</v>
      </c>
      <c r="E188" s="508">
        <f t="shared" ca="1" si="236"/>
        <v>10.8</v>
      </c>
      <c r="F188" s="625">
        <v>2.5</v>
      </c>
      <c r="G188" s="594">
        <v>1.26E-2</v>
      </c>
      <c r="H188" s="170">
        <f t="shared" ca="1" si="237"/>
        <v>2.7416666666666662E-2</v>
      </c>
      <c r="I188" s="508">
        <f t="shared" ca="1" si="238"/>
        <v>274</v>
      </c>
      <c r="K188" s="512">
        <v>5</v>
      </c>
      <c r="L188" s="512" t="s">
        <v>2257</v>
      </c>
      <c r="M188" s="529" t="s">
        <v>2452</v>
      </c>
      <c r="N188" s="508">
        <f t="shared" ca="1" si="239"/>
        <v>10.8</v>
      </c>
      <c r="O188" s="565">
        <v>1</v>
      </c>
      <c r="P188" s="625">
        <v>1.4999999999999999E-2</v>
      </c>
      <c r="Q188" s="170">
        <f t="shared" ca="1" si="253"/>
        <v>6.5277777777777768E-2</v>
      </c>
      <c r="R188" s="508">
        <f t="shared" ca="1" si="254"/>
        <v>653</v>
      </c>
      <c r="T188" s="512">
        <v>5</v>
      </c>
      <c r="U188" s="512" t="s">
        <v>2257</v>
      </c>
      <c r="V188" s="529" t="s">
        <v>2452</v>
      </c>
      <c r="W188" s="508">
        <f t="shared" ca="1" si="242"/>
        <v>10.8</v>
      </c>
      <c r="X188" s="565">
        <v>1</v>
      </c>
      <c r="Y188" s="633">
        <v>1.4999999999999999E-2</v>
      </c>
      <c r="Z188" s="170">
        <f t="shared" ca="1" si="255"/>
        <v>6.5972222222222224E-2</v>
      </c>
      <c r="AA188" s="508">
        <f t="shared" ca="1" si="256"/>
        <v>660</v>
      </c>
      <c r="AC188" s="512">
        <v>5</v>
      </c>
      <c r="AD188" s="516" t="s">
        <v>2245</v>
      </c>
      <c r="AE188" s="529" t="s">
        <v>2452</v>
      </c>
      <c r="AF188" s="508">
        <f t="shared" ca="1" si="250"/>
        <v>10.8</v>
      </c>
      <c r="AG188" s="625">
        <v>1.5</v>
      </c>
      <c r="AH188" s="633">
        <v>1.41E-2</v>
      </c>
      <c r="AI188" s="170">
        <f t="shared" ca="1" si="272"/>
        <v>5.57037037037037E-2</v>
      </c>
      <c r="AJ188" s="508">
        <f t="shared" ca="1" si="273"/>
        <v>557</v>
      </c>
      <c r="AL188" s="512">
        <v>5</v>
      </c>
      <c r="AM188" s="516" t="s">
        <v>2250</v>
      </c>
      <c r="AN188" s="529" t="s">
        <v>2452</v>
      </c>
      <c r="AO188" s="508">
        <f t="shared" ca="1" si="257"/>
        <v>10.8</v>
      </c>
      <c r="AP188" s="625">
        <v>2.5</v>
      </c>
      <c r="AQ188" s="600">
        <v>1.1599999999999999E-2</v>
      </c>
      <c r="AR188" s="170">
        <f t="shared" ca="1" si="278"/>
        <v>4.1674074074074072E-2</v>
      </c>
      <c r="AS188" s="508">
        <f t="shared" ca="1" si="279"/>
        <v>417</v>
      </c>
      <c r="AU188" s="512">
        <v>5</v>
      </c>
      <c r="AV188" s="516" t="s">
        <v>628</v>
      </c>
      <c r="AW188" s="512" t="s">
        <v>2394</v>
      </c>
      <c r="AX188" s="508">
        <f t="shared" ca="1" si="260"/>
        <v>60</v>
      </c>
      <c r="AY188" s="625">
        <v>2</v>
      </c>
      <c r="AZ188" s="508">
        <f>宝箱设定!$H136</f>
        <v>3.6999999999999998E-2</v>
      </c>
      <c r="BA188" s="170">
        <f t="shared" ca="1" si="280"/>
        <v>2.0041666666666666E-2</v>
      </c>
      <c r="BB188" s="508">
        <f t="shared" ca="1" si="281"/>
        <v>200</v>
      </c>
      <c r="BD188" s="512">
        <v>5</v>
      </c>
      <c r="BE188" s="516" t="s">
        <v>628</v>
      </c>
      <c r="BF188" s="512" t="s">
        <v>2394</v>
      </c>
      <c r="BG188" s="508">
        <f t="shared" ca="1" si="263"/>
        <v>60</v>
      </c>
      <c r="BH188" s="615">
        <v>4</v>
      </c>
      <c r="BI188" s="508">
        <f>宝箱设定!$H136</f>
        <v>3.6999999999999998E-2</v>
      </c>
      <c r="BJ188" s="170">
        <f t="shared" ca="1" si="274"/>
        <v>2.273958333333333E-2</v>
      </c>
      <c r="BK188" s="279">
        <f t="shared" ca="1" si="275"/>
        <v>227</v>
      </c>
      <c r="BM188" s="512">
        <v>5</v>
      </c>
      <c r="BN188" s="527" t="s">
        <v>2269</v>
      </c>
      <c r="BO188" s="530" t="s">
        <v>2200</v>
      </c>
      <c r="BP188" s="508" t="str">
        <f t="shared" ca="1" si="230"/>
        <v>T2部件</v>
      </c>
      <c r="BQ188" s="632">
        <v>3.5</v>
      </c>
      <c r="BR188" s="600">
        <v>1.8499999999999999E-2</v>
      </c>
      <c r="BS188" s="170" t="e">
        <f t="shared" ca="1" si="276"/>
        <v>#VALUE!</v>
      </c>
      <c r="BT188" s="523" t="e">
        <f t="shared" ca="1" si="277"/>
        <v>#VALUE!</v>
      </c>
      <c r="BV188" s="293">
        <v>6</v>
      </c>
      <c r="BW188" s="527" t="s">
        <v>2245</v>
      </c>
      <c r="BX188" s="530" t="s">
        <v>2200</v>
      </c>
      <c r="BY188" s="523">
        <f t="shared" ca="1" si="266"/>
        <v>10.125</v>
      </c>
      <c r="BZ188" s="662">
        <v>3.5</v>
      </c>
      <c r="CA188" s="634">
        <v>1.9E-2</v>
      </c>
      <c r="CB188" s="170">
        <f t="shared" ca="1" si="267"/>
        <v>2.6807760141093474E-2</v>
      </c>
      <c r="CC188" s="290">
        <f t="shared" ca="1" si="268"/>
        <v>268</v>
      </c>
      <c r="CE188" s="512">
        <v>10</v>
      </c>
      <c r="CF188" s="527" t="s">
        <v>628</v>
      </c>
      <c r="CG188" s="525" t="s">
        <v>1211</v>
      </c>
      <c r="CH188" s="523">
        <f t="shared" ca="1" si="269"/>
        <v>42</v>
      </c>
      <c r="CI188" s="523">
        <v>1</v>
      </c>
      <c r="CJ188" s="571">
        <v>3.6999999999999998E-2</v>
      </c>
      <c r="CK188" s="170">
        <f t="shared" ca="1" si="270"/>
        <v>4.4047619047619044E-2</v>
      </c>
      <c r="CL188" s="508">
        <f t="shared" ca="1" si="271"/>
        <v>440</v>
      </c>
    </row>
    <row r="189" spans="2:90" x14ac:dyDescent="0.35">
      <c r="B189" s="512">
        <v>5</v>
      </c>
      <c r="C189" s="516" t="s">
        <v>2258</v>
      </c>
      <c r="D189" s="529" t="s">
        <v>2452</v>
      </c>
      <c r="E189" s="508" t="str">
        <f t="shared" ca="1" si="236"/>
        <v>T2部件</v>
      </c>
      <c r="F189" s="512">
        <v>2</v>
      </c>
      <c r="G189" s="594">
        <v>1.26E-2</v>
      </c>
      <c r="H189" s="170" t="e">
        <f t="shared" ca="1" si="237"/>
        <v>#VALUE!</v>
      </c>
      <c r="I189" s="508" t="e">
        <f t="shared" ca="1" si="238"/>
        <v>#VALUE!</v>
      </c>
      <c r="K189" s="512">
        <v>5</v>
      </c>
      <c r="L189" s="516" t="s">
        <v>2258</v>
      </c>
      <c r="M189" s="529" t="s">
        <v>2452</v>
      </c>
      <c r="N189" s="508" t="str">
        <f t="shared" ca="1" si="239"/>
        <v>T2部件</v>
      </c>
      <c r="O189" s="566">
        <v>1</v>
      </c>
      <c r="P189" s="594">
        <v>1.0200000000000001E-2</v>
      </c>
      <c r="Q189" s="170" t="e">
        <f t="shared" ca="1" si="253"/>
        <v>#VALUE!</v>
      </c>
      <c r="R189" s="508" t="e">
        <f t="shared" ca="1" si="254"/>
        <v>#VALUE!</v>
      </c>
      <c r="T189" s="512">
        <v>5</v>
      </c>
      <c r="U189" s="516" t="s">
        <v>2258</v>
      </c>
      <c r="V189" s="529" t="s">
        <v>2452</v>
      </c>
      <c r="W189" s="508" t="str">
        <f t="shared" ca="1" si="242"/>
        <v>T2部件</v>
      </c>
      <c r="X189" s="566">
        <v>1</v>
      </c>
      <c r="Y189" s="633">
        <v>1.0200000000000001E-2</v>
      </c>
      <c r="Z189" s="170" t="e">
        <f t="shared" ca="1" si="255"/>
        <v>#VALUE!</v>
      </c>
      <c r="AA189" s="508" t="e">
        <f t="shared" ca="1" si="256"/>
        <v>#VALUE!</v>
      </c>
      <c r="AC189" s="512">
        <v>5</v>
      </c>
      <c r="AD189" s="516" t="s">
        <v>2247</v>
      </c>
      <c r="AE189" s="529" t="s">
        <v>2452</v>
      </c>
      <c r="AF189" s="508">
        <f t="shared" ca="1" si="250"/>
        <v>10.8</v>
      </c>
      <c r="AG189" s="625">
        <v>1.5</v>
      </c>
      <c r="AH189" s="633">
        <v>1.41E-2</v>
      </c>
      <c r="AI189" s="170">
        <f t="shared" ca="1" si="272"/>
        <v>5.57037037037037E-2</v>
      </c>
      <c r="AJ189" s="508">
        <f t="shared" ca="1" si="273"/>
        <v>557</v>
      </c>
      <c r="AL189" s="512">
        <v>5</v>
      </c>
      <c r="AM189" s="516" t="s">
        <v>2252</v>
      </c>
      <c r="AN189" s="529" t="s">
        <v>2452</v>
      </c>
      <c r="AO189" s="508">
        <f t="shared" ca="1" si="257"/>
        <v>10.8</v>
      </c>
      <c r="AP189" s="625">
        <v>2.5</v>
      </c>
      <c r="AQ189" s="600">
        <v>1.1599999999999999E-2</v>
      </c>
      <c r="AR189" s="170">
        <f t="shared" ca="1" si="278"/>
        <v>4.1674074074074072E-2</v>
      </c>
      <c r="AS189" s="508">
        <f t="shared" ca="1" si="279"/>
        <v>417</v>
      </c>
      <c r="AU189" s="512">
        <v>5</v>
      </c>
      <c r="AV189" s="516" t="s">
        <v>619</v>
      </c>
      <c r="AW189" s="512" t="s">
        <v>2394</v>
      </c>
      <c r="AX189" s="508">
        <f t="shared" ca="1" si="260"/>
        <v>75</v>
      </c>
      <c r="AY189" s="508">
        <v>1.5</v>
      </c>
      <c r="AZ189" s="508">
        <f>宝箱设定!$H137</f>
        <v>3.6999999999999998E-2</v>
      </c>
      <c r="BA189" s="170">
        <f t="shared" ca="1" si="280"/>
        <v>2.1377777777777777E-2</v>
      </c>
      <c r="BB189" s="508">
        <f t="shared" ca="1" si="281"/>
        <v>214</v>
      </c>
      <c r="BD189" s="512">
        <v>5</v>
      </c>
      <c r="BE189" s="516" t="s">
        <v>619</v>
      </c>
      <c r="BF189" s="512" t="s">
        <v>2394</v>
      </c>
      <c r="BG189" s="508">
        <f t="shared" ca="1" si="263"/>
        <v>75</v>
      </c>
      <c r="BH189" s="565">
        <v>3</v>
      </c>
      <c r="BI189" s="508">
        <f>宝箱设定!$H137</f>
        <v>3.6999999999999998E-2</v>
      </c>
      <c r="BJ189" s="170">
        <f t="shared" ca="1" si="274"/>
        <v>2.4255555555555555E-2</v>
      </c>
      <c r="BK189" s="279">
        <f t="shared" ca="1" si="275"/>
        <v>243</v>
      </c>
      <c r="BM189" s="512">
        <v>5</v>
      </c>
      <c r="BN189" s="527" t="s">
        <v>2271</v>
      </c>
      <c r="BO189" s="530" t="s">
        <v>2200</v>
      </c>
      <c r="BP189" s="508" t="str">
        <f t="shared" ca="1" si="230"/>
        <v>T2部件</v>
      </c>
      <c r="BQ189" s="632">
        <v>3.5</v>
      </c>
      <c r="BR189" s="600">
        <v>1.8499999999999999E-2</v>
      </c>
      <c r="BS189" s="170" t="e">
        <f t="shared" ca="1" si="276"/>
        <v>#VALUE!</v>
      </c>
      <c r="BT189" s="523" t="e">
        <f t="shared" ca="1" si="277"/>
        <v>#VALUE!</v>
      </c>
      <c r="BV189" s="293">
        <v>6</v>
      </c>
      <c r="BW189" s="527" t="s">
        <v>2247</v>
      </c>
      <c r="BX189" s="530" t="s">
        <v>2200</v>
      </c>
      <c r="BY189" s="523">
        <f t="shared" ca="1" si="266"/>
        <v>10.125</v>
      </c>
      <c r="BZ189" s="662">
        <v>3.5</v>
      </c>
      <c r="CA189" s="634">
        <v>1.9E-2</v>
      </c>
      <c r="CB189" s="170">
        <f t="shared" ca="1" si="267"/>
        <v>2.6807760141093474E-2</v>
      </c>
      <c r="CC189" s="290">
        <f t="shared" ca="1" si="268"/>
        <v>268</v>
      </c>
      <c r="CE189" s="512">
        <v>10</v>
      </c>
      <c r="CF189" s="527" t="s">
        <v>619</v>
      </c>
      <c r="CG189" s="525" t="s">
        <v>1211</v>
      </c>
      <c r="CH189" s="523">
        <f t="shared" ca="1" si="269"/>
        <v>60</v>
      </c>
      <c r="CI189" s="523">
        <v>1</v>
      </c>
      <c r="CJ189" s="523">
        <v>4.2999999999999997E-2</v>
      </c>
      <c r="CK189" s="170">
        <f t="shared" ca="1" si="270"/>
        <v>3.5833333333333335E-2</v>
      </c>
      <c r="CL189" s="508">
        <f t="shared" ca="1" si="271"/>
        <v>358</v>
      </c>
    </row>
    <row r="190" spans="2:90" x14ac:dyDescent="0.35">
      <c r="B190" s="512">
        <v>5</v>
      </c>
      <c r="C190" s="516" t="s">
        <v>2260</v>
      </c>
      <c r="D190" s="529" t="s">
        <v>2452</v>
      </c>
      <c r="E190" s="508" t="str">
        <f t="shared" ca="1" si="236"/>
        <v>T2部件</v>
      </c>
      <c r="F190" s="512">
        <v>2</v>
      </c>
      <c r="G190" s="594">
        <v>1.26E-2</v>
      </c>
      <c r="H190" s="170" t="e">
        <f t="shared" ca="1" si="237"/>
        <v>#VALUE!</v>
      </c>
      <c r="I190" s="508" t="e">
        <f t="shared" ca="1" si="238"/>
        <v>#VALUE!</v>
      </c>
      <c r="K190" s="512">
        <v>5</v>
      </c>
      <c r="L190" s="516" t="s">
        <v>2260</v>
      </c>
      <c r="M190" s="529" t="s">
        <v>2452</v>
      </c>
      <c r="N190" s="508" t="str">
        <f t="shared" ca="1" si="239"/>
        <v>T2部件</v>
      </c>
      <c r="O190" s="566">
        <v>1</v>
      </c>
      <c r="P190" s="594">
        <v>1.0200000000000001E-2</v>
      </c>
      <c r="Q190" s="170" t="e">
        <f t="shared" ca="1" si="253"/>
        <v>#VALUE!</v>
      </c>
      <c r="R190" s="508" t="e">
        <f t="shared" ca="1" si="254"/>
        <v>#VALUE!</v>
      </c>
      <c r="T190" s="512">
        <v>5</v>
      </c>
      <c r="U190" s="516" t="s">
        <v>2260</v>
      </c>
      <c r="V190" s="529" t="s">
        <v>2452</v>
      </c>
      <c r="W190" s="508" t="str">
        <f t="shared" ca="1" si="242"/>
        <v>T2部件</v>
      </c>
      <c r="X190" s="566">
        <v>1</v>
      </c>
      <c r="Y190" s="633">
        <v>1.0200000000000001E-2</v>
      </c>
      <c r="Z190" s="170" t="e">
        <f t="shared" ca="1" si="255"/>
        <v>#VALUE!</v>
      </c>
      <c r="AA190" s="508" t="e">
        <f t="shared" ca="1" si="256"/>
        <v>#VALUE!</v>
      </c>
      <c r="AC190" s="512">
        <v>5</v>
      </c>
      <c r="AD190" s="516" t="s">
        <v>2249</v>
      </c>
      <c r="AE190" s="529" t="s">
        <v>2452</v>
      </c>
      <c r="AF190" s="508">
        <f t="shared" ca="1" si="250"/>
        <v>10.8</v>
      </c>
      <c r="AG190" s="625">
        <v>1.5</v>
      </c>
      <c r="AH190" s="633">
        <v>1.41E-2</v>
      </c>
      <c r="AI190" s="170">
        <f t="shared" ca="1" si="272"/>
        <v>5.57037037037037E-2</v>
      </c>
      <c r="AJ190" s="508">
        <f t="shared" ca="1" si="273"/>
        <v>557</v>
      </c>
      <c r="AL190" s="512">
        <v>5</v>
      </c>
      <c r="AM190" s="512" t="s">
        <v>2254</v>
      </c>
      <c r="AN190" s="529" t="s">
        <v>2452</v>
      </c>
      <c r="AO190" s="508">
        <f t="shared" ca="1" si="257"/>
        <v>10.8</v>
      </c>
      <c r="AP190" s="625">
        <v>2.5</v>
      </c>
      <c r="AQ190" s="600">
        <v>1.1599999999999999E-2</v>
      </c>
      <c r="AR190" s="170">
        <f t="shared" ca="1" si="278"/>
        <v>4.1674074074074072E-2</v>
      </c>
      <c r="AS190" s="508">
        <f t="shared" ca="1" si="279"/>
        <v>417</v>
      </c>
      <c r="AU190" s="512">
        <v>5</v>
      </c>
      <c r="AV190" s="516" t="s">
        <v>718</v>
      </c>
      <c r="AW190" s="512" t="s">
        <v>2394</v>
      </c>
      <c r="AX190" s="508">
        <f t="shared" ca="1" si="260"/>
        <v>75</v>
      </c>
      <c r="AY190" s="625">
        <v>1.5</v>
      </c>
      <c r="AZ190" s="508">
        <f>宝箱设定!$H138</f>
        <v>3.6999999999999998E-2</v>
      </c>
      <c r="BA190" s="170">
        <f t="shared" ca="1" si="280"/>
        <v>2.1377777777777777E-2</v>
      </c>
      <c r="BB190" s="508">
        <f t="shared" ca="1" si="281"/>
        <v>214</v>
      </c>
      <c r="BD190" s="512">
        <v>5</v>
      </c>
      <c r="BE190" s="516" t="s">
        <v>718</v>
      </c>
      <c r="BF190" s="512" t="s">
        <v>2394</v>
      </c>
      <c r="BG190" s="508">
        <f t="shared" ca="1" si="263"/>
        <v>75</v>
      </c>
      <c r="BH190" s="615">
        <v>3</v>
      </c>
      <c r="BI190" s="508">
        <f>宝箱设定!$H138</f>
        <v>3.6999999999999998E-2</v>
      </c>
      <c r="BJ190" s="170">
        <f t="shared" ca="1" si="274"/>
        <v>2.4255555555555555E-2</v>
      </c>
      <c r="BK190" s="279">
        <f t="shared" ca="1" si="275"/>
        <v>243</v>
      </c>
      <c r="BM190" s="512">
        <v>5</v>
      </c>
      <c r="BN190" s="525" t="s">
        <v>2273</v>
      </c>
      <c r="BO190" s="530" t="s">
        <v>2200</v>
      </c>
      <c r="BP190" s="508" t="str">
        <f t="shared" ca="1" si="230"/>
        <v>T2部件</v>
      </c>
      <c r="BQ190" s="632">
        <v>3.5</v>
      </c>
      <c r="BR190" s="600">
        <v>1.8499999999999999E-2</v>
      </c>
      <c r="BS190" s="170" t="e">
        <f t="shared" ca="1" si="276"/>
        <v>#VALUE!</v>
      </c>
      <c r="BT190" s="523" t="e">
        <f t="shared" ca="1" si="277"/>
        <v>#VALUE!</v>
      </c>
      <c r="BV190" s="293">
        <v>6</v>
      </c>
      <c r="BW190" s="527" t="s">
        <v>2249</v>
      </c>
      <c r="BX190" s="530" t="s">
        <v>2200</v>
      </c>
      <c r="BY190" s="523">
        <f t="shared" ca="1" si="266"/>
        <v>10.125</v>
      </c>
      <c r="BZ190" s="662">
        <v>3.5</v>
      </c>
      <c r="CA190" s="634">
        <v>1.9E-2</v>
      </c>
      <c r="CB190" s="170">
        <f t="shared" ca="1" si="267"/>
        <v>2.6807760141093474E-2</v>
      </c>
      <c r="CC190" s="290">
        <f t="shared" ca="1" si="268"/>
        <v>268</v>
      </c>
      <c r="CE190" s="512">
        <v>10</v>
      </c>
      <c r="CF190" s="527" t="s">
        <v>718</v>
      </c>
      <c r="CG190" s="525" t="s">
        <v>1211</v>
      </c>
      <c r="CH190" s="523">
        <f t="shared" ca="1" si="269"/>
        <v>60</v>
      </c>
      <c r="CI190" s="523">
        <v>1</v>
      </c>
      <c r="CJ190" s="571">
        <v>4.2999999999999997E-2</v>
      </c>
      <c r="CK190" s="170">
        <f t="shared" ca="1" si="270"/>
        <v>3.5833333333333335E-2</v>
      </c>
      <c r="CL190" s="508">
        <f t="shared" ca="1" si="271"/>
        <v>358</v>
      </c>
    </row>
    <row r="191" spans="2:90" x14ac:dyDescent="0.35">
      <c r="B191" s="512">
        <v>5</v>
      </c>
      <c r="C191" s="516" t="s">
        <v>2262</v>
      </c>
      <c r="D191" s="529" t="s">
        <v>2452</v>
      </c>
      <c r="E191" s="508" t="str">
        <f t="shared" ca="1" si="236"/>
        <v>T2部件</v>
      </c>
      <c r="F191" s="512">
        <v>2</v>
      </c>
      <c r="G191" s="594">
        <v>1.26E-2</v>
      </c>
      <c r="H191" s="170" t="e">
        <f t="shared" ca="1" si="237"/>
        <v>#VALUE!</v>
      </c>
      <c r="I191" s="508" t="e">
        <f t="shared" ca="1" si="238"/>
        <v>#VALUE!</v>
      </c>
      <c r="K191" s="512">
        <v>5</v>
      </c>
      <c r="L191" s="516" t="s">
        <v>2262</v>
      </c>
      <c r="M191" s="529" t="s">
        <v>2452</v>
      </c>
      <c r="N191" s="508" t="str">
        <f t="shared" ca="1" si="239"/>
        <v>T2部件</v>
      </c>
      <c r="O191" s="566">
        <v>1</v>
      </c>
      <c r="P191" s="594">
        <v>1.0200000000000001E-2</v>
      </c>
      <c r="Q191" s="170" t="e">
        <f t="shared" ca="1" si="253"/>
        <v>#VALUE!</v>
      </c>
      <c r="R191" s="508" t="e">
        <f t="shared" ca="1" si="254"/>
        <v>#VALUE!</v>
      </c>
      <c r="T191" s="512">
        <v>5</v>
      </c>
      <c r="U191" s="516" t="s">
        <v>2262</v>
      </c>
      <c r="V191" s="529" t="s">
        <v>2452</v>
      </c>
      <c r="W191" s="508" t="str">
        <f t="shared" ca="1" si="242"/>
        <v>T2部件</v>
      </c>
      <c r="X191" s="566">
        <v>1</v>
      </c>
      <c r="Y191" s="633">
        <v>1.0200000000000001E-2</v>
      </c>
      <c r="Z191" s="170" t="e">
        <f t="shared" ca="1" si="255"/>
        <v>#VALUE!</v>
      </c>
      <c r="AA191" s="508" t="e">
        <f t="shared" ca="1" si="256"/>
        <v>#VALUE!</v>
      </c>
      <c r="AC191" s="512">
        <v>5</v>
      </c>
      <c r="AD191" s="516" t="s">
        <v>2251</v>
      </c>
      <c r="AE191" s="529" t="s">
        <v>2452</v>
      </c>
      <c r="AF191" s="508">
        <f t="shared" ca="1" si="250"/>
        <v>10.8</v>
      </c>
      <c r="AG191" s="625">
        <v>1.5</v>
      </c>
      <c r="AH191" s="633">
        <v>1.41E-2</v>
      </c>
      <c r="AI191" s="170">
        <f t="shared" ca="1" si="272"/>
        <v>5.57037037037037E-2</v>
      </c>
      <c r="AJ191" s="508">
        <f t="shared" ca="1" si="273"/>
        <v>557</v>
      </c>
      <c r="AL191" s="512">
        <v>5</v>
      </c>
      <c r="AM191" s="512" t="s">
        <v>2256</v>
      </c>
      <c r="AN191" s="529" t="s">
        <v>2452</v>
      </c>
      <c r="AO191" s="508">
        <f t="shared" ca="1" si="257"/>
        <v>10.8</v>
      </c>
      <c r="AP191" s="625">
        <v>2.5</v>
      </c>
      <c r="AQ191" s="600">
        <v>1.1599999999999999E-2</v>
      </c>
      <c r="AR191" s="170">
        <f t="shared" ca="1" si="278"/>
        <v>4.1674074074074072E-2</v>
      </c>
      <c r="AS191" s="508">
        <f t="shared" ca="1" si="279"/>
        <v>417</v>
      </c>
      <c r="AU191" s="512">
        <v>5</v>
      </c>
      <c r="AV191" s="516" t="s">
        <v>632</v>
      </c>
      <c r="AW191" s="512" t="s">
        <v>2394</v>
      </c>
      <c r="AX191" s="508">
        <f t="shared" ca="1" si="260"/>
        <v>75</v>
      </c>
      <c r="AY191" s="625">
        <v>1.5</v>
      </c>
      <c r="AZ191" s="508">
        <f>宝箱设定!$H139</f>
        <v>3.6999999999999998E-2</v>
      </c>
      <c r="BA191" s="170">
        <f t="shared" ca="1" si="280"/>
        <v>2.1377777777777777E-2</v>
      </c>
      <c r="BB191" s="508">
        <f t="shared" ca="1" si="281"/>
        <v>214</v>
      </c>
      <c r="BD191" s="512">
        <v>5</v>
      </c>
      <c r="BE191" s="516" t="s">
        <v>632</v>
      </c>
      <c r="BF191" s="512" t="s">
        <v>2394</v>
      </c>
      <c r="BG191" s="508">
        <f t="shared" ca="1" si="263"/>
        <v>75</v>
      </c>
      <c r="BH191" s="615">
        <v>3</v>
      </c>
      <c r="BI191" s="508">
        <f>宝箱设定!$H139</f>
        <v>3.6999999999999998E-2</v>
      </c>
      <c r="BJ191" s="170">
        <f t="shared" ca="1" si="274"/>
        <v>2.4255555555555555E-2</v>
      </c>
      <c r="BK191" s="279">
        <f t="shared" ca="1" si="275"/>
        <v>243</v>
      </c>
      <c r="BM191" s="512">
        <v>5</v>
      </c>
      <c r="BN191" s="525" t="s">
        <v>2275</v>
      </c>
      <c r="BO191" s="530" t="s">
        <v>2200</v>
      </c>
      <c r="BP191" s="508" t="str">
        <f t="shared" ca="1" si="230"/>
        <v>T2部件</v>
      </c>
      <c r="BQ191" s="632">
        <v>3.5</v>
      </c>
      <c r="BR191" s="600">
        <v>1.8499999999999999E-2</v>
      </c>
      <c r="BS191" s="170" t="e">
        <f t="shared" ca="1" si="276"/>
        <v>#VALUE!</v>
      </c>
      <c r="BT191" s="523" t="e">
        <f t="shared" ca="1" si="277"/>
        <v>#VALUE!</v>
      </c>
      <c r="BV191" s="293">
        <v>6</v>
      </c>
      <c r="BW191" s="527" t="s">
        <v>2251</v>
      </c>
      <c r="BX191" s="530" t="s">
        <v>2200</v>
      </c>
      <c r="BY191" s="523">
        <f t="shared" ca="1" si="266"/>
        <v>10.125</v>
      </c>
      <c r="BZ191" s="662">
        <v>3.5</v>
      </c>
      <c r="CA191" s="634">
        <v>1.9E-2</v>
      </c>
      <c r="CB191" s="170">
        <f t="shared" ca="1" si="267"/>
        <v>2.6807760141093474E-2</v>
      </c>
      <c r="CC191" s="290">
        <f t="shared" ca="1" si="268"/>
        <v>268</v>
      </c>
      <c r="CE191" s="512">
        <v>10</v>
      </c>
      <c r="CF191" s="527" t="s">
        <v>632</v>
      </c>
      <c r="CG191" s="525" t="s">
        <v>1211</v>
      </c>
      <c r="CH191" s="523">
        <f t="shared" ca="1" si="269"/>
        <v>60</v>
      </c>
      <c r="CI191" s="523">
        <v>1</v>
      </c>
      <c r="CJ191" s="571">
        <v>4.2999999999999997E-2</v>
      </c>
      <c r="CK191" s="170">
        <f t="shared" ca="1" si="270"/>
        <v>3.5833333333333335E-2</v>
      </c>
      <c r="CL191" s="508">
        <f t="shared" ca="1" si="271"/>
        <v>358</v>
      </c>
    </row>
    <row r="192" spans="2:90" x14ac:dyDescent="0.35">
      <c r="B192" s="512">
        <v>5</v>
      </c>
      <c r="C192" s="516" t="s">
        <v>2264</v>
      </c>
      <c r="D192" s="529" t="s">
        <v>2452</v>
      </c>
      <c r="E192" s="508" t="str">
        <f t="shared" ca="1" si="236"/>
        <v>T2部件</v>
      </c>
      <c r="F192" s="512">
        <v>2</v>
      </c>
      <c r="G192" s="594">
        <v>1.26E-2</v>
      </c>
      <c r="H192" s="170" t="e">
        <f t="shared" ca="1" si="237"/>
        <v>#VALUE!</v>
      </c>
      <c r="I192" s="508" t="e">
        <f t="shared" ca="1" si="238"/>
        <v>#VALUE!</v>
      </c>
      <c r="K192" s="512">
        <v>5</v>
      </c>
      <c r="L192" s="516" t="s">
        <v>2264</v>
      </c>
      <c r="M192" s="529" t="s">
        <v>2452</v>
      </c>
      <c r="N192" s="508" t="str">
        <f t="shared" ca="1" si="239"/>
        <v>T2部件</v>
      </c>
      <c r="O192" s="566">
        <v>1</v>
      </c>
      <c r="P192" s="594">
        <v>1.0200000000000001E-2</v>
      </c>
      <c r="Q192" s="170" t="e">
        <f t="shared" ca="1" si="253"/>
        <v>#VALUE!</v>
      </c>
      <c r="R192" s="508" t="e">
        <f t="shared" ca="1" si="254"/>
        <v>#VALUE!</v>
      </c>
      <c r="T192" s="512">
        <v>5</v>
      </c>
      <c r="U192" s="516" t="s">
        <v>2264</v>
      </c>
      <c r="V192" s="529" t="s">
        <v>2452</v>
      </c>
      <c r="W192" s="508" t="str">
        <f t="shared" ca="1" si="242"/>
        <v>T2部件</v>
      </c>
      <c r="X192" s="566">
        <v>1</v>
      </c>
      <c r="Y192" s="633">
        <v>1.0200000000000001E-2</v>
      </c>
      <c r="Z192" s="170" t="e">
        <f t="shared" ca="1" si="255"/>
        <v>#VALUE!</v>
      </c>
      <c r="AA192" s="508" t="e">
        <f t="shared" ca="1" si="256"/>
        <v>#VALUE!</v>
      </c>
      <c r="AC192" s="512">
        <v>5</v>
      </c>
      <c r="AD192" s="516" t="s">
        <v>2253</v>
      </c>
      <c r="AE192" s="529" t="s">
        <v>2452</v>
      </c>
      <c r="AF192" s="508">
        <f t="shared" ca="1" si="250"/>
        <v>10.8</v>
      </c>
      <c r="AG192" s="625">
        <v>1.5</v>
      </c>
      <c r="AH192" s="633">
        <v>1.4E-2</v>
      </c>
      <c r="AI192" s="170">
        <f t="shared" ca="1" si="272"/>
        <v>5.5308641975308638E-2</v>
      </c>
      <c r="AJ192" s="508">
        <f t="shared" ca="1" si="273"/>
        <v>553</v>
      </c>
      <c r="AL192" s="512">
        <v>5</v>
      </c>
      <c r="AM192" s="516" t="s">
        <v>2241</v>
      </c>
      <c r="AN192" s="529" t="s">
        <v>2452</v>
      </c>
      <c r="AO192" s="508">
        <f t="shared" ca="1" si="257"/>
        <v>10.8</v>
      </c>
      <c r="AP192" s="625">
        <v>2.5</v>
      </c>
      <c r="AQ192" s="600">
        <v>1.1599999999999999E-2</v>
      </c>
      <c r="AR192" s="170">
        <f t="shared" ca="1" si="278"/>
        <v>4.1674074074074072E-2</v>
      </c>
      <c r="AS192" s="508">
        <f t="shared" ca="1" si="279"/>
        <v>417</v>
      </c>
      <c r="AU192" s="512">
        <v>5</v>
      </c>
      <c r="AV192" s="516" t="s">
        <v>2239</v>
      </c>
      <c r="AW192" s="529" t="s">
        <v>2452</v>
      </c>
      <c r="AX192" s="508">
        <f t="shared" ca="1" si="260"/>
        <v>10.8</v>
      </c>
      <c r="AY192" s="625">
        <v>1.5</v>
      </c>
      <c r="AZ192" s="633">
        <v>8.0000000000000002E-3</v>
      </c>
      <c r="BA192" s="170">
        <f t="shared" ca="1" si="261"/>
        <v>3.2098765432098768E-2</v>
      </c>
      <c r="BB192" s="508">
        <f t="shared" ca="1" si="262"/>
        <v>321</v>
      </c>
      <c r="BD192" s="512">
        <v>5</v>
      </c>
      <c r="BE192" s="516" t="s">
        <v>2239</v>
      </c>
      <c r="BF192" s="529" t="s">
        <v>2452</v>
      </c>
      <c r="BG192" s="508">
        <f t="shared" ca="1" si="263"/>
        <v>10.8</v>
      </c>
      <c r="BH192" s="508">
        <v>4</v>
      </c>
      <c r="BI192" s="615">
        <v>7.0000000000000001E-3</v>
      </c>
      <c r="BJ192" s="170">
        <f t="shared" ca="1" si="274"/>
        <v>2.390046296296296E-2</v>
      </c>
      <c r="BK192" s="279">
        <f t="shared" ca="1" si="275"/>
        <v>239</v>
      </c>
      <c r="BS192" s="538"/>
      <c r="BT192" s="157"/>
      <c r="BV192" s="293">
        <v>6</v>
      </c>
      <c r="BW192" s="527" t="s">
        <v>2253</v>
      </c>
      <c r="BX192" s="530" t="s">
        <v>2200</v>
      </c>
      <c r="BY192" s="523">
        <f t="shared" ca="1" si="266"/>
        <v>10.125</v>
      </c>
      <c r="BZ192" s="662">
        <v>3.5</v>
      </c>
      <c r="CA192" s="634">
        <v>1.9E-2</v>
      </c>
      <c r="CB192" s="170">
        <f t="shared" ca="1" si="267"/>
        <v>2.6807760141093474E-2</v>
      </c>
      <c r="CC192" s="290">
        <f t="shared" ca="1" si="268"/>
        <v>268</v>
      </c>
      <c r="CE192" s="512">
        <v>10</v>
      </c>
      <c r="CF192" s="527" t="s">
        <v>620</v>
      </c>
      <c r="CG192" s="525" t="s">
        <v>1211</v>
      </c>
      <c r="CH192" s="523">
        <f t="shared" ca="1" si="269"/>
        <v>92</v>
      </c>
      <c r="CI192" s="523">
        <v>1</v>
      </c>
      <c r="CJ192" s="523">
        <v>4.9000000000000002E-2</v>
      </c>
      <c r="CK192" s="170">
        <f t="shared" ca="1" si="270"/>
        <v>2.6630434782608698E-2</v>
      </c>
      <c r="CL192" s="508">
        <f t="shared" ca="1" si="271"/>
        <v>266</v>
      </c>
    </row>
    <row r="193" spans="2:90" x14ac:dyDescent="0.35">
      <c r="B193" s="512">
        <v>5</v>
      </c>
      <c r="C193" s="516" t="s">
        <v>2266</v>
      </c>
      <c r="D193" s="529" t="s">
        <v>2452</v>
      </c>
      <c r="E193" s="508" t="str">
        <f t="shared" ca="1" si="236"/>
        <v>T2部件</v>
      </c>
      <c r="F193" s="512">
        <v>2</v>
      </c>
      <c r="G193" s="594">
        <v>1.26E-2</v>
      </c>
      <c r="H193" s="170" t="e">
        <f t="shared" ca="1" si="237"/>
        <v>#VALUE!</v>
      </c>
      <c r="I193" s="508" t="e">
        <f t="shared" ca="1" si="238"/>
        <v>#VALUE!</v>
      </c>
      <c r="K193" s="512">
        <v>5</v>
      </c>
      <c r="L193" s="516" t="s">
        <v>2266</v>
      </c>
      <c r="M193" s="529" t="s">
        <v>2452</v>
      </c>
      <c r="N193" s="508" t="str">
        <f t="shared" ca="1" si="239"/>
        <v>T2部件</v>
      </c>
      <c r="O193" s="566">
        <v>1</v>
      </c>
      <c r="P193" s="594">
        <v>1.0200000000000001E-2</v>
      </c>
      <c r="Q193" s="170" t="e">
        <f t="shared" ca="1" si="253"/>
        <v>#VALUE!</v>
      </c>
      <c r="R193" s="508" t="e">
        <f t="shared" ca="1" si="254"/>
        <v>#VALUE!</v>
      </c>
      <c r="T193" s="512">
        <v>5</v>
      </c>
      <c r="U193" s="516" t="s">
        <v>2266</v>
      </c>
      <c r="V193" s="529" t="s">
        <v>2452</v>
      </c>
      <c r="W193" s="508" t="str">
        <f t="shared" ca="1" si="242"/>
        <v>T2部件</v>
      </c>
      <c r="X193" s="566">
        <v>1</v>
      </c>
      <c r="Y193" s="633">
        <v>1.0200000000000001E-2</v>
      </c>
      <c r="Z193" s="170" t="e">
        <f t="shared" ca="1" si="255"/>
        <v>#VALUE!</v>
      </c>
      <c r="AA193" s="508" t="e">
        <f t="shared" ca="1" si="256"/>
        <v>#VALUE!</v>
      </c>
      <c r="AC193" s="512">
        <v>5</v>
      </c>
      <c r="AD193" s="512" t="s">
        <v>2255</v>
      </c>
      <c r="AE193" s="529" t="s">
        <v>2452</v>
      </c>
      <c r="AF193" s="508">
        <f t="shared" ca="1" si="250"/>
        <v>10.8</v>
      </c>
      <c r="AG193" s="625">
        <v>1.5</v>
      </c>
      <c r="AH193" s="633">
        <v>1.4E-2</v>
      </c>
      <c r="AI193" s="170">
        <f t="shared" ca="1" si="272"/>
        <v>5.5308641975308638E-2</v>
      </c>
      <c r="AJ193" s="508">
        <f t="shared" ca="1" si="273"/>
        <v>553</v>
      </c>
      <c r="AL193" s="512">
        <v>5</v>
      </c>
      <c r="AM193" s="516" t="s">
        <v>2243</v>
      </c>
      <c r="AN193" s="529" t="s">
        <v>2452</v>
      </c>
      <c r="AO193" s="508">
        <f t="shared" ca="1" si="257"/>
        <v>10.8</v>
      </c>
      <c r="AP193" s="625">
        <v>2.5</v>
      </c>
      <c r="AQ193" s="600">
        <v>1.1599999999999999E-2</v>
      </c>
      <c r="AR193" s="170">
        <f t="shared" ca="1" si="278"/>
        <v>4.1674074074074072E-2</v>
      </c>
      <c r="AS193" s="508">
        <f t="shared" ca="1" si="279"/>
        <v>417</v>
      </c>
      <c r="AU193" s="512">
        <v>5</v>
      </c>
      <c r="AV193" s="516" t="s">
        <v>2242</v>
      </c>
      <c r="AW193" s="529" t="s">
        <v>2452</v>
      </c>
      <c r="AX193" s="508">
        <f t="shared" ca="1" si="260"/>
        <v>10.8</v>
      </c>
      <c r="AY193" s="625">
        <v>1.5</v>
      </c>
      <c r="AZ193" s="633">
        <v>8.0000000000000002E-3</v>
      </c>
      <c r="BA193" s="170">
        <f t="shared" ca="1" si="261"/>
        <v>3.2098765432098768E-2</v>
      </c>
      <c r="BB193" s="508">
        <f t="shared" ca="1" si="262"/>
        <v>321</v>
      </c>
      <c r="BD193" s="512">
        <v>5</v>
      </c>
      <c r="BE193" s="516" t="s">
        <v>2242</v>
      </c>
      <c r="BF193" s="529" t="s">
        <v>2452</v>
      </c>
      <c r="BG193" s="508">
        <f t="shared" ca="1" si="263"/>
        <v>10.8</v>
      </c>
      <c r="BH193" s="615">
        <v>4</v>
      </c>
      <c r="BI193" s="615">
        <v>7.0000000000000001E-3</v>
      </c>
      <c r="BJ193" s="170">
        <f t="shared" ca="1" si="274"/>
        <v>2.390046296296296E-2</v>
      </c>
      <c r="BK193" s="279">
        <f t="shared" ca="1" si="275"/>
        <v>239</v>
      </c>
      <c r="BV193" s="293">
        <v>6</v>
      </c>
      <c r="BW193" s="525" t="s">
        <v>2255</v>
      </c>
      <c r="BX193" s="530" t="s">
        <v>2200</v>
      </c>
      <c r="BY193" s="523">
        <f t="shared" ca="1" si="266"/>
        <v>10.125</v>
      </c>
      <c r="BZ193" s="662">
        <v>3.5</v>
      </c>
      <c r="CA193" s="634">
        <v>1.9E-2</v>
      </c>
      <c r="CB193" s="170">
        <f t="shared" ca="1" si="267"/>
        <v>2.6807760141093474E-2</v>
      </c>
      <c r="CC193" s="290">
        <f t="shared" ca="1" si="268"/>
        <v>268</v>
      </c>
      <c r="CE193" s="512">
        <v>10</v>
      </c>
      <c r="CF193" s="527" t="s">
        <v>719</v>
      </c>
      <c r="CG193" s="525" t="s">
        <v>1211</v>
      </c>
      <c r="CH193" s="523">
        <f t="shared" ca="1" si="269"/>
        <v>92</v>
      </c>
      <c r="CI193" s="523">
        <v>1</v>
      </c>
      <c r="CJ193" s="523">
        <v>4.8000000000000001E-2</v>
      </c>
      <c r="CK193" s="170">
        <f t="shared" ca="1" si="270"/>
        <v>2.6086956521739129E-2</v>
      </c>
      <c r="CL193" s="508">
        <f t="shared" ca="1" si="271"/>
        <v>261</v>
      </c>
    </row>
    <row r="194" spans="2:90" x14ac:dyDescent="0.35">
      <c r="B194" s="512">
        <v>5</v>
      </c>
      <c r="C194" s="516" t="s">
        <v>2268</v>
      </c>
      <c r="D194" s="529" t="s">
        <v>2452</v>
      </c>
      <c r="E194" s="508" t="str">
        <f t="shared" ca="1" si="236"/>
        <v>T2部件</v>
      </c>
      <c r="F194" s="512">
        <v>2</v>
      </c>
      <c r="G194" s="594">
        <v>1.26E-2</v>
      </c>
      <c r="H194" s="170" t="e">
        <f t="shared" ca="1" si="237"/>
        <v>#VALUE!</v>
      </c>
      <c r="I194" s="508" t="e">
        <f t="shared" ca="1" si="238"/>
        <v>#VALUE!</v>
      </c>
      <c r="K194" s="512">
        <v>5</v>
      </c>
      <c r="L194" s="516" t="s">
        <v>2268</v>
      </c>
      <c r="M194" s="529" t="s">
        <v>2452</v>
      </c>
      <c r="N194" s="508" t="str">
        <f t="shared" ca="1" si="239"/>
        <v>T2部件</v>
      </c>
      <c r="O194" s="566">
        <v>1</v>
      </c>
      <c r="P194" s="594">
        <v>1.0200000000000001E-2</v>
      </c>
      <c r="Q194" s="170" t="e">
        <f t="shared" ca="1" si="253"/>
        <v>#VALUE!</v>
      </c>
      <c r="R194" s="508" t="e">
        <f t="shared" ca="1" si="254"/>
        <v>#VALUE!</v>
      </c>
      <c r="T194" s="512">
        <v>5</v>
      </c>
      <c r="U194" s="516" t="s">
        <v>2268</v>
      </c>
      <c r="V194" s="529" t="s">
        <v>2452</v>
      </c>
      <c r="W194" s="508" t="str">
        <f t="shared" ca="1" si="242"/>
        <v>T2部件</v>
      </c>
      <c r="X194" s="566">
        <v>1</v>
      </c>
      <c r="Y194" s="633">
        <v>1.0200000000000001E-2</v>
      </c>
      <c r="Z194" s="170" t="e">
        <f t="shared" ca="1" si="255"/>
        <v>#VALUE!</v>
      </c>
      <c r="AA194" s="508" t="e">
        <f t="shared" ca="1" si="256"/>
        <v>#VALUE!</v>
      </c>
      <c r="AC194" s="512">
        <v>5</v>
      </c>
      <c r="AD194" s="512" t="s">
        <v>2257</v>
      </c>
      <c r="AE194" s="529" t="s">
        <v>2452</v>
      </c>
      <c r="AF194" s="508">
        <f t="shared" ca="1" si="250"/>
        <v>10.8</v>
      </c>
      <c r="AG194" s="625">
        <v>1.5</v>
      </c>
      <c r="AH194" s="633">
        <v>1.4E-2</v>
      </c>
      <c r="AI194" s="170">
        <f t="shared" ca="1" si="272"/>
        <v>5.5308641975308638E-2</v>
      </c>
      <c r="AJ194" s="508">
        <f t="shared" ca="1" si="273"/>
        <v>553</v>
      </c>
      <c r="AL194" s="512">
        <v>5</v>
      </c>
      <c r="AM194" s="516" t="s">
        <v>2245</v>
      </c>
      <c r="AN194" s="529" t="s">
        <v>2452</v>
      </c>
      <c r="AO194" s="508">
        <f t="shared" ca="1" si="257"/>
        <v>10.8</v>
      </c>
      <c r="AP194" s="625">
        <v>2.5</v>
      </c>
      <c r="AQ194" s="600">
        <v>1.1599999999999999E-2</v>
      </c>
      <c r="AR194" s="170">
        <f t="shared" ca="1" si="278"/>
        <v>4.1674074074074072E-2</v>
      </c>
      <c r="AS194" s="508">
        <f t="shared" ca="1" si="279"/>
        <v>417</v>
      </c>
      <c r="AU194" s="512">
        <v>5</v>
      </c>
      <c r="AV194" s="516" t="s">
        <v>2244</v>
      </c>
      <c r="AW194" s="529" t="s">
        <v>2452</v>
      </c>
      <c r="AX194" s="508">
        <f t="shared" ca="1" si="260"/>
        <v>10.8</v>
      </c>
      <c r="AY194" s="625">
        <v>1.5</v>
      </c>
      <c r="AZ194" s="633">
        <v>8.0000000000000002E-3</v>
      </c>
      <c r="BA194" s="170">
        <f t="shared" ca="1" si="261"/>
        <v>3.2098765432098768E-2</v>
      </c>
      <c r="BB194" s="508">
        <f t="shared" ca="1" si="262"/>
        <v>321</v>
      </c>
      <c r="BD194" s="512">
        <v>5</v>
      </c>
      <c r="BE194" s="516" t="s">
        <v>2244</v>
      </c>
      <c r="BF194" s="529" t="s">
        <v>2452</v>
      </c>
      <c r="BG194" s="508">
        <f t="shared" ca="1" si="263"/>
        <v>10.8</v>
      </c>
      <c r="BH194" s="615">
        <v>4</v>
      </c>
      <c r="BI194" s="615">
        <v>7.0000000000000001E-3</v>
      </c>
      <c r="BJ194" s="170">
        <f t="shared" ca="1" si="274"/>
        <v>2.390046296296296E-2</v>
      </c>
      <c r="BK194" s="279">
        <f t="shared" ca="1" si="275"/>
        <v>239</v>
      </c>
      <c r="BM194" s="512" t="s">
        <v>597</v>
      </c>
      <c r="BN194" s="525" t="s">
        <v>1225</v>
      </c>
      <c r="BO194" s="526" t="s">
        <v>917</v>
      </c>
      <c r="BP194" s="166" t="s">
        <v>920</v>
      </c>
      <c r="BQ194" s="518" t="s">
        <v>967</v>
      </c>
      <c r="BR194" s="166" t="s">
        <v>854</v>
      </c>
      <c r="BS194" s="166" t="s">
        <v>926</v>
      </c>
      <c r="BT194" s="514" t="s">
        <v>927</v>
      </c>
      <c r="BU194" s="300" t="e">
        <f ca="1">SUM(BT195:BT233)</f>
        <v>#VALUE!</v>
      </c>
      <c r="BV194" s="293">
        <v>6</v>
      </c>
      <c r="BW194" s="525" t="s">
        <v>2257</v>
      </c>
      <c r="BX194" s="530" t="s">
        <v>2200</v>
      </c>
      <c r="BY194" s="523">
        <f t="shared" ca="1" si="266"/>
        <v>10.125</v>
      </c>
      <c r="BZ194" s="662">
        <v>3.5</v>
      </c>
      <c r="CA194" s="634">
        <v>1.9E-2</v>
      </c>
      <c r="CB194" s="170">
        <f t="shared" ca="1" si="267"/>
        <v>2.6807760141093474E-2</v>
      </c>
      <c r="CC194" s="290">
        <f t="shared" ca="1" si="268"/>
        <v>268</v>
      </c>
      <c r="CE194" s="512">
        <v>10</v>
      </c>
      <c r="CF194" s="527" t="s">
        <v>635</v>
      </c>
      <c r="CG194" s="525" t="s">
        <v>1211</v>
      </c>
      <c r="CH194" s="523">
        <f t="shared" ca="1" si="269"/>
        <v>92</v>
      </c>
      <c r="CI194" s="523">
        <v>1</v>
      </c>
      <c r="CJ194" s="523">
        <v>4.8000000000000001E-2</v>
      </c>
      <c r="CK194" s="170">
        <f t="shared" ca="1" si="270"/>
        <v>2.6086956521739129E-2</v>
      </c>
      <c r="CL194" s="508">
        <f t="shared" ca="1" si="271"/>
        <v>261</v>
      </c>
    </row>
    <row r="195" spans="2:90" x14ac:dyDescent="0.35">
      <c r="B195" s="512">
        <v>5</v>
      </c>
      <c r="C195" s="516" t="s">
        <v>2270</v>
      </c>
      <c r="D195" s="529" t="s">
        <v>2452</v>
      </c>
      <c r="E195" s="508" t="str">
        <f t="shared" ca="1" si="236"/>
        <v>T2部件</v>
      </c>
      <c r="F195" s="512">
        <v>2</v>
      </c>
      <c r="G195" s="594">
        <v>1.26E-2</v>
      </c>
      <c r="H195" s="170" t="e">
        <f t="shared" ca="1" si="237"/>
        <v>#VALUE!</v>
      </c>
      <c r="I195" s="508" t="e">
        <f t="shared" ca="1" si="238"/>
        <v>#VALUE!</v>
      </c>
      <c r="K195" s="512">
        <v>5</v>
      </c>
      <c r="L195" s="516" t="s">
        <v>2270</v>
      </c>
      <c r="M195" s="529" t="s">
        <v>2452</v>
      </c>
      <c r="N195" s="508" t="str">
        <f t="shared" ca="1" si="239"/>
        <v>T2部件</v>
      </c>
      <c r="O195" s="566">
        <v>1</v>
      </c>
      <c r="P195" s="594">
        <v>1.0200000000000001E-2</v>
      </c>
      <c r="Q195" s="170" t="e">
        <f t="shared" ca="1" si="253"/>
        <v>#VALUE!</v>
      </c>
      <c r="R195" s="508" t="e">
        <f t="shared" ca="1" si="254"/>
        <v>#VALUE!</v>
      </c>
      <c r="T195" s="512">
        <v>5</v>
      </c>
      <c r="U195" s="516" t="s">
        <v>2270</v>
      </c>
      <c r="V195" s="529" t="s">
        <v>2452</v>
      </c>
      <c r="W195" s="508" t="str">
        <f t="shared" ca="1" si="242"/>
        <v>T2部件</v>
      </c>
      <c r="X195" s="566">
        <v>1</v>
      </c>
      <c r="Y195" s="633">
        <v>1.0200000000000001E-2</v>
      </c>
      <c r="Z195" s="170" t="e">
        <f t="shared" ca="1" si="255"/>
        <v>#VALUE!</v>
      </c>
      <c r="AA195" s="508" t="e">
        <f t="shared" ca="1" si="256"/>
        <v>#VALUE!</v>
      </c>
      <c r="AC195" s="512">
        <v>5</v>
      </c>
      <c r="AD195" s="516" t="s">
        <v>2258</v>
      </c>
      <c r="AE195" s="529" t="s">
        <v>2452</v>
      </c>
      <c r="AF195" s="508" t="str">
        <f t="shared" ca="1" si="250"/>
        <v>T2部件</v>
      </c>
      <c r="AG195" s="508">
        <v>1</v>
      </c>
      <c r="AH195" s="633">
        <v>8.9999999999999993E-3</v>
      </c>
      <c r="AI195" s="170" t="e">
        <f t="shared" ca="1" si="272"/>
        <v>#VALUE!</v>
      </c>
      <c r="AJ195" s="508" t="e">
        <f t="shared" ca="1" si="273"/>
        <v>#VALUE!</v>
      </c>
      <c r="AL195" s="512">
        <v>5</v>
      </c>
      <c r="AM195" s="516" t="s">
        <v>2247</v>
      </c>
      <c r="AN195" s="529" t="s">
        <v>2452</v>
      </c>
      <c r="AO195" s="508">
        <f t="shared" ca="1" si="257"/>
        <v>10.8</v>
      </c>
      <c r="AP195" s="625">
        <v>2.5</v>
      </c>
      <c r="AQ195" s="600">
        <v>1.1599999999999999E-2</v>
      </c>
      <c r="AR195" s="170">
        <f t="shared" ca="1" si="278"/>
        <v>4.1674074074074072E-2</v>
      </c>
      <c r="AS195" s="508">
        <f t="shared" ca="1" si="279"/>
        <v>417</v>
      </c>
      <c r="AU195" s="512">
        <v>5</v>
      </c>
      <c r="AV195" s="516" t="s">
        <v>2246</v>
      </c>
      <c r="AW195" s="529" t="s">
        <v>2452</v>
      </c>
      <c r="AX195" s="508">
        <f t="shared" ca="1" si="260"/>
        <v>10.8</v>
      </c>
      <c r="AY195" s="625">
        <v>1.5</v>
      </c>
      <c r="AZ195" s="633">
        <v>8.0000000000000002E-3</v>
      </c>
      <c r="BA195" s="170">
        <f t="shared" ca="1" si="261"/>
        <v>3.2098765432098768E-2</v>
      </c>
      <c r="BB195" s="508">
        <f t="shared" ca="1" si="262"/>
        <v>321</v>
      </c>
      <c r="BD195" s="512">
        <v>5</v>
      </c>
      <c r="BE195" s="516" t="s">
        <v>2246</v>
      </c>
      <c r="BF195" s="529" t="s">
        <v>2452</v>
      </c>
      <c r="BG195" s="508">
        <f t="shared" ca="1" si="263"/>
        <v>10.8</v>
      </c>
      <c r="BH195" s="615">
        <v>4</v>
      </c>
      <c r="BI195" s="615">
        <v>7.0000000000000001E-3</v>
      </c>
      <c r="BJ195" s="170">
        <f t="shared" ca="1" si="274"/>
        <v>2.390046296296296E-2</v>
      </c>
      <c r="BK195" s="279">
        <f t="shared" ca="1" si="275"/>
        <v>239</v>
      </c>
      <c r="BM195" s="512">
        <v>6</v>
      </c>
      <c r="BN195" s="527" t="s">
        <v>618</v>
      </c>
      <c r="BO195" s="295" t="s">
        <v>918</v>
      </c>
      <c r="BP195" s="508">
        <f t="shared" ref="BP195:BP233" ca="1" si="282">IF(BO195="部件",VLOOKUP(BM195,INDIRECT(BO195&amp;"价值"),MATCH(LEFT(BN195,2)&amp;"部件",INDIRECT(BO195&amp;"价值标头"),0),FALSE),IF(BO195="加速道具",VLOOKUP(BN195,INDIRECT(BO195&amp;"价值"),MATCH("价格",INDIRECT(BO195&amp;"价值标头"),0),FALSE),VLOOKUP(BM195,INDIRECT(BO195&amp;"价值"),MATCH(BN195,INDIRECT(BO195&amp;"价值标头"),0),FALSE)))</f>
        <v>1692</v>
      </c>
      <c r="BQ195" s="508">
        <v>1</v>
      </c>
      <c r="BR195" s="523">
        <f>宝箱设定!$P143</f>
        <v>6.6599999999999993E-2</v>
      </c>
      <c r="BS195" s="170">
        <f t="shared" ref="BS195:BS200" ca="1" si="283">BR195*BN$4/BP195/BQ195</f>
        <v>1.2989361702127658E-2</v>
      </c>
      <c r="BT195" s="508">
        <f t="shared" ref="BT195:BT200" ca="1" si="284">ROUND(BS195*10000,0)</f>
        <v>130</v>
      </c>
      <c r="BV195" s="293">
        <v>6</v>
      </c>
      <c r="BW195" s="527" t="s">
        <v>2258</v>
      </c>
      <c r="BX195" s="530" t="s">
        <v>2200</v>
      </c>
      <c r="BY195" s="523" t="str">
        <f t="shared" ca="1" si="266"/>
        <v>T2部件</v>
      </c>
      <c r="BZ195" s="523">
        <v>1.5</v>
      </c>
      <c r="CA195" s="523">
        <v>2.3599999999999999E-2</v>
      </c>
      <c r="CB195" s="170" t="e">
        <f t="shared" ca="1" si="267"/>
        <v>#VALUE!</v>
      </c>
      <c r="CC195" s="290" t="e">
        <f t="shared" ca="1" si="268"/>
        <v>#VALUE!</v>
      </c>
      <c r="CE195" s="512">
        <v>10</v>
      </c>
      <c r="CF195" s="527" t="s">
        <v>717</v>
      </c>
      <c r="CG195" s="525" t="s">
        <v>1211</v>
      </c>
      <c r="CH195" s="523">
        <f t="shared" ca="1" si="269"/>
        <v>115</v>
      </c>
      <c r="CI195" s="523">
        <v>1</v>
      </c>
      <c r="CJ195" s="523">
        <v>7.0000000000000007E-2</v>
      </c>
      <c r="CK195" s="170">
        <f t="shared" ca="1" si="270"/>
        <v>3.0434782608695657E-2</v>
      </c>
      <c r="CL195" s="508">
        <f t="shared" ca="1" si="271"/>
        <v>304</v>
      </c>
    </row>
    <row r="196" spans="2:90" x14ac:dyDescent="0.35">
      <c r="B196" s="512">
        <v>5</v>
      </c>
      <c r="C196" s="512" t="s">
        <v>2272</v>
      </c>
      <c r="D196" s="529" t="s">
        <v>2452</v>
      </c>
      <c r="E196" s="508" t="str">
        <f t="shared" ca="1" si="236"/>
        <v>T2部件</v>
      </c>
      <c r="F196" s="512">
        <v>2</v>
      </c>
      <c r="G196" s="594">
        <v>1.26E-2</v>
      </c>
      <c r="H196" s="170" t="e">
        <f t="shared" ca="1" si="237"/>
        <v>#VALUE!</v>
      </c>
      <c r="I196" s="508" t="e">
        <f t="shared" ca="1" si="238"/>
        <v>#VALUE!</v>
      </c>
      <c r="K196" s="512">
        <v>5</v>
      </c>
      <c r="L196" s="512" t="s">
        <v>2272</v>
      </c>
      <c r="M196" s="529" t="s">
        <v>2452</v>
      </c>
      <c r="N196" s="508" t="str">
        <f t="shared" ca="1" si="239"/>
        <v>T2部件</v>
      </c>
      <c r="O196" s="566">
        <v>1</v>
      </c>
      <c r="P196" s="594">
        <v>1.01E-2</v>
      </c>
      <c r="Q196" s="170" t="e">
        <f t="shared" ca="1" si="253"/>
        <v>#VALUE!</v>
      </c>
      <c r="R196" s="508" t="e">
        <f t="shared" ca="1" si="254"/>
        <v>#VALUE!</v>
      </c>
      <c r="T196" s="512">
        <v>5</v>
      </c>
      <c r="U196" s="512" t="s">
        <v>2272</v>
      </c>
      <c r="V196" s="529" t="s">
        <v>2452</v>
      </c>
      <c r="W196" s="508" t="str">
        <f t="shared" ca="1" si="242"/>
        <v>T2部件</v>
      </c>
      <c r="X196" s="566">
        <v>1</v>
      </c>
      <c r="Y196" s="633">
        <v>1.01E-2</v>
      </c>
      <c r="Z196" s="170" t="e">
        <f t="shared" ca="1" si="255"/>
        <v>#VALUE!</v>
      </c>
      <c r="AA196" s="508" t="e">
        <f t="shared" ca="1" si="256"/>
        <v>#VALUE!</v>
      </c>
      <c r="AC196" s="512">
        <v>5</v>
      </c>
      <c r="AD196" s="516" t="s">
        <v>2260</v>
      </c>
      <c r="AE196" s="529" t="s">
        <v>2452</v>
      </c>
      <c r="AF196" s="508" t="str">
        <f t="shared" ca="1" si="250"/>
        <v>T2部件</v>
      </c>
      <c r="AG196" s="508">
        <v>1</v>
      </c>
      <c r="AH196" s="633">
        <v>8.9999999999999993E-3</v>
      </c>
      <c r="AI196" s="170" t="e">
        <f t="shared" ca="1" si="272"/>
        <v>#VALUE!</v>
      </c>
      <c r="AJ196" s="508" t="e">
        <f t="shared" ca="1" si="273"/>
        <v>#VALUE!</v>
      </c>
      <c r="AL196" s="512">
        <v>5</v>
      </c>
      <c r="AM196" s="516" t="s">
        <v>2249</v>
      </c>
      <c r="AN196" s="529" t="s">
        <v>2452</v>
      </c>
      <c r="AO196" s="508">
        <f t="shared" ca="1" si="257"/>
        <v>10.8</v>
      </c>
      <c r="AP196" s="625">
        <v>2.5</v>
      </c>
      <c r="AQ196" s="600">
        <v>1.1599999999999999E-2</v>
      </c>
      <c r="AR196" s="170">
        <f t="shared" ca="1" si="278"/>
        <v>4.1674074074074072E-2</v>
      </c>
      <c r="AS196" s="508">
        <f t="shared" ca="1" si="279"/>
        <v>417</v>
      </c>
      <c r="AU196" s="512">
        <v>5</v>
      </c>
      <c r="AV196" s="516" t="s">
        <v>2248</v>
      </c>
      <c r="AW196" s="529" t="s">
        <v>2452</v>
      </c>
      <c r="AX196" s="508">
        <f t="shared" ca="1" si="260"/>
        <v>10.8</v>
      </c>
      <c r="AY196" s="625">
        <v>1.5</v>
      </c>
      <c r="AZ196" s="633">
        <v>8.0000000000000002E-3</v>
      </c>
      <c r="BA196" s="170">
        <f t="shared" ca="1" si="261"/>
        <v>3.2098765432098768E-2</v>
      </c>
      <c r="BB196" s="508">
        <f t="shared" ca="1" si="262"/>
        <v>321</v>
      </c>
      <c r="BD196" s="512">
        <v>5</v>
      </c>
      <c r="BE196" s="516" t="s">
        <v>2248</v>
      </c>
      <c r="BF196" s="529" t="s">
        <v>2452</v>
      </c>
      <c r="BG196" s="508">
        <f t="shared" ca="1" si="263"/>
        <v>10.8</v>
      </c>
      <c r="BH196" s="615">
        <v>4</v>
      </c>
      <c r="BI196" s="615">
        <v>7.0000000000000001E-3</v>
      </c>
      <c r="BJ196" s="170">
        <f t="shared" ca="1" si="274"/>
        <v>2.390046296296296E-2</v>
      </c>
      <c r="BK196" s="279">
        <f t="shared" ca="1" si="275"/>
        <v>239</v>
      </c>
      <c r="BM196" s="512">
        <v>6</v>
      </c>
      <c r="BN196" s="527" t="s">
        <v>627</v>
      </c>
      <c r="BO196" s="295" t="s">
        <v>918</v>
      </c>
      <c r="BP196" s="508">
        <f t="shared" ca="1" si="282"/>
        <v>1692</v>
      </c>
      <c r="BQ196" s="508">
        <v>1</v>
      </c>
      <c r="BR196" s="523">
        <f>宝箱设定!$P144</f>
        <v>6.6599999999999993E-2</v>
      </c>
      <c r="BS196" s="170">
        <f t="shared" ca="1" si="283"/>
        <v>1.2989361702127658E-2</v>
      </c>
      <c r="BT196" s="508">
        <f t="shared" ca="1" si="284"/>
        <v>130</v>
      </c>
      <c r="BV196" s="293">
        <v>6</v>
      </c>
      <c r="BW196" s="527" t="s">
        <v>2260</v>
      </c>
      <c r="BX196" s="530" t="s">
        <v>2200</v>
      </c>
      <c r="BY196" s="523" t="str">
        <f t="shared" ca="1" si="266"/>
        <v>T2部件</v>
      </c>
      <c r="BZ196" s="662">
        <v>1.5</v>
      </c>
      <c r="CA196" s="634">
        <v>2.3599999999999999E-2</v>
      </c>
      <c r="CB196" s="170" t="e">
        <f t="shared" ca="1" si="267"/>
        <v>#VALUE!</v>
      </c>
      <c r="CC196" s="290" t="e">
        <f t="shared" ca="1" si="268"/>
        <v>#VALUE!</v>
      </c>
      <c r="CE196" s="512">
        <v>10</v>
      </c>
      <c r="CF196" s="527" t="s">
        <v>720</v>
      </c>
      <c r="CG196" s="525" t="s">
        <v>1211</v>
      </c>
      <c r="CH196" s="523">
        <f t="shared" ca="1" si="269"/>
        <v>115</v>
      </c>
      <c r="CI196" s="523">
        <v>1</v>
      </c>
      <c r="CJ196" s="571">
        <v>7.0000000000000007E-2</v>
      </c>
      <c r="CK196" s="170">
        <f t="shared" ca="1" si="270"/>
        <v>3.0434782608695657E-2</v>
      </c>
      <c r="CL196" s="508">
        <f t="shared" ca="1" si="271"/>
        <v>304</v>
      </c>
    </row>
    <row r="197" spans="2:90" x14ac:dyDescent="0.35">
      <c r="B197" s="512">
        <v>5</v>
      </c>
      <c r="C197" s="512" t="s">
        <v>2274</v>
      </c>
      <c r="D197" s="529" t="s">
        <v>2452</v>
      </c>
      <c r="E197" s="508" t="str">
        <f t="shared" ca="1" si="236"/>
        <v>T2部件</v>
      </c>
      <c r="F197" s="512">
        <v>2</v>
      </c>
      <c r="G197" s="594">
        <v>1.26E-2</v>
      </c>
      <c r="H197" s="170" t="e">
        <f t="shared" ca="1" si="237"/>
        <v>#VALUE!</v>
      </c>
      <c r="I197" s="508" t="e">
        <f t="shared" ca="1" si="238"/>
        <v>#VALUE!</v>
      </c>
      <c r="K197" s="512">
        <v>5</v>
      </c>
      <c r="L197" s="512" t="s">
        <v>2274</v>
      </c>
      <c r="M197" s="529" t="s">
        <v>2452</v>
      </c>
      <c r="N197" s="508" t="str">
        <f t="shared" ca="1" si="239"/>
        <v>T2部件</v>
      </c>
      <c r="O197" s="566">
        <v>1</v>
      </c>
      <c r="P197" s="594">
        <v>1.01E-2</v>
      </c>
      <c r="Q197" s="170" t="e">
        <f t="shared" ca="1" si="253"/>
        <v>#VALUE!</v>
      </c>
      <c r="R197" s="508" t="e">
        <f t="shared" ca="1" si="254"/>
        <v>#VALUE!</v>
      </c>
      <c r="T197" s="512">
        <v>5</v>
      </c>
      <c r="U197" s="512" t="s">
        <v>2274</v>
      </c>
      <c r="V197" s="529" t="s">
        <v>2452</v>
      </c>
      <c r="W197" s="508" t="str">
        <f t="shared" ca="1" si="242"/>
        <v>T2部件</v>
      </c>
      <c r="X197" s="566">
        <v>1</v>
      </c>
      <c r="Y197" s="633">
        <v>1.01E-2</v>
      </c>
      <c r="Z197" s="170" t="e">
        <f t="shared" ca="1" si="255"/>
        <v>#VALUE!</v>
      </c>
      <c r="AA197" s="508" t="e">
        <f t="shared" ca="1" si="256"/>
        <v>#VALUE!</v>
      </c>
      <c r="AC197" s="512">
        <v>5</v>
      </c>
      <c r="AD197" s="516" t="s">
        <v>2262</v>
      </c>
      <c r="AE197" s="529" t="s">
        <v>2452</v>
      </c>
      <c r="AF197" s="508" t="str">
        <f t="shared" ca="1" si="250"/>
        <v>T2部件</v>
      </c>
      <c r="AG197" s="508">
        <v>1</v>
      </c>
      <c r="AH197" s="633">
        <v>8.9999999999999993E-3</v>
      </c>
      <c r="AI197" s="170" t="e">
        <f t="shared" ca="1" si="272"/>
        <v>#VALUE!</v>
      </c>
      <c r="AJ197" s="508" t="e">
        <f t="shared" ca="1" si="273"/>
        <v>#VALUE!</v>
      </c>
      <c r="AL197" s="512">
        <v>5</v>
      </c>
      <c r="AM197" s="516" t="s">
        <v>2251</v>
      </c>
      <c r="AN197" s="529" t="s">
        <v>2452</v>
      </c>
      <c r="AO197" s="508">
        <f t="shared" ca="1" si="257"/>
        <v>10.8</v>
      </c>
      <c r="AP197" s="625">
        <v>2.5</v>
      </c>
      <c r="AQ197" s="600">
        <v>1.1599999999999999E-2</v>
      </c>
      <c r="AR197" s="170">
        <f t="shared" ca="1" si="278"/>
        <v>4.1674074074074072E-2</v>
      </c>
      <c r="AS197" s="508">
        <f t="shared" ca="1" si="279"/>
        <v>417</v>
      </c>
      <c r="AU197" s="512">
        <v>5</v>
      </c>
      <c r="AV197" s="516" t="s">
        <v>2250</v>
      </c>
      <c r="AW197" s="529" t="s">
        <v>2452</v>
      </c>
      <c r="AX197" s="508">
        <f t="shared" ca="1" si="260"/>
        <v>10.8</v>
      </c>
      <c r="AY197" s="625">
        <v>1.5</v>
      </c>
      <c r="AZ197" s="633">
        <v>8.0000000000000002E-3</v>
      </c>
      <c r="BA197" s="170">
        <f t="shared" ca="1" si="261"/>
        <v>3.2098765432098768E-2</v>
      </c>
      <c r="BB197" s="508">
        <f t="shared" ca="1" si="262"/>
        <v>321</v>
      </c>
      <c r="BD197" s="512">
        <v>5</v>
      </c>
      <c r="BE197" s="516" t="s">
        <v>2250</v>
      </c>
      <c r="BF197" s="529" t="s">
        <v>2452</v>
      </c>
      <c r="BG197" s="508">
        <f t="shared" ca="1" si="263"/>
        <v>10.8</v>
      </c>
      <c r="BH197" s="615">
        <v>4</v>
      </c>
      <c r="BI197" s="615">
        <v>7.0000000000000001E-3</v>
      </c>
      <c r="BJ197" s="170">
        <f t="shared" ca="1" si="274"/>
        <v>2.390046296296296E-2</v>
      </c>
      <c r="BK197" s="279">
        <f t="shared" ca="1" si="275"/>
        <v>239</v>
      </c>
      <c r="BM197" s="512">
        <v>6</v>
      </c>
      <c r="BN197" s="527" t="s">
        <v>628</v>
      </c>
      <c r="BO197" s="295" t="s">
        <v>918</v>
      </c>
      <c r="BP197" s="508">
        <f t="shared" ca="1" si="282"/>
        <v>1692</v>
      </c>
      <c r="BQ197" s="508">
        <v>1</v>
      </c>
      <c r="BR197" s="523">
        <f>宝箱设定!$P145</f>
        <v>6.6599999999999993E-2</v>
      </c>
      <c r="BS197" s="170">
        <f t="shared" ca="1" si="283"/>
        <v>1.2989361702127658E-2</v>
      </c>
      <c r="BT197" s="508">
        <f t="shared" ca="1" si="284"/>
        <v>130</v>
      </c>
      <c r="BV197" s="293">
        <v>6</v>
      </c>
      <c r="BW197" s="527" t="s">
        <v>2262</v>
      </c>
      <c r="BX197" s="530" t="s">
        <v>2200</v>
      </c>
      <c r="BY197" s="523" t="str">
        <f t="shared" ca="1" si="266"/>
        <v>T2部件</v>
      </c>
      <c r="BZ197" s="662">
        <v>1.5</v>
      </c>
      <c r="CA197" s="634">
        <v>2.3599999999999999E-2</v>
      </c>
      <c r="CB197" s="170" t="e">
        <f t="shared" ca="1" si="267"/>
        <v>#VALUE!</v>
      </c>
      <c r="CC197" s="290" t="e">
        <f t="shared" ca="1" si="268"/>
        <v>#VALUE!</v>
      </c>
      <c r="CE197" s="512">
        <v>10</v>
      </c>
      <c r="CF197" s="527" t="s">
        <v>629</v>
      </c>
      <c r="CG197" s="525" t="s">
        <v>1211</v>
      </c>
      <c r="CH197" s="523">
        <f t="shared" ca="1" si="269"/>
        <v>115</v>
      </c>
      <c r="CI197" s="523">
        <v>1</v>
      </c>
      <c r="CJ197" s="571">
        <v>7.0000000000000007E-2</v>
      </c>
      <c r="CK197" s="170">
        <f t="shared" ca="1" si="270"/>
        <v>3.0434782608695657E-2</v>
      </c>
      <c r="CL197" s="508">
        <f t="shared" ca="1" si="271"/>
        <v>304</v>
      </c>
    </row>
    <row r="198" spans="2:90" x14ac:dyDescent="0.35">
      <c r="B198" s="512">
        <v>5</v>
      </c>
      <c r="C198" s="516" t="s">
        <v>2259</v>
      </c>
      <c r="D198" s="529" t="s">
        <v>2452</v>
      </c>
      <c r="E198" s="508" t="str">
        <f t="shared" ca="1" si="236"/>
        <v>T2部件</v>
      </c>
      <c r="F198" s="512">
        <v>2</v>
      </c>
      <c r="G198" s="594">
        <v>1.26E-2</v>
      </c>
      <c r="H198" s="170" t="e">
        <f t="shared" ca="1" si="237"/>
        <v>#VALUE!</v>
      </c>
      <c r="I198" s="508" t="e">
        <f t="shared" ca="1" si="238"/>
        <v>#VALUE!</v>
      </c>
      <c r="K198" s="512">
        <v>5</v>
      </c>
      <c r="L198" s="516" t="s">
        <v>2259</v>
      </c>
      <c r="M198" s="529" t="s">
        <v>2452</v>
      </c>
      <c r="N198" s="508" t="str">
        <f t="shared" ca="1" si="239"/>
        <v>T2部件</v>
      </c>
      <c r="O198" s="566">
        <v>1</v>
      </c>
      <c r="P198" s="594">
        <v>1.01E-2</v>
      </c>
      <c r="Q198" s="170" t="e">
        <f t="shared" ca="1" si="253"/>
        <v>#VALUE!</v>
      </c>
      <c r="R198" s="508" t="e">
        <f t="shared" ca="1" si="254"/>
        <v>#VALUE!</v>
      </c>
      <c r="T198" s="512">
        <v>5</v>
      </c>
      <c r="U198" s="516" t="s">
        <v>2259</v>
      </c>
      <c r="V198" s="529" t="s">
        <v>2452</v>
      </c>
      <c r="W198" s="508" t="str">
        <f t="shared" ca="1" si="242"/>
        <v>T2部件</v>
      </c>
      <c r="X198" s="566">
        <v>1</v>
      </c>
      <c r="Y198" s="633">
        <v>1.01E-2</v>
      </c>
      <c r="Z198" s="170" t="e">
        <f t="shared" ca="1" si="255"/>
        <v>#VALUE!</v>
      </c>
      <c r="AA198" s="508" t="e">
        <f t="shared" ca="1" si="256"/>
        <v>#VALUE!</v>
      </c>
      <c r="AC198" s="512">
        <v>5</v>
      </c>
      <c r="AD198" s="516" t="s">
        <v>2264</v>
      </c>
      <c r="AE198" s="529" t="s">
        <v>2452</v>
      </c>
      <c r="AF198" s="508" t="str">
        <f t="shared" ca="1" si="250"/>
        <v>T2部件</v>
      </c>
      <c r="AG198" s="508">
        <v>1</v>
      </c>
      <c r="AH198" s="633">
        <v>8.9999999999999993E-3</v>
      </c>
      <c r="AI198" s="170" t="e">
        <f t="shared" ca="1" si="272"/>
        <v>#VALUE!</v>
      </c>
      <c r="AJ198" s="508" t="e">
        <f t="shared" ca="1" si="273"/>
        <v>#VALUE!</v>
      </c>
      <c r="AL198" s="512">
        <v>5</v>
      </c>
      <c r="AM198" s="516" t="s">
        <v>2253</v>
      </c>
      <c r="AN198" s="529" t="s">
        <v>2452</v>
      </c>
      <c r="AO198" s="508">
        <f t="shared" ca="1" si="257"/>
        <v>10.8</v>
      </c>
      <c r="AP198" s="625">
        <v>2.5</v>
      </c>
      <c r="AQ198" s="565">
        <v>1.15E-2</v>
      </c>
      <c r="AR198" s="170">
        <f t="shared" ca="1" si="278"/>
        <v>4.1314814814814811E-2</v>
      </c>
      <c r="AS198" s="508">
        <f t="shared" ca="1" si="279"/>
        <v>413</v>
      </c>
      <c r="AU198" s="512">
        <v>5</v>
      </c>
      <c r="AV198" s="516" t="s">
        <v>2252</v>
      </c>
      <c r="AW198" s="529" t="s">
        <v>2452</v>
      </c>
      <c r="AX198" s="508">
        <f t="shared" ca="1" si="260"/>
        <v>10.8</v>
      </c>
      <c r="AY198" s="625">
        <v>1.5</v>
      </c>
      <c r="AZ198" s="633">
        <v>8.0000000000000002E-3</v>
      </c>
      <c r="BA198" s="170">
        <f t="shared" ca="1" si="261"/>
        <v>3.2098765432098768E-2</v>
      </c>
      <c r="BB198" s="508">
        <f t="shared" ca="1" si="262"/>
        <v>321</v>
      </c>
      <c r="BD198" s="512">
        <v>5</v>
      </c>
      <c r="BE198" s="516" t="s">
        <v>2252</v>
      </c>
      <c r="BF198" s="529" t="s">
        <v>2452</v>
      </c>
      <c r="BG198" s="508">
        <f t="shared" ca="1" si="263"/>
        <v>10.8</v>
      </c>
      <c r="BH198" s="615">
        <v>4</v>
      </c>
      <c r="BI198" s="615">
        <v>7.0000000000000001E-3</v>
      </c>
      <c r="BJ198" s="170">
        <f t="shared" ca="1" si="274"/>
        <v>2.390046296296296E-2</v>
      </c>
      <c r="BK198" s="279">
        <f t="shared" ca="1" si="275"/>
        <v>239</v>
      </c>
      <c r="BM198" s="512">
        <v>6</v>
      </c>
      <c r="BN198" s="527" t="s">
        <v>619</v>
      </c>
      <c r="BO198" s="295" t="s">
        <v>918</v>
      </c>
      <c r="BP198" s="508">
        <f t="shared" ca="1" si="282"/>
        <v>2160</v>
      </c>
      <c r="BQ198" s="508">
        <v>1</v>
      </c>
      <c r="BR198" s="523">
        <f>宝箱设定!$P146</f>
        <v>6.6599999999999993E-2</v>
      </c>
      <c r="BS198" s="170">
        <f t="shared" ca="1" si="283"/>
        <v>1.0174999999999998E-2</v>
      </c>
      <c r="BT198" s="508">
        <f t="shared" ca="1" si="284"/>
        <v>102</v>
      </c>
      <c r="BV198" s="293">
        <v>6</v>
      </c>
      <c r="BW198" s="527" t="s">
        <v>2264</v>
      </c>
      <c r="BX198" s="530" t="s">
        <v>2200</v>
      </c>
      <c r="BY198" s="523" t="str">
        <f t="shared" ca="1" si="266"/>
        <v>T2部件</v>
      </c>
      <c r="BZ198" s="662">
        <v>1.5</v>
      </c>
      <c r="CA198" s="634">
        <v>2.3599999999999999E-2</v>
      </c>
      <c r="CB198" s="170" t="e">
        <f t="shared" ca="1" si="267"/>
        <v>#VALUE!</v>
      </c>
      <c r="CC198" s="290" t="e">
        <f t="shared" ca="1" si="268"/>
        <v>#VALUE!</v>
      </c>
      <c r="CE198" s="512">
        <v>10</v>
      </c>
      <c r="CF198" s="527" t="s">
        <v>621</v>
      </c>
      <c r="CG198" s="525" t="s">
        <v>1211</v>
      </c>
      <c r="CH198" s="523">
        <f t="shared" ca="1" si="269"/>
        <v>142.6</v>
      </c>
      <c r="CI198" s="523">
        <v>1</v>
      </c>
      <c r="CJ198" s="605">
        <v>7.0000000000000007E-2</v>
      </c>
      <c r="CK198" s="170">
        <f t="shared" ca="1" si="270"/>
        <v>2.4544179523141658E-2</v>
      </c>
      <c r="CL198" s="508">
        <f t="shared" ca="1" si="271"/>
        <v>245</v>
      </c>
    </row>
    <row r="199" spans="2:90" x14ac:dyDescent="0.35">
      <c r="B199" s="512">
        <v>5</v>
      </c>
      <c r="C199" s="516" t="s">
        <v>2261</v>
      </c>
      <c r="D199" s="529" t="s">
        <v>2452</v>
      </c>
      <c r="E199" s="508" t="str">
        <f t="shared" ca="1" si="236"/>
        <v>T2部件</v>
      </c>
      <c r="F199" s="512">
        <v>2</v>
      </c>
      <c r="G199" s="594">
        <v>1.26E-2</v>
      </c>
      <c r="H199" s="170" t="e">
        <f t="shared" ca="1" si="237"/>
        <v>#VALUE!</v>
      </c>
      <c r="I199" s="508" t="e">
        <f t="shared" ca="1" si="238"/>
        <v>#VALUE!</v>
      </c>
      <c r="K199" s="512">
        <v>5</v>
      </c>
      <c r="L199" s="516" t="s">
        <v>2261</v>
      </c>
      <c r="M199" s="529" t="s">
        <v>2452</v>
      </c>
      <c r="N199" s="508" t="str">
        <f t="shared" ca="1" si="239"/>
        <v>T2部件</v>
      </c>
      <c r="O199" s="566">
        <v>1</v>
      </c>
      <c r="P199" s="594">
        <v>1.01E-2</v>
      </c>
      <c r="Q199" s="170" t="e">
        <f t="shared" ca="1" si="253"/>
        <v>#VALUE!</v>
      </c>
      <c r="R199" s="508" t="e">
        <f t="shared" ca="1" si="254"/>
        <v>#VALUE!</v>
      </c>
      <c r="T199" s="512">
        <v>5</v>
      </c>
      <c r="U199" s="516" t="s">
        <v>2261</v>
      </c>
      <c r="V199" s="529" t="s">
        <v>2452</v>
      </c>
      <c r="W199" s="508" t="str">
        <f t="shared" ca="1" si="242"/>
        <v>T2部件</v>
      </c>
      <c r="X199" s="566">
        <v>1</v>
      </c>
      <c r="Y199" s="633">
        <v>1.01E-2</v>
      </c>
      <c r="Z199" s="170" t="e">
        <f t="shared" ca="1" si="255"/>
        <v>#VALUE!</v>
      </c>
      <c r="AA199" s="508" t="e">
        <f t="shared" ca="1" si="256"/>
        <v>#VALUE!</v>
      </c>
      <c r="AC199" s="512">
        <v>5</v>
      </c>
      <c r="AD199" s="516" t="s">
        <v>2266</v>
      </c>
      <c r="AE199" s="529" t="s">
        <v>2452</v>
      </c>
      <c r="AF199" s="508" t="str">
        <f t="shared" ca="1" si="250"/>
        <v>T2部件</v>
      </c>
      <c r="AG199" s="508">
        <v>1</v>
      </c>
      <c r="AH199" s="633">
        <v>8.9999999999999993E-3</v>
      </c>
      <c r="AI199" s="170" t="e">
        <f t="shared" ca="1" si="272"/>
        <v>#VALUE!</v>
      </c>
      <c r="AJ199" s="508" t="e">
        <f t="shared" ca="1" si="273"/>
        <v>#VALUE!</v>
      </c>
      <c r="AL199" s="512">
        <v>5</v>
      </c>
      <c r="AM199" s="512" t="s">
        <v>2255</v>
      </c>
      <c r="AN199" s="529" t="s">
        <v>2452</v>
      </c>
      <c r="AO199" s="508">
        <f t="shared" ca="1" si="257"/>
        <v>10.8</v>
      </c>
      <c r="AP199" s="625">
        <v>2.5</v>
      </c>
      <c r="AQ199" s="565">
        <v>1.15E-2</v>
      </c>
      <c r="AR199" s="170">
        <f t="shared" ca="1" si="278"/>
        <v>4.1314814814814811E-2</v>
      </c>
      <c r="AS199" s="508">
        <f t="shared" ca="1" si="279"/>
        <v>413</v>
      </c>
      <c r="AU199" s="512">
        <v>5</v>
      </c>
      <c r="AV199" s="512" t="s">
        <v>2254</v>
      </c>
      <c r="AW199" s="529" t="s">
        <v>2452</v>
      </c>
      <c r="AX199" s="508">
        <f t="shared" ca="1" si="260"/>
        <v>10.8</v>
      </c>
      <c r="AY199" s="625">
        <v>1.5</v>
      </c>
      <c r="AZ199" s="633">
        <v>8.0000000000000002E-3</v>
      </c>
      <c r="BA199" s="170">
        <f t="shared" ca="1" si="261"/>
        <v>3.2098765432098768E-2</v>
      </c>
      <c r="BB199" s="508">
        <f t="shared" ca="1" si="262"/>
        <v>321</v>
      </c>
      <c r="BD199" s="512">
        <v>5</v>
      </c>
      <c r="BE199" s="512" t="s">
        <v>2254</v>
      </c>
      <c r="BF199" s="529" t="s">
        <v>2452</v>
      </c>
      <c r="BG199" s="508">
        <f t="shared" ca="1" si="263"/>
        <v>10.8</v>
      </c>
      <c r="BH199" s="615">
        <v>4</v>
      </c>
      <c r="BI199" s="615">
        <v>7.0000000000000001E-3</v>
      </c>
      <c r="BJ199" s="170">
        <f t="shared" ca="1" si="274"/>
        <v>2.390046296296296E-2</v>
      </c>
      <c r="BK199" s="279">
        <f t="shared" ca="1" si="275"/>
        <v>239</v>
      </c>
      <c r="BM199" s="512">
        <v>6</v>
      </c>
      <c r="BN199" s="527" t="s">
        <v>718</v>
      </c>
      <c r="BO199" s="295" t="s">
        <v>918</v>
      </c>
      <c r="BP199" s="508">
        <f t="shared" ca="1" si="282"/>
        <v>2160</v>
      </c>
      <c r="BQ199" s="508">
        <v>1</v>
      </c>
      <c r="BR199" s="523">
        <f>宝箱设定!$P147</f>
        <v>6.6599999999999993E-2</v>
      </c>
      <c r="BS199" s="170">
        <f t="shared" ca="1" si="283"/>
        <v>1.0174999999999998E-2</v>
      </c>
      <c r="BT199" s="508">
        <f t="shared" ca="1" si="284"/>
        <v>102</v>
      </c>
      <c r="BV199" s="293">
        <v>6</v>
      </c>
      <c r="BW199" s="527" t="s">
        <v>2266</v>
      </c>
      <c r="BX199" s="530" t="s">
        <v>2200</v>
      </c>
      <c r="BY199" s="523" t="str">
        <f t="shared" ca="1" si="266"/>
        <v>T2部件</v>
      </c>
      <c r="BZ199" s="662">
        <v>1.5</v>
      </c>
      <c r="CA199" s="634">
        <v>2.3599999999999999E-2</v>
      </c>
      <c r="CB199" s="170" t="e">
        <f t="shared" ca="1" si="267"/>
        <v>#VALUE!</v>
      </c>
      <c r="CC199" s="290" t="e">
        <f t="shared" ca="1" si="268"/>
        <v>#VALUE!</v>
      </c>
      <c r="CE199" s="512">
        <v>10</v>
      </c>
      <c r="CF199" s="527" t="s">
        <v>634</v>
      </c>
      <c r="CG199" s="525" t="s">
        <v>1211</v>
      </c>
      <c r="CH199" s="523">
        <f t="shared" ca="1" si="269"/>
        <v>142.6</v>
      </c>
      <c r="CI199" s="508">
        <v>1</v>
      </c>
      <c r="CJ199" s="605">
        <v>7.0000000000000007E-2</v>
      </c>
      <c r="CK199" s="170">
        <f t="shared" ca="1" si="270"/>
        <v>2.4544179523141658E-2</v>
      </c>
      <c r="CL199" s="508">
        <f t="shared" ca="1" si="271"/>
        <v>245</v>
      </c>
    </row>
    <row r="200" spans="2:90" x14ac:dyDescent="0.35">
      <c r="B200" s="512">
        <v>5</v>
      </c>
      <c r="C200" s="516" t="s">
        <v>2263</v>
      </c>
      <c r="D200" s="529" t="s">
        <v>2452</v>
      </c>
      <c r="E200" s="508" t="str">
        <f t="shared" ca="1" si="236"/>
        <v>T2部件</v>
      </c>
      <c r="F200" s="512">
        <v>2</v>
      </c>
      <c r="G200" s="594">
        <v>1.26E-2</v>
      </c>
      <c r="H200" s="170" t="e">
        <f t="shared" ca="1" si="237"/>
        <v>#VALUE!</v>
      </c>
      <c r="I200" s="508" t="e">
        <f t="shared" ca="1" si="238"/>
        <v>#VALUE!</v>
      </c>
      <c r="K200" s="512">
        <v>5</v>
      </c>
      <c r="L200" s="516" t="s">
        <v>2263</v>
      </c>
      <c r="M200" s="529" t="s">
        <v>2452</v>
      </c>
      <c r="N200" s="508" t="str">
        <f t="shared" ca="1" si="239"/>
        <v>T2部件</v>
      </c>
      <c r="O200" s="566">
        <v>1</v>
      </c>
      <c r="P200" s="594">
        <v>1.01E-2</v>
      </c>
      <c r="Q200" s="170" t="e">
        <f t="shared" ca="1" si="253"/>
        <v>#VALUE!</v>
      </c>
      <c r="R200" s="508" t="e">
        <f t="shared" ca="1" si="254"/>
        <v>#VALUE!</v>
      </c>
      <c r="T200" s="512">
        <v>5</v>
      </c>
      <c r="U200" s="516" t="s">
        <v>2263</v>
      </c>
      <c r="V200" s="529" t="s">
        <v>2452</v>
      </c>
      <c r="W200" s="508" t="str">
        <f t="shared" ca="1" si="242"/>
        <v>T2部件</v>
      </c>
      <c r="X200" s="566">
        <v>1</v>
      </c>
      <c r="Y200" s="633">
        <v>1.01E-2</v>
      </c>
      <c r="Z200" s="170" t="e">
        <f t="shared" ca="1" si="255"/>
        <v>#VALUE!</v>
      </c>
      <c r="AA200" s="508" t="e">
        <f t="shared" ca="1" si="256"/>
        <v>#VALUE!</v>
      </c>
      <c r="AC200" s="512">
        <v>5</v>
      </c>
      <c r="AD200" s="516" t="s">
        <v>2268</v>
      </c>
      <c r="AE200" s="529" t="s">
        <v>2452</v>
      </c>
      <c r="AF200" s="508" t="str">
        <f t="shared" ca="1" si="250"/>
        <v>T2部件</v>
      </c>
      <c r="AG200" s="508">
        <v>1</v>
      </c>
      <c r="AH200" s="633">
        <v>8.9999999999999993E-3</v>
      </c>
      <c r="AI200" s="170" t="e">
        <f t="shared" ca="1" si="272"/>
        <v>#VALUE!</v>
      </c>
      <c r="AJ200" s="508" t="e">
        <f t="shared" ca="1" si="273"/>
        <v>#VALUE!</v>
      </c>
      <c r="AL200" s="512">
        <v>5</v>
      </c>
      <c r="AM200" s="512" t="s">
        <v>2257</v>
      </c>
      <c r="AN200" s="529" t="s">
        <v>2452</v>
      </c>
      <c r="AO200" s="508">
        <f t="shared" ca="1" si="257"/>
        <v>10.8</v>
      </c>
      <c r="AP200" s="625">
        <v>2.5</v>
      </c>
      <c r="AQ200" s="565">
        <v>1.15E-2</v>
      </c>
      <c r="AR200" s="170">
        <f t="shared" ca="1" si="278"/>
        <v>4.1314814814814811E-2</v>
      </c>
      <c r="AS200" s="508">
        <f t="shared" ca="1" si="279"/>
        <v>413</v>
      </c>
      <c r="AU200" s="512">
        <v>5</v>
      </c>
      <c r="AV200" s="512" t="s">
        <v>2256</v>
      </c>
      <c r="AW200" s="529" t="s">
        <v>2452</v>
      </c>
      <c r="AX200" s="508">
        <f t="shared" ca="1" si="260"/>
        <v>10.8</v>
      </c>
      <c r="AY200" s="625">
        <v>1.5</v>
      </c>
      <c r="AZ200" s="633">
        <v>8.0000000000000002E-3</v>
      </c>
      <c r="BA200" s="170">
        <f t="shared" ca="1" si="261"/>
        <v>3.2098765432098768E-2</v>
      </c>
      <c r="BB200" s="508">
        <f t="shared" ca="1" si="262"/>
        <v>321</v>
      </c>
      <c r="BD200" s="512">
        <v>5</v>
      </c>
      <c r="BE200" s="512" t="s">
        <v>2256</v>
      </c>
      <c r="BF200" s="529" t="s">
        <v>2452</v>
      </c>
      <c r="BG200" s="508">
        <f t="shared" ca="1" si="263"/>
        <v>10.8</v>
      </c>
      <c r="BH200" s="615">
        <v>4</v>
      </c>
      <c r="BI200" s="615">
        <v>7.0000000000000001E-3</v>
      </c>
      <c r="BJ200" s="170">
        <f t="shared" ca="1" si="274"/>
        <v>2.390046296296296E-2</v>
      </c>
      <c r="BK200" s="279">
        <f t="shared" ca="1" si="275"/>
        <v>239</v>
      </c>
      <c r="BM200" s="512">
        <v>6</v>
      </c>
      <c r="BN200" s="527" t="s">
        <v>632</v>
      </c>
      <c r="BO200" s="295" t="s">
        <v>918</v>
      </c>
      <c r="BP200" s="508">
        <f t="shared" ca="1" si="282"/>
        <v>2160</v>
      </c>
      <c r="BQ200" s="508">
        <v>1</v>
      </c>
      <c r="BR200" s="523">
        <f>宝箱设定!$P148</f>
        <v>6.6599999999999993E-2</v>
      </c>
      <c r="BS200" s="170">
        <f t="shared" ca="1" si="283"/>
        <v>1.0174999999999998E-2</v>
      </c>
      <c r="BT200" s="508">
        <f t="shared" ca="1" si="284"/>
        <v>102</v>
      </c>
      <c r="BV200" s="293">
        <v>6</v>
      </c>
      <c r="BW200" s="527" t="s">
        <v>2268</v>
      </c>
      <c r="BX200" s="530" t="s">
        <v>2200</v>
      </c>
      <c r="BY200" s="523" t="str">
        <f t="shared" ca="1" si="266"/>
        <v>T2部件</v>
      </c>
      <c r="BZ200" s="662">
        <v>1.5</v>
      </c>
      <c r="CA200" s="634">
        <v>2.3599999999999999E-2</v>
      </c>
      <c r="CB200" s="170" t="e">
        <f t="shared" ca="1" si="267"/>
        <v>#VALUE!</v>
      </c>
      <c r="CC200" s="290" t="e">
        <f t="shared" ca="1" si="268"/>
        <v>#VALUE!</v>
      </c>
      <c r="CE200" s="512">
        <v>10</v>
      </c>
      <c r="CF200" s="527" t="s">
        <v>722</v>
      </c>
      <c r="CG200" s="525" t="s">
        <v>1211</v>
      </c>
      <c r="CH200" s="523">
        <f t="shared" ca="1" si="269"/>
        <v>142.6</v>
      </c>
      <c r="CI200" s="508">
        <v>1</v>
      </c>
      <c r="CJ200" s="605">
        <v>7.0000000000000007E-2</v>
      </c>
      <c r="CK200" s="170">
        <f t="shared" ca="1" si="270"/>
        <v>2.4544179523141658E-2</v>
      </c>
      <c r="CL200" s="508">
        <f t="shared" ca="1" si="271"/>
        <v>245</v>
      </c>
    </row>
    <row r="201" spans="2:90" x14ac:dyDescent="0.35">
      <c r="B201" s="512">
        <v>5</v>
      </c>
      <c r="C201" s="516" t="s">
        <v>2265</v>
      </c>
      <c r="D201" s="529" t="s">
        <v>2452</v>
      </c>
      <c r="E201" s="508" t="str">
        <f t="shared" ca="1" si="236"/>
        <v>T2部件</v>
      </c>
      <c r="F201" s="512">
        <v>2</v>
      </c>
      <c r="G201" s="594">
        <v>1.26E-2</v>
      </c>
      <c r="H201" s="170" t="e">
        <f t="shared" ca="1" si="237"/>
        <v>#VALUE!</v>
      </c>
      <c r="I201" s="508" t="e">
        <f t="shared" ca="1" si="238"/>
        <v>#VALUE!</v>
      </c>
      <c r="K201" s="512">
        <v>5</v>
      </c>
      <c r="L201" s="516" t="s">
        <v>2265</v>
      </c>
      <c r="M201" s="529" t="s">
        <v>2452</v>
      </c>
      <c r="N201" s="508" t="str">
        <f t="shared" ca="1" si="239"/>
        <v>T2部件</v>
      </c>
      <c r="O201" s="566">
        <v>1</v>
      </c>
      <c r="P201" s="594">
        <v>1.01E-2</v>
      </c>
      <c r="Q201" s="170" t="e">
        <f t="shared" ca="1" si="253"/>
        <v>#VALUE!</v>
      </c>
      <c r="R201" s="508" t="e">
        <f t="shared" ca="1" si="254"/>
        <v>#VALUE!</v>
      </c>
      <c r="T201" s="512">
        <v>5</v>
      </c>
      <c r="U201" s="516" t="s">
        <v>2265</v>
      </c>
      <c r="V201" s="529" t="s">
        <v>2452</v>
      </c>
      <c r="W201" s="508" t="str">
        <f t="shared" ca="1" si="242"/>
        <v>T2部件</v>
      </c>
      <c r="X201" s="566">
        <v>1</v>
      </c>
      <c r="Y201" s="633">
        <v>1.01E-2</v>
      </c>
      <c r="Z201" s="170" t="e">
        <f t="shared" ca="1" si="255"/>
        <v>#VALUE!</v>
      </c>
      <c r="AA201" s="508" t="e">
        <f t="shared" ca="1" si="256"/>
        <v>#VALUE!</v>
      </c>
      <c r="AC201" s="512">
        <v>5</v>
      </c>
      <c r="AD201" s="516" t="s">
        <v>2270</v>
      </c>
      <c r="AE201" s="529" t="s">
        <v>2452</v>
      </c>
      <c r="AF201" s="508" t="str">
        <f t="shared" ca="1" si="250"/>
        <v>T2部件</v>
      </c>
      <c r="AG201" s="508">
        <v>1</v>
      </c>
      <c r="AH201" s="633">
        <v>8.9999999999999993E-3</v>
      </c>
      <c r="AI201" s="170" t="e">
        <f t="shared" ca="1" si="272"/>
        <v>#VALUE!</v>
      </c>
      <c r="AJ201" s="508" t="e">
        <f t="shared" ca="1" si="273"/>
        <v>#VALUE!</v>
      </c>
      <c r="AL201" s="512">
        <v>5</v>
      </c>
      <c r="AM201" s="516" t="s">
        <v>2258</v>
      </c>
      <c r="AN201" s="529" t="s">
        <v>2452</v>
      </c>
      <c r="AO201" s="508" t="str">
        <f t="shared" ca="1" si="257"/>
        <v>T2部件</v>
      </c>
      <c r="AP201" s="565">
        <v>1</v>
      </c>
      <c r="AQ201" s="600">
        <v>1.15E-2</v>
      </c>
      <c r="AR201" s="170" t="e">
        <f t="shared" ca="1" si="278"/>
        <v>#VALUE!</v>
      </c>
      <c r="AS201" s="508" t="e">
        <f t="shared" ca="1" si="279"/>
        <v>#VALUE!</v>
      </c>
      <c r="AU201" s="512">
        <v>5</v>
      </c>
      <c r="AV201" s="516" t="s">
        <v>2241</v>
      </c>
      <c r="AW201" s="529" t="s">
        <v>2452</v>
      </c>
      <c r="AX201" s="508">
        <f t="shared" ca="1" si="260"/>
        <v>10.8</v>
      </c>
      <c r="AY201" s="625">
        <v>1.5</v>
      </c>
      <c r="AZ201" s="633">
        <v>8.0000000000000002E-3</v>
      </c>
      <c r="BA201" s="170">
        <f t="shared" ca="1" si="261"/>
        <v>3.2098765432098768E-2</v>
      </c>
      <c r="BB201" s="508">
        <f t="shared" ca="1" si="262"/>
        <v>321</v>
      </c>
      <c r="BD201" s="512">
        <v>5</v>
      </c>
      <c r="BE201" s="516" t="s">
        <v>2241</v>
      </c>
      <c r="BF201" s="529" t="s">
        <v>2452</v>
      </c>
      <c r="BG201" s="508">
        <f t="shared" ca="1" si="263"/>
        <v>10.8</v>
      </c>
      <c r="BH201" s="615">
        <v>4</v>
      </c>
      <c r="BI201" s="615">
        <v>7.0000000000000001E-3</v>
      </c>
      <c r="BJ201" s="170">
        <f t="shared" ref="BJ201:BJ218" ca="1" si="285">BI201*BE$4/BG201/BH201</f>
        <v>2.390046296296296E-2</v>
      </c>
      <c r="BK201" s="279">
        <f t="shared" ref="BK201:BK218" ca="1" si="286">ROUND(BJ201*10000,0)</f>
        <v>239</v>
      </c>
      <c r="BM201" s="512">
        <v>6</v>
      </c>
      <c r="BN201" s="527" t="s">
        <v>618</v>
      </c>
      <c r="BO201" s="525" t="s">
        <v>1211</v>
      </c>
      <c r="BP201" s="508">
        <f t="shared" ca="1" si="282"/>
        <v>56.4</v>
      </c>
      <c r="BQ201" s="508">
        <v>6</v>
      </c>
      <c r="BR201" s="523">
        <f>宝箱设定!$P149</f>
        <v>3.3299999999999996E-2</v>
      </c>
      <c r="BS201" s="170">
        <f ca="1">BR201*BN$4/BP201/BQ201</f>
        <v>3.2473404255319145E-2</v>
      </c>
      <c r="BT201" s="508">
        <f ca="1">ROUND(BS201*10000,0)</f>
        <v>325</v>
      </c>
      <c r="BV201" s="293">
        <v>6</v>
      </c>
      <c r="BW201" s="527" t="s">
        <v>2270</v>
      </c>
      <c r="BX201" s="530" t="s">
        <v>2200</v>
      </c>
      <c r="BY201" s="523" t="str">
        <f t="shared" ca="1" si="266"/>
        <v>T2部件</v>
      </c>
      <c r="BZ201" s="662">
        <v>1.5</v>
      </c>
      <c r="CA201" s="634">
        <v>2.3599999999999999E-2</v>
      </c>
      <c r="CB201" s="170" t="e">
        <f t="shared" ca="1" si="267"/>
        <v>#VALUE!</v>
      </c>
      <c r="CC201" s="290" t="e">
        <f t="shared" ca="1" si="268"/>
        <v>#VALUE!</v>
      </c>
    </row>
    <row r="202" spans="2:90" x14ac:dyDescent="0.35">
      <c r="B202" s="512">
        <v>5</v>
      </c>
      <c r="C202" s="516" t="s">
        <v>2267</v>
      </c>
      <c r="D202" s="529" t="s">
        <v>2452</v>
      </c>
      <c r="E202" s="508" t="str">
        <f t="shared" ca="1" si="236"/>
        <v>T2部件</v>
      </c>
      <c r="F202" s="512">
        <v>2</v>
      </c>
      <c r="G202" s="594">
        <v>1.26E-2</v>
      </c>
      <c r="H202" s="170" t="e">
        <f t="shared" ca="1" si="237"/>
        <v>#VALUE!</v>
      </c>
      <c r="I202" s="508" t="e">
        <f t="shared" ca="1" si="238"/>
        <v>#VALUE!</v>
      </c>
      <c r="K202" s="512">
        <v>5</v>
      </c>
      <c r="L202" s="516" t="s">
        <v>2267</v>
      </c>
      <c r="M202" s="529" t="s">
        <v>2452</v>
      </c>
      <c r="N202" s="508" t="str">
        <f t="shared" ca="1" si="239"/>
        <v>T2部件</v>
      </c>
      <c r="O202" s="566">
        <v>1</v>
      </c>
      <c r="P202" s="594">
        <v>1.01E-2</v>
      </c>
      <c r="Q202" s="170" t="e">
        <f t="shared" ca="1" si="253"/>
        <v>#VALUE!</v>
      </c>
      <c r="R202" s="508" t="e">
        <f t="shared" ca="1" si="254"/>
        <v>#VALUE!</v>
      </c>
      <c r="T202" s="512">
        <v>5</v>
      </c>
      <c r="U202" s="516" t="s">
        <v>2267</v>
      </c>
      <c r="V202" s="529" t="s">
        <v>2452</v>
      </c>
      <c r="W202" s="508" t="str">
        <f t="shared" ca="1" si="242"/>
        <v>T2部件</v>
      </c>
      <c r="X202" s="566">
        <v>1</v>
      </c>
      <c r="Y202" s="633">
        <v>1.01E-2</v>
      </c>
      <c r="Z202" s="170" t="e">
        <f t="shared" ca="1" si="255"/>
        <v>#VALUE!</v>
      </c>
      <c r="AA202" s="508" t="e">
        <f t="shared" ca="1" si="256"/>
        <v>#VALUE!</v>
      </c>
      <c r="AC202" s="512">
        <v>5</v>
      </c>
      <c r="AD202" s="512" t="s">
        <v>2272</v>
      </c>
      <c r="AE202" s="529" t="s">
        <v>2452</v>
      </c>
      <c r="AF202" s="508" t="str">
        <f t="shared" ca="1" si="250"/>
        <v>T2部件</v>
      </c>
      <c r="AG202" s="508">
        <v>1</v>
      </c>
      <c r="AH202" s="633">
        <v>8.9999999999999993E-3</v>
      </c>
      <c r="AI202" s="170" t="e">
        <f t="shared" ca="1" si="272"/>
        <v>#VALUE!</v>
      </c>
      <c r="AJ202" s="508" t="e">
        <f t="shared" ca="1" si="273"/>
        <v>#VALUE!</v>
      </c>
      <c r="AL202" s="512">
        <v>5</v>
      </c>
      <c r="AM202" s="516" t="s">
        <v>2260</v>
      </c>
      <c r="AN202" s="529" t="s">
        <v>2452</v>
      </c>
      <c r="AO202" s="508" t="str">
        <f t="shared" ca="1" si="257"/>
        <v>T2部件</v>
      </c>
      <c r="AP202" s="600">
        <v>1</v>
      </c>
      <c r="AQ202" s="600">
        <v>1.15E-2</v>
      </c>
      <c r="AR202" s="170" t="e">
        <f t="shared" ca="1" si="278"/>
        <v>#VALUE!</v>
      </c>
      <c r="AS202" s="508" t="e">
        <f t="shared" ca="1" si="279"/>
        <v>#VALUE!</v>
      </c>
      <c r="AU202" s="512">
        <v>5</v>
      </c>
      <c r="AV202" s="516" t="s">
        <v>2243</v>
      </c>
      <c r="AW202" s="529" t="s">
        <v>2452</v>
      </c>
      <c r="AX202" s="508">
        <f t="shared" ca="1" si="260"/>
        <v>10.8</v>
      </c>
      <c r="AY202" s="625">
        <v>1.5</v>
      </c>
      <c r="AZ202" s="633">
        <v>7.0000000000000001E-3</v>
      </c>
      <c r="BA202" s="170">
        <f t="shared" ca="1" si="261"/>
        <v>2.8086419753086418E-2</v>
      </c>
      <c r="BB202" s="508">
        <f t="shared" ca="1" si="262"/>
        <v>281</v>
      </c>
      <c r="BD202" s="512">
        <v>5</v>
      </c>
      <c r="BE202" s="516" t="s">
        <v>2243</v>
      </c>
      <c r="BF202" s="529" t="s">
        <v>2452</v>
      </c>
      <c r="BG202" s="508">
        <f t="shared" ca="1" si="263"/>
        <v>10.8</v>
      </c>
      <c r="BH202" s="615">
        <v>4</v>
      </c>
      <c r="BI202" s="615">
        <v>7.0000000000000001E-3</v>
      </c>
      <c r="BJ202" s="170">
        <f t="shared" ca="1" si="285"/>
        <v>2.390046296296296E-2</v>
      </c>
      <c r="BK202" s="279">
        <f t="shared" ca="1" si="286"/>
        <v>239</v>
      </c>
      <c r="BM202" s="512">
        <v>6</v>
      </c>
      <c r="BN202" s="527" t="s">
        <v>627</v>
      </c>
      <c r="BO202" s="525" t="s">
        <v>1211</v>
      </c>
      <c r="BP202" s="508">
        <f t="shared" ca="1" si="282"/>
        <v>56.4</v>
      </c>
      <c r="BQ202" s="632">
        <v>6</v>
      </c>
      <c r="BR202" s="523">
        <f>宝箱设定!$P150</f>
        <v>3.3299999999999996E-2</v>
      </c>
      <c r="BS202" s="170">
        <f ca="1">BR202*BN$4/BP202/BQ202</f>
        <v>3.2473404255319145E-2</v>
      </c>
      <c r="BT202" s="508">
        <f ca="1">ROUND(BS202*10000,0)</f>
        <v>325</v>
      </c>
      <c r="BV202" s="293">
        <v>6</v>
      </c>
      <c r="BW202" s="525" t="s">
        <v>2272</v>
      </c>
      <c r="BX202" s="530" t="s">
        <v>2200</v>
      </c>
      <c r="BY202" s="523" t="str">
        <f t="shared" ca="1" si="266"/>
        <v>T2部件</v>
      </c>
      <c r="BZ202" s="662">
        <v>1.5</v>
      </c>
      <c r="CA202" s="634">
        <v>2.3599999999999999E-2</v>
      </c>
      <c r="CB202" s="170" t="e">
        <f t="shared" ca="1" si="267"/>
        <v>#VALUE!</v>
      </c>
      <c r="CC202" s="290" t="e">
        <f t="shared" ca="1" si="268"/>
        <v>#VALUE!</v>
      </c>
    </row>
    <row r="203" spans="2:90" x14ac:dyDescent="0.35">
      <c r="B203" s="512">
        <v>5</v>
      </c>
      <c r="C203" s="516" t="s">
        <v>2269</v>
      </c>
      <c r="D203" s="529" t="s">
        <v>2452</v>
      </c>
      <c r="E203" s="508" t="str">
        <f t="shared" ca="1" si="236"/>
        <v>T2部件</v>
      </c>
      <c r="F203" s="512">
        <v>2</v>
      </c>
      <c r="G203" s="594">
        <v>1.26E-2</v>
      </c>
      <c r="H203" s="170" t="e">
        <f t="shared" ca="1" si="237"/>
        <v>#VALUE!</v>
      </c>
      <c r="I203" s="508" t="e">
        <f t="shared" ca="1" si="238"/>
        <v>#VALUE!</v>
      </c>
      <c r="K203" s="512">
        <v>5</v>
      </c>
      <c r="L203" s="516" t="s">
        <v>2269</v>
      </c>
      <c r="M203" s="529" t="s">
        <v>2452</v>
      </c>
      <c r="N203" s="508" t="str">
        <f t="shared" ca="1" si="239"/>
        <v>T2部件</v>
      </c>
      <c r="O203" s="566">
        <v>1</v>
      </c>
      <c r="P203" s="594">
        <v>1.01E-2</v>
      </c>
      <c r="Q203" s="170" t="e">
        <f t="shared" ca="1" si="253"/>
        <v>#VALUE!</v>
      </c>
      <c r="R203" s="508" t="e">
        <f t="shared" ca="1" si="254"/>
        <v>#VALUE!</v>
      </c>
      <c r="T203" s="512">
        <v>5</v>
      </c>
      <c r="U203" s="516" t="s">
        <v>2269</v>
      </c>
      <c r="V203" s="529" t="s">
        <v>2452</v>
      </c>
      <c r="W203" s="508" t="str">
        <f t="shared" ca="1" si="242"/>
        <v>T2部件</v>
      </c>
      <c r="X203" s="566">
        <v>1</v>
      </c>
      <c r="Y203" s="633">
        <v>1.01E-2</v>
      </c>
      <c r="Z203" s="170" t="e">
        <f t="shared" ca="1" si="255"/>
        <v>#VALUE!</v>
      </c>
      <c r="AA203" s="508" t="e">
        <f t="shared" ca="1" si="256"/>
        <v>#VALUE!</v>
      </c>
      <c r="AC203" s="512">
        <v>5</v>
      </c>
      <c r="AD203" s="512" t="s">
        <v>2274</v>
      </c>
      <c r="AE203" s="529" t="s">
        <v>2452</v>
      </c>
      <c r="AF203" s="508" t="str">
        <f t="shared" ca="1" si="250"/>
        <v>T2部件</v>
      </c>
      <c r="AG203" s="508">
        <v>1</v>
      </c>
      <c r="AH203" s="633">
        <v>8.9999999999999993E-3</v>
      </c>
      <c r="AI203" s="170" t="e">
        <f t="shared" ca="1" si="272"/>
        <v>#VALUE!</v>
      </c>
      <c r="AJ203" s="508" t="e">
        <f t="shared" ca="1" si="273"/>
        <v>#VALUE!</v>
      </c>
      <c r="AL203" s="512">
        <v>5</v>
      </c>
      <c r="AM203" s="516" t="s">
        <v>2262</v>
      </c>
      <c r="AN203" s="529" t="s">
        <v>2452</v>
      </c>
      <c r="AO203" s="508" t="str">
        <f t="shared" ca="1" si="257"/>
        <v>T2部件</v>
      </c>
      <c r="AP203" s="600">
        <v>1</v>
      </c>
      <c r="AQ203" s="600">
        <v>1.15E-2</v>
      </c>
      <c r="AR203" s="170" t="e">
        <f t="shared" ca="1" si="278"/>
        <v>#VALUE!</v>
      </c>
      <c r="AS203" s="508" t="e">
        <f t="shared" ca="1" si="279"/>
        <v>#VALUE!</v>
      </c>
      <c r="AU203" s="512">
        <v>5</v>
      </c>
      <c r="AV203" s="516" t="s">
        <v>2245</v>
      </c>
      <c r="AW203" s="529" t="s">
        <v>2452</v>
      </c>
      <c r="AX203" s="508">
        <f t="shared" ca="1" si="260"/>
        <v>10.8</v>
      </c>
      <c r="AY203" s="625">
        <v>1.5</v>
      </c>
      <c r="AZ203" s="633">
        <v>7.0000000000000001E-3</v>
      </c>
      <c r="BA203" s="170">
        <f t="shared" ca="1" si="261"/>
        <v>2.8086419753086418E-2</v>
      </c>
      <c r="BB203" s="508">
        <f t="shared" ca="1" si="262"/>
        <v>281</v>
      </c>
      <c r="BD203" s="512">
        <v>5</v>
      </c>
      <c r="BE203" s="516" t="s">
        <v>2245</v>
      </c>
      <c r="BF203" s="529" t="s">
        <v>2452</v>
      </c>
      <c r="BG203" s="508">
        <f t="shared" ca="1" si="263"/>
        <v>10.8</v>
      </c>
      <c r="BH203" s="615">
        <v>4</v>
      </c>
      <c r="BI203" s="615">
        <v>7.0000000000000001E-3</v>
      </c>
      <c r="BJ203" s="170">
        <f t="shared" ca="1" si="285"/>
        <v>2.390046296296296E-2</v>
      </c>
      <c r="BK203" s="279">
        <f t="shared" ca="1" si="286"/>
        <v>239</v>
      </c>
      <c r="BM203" s="512">
        <v>6</v>
      </c>
      <c r="BN203" s="527" t="s">
        <v>628</v>
      </c>
      <c r="BO203" s="525" t="s">
        <v>1211</v>
      </c>
      <c r="BP203" s="508">
        <f t="shared" ca="1" si="282"/>
        <v>56.4</v>
      </c>
      <c r="BQ203" s="632">
        <v>6</v>
      </c>
      <c r="BR203" s="523">
        <f>宝箱设定!$P151</f>
        <v>3.3299999999999996E-2</v>
      </c>
      <c r="BS203" s="170">
        <f ca="1">BR203*BN$4/BP203/BQ203</f>
        <v>3.2473404255319145E-2</v>
      </c>
      <c r="BT203" s="508">
        <f ca="1">ROUND(BS203*10000,0)</f>
        <v>325</v>
      </c>
      <c r="BV203" s="293">
        <v>6</v>
      </c>
      <c r="BW203" s="525" t="s">
        <v>2274</v>
      </c>
      <c r="BX203" s="530" t="s">
        <v>2200</v>
      </c>
      <c r="BY203" s="523" t="str">
        <f t="shared" ca="1" si="266"/>
        <v>T2部件</v>
      </c>
      <c r="BZ203" s="662">
        <v>1.5</v>
      </c>
      <c r="CA203" s="634">
        <v>2.3599999999999999E-2</v>
      </c>
      <c r="CB203" s="170" t="e">
        <f t="shared" ca="1" si="267"/>
        <v>#VALUE!</v>
      </c>
      <c r="CC203" s="290" t="e">
        <f t="shared" ca="1" si="268"/>
        <v>#VALUE!</v>
      </c>
    </row>
    <row r="204" spans="2:90" x14ac:dyDescent="0.35">
      <c r="B204" s="512">
        <v>5</v>
      </c>
      <c r="C204" s="516" t="s">
        <v>2271</v>
      </c>
      <c r="D204" s="529" t="s">
        <v>2452</v>
      </c>
      <c r="E204" s="508" t="str">
        <f t="shared" ca="1" si="236"/>
        <v>T2部件</v>
      </c>
      <c r="F204" s="512">
        <v>2</v>
      </c>
      <c r="G204" s="594">
        <v>1.26E-2</v>
      </c>
      <c r="H204" s="170" t="e">
        <f t="shared" ca="1" si="237"/>
        <v>#VALUE!</v>
      </c>
      <c r="I204" s="508" t="e">
        <f t="shared" ca="1" si="238"/>
        <v>#VALUE!</v>
      </c>
      <c r="K204" s="512">
        <v>5</v>
      </c>
      <c r="L204" s="516" t="s">
        <v>2271</v>
      </c>
      <c r="M204" s="529" t="s">
        <v>2452</v>
      </c>
      <c r="N204" s="508" t="str">
        <f t="shared" ca="1" si="239"/>
        <v>T2部件</v>
      </c>
      <c r="O204" s="566">
        <v>1</v>
      </c>
      <c r="P204" s="594">
        <v>1.01E-2</v>
      </c>
      <c r="Q204" s="170" t="e">
        <f t="shared" ca="1" si="253"/>
        <v>#VALUE!</v>
      </c>
      <c r="R204" s="508" t="e">
        <f t="shared" ca="1" si="254"/>
        <v>#VALUE!</v>
      </c>
      <c r="T204" s="512">
        <v>5</v>
      </c>
      <c r="U204" s="516" t="s">
        <v>2271</v>
      </c>
      <c r="V204" s="529" t="s">
        <v>2452</v>
      </c>
      <c r="W204" s="508" t="str">
        <f t="shared" ca="1" si="242"/>
        <v>T2部件</v>
      </c>
      <c r="X204" s="566">
        <v>1</v>
      </c>
      <c r="Y204" s="633">
        <v>1.01E-2</v>
      </c>
      <c r="Z204" s="170" t="e">
        <f t="shared" ca="1" si="255"/>
        <v>#VALUE!</v>
      </c>
      <c r="AA204" s="508" t="e">
        <f t="shared" ca="1" si="256"/>
        <v>#VALUE!</v>
      </c>
      <c r="AC204" s="512">
        <v>5</v>
      </c>
      <c r="AD204" s="516" t="s">
        <v>2259</v>
      </c>
      <c r="AE204" s="529" t="s">
        <v>2452</v>
      </c>
      <c r="AF204" s="508" t="str">
        <f t="shared" ca="1" si="250"/>
        <v>T2部件</v>
      </c>
      <c r="AG204" s="508">
        <v>1</v>
      </c>
      <c r="AH204" s="633">
        <v>8.9999999999999993E-3</v>
      </c>
      <c r="AI204" s="170" t="e">
        <f t="shared" ca="1" si="272"/>
        <v>#VALUE!</v>
      </c>
      <c r="AJ204" s="508" t="e">
        <f t="shared" ca="1" si="273"/>
        <v>#VALUE!</v>
      </c>
      <c r="AL204" s="512">
        <v>5</v>
      </c>
      <c r="AM204" s="516" t="s">
        <v>2264</v>
      </c>
      <c r="AN204" s="529" t="s">
        <v>2452</v>
      </c>
      <c r="AO204" s="508" t="str">
        <f t="shared" ca="1" si="257"/>
        <v>T2部件</v>
      </c>
      <c r="AP204" s="600">
        <v>1</v>
      </c>
      <c r="AQ204" s="600">
        <v>1.15E-2</v>
      </c>
      <c r="AR204" s="170" t="e">
        <f t="shared" ca="1" si="278"/>
        <v>#VALUE!</v>
      </c>
      <c r="AS204" s="508" t="e">
        <f t="shared" ca="1" si="279"/>
        <v>#VALUE!</v>
      </c>
      <c r="AU204" s="512">
        <v>5</v>
      </c>
      <c r="AV204" s="516" t="s">
        <v>2247</v>
      </c>
      <c r="AW204" s="529" t="s">
        <v>2452</v>
      </c>
      <c r="AX204" s="508">
        <f t="shared" ca="1" si="260"/>
        <v>10.8</v>
      </c>
      <c r="AY204" s="625">
        <v>1.5</v>
      </c>
      <c r="AZ204" s="633">
        <v>7.0000000000000001E-3</v>
      </c>
      <c r="BA204" s="170">
        <f t="shared" ca="1" si="261"/>
        <v>2.8086419753086418E-2</v>
      </c>
      <c r="BB204" s="508">
        <f t="shared" ca="1" si="262"/>
        <v>281</v>
      </c>
      <c r="BD204" s="512">
        <v>5</v>
      </c>
      <c r="BE204" s="516" t="s">
        <v>2247</v>
      </c>
      <c r="BF204" s="529" t="s">
        <v>2452</v>
      </c>
      <c r="BG204" s="508">
        <f t="shared" ca="1" si="263"/>
        <v>10.8</v>
      </c>
      <c r="BH204" s="615">
        <v>4</v>
      </c>
      <c r="BI204" s="615">
        <v>7.0000000000000001E-3</v>
      </c>
      <c r="BJ204" s="170">
        <f t="shared" ca="1" si="285"/>
        <v>2.390046296296296E-2</v>
      </c>
      <c r="BK204" s="279">
        <f t="shared" ca="1" si="286"/>
        <v>239</v>
      </c>
      <c r="BM204" s="512">
        <v>6</v>
      </c>
      <c r="BN204" s="527" t="s">
        <v>619</v>
      </c>
      <c r="BO204" s="525" t="s">
        <v>1211</v>
      </c>
      <c r="BP204" s="508">
        <f t="shared" ca="1" si="282"/>
        <v>72</v>
      </c>
      <c r="BQ204" s="508">
        <v>3.5</v>
      </c>
      <c r="BR204" s="523">
        <f>宝箱设定!$P152</f>
        <v>3.3299999999999996E-2</v>
      </c>
      <c r="BS204" s="170">
        <f t="shared" ref="BS204:BS233" ca="1" si="287">BR204*BN$4/BP204/BQ204</f>
        <v>4.3607142857142851E-2</v>
      </c>
      <c r="BT204" s="508">
        <f t="shared" ref="BT204:BT233" ca="1" si="288">ROUND(BS204*10000,0)</f>
        <v>436</v>
      </c>
      <c r="BV204" s="293">
        <v>6</v>
      </c>
      <c r="BW204" s="527" t="s">
        <v>2259</v>
      </c>
      <c r="BX204" s="530" t="s">
        <v>2200</v>
      </c>
      <c r="BY204" s="523" t="str">
        <f t="shared" ca="1" si="266"/>
        <v>T2部件</v>
      </c>
      <c r="BZ204" s="662">
        <v>1.5</v>
      </c>
      <c r="CA204" s="634">
        <v>2.3599999999999999E-2</v>
      </c>
      <c r="CB204" s="170" t="e">
        <f t="shared" ca="1" si="267"/>
        <v>#VALUE!</v>
      </c>
      <c r="CC204" s="290" t="e">
        <f t="shared" ca="1" si="268"/>
        <v>#VALUE!</v>
      </c>
    </row>
    <row r="205" spans="2:90" x14ac:dyDescent="0.35">
      <c r="B205" s="512">
        <v>5</v>
      </c>
      <c r="C205" s="512" t="s">
        <v>2273</v>
      </c>
      <c r="D205" s="529" t="s">
        <v>2452</v>
      </c>
      <c r="E205" s="508" t="str">
        <f t="shared" ca="1" si="236"/>
        <v>T2部件</v>
      </c>
      <c r="F205" s="512">
        <v>2</v>
      </c>
      <c r="G205" s="594">
        <v>1.26E-2</v>
      </c>
      <c r="H205" s="170" t="e">
        <f t="shared" ca="1" si="237"/>
        <v>#VALUE!</v>
      </c>
      <c r="I205" s="508" t="e">
        <f t="shared" ca="1" si="238"/>
        <v>#VALUE!</v>
      </c>
      <c r="K205" s="512">
        <v>5</v>
      </c>
      <c r="L205" s="512" t="s">
        <v>2273</v>
      </c>
      <c r="M205" s="529" t="s">
        <v>2452</v>
      </c>
      <c r="N205" s="508" t="str">
        <f t="shared" ca="1" si="239"/>
        <v>T2部件</v>
      </c>
      <c r="O205" s="566">
        <v>1</v>
      </c>
      <c r="P205" s="594">
        <v>1.01E-2</v>
      </c>
      <c r="Q205" s="170" t="e">
        <f t="shared" ca="1" si="253"/>
        <v>#VALUE!</v>
      </c>
      <c r="R205" s="508" t="e">
        <f t="shared" ca="1" si="254"/>
        <v>#VALUE!</v>
      </c>
      <c r="T205" s="512">
        <v>5</v>
      </c>
      <c r="U205" s="512" t="s">
        <v>2273</v>
      </c>
      <c r="V205" s="529" t="s">
        <v>2452</v>
      </c>
      <c r="W205" s="508" t="str">
        <f t="shared" ca="1" si="242"/>
        <v>T2部件</v>
      </c>
      <c r="X205" s="566">
        <v>1</v>
      </c>
      <c r="Y205" s="633">
        <v>1.01E-2</v>
      </c>
      <c r="Z205" s="170" t="e">
        <f t="shared" ca="1" si="255"/>
        <v>#VALUE!</v>
      </c>
      <c r="AA205" s="508" t="e">
        <f t="shared" ca="1" si="256"/>
        <v>#VALUE!</v>
      </c>
      <c r="AC205" s="512">
        <v>5</v>
      </c>
      <c r="AD205" s="516" t="s">
        <v>2261</v>
      </c>
      <c r="AE205" s="529" t="s">
        <v>2452</v>
      </c>
      <c r="AF205" s="508" t="str">
        <f t="shared" ca="1" si="250"/>
        <v>T2部件</v>
      </c>
      <c r="AG205" s="508">
        <v>1</v>
      </c>
      <c r="AH205" s="633">
        <v>8.9999999999999993E-3</v>
      </c>
      <c r="AI205" s="170" t="e">
        <f t="shared" ca="1" si="272"/>
        <v>#VALUE!</v>
      </c>
      <c r="AJ205" s="508" t="e">
        <f t="shared" ca="1" si="273"/>
        <v>#VALUE!</v>
      </c>
      <c r="AL205" s="512">
        <v>5</v>
      </c>
      <c r="AM205" s="516" t="s">
        <v>2266</v>
      </c>
      <c r="AN205" s="529" t="s">
        <v>2452</v>
      </c>
      <c r="AO205" s="508" t="str">
        <f t="shared" ca="1" si="257"/>
        <v>T2部件</v>
      </c>
      <c r="AP205" s="600">
        <v>1</v>
      </c>
      <c r="AQ205" s="600">
        <v>1.15E-2</v>
      </c>
      <c r="AR205" s="170" t="e">
        <f t="shared" ca="1" si="278"/>
        <v>#VALUE!</v>
      </c>
      <c r="AS205" s="508" t="e">
        <f t="shared" ca="1" si="279"/>
        <v>#VALUE!</v>
      </c>
      <c r="AU205" s="512">
        <v>5</v>
      </c>
      <c r="AV205" s="516" t="s">
        <v>2249</v>
      </c>
      <c r="AW205" s="529" t="s">
        <v>2452</v>
      </c>
      <c r="AX205" s="508">
        <f t="shared" ca="1" si="260"/>
        <v>10.8</v>
      </c>
      <c r="AY205" s="625">
        <v>1.5</v>
      </c>
      <c r="AZ205" s="633">
        <v>7.0000000000000001E-3</v>
      </c>
      <c r="BA205" s="170">
        <f t="shared" ca="1" si="261"/>
        <v>2.8086419753086418E-2</v>
      </c>
      <c r="BB205" s="508">
        <f t="shared" ca="1" si="262"/>
        <v>281</v>
      </c>
      <c r="BD205" s="512">
        <v>5</v>
      </c>
      <c r="BE205" s="516" t="s">
        <v>2249</v>
      </c>
      <c r="BF205" s="529" t="s">
        <v>2452</v>
      </c>
      <c r="BG205" s="508">
        <f t="shared" ca="1" si="263"/>
        <v>10.8</v>
      </c>
      <c r="BH205" s="615">
        <v>4</v>
      </c>
      <c r="BI205" s="615">
        <v>7.0000000000000001E-3</v>
      </c>
      <c r="BJ205" s="170">
        <f t="shared" ca="1" si="285"/>
        <v>2.390046296296296E-2</v>
      </c>
      <c r="BK205" s="279">
        <f t="shared" ca="1" si="286"/>
        <v>239</v>
      </c>
      <c r="BM205" s="512">
        <v>6</v>
      </c>
      <c r="BN205" s="527" t="s">
        <v>718</v>
      </c>
      <c r="BO205" s="525" t="s">
        <v>1211</v>
      </c>
      <c r="BP205" s="508">
        <f t="shared" ca="1" si="282"/>
        <v>72</v>
      </c>
      <c r="BQ205" s="615">
        <v>3.5</v>
      </c>
      <c r="BR205" s="523">
        <f>宝箱设定!$P153</f>
        <v>3.3299999999999996E-2</v>
      </c>
      <c r="BS205" s="170">
        <f t="shared" ca="1" si="287"/>
        <v>4.3607142857142851E-2</v>
      </c>
      <c r="BT205" s="508">
        <f t="shared" ca="1" si="288"/>
        <v>436</v>
      </c>
      <c r="BV205" s="293">
        <v>6</v>
      </c>
      <c r="BW205" s="527" t="s">
        <v>2261</v>
      </c>
      <c r="BX205" s="530" t="s">
        <v>2200</v>
      </c>
      <c r="BY205" s="523" t="str">
        <f t="shared" ca="1" si="266"/>
        <v>T2部件</v>
      </c>
      <c r="BZ205" s="662">
        <v>1.5</v>
      </c>
      <c r="CA205" s="634">
        <v>2.3599999999999999E-2</v>
      </c>
      <c r="CB205" s="170" t="e">
        <f t="shared" ca="1" si="267"/>
        <v>#VALUE!</v>
      </c>
      <c r="CC205" s="290" t="e">
        <f t="shared" ca="1" si="268"/>
        <v>#VALUE!</v>
      </c>
    </row>
    <row r="206" spans="2:90" x14ac:dyDescent="0.35">
      <c r="B206" s="512">
        <v>5</v>
      </c>
      <c r="C206" s="512" t="s">
        <v>2275</v>
      </c>
      <c r="D206" s="529" t="s">
        <v>2452</v>
      </c>
      <c r="E206" s="508" t="str">
        <f t="shared" ca="1" si="236"/>
        <v>T2部件</v>
      </c>
      <c r="F206" s="512">
        <v>2</v>
      </c>
      <c r="G206" s="594">
        <v>1.26E-2</v>
      </c>
      <c r="H206" s="170" t="e">
        <f t="shared" ca="1" si="237"/>
        <v>#VALUE!</v>
      </c>
      <c r="I206" s="508" t="e">
        <f t="shared" ca="1" si="238"/>
        <v>#VALUE!</v>
      </c>
      <c r="K206" s="512">
        <v>5</v>
      </c>
      <c r="L206" s="512" t="s">
        <v>2275</v>
      </c>
      <c r="M206" s="529" t="s">
        <v>2452</v>
      </c>
      <c r="N206" s="508" t="str">
        <f t="shared" ca="1" si="239"/>
        <v>T2部件</v>
      </c>
      <c r="O206" s="566">
        <v>1</v>
      </c>
      <c r="P206" s="594">
        <v>1.01E-2</v>
      </c>
      <c r="Q206" s="170" t="e">
        <f t="shared" ca="1" si="253"/>
        <v>#VALUE!</v>
      </c>
      <c r="R206" s="508" t="e">
        <f t="shared" ca="1" si="254"/>
        <v>#VALUE!</v>
      </c>
      <c r="T206" s="512">
        <v>5</v>
      </c>
      <c r="U206" s="512" t="s">
        <v>2275</v>
      </c>
      <c r="V206" s="529" t="s">
        <v>2452</v>
      </c>
      <c r="W206" s="508" t="str">
        <f t="shared" ca="1" si="242"/>
        <v>T2部件</v>
      </c>
      <c r="X206" s="566">
        <v>1</v>
      </c>
      <c r="Y206" s="633">
        <v>1.01E-2</v>
      </c>
      <c r="Z206" s="170" t="e">
        <f t="shared" ca="1" si="255"/>
        <v>#VALUE!</v>
      </c>
      <c r="AA206" s="508" t="e">
        <f t="shared" ca="1" si="256"/>
        <v>#VALUE!</v>
      </c>
      <c r="AC206" s="512">
        <v>5</v>
      </c>
      <c r="AD206" s="516" t="s">
        <v>2263</v>
      </c>
      <c r="AE206" s="529" t="s">
        <v>2452</v>
      </c>
      <c r="AF206" s="508" t="str">
        <f t="shared" ca="1" si="250"/>
        <v>T2部件</v>
      </c>
      <c r="AG206" s="508">
        <v>1</v>
      </c>
      <c r="AH206" s="633">
        <v>8.9999999999999993E-3</v>
      </c>
      <c r="AI206" s="170" t="e">
        <f t="shared" ca="1" si="272"/>
        <v>#VALUE!</v>
      </c>
      <c r="AJ206" s="508" t="e">
        <f t="shared" ca="1" si="273"/>
        <v>#VALUE!</v>
      </c>
      <c r="AL206" s="512">
        <v>5</v>
      </c>
      <c r="AM206" s="516" t="s">
        <v>2268</v>
      </c>
      <c r="AN206" s="529" t="s">
        <v>2452</v>
      </c>
      <c r="AO206" s="508" t="str">
        <f t="shared" ca="1" si="257"/>
        <v>T2部件</v>
      </c>
      <c r="AP206" s="600">
        <v>1</v>
      </c>
      <c r="AQ206" s="600">
        <v>1.15E-2</v>
      </c>
      <c r="AR206" s="170" t="e">
        <f t="shared" ca="1" si="278"/>
        <v>#VALUE!</v>
      </c>
      <c r="AS206" s="508" t="e">
        <f t="shared" ca="1" si="279"/>
        <v>#VALUE!</v>
      </c>
      <c r="AU206" s="512">
        <v>5</v>
      </c>
      <c r="AV206" s="516" t="s">
        <v>2251</v>
      </c>
      <c r="AW206" s="529" t="s">
        <v>2452</v>
      </c>
      <c r="AX206" s="508">
        <f t="shared" ref="AX206:AX227" ca="1" si="289">IF(AW206="部件",VLOOKUP(AU206,INDIRECT(AW206&amp;"价值"),MATCH(LEFT(AV206,2)&amp;"部件",INDIRECT(AW206&amp;"价值标头"),0),FALSE),IF(AW206="加速道具",VLOOKUP(AV206,INDIRECT(AW206&amp;"价值"),MATCH("价格",INDIRECT(AW206&amp;"价值标头"),0),FALSE),VLOOKUP(AU206,INDIRECT(AW206&amp;"价值"),MATCH(AV206,INDIRECT(AW206&amp;"价值标头"),0),FALSE)))</f>
        <v>10.8</v>
      </c>
      <c r="AY206" s="625">
        <v>1.5</v>
      </c>
      <c r="AZ206" s="633">
        <v>7.0000000000000001E-3</v>
      </c>
      <c r="BA206" s="170">
        <f t="shared" ca="1" si="261"/>
        <v>2.8086419753086418E-2</v>
      </c>
      <c r="BB206" s="508">
        <f t="shared" ca="1" si="262"/>
        <v>281</v>
      </c>
      <c r="BD206" s="512">
        <v>5</v>
      </c>
      <c r="BE206" s="516" t="s">
        <v>2251</v>
      </c>
      <c r="BF206" s="529" t="s">
        <v>2452</v>
      </c>
      <c r="BG206" s="508">
        <f t="shared" ref="BG206:BG227" ca="1" si="290">IF(BF206="部件",VLOOKUP(BD206,INDIRECT(BF206&amp;"价值"),MATCH(LEFT(BE206,2)&amp;"部件",INDIRECT(BF206&amp;"价值标头"),0),FALSE),IF(BF206="加速道具",VLOOKUP(BE206,INDIRECT(BF206&amp;"价值"),MATCH("价格",INDIRECT(BF206&amp;"价值标头"),0),FALSE),VLOOKUP(BD206,INDIRECT(BF206&amp;"价值"),MATCH(BE206,INDIRECT(BF206&amp;"价值标头"),0),FALSE)))</f>
        <v>10.8</v>
      </c>
      <c r="BH206" s="615">
        <v>4</v>
      </c>
      <c r="BI206" s="615">
        <v>7.0000000000000001E-3</v>
      </c>
      <c r="BJ206" s="170">
        <f t="shared" ca="1" si="285"/>
        <v>2.390046296296296E-2</v>
      </c>
      <c r="BK206" s="279">
        <f t="shared" ca="1" si="286"/>
        <v>239</v>
      </c>
      <c r="BM206" s="512">
        <v>6</v>
      </c>
      <c r="BN206" s="527" t="s">
        <v>632</v>
      </c>
      <c r="BO206" s="525" t="s">
        <v>1211</v>
      </c>
      <c r="BP206" s="508">
        <f t="shared" ca="1" si="282"/>
        <v>72</v>
      </c>
      <c r="BQ206" s="615">
        <v>3.5</v>
      </c>
      <c r="BR206" s="523">
        <f>宝箱设定!$P154</f>
        <v>3.3299999999999996E-2</v>
      </c>
      <c r="BS206" s="170">
        <f t="shared" ca="1" si="287"/>
        <v>4.3607142857142851E-2</v>
      </c>
      <c r="BT206" s="508">
        <f t="shared" ca="1" si="288"/>
        <v>436</v>
      </c>
      <c r="BV206" s="293">
        <v>6</v>
      </c>
      <c r="BW206" s="527" t="s">
        <v>2263</v>
      </c>
      <c r="BX206" s="530" t="s">
        <v>2200</v>
      </c>
      <c r="BY206" s="523" t="str">
        <f t="shared" ca="1" si="266"/>
        <v>T2部件</v>
      </c>
      <c r="BZ206" s="662">
        <v>1.5</v>
      </c>
      <c r="CA206" s="634">
        <v>2.3599999999999999E-2</v>
      </c>
      <c r="CB206" s="170" t="e">
        <f t="shared" ca="1" si="267"/>
        <v>#VALUE!</v>
      </c>
      <c r="CC206" s="290" t="e">
        <f t="shared" ca="1" si="268"/>
        <v>#VALUE!</v>
      </c>
    </row>
    <row r="207" spans="2:90" x14ac:dyDescent="0.35">
      <c r="AC207" s="512">
        <v>5</v>
      </c>
      <c r="AD207" s="516" t="s">
        <v>2265</v>
      </c>
      <c r="AE207" s="529" t="s">
        <v>2452</v>
      </c>
      <c r="AF207" s="508" t="str">
        <f t="shared" ca="1" si="250"/>
        <v>T2部件</v>
      </c>
      <c r="AG207" s="508">
        <v>1</v>
      </c>
      <c r="AH207" s="633">
        <v>8.9999999999999993E-3</v>
      </c>
      <c r="AI207" s="170" t="e">
        <f t="shared" ca="1" si="272"/>
        <v>#VALUE!</v>
      </c>
      <c r="AJ207" s="508" t="e">
        <f t="shared" ca="1" si="273"/>
        <v>#VALUE!</v>
      </c>
      <c r="AL207" s="512">
        <v>5</v>
      </c>
      <c r="AM207" s="516" t="s">
        <v>2270</v>
      </c>
      <c r="AN207" s="529" t="s">
        <v>2452</v>
      </c>
      <c r="AO207" s="508" t="str">
        <f t="shared" ca="1" si="257"/>
        <v>T2部件</v>
      </c>
      <c r="AP207" s="600">
        <v>1</v>
      </c>
      <c r="AQ207" s="600">
        <v>1.15E-2</v>
      </c>
      <c r="AR207" s="170" t="e">
        <f t="shared" ca="1" si="278"/>
        <v>#VALUE!</v>
      </c>
      <c r="AS207" s="508" t="e">
        <f t="shared" ca="1" si="279"/>
        <v>#VALUE!</v>
      </c>
      <c r="AU207" s="512">
        <v>5</v>
      </c>
      <c r="AV207" s="516" t="s">
        <v>2253</v>
      </c>
      <c r="AW207" s="529" t="s">
        <v>2452</v>
      </c>
      <c r="AX207" s="508">
        <f t="shared" ca="1" si="289"/>
        <v>10.8</v>
      </c>
      <c r="AY207" s="625">
        <v>1.5</v>
      </c>
      <c r="AZ207" s="633">
        <v>7.0000000000000001E-3</v>
      </c>
      <c r="BA207" s="170">
        <f t="shared" ca="1" si="261"/>
        <v>2.8086419753086418E-2</v>
      </c>
      <c r="BB207" s="508">
        <f t="shared" ca="1" si="262"/>
        <v>281</v>
      </c>
      <c r="BD207" s="512">
        <v>5</v>
      </c>
      <c r="BE207" s="516" t="s">
        <v>2253</v>
      </c>
      <c r="BF207" s="529" t="s">
        <v>2452</v>
      </c>
      <c r="BG207" s="508">
        <f t="shared" ca="1" si="290"/>
        <v>10.8</v>
      </c>
      <c r="BH207" s="615">
        <v>4</v>
      </c>
      <c r="BI207" s="615">
        <v>7.0000000000000001E-3</v>
      </c>
      <c r="BJ207" s="170">
        <f t="shared" ref="BJ207:BJ212" ca="1" si="291">BI207*BE$4/BG207/BH207</f>
        <v>2.390046296296296E-2</v>
      </c>
      <c r="BK207" s="394">
        <f t="shared" ref="BK207:BK212" ca="1" si="292">ROUND(BJ207*10000,0)</f>
        <v>239</v>
      </c>
      <c r="BM207" s="512">
        <v>6</v>
      </c>
      <c r="BN207" s="527" t="s">
        <v>2258</v>
      </c>
      <c r="BO207" s="530" t="s">
        <v>2200</v>
      </c>
      <c r="BP207" s="508" t="str">
        <f t="shared" ca="1" si="282"/>
        <v>T2部件</v>
      </c>
      <c r="BQ207" s="508">
        <v>4</v>
      </c>
      <c r="BR207" s="600">
        <v>1.4999999999999999E-2</v>
      </c>
      <c r="BS207" s="170" t="e">
        <f t="shared" ca="1" si="287"/>
        <v>#VALUE!</v>
      </c>
      <c r="BT207" s="508" t="e">
        <f t="shared" ca="1" si="288"/>
        <v>#VALUE!</v>
      </c>
      <c r="BV207" s="396">
        <v>6</v>
      </c>
      <c r="BW207" s="527" t="s">
        <v>2265</v>
      </c>
      <c r="BX207" s="530" t="s">
        <v>2200</v>
      </c>
      <c r="BY207" s="523" t="str">
        <f t="shared" ca="1" si="266"/>
        <v>T2部件</v>
      </c>
      <c r="BZ207" s="662">
        <v>1.5</v>
      </c>
      <c r="CA207" s="634">
        <v>2.3599999999999999E-2</v>
      </c>
      <c r="CB207" s="170" t="e">
        <f t="shared" ref="CB207:CB216" ca="1" si="293">CA207*BW$4/BY207/BZ207</f>
        <v>#VALUE!</v>
      </c>
      <c r="CC207" s="394" t="e">
        <f t="shared" ref="CC207:CC216" ca="1" si="294">ROUND(CB207*10000,0)</f>
        <v>#VALUE!</v>
      </c>
    </row>
    <row r="208" spans="2:90" x14ac:dyDescent="0.35">
      <c r="AC208" s="512">
        <v>5</v>
      </c>
      <c r="AD208" s="516" t="s">
        <v>2267</v>
      </c>
      <c r="AE208" s="529" t="s">
        <v>2452</v>
      </c>
      <c r="AF208" s="508" t="str">
        <f t="shared" ca="1" si="250"/>
        <v>T2部件</v>
      </c>
      <c r="AG208" s="508">
        <v>1</v>
      </c>
      <c r="AH208" s="633">
        <v>8.9999999999999993E-3</v>
      </c>
      <c r="AI208" s="170" t="e">
        <f t="shared" ca="1" si="272"/>
        <v>#VALUE!</v>
      </c>
      <c r="AJ208" s="508" t="e">
        <f t="shared" ca="1" si="273"/>
        <v>#VALUE!</v>
      </c>
      <c r="AL208" s="512">
        <v>5</v>
      </c>
      <c r="AM208" s="512" t="s">
        <v>2272</v>
      </c>
      <c r="AN208" s="529" t="s">
        <v>2452</v>
      </c>
      <c r="AO208" s="508" t="str">
        <f t="shared" ca="1" si="257"/>
        <v>T2部件</v>
      </c>
      <c r="AP208" s="600">
        <v>1</v>
      </c>
      <c r="AQ208" s="600">
        <v>1.15E-2</v>
      </c>
      <c r="AR208" s="170" t="e">
        <f t="shared" ca="1" si="278"/>
        <v>#VALUE!</v>
      </c>
      <c r="AS208" s="508" t="e">
        <f t="shared" ca="1" si="279"/>
        <v>#VALUE!</v>
      </c>
      <c r="AU208" s="512">
        <v>5</v>
      </c>
      <c r="AV208" s="512" t="s">
        <v>2255</v>
      </c>
      <c r="AW208" s="529" t="s">
        <v>2452</v>
      </c>
      <c r="AX208" s="508">
        <f t="shared" ca="1" si="289"/>
        <v>10.8</v>
      </c>
      <c r="AY208" s="625">
        <v>1.5</v>
      </c>
      <c r="AZ208" s="633">
        <v>7.0000000000000001E-3</v>
      </c>
      <c r="BA208" s="170">
        <f t="shared" ca="1" si="261"/>
        <v>2.8086419753086418E-2</v>
      </c>
      <c r="BB208" s="508">
        <f t="shared" ca="1" si="262"/>
        <v>281</v>
      </c>
      <c r="BD208" s="512">
        <v>5</v>
      </c>
      <c r="BE208" s="512" t="s">
        <v>2255</v>
      </c>
      <c r="BF208" s="529" t="s">
        <v>2452</v>
      </c>
      <c r="BG208" s="508">
        <f t="shared" ca="1" si="290"/>
        <v>10.8</v>
      </c>
      <c r="BH208" s="615">
        <v>4</v>
      </c>
      <c r="BI208" s="615">
        <v>7.0000000000000001E-3</v>
      </c>
      <c r="BJ208" s="170">
        <f t="shared" ca="1" si="291"/>
        <v>2.390046296296296E-2</v>
      </c>
      <c r="BK208" s="394">
        <f t="shared" ca="1" si="292"/>
        <v>239</v>
      </c>
      <c r="BM208" s="512">
        <v>6</v>
      </c>
      <c r="BN208" s="527" t="s">
        <v>2260</v>
      </c>
      <c r="BO208" s="530" t="s">
        <v>2200</v>
      </c>
      <c r="BP208" s="508" t="str">
        <f t="shared" ca="1" si="282"/>
        <v>T2部件</v>
      </c>
      <c r="BQ208" s="632">
        <v>4</v>
      </c>
      <c r="BR208" s="615">
        <v>1.4999999999999999E-2</v>
      </c>
      <c r="BS208" s="170" t="e">
        <f t="shared" ca="1" si="287"/>
        <v>#VALUE!</v>
      </c>
      <c r="BT208" s="508" t="e">
        <f t="shared" ca="1" si="288"/>
        <v>#VALUE!</v>
      </c>
      <c r="BV208" s="396">
        <v>6</v>
      </c>
      <c r="BW208" s="527" t="s">
        <v>2267</v>
      </c>
      <c r="BX208" s="530" t="s">
        <v>2200</v>
      </c>
      <c r="BY208" s="523" t="str">
        <f t="shared" ca="1" si="266"/>
        <v>T2部件</v>
      </c>
      <c r="BZ208" s="662">
        <v>1.5</v>
      </c>
      <c r="CA208" s="634">
        <v>2.3599999999999999E-2</v>
      </c>
      <c r="CB208" s="170" t="e">
        <f t="shared" ca="1" si="293"/>
        <v>#VALUE!</v>
      </c>
      <c r="CC208" s="394" t="e">
        <f t="shared" ca="1" si="294"/>
        <v>#VALUE!</v>
      </c>
    </row>
    <row r="209" spans="2:82" x14ac:dyDescent="0.35">
      <c r="B209" s="273" t="s">
        <v>1226</v>
      </c>
      <c r="C209" s="273" t="s">
        <v>1225</v>
      </c>
      <c r="D209" s="258" t="s">
        <v>917</v>
      </c>
      <c r="E209" s="166" t="s">
        <v>920</v>
      </c>
      <c r="F209" s="261" t="s">
        <v>967</v>
      </c>
      <c r="G209" s="166" t="s">
        <v>854</v>
      </c>
      <c r="H209" s="166" t="s">
        <v>926</v>
      </c>
      <c r="I209" s="259" t="s">
        <v>927</v>
      </c>
      <c r="J209" s="300" t="e">
        <f ca="1">SUM(I210:I263)</f>
        <v>#VALUE!</v>
      </c>
      <c r="K209" s="282" t="s">
        <v>814</v>
      </c>
      <c r="L209" s="282" t="s">
        <v>1225</v>
      </c>
      <c r="M209" s="280" t="s">
        <v>917</v>
      </c>
      <c r="N209" s="166" t="s">
        <v>920</v>
      </c>
      <c r="O209" s="285" t="s">
        <v>967</v>
      </c>
      <c r="P209" s="166" t="s">
        <v>854</v>
      </c>
      <c r="Q209" s="166" t="s">
        <v>926</v>
      </c>
      <c r="R209" s="281" t="s">
        <v>927</v>
      </c>
      <c r="S209" s="300" t="e">
        <f ca="1">SUM(R210:R263)</f>
        <v>#VALUE!</v>
      </c>
      <c r="T209" s="512" t="s">
        <v>597</v>
      </c>
      <c r="U209" s="512" t="s">
        <v>1225</v>
      </c>
      <c r="V209" s="513" t="s">
        <v>917</v>
      </c>
      <c r="W209" s="166" t="s">
        <v>920</v>
      </c>
      <c r="X209" s="518" t="s">
        <v>967</v>
      </c>
      <c r="Y209" s="166" t="s">
        <v>854</v>
      </c>
      <c r="Z209" s="166" t="s">
        <v>926</v>
      </c>
      <c r="AA209" s="281" t="s">
        <v>927</v>
      </c>
      <c r="AB209" s="300" t="e">
        <f ca="1">SUM(AA210:AA263)</f>
        <v>#VALUE!</v>
      </c>
      <c r="AC209" s="512">
        <v>5</v>
      </c>
      <c r="AD209" s="516" t="s">
        <v>2269</v>
      </c>
      <c r="AE209" s="529" t="s">
        <v>2452</v>
      </c>
      <c r="AF209" s="508" t="str">
        <f t="shared" ca="1" si="250"/>
        <v>T2部件</v>
      </c>
      <c r="AG209" s="508">
        <v>1</v>
      </c>
      <c r="AH209" s="633">
        <v>8.9999999999999993E-3</v>
      </c>
      <c r="AI209" s="170" t="e">
        <f t="shared" ca="1" si="272"/>
        <v>#VALUE!</v>
      </c>
      <c r="AJ209" s="508" t="e">
        <f t="shared" ca="1" si="273"/>
        <v>#VALUE!</v>
      </c>
      <c r="AL209" s="512">
        <v>5</v>
      </c>
      <c r="AM209" s="512" t="s">
        <v>2274</v>
      </c>
      <c r="AN209" s="529" t="s">
        <v>2452</v>
      </c>
      <c r="AO209" s="508" t="str">
        <f t="shared" ca="1" si="257"/>
        <v>T2部件</v>
      </c>
      <c r="AP209" s="600">
        <v>1</v>
      </c>
      <c r="AQ209" s="600">
        <v>1.15E-2</v>
      </c>
      <c r="AR209" s="170" t="e">
        <f t="shared" ca="1" si="278"/>
        <v>#VALUE!</v>
      </c>
      <c r="AS209" s="508" t="e">
        <f t="shared" ca="1" si="279"/>
        <v>#VALUE!</v>
      </c>
      <c r="AU209" s="512">
        <v>5</v>
      </c>
      <c r="AV209" s="512" t="s">
        <v>2257</v>
      </c>
      <c r="AW209" s="529" t="s">
        <v>2452</v>
      </c>
      <c r="AX209" s="508">
        <f t="shared" ca="1" si="289"/>
        <v>10.8</v>
      </c>
      <c r="AY209" s="625">
        <v>1.5</v>
      </c>
      <c r="AZ209" s="633">
        <v>7.0000000000000001E-3</v>
      </c>
      <c r="BA209" s="170">
        <f t="shared" ca="1" si="261"/>
        <v>2.8086419753086418E-2</v>
      </c>
      <c r="BB209" s="508">
        <f t="shared" ca="1" si="262"/>
        <v>281</v>
      </c>
      <c r="BD209" s="512">
        <v>5</v>
      </c>
      <c r="BE209" s="512" t="s">
        <v>2257</v>
      </c>
      <c r="BF209" s="529" t="s">
        <v>2452</v>
      </c>
      <c r="BG209" s="508">
        <f t="shared" ca="1" si="290"/>
        <v>10.8</v>
      </c>
      <c r="BH209" s="615">
        <v>4</v>
      </c>
      <c r="BI209" s="615">
        <v>7.0000000000000001E-3</v>
      </c>
      <c r="BJ209" s="170">
        <f t="shared" ca="1" si="291"/>
        <v>2.390046296296296E-2</v>
      </c>
      <c r="BK209" s="394">
        <f t="shared" ca="1" si="292"/>
        <v>239</v>
      </c>
      <c r="BM209" s="512">
        <v>6</v>
      </c>
      <c r="BN209" s="527" t="s">
        <v>2262</v>
      </c>
      <c r="BO209" s="530" t="s">
        <v>2200</v>
      </c>
      <c r="BP209" s="508" t="str">
        <f t="shared" ca="1" si="282"/>
        <v>T2部件</v>
      </c>
      <c r="BQ209" s="632">
        <v>4</v>
      </c>
      <c r="BR209" s="615">
        <v>1.4999999999999999E-2</v>
      </c>
      <c r="BS209" s="170" t="e">
        <f t="shared" ca="1" si="287"/>
        <v>#VALUE!</v>
      </c>
      <c r="BT209" s="508" t="e">
        <f t="shared" ca="1" si="288"/>
        <v>#VALUE!</v>
      </c>
      <c r="BV209" s="396">
        <v>6</v>
      </c>
      <c r="BW209" s="527" t="s">
        <v>2269</v>
      </c>
      <c r="BX209" s="530" t="s">
        <v>2200</v>
      </c>
      <c r="BY209" s="523" t="str">
        <f t="shared" ca="1" si="266"/>
        <v>T2部件</v>
      </c>
      <c r="BZ209" s="662">
        <v>1.5</v>
      </c>
      <c r="CA209" s="634">
        <v>2.3599999999999999E-2</v>
      </c>
      <c r="CB209" s="170" t="e">
        <f t="shared" ca="1" si="293"/>
        <v>#VALUE!</v>
      </c>
      <c r="CC209" s="394" t="e">
        <f t="shared" ca="1" si="294"/>
        <v>#VALUE!</v>
      </c>
    </row>
    <row r="210" spans="2:82" x14ac:dyDescent="0.35">
      <c r="B210" s="512">
        <v>6</v>
      </c>
      <c r="C210" s="516" t="s">
        <v>617</v>
      </c>
      <c r="D210" s="512" t="s">
        <v>1211</v>
      </c>
      <c r="E210" s="508">
        <f t="shared" ref="E210:E241" ca="1" si="295">IF(D210="部件",VLOOKUP(B210,INDIRECT(D210&amp;"价值"),MATCH(LEFT(C210,2)&amp;"部件",INDIRECT(D210&amp;"价值标头"),0),FALSE),IF(D210="加速道具",VLOOKUP(C210,INDIRECT(D210&amp;"价值"),MATCH("价格",INDIRECT(D210&amp;"价值标头"),0),FALSE),VLOOKUP(B210,INDIRECT(D210&amp;"价值"),MATCH(C210,INDIRECT(D210&amp;"价值标头"),0),FALSE)))</f>
        <v>74.8</v>
      </c>
      <c r="F210" s="518">
        <v>3.5</v>
      </c>
      <c r="G210" s="166">
        <f>宝箱设定!$X122</f>
        <v>8.7599999999999997E-2</v>
      </c>
      <c r="H210" s="170">
        <f ca="1">G210*$C$4/E210/F210</f>
        <v>1.9658135981665392E-2</v>
      </c>
      <c r="I210" s="508">
        <f ca="1">ROUND(H210*10000,0)</f>
        <v>197</v>
      </c>
      <c r="J210" s="300"/>
      <c r="K210" s="512">
        <v>6</v>
      </c>
      <c r="L210" s="516" t="s">
        <v>617</v>
      </c>
      <c r="M210" s="512" t="s">
        <v>1211</v>
      </c>
      <c r="N210" s="508">
        <f t="shared" ref="N210:N241" ca="1" si="296">IF(M210="部件",VLOOKUP(K210,INDIRECT(M210&amp;"价值"),MATCH(LEFT(L210,2)&amp;"部件",INDIRECT(M210&amp;"价值标头"),0),FALSE),IF(M210="加速道具",VLOOKUP(L210,INDIRECT(M210&amp;"价值"),MATCH("价格",INDIRECT(M210&amp;"价值标头"),0),FALSE),VLOOKUP(K210,INDIRECT(M210&amp;"价值"),MATCH(L210,INDIRECT(M210&amp;"价值标头"),0),FALSE)))</f>
        <v>74.8</v>
      </c>
      <c r="O210" s="567">
        <v>1.5</v>
      </c>
      <c r="P210" s="166">
        <f>宝箱设定!$X122</f>
        <v>8.7599999999999997E-2</v>
      </c>
      <c r="Q210" s="170">
        <f t="shared" ref="Q210:Q221" ca="1" si="297">P210*L$4/N210/O210</f>
        <v>3.6695187165775398E-2</v>
      </c>
      <c r="R210" s="279">
        <f t="shared" ref="R210:R221" ca="1" si="298">ROUND(Q210*10000,0)</f>
        <v>367</v>
      </c>
      <c r="T210" s="512">
        <v>6</v>
      </c>
      <c r="U210" s="516" t="s">
        <v>617</v>
      </c>
      <c r="V210" s="512" t="s">
        <v>1211</v>
      </c>
      <c r="W210" s="508">
        <f t="shared" ref="W210:W241" ca="1" si="299">IF(V210="部件",VLOOKUP(T210,INDIRECT(V210&amp;"价值"),MATCH(LEFT(U210,2)&amp;"部件",INDIRECT(V210&amp;"价值标头"),0),FALSE),IF(V210="加速道具",VLOOKUP(U210,INDIRECT(V210&amp;"价值"),MATCH("价格",INDIRECT(V210&amp;"价值标头"),0),FALSE),VLOOKUP(T210,INDIRECT(V210&amp;"价值"),MATCH(U210,INDIRECT(V210&amp;"价值标头"),0),FALSE)))</f>
        <v>74.8</v>
      </c>
      <c r="X210" s="567">
        <v>1.5</v>
      </c>
      <c r="Y210" s="166">
        <f>宝箱设定!$X122</f>
        <v>8.7599999999999997E-2</v>
      </c>
      <c r="Z210" s="170">
        <f ca="1">Y210*U$4/W210/X210</f>
        <v>3.7085561497326204E-2</v>
      </c>
      <c r="AA210" s="279">
        <f ca="1">ROUND(Z210*10000,0)</f>
        <v>371</v>
      </c>
      <c r="AC210" s="512">
        <v>5</v>
      </c>
      <c r="AD210" s="516" t="s">
        <v>2271</v>
      </c>
      <c r="AE210" s="529" t="s">
        <v>2452</v>
      </c>
      <c r="AF210" s="508" t="str">
        <f t="shared" ca="1" si="250"/>
        <v>T2部件</v>
      </c>
      <c r="AG210" s="508">
        <v>1</v>
      </c>
      <c r="AH210" s="633">
        <v>8.9999999999999993E-3</v>
      </c>
      <c r="AI210" s="170" t="e">
        <f t="shared" ca="1" si="272"/>
        <v>#VALUE!</v>
      </c>
      <c r="AJ210" s="508" t="e">
        <f t="shared" ca="1" si="273"/>
        <v>#VALUE!</v>
      </c>
      <c r="AL210" s="512">
        <v>5</v>
      </c>
      <c r="AM210" s="516" t="s">
        <v>2259</v>
      </c>
      <c r="AN210" s="529" t="s">
        <v>2452</v>
      </c>
      <c r="AO210" s="508" t="str">
        <f t="shared" ca="1" si="257"/>
        <v>T2部件</v>
      </c>
      <c r="AP210" s="600">
        <v>1</v>
      </c>
      <c r="AQ210" s="600">
        <v>1.15E-2</v>
      </c>
      <c r="AR210" s="170" t="e">
        <f t="shared" ca="1" si="278"/>
        <v>#VALUE!</v>
      </c>
      <c r="AS210" s="508" t="e">
        <f t="shared" ca="1" si="279"/>
        <v>#VALUE!</v>
      </c>
      <c r="AU210" s="512">
        <v>5</v>
      </c>
      <c r="AV210" s="516" t="s">
        <v>2258</v>
      </c>
      <c r="AW210" s="529" t="s">
        <v>2452</v>
      </c>
      <c r="AX210" s="508" t="str">
        <f t="shared" ca="1" si="289"/>
        <v>T2部件</v>
      </c>
      <c r="AY210" s="625">
        <v>1</v>
      </c>
      <c r="AZ210" s="633">
        <v>1.0999999999999999E-2</v>
      </c>
      <c r="BA210" s="170" t="e">
        <f t="shared" ca="1" si="261"/>
        <v>#VALUE!</v>
      </c>
      <c r="BB210" s="508" t="e">
        <f t="shared" ca="1" si="262"/>
        <v>#VALUE!</v>
      </c>
      <c r="BD210" s="512">
        <v>5</v>
      </c>
      <c r="BE210" s="516" t="s">
        <v>2258</v>
      </c>
      <c r="BF210" s="529" t="s">
        <v>2452</v>
      </c>
      <c r="BG210" s="508" t="str">
        <f t="shared" ca="1" si="290"/>
        <v>T2部件</v>
      </c>
      <c r="BH210" s="565">
        <v>1.5</v>
      </c>
      <c r="BI210" s="615">
        <v>1.2E-2</v>
      </c>
      <c r="BJ210" s="170" t="e">
        <f t="shared" ca="1" si="291"/>
        <v>#VALUE!</v>
      </c>
      <c r="BK210" s="394" t="e">
        <f t="shared" ca="1" si="292"/>
        <v>#VALUE!</v>
      </c>
      <c r="BM210" s="512">
        <v>6</v>
      </c>
      <c r="BN210" s="527" t="s">
        <v>2264</v>
      </c>
      <c r="BO210" s="530" t="s">
        <v>2200</v>
      </c>
      <c r="BP210" s="508" t="str">
        <f t="shared" ca="1" si="282"/>
        <v>T2部件</v>
      </c>
      <c r="BQ210" s="632">
        <v>4</v>
      </c>
      <c r="BR210" s="615">
        <v>1.4999999999999999E-2</v>
      </c>
      <c r="BS210" s="170" t="e">
        <f t="shared" ca="1" si="287"/>
        <v>#VALUE!</v>
      </c>
      <c r="BT210" s="508" t="e">
        <f t="shared" ca="1" si="288"/>
        <v>#VALUE!</v>
      </c>
      <c r="BV210" s="396">
        <v>6</v>
      </c>
      <c r="BW210" s="527" t="s">
        <v>2271</v>
      </c>
      <c r="BX210" s="530" t="s">
        <v>2200</v>
      </c>
      <c r="BY210" s="523" t="str">
        <f t="shared" ca="1" si="266"/>
        <v>T2部件</v>
      </c>
      <c r="BZ210" s="662">
        <v>1.5</v>
      </c>
      <c r="CA210" s="634">
        <v>2.3599999999999999E-2</v>
      </c>
      <c r="CB210" s="170" t="e">
        <f t="shared" ca="1" si="293"/>
        <v>#VALUE!</v>
      </c>
      <c r="CC210" s="394" t="e">
        <f t="shared" ca="1" si="294"/>
        <v>#VALUE!</v>
      </c>
    </row>
    <row r="211" spans="2:82" x14ac:dyDescent="0.35">
      <c r="B211" s="512">
        <v>6</v>
      </c>
      <c r="C211" s="516" t="s">
        <v>626</v>
      </c>
      <c r="D211" s="512" t="s">
        <v>1211</v>
      </c>
      <c r="E211" s="508">
        <f t="shared" ca="1" si="295"/>
        <v>74.8</v>
      </c>
      <c r="F211" s="628">
        <v>3.5</v>
      </c>
      <c r="G211" s="166">
        <f>宝箱设定!$X123</f>
        <v>8.7599999999999997E-2</v>
      </c>
      <c r="H211" s="170">
        <f ca="1">G211*$C$4/E211/F211</f>
        <v>1.9658135981665392E-2</v>
      </c>
      <c r="I211" s="508">
        <f ca="1">ROUND(H211*10000,0)</f>
        <v>197</v>
      </c>
      <c r="J211" s="300"/>
      <c r="K211" s="512">
        <v>6</v>
      </c>
      <c r="L211" s="516" t="s">
        <v>626</v>
      </c>
      <c r="M211" s="512" t="s">
        <v>1211</v>
      </c>
      <c r="N211" s="508">
        <f t="shared" ca="1" si="296"/>
        <v>74.8</v>
      </c>
      <c r="O211" s="628">
        <v>1.5</v>
      </c>
      <c r="P211" s="166">
        <f>宝箱设定!$X123</f>
        <v>8.7599999999999997E-2</v>
      </c>
      <c r="Q211" s="170">
        <f t="shared" ca="1" si="297"/>
        <v>3.6695187165775398E-2</v>
      </c>
      <c r="R211" s="279">
        <f t="shared" ca="1" si="298"/>
        <v>367</v>
      </c>
      <c r="T211" s="512">
        <v>6</v>
      </c>
      <c r="U211" s="516" t="s">
        <v>626</v>
      </c>
      <c r="V211" s="512" t="s">
        <v>1211</v>
      </c>
      <c r="W211" s="508">
        <f t="shared" ca="1" si="299"/>
        <v>74.8</v>
      </c>
      <c r="X211" s="628">
        <v>1.5</v>
      </c>
      <c r="Y211" s="166">
        <f>宝箱设定!$X123</f>
        <v>8.7599999999999997E-2</v>
      </c>
      <c r="Z211" s="170">
        <f ca="1">Y211*U$4/W211/X211</f>
        <v>3.7085561497326204E-2</v>
      </c>
      <c r="AA211" s="279">
        <f ca="1">ROUND(Z211*10000,0)</f>
        <v>371</v>
      </c>
      <c r="AC211" s="512">
        <v>5</v>
      </c>
      <c r="AD211" s="512" t="s">
        <v>2273</v>
      </c>
      <c r="AE211" s="529" t="s">
        <v>2452</v>
      </c>
      <c r="AF211" s="508" t="str">
        <f t="shared" ca="1" si="250"/>
        <v>T2部件</v>
      </c>
      <c r="AG211" s="508">
        <v>1</v>
      </c>
      <c r="AH211" s="633">
        <v>8.9999999999999993E-3</v>
      </c>
      <c r="AI211" s="170" t="e">
        <f t="shared" ca="1" si="272"/>
        <v>#VALUE!</v>
      </c>
      <c r="AJ211" s="508" t="e">
        <f t="shared" ca="1" si="273"/>
        <v>#VALUE!</v>
      </c>
      <c r="AL211" s="512">
        <v>5</v>
      </c>
      <c r="AM211" s="516" t="s">
        <v>2261</v>
      </c>
      <c r="AN211" s="529" t="s">
        <v>2452</v>
      </c>
      <c r="AO211" s="508" t="str">
        <f t="shared" ca="1" si="257"/>
        <v>T2部件</v>
      </c>
      <c r="AP211" s="600">
        <v>1</v>
      </c>
      <c r="AQ211" s="600">
        <v>1.15E-2</v>
      </c>
      <c r="AR211" s="170" t="e">
        <f t="shared" ca="1" si="278"/>
        <v>#VALUE!</v>
      </c>
      <c r="AS211" s="508" t="e">
        <f t="shared" ca="1" si="279"/>
        <v>#VALUE!</v>
      </c>
      <c r="AU211" s="512">
        <v>5</v>
      </c>
      <c r="AV211" s="516" t="s">
        <v>2260</v>
      </c>
      <c r="AW211" s="529" t="s">
        <v>2452</v>
      </c>
      <c r="AX211" s="508" t="str">
        <f t="shared" ca="1" si="289"/>
        <v>T2部件</v>
      </c>
      <c r="AY211" s="615">
        <v>1</v>
      </c>
      <c r="AZ211" s="633">
        <v>1.0999999999999999E-2</v>
      </c>
      <c r="BA211" s="170" t="e">
        <f t="shared" ca="1" si="261"/>
        <v>#VALUE!</v>
      </c>
      <c r="BB211" s="508" t="e">
        <f t="shared" ca="1" si="262"/>
        <v>#VALUE!</v>
      </c>
      <c r="BD211" s="512">
        <v>5</v>
      </c>
      <c r="BE211" s="516" t="s">
        <v>2260</v>
      </c>
      <c r="BF211" s="529" t="s">
        <v>2452</v>
      </c>
      <c r="BG211" s="508" t="str">
        <f t="shared" ca="1" si="290"/>
        <v>T2部件</v>
      </c>
      <c r="BH211" s="565">
        <v>1.5</v>
      </c>
      <c r="BI211" s="615">
        <v>1.2E-2</v>
      </c>
      <c r="BJ211" s="170" t="e">
        <f t="shared" ca="1" si="291"/>
        <v>#VALUE!</v>
      </c>
      <c r="BK211" s="394" t="e">
        <f t="shared" ca="1" si="292"/>
        <v>#VALUE!</v>
      </c>
      <c r="BM211" s="512">
        <v>6</v>
      </c>
      <c r="BN211" s="527" t="s">
        <v>2266</v>
      </c>
      <c r="BO211" s="530" t="s">
        <v>2200</v>
      </c>
      <c r="BP211" s="508" t="str">
        <f t="shared" ca="1" si="282"/>
        <v>T2部件</v>
      </c>
      <c r="BQ211" s="632">
        <v>4</v>
      </c>
      <c r="BR211" s="615">
        <v>1.4999999999999999E-2</v>
      </c>
      <c r="BS211" s="170" t="e">
        <f t="shared" ca="1" si="287"/>
        <v>#VALUE!</v>
      </c>
      <c r="BT211" s="508" t="e">
        <f t="shared" ca="1" si="288"/>
        <v>#VALUE!</v>
      </c>
      <c r="BV211" s="396">
        <v>6</v>
      </c>
      <c r="BW211" s="525" t="s">
        <v>2273</v>
      </c>
      <c r="BX211" s="530" t="s">
        <v>2200</v>
      </c>
      <c r="BY211" s="523" t="str">
        <f t="shared" ca="1" si="266"/>
        <v>T2部件</v>
      </c>
      <c r="BZ211" s="662">
        <v>1.5</v>
      </c>
      <c r="CA211" s="634">
        <v>2.3599999999999999E-2</v>
      </c>
      <c r="CB211" s="170" t="e">
        <f t="shared" ca="1" si="293"/>
        <v>#VALUE!</v>
      </c>
      <c r="CC211" s="394" t="e">
        <f t="shared" ca="1" si="294"/>
        <v>#VALUE!</v>
      </c>
    </row>
    <row r="212" spans="2:82" x14ac:dyDescent="0.35">
      <c r="B212" s="512">
        <v>6</v>
      </c>
      <c r="C212" s="516" t="s">
        <v>631</v>
      </c>
      <c r="D212" s="512" t="s">
        <v>1211</v>
      </c>
      <c r="E212" s="508">
        <f t="shared" ca="1" si="295"/>
        <v>74.8</v>
      </c>
      <c r="F212" s="628">
        <v>3.5</v>
      </c>
      <c r="G212" s="166">
        <f>宝箱设定!$X124</f>
        <v>8.7599999999999997E-2</v>
      </c>
      <c r="H212" s="170">
        <f ca="1">G212*$C$4/E212/F212</f>
        <v>1.9658135981665392E-2</v>
      </c>
      <c r="I212" s="508">
        <f ca="1">ROUND(H212*10000,0)</f>
        <v>197</v>
      </c>
      <c r="J212" s="300"/>
      <c r="K212" s="512">
        <v>6</v>
      </c>
      <c r="L212" s="516" t="s">
        <v>631</v>
      </c>
      <c r="M212" s="512" t="s">
        <v>1211</v>
      </c>
      <c r="N212" s="508">
        <f t="shared" ca="1" si="296"/>
        <v>74.8</v>
      </c>
      <c r="O212" s="628">
        <v>1.5</v>
      </c>
      <c r="P212" s="166">
        <f>宝箱设定!$X124</f>
        <v>8.7599999999999997E-2</v>
      </c>
      <c r="Q212" s="170">
        <f t="shared" ca="1" si="297"/>
        <v>3.6695187165775398E-2</v>
      </c>
      <c r="R212" s="279">
        <f t="shared" ca="1" si="298"/>
        <v>367</v>
      </c>
      <c r="T212" s="512">
        <v>6</v>
      </c>
      <c r="U212" s="516" t="s">
        <v>631</v>
      </c>
      <c r="V212" s="512" t="s">
        <v>1211</v>
      </c>
      <c r="W212" s="508">
        <f t="shared" ca="1" si="299"/>
        <v>74.8</v>
      </c>
      <c r="X212" s="628">
        <v>1.5</v>
      </c>
      <c r="Y212" s="166">
        <f>宝箱设定!$X124</f>
        <v>8.7599999999999997E-2</v>
      </c>
      <c r="Z212" s="170">
        <f ca="1">Y212*U$4/W212/X212</f>
        <v>3.7085561497326204E-2</v>
      </c>
      <c r="AA212" s="279">
        <f ca="1">ROUND(Z212*10000,0)</f>
        <v>371</v>
      </c>
      <c r="AC212" s="512">
        <v>5</v>
      </c>
      <c r="AD212" s="512" t="s">
        <v>2275</v>
      </c>
      <c r="AE212" s="529" t="s">
        <v>2452</v>
      </c>
      <c r="AF212" s="508" t="str">
        <f t="shared" ca="1" si="250"/>
        <v>T2部件</v>
      </c>
      <c r="AG212" s="508">
        <v>1</v>
      </c>
      <c r="AH212" s="633">
        <v>8.9999999999999993E-3</v>
      </c>
      <c r="AI212" s="170" t="e">
        <f t="shared" ca="1" si="272"/>
        <v>#VALUE!</v>
      </c>
      <c r="AJ212" s="508" t="e">
        <f t="shared" ca="1" si="273"/>
        <v>#VALUE!</v>
      </c>
      <c r="AL212" s="512">
        <v>5</v>
      </c>
      <c r="AM212" s="516" t="s">
        <v>2263</v>
      </c>
      <c r="AN212" s="529" t="s">
        <v>2452</v>
      </c>
      <c r="AO212" s="508" t="str">
        <f t="shared" ca="1" si="257"/>
        <v>T2部件</v>
      </c>
      <c r="AP212" s="600">
        <v>1</v>
      </c>
      <c r="AQ212" s="600">
        <v>1.15E-2</v>
      </c>
      <c r="AR212" s="170" t="e">
        <f t="shared" ca="1" si="278"/>
        <v>#VALUE!</v>
      </c>
      <c r="AS212" s="508" t="e">
        <f t="shared" ca="1" si="279"/>
        <v>#VALUE!</v>
      </c>
      <c r="AU212" s="512">
        <v>5</v>
      </c>
      <c r="AV212" s="516" t="s">
        <v>2262</v>
      </c>
      <c r="AW212" s="529" t="s">
        <v>2452</v>
      </c>
      <c r="AX212" s="508" t="str">
        <f t="shared" ca="1" si="289"/>
        <v>T2部件</v>
      </c>
      <c r="AY212" s="615">
        <v>1</v>
      </c>
      <c r="AZ212" s="633">
        <v>1.0999999999999999E-2</v>
      </c>
      <c r="BA212" s="170" t="e">
        <f t="shared" ca="1" si="261"/>
        <v>#VALUE!</v>
      </c>
      <c r="BB212" s="508" t="e">
        <f t="shared" ca="1" si="262"/>
        <v>#VALUE!</v>
      </c>
      <c r="BD212" s="512">
        <v>5</v>
      </c>
      <c r="BE212" s="516" t="s">
        <v>2262</v>
      </c>
      <c r="BF212" s="529" t="s">
        <v>2452</v>
      </c>
      <c r="BG212" s="508" t="str">
        <f t="shared" ca="1" si="290"/>
        <v>T2部件</v>
      </c>
      <c r="BH212" s="565">
        <v>1.5</v>
      </c>
      <c r="BI212" s="615">
        <v>1.2E-2</v>
      </c>
      <c r="BJ212" s="170" t="e">
        <f t="shared" ca="1" si="291"/>
        <v>#VALUE!</v>
      </c>
      <c r="BK212" s="394" t="e">
        <f t="shared" ca="1" si="292"/>
        <v>#VALUE!</v>
      </c>
      <c r="BM212" s="512">
        <v>6</v>
      </c>
      <c r="BN212" s="527" t="s">
        <v>2268</v>
      </c>
      <c r="BO212" s="530" t="s">
        <v>2200</v>
      </c>
      <c r="BP212" s="508" t="str">
        <f t="shared" ca="1" si="282"/>
        <v>T2部件</v>
      </c>
      <c r="BQ212" s="632">
        <v>4</v>
      </c>
      <c r="BR212" s="615">
        <v>1.4999999999999999E-2</v>
      </c>
      <c r="BS212" s="170" t="e">
        <f t="shared" ca="1" si="287"/>
        <v>#VALUE!</v>
      </c>
      <c r="BT212" s="508" t="e">
        <f t="shared" ca="1" si="288"/>
        <v>#VALUE!</v>
      </c>
      <c r="BV212" s="525">
        <v>6</v>
      </c>
      <c r="BW212" s="525" t="s">
        <v>2275</v>
      </c>
      <c r="BX212" s="530" t="s">
        <v>2200</v>
      </c>
      <c r="BY212" s="523" t="str">
        <f t="shared" ca="1" si="266"/>
        <v>T2部件</v>
      </c>
      <c r="BZ212" s="662">
        <v>1.5</v>
      </c>
      <c r="CA212" s="634">
        <v>2.3599999999999999E-2</v>
      </c>
      <c r="CB212" s="170" t="e">
        <f ca="1">CA212*BW$4/BY212/BZ212</f>
        <v>#VALUE!</v>
      </c>
      <c r="CC212" s="523" t="e">
        <f ca="1">ROUND(CB212*10000,0)</f>
        <v>#VALUE!</v>
      </c>
    </row>
    <row r="213" spans="2:82" x14ac:dyDescent="0.35">
      <c r="B213" s="273">
        <v>6</v>
      </c>
      <c r="C213" s="260" t="s">
        <v>618</v>
      </c>
      <c r="D213" s="273" t="s">
        <v>1235</v>
      </c>
      <c r="E213" s="508">
        <f t="shared" ca="1" si="295"/>
        <v>56.4</v>
      </c>
      <c r="F213" s="379">
        <v>2.5</v>
      </c>
      <c r="G213" s="166">
        <f>宝箱设定!$X125</f>
        <v>7.2999999999999995E-2</v>
      </c>
      <c r="H213" s="170">
        <f t="shared" ref="H213:H263" ca="1" si="300">G213*$C$4/E213/F213</f>
        <v>3.0416666666666665E-2</v>
      </c>
      <c r="I213" s="256">
        <f t="shared" ref="I213:I263" ca="1" si="301">ROUND(H213*10000,0)</f>
        <v>304</v>
      </c>
      <c r="J213" s="300"/>
      <c r="K213" s="512">
        <v>6</v>
      </c>
      <c r="L213" s="516" t="s">
        <v>618</v>
      </c>
      <c r="M213" s="512" t="s">
        <v>1211</v>
      </c>
      <c r="N213" s="508">
        <f t="shared" ca="1" si="296"/>
        <v>56.4</v>
      </c>
      <c r="O213" s="565">
        <v>1</v>
      </c>
      <c r="P213" s="166">
        <f>宝箱设定!$X125</f>
        <v>7.2999999999999995E-2</v>
      </c>
      <c r="Q213" s="170">
        <f t="shared" ca="1" si="297"/>
        <v>6.083333333333333E-2</v>
      </c>
      <c r="R213" s="408">
        <f t="shared" ca="1" si="298"/>
        <v>608</v>
      </c>
      <c r="T213" s="512">
        <v>6</v>
      </c>
      <c r="U213" s="516" t="s">
        <v>618</v>
      </c>
      <c r="V213" s="512" t="s">
        <v>1211</v>
      </c>
      <c r="W213" s="508">
        <f t="shared" ca="1" si="299"/>
        <v>56.4</v>
      </c>
      <c r="X213" s="565">
        <v>1</v>
      </c>
      <c r="Y213" s="166">
        <f>宝箱设定!$X125</f>
        <v>7.2999999999999995E-2</v>
      </c>
      <c r="Z213" s="170">
        <f t="shared" ref="Z213:Z218" ca="1" si="302">Y213*U$4/W213/X213</f>
        <v>6.1480496453900704E-2</v>
      </c>
      <c r="AA213" s="408">
        <f t="shared" ref="AA213:AA218" ca="1" si="303">ROUND(Z213*10000,0)</f>
        <v>615</v>
      </c>
      <c r="AC213" s="595">
        <v>5</v>
      </c>
      <c r="AD213" s="601" t="s">
        <v>2878</v>
      </c>
      <c r="AE213" s="601" t="s">
        <v>2879</v>
      </c>
      <c r="AF213" s="594">
        <f t="shared" ca="1" si="250"/>
        <v>35</v>
      </c>
      <c r="AG213" s="594">
        <v>1</v>
      </c>
      <c r="AH213" s="633">
        <v>1.7999999999999999E-2</v>
      </c>
      <c r="AI213" s="170">
        <f ca="1">AH213*AD$4/AF213/AG213</f>
        <v>3.2914285714285708E-2</v>
      </c>
      <c r="AJ213" s="594">
        <f ca="1">ROUND(AI213*10000,0)</f>
        <v>329</v>
      </c>
      <c r="AL213" s="512">
        <v>5</v>
      </c>
      <c r="AM213" s="516" t="s">
        <v>2265</v>
      </c>
      <c r="AN213" s="529" t="s">
        <v>2452</v>
      </c>
      <c r="AO213" s="508" t="str">
        <f t="shared" ca="1" si="257"/>
        <v>T2部件</v>
      </c>
      <c r="AP213" s="600">
        <v>1</v>
      </c>
      <c r="AQ213" s="600">
        <v>1.15E-2</v>
      </c>
      <c r="AR213" s="170" t="e">
        <f t="shared" ca="1" si="278"/>
        <v>#VALUE!</v>
      </c>
      <c r="AS213" s="508" t="e">
        <f t="shared" ca="1" si="279"/>
        <v>#VALUE!</v>
      </c>
      <c r="AU213" s="512">
        <v>5</v>
      </c>
      <c r="AV213" s="516" t="s">
        <v>2264</v>
      </c>
      <c r="AW213" s="529" t="s">
        <v>2452</v>
      </c>
      <c r="AX213" s="508" t="str">
        <f t="shared" ca="1" si="289"/>
        <v>T2部件</v>
      </c>
      <c r="AY213" s="615">
        <v>1</v>
      </c>
      <c r="AZ213" s="633">
        <v>1.0999999999999999E-2</v>
      </c>
      <c r="BA213" s="170" t="e">
        <f t="shared" ca="1" si="261"/>
        <v>#VALUE!</v>
      </c>
      <c r="BB213" s="508" t="e">
        <f t="shared" ca="1" si="262"/>
        <v>#VALUE!</v>
      </c>
      <c r="BD213" s="512">
        <v>5</v>
      </c>
      <c r="BE213" s="516" t="s">
        <v>2264</v>
      </c>
      <c r="BF213" s="529" t="s">
        <v>2452</v>
      </c>
      <c r="BG213" s="508" t="str">
        <f t="shared" ca="1" si="290"/>
        <v>T2部件</v>
      </c>
      <c r="BH213" s="565">
        <v>1.5</v>
      </c>
      <c r="BI213" s="615">
        <v>1.2E-2</v>
      </c>
      <c r="BJ213" s="170" t="e">
        <f t="shared" ca="1" si="285"/>
        <v>#VALUE!</v>
      </c>
      <c r="BK213" s="279" t="e">
        <f t="shared" ca="1" si="286"/>
        <v>#VALUE!</v>
      </c>
      <c r="BM213" s="512">
        <v>6</v>
      </c>
      <c r="BN213" s="527" t="s">
        <v>2270</v>
      </c>
      <c r="BO213" s="530" t="s">
        <v>2200</v>
      </c>
      <c r="BP213" s="508" t="str">
        <f t="shared" ca="1" si="282"/>
        <v>T2部件</v>
      </c>
      <c r="BQ213" s="632">
        <v>4</v>
      </c>
      <c r="BR213" s="615">
        <v>1.4999999999999999E-2</v>
      </c>
      <c r="BS213" s="170" t="e">
        <f t="shared" ca="1" si="287"/>
        <v>#VALUE!</v>
      </c>
      <c r="BT213" s="508" t="e">
        <f t="shared" ca="1" si="288"/>
        <v>#VALUE!</v>
      </c>
      <c r="BV213" s="525">
        <v>6</v>
      </c>
      <c r="BW213" s="527" t="s">
        <v>2276</v>
      </c>
      <c r="BX213" s="530" t="s">
        <v>2200</v>
      </c>
      <c r="BY213" s="523" t="str">
        <f t="shared" ca="1" si="266"/>
        <v>T3部件</v>
      </c>
      <c r="BZ213" s="525">
        <v>1</v>
      </c>
      <c r="CA213" s="523">
        <v>2.5899999999999999E-2</v>
      </c>
      <c r="CB213" s="170" t="e">
        <f ca="1">CA213*BW$4/BY213/BZ213</f>
        <v>#VALUE!</v>
      </c>
      <c r="CC213" s="523" t="e">
        <f ca="1">ROUND(CB213*10000,0)</f>
        <v>#VALUE!</v>
      </c>
    </row>
    <row r="214" spans="2:82" x14ac:dyDescent="0.35">
      <c r="B214" s="273">
        <v>6</v>
      </c>
      <c r="C214" s="260" t="s">
        <v>627</v>
      </c>
      <c r="D214" s="273" t="s">
        <v>1235</v>
      </c>
      <c r="E214" s="508">
        <f t="shared" ca="1" si="295"/>
        <v>56.4</v>
      </c>
      <c r="F214" s="625">
        <v>2.5</v>
      </c>
      <c r="G214" s="166">
        <f>宝箱设定!$X126</f>
        <v>7.2999999999999995E-2</v>
      </c>
      <c r="H214" s="170">
        <f t="shared" ca="1" si="300"/>
        <v>3.0416666666666665E-2</v>
      </c>
      <c r="I214" s="256">
        <f t="shared" ca="1" si="301"/>
        <v>304</v>
      </c>
      <c r="J214" s="300"/>
      <c r="K214" s="512">
        <v>6</v>
      </c>
      <c r="L214" s="516" t="s">
        <v>627</v>
      </c>
      <c r="M214" s="512" t="s">
        <v>1211</v>
      </c>
      <c r="N214" s="508">
        <f t="shared" ca="1" si="296"/>
        <v>56.4</v>
      </c>
      <c r="O214" s="565">
        <v>1</v>
      </c>
      <c r="P214" s="166">
        <f>宝箱设定!$X126</f>
        <v>7.2999999999999995E-2</v>
      </c>
      <c r="Q214" s="170">
        <f t="shared" ca="1" si="297"/>
        <v>6.083333333333333E-2</v>
      </c>
      <c r="R214" s="408">
        <f t="shared" ca="1" si="298"/>
        <v>608</v>
      </c>
      <c r="T214" s="512">
        <v>6</v>
      </c>
      <c r="U214" s="516" t="s">
        <v>627</v>
      </c>
      <c r="V214" s="512" t="s">
        <v>1211</v>
      </c>
      <c r="W214" s="508">
        <f t="shared" ca="1" si="299"/>
        <v>56.4</v>
      </c>
      <c r="X214" s="565">
        <v>1</v>
      </c>
      <c r="Y214" s="166">
        <f>宝箱设定!$X126</f>
        <v>7.2999999999999995E-2</v>
      </c>
      <c r="Z214" s="170">
        <f t="shared" ca="1" si="302"/>
        <v>6.1480496453900704E-2</v>
      </c>
      <c r="AA214" s="408">
        <f t="shared" ca="1" si="303"/>
        <v>615</v>
      </c>
      <c r="AC214" s="595">
        <v>5</v>
      </c>
      <c r="AD214" s="601" t="s">
        <v>2880</v>
      </c>
      <c r="AE214" s="601" t="s">
        <v>2879</v>
      </c>
      <c r="AF214" s="594">
        <f t="shared" ca="1" si="250"/>
        <v>60</v>
      </c>
      <c r="AG214" s="594">
        <v>1</v>
      </c>
      <c r="AH214" s="633">
        <v>1.9E-2</v>
      </c>
      <c r="AI214" s="170">
        <f ca="1">AH214*AD$4/AF214/AG214</f>
        <v>2.0266666666666665E-2</v>
      </c>
      <c r="AJ214" s="594">
        <f ca="1">ROUND(AI214*10000,0)</f>
        <v>203</v>
      </c>
      <c r="AL214" s="512">
        <v>5</v>
      </c>
      <c r="AM214" s="516" t="s">
        <v>2267</v>
      </c>
      <c r="AN214" s="529" t="s">
        <v>2452</v>
      </c>
      <c r="AO214" s="508" t="str">
        <f t="shared" ca="1" si="257"/>
        <v>T2部件</v>
      </c>
      <c r="AP214" s="600">
        <v>1</v>
      </c>
      <c r="AQ214" s="600">
        <v>1.15E-2</v>
      </c>
      <c r="AR214" s="170" t="e">
        <f t="shared" ca="1" si="278"/>
        <v>#VALUE!</v>
      </c>
      <c r="AS214" s="508" t="e">
        <f t="shared" ca="1" si="279"/>
        <v>#VALUE!</v>
      </c>
      <c r="AU214" s="512">
        <v>5</v>
      </c>
      <c r="AV214" s="516" t="s">
        <v>2266</v>
      </c>
      <c r="AW214" s="529" t="s">
        <v>2452</v>
      </c>
      <c r="AX214" s="508" t="str">
        <f t="shared" ca="1" si="289"/>
        <v>T2部件</v>
      </c>
      <c r="AY214" s="615">
        <v>1</v>
      </c>
      <c r="AZ214" s="633">
        <v>1.0999999999999999E-2</v>
      </c>
      <c r="BA214" s="170" t="e">
        <f t="shared" ca="1" si="261"/>
        <v>#VALUE!</v>
      </c>
      <c r="BB214" s="508" t="e">
        <f t="shared" ca="1" si="262"/>
        <v>#VALUE!</v>
      </c>
      <c r="BD214" s="512">
        <v>5</v>
      </c>
      <c r="BE214" s="516" t="s">
        <v>2266</v>
      </c>
      <c r="BF214" s="529" t="s">
        <v>2452</v>
      </c>
      <c r="BG214" s="508" t="str">
        <f t="shared" ca="1" si="290"/>
        <v>T2部件</v>
      </c>
      <c r="BH214" s="565">
        <v>1.5</v>
      </c>
      <c r="BI214" s="615">
        <v>1.2E-2</v>
      </c>
      <c r="BJ214" s="170" t="e">
        <f t="shared" ca="1" si="285"/>
        <v>#VALUE!</v>
      </c>
      <c r="BK214" s="279" t="e">
        <f t="shared" ca="1" si="286"/>
        <v>#VALUE!</v>
      </c>
      <c r="BM214" s="512">
        <v>6</v>
      </c>
      <c r="BN214" s="525" t="s">
        <v>2272</v>
      </c>
      <c r="BO214" s="530" t="s">
        <v>2200</v>
      </c>
      <c r="BP214" s="508" t="str">
        <f t="shared" ca="1" si="282"/>
        <v>T2部件</v>
      </c>
      <c r="BQ214" s="632">
        <v>4</v>
      </c>
      <c r="BR214" s="615">
        <v>1.4999999999999999E-2</v>
      </c>
      <c r="BS214" s="170" t="e">
        <f t="shared" ca="1" si="287"/>
        <v>#VALUE!</v>
      </c>
      <c r="BT214" s="508" t="e">
        <f t="shared" ca="1" si="288"/>
        <v>#VALUE!</v>
      </c>
      <c r="BV214" s="525">
        <v>6</v>
      </c>
      <c r="BW214" s="527" t="s">
        <v>2278</v>
      </c>
      <c r="BX214" s="530" t="s">
        <v>2200</v>
      </c>
      <c r="BY214" s="523" t="str">
        <f t="shared" ca="1" si="266"/>
        <v>T3部件</v>
      </c>
      <c r="BZ214" s="665">
        <v>1</v>
      </c>
      <c r="CA214" s="523">
        <v>2.5899999999999999E-2</v>
      </c>
      <c r="CB214" s="170" t="e">
        <f ca="1">CA214*BW$4/BY214/BZ214</f>
        <v>#VALUE!</v>
      </c>
      <c r="CC214" s="523" t="e">
        <f ca="1">ROUND(CB214*10000,0)</f>
        <v>#VALUE!</v>
      </c>
    </row>
    <row r="215" spans="2:82" x14ac:dyDescent="0.35">
      <c r="B215" s="273">
        <v>6</v>
      </c>
      <c r="C215" s="260" t="s">
        <v>628</v>
      </c>
      <c r="D215" s="273" t="s">
        <v>1235</v>
      </c>
      <c r="E215" s="508">
        <f t="shared" ca="1" si="295"/>
        <v>56.4</v>
      </c>
      <c r="F215" s="625">
        <v>2.5</v>
      </c>
      <c r="G215" s="166">
        <f>宝箱设定!$X127</f>
        <v>7.2999999999999995E-2</v>
      </c>
      <c r="H215" s="170">
        <f t="shared" ca="1" si="300"/>
        <v>3.0416666666666665E-2</v>
      </c>
      <c r="I215" s="256">
        <f t="shared" ca="1" si="301"/>
        <v>304</v>
      </c>
      <c r="J215" s="300"/>
      <c r="K215" s="512">
        <v>6</v>
      </c>
      <c r="L215" s="516" t="s">
        <v>628</v>
      </c>
      <c r="M215" s="512" t="s">
        <v>1211</v>
      </c>
      <c r="N215" s="508">
        <f t="shared" ca="1" si="296"/>
        <v>56.4</v>
      </c>
      <c r="O215" s="565">
        <v>1</v>
      </c>
      <c r="P215" s="166">
        <f>宝箱设定!$X127</f>
        <v>7.2999999999999995E-2</v>
      </c>
      <c r="Q215" s="170">
        <f t="shared" ca="1" si="297"/>
        <v>6.083333333333333E-2</v>
      </c>
      <c r="R215" s="408">
        <f t="shared" ca="1" si="298"/>
        <v>608</v>
      </c>
      <c r="T215" s="512">
        <v>6</v>
      </c>
      <c r="U215" s="516" t="s">
        <v>628</v>
      </c>
      <c r="V215" s="512" t="s">
        <v>1211</v>
      </c>
      <c r="W215" s="508">
        <f t="shared" ca="1" si="299"/>
        <v>56.4</v>
      </c>
      <c r="X215" s="565">
        <v>1</v>
      </c>
      <c r="Y215" s="166">
        <f>宝箱设定!$X127</f>
        <v>7.2999999999999995E-2</v>
      </c>
      <c r="Z215" s="170">
        <f t="shared" ca="1" si="302"/>
        <v>6.1480496453900704E-2</v>
      </c>
      <c r="AA215" s="408">
        <f t="shared" ca="1" si="303"/>
        <v>615</v>
      </c>
      <c r="AL215" s="512">
        <v>5</v>
      </c>
      <c r="AM215" s="516" t="s">
        <v>2269</v>
      </c>
      <c r="AN215" s="529" t="s">
        <v>2452</v>
      </c>
      <c r="AO215" s="508" t="str">
        <f t="shared" ca="1" si="257"/>
        <v>T2部件</v>
      </c>
      <c r="AP215" s="600">
        <v>1</v>
      </c>
      <c r="AQ215" s="600">
        <v>1.15E-2</v>
      </c>
      <c r="AR215" s="170" t="e">
        <f t="shared" ca="1" si="278"/>
        <v>#VALUE!</v>
      </c>
      <c r="AS215" s="508" t="e">
        <f t="shared" ca="1" si="279"/>
        <v>#VALUE!</v>
      </c>
      <c r="AU215" s="512">
        <v>5</v>
      </c>
      <c r="AV215" s="516" t="s">
        <v>2268</v>
      </c>
      <c r="AW215" s="529" t="s">
        <v>2452</v>
      </c>
      <c r="AX215" s="508" t="str">
        <f t="shared" ca="1" si="289"/>
        <v>T2部件</v>
      </c>
      <c r="AY215" s="615">
        <v>1</v>
      </c>
      <c r="AZ215" s="633">
        <v>1.0999999999999999E-2</v>
      </c>
      <c r="BA215" s="170" t="e">
        <f t="shared" ca="1" si="261"/>
        <v>#VALUE!</v>
      </c>
      <c r="BB215" s="508" t="e">
        <f t="shared" ca="1" si="262"/>
        <v>#VALUE!</v>
      </c>
      <c r="BD215" s="512">
        <v>5</v>
      </c>
      <c r="BE215" s="516" t="s">
        <v>2268</v>
      </c>
      <c r="BF215" s="529" t="s">
        <v>2452</v>
      </c>
      <c r="BG215" s="508" t="str">
        <f t="shared" ca="1" si="290"/>
        <v>T2部件</v>
      </c>
      <c r="BH215" s="565">
        <v>1.5</v>
      </c>
      <c r="BI215" s="615">
        <v>1.2E-2</v>
      </c>
      <c r="BJ215" s="170" t="e">
        <f t="shared" ca="1" si="285"/>
        <v>#VALUE!</v>
      </c>
      <c r="BK215" s="279" t="e">
        <f t="shared" ca="1" si="286"/>
        <v>#VALUE!</v>
      </c>
      <c r="BM215" s="512">
        <v>6</v>
      </c>
      <c r="BN215" s="525" t="s">
        <v>2274</v>
      </c>
      <c r="BO215" s="530" t="s">
        <v>2200</v>
      </c>
      <c r="BP215" s="508" t="str">
        <f t="shared" ca="1" si="282"/>
        <v>T2部件</v>
      </c>
      <c r="BQ215" s="632">
        <v>4</v>
      </c>
      <c r="BR215" s="615">
        <v>1.4999999999999999E-2</v>
      </c>
      <c r="BS215" s="170" t="e">
        <f t="shared" ca="1" si="287"/>
        <v>#VALUE!</v>
      </c>
      <c r="BT215" s="508" t="e">
        <f t="shared" ca="1" si="288"/>
        <v>#VALUE!</v>
      </c>
      <c r="BV215" s="396">
        <v>6</v>
      </c>
      <c r="BW215" s="527" t="s">
        <v>2280</v>
      </c>
      <c r="BX215" s="530" t="s">
        <v>2200</v>
      </c>
      <c r="BY215" s="523" t="str">
        <f t="shared" ca="1" si="266"/>
        <v>T3部件</v>
      </c>
      <c r="BZ215" s="665">
        <v>1</v>
      </c>
      <c r="CA215" s="523">
        <v>2.5899999999999999E-2</v>
      </c>
      <c r="CB215" s="170" t="e">
        <f ca="1">CA215*BW$4/BY215/BZ215</f>
        <v>#VALUE!</v>
      </c>
      <c r="CC215" s="523" t="e">
        <f ca="1">ROUND(CB215*10000,0)</f>
        <v>#VALUE!</v>
      </c>
    </row>
    <row r="216" spans="2:82" x14ac:dyDescent="0.35">
      <c r="B216" s="273">
        <v>6</v>
      </c>
      <c r="C216" s="260" t="s">
        <v>619</v>
      </c>
      <c r="D216" s="273" t="s">
        <v>1235</v>
      </c>
      <c r="E216" s="508">
        <f t="shared" ca="1" si="295"/>
        <v>72</v>
      </c>
      <c r="F216" s="359">
        <v>2</v>
      </c>
      <c r="G216" s="166">
        <f>宝箱设定!$X128</f>
        <v>5.8400000000000001E-2</v>
      </c>
      <c r="H216" s="170">
        <f t="shared" ca="1" si="300"/>
        <v>2.382638888888889E-2</v>
      </c>
      <c r="I216" s="256">
        <f t="shared" ca="1" si="301"/>
        <v>238</v>
      </c>
      <c r="J216" s="300"/>
      <c r="K216" s="512">
        <v>6</v>
      </c>
      <c r="L216" s="516" t="s">
        <v>619</v>
      </c>
      <c r="M216" s="512" t="s">
        <v>1211</v>
      </c>
      <c r="N216" s="508">
        <f t="shared" ca="1" si="296"/>
        <v>72</v>
      </c>
      <c r="O216" s="565">
        <v>1</v>
      </c>
      <c r="P216" s="166">
        <f>宝箱设定!$X128</f>
        <v>5.8400000000000001E-2</v>
      </c>
      <c r="Q216" s="170">
        <f t="shared" ca="1" si="297"/>
        <v>3.8122222222222224E-2</v>
      </c>
      <c r="R216" s="279">
        <f t="shared" ca="1" si="298"/>
        <v>381</v>
      </c>
      <c r="T216" s="512">
        <v>6</v>
      </c>
      <c r="U216" s="516" t="s">
        <v>619</v>
      </c>
      <c r="V216" s="512" t="s">
        <v>1211</v>
      </c>
      <c r="W216" s="508">
        <f t="shared" ca="1" si="299"/>
        <v>72</v>
      </c>
      <c r="X216" s="565">
        <v>1</v>
      </c>
      <c r="Y216" s="166">
        <f>宝箱设定!$X128</f>
        <v>5.8400000000000001E-2</v>
      </c>
      <c r="Z216" s="170">
        <f t="shared" ca="1" si="302"/>
        <v>3.8527777777777779E-2</v>
      </c>
      <c r="AA216" s="408">
        <f t="shared" ca="1" si="303"/>
        <v>385</v>
      </c>
      <c r="AL216" s="512">
        <v>5</v>
      </c>
      <c r="AM216" s="516" t="s">
        <v>2271</v>
      </c>
      <c r="AN216" s="529" t="s">
        <v>2452</v>
      </c>
      <c r="AO216" s="508" t="str">
        <f t="shared" ca="1" si="257"/>
        <v>T2部件</v>
      </c>
      <c r="AP216" s="600">
        <v>1</v>
      </c>
      <c r="AQ216" s="600">
        <v>1.15E-2</v>
      </c>
      <c r="AR216" s="170" t="e">
        <f t="shared" ca="1" si="278"/>
        <v>#VALUE!</v>
      </c>
      <c r="AS216" s="508" t="e">
        <f t="shared" ca="1" si="279"/>
        <v>#VALUE!</v>
      </c>
      <c r="AU216" s="512">
        <v>5</v>
      </c>
      <c r="AV216" s="516" t="s">
        <v>2270</v>
      </c>
      <c r="AW216" s="529" t="s">
        <v>2452</v>
      </c>
      <c r="AX216" s="508" t="str">
        <f t="shared" ca="1" si="289"/>
        <v>T2部件</v>
      </c>
      <c r="AY216" s="615">
        <v>1</v>
      </c>
      <c r="AZ216" s="633">
        <v>1.0999999999999999E-2</v>
      </c>
      <c r="BA216" s="170" t="e">
        <f t="shared" ca="1" si="261"/>
        <v>#VALUE!</v>
      </c>
      <c r="BB216" s="508" t="e">
        <f t="shared" ca="1" si="262"/>
        <v>#VALUE!</v>
      </c>
      <c r="BD216" s="512">
        <v>5</v>
      </c>
      <c r="BE216" s="516" t="s">
        <v>2270</v>
      </c>
      <c r="BF216" s="529" t="s">
        <v>2452</v>
      </c>
      <c r="BG216" s="508" t="str">
        <f t="shared" ca="1" si="290"/>
        <v>T2部件</v>
      </c>
      <c r="BH216" s="565">
        <v>1.5</v>
      </c>
      <c r="BI216" s="615">
        <v>1.2E-2</v>
      </c>
      <c r="BJ216" s="170" t="e">
        <f t="shared" ca="1" si="285"/>
        <v>#VALUE!</v>
      </c>
      <c r="BK216" s="279" t="e">
        <f t="shared" ca="1" si="286"/>
        <v>#VALUE!</v>
      </c>
      <c r="BM216" s="512">
        <v>6</v>
      </c>
      <c r="BN216" s="527" t="s">
        <v>2259</v>
      </c>
      <c r="BO216" s="530" t="s">
        <v>2200</v>
      </c>
      <c r="BP216" s="508" t="str">
        <f t="shared" ca="1" si="282"/>
        <v>T2部件</v>
      </c>
      <c r="BQ216" s="632">
        <v>4</v>
      </c>
      <c r="BR216" s="615">
        <v>1.4999999999999999E-2</v>
      </c>
      <c r="BS216" s="170" t="e">
        <f t="shared" ca="1" si="287"/>
        <v>#VALUE!</v>
      </c>
      <c r="BT216" s="508" t="e">
        <f t="shared" ca="1" si="288"/>
        <v>#VALUE!</v>
      </c>
      <c r="BV216" s="396">
        <v>6</v>
      </c>
      <c r="BW216" s="527" t="s">
        <v>2282</v>
      </c>
      <c r="BX216" s="530" t="s">
        <v>2200</v>
      </c>
      <c r="BY216" s="523" t="str">
        <f t="shared" ca="1" si="266"/>
        <v>T3部件</v>
      </c>
      <c r="BZ216" s="665">
        <v>1</v>
      </c>
      <c r="CA216" s="523">
        <v>2.5899999999999999E-2</v>
      </c>
      <c r="CB216" s="170" t="e">
        <f t="shared" ca="1" si="293"/>
        <v>#VALUE!</v>
      </c>
      <c r="CC216" s="394" t="e">
        <f t="shared" ca="1" si="294"/>
        <v>#VALUE!</v>
      </c>
    </row>
    <row r="217" spans="2:82" x14ac:dyDescent="0.35">
      <c r="B217" s="273">
        <v>6</v>
      </c>
      <c r="C217" s="260" t="s">
        <v>718</v>
      </c>
      <c r="D217" s="273" t="s">
        <v>1235</v>
      </c>
      <c r="E217" s="508">
        <f t="shared" ca="1" si="295"/>
        <v>72</v>
      </c>
      <c r="F217" s="359">
        <v>2</v>
      </c>
      <c r="G217" s="166">
        <f>宝箱设定!$X129</f>
        <v>5.8400000000000001E-2</v>
      </c>
      <c r="H217" s="170">
        <f t="shared" ca="1" si="300"/>
        <v>2.382638888888889E-2</v>
      </c>
      <c r="I217" s="256">
        <f t="shared" ca="1" si="301"/>
        <v>238</v>
      </c>
      <c r="J217" s="300"/>
      <c r="K217" s="512">
        <v>6</v>
      </c>
      <c r="L217" s="516" t="s">
        <v>718</v>
      </c>
      <c r="M217" s="512" t="s">
        <v>1211</v>
      </c>
      <c r="N217" s="508">
        <f t="shared" ca="1" si="296"/>
        <v>72</v>
      </c>
      <c r="O217" s="565">
        <v>1</v>
      </c>
      <c r="P217" s="166">
        <f>宝箱设定!$X129</f>
        <v>5.8400000000000001E-2</v>
      </c>
      <c r="Q217" s="170">
        <f t="shared" ca="1" si="297"/>
        <v>3.8122222222222224E-2</v>
      </c>
      <c r="R217" s="279">
        <f t="shared" ca="1" si="298"/>
        <v>381</v>
      </c>
      <c r="T217" s="512">
        <v>6</v>
      </c>
      <c r="U217" s="516" t="s">
        <v>718</v>
      </c>
      <c r="V217" s="512" t="s">
        <v>1211</v>
      </c>
      <c r="W217" s="508">
        <f t="shared" ca="1" si="299"/>
        <v>72</v>
      </c>
      <c r="X217" s="565">
        <v>1</v>
      </c>
      <c r="Y217" s="166">
        <f>宝箱设定!$X129</f>
        <v>5.8400000000000001E-2</v>
      </c>
      <c r="Z217" s="170">
        <f t="shared" ca="1" si="302"/>
        <v>3.8527777777777779E-2</v>
      </c>
      <c r="AA217" s="408">
        <f t="shared" ca="1" si="303"/>
        <v>385</v>
      </c>
      <c r="AC217" s="512" t="s">
        <v>597</v>
      </c>
      <c r="AD217" s="512" t="s">
        <v>1225</v>
      </c>
      <c r="AE217" s="513" t="s">
        <v>917</v>
      </c>
      <c r="AF217" s="166" t="s">
        <v>920</v>
      </c>
      <c r="AG217" s="398" t="s">
        <v>967</v>
      </c>
      <c r="AH217" s="166" t="s">
        <v>854</v>
      </c>
      <c r="AI217" s="166" t="s">
        <v>926</v>
      </c>
      <c r="AJ217" s="281" t="s">
        <v>927</v>
      </c>
      <c r="AK217" s="300" t="e">
        <f ca="1">SUM(AJ218:AJ273)</f>
        <v>#VALUE!</v>
      </c>
      <c r="AL217" s="512">
        <v>5</v>
      </c>
      <c r="AM217" s="512" t="s">
        <v>2273</v>
      </c>
      <c r="AN217" s="529" t="s">
        <v>2452</v>
      </c>
      <c r="AO217" s="508" t="str">
        <f t="shared" ca="1" si="257"/>
        <v>T2部件</v>
      </c>
      <c r="AP217" s="600">
        <v>1</v>
      </c>
      <c r="AQ217" s="600">
        <v>1.15E-2</v>
      </c>
      <c r="AR217" s="170" t="e">
        <f t="shared" ca="1" si="278"/>
        <v>#VALUE!</v>
      </c>
      <c r="AS217" s="508" t="e">
        <f t="shared" ca="1" si="279"/>
        <v>#VALUE!</v>
      </c>
      <c r="AU217" s="512">
        <v>5</v>
      </c>
      <c r="AV217" s="512" t="s">
        <v>2272</v>
      </c>
      <c r="AW217" s="529" t="s">
        <v>2452</v>
      </c>
      <c r="AX217" s="508" t="str">
        <f t="shared" ca="1" si="289"/>
        <v>T2部件</v>
      </c>
      <c r="AY217" s="615">
        <v>1</v>
      </c>
      <c r="AZ217" s="633">
        <v>1.0999999999999999E-2</v>
      </c>
      <c r="BA217" s="170" t="e">
        <f t="shared" ca="1" si="261"/>
        <v>#VALUE!</v>
      </c>
      <c r="BB217" s="508" t="e">
        <f t="shared" ca="1" si="262"/>
        <v>#VALUE!</v>
      </c>
      <c r="BD217" s="512">
        <v>5</v>
      </c>
      <c r="BE217" s="512" t="s">
        <v>2272</v>
      </c>
      <c r="BF217" s="529" t="s">
        <v>2452</v>
      </c>
      <c r="BG217" s="508" t="str">
        <f t="shared" ca="1" si="290"/>
        <v>T2部件</v>
      </c>
      <c r="BH217" s="565">
        <v>1.5</v>
      </c>
      <c r="BI217" s="615">
        <v>1.2E-2</v>
      </c>
      <c r="BJ217" s="170" t="e">
        <f t="shared" ca="1" si="285"/>
        <v>#VALUE!</v>
      </c>
      <c r="BK217" s="279" t="e">
        <f t="shared" ca="1" si="286"/>
        <v>#VALUE!</v>
      </c>
      <c r="BM217" s="512">
        <v>6</v>
      </c>
      <c r="BN217" s="527" t="s">
        <v>2261</v>
      </c>
      <c r="BO217" s="530" t="s">
        <v>2200</v>
      </c>
      <c r="BP217" s="508" t="str">
        <f t="shared" ca="1" si="282"/>
        <v>T2部件</v>
      </c>
      <c r="BQ217" s="632">
        <v>4</v>
      </c>
      <c r="BR217" s="615">
        <v>1.4999999999999999E-2</v>
      </c>
      <c r="BS217" s="170" t="e">
        <f t="shared" ca="1" si="287"/>
        <v>#VALUE!</v>
      </c>
      <c r="BT217" s="508" t="e">
        <f t="shared" ca="1" si="288"/>
        <v>#VALUE!</v>
      </c>
      <c r="BV217" s="396">
        <v>6</v>
      </c>
      <c r="BW217" s="527" t="s">
        <v>2284</v>
      </c>
      <c r="BX217" s="530" t="s">
        <v>2200</v>
      </c>
      <c r="BY217" s="523" t="str">
        <f t="shared" ca="1" si="266"/>
        <v>T3部件</v>
      </c>
      <c r="BZ217" s="665">
        <v>1</v>
      </c>
      <c r="CA217" s="523">
        <v>2.5899999999999999E-2</v>
      </c>
      <c r="CB217" s="170" t="e">
        <f t="shared" ca="1" si="267"/>
        <v>#VALUE!</v>
      </c>
      <c r="CC217" s="290" t="e">
        <f t="shared" ca="1" si="268"/>
        <v>#VALUE!</v>
      </c>
    </row>
    <row r="218" spans="2:82" x14ac:dyDescent="0.35">
      <c r="B218" s="273">
        <v>6</v>
      </c>
      <c r="C218" s="260" t="s">
        <v>632</v>
      </c>
      <c r="D218" s="273" t="s">
        <v>1235</v>
      </c>
      <c r="E218" s="508">
        <f t="shared" ca="1" si="295"/>
        <v>72</v>
      </c>
      <c r="F218" s="359">
        <v>2</v>
      </c>
      <c r="G218" s="166">
        <f>宝箱设定!$X130</f>
        <v>5.8400000000000001E-2</v>
      </c>
      <c r="H218" s="170">
        <f t="shared" ca="1" si="300"/>
        <v>2.382638888888889E-2</v>
      </c>
      <c r="I218" s="256">
        <f t="shared" ca="1" si="301"/>
        <v>238</v>
      </c>
      <c r="J218" s="300"/>
      <c r="K218" s="512">
        <v>6</v>
      </c>
      <c r="L218" s="516" t="s">
        <v>632</v>
      </c>
      <c r="M218" s="512" t="s">
        <v>1211</v>
      </c>
      <c r="N218" s="508">
        <f t="shared" ca="1" si="296"/>
        <v>72</v>
      </c>
      <c r="O218" s="565">
        <v>1</v>
      </c>
      <c r="P218" s="166">
        <f>宝箱设定!$X130</f>
        <v>5.8400000000000001E-2</v>
      </c>
      <c r="Q218" s="170">
        <f t="shared" ca="1" si="297"/>
        <v>3.8122222222222224E-2</v>
      </c>
      <c r="R218" s="279">
        <f t="shared" ca="1" si="298"/>
        <v>381</v>
      </c>
      <c r="T218" s="512">
        <v>6</v>
      </c>
      <c r="U218" s="516" t="s">
        <v>632</v>
      </c>
      <c r="V218" s="512" t="s">
        <v>1211</v>
      </c>
      <c r="W218" s="508">
        <f t="shared" ca="1" si="299"/>
        <v>72</v>
      </c>
      <c r="X218" s="565">
        <v>1</v>
      </c>
      <c r="Y218" s="166">
        <f>宝箱设定!$X130</f>
        <v>5.8400000000000001E-2</v>
      </c>
      <c r="Z218" s="170">
        <f t="shared" ca="1" si="302"/>
        <v>3.8527777777777779E-2</v>
      </c>
      <c r="AA218" s="408">
        <f t="shared" ca="1" si="303"/>
        <v>385</v>
      </c>
      <c r="AC218" s="512">
        <v>6</v>
      </c>
      <c r="AD218" s="516" t="s">
        <v>617</v>
      </c>
      <c r="AE218" s="512" t="s">
        <v>1211</v>
      </c>
      <c r="AF218" s="508">
        <f t="shared" ref="AF218:AF249" ca="1" si="304">IF(AE218="部件",VLOOKUP(AC218,INDIRECT(AE218&amp;"价值"),MATCH(LEFT(AD218,2)&amp;"部件",INDIRECT(AE218&amp;"价值标头"),0),FALSE),IF(AE218="加速道具",VLOOKUP(AD218,INDIRECT(AE218&amp;"价值"),MATCH("价格",INDIRECT(AE218&amp;"价值标头"),0),FALSE),VLOOKUP(AC218,INDIRECT(AE218&amp;"价值"),MATCH(AD218,INDIRECT(AE218&amp;"价值标头"),0),FALSE)))</f>
        <v>74.8</v>
      </c>
      <c r="AG218" s="565">
        <v>2</v>
      </c>
      <c r="AH218" s="166">
        <f>宝箱设定!$X122</f>
        <v>8.7599999999999997E-2</v>
      </c>
      <c r="AI218" s="170">
        <f t="shared" ref="AI218:AI229" ca="1" si="305">AH218*AD$4/AF218/AG218</f>
        <v>3.7475935828877004E-2</v>
      </c>
      <c r="AJ218" s="279">
        <f t="shared" ref="AJ218:AJ229" ca="1" si="306">ROUND(AI218*10000,0)</f>
        <v>375</v>
      </c>
      <c r="AL218" s="512">
        <v>5</v>
      </c>
      <c r="AM218" s="512" t="s">
        <v>2275</v>
      </c>
      <c r="AN218" s="529" t="s">
        <v>2452</v>
      </c>
      <c r="AO218" s="508" t="str">
        <f t="shared" ca="1" si="257"/>
        <v>T2部件</v>
      </c>
      <c r="AP218" s="600">
        <v>1</v>
      </c>
      <c r="AQ218" s="600">
        <v>1.15E-2</v>
      </c>
      <c r="AR218" s="170" t="e">
        <f t="shared" ca="1" si="278"/>
        <v>#VALUE!</v>
      </c>
      <c r="AS218" s="508" t="e">
        <f t="shared" ca="1" si="279"/>
        <v>#VALUE!</v>
      </c>
      <c r="AU218" s="512">
        <v>5</v>
      </c>
      <c r="AV218" s="512" t="s">
        <v>2274</v>
      </c>
      <c r="AW218" s="529" t="s">
        <v>2452</v>
      </c>
      <c r="AX218" s="508" t="str">
        <f t="shared" ca="1" si="289"/>
        <v>T2部件</v>
      </c>
      <c r="AY218" s="615">
        <v>1</v>
      </c>
      <c r="AZ218" s="633">
        <v>1.0999999999999999E-2</v>
      </c>
      <c r="BA218" s="170" t="e">
        <f t="shared" ca="1" si="261"/>
        <v>#VALUE!</v>
      </c>
      <c r="BB218" s="508" t="e">
        <f t="shared" ca="1" si="262"/>
        <v>#VALUE!</v>
      </c>
      <c r="BD218" s="512">
        <v>5</v>
      </c>
      <c r="BE218" s="512" t="s">
        <v>2274</v>
      </c>
      <c r="BF218" s="529" t="s">
        <v>2452</v>
      </c>
      <c r="BG218" s="508" t="str">
        <f t="shared" ca="1" si="290"/>
        <v>T2部件</v>
      </c>
      <c r="BH218" s="565">
        <v>1.5</v>
      </c>
      <c r="BI218" s="615">
        <v>1.2E-2</v>
      </c>
      <c r="BJ218" s="170" t="e">
        <f t="shared" ca="1" si="285"/>
        <v>#VALUE!</v>
      </c>
      <c r="BK218" s="279" t="e">
        <f t="shared" ca="1" si="286"/>
        <v>#VALUE!</v>
      </c>
      <c r="BM218" s="512">
        <v>6</v>
      </c>
      <c r="BN218" s="527" t="s">
        <v>2263</v>
      </c>
      <c r="BO218" s="530" t="s">
        <v>2200</v>
      </c>
      <c r="BP218" s="508" t="str">
        <f t="shared" ca="1" si="282"/>
        <v>T2部件</v>
      </c>
      <c r="BQ218" s="632">
        <v>4</v>
      </c>
      <c r="BR218" s="615">
        <v>1.4999999999999999E-2</v>
      </c>
      <c r="BS218" s="170" t="e">
        <f t="shared" ca="1" si="287"/>
        <v>#VALUE!</v>
      </c>
      <c r="BT218" s="508" t="e">
        <f t="shared" ca="1" si="288"/>
        <v>#VALUE!</v>
      </c>
      <c r="BV218" s="396">
        <v>6</v>
      </c>
      <c r="BW218" s="527" t="s">
        <v>2286</v>
      </c>
      <c r="BX218" s="530" t="s">
        <v>2200</v>
      </c>
      <c r="BY218" s="523" t="str">
        <f t="shared" ca="1" si="266"/>
        <v>T3部件</v>
      </c>
      <c r="BZ218" s="665">
        <v>1</v>
      </c>
      <c r="CA218" s="523">
        <v>2.5899999999999999E-2</v>
      </c>
      <c r="CB218" s="170" t="e">
        <f t="shared" ca="1" si="267"/>
        <v>#VALUE!</v>
      </c>
      <c r="CC218" s="290" t="e">
        <f t="shared" ca="1" si="268"/>
        <v>#VALUE!</v>
      </c>
    </row>
    <row r="219" spans="2:82" x14ac:dyDescent="0.35">
      <c r="B219" s="512">
        <v>6</v>
      </c>
      <c r="C219" s="516" t="s">
        <v>2239</v>
      </c>
      <c r="D219" s="529" t="s">
        <v>2452</v>
      </c>
      <c r="E219" s="508">
        <f t="shared" ca="1" si="295"/>
        <v>10.125</v>
      </c>
      <c r="F219" s="508">
        <v>2</v>
      </c>
      <c r="G219" s="166">
        <v>7.6E-3</v>
      </c>
      <c r="H219" s="170">
        <f t="shared" ca="1" si="300"/>
        <v>2.2049382716049382E-2</v>
      </c>
      <c r="I219" s="508">
        <f t="shared" ca="1" si="301"/>
        <v>220</v>
      </c>
      <c r="J219" s="300"/>
      <c r="K219" s="512">
        <v>6</v>
      </c>
      <c r="L219" s="516" t="s">
        <v>2239</v>
      </c>
      <c r="M219" s="529" t="s">
        <v>2452</v>
      </c>
      <c r="N219" s="508">
        <f t="shared" ca="1" si="296"/>
        <v>10.125</v>
      </c>
      <c r="O219" s="565">
        <v>1</v>
      </c>
      <c r="P219" s="633">
        <v>9.1999999999999998E-3</v>
      </c>
      <c r="Q219" s="170">
        <f t="shared" ca="1" si="297"/>
        <v>4.2706172839506173E-2</v>
      </c>
      <c r="R219" s="279">
        <f t="shared" ca="1" si="298"/>
        <v>427</v>
      </c>
      <c r="T219" s="512">
        <v>6</v>
      </c>
      <c r="U219" s="516" t="s">
        <v>2239</v>
      </c>
      <c r="V219" s="529" t="s">
        <v>2452</v>
      </c>
      <c r="W219" s="508">
        <f t="shared" ca="1" si="299"/>
        <v>10.125</v>
      </c>
      <c r="X219" s="565">
        <v>1</v>
      </c>
      <c r="Y219" s="166">
        <v>9.1000000000000004E-3</v>
      </c>
      <c r="Z219" s="170">
        <f ca="1">Y219*U$4/W219/X219</f>
        <v>4.2691358024691359E-2</v>
      </c>
      <c r="AA219" s="279">
        <f ca="1">ROUND(Z219*10000,0)</f>
        <v>427</v>
      </c>
      <c r="AC219" s="512">
        <v>6</v>
      </c>
      <c r="AD219" s="516" t="s">
        <v>626</v>
      </c>
      <c r="AE219" s="512" t="s">
        <v>1211</v>
      </c>
      <c r="AF219" s="508">
        <f t="shared" ca="1" si="304"/>
        <v>74.8</v>
      </c>
      <c r="AG219" s="565">
        <v>2</v>
      </c>
      <c r="AH219" s="166">
        <f>宝箱设定!$X123</f>
        <v>8.7599999999999997E-2</v>
      </c>
      <c r="AI219" s="170">
        <f t="shared" ca="1" si="305"/>
        <v>3.7475935828877004E-2</v>
      </c>
      <c r="AJ219" s="279">
        <f t="shared" ca="1" si="306"/>
        <v>375</v>
      </c>
      <c r="AL219" s="595">
        <v>5</v>
      </c>
      <c r="AM219" s="601" t="s">
        <v>2878</v>
      </c>
      <c r="AN219" s="601" t="s">
        <v>2879</v>
      </c>
      <c r="AO219" s="594">
        <f t="shared" ref="AO219:AO222" ca="1" si="307">IF(AN219="部件",VLOOKUP(AL219,INDIRECT(AN219&amp;"价值"),MATCH(LEFT(AM219,2)&amp;"部件",INDIRECT(AN219&amp;"价值标头"),0),FALSE),IF(AN219="加速道具",VLOOKUP(AM219,INDIRECT(AN219&amp;"价值"),MATCH("价格",INDIRECT(AN219&amp;"价值标头"),0),FALSE),VLOOKUP(AL219,INDIRECT(AN219&amp;"价值"),MATCH(AM219,INDIRECT(AN219&amp;"价值标头"),0),FALSE)))</f>
        <v>35</v>
      </c>
      <c r="AP219" s="594">
        <v>1</v>
      </c>
      <c r="AQ219" s="594">
        <v>8.0000000000000002E-3</v>
      </c>
      <c r="AR219" s="170">
        <f t="shared" ca="1" si="278"/>
        <v>2.2171428571428571E-2</v>
      </c>
      <c r="AS219" s="594">
        <f t="shared" ca="1" si="279"/>
        <v>222</v>
      </c>
      <c r="AU219" s="512">
        <v>5</v>
      </c>
      <c r="AV219" s="516" t="s">
        <v>2259</v>
      </c>
      <c r="AW219" s="529" t="s">
        <v>2452</v>
      </c>
      <c r="AX219" s="508" t="str">
        <f t="shared" ca="1" si="289"/>
        <v>T2部件</v>
      </c>
      <c r="AY219" s="615">
        <v>1</v>
      </c>
      <c r="AZ219" s="633">
        <v>1.0999999999999999E-2</v>
      </c>
      <c r="BA219" s="170" t="e">
        <f t="shared" ca="1" si="261"/>
        <v>#VALUE!</v>
      </c>
      <c r="BB219" s="508" t="e">
        <f t="shared" ca="1" si="262"/>
        <v>#VALUE!</v>
      </c>
      <c r="BD219" s="512">
        <v>5</v>
      </c>
      <c r="BE219" s="516" t="s">
        <v>2259</v>
      </c>
      <c r="BF219" s="529" t="s">
        <v>2452</v>
      </c>
      <c r="BG219" s="508" t="str">
        <f t="shared" ca="1" si="290"/>
        <v>T2部件</v>
      </c>
      <c r="BH219" s="565">
        <v>1.5</v>
      </c>
      <c r="BI219" s="615">
        <v>1.2E-2</v>
      </c>
      <c r="BJ219" s="170" t="e">
        <f t="shared" ref="BJ219:BJ227" ca="1" si="308">BI219*BE$4/BG219/BH219</f>
        <v>#VALUE!</v>
      </c>
      <c r="BK219" s="508" t="e">
        <f t="shared" ref="BK219:BK227" ca="1" si="309">ROUND(BJ219*10000,0)</f>
        <v>#VALUE!</v>
      </c>
      <c r="BM219" s="512">
        <v>6</v>
      </c>
      <c r="BN219" s="527" t="s">
        <v>2265</v>
      </c>
      <c r="BO219" s="530" t="s">
        <v>2200</v>
      </c>
      <c r="BP219" s="508" t="str">
        <f t="shared" ca="1" si="282"/>
        <v>T2部件</v>
      </c>
      <c r="BQ219" s="632">
        <v>4</v>
      </c>
      <c r="BR219" s="615">
        <v>1.4999999999999999E-2</v>
      </c>
      <c r="BS219" s="170" t="e">
        <f t="shared" ca="1" si="287"/>
        <v>#VALUE!</v>
      </c>
      <c r="BT219" s="508" t="e">
        <f t="shared" ca="1" si="288"/>
        <v>#VALUE!</v>
      </c>
      <c r="BV219" s="396">
        <v>6</v>
      </c>
      <c r="BW219" s="527" t="s">
        <v>2288</v>
      </c>
      <c r="BX219" s="530" t="s">
        <v>2200</v>
      </c>
      <c r="BY219" s="523" t="str">
        <f t="shared" ca="1" si="266"/>
        <v>T3部件</v>
      </c>
      <c r="BZ219" s="665">
        <v>1</v>
      </c>
      <c r="CA219" s="523">
        <v>2.5899999999999999E-2</v>
      </c>
      <c r="CB219" s="170" t="e">
        <f t="shared" ca="1" si="267"/>
        <v>#VALUE!</v>
      </c>
      <c r="CC219" s="290" t="e">
        <f t="shared" ca="1" si="268"/>
        <v>#VALUE!</v>
      </c>
    </row>
    <row r="220" spans="2:82" x14ac:dyDescent="0.35">
      <c r="B220" s="512">
        <v>6</v>
      </c>
      <c r="C220" s="516" t="s">
        <v>2242</v>
      </c>
      <c r="D220" s="529" t="s">
        <v>2452</v>
      </c>
      <c r="E220" s="508">
        <f t="shared" ca="1" si="295"/>
        <v>10.125</v>
      </c>
      <c r="F220" s="565">
        <v>2</v>
      </c>
      <c r="G220" s="166">
        <v>7.6E-3</v>
      </c>
      <c r="H220" s="170">
        <f t="shared" ca="1" si="300"/>
        <v>2.2049382716049382E-2</v>
      </c>
      <c r="I220" s="508">
        <f t="shared" ca="1" si="301"/>
        <v>220</v>
      </c>
      <c r="J220" s="300"/>
      <c r="K220" s="512">
        <v>6</v>
      </c>
      <c r="L220" s="516" t="s">
        <v>2242</v>
      </c>
      <c r="M220" s="529" t="s">
        <v>2452</v>
      </c>
      <c r="N220" s="508">
        <f t="shared" ca="1" si="296"/>
        <v>10.125</v>
      </c>
      <c r="O220" s="565">
        <v>1</v>
      </c>
      <c r="P220" s="633">
        <v>9.1999999999999998E-3</v>
      </c>
      <c r="Q220" s="170">
        <f t="shared" ca="1" si="297"/>
        <v>4.2706172839506173E-2</v>
      </c>
      <c r="R220" s="279">
        <f t="shared" ca="1" si="298"/>
        <v>427</v>
      </c>
      <c r="T220" s="512">
        <v>6</v>
      </c>
      <c r="U220" s="516" t="s">
        <v>2242</v>
      </c>
      <c r="V220" s="529" t="s">
        <v>2452</v>
      </c>
      <c r="W220" s="508">
        <f t="shared" ca="1" si="299"/>
        <v>10.125</v>
      </c>
      <c r="X220" s="565">
        <v>1</v>
      </c>
      <c r="Y220" s="166">
        <v>9.1000000000000004E-3</v>
      </c>
      <c r="Z220" s="170">
        <f ca="1">Y220*U$4/W220/X220</f>
        <v>4.2691358024691359E-2</v>
      </c>
      <c r="AA220" s="279">
        <f ca="1">ROUND(Z220*10000,0)</f>
        <v>427</v>
      </c>
      <c r="AC220" s="512">
        <v>6</v>
      </c>
      <c r="AD220" s="516" t="s">
        <v>631</v>
      </c>
      <c r="AE220" s="512" t="s">
        <v>1211</v>
      </c>
      <c r="AF220" s="508">
        <f t="shared" ca="1" si="304"/>
        <v>74.8</v>
      </c>
      <c r="AG220" s="565">
        <v>2</v>
      </c>
      <c r="AH220" s="166">
        <f>宝箱设定!$X124</f>
        <v>8.7599999999999997E-2</v>
      </c>
      <c r="AI220" s="170">
        <f t="shared" ca="1" si="305"/>
        <v>3.7475935828877004E-2</v>
      </c>
      <c r="AJ220" s="279">
        <f t="shared" ca="1" si="306"/>
        <v>375</v>
      </c>
      <c r="AL220" s="595">
        <v>5</v>
      </c>
      <c r="AM220" s="601" t="s">
        <v>2880</v>
      </c>
      <c r="AN220" s="601" t="s">
        <v>2879</v>
      </c>
      <c r="AO220" s="594">
        <f t="shared" ca="1" si="307"/>
        <v>60</v>
      </c>
      <c r="AP220" s="594">
        <v>1</v>
      </c>
      <c r="AQ220" s="594">
        <v>8.9999999999999993E-3</v>
      </c>
      <c r="AR220" s="170">
        <f t="shared" ca="1" si="278"/>
        <v>1.4549999999999999E-2</v>
      </c>
      <c r="AS220" s="594">
        <f t="shared" ca="1" si="279"/>
        <v>146</v>
      </c>
      <c r="AU220" s="512">
        <v>5</v>
      </c>
      <c r="AV220" s="516" t="s">
        <v>2261</v>
      </c>
      <c r="AW220" s="529" t="s">
        <v>2452</v>
      </c>
      <c r="AX220" s="508" t="str">
        <f t="shared" ca="1" si="289"/>
        <v>T2部件</v>
      </c>
      <c r="AY220" s="615">
        <v>1</v>
      </c>
      <c r="AZ220" s="633">
        <v>1.0999999999999999E-2</v>
      </c>
      <c r="BA220" s="170" t="e">
        <f t="shared" ca="1" si="261"/>
        <v>#VALUE!</v>
      </c>
      <c r="BB220" s="508" t="e">
        <f t="shared" ca="1" si="262"/>
        <v>#VALUE!</v>
      </c>
      <c r="BD220" s="512">
        <v>5</v>
      </c>
      <c r="BE220" s="516" t="s">
        <v>2261</v>
      </c>
      <c r="BF220" s="529" t="s">
        <v>2452</v>
      </c>
      <c r="BG220" s="508" t="str">
        <f t="shared" ca="1" si="290"/>
        <v>T2部件</v>
      </c>
      <c r="BH220" s="565">
        <v>1.5</v>
      </c>
      <c r="BI220" s="615">
        <v>1.0999999999999999E-2</v>
      </c>
      <c r="BJ220" s="170" t="e">
        <f t="shared" ca="1" si="308"/>
        <v>#VALUE!</v>
      </c>
      <c r="BK220" s="508" t="e">
        <f t="shared" ca="1" si="309"/>
        <v>#VALUE!</v>
      </c>
      <c r="BM220" s="512">
        <v>6</v>
      </c>
      <c r="BN220" s="527" t="s">
        <v>2267</v>
      </c>
      <c r="BO220" s="530" t="s">
        <v>2200</v>
      </c>
      <c r="BP220" s="508" t="str">
        <f t="shared" ca="1" si="282"/>
        <v>T2部件</v>
      </c>
      <c r="BQ220" s="632">
        <v>4</v>
      </c>
      <c r="BR220" s="615">
        <v>1.4999999999999999E-2</v>
      </c>
      <c r="BS220" s="170" t="e">
        <f t="shared" ca="1" si="287"/>
        <v>#VALUE!</v>
      </c>
      <c r="BT220" s="508" t="e">
        <f t="shared" ca="1" si="288"/>
        <v>#VALUE!</v>
      </c>
      <c r="BV220" s="396">
        <v>6</v>
      </c>
      <c r="BW220" s="525" t="s">
        <v>2290</v>
      </c>
      <c r="BX220" s="530" t="s">
        <v>2200</v>
      </c>
      <c r="BY220" s="523" t="str">
        <f t="shared" ca="1" si="266"/>
        <v>T3部件</v>
      </c>
      <c r="BZ220" s="665">
        <v>1</v>
      </c>
      <c r="CA220" s="523">
        <v>2.5899999999999999E-2</v>
      </c>
      <c r="CB220" s="170" t="e">
        <f t="shared" ca="1" si="267"/>
        <v>#VALUE!</v>
      </c>
      <c r="CC220" s="290" t="e">
        <f t="shared" ca="1" si="268"/>
        <v>#VALUE!</v>
      </c>
    </row>
    <row r="221" spans="2:82" x14ac:dyDescent="0.35">
      <c r="B221" s="512">
        <v>6</v>
      </c>
      <c r="C221" s="516" t="s">
        <v>2244</v>
      </c>
      <c r="D221" s="529" t="s">
        <v>2452</v>
      </c>
      <c r="E221" s="508">
        <f t="shared" ca="1" si="295"/>
        <v>10.125</v>
      </c>
      <c r="F221" s="565">
        <v>2</v>
      </c>
      <c r="G221" s="166">
        <v>7.6E-3</v>
      </c>
      <c r="H221" s="170">
        <f t="shared" ca="1" si="300"/>
        <v>2.2049382716049382E-2</v>
      </c>
      <c r="I221" s="508">
        <f t="shared" ca="1" si="301"/>
        <v>220</v>
      </c>
      <c r="J221" s="300"/>
      <c r="K221" s="512">
        <v>6</v>
      </c>
      <c r="L221" s="516" t="s">
        <v>2244</v>
      </c>
      <c r="M221" s="529" t="s">
        <v>2452</v>
      </c>
      <c r="N221" s="508">
        <f t="shared" ca="1" si="296"/>
        <v>10.125</v>
      </c>
      <c r="O221" s="565">
        <v>1</v>
      </c>
      <c r="P221" s="633">
        <v>9.1999999999999998E-3</v>
      </c>
      <c r="Q221" s="170">
        <f t="shared" ca="1" si="297"/>
        <v>4.2706172839506173E-2</v>
      </c>
      <c r="R221" s="279">
        <f t="shared" ca="1" si="298"/>
        <v>427</v>
      </c>
      <c r="T221" s="512">
        <v>6</v>
      </c>
      <c r="U221" s="516" t="s">
        <v>2244</v>
      </c>
      <c r="V221" s="529" t="s">
        <v>2452</v>
      </c>
      <c r="W221" s="508">
        <f t="shared" ca="1" si="299"/>
        <v>10.125</v>
      </c>
      <c r="X221" s="565">
        <v>1</v>
      </c>
      <c r="Y221" s="166">
        <v>9.1000000000000004E-3</v>
      </c>
      <c r="Z221" s="170">
        <f ca="1">Y221*U$4/W221/X221</f>
        <v>4.2691358024691359E-2</v>
      </c>
      <c r="AA221" s="279">
        <f ca="1">ROUND(Z221*10000,0)</f>
        <v>427</v>
      </c>
      <c r="AC221" s="512">
        <v>6</v>
      </c>
      <c r="AD221" s="516" t="s">
        <v>618</v>
      </c>
      <c r="AE221" s="512" t="s">
        <v>1211</v>
      </c>
      <c r="AF221" s="508">
        <f t="shared" ca="1" si="304"/>
        <v>56.4</v>
      </c>
      <c r="AG221" s="408">
        <v>1.5</v>
      </c>
      <c r="AH221" s="166">
        <f>宝箱设定!$X125</f>
        <v>7.2999999999999995E-2</v>
      </c>
      <c r="AI221" s="170">
        <f t="shared" ca="1" si="305"/>
        <v>5.5224586288416068E-2</v>
      </c>
      <c r="AJ221" s="408">
        <f t="shared" ca="1" si="306"/>
        <v>552</v>
      </c>
      <c r="AL221" s="595">
        <v>5</v>
      </c>
      <c r="AM221" s="601" t="s">
        <v>2881</v>
      </c>
      <c r="AN221" s="601" t="s">
        <v>2879</v>
      </c>
      <c r="AO221" s="594">
        <f t="shared" ca="1" si="307"/>
        <v>70</v>
      </c>
      <c r="AP221" s="594">
        <v>1</v>
      </c>
      <c r="AQ221" s="594">
        <v>0.01</v>
      </c>
      <c r="AR221" s="170">
        <f t="shared" ca="1" si="278"/>
        <v>1.3857142857142856E-2</v>
      </c>
      <c r="AS221" s="594">
        <f t="shared" ca="1" si="279"/>
        <v>139</v>
      </c>
      <c r="AU221" s="512">
        <v>5</v>
      </c>
      <c r="AV221" s="516" t="s">
        <v>2263</v>
      </c>
      <c r="AW221" s="529" t="s">
        <v>2452</v>
      </c>
      <c r="AX221" s="508" t="str">
        <f t="shared" ca="1" si="289"/>
        <v>T2部件</v>
      </c>
      <c r="AY221" s="615">
        <v>1</v>
      </c>
      <c r="AZ221" s="633">
        <v>1.0999999999999999E-2</v>
      </c>
      <c r="BA221" s="170" t="e">
        <f t="shared" ca="1" si="261"/>
        <v>#VALUE!</v>
      </c>
      <c r="BB221" s="508" t="e">
        <f t="shared" ca="1" si="262"/>
        <v>#VALUE!</v>
      </c>
      <c r="BD221" s="512">
        <v>5</v>
      </c>
      <c r="BE221" s="516" t="s">
        <v>2263</v>
      </c>
      <c r="BF221" s="529" t="s">
        <v>2452</v>
      </c>
      <c r="BG221" s="508" t="str">
        <f t="shared" ca="1" si="290"/>
        <v>T2部件</v>
      </c>
      <c r="BH221" s="565">
        <v>1.5</v>
      </c>
      <c r="BI221" s="615">
        <v>1.0999999999999999E-2</v>
      </c>
      <c r="BJ221" s="170" t="e">
        <f t="shared" ca="1" si="308"/>
        <v>#VALUE!</v>
      </c>
      <c r="BK221" s="508" t="e">
        <f t="shared" ca="1" si="309"/>
        <v>#VALUE!</v>
      </c>
      <c r="BM221" s="512">
        <v>6</v>
      </c>
      <c r="BN221" s="527" t="s">
        <v>2269</v>
      </c>
      <c r="BO221" s="530" t="s">
        <v>2200</v>
      </c>
      <c r="BP221" s="508" t="str">
        <f t="shared" ca="1" si="282"/>
        <v>T2部件</v>
      </c>
      <c r="BQ221" s="632">
        <v>4</v>
      </c>
      <c r="BR221" s="615">
        <v>1.4999999999999999E-2</v>
      </c>
      <c r="BS221" s="170" t="e">
        <f t="shared" ca="1" si="287"/>
        <v>#VALUE!</v>
      </c>
      <c r="BT221" s="508" t="e">
        <f t="shared" ca="1" si="288"/>
        <v>#VALUE!</v>
      </c>
      <c r="BV221" s="396">
        <v>6</v>
      </c>
      <c r="BW221" s="525" t="s">
        <v>2292</v>
      </c>
      <c r="BX221" s="530" t="s">
        <v>2200</v>
      </c>
      <c r="BY221" s="523" t="str">
        <f t="shared" ca="1" si="266"/>
        <v>T3部件</v>
      </c>
      <c r="BZ221" s="665">
        <v>1</v>
      </c>
      <c r="CA221" s="523">
        <v>2.5999999999999999E-2</v>
      </c>
      <c r="CB221" s="170" t="e">
        <f t="shared" ca="1" si="267"/>
        <v>#VALUE!</v>
      </c>
      <c r="CC221" s="290" t="e">
        <f t="shared" ca="1" si="268"/>
        <v>#VALUE!</v>
      </c>
    </row>
    <row r="222" spans="2:82" x14ac:dyDescent="0.35">
      <c r="B222" s="512">
        <v>6</v>
      </c>
      <c r="C222" s="516" t="s">
        <v>2246</v>
      </c>
      <c r="D222" s="529" t="s">
        <v>2452</v>
      </c>
      <c r="E222" s="508">
        <f t="shared" ca="1" si="295"/>
        <v>10.125</v>
      </c>
      <c r="F222" s="565">
        <v>2</v>
      </c>
      <c r="G222" s="166">
        <v>7.6E-3</v>
      </c>
      <c r="H222" s="170">
        <f t="shared" ca="1" si="300"/>
        <v>2.2049382716049382E-2</v>
      </c>
      <c r="I222" s="508">
        <f t="shared" ca="1" si="301"/>
        <v>220</v>
      </c>
      <c r="J222" s="300"/>
      <c r="K222" s="512">
        <v>6</v>
      </c>
      <c r="L222" s="516" t="s">
        <v>2246</v>
      </c>
      <c r="M222" s="529" t="s">
        <v>2452</v>
      </c>
      <c r="N222" s="508">
        <f t="shared" ca="1" si="296"/>
        <v>10.125</v>
      </c>
      <c r="O222" s="565">
        <v>1</v>
      </c>
      <c r="P222" s="633">
        <v>9.1999999999999998E-3</v>
      </c>
      <c r="Q222" s="170">
        <f t="shared" ref="Q222:Q260" ca="1" si="310">P222*L$4/N222/O222</f>
        <v>4.2706172839506173E-2</v>
      </c>
      <c r="R222" s="508">
        <f t="shared" ref="R222:R260" ca="1" si="311">ROUND(Q222*10000,0)</f>
        <v>427</v>
      </c>
      <c r="T222" s="512">
        <v>6</v>
      </c>
      <c r="U222" s="516" t="s">
        <v>2246</v>
      </c>
      <c r="V222" s="529" t="s">
        <v>2452</v>
      </c>
      <c r="W222" s="508">
        <f t="shared" ca="1" si="299"/>
        <v>10.125</v>
      </c>
      <c r="X222" s="565">
        <v>1</v>
      </c>
      <c r="Y222" s="166">
        <v>9.1000000000000004E-3</v>
      </c>
      <c r="Z222" s="170">
        <f t="shared" ref="Z222:Z260" ca="1" si="312">Y222*U$4/W222/X222</f>
        <v>4.2691358024691359E-2</v>
      </c>
      <c r="AA222" s="508">
        <f t="shared" ref="AA222:AA260" ca="1" si="313">ROUND(Z222*10000,0)</f>
        <v>427</v>
      </c>
      <c r="AC222" s="512">
        <v>6</v>
      </c>
      <c r="AD222" s="516" t="s">
        <v>627</v>
      </c>
      <c r="AE222" s="512" t="s">
        <v>1211</v>
      </c>
      <c r="AF222" s="508">
        <f t="shared" ca="1" si="304"/>
        <v>56.4</v>
      </c>
      <c r="AG222" s="565">
        <v>1.5</v>
      </c>
      <c r="AH222" s="166">
        <f>宝箱设定!$X126</f>
        <v>7.2999999999999995E-2</v>
      </c>
      <c r="AI222" s="170">
        <f t="shared" ca="1" si="305"/>
        <v>5.5224586288416068E-2</v>
      </c>
      <c r="AJ222" s="408">
        <f t="shared" ca="1" si="306"/>
        <v>552</v>
      </c>
      <c r="AL222" s="595">
        <v>5</v>
      </c>
      <c r="AM222" s="601" t="s">
        <v>2882</v>
      </c>
      <c r="AN222" s="601" t="s">
        <v>2879</v>
      </c>
      <c r="AO222" s="594">
        <f t="shared" ca="1" si="307"/>
        <v>125</v>
      </c>
      <c r="AP222" s="594">
        <v>1</v>
      </c>
      <c r="AQ222" s="594">
        <v>0.01</v>
      </c>
      <c r="AR222" s="170">
        <f t="shared" ca="1" si="278"/>
        <v>7.7599999999999995E-3</v>
      </c>
      <c r="AS222" s="594">
        <f t="shared" ca="1" si="279"/>
        <v>78</v>
      </c>
      <c r="AU222" s="512">
        <v>5</v>
      </c>
      <c r="AV222" s="516" t="s">
        <v>2265</v>
      </c>
      <c r="AW222" s="529" t="s">
        <v>2452</v>
      </c>
      <c r="AX222" s="508" t="str">
        <f t="shared" ca="1" si="289"/>
        <v>T2部件</v>
      </c>
      <c r="AY222" s="615">
        <v>1</v>
      </c>
      <c r="AZ222" s="633">
        <v>1.0999999999999999E-2</v>
      </c>
      <c r="BA222" s="170" t="e">
        <f t="shared" ca="1" si="261"/>
        <v>#VALUE!</v>
      </c>
      <c r="BB222" s="508" t="e">
        <f t="shared" ca="1" si="262"/>
        <v>#VALUE!</v>
      </c>
      <c r="BD222" s="512">
        <v>5</v>
      </c>
      <c r="BE222" s="516" t="s">
        <v>2265</v>
      </c>
      <c r="BF222" s="529" t="s">
        <v>2452</v>
      </c>
      <c r="BG222" s="508" t="str">
        <f t="shared" ca="1" si="290"/>
        <v>T2部件</v>
      </c>
      <c r="BH222" s="565">
        <v>1.5</v>
      </c>
      <c r="BI222" s="615">
        <v>1.0999999999999999E-2</v>
      </c>
      <c r="BJ222" s="170" t="e">
        <f t="shared" ca="1" si="308"/>
        <v>#VALUE!</v>
      </c>
      <c r="BK222" s="508" t="e">
        <f t="shared" ca="1" si="309"/>
        <v>#VALUE!</v>
      </c>
      <c r="BM222" s="512">
        <v>6</v>
      </c>
      <c r="BN222" s="527" t="s">
        <v>2271</v>
      </c>
      <c r="BO222" s="530" t="s">
        <v>2200</v>
      </c>
      <c r="BP222" s="508" t="str">
        <f t="shared" ca="1" si="282"/>
        <v>T2部件</v>
      </c>
      <c r="BQ222" s="632">
        <v>4</v>
      </c>
      <c r="BR222" s="615">
        <v>1.4999999999999999E-2</v>
      </c>
      <c r="BS222" s="170" t="e">
        <f t="shared" ca="1" si="287"/>
        <v>#VALUE!</v>
      </c>
      <c r="BT222" s="508" t="e">
        <f t="shared" ca="1" si="288"/>
        <v>#VALUE!</v>
      </c>
    </row>
    <row r="223" spans="2:82" x14ac:dyDescent="0.35">
      <c r="B223" s="512">
        <v>6</v>
      </c>
      <c r="C223" s="516" t="s">
        <v>2248</v>
      </c>
      <c r="D223" s="529" t="s">
        <v>2452</v>
      </c>
      <c r="E223" s="508">
        <f t="shared" ca="1" si="295"/>
        <v>10.125</v>
      </c>
      <c r="F223" s="565">
        <v>2</v>
      </c>
      <c r="G223" s="166">
        <v>7.6E-3</v>
      </c>
      <c r="H223" s="170">
        <f t="shared" ca="1" si="300"/>
        <v>2.2049382716049382E-2</v>
      </c>
      <c r="I223" s="508">
        <f t="shared" ca="1" si="301"/>
        <v>220</v>
      </c>
      <c r="J223" s="300"/>
      <c r="K223" s="512">
        <v>6</v>
      </c>
      <c r="L223" s="516" t="s">
        <v>2248</v>
      </c>
      <c r="M223" s="529" t="s">
        <v>2452</v>
      </c>
      <c r="N223" s="508">
        <f t="shared" ca="1" si="296"/>
        <v>10.125</v>
      </c>
      <c r="O223" s="565">
        <v>1</v>
      </c>
      <c r="P223" s="633">
        <v>9.1999999999999998E-3</v>
      </c>
      <c r="Q223" s="170">
        <f t="shared" ca="1" si="310"/>
        <v>4.2706172839506173E-2</v>
      </c>
      <c r="R223" s="508">
        <f t="shared" ca="1" si="311"/>
        <v>427</v>
      </c>
      <c r="T223" s="512">
        <v>6</v>
      </c>
      <c r="U223" s="516" t="s">
        <v>2248</v>
      </c>
      <c r="V223" s="529" t="s">
        <v>2452</v>
      </c>
      <c r="W223" s="508">
        <f t="shared" ca="1" si="299"/>
        <v>10.125</v>
      </c>
      <c r="X223" s="565">
        <v>1</v>
      </c>
      <c r="Y223" s="166">
        <v>9.1000000000000004E-3</v>
      </c>
      <c r="Z223" s="170">
        <f t="shared" ca="1" si="312"/>
        <v>4.2691358024691359E-2</v>
      </c>
      <c r="AA223" s="508">
        <f t="shared" ca="1" si="313"/>
        <v>427</v>
      </c>
      <c r="AC223" s="512">
        <v>6</v>
      </c>
      <c r="AD223" s="516" t="s">
        <v>628</v>
      </c>
      <c r="AE223" s="512" t="s">
        <v>1211</v>
      </c>
      <c r="AF223" s="508">
        <f t="shared" ca="1" si="304"/>
        <v>56.4</v>
      </c>
      <c r="AG223" s="565">
        <v>1.5</v>
      </c>
      <c r="AH223" s="166">
        <f>宝箱设定!$X127</f>
        <v>7.2999999999999995E-2</v>
      </c>
      <c r="AI223" s="170">
        <f t="shared" ca="1" si="305"/>
        <v>5.5224586288416068E-2</v>
      </c>
      <c r="AJ223" s="408">
        <f t="shared" ca="1" si="306"/>
        <v>552</v>
      </c>
      <c r="AL223" s="276"/>
      <c r="AM223" s="604"/>
      <c r="AN223" s="604"/>
      <c r="AO223" s="157"/>
      <c r="AP223" s="157"/>
      <c r="AQ223" s="157"/>
      <c r="AR223" s="538"/>
      <c r="AS223" s="157"/>
      <c r="AU223" s="512">
        <v>5</v>
      </c>
      <c r="AV223" s="516" t="s">
        <v>2267</v>
      </c>
      <c r="AW223" s="529" t="s">
        <v>2452</v>
      </c>
      <c r="AX223" s="508" t="str">
        <f t="shared" ca="1" si="289"/>
        <v>T2部件</v>
      </c>
      <c r="AY223" s="615">
        <v>1</v>
      </c>
      <c r="AZ223" s="633">
        <v>1.0999999999999999E-2</v>
      </c>
      <c r="BA223" s="170" t="e">
        <f t="shared" ca="1" si="261"/>
        <v>#VALUE!</v>
      </c>
      <c r="BB223" s="508" t="e">
        <f t="shared" ca="1" si="262"/>
        <v>#VALUE!</v>
      </c>
      <c r="BD223" s="512">
        <v>5</v>
      </c>
      <c r="BE223" s="516" t="s">
        <v>2267</v>
      </c>
      <c r="BF223" s="529" t="s">
        <v>2452</v>
      </c>
      <c r="BG223" s="508" t="str">
        <f t="shared" ca="1" si="290"/>
        <v>T2部件</v>
      </c>
      <c r="BH223" s="565">
        <v>1.5</v>
      </c>
      <c r="BI223" s="615">
        <v>1.0999999999999999E-2</v>
      </c>
      <c r="BJ223" s="170" t="e">
        <f t="shared" ca="1" si="308"/>
        <v>#VALUE!</v>
      </c>
      <c r="BK223" s="508" t="e">
        <f t="shared" ca="1" si="309"/>
        <v>#VALUE!</v>
      </c>
      <c r="BM223" s="512">
        <v>6</v>
      </c>
      <c r="BN223" s="525" t="s">
        <v>2273</v>
      </c>
      <c r="BO223" s="530" t="s">
        <v>2200</v>
      </c>
      <c r="BP223" s="508" t="str">
        <f t="shared" ca="1" si="282"/>
        <v>T2部件</v>
      </c>
      <c r="BQ223" s="632">
        <v>4</v>
      </c>
      <c r="BR223" s="615">
        <v>1.4999999999999999E-2</v>
      </c>
      <c r="BS223" s="170" t="e">
        <f t="shared" ca="1" si="287"/>
        <v>#VALUE!</v>
      </c>
      <c r="BT223" s="508" t="e">
        <f t="shared" ca="1" si="288"/>
        <v>#VALUE!</v>
      </c>
    </row>
    <row r="224" spans="2:82" x14ac:dyDescent="0.35">
      <c r="B224" s="512">
        <v>6</v>
      </c>
      <c r="C224" s="516" t="s">
        <v>2250</v>
      </c>
      <c r="D224" s="529" t="s">
        <v>2452</v>
      </c>
      <c r="E224" s="508">
        <f t="shared" ca="1" si="295"/>
        <v>10.125</v>
      </c>
      <c r="F224" s="565">
        <v>2</v>
      </c>
      <c r="G224" s="166">
        <v>7.6E-3</v>
      </c>
      <c r="H224" s="170">
        <f t="shared" ca="1" si="300"/>
        <v>2.2049382716049382E-2</v>
      </c>
      <c r="I224" s="508">
        <f t="shared" ca="1" si="301"/>
        <v>220</v>
      </c>
      <c r="J224" s="300"/>
      <c r="K224" s="512">
        <v>6</v>
      </c>
      <c r="L224" s="516" t="s">
        <v>2250</v>
      </c>
      <c r="M224" s="529" t="s">
        <v>2452</v>
      </c>
      <c r="N224" s="508">
        <f t="shared" ca="1" si="296"/>
        <v>10.125</v>
      </c>
      <c r="O224" s="565">
        <v>1</v>
      </c>
      <c r="P224" s="633">
        <v>9.1999999999999998E-3</v>
      </c>
      <c r="Q224" s="170">
        <f t="shared" ca="1" si="310"/>
        <v>4.2706172839506173E-2</v>
      </c>
      <c r="R224" s="508">
        <f t="shared" ca="1" si="311"/>
        <v>427</v>
      </c>
      <c r="T224" s="512">
        <v>6</v>
      </c>
      <c r="U224" s="516" t="s">
        <v>2250</v>
      </c>
      <c r="V224" s="529" t="s">
        <v>2452</v>
      </c>
      <c r="W224" s="508">
        <f t="shared" ca="1" si="299"/>
        <v>10.125</v>
      </c>
      <c r="X224" s="565">
        <v>1</v>
      </c>
      <c r="Y224" s="166">
        <v>9.1000000000000004E-3</v>
      </c>
      <c r="Z224" s="170">
        <f t="shared" ca="1" si="312"/>
        <v>4.2691358024691359E-2</v>
      </c>
      <c r="AA224" s="508">
        <f t="shared" ca="1" si="313"/>
        <v>427</v>
      </c>
      <c r="AC224" s="512">
        <v>6</v>
      </c>
      <c r="AD224" s="516" t="s">
        <v>619</v>
      </c>
      <c r="AE224" s="512" t="s">
        <v>1211</v>
      </c>
      <c r="AF224" s="508">
        <f t="shared" ca="1" si="304"/>
        <v>72</v>
      </c>
      <c r="AG224" s="408">
        <v>1.5</v>
      </c>
      <c r="AH224" s="166">
        <f>宝箱设定!$X128</f>
        <v>5.8400000000000001E-2</v>
      </c>
      <c r="AI224" s="170">
        <f t="shared" ca="1" si="305"/>
        <v>3.4607407407407406E-2</v>
      </c>
      <c r="AJ224" s="408">
        <f t="shared" ca="1" si="306"/>
        <v>346</v>
      </c>
      <c r="AU224" s="512">
        <v>5</v>
      </c>
      <c r="AV224" s="516" t="s">
        <v>2269</v>
      </c>
      <c r="AW224" s="529" t="s">
        <v>2452</v>
      </c>
      <c r="AX224" s="508" t="str">
        <f t="shared" ca="1" si="289"/>
        <v>T2部件</v>
      </c>
      <c r="AY224" s="615">
        <v>1</v>
      </c>
      <c r="AZ224" s="633">
        <v>1.0999999999999999E-2</v>
      </c>
      <c r="BA224" s="170" t="e">
        <f t="shared" ca="1" si="261"/>
        <v>#VALUE!</v>
      </c>
      <c r="BB224" s="508" t="e">
        <f t="shared" ca="1" si="262"/>
        <v>#VALUE!</v>
      </c>
      <c r="BD224" s="512">
        <v>5</v>
      </c>
      <c r="BE224" s="516" t="s">
        <v>2269</v>
      </c>
      <c r="BF224" s="529" t="s">
        <v>2452</v>
      </c>
      <c r="BG224" s="508" t="str">
        <f t="shared" ca="1" si="290"/>
        <v>T2部件</v>
      </c>
      <c r="BH224" s="565">
        <v>1.5</v>
      </c>
      <c r="BI224" s="615">
        <v>1.0999999999999999E-2</v>
      </c>
      <c r="BJ224" s="170" t="e">
        <f t="shared" ca="1" si="308"/>
        <v>#VALUE!</v>
      </c>
      <c r="BK224" s="508" t="e">
        <f t="shared" ca="1" si="309"/>
        <v>#VALUE!</v>
      </c>
      <c r="BM224" s="512">
        <v>6</v>
      </c>
      <c r="BN224" s="525" t="s">
        <v>2275</v>
      </c>
      <c r="BO224" s="530" t="s">
        <v>2200</v>
      </c>
      <c r="BP224" s="508" t="str">
        <f t="shared" ca="1" si="282"/>
        <v>T2部件</v>
      </c>
      <c r="BQ224" s="632">
        <v>4</v>
      </c>
      <c r="BR224" s="615">
        <v>1.4999999999999999E-2</v>
      </c>
      <c r="BS224" s="170" t="e">
        <f t="shared" ca="1" si="287"/>
        <v>#VALUE!</v>
      </c>
      <c r="BT224" s="508" t="e">
        <f t="shared" ca="1" si="288"/>
        <v>#VALUE!</v>
      </c>
      <c r="BV224" s="293" t="s">
        <v>597</v>
      </c>
      <c r="BW224" s="293" t="s">
        <v>1225</v>
      </c>
      <c r="BX224" s="291" t="s">
        <v>917</v>
      </c>
      <c r="BY224" s="166" t="s">
        <v>920</v>
      </c>
      <c r="BZ224" s="294" t="s">
        <v>967</v>
      </c>
      <c r="CA224" s="166" t="s">
        <v>854</v>
      </c>
      <c r="CB224" s="166" t="s">
        <v>926</v>
      </c>
      <c r="CC224" s="292" t="s">
        <v>927</v>
      </c>
      <c r="CD224" s="300" t="e">
        <f ca="1">SUM(CC225:CC278)</f>
        <v>#VALUE!</v>
      </c>
    </row>
    <row r="225" spans="2:81" x14ac:dyDescent="0.35">
      <c r="B225" s="512">
        <v>6</v>
      </c>
      <c r="C225" s="516" t="s">
        <v>2252</v>
      </c>
      <c r="D225" s="529" t="s">
        <v>2452</v>
      </c>
      <c r="E225" s="508">
        <f t="shared" ca="1" si="295"/>
        <v>10.125</v>
      </c>
      <c r="F225" s="565">
        <v>2</v>
      </c>
      <c r="G225" s="166">
        <v>7.6E-3</v>
      </c>
      <c r="H225" s="170">
        <f t="shared" ca="1" si="300"/>
        <v>2.2049382716049382E-2</v>
      </c>
      <c r="I225" s="508">
        <f t="shared" ca="1" si="301"/>
        <v>220</v>
      </c>
      <c r="J225" s="300"/>
      <c r="K225" s="512">
        <v>6</v>
      </c>
      <c r="L225" s="516" t="s">
        <v>2252</v>
      </c>
      <c r="M225" s="529" t="s">
        <v>2452</v>
      </c>
      <c r="N225" s="508">
        <f t="shared" ca="1" si="296"/>
        <v>10.125</v>
      </c>
      <c r="O225" s="565">
        <v>1</v>
      </c>
      <c r="P225" s="633">
        <v>9.1999999999999998E-3</v>
      </c>
      <c r="Q225" s="170">
        <f t="shared" ca="1" si="310"/>
        <v>4.2706172839506173E-2</v>
      </c>
      <c r="R225" s="508">
        <f t="shared" ca="1" si="311"/>
        <v>427</v>
      </c>
      <c r="T225" s="512">
        <v>6</v>
      </c>
      <c r="U225" s="516" t="s">
        <v>2252</v>
      </c>
      <c r="V225" s="529" t="s">
        <v>2452</v>
      </c>
      <c r="W225" s="508">
        <f t="shared" ca="1" si="299"/>
        <v>10.125</v>
      </c>
      <c r="X225" s="565">
        <v>1</v>
      </c>
      <c r="Y225" s="166">
        <v>9.1000000000000004E-3</v>
      </c>
      <c r="Z225" s="170">
        <f t="shared" ca="1" si="312"/>
        <v>4.2691358024691359E-2</v>
      </c>
      <c r="AA225" s="508">
        <f t="shared" ca="1" si="313"/>
        <v>427</v>
      </c>
      <c r="AC225" s="512">
        <v>6</v>
      </c>
      <c r="AD225" s="516" t="s">
        <v>718</v>
      </c>
      <c r="AE225" s="512" t="s">
        <v>1211</v>
      </c>
      <c r="AF225" s="508">
        <f t="shared" ca="1" si="304"/>
        <v>72</v>
      </c>
      <c r="AG225" s="394">
        <v>1.5</v>
      </c>
      <c r="AH225" s="166">
        <f>宝箱设定!$X129</f>
        <v>5.8400000000000001E-2</v>
      </c>
      <c r="AI225" s="170">
        <f t="shared" ca="1" si="305"/>
        <v>3.4607407407407406E-2</v>
      </c>
      <c r="AJ225" s="279">
        <f t="shared" ca="1" si="306"/>
        <v>346</v>
      </c>
      <c r="AL225" s="512" t="s">
        <v>597</v>
      </c>
      <c r="AM225" s="512" t="s">
        <v>1225</v>
      </c>
      <c r="AN225" s="513" t="s">
        <v>917</v>
      </c>
      <c r="AO225" s="166" t="s">
        <v>920</v>
      </c>
      <c r="AP225" s="285" t="s">
        <v>967</v>
      </c>
      <c r="AQ225" s="166" t="s">
        <v>854</v>
      </c>
      <c r="AR225" s="166" t="s">
        <v>926</v>
      </c>
      <c r="AS225" s="281" t="s">
        <v>927</v>
      </c>
      <c r="AT225" s="300" t="e">
        <f ca="1">SUM(AS226:AS283)</f>
        <v>#VALUE!</v>
      </c>
      <c r="AU225" s="512">
        <v>5</v>
      </c>
      <c r="AV225" s="516" t="s">
        <v>2271</v>
      </c>
      <c r="AW225" s="529" t="s">
        <v>2452</v>
      </c>
      <c r="AX225" s="508" t="str">
        <f t="shared" ca="1" si="289"/>
        <v>T2部件</v>
      </c>
      <c r="AY225" s="615">
        <v>1</v>
      </c>
      <c r="AZ225" s="633">
        <v>1.0999999999999999E-2</v>
      </c>
      <c r="BA225" s="170" t="e">
        <f t="shared" ca="1" si="261"/>
        <v>#VALUE!</v>
      </c>
      <c r="BB225" s="508" t="e">
        <f t="shared" ca="1" si="262"/>
        <v>#VALUE!</v>
      </c>
      <c r="BD225" s="512">
        <v>5</v>
      </c>
      <c r="BE225" s="516" t="s">
        <v>2271</v>
      </c>
      <c r="BF225" s="529" t="s">
        <v>2452</v>
      </c>
      <c r="BG225" s="508" t="str">
        <f t="shared" ca="1" si="290"/>
        <v>T2部件</v>
      </c>
      <c r="BH225" s="565">
        <v>1.5</v>
      </c>
      <c r="BI225" s="615">
        <v>1.0999999999999999E-2</v>
      </c>
      <c r="BJ225" s="170" t="e">
        <f t="shared" ca="1" si="308"/>
        <v>#VALUE!</v>
      </c>
      <c r="BK225" s="508" t="e">
        <f t="shared" ca="1" si="309"/>
        <v>#VALUE!</v>
      </c>
      <c r="BM225" s="512">
        <v>6</v>
      </c>
      <c r="BN225" s="527" t="s">
        <v>2276</v>
      </c>
      <c r="BO225" s="530" t="s">
        <v>2200</v>
      </c>
      <c r="BP225" s="508" t="str">
        <f t="shared" ca="1" si="282"/>
        <v>T3部件</v>
      </c>
      <c r="BQ225" s="508">
        <v>1</v>
      </c>
      <c r="BR225" s="600">
        <v>1.46E-2</v>
      </c>
      <c r="BS225" s="170" t="e">
        <f t="shared" ca="1" si="287"/>
        <v>#VALUE!</v>
      </c>
      <c r="BT225" s="508" t="e">
        <f t="shared" ca="1" si="288"/>
        <v>#VALUE!</v>
      </c>
      <c r="BV225" s="381">
        <v>7</v>
      </c>
      <c r="BW225" s="527" t="s">
        <v>2239</v>
      </c>
      <c r="BX225" s="530" t="s">
        <v>2200</v>
      </c>
      <c r="BY225" s="523">
        <f t="shared" ref="BY225:BY256" ca="1" si="314">IF(BX225="部件",VLOOKUP(BV225,INDIRECT(BX225&amp;"价值"),MATCH(LEFT(BW225,2)&amp;"部件",INDIRECT(BX225&amp;"价值标头"),0),FALSE),IF(BX225="加速道具",VLOOKUP(BW225,INDIRECT(BX225&amp;"价值"),MATCH("价格",INDIRECT(BX225&amp;"价值标头"),0),FALSE),VLOOKUP(BV225,INDIRECT(BX225&amp;"价值"),MATCH(BW225,INDIRECT(BX225&amp;"价值标头"),0),FALSE)))</f>
        <v>9.4499999999999993</v>
      </c>
      <c r="BZ225" s="662">
        <v>3</v>
      </c>
      <c r="CA225" s="523">
        <v>1.4999999999999999E-2</v>
      </c>
      <c r="CB225" s="170">
        <f t="shared" ref="CB225:CB278" ca="1" si="315">CA225*BW$4/BY225/BZ225</f>
        <v>2.6455026455026457E-2</v>
      </c>
      <c r="CC225" s="290">
        <f t="shared" ref="CC225:CC278" ca="1" si="316">ROUND(CB225*10000,0)</f>
        <v>265</v>
      </c>
    </row>
    <row r="226" spans="2:81" x14ac:dyDescent="0.35">
      <c r="B226" s="512">
        <v>6</v>
      </c>
      <c r="C226" s="512" t="s">
        <v>2254</v>
      </c>
      <c r="D226" s="529" t="s">
        <v>2452</v>
      </c>
      <c r="E226" s="508">
        <f t="shared" ca="1" si="295"/>
        <v>10.125</v>
      </c>
      <c r="F226" s="565">
        <v>2</v>
      </c>
      <c r="G226" s="166">
        <v>7.6E-3</v>
      </c>
      <c r="H226" s="170">
        <f t="shared" ca="1" si="300"/>
        <v>2.2049382716049382E-2</v>
      </c>
      <c r="I226" s="508">
        <f t="shared" ca="1" si="301"/>
        <v>220</v>
      </c>
      <c r="J226" s="300"/>
      <c r="K226" s="512">
        <v>6</v>
      </c>
      <c r="L226" s="512" t="s">
        <v>2254</v>
      </c>
      <c r="M226" s="529" t="s">
        <v>2452</v>
      </c>
      <c r="N226" s="508">
        <f t="shared" ca="1" si="296"/>
        <v>10.125</v>
      </c>
      <c r="O226" s="565">
        <v>1</v>
      </c>
      <c r="P226" s="633">
        <v>9.1999999999999998E-3</v>
      </c>
      <c r="Q226" s="170">
        <f t="shared" ca="1" si="310"/>
        <v>4.2706172839506173E-2</v>
      </c>
      <c r="R226" s="508">
        <f t="shared" ca="1" si="311"/>
        <v>427</v>
      </c>
      <c r="T226" s="512">
        <v>6</v>
      </c>
      <c r="U226" s="512" t="s">
        <v>2254</v>
      </c>
      <c r="V226" s="529" t="s">
        <v>2452</v>
      </c>
      <c r="W226" s="508">
        <f t="shared" ca="1" si="299"/>
        <v>10.125</v>
      </c>
      <c r="X226" s="565">
        <v>1</v>
      </c>
      <c r="Y226" s="166">
        <v>9.1000000000000004E-3</v>
      </c>
      <c r="Z226" s="170">
        <f t="shared" ca="1" si="312"/>
        <v>4.2691358024691359E-2</v>
      </c>
      <c r="AA226" s="508">
        <f t="shared" ca="1" si="313"/>
        <v>427</v>
      </c>
      <c r="AC226" s="512">
        <v>6</v>
      </c>
      <c r="AD226" s="516" t="s">
        <v>632</v>
      </c>
      <c r="AE226" s="512" t="s">
        <v>1211</v>
      </c>
      <c r="AF226" s="508">
        <f t="shared" ca="1" si="304"/>
        <v>72</v>
      </c>
      <c r="AG226" s="394">
        <v>1.5</v>
      </c>
      <c r="AH226" s="166">
        <f>宝箱设定!$X130</f>
        <v>5.8400000000000001E-2</v>
      </c>
      <c r="AI226" s="170">
        <f t="shared" ca="1" si="305"/>
        <v>3.4607407407407406E-2</v>
      </c>
      <c r="AJ226" s="279">
        <f t="shared" ca="1" si="306"/>
        <v>346</v>
      </c>
      <c r="AL226" s="512">
        <v>6</v>
      </c>
      <c r="AM226" s="516" t="s">
        <v>617</v>
      </c>
      <c r="AN226" s="512" t="s">
        <v>1211</v>
      </c>
      <c r="AO226" s="508">
        <f t="shared" ref="AO226:AO257" ca="1" si="317">IF(AN226="部件",VLOOKUP(AL226,INDIRECT(AN226&amp;"价值"),MATCH(LEFT(AM226,2)&amp;"部件",INDIRECT(AN226&amp;"价值标头"),0),FALSE),IF(AN226="加速道具",VLOOKUP(AM226,INDIRECT(AN226&amp;"价值"),MATCH("价格",INDIRECT(AN226&amp;"价值标头"),0),FALSE),VLOOKUP(AL226,INDIRECT(AN226&amp;"价值"),MATCH(AM226,INDIRECT(AN226&amp;"价值标头"),0),FALSE)))</f>
        <v>74.8</v>
      </c>
      <c r="AP226" s="408">
        <v>3</v>
      </c>
      <c r="AQ226" s="166">
        <f>宝箱设定!$X122</f>
        <v>8.7599999999999997E-2</v>
      </c>
      <c r="AR226" s="170">
        <f t="shared" ref="AR226:AR237" ca="1" si="318">AQ226*AM$4/AO226/AP226</f>
        <v>3.7866310160427803E-2</v>
      </c>
      <c r="AS226" s="279">
        <f t="shared" ref="AS226:AS237" ca="1" si="319">ROUND(AR226*10000,0)</f>
        <v>379</v>
      </c>
      <c r="AU226" s="512">
        <v>5</v>
      </c>
      <c r="AV226" s="512" t="s">
        <v>2273</v>
      </c>
      <c r="AW226" s="529" t="s">
        <v>2452</v>
      </c>
      <c r="AX226" s="508" t="str">
        <f t="shared" ca="1" si="289"/>
        <v>T2部件</v>
      </c>
      <c r="AY226" s="615">
        <v>1</v>
      </c>
      <c r="AZ226" s="633">
        <v>1.0999999999999999E-2</v>
      </c>
      <c r="BA226" s="170" t="e">
        <f t="shared" ca="1" si="261"/>
        <v>#VALUE!</v>
      </c>
      <c r="BB226" s="508" t="e">
        <f t="shared" ca="1" si="262"/>
        <v>#VALUE!</v>
      </c>
      <c r="BD226" s="512">
        <v>5</v>
      </c>
      <c r="BE226" s="512" t="s">
        <v>2273</v>
      </c>
      <c r="BF226" s="529" t="s">
        <v>2452</v>
      </c>
      <c r="BG226" s="508" t="str">
        <f t="shared" ca="1" si="290"/>
        <v>T2部件</v>
      </c>
      <c r="BH226" s="565">
        <v>1.5</v>
      </c>
      <c r="BI226" s="615">
        <v>1.0999999999999999E-2</v>
      </c>
      <c r="BJ226" s="170" t="e">
        <f t="shared" ca="1" si="308"/>
        <v>#VALUE!</v>
      </c>
      <c r="BK226" s="508" t="e">
        <f t="shared" ca="1" si="309"/>
        <v>#VALUE!</v>
      </c>
      <c r="BM226" s="512">
        <v>6</v>
      </c>
      <c r="BN226" s="527" t="s">
        <v>2278</v>
      </c>
      <c r="BO226" s="530" t="s">
        <v>2200</v>
      </c>
      <c r="BP226" s="508" t="str">
        <f t="shared" ca="1" si="282"/>
        <v>T3部件</v>
      </c>
      <c r="BQ226" s="632">
        <v>1</v>
      </c>
      <c r="BR226" s="600">
        <v>1.4500000000000001E-2</v>
      </c>
      <c r="BS226" s="170" t="e">
        <f t="shared" ca="1" si="287"/>
        <v>#VALUE!</v>
      </c>
      <c r="BT226" s="508" t="e">
        <f t="shared" ca="1" si="288"/>
        <v>#VALUE!</v>
      </c>
      <c r="BV226" s="381">
        <v>7</v>
      </c>
      <c r="BW226" s="527" t="s">
        <v>2242</v>
      </c>
      <c r="BX226" s="530" t="s">
        <v>2200</v>
      </c>
      <c r="BY226" s="523">
        <f t="shared" ca="1" si="314"/>
        <v>9.4499999999999993</v>
      </c>
      <c r="BZ226" s="662">
        <v>3</v>
      </c>
      <c r="CA226" s="565">
        <v>1.4999999999999999E-2</v>
      </c>
      <c r="CB226" s="170">
        <f t="shared" ca="1" si="315"/>
        <v>2.6455026455026457E-2</v>
      </c>
      <c r="CC226" s="290">
        <f t="shared" ca="1" si="316"/>
        <v>265</v>
      </c>
    </row>
    <row r="227" spans="2:81" x14ac:dyDescent="0.35">
      <c r="B227" s="512">
        <v>6</v>
      </c>
      <c r="C227" s="512" t="s">
        <v>2256</v>
      </c>
      <c r="D227" s="529" t="s">
        <v>2452</v>
      </c>
      <c r="E227" s="508">
        <f t="shared" ca="1" si="295"/>
        <v>10.125</v>
      </c>
      <c r="F227" s="565">
        <v>2</v>
      </c>
      <c r="G227" s="166">
        <v>7.6E-3</v>
      </c>
      <c r="H227" s="170">
        <f t="shared" ca="1" si="300"/>
        <v>2.2049382716049382E-2</v>
      </c>
      <c r="I227" s="508">
        <f t="shared" ca="1" si="301"/>
        <v>220</v>
      </c>
      <c r="J227" s="300"/>
      <c r="K227" s="512">
        <v>6</v>
      </c>
      <c r="L227" s="512" t="s">
        <v>2256</v>
      </c>
      <c r="M227" s="529" t="s">
        <v>2452</v>
      </c>
      <c r="N227" s="508">
        <f t="shared" ca="1" si="296"/>
        <v>10.125</v>
      </c>
      <c r="O227" s="565">
        <v>1</v>
      </c>
      <c r="P227" s="633">
        <v>9.1999999999999998E-3</v>
      </c>
      <c r="Q227" s="170">
        <f t="shared" ca="1" si="310"/>
        <v>4.2706172839506173E-2</v>
      </c>
      <c r="R227" s="508">
        <f t="shared" ca="1" si="311"/>
        <v>427</v>
      </c>
      <c r="T227" s="512">
        <v>6</v>
      </c>
      <c r="U227" s="512" t="s">
        <v>2256</v>
      </c>
      <c r="V227" s="529" t="s">
        <v>2452</v>
      </c>
      <c r="W227" s="508">
        <f t="shared" ca="1" si="299"/>
        <v>10.125</v>
      </c>
      <c r="X227" s="565">
        <v>1</v>
      </c>
      <c r="Y227" s="166">
        <v>9.1000000000000004E-3</v>
      </c>
      <c r="Z227" s="170">
        <f t="shared" ca="1" si="312"/>
        <v>4.2691358024691359E-2</v>
      </c>
      <c r="AA227" s="508">
        <f t="shared" ca="1" si="313"/>
        <v>427</v>
      </c>
      <c r="AC227" s="512">
        <v>6</v>
      </c>
      <c r="AD227" s="516" t="s">
        <v>2239</v>
      </c>
      <c r="AE227" s="529" t="s">
        <v>2452</v>
      </c>
      <c r="AF227" s="508">
        <f t="shared" ca="1" si="304"/>
        <v>10.125</v>
      </c>
      <c r="AG227" s="394">
        <v>1</v>
      </c>
      <c r="AH227" s="633">
        <v>6.0000000000000001E-3</v>
      </c>
      <c r="AI227" s="170">
        <f t="shared" ca="1" si="305"/>
        <v>3.7925925925925925E-2</v>
      </c>
      <c r="AJ227" s="279">
        <f t="shared" ca="1" si="306"/>
        <v>379</v>
      </c>
      <c r="AL227" s="512">
        <v>6</v>
      </c>
      <c r="AM227" s="516" t="s">
        <v>626</v>
      </c>
      <c r="AN227" s="512" t="s">
        <v>1211</v>
      </c>
      <c r="AO227" s="508">
        <f t="shared" ca="1" si="317"/>
        <v>74.8</v>
      </c>
      <c r="AP227" s="565">
        <v>3</v>
      </c>
      <c r="AQ227" s="166">
        <f>宝箱设定!$X123</f>
        <v>8.7599999999999997E-2</v>
      </c>
      <c r="AR227" s="170">
        <f t="shared" ca="1" si="318"/>
        <v>3.7866310160427803E-2</v>
      </c>
      <c r="AS227" s="279">
        <f t="shared" ca="1" si="319"/>
        <v>379</v>
      </c>
      <c r="AU227" s="512">
        <v>5</v>
      </c>
      <c r="AV227" s="512" t="s">
        <v>2275</v>
      </c>
      <c r="AW227" s="529" t="s">
        <v>2452</v>
      </c>
      <c r="AX227" s="508" t="str">
        <f t="shared" ca="1" si="289"/>
        <v>T2部件</v>
      </c>
      <c r="AY227" s="615">
        <v>1</v>
      </c>
      <c r="AZ227" s="633">
        <v>1.0999999999999999E-2</v>
      </c>
      <c r="BA227" s="170" t="e">
        <f t="shared" ca="1" si="261"/>
        <v>#VALUE!</v>
      </c>
      <c r="BB227" s="508" t="e">
        <f t="shared" ca="1" si="262"/>
        <v>#VALUE!</v>
      </c>
      <c r="BD227" s="512">
        <v>5</v>
      </c>
      <c r="BE227" s="512" t="s">
        <v>2275</v>
      </c>
      <c r="BF227" s="529" t="s">
        <v>2452</v>
      </c>
      <c r="BG227" s="508" t="str">
        <f t="shared" ca="1" si="290"/>
        <v>T2部件</v>
      </c>
      <c r="BH227" s="565">
        <v>1.5</v>
      </c>
      <c r="BI227" s="615">
        <v>1.0999999999999999E-2</v>
      </c>
      <c r="BJ227" s="170" t="e">
        <f t="shared" ca="1" si="308"/>
        <v>#VALUE!</v>
      </c>
      <c r="BK227" s="508" t="e">
        <f t="shared" ca="1" si="309"/>
        <v>#VALUE!</v>
      </c>
      <c r="BM227" s="512">
        <v>6</v>
      </c>
      <c r="BN227" s="527" t="s">
        <v>2280</v>
      </c>
      <c r="BO227" s="530" t="s">
        <v>2200</v>
      </c>
      <c r="BP227" s="508" t="str">
        <f t="shared" ca="1" si="282"/>
        <v>T3部件</v>
      </c>
      <c r="BQ227" s="632">
        <v>1</v>
      </c>
      <c r="BR227" s="615">
        <v>1.4500000000000001E-2</v>
      </c>
      <c r="BS227" s="170" t="e">
        <f t="shared" ca="1" si="287"/>
        <v>#VALUE!</v>
      </c>
      <c r="BT227" s="508" t="e">
        <f t="shared" ca="1" si="288"/>
        <v>#VALUE!</v>
      </c>
      <c r="BV227" s="381">
        <v>7</v>
      </c>
      <c r="BW227" s="527" t="s">
        <v>2244</v>
      </c>
      <c r="BX227" s="530" t="s">
        <v>2200</v>
      </c>
      <c r="BY227" s="523">
        <f t="shared" ca="1" si="314"/>
        <v>9.4499999999999993</v>
      </c>
      <c r="BZ227" s="662">
        <v>3</v>
      </c>
      <c r="CA227" s="565">
        <v>1.4999999999999999E-2</v>
      </c>
      <c r="CB227" s="170">
        <f t="shared" ca="1" si="315"/>
        <v>2.6455026455026457E-2</v>
      </c>
      <c r="CC227" s="290">
        <f t="shared" ca="1" si="316"/>
        <v>265</v>
      </c>
    </row>
    <row r="228" spans="2:81" x14ac:dyDescent="0.35">
      <c r="B228" s="512">
        <v>6</v>
      </c>
      <c r="C228" s="516" t="s">
        <v>2241</v>
      </c>
      <c r="D228" s="529" t="s">
        <v>2452</v>
      </c>
      <c r="E228" s="508">
        <f t="shared" ca="1" si="295"/>
        <v>10.125</v>
      </c>
      <c r="F228" s="565">
        <v>2</v>
      </c>
      <c r="G228" s="166">
        <v>7.6E-3</v>
      </c>
      <c r="H228" s="170">
        <f t="shared" ca="1" si="300"/>
        <v>2.2049382716049382E-2</v>
      </c>
      <c r="I228" s="508">
        <f t="shared" ca="1" si="301"/>
        <v>220</v>
      </c>
      <c r="J228" s="300"/>
      <c r="K228" s="512">
        <v>6</v>
      </c>
      <c r="L228" s="516" t="s">
        <v>2241</v>
      </c>
      <c r="M228" s="529" t="s">
        <v>2452</v>
      </c>
      <c r="N228" s="508">
        <f t="shared" ca="1" si="296"/>
        <v>10.125</v>
      </c>
      <c r="O228" s="565">
        <v>1</v>
      </c>
      <c r="P228" s="633">
        <v>9.1999999999999998E-3</v>
      </c>
      <c r="Q228" s="170">
        <f t="shared" ca="1" si="310"/>
        <v>4.2706172839506173E-2</v>
      </c>
      <c r="R228" s="508">
        <f t="shared" ca="1" si="311"/>
        <v>427</v>
      </c>
      <c r="T228" s="512">
        <v>6</v>
      </c>
      <c r="U228" s="516" t="s">
        <v>2241</v>
      </c>
      <c r="V228" s="529" t="s">
        <v>2452</v>
      </c>
      <c r="W228" s="508">
        <f t="shared" ca="1" si="299"/>
        <v>10.125</v>
      </c>
      <c r="X228" s="565">
        <v>1</v>
      </c>
      <c r="Y228" s="166">
        <v>9.1000000000000004E-3</v>
      </c>
      <c r="Z228" s="170">
        <f t="shared" ca="1" si="312"/>
        <v>4.2691358024691359E-2</v>
      </c>
      <c r="AA228" s="508">
        <f t="shared" ca="1" si="313"/>
        <v>427</v>
      </c>
      <c r="AC228" s="512">
        <v>6</v>
      </c>
      <c r="AD228" s="516" t="s">
        <v>2242</v>
      </c>
      <c r="AE228" s="529" t="s">
        <v>2452</v>
      </c>
      <c r="AF228" s="508">
        <f t="shared" ca="1" si="304"/>
        <v>10.125</v>
      </c>
      <c r="AG228" s="594">
        <v>1</v>
      </c>
      <c r="AH228" s="633">
        <v>6.0000000000000001E-3</v>
      </c>
      <c r="AI228" s="170">
        <f t="shared" ca="1" si="305"/>
        <v>3.7925925925925925E-2</v>
      </c>
      <c r="AJ228" s="279">
        <f t="shared" ca="1" si="306"/>
        <v>379</v>
      </c>
      <c r="AL228" s="512">
        <v>6</v>
      </c>
      <c r="AM228" s="516" t="s">
        <v>631</v>
      </c>
      <c r="AN228" s="512" t="s">
        <v>1211</v>
      </c>
      <c r="AO228" s="508">
        <f t="shared" ca="1" si="317"/>
        <v>74.8</v>
      </c>
      <c r="AP228" s="565">
        <v>3</v>
      </c>
      <c r="AQ228" s="166">
        <f>宝箱设定!$X124</f>
        <v>8.7599999999999997E-2</v>
      </c>
      <c r="AR228" s="170">
        <f t="shared" ca="1" si="318"/>
        <v>3.7866310160427803E-2</v>
      </c>
      <c r="AS228" s="279">
        <f t="shared" ca="1" si="319"/>
        <v>379</v>
      </c>
      <c r="BM228" s="512">
        <v>6</v>
      </c>
      <c r="BN228" s="527" t="s">
        <v>2282</v>
      </c>
      <c r="BO228" s="530" t="s">
        <v>2200</v>
      </c>
      <c r="BP228" s="508" t="str">
        <f t="shared" ca="1" si="282"/>
        <v>T3部件</v>
      </c>
      <c r="BQ228" s="632">
        <v>1</v>
      </c>
      <c r="BR228" s="615">
        <v>1.4500000000000001E-2</v>
      </c>
      <c r="BS228" s="170" t="e">
        <f t="shared" ca="1" si="287"/>
        <v>#VALUE!</v>
      </c>
      <c r="BT228" s="508" t="e">
        <f t="shared" ca="1" si="288"/>
        <v>#VALUE!</v>
      </c>
      <c r="BV228" s="381">
        <v>7</v>
      </c>
      <c r="BW228" s="527" t="s">
        <v>2246</v>
      </c>
      <c r="BX228" s="530" t="s">
        <v>2200</v>
      </c>
      <c r="BY228" s="523">
        <f t="shared" ca="1" si="314"/>
        <v>9.4499999999999993</v>
      </c>
      <c r="BZ228" s="662">
        <v>3</v>
      </c>
      <c r="CA228" s="565">
        <v>1.4999999999999999E-2</v>
      </c>
      <c r="CB228" s="170">
        <f t="shared" ca="1" si="315"/>
        <v>2.6455026455026457E-2</v>
      </c>
      <c r="CC228" s="290">
        <f t="shared" ca="1" si="316"/>
        <v>265</v>
      </c>
    </row>
    <row r="229" spans="2:81" x14ac:dyDescent="0.35">
      <c r="B229" s="512">
        <v>6</v>
      </c>
      <c r="C229" s="516" t="s">
        <v>2243</v>
      </c>
      <c r="D229" s="529" t="s">
        <v>2452</v>
      </c>
      <c r="E229" s="508">
        <f t="shared" ca="1" si="295"/>
        <v>10.125</v>
      </c>
      <c r="F229" s="565">
        <v>2</v>
      </c>
      <c r="G229" s="166">
        <v>7.6E-3</v>
      </c>
      <c r="H229" s="170">
        <f t="shared" ca="1" si="300"/>
        <v>2.2049382716049382E-2</v>
      </c>
      <c r="I229" s="508">
        <f t="shared" ca="1" si="301"/>
        <v>220</v>
      </c>
      <c r="J229" s="300"/>
      <c r="K229" s="512">
        <v>6</v>
      </c>
      <c r="L229" s="516" t="s">
        <v>2243</v>
      </c>
      <c r="M229" s="529" t="s">
        <v>2452</v>
      </c>
      <c r="N229" s="508">
        <f t="shared" ca="1" si="296"/>
        <v>10.125</v>
      </c>
      <c r="O229" s="565">
        <v>1</v>
      </c>
      <c r="P229" s="633">
        <v>9.1999999999999998E-3</v>
      </c>
      <c r="Q229" s="170">
        <f t="shared" ca="1" si="310"/>
        <v>4.2706172839506173E-2</v>
      </c>
      <c r="R229" s="508">
        <f t="shared" ca="1" si="311"/>
        <v>427</v>
      </c>
      <c r="T229" s="512">
        <v>6</v>
      </c>
      <c r="U229" s="516" t="s">
        <v>2243</v>
      </c>
      <c r="V229" s="529" t="s">
        <v>2452</v>
      </c>
      <c r="W229" s="508">
        <f t="shared" ca="1" si="299"/>
        <v>10.125</v>
      </c>
      <c r="X229" s="565">
        <v>1</v>
      </c>
      <c r="Y229" s="166">
        <v>8.9999999999999993E-3</v>
      </c>
      <c r="Z229" s="170">
        <f t="shared" ca="1" si="312"/>
        <v>4.2222222222222223E-2</v>
      </c>
      <c r="AA229" s="508">
        <f t="shared" ca="1" si="313"/>
        <v>422</v>
      </c>
      <c r="AC229" s="512">
        <v>6</v>
      </c>
      <c r="AD229" s="516" t="s">
        <v>2244</v>
      </c>
      <c r="AE229" s="529" t="s">
        <v>2452</v>
      </c>
      <c r="AF229" s="508">
        <f t="shared" ca="1" si="304"/>
        <v>10.125</v>
      </c>
      <c r="AG229" s="594">
        <v>1</v>
      </c>
      <c r="AH229" s="633">
        <v>6.0000000000000001E-3</v>
      </c>
      <c r="AI229" s="170">
        <f t="shared" ca="1" si="305"/>
        <v>3.7925925925925925E-2</v>
      </c>
      <c r="AJ229" s="279">
        <f t="shared" ca="1" si="306"/>
        <v>379</v>
      </c>
      <c r="AL229" s="512">
        <v>6</v>
      </c>
      <c r="AM229" s="516" t="s">
        <v>618</v>
      </c>
      <c r="AN229" s="512" t="s">
        <v>1211</v>
      </c>
      <c r="AO229" s="508">
        <f t="shared" ca="1" si="317"/>
        <v>56.4</v>
      </c>
      <c r="AP229" s="408">
        <v>2</v>
      </c>
      <c r="AQ229" s="166">
        <f>宝箱设定!$X125</f>
        <v>7.2999999999999995E-2</v>
      </c>
      <c r="AR229" s="170">
        <f t="shared" ca="1" si="318"/>
        <v>6.2774822695035454E-2</v>
      </c>
      <c r="AS229" s="408">
        <f t="shared" ca="1" si="319"/>
        <v>628</v>
      </c>
      <c r="BM229" s="512">
        <v>6</v>
      </c>
      <c r="BN229" s="527" t="s">
        <v>2284</v>
      </c>
      <c r="BO229" s="530" t="s">
        <v>2200</v>
      </c>
      <c r="BP229" s="508" t="str">
        <f t="shared" ca="1" si="282"/>
        <v>T3部件</v>
      </c>
      <c r="BQ229" s="632">
        <v>1</v>
      </c>
      <c r="BR229" s="615">
        <v>1.4500000000000001E-2</v>
      </c>
      <c r="BS229" s="170" t="e">
        <f t="shared" ca="1" si="287"/>
        <v>#VALUE!</v>
      </c>
      <c r="BT229" s="508" t="e">
        <f t="shared" ca="1" si="288"/>
        <v>#VALUE!</v>
      </c>
      <c r="BV229" s="381">
        <v>7</v>
      </c>
      <c r="BW229" s="527" t="s">
        <v>2248</v>
      </c>
      <c r="BX229" s="530" t="s">
        <v>2200</v>
      </c>
      <c r="BY229" s="523">
        <f t="shared" ca="1" si="314"/>
        <v>9.4499999999999993</v>
      </c>
      <c r="BZ229" s="662">
        <v>3</v>
      </c>
      <c r="CA229" s="565">
        <v>1.4999999999999999E-2</v>
      </c>
      <c r="CB229" s="170">
        <f t="shared" ca="1" si="315"/>
        <v>2.6455026455026457E-2</v>
      </c>
      <c r="CC229" s="290">
        <f t="shared" ca="1" si="316"/>
        <v>265</v>
      </c>
    </row>
    <row r="230" spans="2:81" x14ac:dyDescent="0.35">
      <c r="B230" s="512">
        <v>6</v>
      </c>
      <c r="C230" s="516" t="s">
        <v>2245</v>
      </c>
      <c r="D230" s="529" t="s">
        <v>2452</v>
      </c>
      <c r="E230" s="508">
        <f t="shared" ca="1" si="295"/>
        <v>10.125</v>
      </c>
      <c r="F230" s="565">
        <v>2</v>
      </c>
      <c r="G230" s="166">
        <v>7.6E-3</v>
      </c>
      <c r="H230" s="170">
        <f t="shared" ca="1" si="300"/>
        <v>2.2049382716049382E-2</v>
      </c>
      <c r="I230" s="508">
        <f t="shared" ca="1" si="301"/>
        <v>220</v>
      </c>
      <c r="J230" s="300"/>
      <c r="K230" s="512">
        <v>6</v>
      </c>
      <c r="L230" s="516" t="s">
        <v>2245</v>
      </c>
      <c r="M230" s="529" t="s">
        <v>2452</v>
      </c>
      <c r="N230" s="508">
        <f t="shared" ca="1" si="296"/>
        <v>10.125</v>
      </c>
      <c r="O230" s="565">
        <v>1</v>
      </c>
      <c r="P230" s="633">
        <v>9.1999999999999998E-3</v>
      </c>
      <c r="Q230" s="170">
        <f t="shared" ca="1" si="310"/>
        <v>4.2706172839506173E-2</v>
      </c>
      <c r="R230" s="508">
        <f t="shared" ca="1" si="311"/>
        <v>427</v>
      </c>
      <c r="T230" s="512">
        <v>6</v>
      </c>
      <c r="U230" s="516" t="s">
        <v>2245</v>
      </c>
      <c r="V230" s="529" t="s">
        <v>2452</v>
      </c>
      <c r="W230" s="508">
        <f t="shared" ca="1" si="299"/>
        <v>10.125</v>
      </c>
      <c r="X230" s="565">
        <v>1</v>
      </c>
      <c r="Y230" s="166">
        <v>8.9999999999999993E-3</v>
      </c>
      <c r="Z230" s="170">
        <f t="shared" ca="1" si="312"/>
        <v>4.2222222222222223E-2</v>
      </c>
      <c r="AA230" s="508">
        <f t="shared" ca="1" si="313"/>
        <v>422</v>
      </c>
      <c r="AC230" s="512">
        <v>6</v>
      </c>
      <c r="AD230" s="516" t="s">
        <v>2246</v>
      </c>
      <c r="AE230" s="529" t="s">
        <v>2452</v>
      </c>
      <c r="AF230" s="508">
        <f t="shared" ca="1" si="304"/>
        <v>10.125</v>
      </c>
      <c r="AG230" s="594">
        <v>1</v>
      </c>
      <c r="AH230" s="633">
        <v>6.0000000000000001E-3</v>
      </c>
      <c r="AI230" s="170">
        <f t="shared" ref="AI230:AI268" ca="1" si="320">AH230*AD$4/AF230/AG230</f>
        <v>3.7925925925925925E-2</v>
      </c>
      <c r="AJ230" s="508">
        <f t="shared" ref="AJ230:AJ268" ca="1" si="321">ROUND(AI230*10000,0)</f>
        <v>379</v>
      </c>
      <c r="AL230" s="512">
        <v>6</v>
      </c>
      <c r="AM230" s="516" t="s">
        <v>627</v>
      </c>
      <c r="AN230" s="512" t="s">
        <v>1211</v>
      </c>
      <c r="AO230" s="508">
        <f t="shared" ca="1" si="317"/>
        <v>56.4</v>
      </c>
      <c r="AP230" s="565">
        <v>2</v>
      </c>
      <c r="AQ230" s="166">
        <f>宝箱设定!$X126</f>
        <v>7.2999999999999995E-2</v>
      </c>
      <c r="AR230" s="170">
        <f t="shared" ca="1" si="318"/>
        <v>6.2774822695035454E-2</v>
      </c>
      <c r="AS230" s="408">
        <f t="shared" ca="1" si="319"/>
        <v>628</v>
      </c>
      <c r="AU230" s="512" t="s">
        <v>597</v>
      </c>
      <c r="AV230" s="512" t="s">
        <v>1225</v>
      </c>
      <c r="AW230" s="513" t="s">
        <v>917</v>
      </c>
      <c r="AX230" s="166" t="s">
        <v>920</v>
      </c>
      <c r="AY230" s="518" t="s">
        <v>967</v>
      </c>
      <c r="AZ230" s="166" t="s">
        <v>854</v>
      </c>
      <c r="BA230" s="166" t="s">
        <v>926</v>
      </c>
      <c r="BB230" s="514" t="s">
        <v>927</v>
      </c>
      <c r="BC230" s="300" t="e">
        <f ca="1">SUM(BB231:BB290)</f>
        <v>#VALUE!</v>
      </c>
      <c r="BD230" s="512" t="s">
        <v>597</v>
      </c>
      <c r="BE230" s="512" t="s">
        <v>1225</v>
      </c>
      <c r="BF230" s="513" t="s">
        <v>917</v>
      </c>
      <c r="BG230" s="166" t="s">
        <v>920</v>
      </c>
      <c r="BH230" s="518" t="s">
        <v>967</v>
      </c>
      <c r="BI230" s="166" t="s">
        <v>854</v>
      </c>
      <c r="BJ230" s="166" t="s">
        <v>926</v>
      </c>
      <c r="BK230" s="281" t="s">
        <v>927</v>
      </c>
      <c r="BL230" s="300" t="e">
        <f ca="1">SUM(BK231:BK290)</f>
        <v>#VALUE!</v>
      </c>
      <c r="BM230" s="512">
        <v>6</v>
      </c>
      <c r="BN230" s="527" t="s">
        <v>2286</v>
      </c>
      <c r="BO230" s="530" t="s">
        <v>2200</v>
      </c>
      <c r="BP230" s="508" t="str">
        <f t="shared" ca="1" si="282"/>
        <v>T3部件</v>
      </c>
      <c r="BQ230" s="632">
        <v>1</v>
      </c>
      <c r="BR230" s="615">
        <v>1.4500000000000001E-2</v>
      </c>
      <c r="BS230" s="170" t="e">
        <f t="shared" ca="1" si="287"/>
        <v>#VALUE!</v>
      </c>
      <c r="BT230" s="508" t="e">
        <f t="shared" ca="1" si="288"/>
        <v>#VALUE!</v>
      </c>
      <c r="BV230" s="381">
        <v>7</v>
      </c>
      <c r="BW230" s="527" t="s">
        <v>2250</v>
      </c>
      <c r="BX230" s="530" t="s">
        <v>2200</v>
      </c>
      <c r="BY230" s="523">
        <f t="shared" ca="1" si="314"/>
        <v>9.4499999999999993</v>
      </c>
      <c r="BZ230" s="662">
        <v>3</v>
      </c>
      <c r="CA230" s="565">
        <v>1.4999999999999999E-2</v>
      </c>
      <c r="CB230" s="170">
        <f t="shared" ca="1" si="315"/>
        <v>2.6455026455026457E-2</v>
      </c>
      <c r="CC230" s="290">
        <f t="shared" ca="1" si="316"/>
        <v>265</v>
      </c>
    </row>
    <row r="231" spans="2:81" x14ac:dyDescent="0.35">
      <c r="B231" s="512">
        <v>6</v>
      </c>
      <c r="C231" s="516" t="s">
        <v>2247</v>
      </c>
      <c r="D231" s="529" t="s">
        <v>2452</v>
      </c>
      <c r="E231" s="508">
        <f t="shared" ca="1" si="295"/>
        <v>10.125</v>
      </c>
      <c r="F231" s="565">
        <v>2</v>
      </c>
      <c r="G231" s="166">
        <v>7.6E-3</v>
      </c>
      <c r="H231" s="170">
        <f t="shared" ca="1" si="300"/>
        <v>2.2049382716049382E-2</v>
      </c>
      <c r="I231" s="508">
        <f t="shared" ca="1" si="301"/>
        <v>220</v>
      </c>
      <c r="J231" s="300"/>
      <c r="K231" s="512">
        <v>6</v>
      </c>
      <c r="L231" s="516" t="s">
        <v>2247</v>
      </c>
      <c r="M231" s="529" t="s">
        <v>2452</v>
      </c>
      <c r="N231" s="508">
        <f t="shared" ca="1" si="296"/>
        <v>10.125</v>
      </c>
      <c r="O231" s="565">
        <v>1</v>
      </c>
      <c r="P231" s="633">
        <v>9.1999999999999998E-3</v>
      </c>
      <c r="Q231" s="170">
        <f t="shared" ca="1" si="310"/>
        <v>4.2706172839506173E-2</v>
      </c>
      <c r="R231" s="508">
        <f t="shared" ca="1" si="311"/>
        <v>427</v>
      </c>
      <c r="T231" s="512">
        <v>6</v>
      </c>
      <c r="U231" s="516" t="s">
        <v>2247</v>
      </c>
      <c r="V231" s="529" t="s">
        <v>2452</v>
      </c>
      <c r="W231" s="508">
        <f t="shared" ca="1" si="299"/>
        <v>10.125</v>
      </c>
      <c r="X231" s="565">
        <v>1</v>
      </c>
      <c r="Y231" s="166">
        <v>8.9999999999999993E-3</v>
      </c>
      <c r="Z231" s="170">
        <f t="shared" ca="1" si="312"/>
        <v>4.2222222222222223E-2</v>
      </c>
      <c r="AA231" s="508">
        <f t="shared" ca="1" si="313"/>
        <v>422</v>
      </c>
      <c r="AC231" s="512">
        <v>6</v>
      </c>
      <c r="AD231" s="516" t="s">
        <v>2248</v>
      </c>
      <c r="AE231" s="529" t="s">
        <v>2452</v>
      </c>
      <c r="AF231" s="508">
        <f t="shared" ca="1" si="304"/>
        <v>10.125</v>
      </c>
      <c r="AG231" s="594">
        <v>1</v>
      </c>
      <c r="AH231" s="633">
        <v>6.0000000000000001E-3</v>
      </c>
      <c r="AI231" s="170">
        <f t="shared" ca="1" si="320"/>
        <v>3.7925925925925925E-2</v>
      </c>
      <c r="AJ231" s="508">
        <f t="shared" ca="1" si="321"/>
        <v>379</v>
      </c>
      <c r="AL231" s="512">
        <v>6</v>
      </c>
      <c r="AM231" s="516" t="s">
        <v>628</v>
      </c>
      <c r="AN231" s="512" t="s">
        <v>1211</v>
      </c>
      <c r="AO231" s="508">
        <f t="shared" ca="1" si="317"/>
        <v>56.4</v>
      </c>
      <c r="AP231" s="565">
        <v>2</v>
      </c>
      <c r="AQ231" s="166">
        <f>宝箱设定!$X127</f>
        <v>7.2999999999999995E-2</v>
      </c>
      <c r="AR231" s="170">
        <f t="shared" ca="1" si="318"/>
        <v>6.2774822695035454E-2</v>
      </c>
      <c r="AS231" s="408">
        <f t="shared" ca="1" si="319"/>
        <v>628</v>
      </c>
      <c r="AU231" s="512">
        <v>6</v>
      </c>
      <c r="AV231" s="516" t="s">
        <v>618</v>
      </c>
      <c r="AW231" s="295" t="s">
        <v>2395</v>
      </c>
      <c r="AX231" s="508">
        <f t="shared" ref="AX231:AX262" ca="1" si="322">IF(AW231="部件",VLOOKUP(AU231,INDIRECT(AW231&amp;"价值"),MATCH(LEFT(AV231,2)&amp;"部件",INDIRECT(AW231&amp;"价值标头"),0),FALSE),IF(AW231="加速道具",VLOOKUP(AV231,INDIRECT(AW231&amp;"价值"),MATCH("价格",INDIRECT(AW231&amp;"价值标头"),0),FALSE),VLOOKUP(AU231,INDIRECT(AW231&amp;"价值"),MATCH(AV231,INDIRECT(AW231&amp;"价值标头"),0),FALSE)))</f>
        <v>1692</v>
      </c>
      <c r="AY231" s="508">
        <v>1</v>
      </c>
      <c r="AZ231" s="508">
        <f>宝箱设定!$H143</f>
        <v>5.9200000000000003E-2</v>
      </c>
      <c r="BA231" s="170">
        <f t="shared" ref="BA231:BA281" ca="1" si="323">AZ231*AV$4/AX231/AY231</f>
        <v>2.2742316784869977E-3</v>
      </c>
      <c r="BB231" s="508">
        <f t="shared" ref="BB231:BB281" ca="1" si="324">ROUND(BA231*10000,0)</f>
        <v>23</v>
      </c>
      <c r="BD231" s="512">
        <v>6</v>
      </c>
      <c r="BE231" s="516" t="s">
        <v>618</v>
      </c>
      <c r="BF231" s="295" t="s">
        <v>2395</v>
      </c>
      <c r="BG231" s="508">
        <f t="shared" ref="BG231:BG262" ca="1" si="325">IF(BF231="部件",VLOOKUP(BD231,INDIRECT(BF231&amp;"价值"),MATCH(LEFT(BE231,2)&amp;"部件",INDIRECT(BF231&amp;"价值标头"),0),FALSE),IF(BF231="加速道具",VLOOKUP(BE231,INDIRECT(BF231&amp;"价值"),MATCH("价格",INDIRECT(BF231&amp;"价值标头"),0),FALSE),VLOOKUP(BD231,INDIRECT(BF231&amp;"价值"),MATCH(BE231,INDIRECT(BF231&amp;"价值标头"),0),FALSE)))</f>
        <v>1692</v>
      </c>
      <c r="BH231" s="508">
        <v>1</v>
      </c>
      <c r="BI231" s="508">
        <f>宝箱设定!$H143</f>
        <v>5.9200000000000003E-2</v>
      </c>
      <c r="BJ231" s="170">
        <f t="shared" ref="BJ231:BJ272" ca="1" si="326">BI231*BE$4/BG231/BH231</f>
        <v>5.1607565011820341E-3</v>
      </c>
      <c r="BK231" s="279">
        <f ca="1">ROUND(BJ231*10000,0)</f>
        <v>52</v>
      </c>
      <c r="BM231" s="512">
        <v>6</v>
      </c>
      <c r="BN231" s="527" t="s">
        <v>2288</v>
      </c>
      <c r="BO231" s="530" t="s">
        <v>2200</v>
      </c>
      <c r="BP231" s="508" t="str">
        <f t="shared" ca="1" si="282"/>
        <v>T3部件</v>
      </c>
      <c r="BQ231" s="632">
        <v>1</v>
      </c>
      <c r="BR231" s="615">
        <v>1.4500000000000001E-2</v>
      </c>
      <c r="BS231" s="170" t="e">
        <f t="shared" ca="1" si="287"/>
        <v>#VALUE!</v>
      </c>
      <c r="BT231" s="508" t="e">
        <f t="shared" ca="1" si="288"/>
        <v>#VALUE!</v>
      </c>
      <c r="BV231" s="381">
        <v>7</v>
      </c>
      <c r="BW231" s="527" t="s">
        <v>2252</v>
      </c>
      <c r="BX231" s="530" t="s">
        <v>2200</v>
      </c>
      <c r="BY231" s="523">
        <f t="shared" ca="1" si="314"/>
        <v>9.4499999999999993</v>
      </c>
      <c r="BZ231" s="662">
        <v>3</v>
      </c>
      <c r="CA231" s="565">
        <v>1.4999999999999999E-2</v>
      </c>
      <c r="CB231" s="170">
        <f t="shared" ca="1" si="315"/>
        <v>2.6455026455026457E-2</v>
      </c>
      <c r="CC231" s="290">
        <f t="shared" ca="1" si="316"/>
        <v>265</v>
      </c>
    </row>
    <row r="232" spans="2:81" x14ac:dyDescent="0.35">
      <c r="B232" s="512">
        <v>6</v>
      </c>
      <c r="C232" s="516" t="s">
        <v>2249</v>
      </c>
      <c r="D232" s="529" t="s">
        <v>2452</v>
      </c>
      <c r="E232" s="508">
        <f t="shared" ca="1" si="295"/>
        <v>10.125</v>
      </c>
      <c r="F232" s="565">
        <v>2</v>
      </c>
      <c r="G232" s="166">
        <v>7.6E-3</v>
      </c>
      <c r="H232" s="170">
        <f t="shared" ca="1" si="300"/>
        <v>2.2049382716049382E-2</v>
      </c>
      <c r="I232" s="508">
        <f t="shared" ca="1" si="301"/>
        <v>220</v>
      </c>
      <c r="J232" s="300"/>
      <c r="K232" s="512">
        <v>6</v>
      </c>
      <c r="L232" s="516" t="s">
        <v>2249</v>
      </c>
      <c r="M232" s="529" t="s">
        <v>2452</v>
      </c>
      <c r="N232" s="508">
        <f t="shared" ca="1" si="296"/>
        <v>10.125</v>
      </c>
      <c r="O232" s="565">
        <v>1</v>
      </c>
      <c r="P232" s="633">
        <v>9.1999999999999998E-3</v>
      </c>
      <c r="Q232" s="170">
        <f t="shared" ca="1" si="310"/>
        <v>4.2706172839506173E-2</v>
      </c>
      <c r="R232" s="508">
        <f t="shared" ca="1" si="311"/>
        <v>427</v>
      </c>
      <c r="T232" s="512">
        <v>6</v>
      </c>
      <c r="U232" s="516" t="s">
        <v>2249</v>
      </c>
      <c r="V232" s="529" t="s">
        <v>2452</v>
      </c>
      <c r="W232" s="508">
        <f t="shared" ca="1" si="299"/>
        <v>10.125</v>
      </c>
      <c r="X232" s="565">
        <v>1</v>
      </c>
      <c r="Y232" s="166">
        <v>8.9999999999999993E-3</v>
      </c>
      <c r="Z232" s="170">
        <f t="shared" ca="1" si="312"/>
        <v>4.2222222222222223E-2</v>
      </c>
      <c r="AA232" s="508">
        <f t="shared" ca="1" si="313"/>
        <v>422</v>
      </c>
      <c r="AC232" s="512">
        <v>6</v>
      </c>
      <c r="AD232" s="516" t="s">
        <v>2250</v>
      </c>
      <c r="AE232" s="529" t="s">
        <v>2452</v>
      </c>
      <c r="AF232" s="508">
        <f t="shared" ca="1" si="304"/>
        <v>10.125</v>
      </c>
      <c r="AG232" s="594">
        <v>1</v>
      </c>
      <c r="AH232" s="633">
        <v>6.0000000000000001E-3</v>
      </c>
      <c r="AI232" s="170">
        <f t="shared" ca="1" si="320"/>
        <v>3.7925925925925925E-2</v>
      </c>
      <c r="AJ232" s="508">
        <f t="shared" ca="1" si="321"/>
        <v>379</v>
      </c>
      <c r="AL232" s="512">
        <v>6</v>
      </c>
      <c r="AM232" s="516" t="s">
        <v>619</v>
      </c>
      <c r="AN232" s="512" t="s">
        <v>1211</v>
      </c>
      <c r="AO232" s="508">
        <f t="shared" ca="1" si="317"/>
        <v>72</v>
      </c>
      <c r="AP232" s="408">
        <v>1.5</v>
      </c>
      <c r="AQ232" s="166">
        <f>宝箱设定!$X128</f>
        <v>5.8400000000000001E-2</v>
      </c>
      <c r="AR232" s="170">
        <f t="shared" ca="1" si="318"/>
        <v>5.2451851851851854E-2</v>
      </c>
      <c r="AS232" s="279">
        <f t="shared" ca="1" si="319"/>
        <v>525</v>
      </c>
      <c r="AU232" s="512">
        <v>6</v>
      </c>
      <c r="AV232" s="516" t="s">
        <v>627</v>
      </c>
      <c r="AW232" s="295" t="s">
        <v>2395</v>
      </c>
      <c r="AX232" s="508">
        <f t="shared" ca="1" si="322"/>
        <v>1692</v>
      </c>
      <c r="AY232" s="508">
        <v>1</v>
      </c>
      <c r="AZ232" s="508">
        <f>宝箱设定!$H144</f>
        <v>5.9200000000000003E-2</v>
      </c>
      <c r="BA232" s="170">
        <f t="shared" ca="1" si="323"/>
        <v>2.2742316784869977E-3</v>
      </c>
      <c r="BB232" s="508">
        <f t="shared" ca="1" si="324"/>
        <v>23</v>
      </c>
      <c r="BD232" s="512">
        <v>6</v>
      </c>
      <c r="BE232" s="516" t="s">
        <v>627</v>
      </c>
      <c r="BF232" s="295" t="s">
        <v>2395</v>
      </c>
      <c r="BG232" s="508">
        <f t="shared" ca="1" si="325"/>
        <v>1692</v>
      </c>
      <c r="BH232" s="508">
        <v>1</v>
      </c>
      <c r="BI232" s="508">
        <f>宝箱设定!$H144</f>
        <v>5.9200000000000003E-2</v>
      </c>
      <c r="BJ232" s="170">
        <f t="shared" ca="1" si="326"/>
        <v>5.1607565011820341E-3</v>
      </c>
      <c r="BK232" s="279">
        <f ca="1">ROUND(BJ232*10000,0)</f>
        <v>52</v>
      </c>
      <c r="BM232" s="512">
        <v>6</v>
      </c>
      <c r="BN232" s="525" t="s">
        <v>2290</v>
      </c>
      <c r="BO232" s="530" t="s">
        <v>2200</v>
      </c>
      <c r="BP232" s="508" t="str">
        <f t="shared" ca="1" si="282"/>
        <v>T3部件</v>
      </c>
      <c r="BQ232" s="632">
        <v>1</v>
      </c>
      <c r="BR232" s="615">
        <v>1.4500000000000001E-2</v>
      </c>
      <c r="BS232" s="170" t="e">
        <f t="shared" ca="1" si="287"/>
        <v>#VALUE!</v>
      </c>
      <c r="BT232" s="508" t="e">
        <f t="shared" ca="1" si="288"/>
        <v>#VALUE!</v>
      </c>
      <c r="BV232" s="381">
        <v>7</v>
      </c>
      <c r="BW232" s="525" t="s">
        <v>2254</v>
      </c>
      <c r="BX232" s="530" t="s">
        <v>2200</v>
      </c>
      <c r="BY232" s="523">
        <f t="shared" ca="1" si="314"/>
        <v>9.4499999999999993</v>
      </c>
      <c r="BZ232" s="662">
        <v>3</v>
      </c>
      <c r="CA232" s="565">
        <v>1.4999999999999999E-2</v>
      </c>
      <c r="CB232" s="170">
        <f t="shared" ca="1" si="315"/>
        <v>2.6455026455026457E-2</v>
      </c>
      <c r="CC232" s="290">
        <f t="shared" ca="1" si="316"/>
        <v>265</v>
      </c>
    </row>
    <row r="233" spans="2:81" x14ac:dyDescent="0.35">
      <c r="B233" s="512">
        <v>6</v>
      </c>
      <c r="C233" s="516" t="s">
        <v>2251</v>
      </c>
      <c r="D233" s="529" t="s">
        <v>2452</v>
      </c>
      <c r="E233" s="508">
        <f t="shared" ca="1" si="295"/>
        <v>10.125</v>
      </c>
      <c r="F233" s="565">
        <v>2</v>
      </c>
      <c r="G233" s="166">
        <v>7.6E-3</v>
      </c>
      <c r="H233" s="170">
        <f t="shared" ca="1" si="300"/>
        <v>2.2049382716049382E-2</v>
      </c>
      <c r="I233" s="508">
        <f t="shared" ca="1" si="301"/>
        <v>220</v>
      </c>
      <c r="J233" s="300"/>
      <c r="K233" s="512">
        <v>6</v>
      </c>
      <c r="L233" s="516" t="s">
        <v>2251</v>
      </c>
      <c r="M233" s="529" t="s">
        <v>2452</v>
      </c>
      <c r="N233" s="508">
        <f t="shared" ca="1" si="296"/>
        <v>10.125</v>
      </c>
      <c r="O233" s="565">
        <v>1</v>
      </c>
      <c r="P233" s="633">
        <v>9.1999999999999998E-3</v>
      </c>
      <c r="Q233" s="170">
        <f t="shared" ca="1" si="310"/>
        <v>4.2706172839506173E-2</v>
      </c>
      <c r="R233" s="508">
        <f t="shared" ca="1" si="311"/>
        <v>427</v>
      </c>
      <c r="T233" s="512">
        <v>6</v>
      </c>
      <c r="U233" s="516" t="s">
        <v>2251</v>
      </c>
      <c r="V233" s="529" t="s">
        <v>2452</v>
      </c>
      <c r="W233" s="508">
        <f t="shared" ca="1" si="299"/>
        <v>10.125</v>
      </c>
      <c r="X233" s="565">
        <v>1</v>
      </c>
      <c r="Y233" s="166">
        <v>8.9999999999999993E-3</v>
      </c>
      <c r="Z233" s="170">
        <f t="shared" ca="1" si="312"/>
        <v>4.2222222222222223E-2</v>
      </c>
      <c r="AA233" s="508">
        <f t="shared" ca="1" si="313"/>
        <v>422</v>
      </c>
      <c r="AC233" s="512">
        <v>6</v>
      </c>
      <c r="AD233" s="516" t="s">
        <v>2252</v>
      </c>
      <c r="AE233" s="529" t="s">
        <v>2452</v>
      </c>
      <c r="AF233" s="508">
        <f t="shared" ca="1" si="304"/>
        <v>10.125</v>
      </c>
      <c r="AG233" s="594">
        <v>1</v>
      </c>
      <c r="AH233" s="633">
        <v>6.0000000000000001E-3</v>
      </c>
      <c r="AI233" s="170">
        <f t="shared" ca="1" si="320"/>
        <v>3.7925925925925925E-2</v>
      </c>
      <c r="AJ233" s="508">
        <f t="shared" ca="1" si="321"/>
        <v>379</v>
      </c>
      <c r="AL233" s="512">
        <v>6</v>
      </c>
      <c r="AM233" s="516" t="s">
        <v>718</v>
      </c>
      <c r="AN233" s="512" t="s">
        <v>1211</v>
      </c>
      <c r="AO233" s="508">
        <f t="shared" ca="1" si="317"/>
        <v>72</v>
      </c>
      <c r="AP233" s="625">
        <v>1.5</v>
      </c>
      <c r="AQ233" s="166">
        <f>宝箱设定!$X129</f>
        <v>5.8400000000000001E-2</v>
      </c>
      <c r="AR233" s="170">
        <f t="shared" ca="1" si="318"/>
        <v>5.2451851851851854E-2</v>
      </c>
      <c r="AS233" s="279">
        <f t="shared" ca="1" si="319"/>
        <v>525</v>
      </c>
      <c r="AU233" s="512">
        <v>6</v>
      </c>
      <c r="AV233" s="516" t="s">
        <v>628</v>
      </c>
      <c r="AW233" s="295" t="s">
        <v>2395</v>
      </c>
      <c r="AX233" s="508">
        <f t="shared" ca="1" si="322"/>
        <v>1692</v>
      </c>
      <c r="AY233" s="508">
        <v>1</v>
      </c>
      <c r="AZ233" s="508">
        <f>宝箱设定!$H145</f>
        <v>5.9200000000000003E-2</v>
      </c>
      <c r="BA233" s="170">
        <f t="shared" ca="1" si="323"/>
        <v>2.2742316784869977E-3</v>
      </c>
      <c r="BB233" s="508">
        <f t="shared" ca="1" si="324"/>
        <v>23</v>
      </c>
      <c r="BD233" s="512">
        <v>6</v>
      </c>
      <c r="BE233" s="516" t="s">
        <v>628</v>
      </c>
      <c r="BF233" s="295" t="s">
        <v>2395</v>
      </c>
      <c r="BG233" s="508">
        <f t="shared" ca="1" si="325"/>
        <v>1692</v>
      </c>
      <c r="BH233" s="508">
        <v>1</v>
      </c>
      <c r="BI233" s="508">
        <f>宝箱设定!$H145</f>
        <v>5.9200000000000003E-2</v>
      </c>
      <c r="BJ233" s="170">
        <f t="shared" ca="1" si="326"/>
        <v>5.1607565011820341E-3</v>
      </c>
      <c r="BK233" s="279">
        <f ca="1">ROUND(BJ233*10000,0)</f>
        <v>52</v>
      </c>
      <c r="BM233" s="512">
        <v>6</v>
      </c>
      <c r="BN233" s="525" t="s">
        <v>2292</v>
      </c>
      <c r="BO233" s="530" t="s">
        <v>2200</v>
      </c>
      <c r="BP233" s="508" t="str">
        <f t="shared" ca="1" si="282"/>
        <v>T3部件</v>
      </c>
      <c r="BQ233" s="632">
        <v>1</v>
      </c>
      <c r="BR233" s="615">
        <v>1.4500000000000001E-2</v>
      </c>
      <c r="BS233" s="170" t="e">
        <f t="shared" ca="1" si="287"/>
        <v>#VALUE!</v>
      </c>
      <c r="BT233" s="508" t="e">
        <f t="shared" ca="1" si="288"/>
        <v>#VALUE!</v>
      </c>
      <c r="BV233" s="381">
        <v>7</v>
      </c>
      <c r="BW233" s="525" t="s">
        <v>2256</v>
      </c>
      <c r="BX233" s="530" t="s">
        <v>2200</v>
      </c>
      <c r="BY233" s="523">
        <f t="shared" ca="1" si="314"/>
        <v>9.4499999999999993</v>
      </c>
      <c r="BZ233" s="662">
        <v>3</v>
      </c>
      <c r="CA233" s="565">
        <v>1.4999999999999999E-2</v>
      </c>
      <c r="CB233" s="170">
        <f t="shared" ca="1" si="315"/>
        <v>2.6455026455026457E-2</v>
      </c>
      <c r="CC233" s="290">
        <f t="shared" ca="1" si="316"/>
        <v>265</v>
      </c>
    </row>
    <row r="234" spans="2:81" x14ac:dyDescent="0.35">
      <c r="B234" s="512">
        <v>6</v>
      </c>
      <c r="C234" s="516" t="s">
        <v>2253</v>
      </c>
      <c r="D234" s="529" t="s">
        <v>2452</v>
      </c>
      <c r="E234" s="508">
        <f t="shared" ca="1" si="295"/>
        <v>10.125</v>
      </c>
      <c r="F234" s="565">
        <v>2</v>
      </c>
      <c r="G234" s="166">
        <v>7.6E-3</v>
      </c>
      <c r="H234" s="170">
        <f t="shared" ca="1" si="300"/>
        <v>2.2049382716049382E-2</v>
      </c>
      <c r="I234" s="508">
        <f t="shared" ca="1" si="301"/>
        <v>220</v>
      </c>
      <c r="J234" s="300"/>
      <c r="K234" s="512">
        <v>6</v>
      </c>
      <c r="L234" s="516" t="s">
        <v>2253</v>
      </c>
      <c r="M234" s="529" t="s">
        <v>2452</v>
      </c>
      <c r="N234" s="508">
        <f t="shared" ca="1" si="296"/>
        <v>10.125</v>
      </c>
      <c r="O234" s="565">
        <v>1</v>
      </c>
      <c r="P234" s="633">
        <v>9.1999999999999998E-3</v>
      </c>
      <c r="Q234" s="170">
        <f t="shared" ca="1" si="310"/>
        <v>4.2706172839506173E-2</v>
      </c>
      <c r="R234" s="508">
        <f t="shared" ca="1" si="311"/>
        <v>427</v>
      </c>
      <c r="T234" s="512">
        <v>6</v>
      </c>
      <c r="U234" s="516" t="s">
        <v>2253</v>
      </c>
      <c r="V234" s="529" t="s">
        <v>2452</v>
      </c>
      <c r="W234" s="508">
        <f t="shared" ca="1" si="299"/>
        <v>10.125</v>
      </c>
      <c r="X234" s="565">
        <v>1</v>
      </c>
      <c r="Y234" s="166">
        <v>8.9999999999999993E-3</v>
      </c>
      <c r="Z234" s="170">
        <f t="shared" ca="1" si="312"/>
        <v>4.2222222222222223E-2</v>
      </c>
      <c r="AA234" s="508">
        <f t="shared" ca="1" si="313"/>
        <v>422</v>
      </c>
      <c r="AC234" s="512">
        <v>6</v>
      </c>
      <c r="AD234" s="512" t="s">
        <v>2254</v>
      </c>
      <c r="AE234" s="529" t="s">
        <v>2452</v>
      </c>
      <c r="AF234" s="508">
        <f t="shared" ca="1" si="304"/>
        <v>10.125</v>
      </c>
      <c r="AG234" s="594">
        <v>1</v>
      </c>
      <c r="AH234" s="633">
        <v>6.0000000000000001E-3</v>
      </c>
      <c r="AI234" s="170">
        <f t="shared" ca="1" si="320"/>
        <v>3.7925925925925925E-2</v>
      </c>
      <c r="AJ234" s="508">
        <f t="shared" ca="1" si="321"/>
        <v>379</v>
      </c>
      <c r="AL234" s="512">
        <v>6</v>
      </c>
      <c r="AM234" s="516" t="s">
        <v>632</v>
      </c>
      <c r="AN234" s="512" t="s">
        <v>1211</v>
      </c>
      <c r="AO234" s="508">
        <f t="shared" ca="1" si="317"/>
        <v>72</v>
      </c>
      <c r="AP234" s="625">
        <v>1.5</v>
      </c>
      <c r="AQ234" s="166">
        <f>宝箱设定!$X130</f>
        <v>5.8400000000000001E-2</v>
      </c>
      <c r="AR234" s="170">
        <f t="shared" ca="1" si="318"/>
        <v>5.2451851851851854E-2</v>
      </c>
      <c r="AS234" s="279">
        <f t="shared" ca="1" si="319"/>
        <v>525</v>
      </c>
      <c r="AU234" s="512">
        <v>6</v>
      </c>
      <c r="AV234" s="516" t="s">
        <v>616</v>
      </c>
      <c r="AW234" s="512" t="s">
        <v>2394</v>
      </c>
      <c r="AX234" s="508">
        <f t="shared" ca="1" si="322"/>
        <v>45.6</v>
      </c>
      <c r="AY234" s="565">
        <v>5</v>
      </c>
      <c r="AZ234" s="508">
        <f>宝箱设定!$H146</f>
        <v>5.1799999999999992E-2</v>
      </c>
      <c r="BA234" s="170">
        <f t="shared" ca="1" si="323"/>
        <v>1.476754385964912E-2</v>
      </c>
      <c r="BB234" s="508">
        <f t="shared" ca="1" si="324"/>
        <v>148</v>
      </c>
      <c r="BD234" s="512">
        <v>6</v>
      </c>
      <c r="BE234" s="516" t="s">
        <v>616</v>
      </c>
      <c r="BF234" s="512" t="s">
        <v>2394</v>
      </c>
      <c r="BG234" s="508">
        <f t="shared" ca="1" si="325"/>
        <v>45.6</v>
      </c>
      <c r="BH234" s="508">
        <v>9</v>
      </c>
      <c r="BI234" s="508">
        <f>宝箱设定!$H146</f>
        <v>5.1799999999999992E-2</v>
      </c>
      <c r="BJ234" s="170">
        <f t="shared" ca="1" si="326"/>
        <v>1.8617202729044831E-2</v>
      </c>
      <c r="BK234" s="379">
        <f t="shared" ref="BK234:BK239" ca="1" si="327">ROUND(BJ234*10000,0)</f>
        <v>186</v>
      </c>
      <c r="BV234" s="381">
        <v>7</v>
      </c>
      <c r="BW234" s="527" t="s">
        <v>2241</v>
      </c>
      <c r="BX234" s="530" t="s">
        <v>2200</v>
      </c>
      <c r="BY234" s="523">
        <f t="shared" ca="1" si="314"/>
        <v>9.4499999999999993</v>
      </c>
      <c r="BZ234" s="662">
        <v>3</v>
      </c>
      <c r="CA234" s="565">
        <v>1.4999999999999999E-2</v>
      </c>
      <c r="CB234" s="170">
        <f t="shared" ca="1" si="315"/>
        <v>2.6455026455026457E-2</v>
      </c>
      <c r="CC234" s="290">
        <f t="shared" ca="1" si="316"/>
        <v>265</v>
      </c>
    </row>
    <row r="235" spans="2:81" x14ac:dyDescent="0.35">
      <c r="B235" s="512">
        <v>6</v>
      </c>
      <c r="C235" s="512" t="s">
        <v>2255</v>
      </c>
      <c r="D235" s="529" t="s">
        <v>2452</v>
      </c>
      <c r="E235" s="508">
        <f t="shared" ca="1" si="295"/>
        <v>10.125</v>
      </c>
      <c r="F235" s="565">
        <v>2</v>
      </c>
      <c r="G235" s="166">
        <v>7.6E-3</v>
      </c>
      <c r="H235" s="170">
        <f t="shared" ca="1" si="300"/>
        <v>2.2049382716049382E-2</v>
      </c>
      <c r="I235" s="508">
        <f t="shared" ca="1" si="301"/>
        <v>220</v>
      </c>
      <c r="J235" s="300"/>
      <c r="K235" s="512">
        <v>6</v>
      </c>
      <c r="L235" s="512" t="s">
        <v>2255</v>
      </c>
      <c r="M235" s="529" t="s">
        <v>2452</v>
      </c>
      <c r="N235" s="508">
        <f t="shared" ca="1" si="296"/>
        <v>10.125</v>
      </c>
      <c r="O235" s="565">
        <v>1</v>
      </c>
      <c r="P235" s="633">
        <v>9.1999999999999998E-3</v>
      </c>
      <c r="Q235" s="170">
        <f t="shared" ca="1" si="310"/>
        <v>4.2706172839506173E-2</v>
      </c>
      <c r="R235" s="508">
        <f t="shared" ca="1" si="311"/>
        <v>427</v>
      </c>
      <c r="T235" s="512">
        <v>6</v>
      </c>
      <c r="U235" s="512" t="s">
        <v>2255</v>
      </c>
      <c r="V235" s="529" t="s">
        <v>2452</v>
      </c>
      <c r="W235" s="508">
        <f t="shared" ca="1" si="299"/>
        <v>10.125</v>
      </c>
      <c r="X235" s="565">
        <v>1</v>
      </c>
      <c r="Y235" s="166">
        <v>8.9999999999999993E-3</v>
      </c>
      <c r="Z235" s="170">
        <f t="shared" ca="1" si="312"/>
        <v>4.2222222222222223E-2</v>
      </c>
      <c r="AA235" s="508">
        <f t="shared" ca="1" si="313"/>
        <v>422</v>
      </c>
      <c r="AC235" s="512">
        <v>6</v>
      </c>
      <c r="AD235" s="512" t="s">
        <v>2256</v>
      </c>
      <c r="AE235" s="529" t="s">
        <v>2452</v>
      </c>
      <c r="AF235" s="508">
        <f t="shared" ca="1" si="304"/>
        <v>10.125</v>
      </c>
      <c r="AG235" s="594">
        <v>1</v>
      </c>
      <c r="AH235" s="633">
        <v>6.0000000000000001E-3</v>
      </c>
      <c r="AI235" s="170">
        <f t="shared" ca="1" si="320"/>
        <v>3.7925925925925925E-2</v>
      </c>
      <c r="AJ235" s="508">
        <f t="shared" ca="1" si="321"/>
        <v>379</v>
      </c>
      <c r="AL235" s="512">
        <v>6</v>
      </c>
      <c r="AM235" s="516" t="s">
        <v>2239</v>
      </c>
      <c r="AN235" s="529" t="s">
        <v>2452</v>
      </c>
      <c r="AO235" s="508">
        <f t="shared" ca="1" si="317"/>
        <v>10.125</v>
      </c>
      <c r="AP235" s="408">
        <v>2.5</v>
      </c>
      <c r="AQ235" s="166">
        <v>7.0000000000000001E-3</v>
      </c>
      <c r="AR235" s="170">
        <f t="shared" ca="1" si="318"/>
        <v>2.6824691358024694E-2</v>
      </c>
      <c r="AS235" s="279">
        <f t="shared" ca="1" si="319"/>
        <v>268</v>
      </c>
      <c r="AU235" s="512">
        <v>6</v>
      </c>
      <c r="AV235" s="516" t="s">
        <v>624</v>
      </c>
      <c r="AW235" s="512" t="s">
        <v>2394</v>
      </c>
      <c r="AX235" s="508">
        <f t="shared" ca="1" si="322"/>
        <v>45.6</v>
      </c>
      <c r="AY235" s="600">
        <v>5</v>
      </c>
      <c r="AZ235" s="508">
        <f>宝箱设定!$H147</f>
        <v>5.1799999999999992E-2</v>
      </c>
      <c r="BA235" s="170">
        <f t="shared" ca="1" si="323"/>
        <v>1.476754385964912E-2</v>
      </c>
      <c r="BB235" s="508">
        <f t="shared" ca="1" si="324"/>
        <v>148</v>
      </c>
      <c r="BD235" s="512">
        <v>6</v>
      </c>
      <c r="BE235" s="516" t="s">
        <v>624</v>
      </c>
      <c r="BF235" s="512" t="s">
        <v>2394</v>
      </c>
      <c r="BG235" s="508">
        <f t="shared" ca="1" si="325"/>
        <v>45.6</v>
      </c>
      <c r="BH235" s="615">
        <v>9</v>
      </c>
      <c r="BI235" s="508">
        <f>宝箱设定!$H147</f>
        <v>5.1799999999999992E-2</v>
      </c>
      <c r="BJ235" s="170">
        <f t="shared" ca="1" si="326"/>
        <v>1.8617202729044831E-2</v>
      </c>
      <c r="BK235" s="379">
        <f t="shared" ca="1" si="327"/>
        <v>186</v>
      </c>
      <c r="BV235" s="381">
        <v>7</v>
      </c>
      <c r="BW235" s="527" t="s">
        <v>2243</v>
      </c>
      <c r="BX235" s="530" t="s">
        <v>2200</v>
      </c>
      <c r="BY235" s="523">
        <f t="shared" ca="1" si="314"/>
        <v>9.4499999999999993</v>
      </c>
      <c r="BZ235" s="662">
        <v>3</v>
      </c>
      <c r="CA235" s="565">
        <v>1.4999999999999999E-2</v>
      </c>
      <c r="CB235" s="170">
        <f t="shared" ca="1" si="315"/>
        <v>2.6455026455026457E-2</v>
      </c>
      <c r="CC235" s="290">
        <f t="shared" ca="1" si="316"/>
        <v>265</v>
      </c>
    </row>
    <row r="236" spans="2:81" x14ac:dyDescent="0.35">
      <c r="B236" s="512">
        <v>6</v>
      </c>
      <c r="C236" s="512" t="s">
        <v>2257</v>
      </c>
      <c r="D236" s="529" t="s">
        <v>2452</v>
      </c>
      <c r="E236" s="508">
        <f t="shared" ca="1" si="295"/>
        <v>10.125</v>
      </c>
      <c r="F236" s="565">
        <v>2</v>
      </c>
      <c r="G236" s="166">
        <v>7.6E-3</v>
      </c>
      <c r="H236" s="170">
        <f t="shared" ca="1" si="300"/>
        <v>2.2049382716049382E-2</v>
      </c>
      <c r="I236" s="508">
        <f t="shared" ca="1" si="301"/>
        <v>220</v>
      </c>
      <c r="J236" s="300"/>
      <c r="K236" s="512">
        <v>6</v>
      </c>
      <c r="L236" s="512" t="s">
        <v>2257</v>
      </c>
      <c r="M236" s="529" t="s">
        <v>2452</v>
      </c>
      <c r="N236" s="508">
        <f t="shared" ca="1" si="296"/>
        <v>10.125</v>
      </c>
      <c r="O236" s="565">
        <v>1</v>
      </c>
      <c r="P236" s="633">
        <v>9.1999999999999998E-3</v>
      </c>
      <c r="Q236" s="170">
        <f t="shared" ca="1" si="310"/>
        <v>4.2706172839506173E-2</v>
      </c>
      <c r="R236" s="508">
        <f t="shared" ca="1" si="311"/>
        <v>427</v>
      </c>
      <c r="T236" s="512">
        <v>6</v>
      </c>
      <c r="U236" s="512" t="s">
        <v>2257</v>
      </c>
      <c r="V236" s="529" t="s">
        <v>2452</v>
      </c>
      <c r="W236" s="508">
        <f t="shared" ca="1" si="299"/>
        <v>10.125</v>
      </c>
      <c r="X236" s="565">
        <v>1</v>
      </c>
      <c r="Y236" s="166">
        <v>8.9999999999999993E-3</v>
      </c>
      <c r="Z236" s="170">
        <f t="shared" ca="1" si="312"/>
        <v>4.2222222222222223E-2</v>
      </c>
      <c r="AA236" s="508">
        <f t="shared" ca="1" si="313"/>
        <v>422</v>
      </c>
      <c r="AC236" s="512">
        <v>6</v>
      </c>
      <c r="AD236" s="516" t="s">
        <v>2241</v>
      </c>
      <c r="AE236" s="529" t="s">
        <v>2452</v>
      </c>
      <c r="AF236" s="508">
        <f t="shared" ca="1" si="304"/>
        <v>10.125</v>
      </c>
      <c r="AG236" s="594">
        <v>1</v>
      </c>
      <c r="AH236" s="633">
        <v>6.0000000000000001E-3</v>
      </c>
      <c r="AI236" s="170">
        <f t="shared" ca="1" si="320"/>
        <v>3.7925925925925925E-2</v>
      </c>
      <c r="AJ236" s="508">
        <f t="shared" ca="1" si="321"/>
        <v>379</v>
      </c>
      <c r="AL236" s="512">
        <v>6</v>
      </c>
      <c r="AM236" s="516" t="s">
        <v>2242</v>
      </c>
      <c r="AN236" s="529" t="s">
        <v>2452</v>
      </c>
      <c r="AO236" s="508">
        <f t="shared" ca="1" si="317"/>
        <v>10.125</v>
      </c>
      <c r="AP236" s="600">
        <v>2.5</v>
      </c>
      <c r="AQ236" s="166">
        <v>7.0000000000000001E-3</v>
      </c>
      <c r="AR236" s="170">
        <f t="shared" ca="1" si="318"/>
        <v>2.6824691358024694E-2</v>
      </c>
      <c r="AS236" s="279">
        <f t="shared" ca="1" si="319"/>
        <v>268</v>
      </c>
      <c r="AU236" s="512">
        <v>6</v>
      </c>
      <c r="AV236" s="516" t="s">
        <v>630</v>
      </c>
      <c r="AW236" s="512" t="s">
        <v>2394</v>
      </c>
      <c r="AX236" s="508">
        <f t="shared" ca="1" si="322"/>
        <v>45.6</v>
      </c>
      <c r="AY236" s="600">
        <v>5</v>
      </c>
      <c r="AZ236" s="508">
        <f>宝箱设定!$H148</f>
        <v>5.1799999999999992E-2</v>
      </c>
      <c r="BA236" s="170">
        <f t="shared" ca="1" si="323"/>
        <v>1.476754385964912E-2</v>
      </c>
      <c r="BB236" s="508">
        <f t="shared" ca="1" si="324"/>
        <v>148</v>
      </c>
      <c r="BD236" s="512">
        <v>6</v>
      </c>
      <c r="BE236" s="516" t="s">
        <v>630</v>
      </c>
      <c r="BF236" s="512" t="s">
        <v>2394</v>
      </c>
      <c r="BG236" s="508">
        <f t="shared" ca="1" si="325"/>
        <v>45.6</v>
      </c>
      <c r="BH236" s="615">
        <v>9</v>
      </c>
      <c r="BI236" s="508">
        <f>宝箱设定!$H148</f>
        <v>5.1799999999999992E-2</v>
      </c>
      <c r="BJ236" s="170">
        <f t="shared" ca="1" si="326"/>
        <v>1.8617202729044831E-2</v>
      </c>
      <c r="BK236" s="379">
        <f t="shared" ca="1" si="327"/>
        <v>186</v>
      </c>
      <c r="BM236" s="512" t="s">
        <v>597</v>
      </c>
      <c r="BN236" s="525" t="s">
        <v>1225</v>
      </c>
      <c r="BO236" s="526" t="s">
        <v>917</v>
      </c>
      <c r="BP236" s="166" t="s">
        <v>920</v>
      </c>
      <c r="BQ236" s="518" t="s">
        <v>967</v>
      </c>
      <c r="BR236" s="166" t="s">
        <v>854</v>
      </c>
      <c r="BS236" s="166" t="s">
        <v>926</v>
      </c>
      <c r="BT236" s="514" t="s">
        <v>927</v>
      </c>
      <c r="BU236" s="300" t="e">
        <f ca="1">SUM(BT237:BT284)</f>
        <v>#VALUE!</v>
      </c>
      <c r="BV236" s="381">
        <v>7</v>
      </c>
      <c r="BW236" s="527" t="s">
        <v>2245</v>
      </c>
      <c r="BX236" s="530" t="s">
        <v>2200</v>
      </c>
      <c r="BY236" s="523">
        <f t="shared" ca="1" si="314"/>
        <v>9.4499999999999993</v>
      </c>
      <c r="BZ236" s="662">
        <v>3</v>
      </c>
      <c r="CA236" s="565">
        <v>1.4999999999999999E-2</v>
      </c>
      <c r="CB236" s="170">
        <f t="shared" ca="1" si="315"/>
        <v>2.6455026455026457E-2</v>
      </c>
      <c r="CC236" s="290">
        <f t="shared" ca="1" si="316"/>
        <v>265</v>
      </c>
    </row>
    <row r="237" spans="2:81" x14ac:dyDescent="0.35">
      <c r="B237" s="512">
        <v>6</v>
      </c>
      <c r="C237" s="516" t="s">
        <v>2258</v>
      </c>
      <c r="D237" s="529" t="s">
        <v>2452</v>
      </c>
      <c r="E237" s="508" t="str">
        <f t="shared" ca="1" si="295"/>
        <v>T2部件</v>
      </c>
      <c r="F237" s="256">
        <v>2</v>
      </c>
      <c r="G237" s="166">
        <v>7.6E-3</v>
      </c>
      <c r="H237" s="170" t="e">
        <f t="shared" ca="1" si="300"/>
        <v>#VALUE!</v>
      </c>
      <c r="I237" s="256" t="e">
        <f t="shared" ca="1" si="301"/>
        <v>#VALUE!</v>
      </c>
      <c r="J237" s="300"/>
      <c r="K237" s="512">
        <v>6</v>
      </c>
      <c r="L237" s="516" t="s">
        <v>2258</v>
      </c>
      <c r="M237" s="529" t="s">
        <v>2452</v>
      </c>
      <c r="N237" s="508" t="str">
        <f t="shared" ca="1" si="296"/>
        <v>T2部件</v>
      </c>
      <c r="O237" s="565">
        <v>1</v>
      </c>
      <c r="P237" s="633">
        <v>6.4000000000000003E-3</v>
      </c>
      <c r="Q237" s="170" t="e">
        <f t="shared" ca="1" si="310"/>
        <v>#VALUE!</v>
      </c>
      <c r="R237" s="508" t="e">
        <f t="shared" ca="1" si="311"/>
        <v>#VALUE!</v>
      </c>
      <c r="T237" s="512">
        <v>6</v>
      </c>
      <c r="U237" s="516" t="s">
        <v>2258</v>
      </c>
      <c r="V237" s="529" t="s">
        <v>2452</v>
      </c>
      <c r="W237" s="508" t="str">
        <f t="shared" ca="1" si="299"/>
        <v>T2部件</v>
      </c>
      <c r="X237" s="565">
        <v>1</v>
      </c>
      <c r="Y237" s="166">
        <v>6.4999999999999997E-3</v>
      </c>
      <c r="Z237" s="170" t="e">
        <f t="shared" ca="1" si="312"/>
        <v>#VALUE!</v>
      </c>
      <c r="AA237" s="508" t="e">
        <f t="shared" ca="1" si="313"/>
        <v>#VALUE!</v>
      </c>
      <c r="AC237" s="512">
        <v>6</v>
      </c>
      <c r="AD237" s="516" t="s">
        <v>2243</v>
      </c>
      <c r="AE237" s="529" t="s">
        <v>2452</v>
      </c>
      <c r="AF237" s="508">
        <f t="shared" ca="1" si="304"/>
        <v>10.125</v>
      </c>
      <c r="AG237" s="594">
        <v>1</v>
      </c>
      <c r="AH237" s="633">
        <v>6.0000000000000001E-3</v>
      </c>
      <c r="AI237" s="170">
        <f t="shared" ca="1" si="320"/>
        <v>3.7925925925925925E-2</v>
      </c>
      <c r="AJ237" s="508">
        <f t="shared" ca="1" si="321"/>
        <v>379</v>
      </c>
      <c r="AL237" s="512">
        <v>6</v>
      </c>
      <c r="AM237" s="516" t="s">
        <v>2244</v>
      </c>
      <c r="AN237" s="529" t="s">
        <v>2452</v>
      </c>
      <c r="AO237" s="508">
        <f t="shared" ca="1" si="317"/>
        <v>10.125</v>
      </c>
      <c r="AP237" s="600">
        <v>2.5</v>
      </c>
      <c r="AQ237" s="166">
        <v>7.0000000000000001E-3</v>
      </c>
      <c r="AR237" s="170">
        <f t="shared" ca="1" si="318"/>
        <v>2.6824691358024694E-2</v>
      </c>
      <c r="AS237" s="279">
        <f t="shared" ca="1" si="319"/>
        <v>268</v>
      </c>
      <c r="AU237" s="512">
        <v>6</v>
      </c>
      <c r="AV237" s="516" t="s">
        <v>617</v>
      </c>
      <c r="AW237" s="512" t="s">
        <v>2394</v>
      </c>
      <c r="AX237" s="508">
        <f t="shared" ca="1" si="322"/>
        <v>74.8</v>
      </c>
      <c r="AY237" s="565">
        <v>2.5</v>
      </c>
      <c r="AZ237" s="508">
        <f>宝箱设定!$H149</f>
        <v>3.6999999999999998E-2</v>
      </c>
      <c r="BA237" s="170">
        <f t="shared" ca="1" si="323"/>
        <v>1.2860962566844918E-2</v>
      </c>
      <c r="BB237" s="508">
        <f t="shared" ca="1" si="324"/>
        <v>129</v>
      </c>
      <c r="BD237" s="512">
        <v>6</v>
      </c>
      <c r="BE237" s="516" t="s">
        <v>617</v>
      </c>
      <c r="BF237" s="512" t="s">
        <v>2394</v>
      </c>
      <c r="BG237" s="508">
        <f t="shared" ca="1" si="325"/>
        <v>74.8</v>
      </c>
      <c r="BH237" s="565">
        <v>4</v>
      </c>
      <c r="BI237" s="508">
        <f>宝箱设定!$H149</f>
        <v>3.6999999999999998E-2</v>
      </c>
      <c r="BJ237" s="170">
        <f t="shared" ca="1" si="326"/>
        <v>1.8240307486631014E-2</v>
      </c>
      <c r="BK237" s="401">
        <f t="shared" ca="1" si="327"/>
        <v>182</v>
      </c>
      <c r="BM237" s="512">
        <v>7</v>
      </c>
      <c r="BN237" s="527" t="s">
        <v>618</v>
      </c>
      <c r="BO237" s="295" t="s">
        <v>918</v>
      </c>
      <c r="BP237" s="508">
        <f t="shared" ref="BP237:BP284" ca="1" si="328">IF(BO237="部件",VLOOKUP(BM237,INDIRECT(BO237&amp;"价值"),MATCH(LEFT(BN237,2)&amp;"部件",INDIRECT(BO237&amp;"价值标头"),0),FALSE),IF(BO237="加速道具",VLOOKUP(BN237,INDIRECT(BO237&amp;"价值"),MATCH("价格",INDIRECT(BO237&amp;"价值标头"),0),FALSE),VLOOKUP(BM237,INDIRECT(BO237&amp;"价值"),MATCH(BN237,INDIRECT(BO237&amp;"价值标头"),0),FALSE)))</f>
        <v>1584</v>
      </c>
      <c r="BQ237" s="508">
        <v>1</v>
      </c>
      <c r="BR237" s="523">
        <f>宝箱设定!$P158</f>
        <v>7.3999999999999996E-2</v>
      </c>
      <c r="BS237" s="170">
        <f t="shared" ref="BS237:BS275" ca="1" si="329">BR237*BN$4/BP237/BQ237</f>
        <v>1.5416666666666665E-2</v>
      </c>
      <c r="BT237" s="508">
        <f t="shared" ref="BT237:BT275" ca="1" si="330">ROUND(BS237*10000,0)</f>
        <v>154</v>
      </c>
      <c r="BV237" s="381">
        <v>7</v>
      </c>
      <c r="BW237" s="527" t="s">
        <v>2247</v>
      </c>
      <c r="BX237" s="530" t="s">
        <v>2200</v>
      </c>
      <c r="BY237" s="523">
        <f t="shared" ca="1" si="314"/>
        <v>9.4499999999999993</v>
      </c>
      <c r="BZ237" s="662">
        <v>3</v>
      </c>
      <c r="CA237" s="565">
        <v>1.4999999999999999E-2</v>
      </c>
      <c r="CB237" s="170">
        <f t="shared" ca="1" si="315"/>
        <v>2.6455026455026457E-2</v>
      </c>
      <c r="CC237" s="290">
        <f t="shared" ca="1" si="316"/>
        <v>265</v>
      </c>
    </row>
    <row r="238" spans="2:81" x14ac:dyDescent="0.35">
      <c r="B238" s="273">
        <v>6</v>
      </c>
      <c r="C238" s="516" t="s">
        <v>2260</v>
      </c>
      <c r="D238" s="529" t="s">
        <v>2452</v>
      </c>
      <c r="E238" s="508" t="str">
        <f t="shared" ca="1" si="295"/>
        <v>T2部件</v>
      </c>
      <c r="F238" s="508">
        <v>2</v>
      </c>
      <c r="G238" s="166">
        <v>7.6E-3</v>
      </c>
      <c r="H238" s="170" t="e">
        <f t="shared" ca="1" si="300"/>
        <v>#VALUE!</v>
      </c>
      <c r="I238" s="256" t="e">
        <f t="shared" ca="1" si="301"/>
        <v>#VALUE!</v>
      </c>
      <c r="J238" s="300"/>
      <c r="K238" s="512">
        <v>6</v>
      </c>
      <c r="L238" s="516" t="s">
        <v>2260</v>
      </c>
      <c r="M238" s="529" t="s">
        <v>2452</v>
      </c>
      <c r="N238" s="508" t="str">
        <f t="shared" ca="1" si="296"/>
        <v>T2部件</v>
      </c>
      <c r="O238" s="565">
        <v>1</v>
      </c>
      <c r="P238" s="633">
        <v>6.4000000000000003E-3</v>
      </c>
      <c r="Q238" s="170" t="e">
        <f t="shared" ca="1" si="310"/>
        <v>#VALUE!</v>
      </c>
      <c r="R238" s="508" t="e">
        <f t="shared" ca="1" si="311"/>
        <v>#VALUE!</v>
      </c>
      <c r="T238" s="512">
        <v>6</v>
      </c>
      <c r="U238" s="516" t="s">
        <v>2260</v>
      </c>
      <c r="V238" s="529" t="s">
        <v>2452</v>
      </c>
      <c r="W238" s="508" t="str">
        <f t="shared" ca="1" si="299"/>
        <v>T2部件</v>
      </c>
      <c r="X238" s="565">
        <v>1</v>
      </c>
      <c r="Y238" s="166">
        <v>6.4999999999999997E-3</v>
      </c>
      <c r="Z238" s="170" t="e">
        <f t="shared" ca="1" si="312"/>
        <v>#VALUE!</v>
      </c>
      <c r="AA238" s="508" t="e">
        <f t="shared" ca="1" si="313"/>
        <v>#VALUE!</v>
      </c>
      <c r="AC238" s="512">
        <v>6</v>
      </c>
      <c r="AD238" s="516" t="s">
        <v>2245</v>
      </c>
      <c r="AE238" s="529" t="s">
        <v>2452</v>
      </c>
      <c r="AF238" s="508">
        <f t="shared" ca="1" si="304"/>
        <v>10.125</v>
      </c>
      <c r="AG238" s="594">
        <v>1</v>
      </c>
      <c r="AH238" s="633">
        <v>6.0000000000000001E-3</v>
      </c>
      <c r="AI238" s="170">
        <f t="shared" ca="1" si="320"/>
        <v>3.7925925925925925E-2</v>
      </c>
      <c r="AJ238" s="508">
        <f t="shared" ca="1" si="321"/>
        <v>379</v>
      </c>
      <c r="AL238" s="512">
        <v>6</v>
      </c>
      <c r="AM238" s="516" t="s">
        <v>2246</v>
      </c>
      <c r="AN238" s="529" t="s">
        <v>2452</v>
      </c>
      <c r="AO238" s="508">
        <f t="shared" ca="1" si="317"/>
        <v>10.125</v>
      </c>
      <c r="AP238" s="600">
        <v>2.5</v>
      </c>
      <c r="AQ238" s="166">
        <v>7.0000000000000001E-3</v>
      </c>
      <c r="AR238" s="170">
        <f t="shared" ref="AR238:AR276" ca="1" si="331">AQ238*AM$4/AO238/AP238</f>
        <v>2.6824691358024694E-2</v>
      </c>
      <c r="AS238" s="508">
        <f t="shared" ref="AS238:AS276" ca="1" si="332">ROUND(AR238*10000,0)</f>
        <v>268</v>
      </c>
      <c r="AU238" s="512">
        <v>6</v>
      </c>
      <c r="AV238" s="516" t="s">
        <v>626</v>
      </c>
      <c r="AW238" s="512" t="s">
        <v>2394</v>
      </c>
      <c r="AX238" s="508">
        <f t="shared" ca="1" si="322"/>
        <v>74.8</v>
      </c>
      <c r="AY238" s="565">
        <v>2.5</v>
      </c>
      <c r="AZ238" s="508">
        <f>宝箱设定!$H150</f>
        <v>3.6999999999999998E-2</v>
      </c>
      <c r="BA238" s="170">
        <f t="shared" ca="1" si="323"/>
        <v>1.2860962566844918E-2</v>
      </c>
      <c r="BB238" s="508">
        <f t="shared" ca="1" si="324"/>
        <v>129</v>
      </c>
      <c r="BD238" s="512">
        <v>6</v>
      </c>
      <c r="BE238" s="516" t="s">
        <v>626</v>
      </c>
      <c r="BF238" s="512" t="s">
        <v>2394</v>
      </c>
      <c r="BG238" s="508">
        <f t="shared" ca="1" si="325"/>
        <v>74.8</v>
      </c>
      <c r="BH238" s="615">
        <v>4</v>
      </c>
      <c r="BI238" s="508">
        <f>宝箱设定!$H150</f>
        <v>3.6999999999999998E-2</v>
      </c>
      <c r="BJ238" s="170">
        <f t="shared" ca="1" si="326"/>
        <v>1.8240307486631014E-2</v>
      </c>
      <c r="BK238" s="401">
        <f t="shared" ca="1" si="327"/>
        <v>182</v>
      </c>
      <c r="BM238" s="512">
        <v>7</v>
      </c>
      <c r="BN238" s="527" t="s">
        <v>627</v>
      </c>
      <c r="BO238" s="295" t="s">
        <v>918</v>
      </c>
      <c r="BP238" s="508">
        <f t="shared" ca="1" si="328"/>
        <v>1584</v>
      </c>
      <c r="BQ238" s="508">
        <v>1</v>
      </c>
      <c r="BR238" s="523">
        <f>宝箱设定!$P159</f>
        <v>7.3999999999999996E-2</v>
      </c>
      <c r="BS238" s="170">
        <f t="shared" ca="1" si="329"/>
        <v>1.5416666666666665E-2</v>
      </c>
      <c r="BT238" s="508">
        <f t="shared" ca="1" si="330"/>
        <v>154</v>
      </c>
      <c r="BV238" s="381">
        <v>7</v>
      </c>
      <c r="BW238" s="527" t="s">
        <v>2249</v>
      </c>
      <c r="BX238" s="530" t="s">
        <v>2200</v>
      </c>
      <c r="BY238" s="523">
        <f t="shared" ca="1" si="314"/>
        <v>9.4499999999999993</v>
      </c>
      <c r="BZ238" s="662">
        <v>3</v>
      </c>
      <c r="CA238" s="565">
        <v>1.4999999999999999E-2</v>
      </c>
      <c r="CB238" s="170">
        <f t="shared" ca="1" si="315"/>
        <v>2.6455026455026457E-2</v>
      </c>
      <c r="CC238" s="290">
        <f t="shared" ca="1" si="316"/>
        <v>265</v>
      </c>
    </row>
    <row r="239" spans="2:81" x14ac:dyDescent="0.35">
      <c r="B239" s="273">
        <v>6</v>
      </c>
      <c r="C239" s="516" t="s">
        <v>2262</v>
      </c>
      <c r="D239" s="529" t="s">
        <v>2452</v>
      </c>
      <c r="E239" s="508" t="str">
        <f t="shared" ca="1" si="295"/>
        <v>T2部件</v>
      </c>
      <c r="F239" s="508">
        <v>2</v>
      </c>
      <c r="G239" s="166">
        <v>7.6E-3</v>
      </c>
      <c r="H239" s="170" t="e">
        <f t="shared" ca="1" si="300"/>
        <v>#VALUE!</v>
      </c>
      <c r="I239" s="256" t="e">
        <f t="shared" ca="1" si="301"/>
        <v>#VALUE!</v>
      </c>
      <c r="J239" s="300"/>
      <c r="K239" s="512">
        <v>6</v>
      </c>
      <c r="L239" s="516" t="s">
        <v>2262</v>
      </c>
      <c r="M239" s="529" t="s">
        <v>2452</v>
      </c>
      <c r="N239" s="508" t="str">
        <f t="shared" ca="1" si="296"/>
        <v>T2部件</v>
      </c>
      <c r="O239" s="565">
        <v>1</v>
      </c>
      <c r="P239" s="633">
        <v>6.4000000000000003E-3</v>
      </c>
      <c r="Q239" s="170" t="e">
        <f t="shared" ca="1" si="310"/>
        <v>#VALUE!</v>
      </c>
      <c r="R239" s="508" t="e">
        <f t="shared" ca="1" si="311"/>
        <v>#VALUE!</v>
      </c>
      <c r="T239" s="512">
        <v>6</v>
      </c>
      <c r="U239" s="516" t="s">
        <v>2262</v>
      </c>
      <c r="V239" s="529" t="s">
        <v>2452</v>
      </c>
      <c r="W239" s="508" t="str">
        <f t="shared" ca="1" si="299"/>
        <v>T2部件</v>
      </c>
      <c r="X239" s="565">
        <v>1</v>
      </c>
      <c r="Y239" s="166">
        <v>6.4999999999999997E-3</v>
      </c>
      <c r="Z239" s="170" t="e">
        <f t="shared" ca="1" si="312"/>
        <v>#VALUE!</v>
      </c>
      <c r="AA239" s="508" t="e">
        <f t="shared" ca="1" si="313"/>
        <v>#VALUE!</v>
      </c>
      <c r="AC239" s="512">
        <v>6</v>
      </c>
      <c r="AD239" s="516" t="s">
        <v>2247</v>
      </c>
      <c r="AE239" s="529" t="s">
        <v>2452</v>
      </c>
      <c r="AF239" s="508">
        <f t="shared" ca="1" si="304"/>
        <v>10.125</v>
      </c>
      <c r="AG239" s="594">
        <v>1</v>
      </c>
      <c r="AH239" s="633">
        <v>6.0000000000000001E-3</v>
      </c>
      <c r="AI239" s="170">
        <f t="shared" ca="1" si="320"/>
        <v>3.7925925925925925E-2</v>
      </c>
      <c r="AJ239" s="508">
        <f t="shared" ca="1" si="321"/>
        <v>379</v>
      </c>
      <c r="AL239" s="512">
        <v>6</v>
      </c>
      <c r="AM239" s="516" t="s">
        <v>2248</v>
      </c>
      <c r="AN239" s="529" t="s">
        <v>2452</v>
      </c>
      <c r="AO239" s="508">
        <f t="shared" ca="1" si="317"/>
        <v>10.125</v>
      </c>
      <c r="AP239" s="600">
        <v>2.5</v>
      </c>
      <c r="AQ239" s="166">
        <v>7.0000000000000001E-3</v>
      </c>
      <c r="AR239" s="170">
        <f t="shared" ca="1" si="331"/>
        <v>2.6824691358024694E-2</v>
      </c>
      <c r="AS239" s="508">
        <f t="shared" ca="1" si="332"/>
        <v>268</v>
      </c>
      <c r="AU239" s="512">
        <v>6</v>
      </c>
      <c r="AV239" s="516" t="s">
        <v>631</v>
      </c>
      <c r="AW239" s="512" t="s">
        <v>2394</v>
      </c>
      <c r="AX239" s="508">
        <f t="shared" ca="1" si="322"/>
        <v>74.8</v>
      </c>
      <c r="AY239" s="565">
        <v>2.5</v>
      </c>
      <c r="AZ239" s="508">
        <f>宝箱设定!$H151</f>
        <v>3.6999999999999998E-2</v>
      </c>
      <c r="BA239" s="170">
        <f t="shared" ca="1" si="323"/>
        <v>1.2860962566844918E-2</v>
      </c>
      <c r="BB239" s="508">
        <f t="shared" ca="1" si="324"/>
        <v>129</v>
      </c>
      <c r="BD239" s="512">
        <v>6</v>
      </c>
      <c r="BE239" s="516" t="s">
        <v>631</v>
      </c>
      <c r="BF239" s="512" t="s">
        <v>2394</v>
      </c>
      <c r="BG239" s="508">
        <f t="shared" ca="1" si="325"/>
        <v>74.8</v>
      </c>
      <c r="BH239" s="615">
        <v>4</v>
      </c>
      <c r="BI239" s="508">
        <f>宝箱设定!$H151</f>
        <v>3.6999999999999998E-2</v>
      </c>
      <c r="BJ239" s="170">
        <f t="shared" ca="1" si="326"/>
        <v>1.8240307486631014E-2</v>
      </c>
      <c r="BK239" s="401">
        <f t="shared" ca="1" si="327"/>
        <v>182</v>
      </c>
      <c r="BM239" s="512">
        <v>7</v>
      </c>
      <c r="BN239" s="527" t="s">
        <v>628</v>
      </c>
      <c r="BO239" s="295" t="s">
        <v>918</v>
      </c>
      <c r="BP239" s="508">
        <f t="shared" ca="1" si="328"/>
        <v>1584</v>
      </c>
      <c r="BQ239" s="508">
        <v>1</v>
      </c>
      <c r="BR239" s="523">
        <f>宝箱设定!$P160</f>
        <v>7.3999999999999996E-2</v>
      </c>
      <c r="BS239" s="170">
        <f t="shared" ca="1" si="329"/>
        <v>1.5416666666666665E-2</v>
      </c>
      <c r="BT239" s="508">
        <f t="shared" ca="1" si="330"/>
        <v>154</v>
      </c>
      <c r="BV239" s="381">
        <v>7</v>
      </c>
      <c r="BW239" s="527" t="s">
        <v>2251</v>
      </c>
      <c r="BX239" s="530" t="s">
        <v>2200</v>
      </c>
      <c r="BY239" s="523">
        <f t="shared" ca="1" si="314"/>
        <v>9.4499999999999993</v>
      </c>
      <c r="BZ239" s="662">
        <v>3</v>
      </c>
      <c r="CA239" s="565">
        <v>1.4999999999999999E-2</v>
      </c>
      <c r="CB239" s="170">
        <f t="shared" ca="1" si="315"/>
        <v>2.6455026455026457E-2</v>
      </c>
      <c r="CC239" s="290">
        <f t="shared" ca="1" si="316"/>
        <v>265</v>
      </c>
    </row>
    <row r="240" spans="2:81" x14ac:dyDescent="0.35">
      <c r="B240" s="512">
        <v>6</v>
      </c>
      <c r="C240" s="516" t="s">
        <v>2264</v>
      </c>
      <c r="D240" s="529" t="s">
        <v>2452</v>
      </c>
      <c r="E240" s="508" t="str">
        <f t="shared" ca="1" si="295"/>
        <v>T2部件</v>
      </c>
      <c r="F240" s="508">
        <v>2</v>
      </c>
      <c r="G240" s="166">
        <v>7.6E-3</v>
      </c>
      <c r="H240" s="170" t="e">
        <f t="shared" ca="1" si="300"/>
        <v>#VALUE!</v>
      </c>
      <c r="I240" s="508" t="e">
        <f t="shared" ca="1" si="301"/>
        <v>#VALUE!</v>
      </c>
      <c r="J240" s="300"/>
      <c r="K240" s="512">
        <v>6</v>
      </c>
      <c r="L240" s="516" t="s">
        <v>2264</v>
      </c>
      <c r="M240" s="529" t="s">
        <v>2452</v>
      </c>
      <c r="N240" s="508" t="str">
        <f t="shared" ca="1" si="296"/>
        <v>T2部件</v>
      </c>
      <c r="O240" s="565">
        <v>1</v>
      </c>
      <c r="P240" s="633">
        <v>6.4000000000000003E-3</v>
      </c>
      <c r="Q240" s="170" t="e">
        <f t="shared" ca="1" si="310"/>
        <v>#VALUE!</v>
      </c>
      <c r="R240" s="508" t="e">
        <f t="shared" ca="1" si="311"/>
        <v>#VALUE!</v>
      </c>
      <c r="T240" s="512">
        <v>6</v>
      </c>
      <c r="U240" s="516" t="s">
        <v>2264</v>
      </c>
      <c r="V240" s="529" t="s">
        <v>2452</v>
      </c>
      <c r="W240" s="508" t="str">
        <f t="shared" ca="1" si="299"/>
        <v>T2部件</v>
      </c>
      <c r="X240" s="565">
        <v>1</v>
      </c>
      <c r="Y240" s="166">
        <v>6.4999999999999997E-3</v>
      </c>
      <c r="Z240" s="170" t="e">
        <f t="shared" ca="1" si="312"/>
        <v>#VALUE!</v>
      </c>
      <c r="AA240" s="508" t="e">
        <f t="shared" ca="1" si="313"/>
        <v>#VALUE!</v>
      </c>
      <c r="AC240" s="512">
        <v>6</v>
      </c>
      <c r="AD240" s="516" t="s">
        <v>2249</v>
      </c>
      <c r="AE240" s="529" t="s">
        <v>2452</v>
      </c>
      <c r="AF240" s="508">
        <f t="shared" ca="1" si="304"/>
        <v>10.125</v>
      </c>
      <c r="AG240" s="594">
        <v>1</v>
      </c>
      <c r="AH240" s="633">
        <v>6.0000000000000001E-3</v>
      </c>
      <c r="AI240" s="170">
        <f t="shared" ca="1" si="320"/>
        <v>3.7925925925925925E-2</v>
      </c>
      <c r="AJ240" s="508">
        <f t="shared" ca="1" si="321"/>
        <v>379</v>
      </c>
      <c r="AL240" s="512">
        <v>6</v>
      </c>
      <c r="AM240" s="516" t="s">
        <v>2250</v>
      </c>
      <c r="AN240" s="529" t="s">
        <v>2452</v>
      </c>
      <c r="AO240" s="508">
        <f t="shared" ca="1" si="317"/>
        <v>10.125</v>
      </c>
      <c r="AP240" s="600">
        <v>2.5</v>
      </c>
      <c r="AQ240" s="166">
        <v>7.0000000000000001E-3</v>
      </c>
      <c r="AR240" s="170">
        <f t="shared" ca="1" si="331"/>
        <v>2.6824691358024694E-2</v>
      </c>
      <c r="AS240" s="508">
        <f t="shared" ca="1" si="332"/>
        <v>268</v>
      </c>
      <c r="AU240" s="512">
        <v>6</v>
      </c>
      <c r="AV240" s="516" t="s">
        <v>618</v>
      </c>
      <c r="AW240" s="512" t="s">
        <v>2394</v>
      </c>
      <c r="AX240" s="508">
        <f t="shared" ca="1" si="322"/>
        <v>56.4</v>
      </c>
      <c r="AY240" s="565">
        <v>2</v>
      </c>
      <c r="AZ240" s="508">
        <f>宝箱设定!$H152</f>
        <v>3.6999999999999998E-2</v>
      </c>
      <c r="BA240" s="170">
        <f t="shared" ca="1" si="323"/>
        <v>2.1320921985815602E-2</v>
      </c>
      <c r="BB240" s="508">
        <f t="shared" ca="1" si="324"/>
        <v>213</v>
      </c>
      <c r="BD240" s="512">
        <v>6</v>
      </c>
      <c r="BE240" s="516" t="s">
        <v>618</v>
      </c>
      <c r="BF240" s="512" t="s">
        <v>2394</v>
      </c>
      <c r="BG240" s="508">
        <f t="shared" ca="1" si="325"/>
        <v>56.4</v>
      </c>
      <c r="BH240" s="508">
        <v>4</v>
      </c>
      <c r="BI240" s="508">
        <f>宝箱设定!$H152</f>
        <v>3.6999999999999998E-2</v>
      </c>
      <c r="BJ240" s="170">
        <f t="shared" ca="1" si="326"/>
        <v>2.4191046099290778E-2</v>
      </c>
      <c r="BK240" s="279">
        <f t="shared" ref="BK240:BK260" ca="1" si="333">ROUND(BJ240*10000,0)</f>
        <v>242</v>
      </c>
      <c r="BM240" s="512">
        <v>7</v>
      </c>
      <c r="BN240" s="527" t="s">
        <v>619</v>
      </c>
      <c r="BO240" s="295" t="s">
        <v>918</v>
      </c>
      <c r="BP240" s="508">
        <f t="shared" ca="1" si="328"/>
        <v>2070</v>
      </c>
      <c r="BQ240" s="508">
        <v>1</v>
      </c>
      <c r="BR240" s="523">
        <f>宝箱设定!$P161</f>
        <v>7.3999999999999996E-2</v>
      </c>
      <c r="BS240" s="170">
        <f t="shared" ca="1" si="329"/>
        <v>1.1797101449275361E-2</v>
      </c>
      <c r="BT240" s="508">
        <f t="shared" ca="1" si="330"/>
        <v>118</v>
      </c>
      <c r="BV240" s="396">
        <v>7</v>
      </c>
      <c r="BW240" s="527" t="s">
        <v>2253</v>
      </c>
      <c r="BX240" s="530" t="s">
        <v>2200</v>
      </c>
      <c r="BY240" s="523">
        <f t="shared" ca="1" si="314"/>
        <v>9.4499999999999993</v>
      </c>
      <c r="BZ240" s="662">
        <v>3</v>
      </c>
      <c r="CA240" s="565">
        <v>1.4999999999999999E-2</v>
      </c>
      <c r="CB240" s="170">
        <f t="shared" ca="1" si="315"/>
        <v>2.6455026455026457E-2</v>
      </c>
      <c r="CC240" s="290">
        <f t="shared" ca="1" si="316"/>
        <v>265</v>
      </c>
    </row>
    <row r="241" spans="2:81" x14ac:dyDescent="0.35">
      <c r="B241" s="512">
        <v>6</v>
      </c>
      <c r="C241" s="516" t="s">
        <v>2266</v>
      </c>
      <c r="D241" s="529" t="s">
        <v>2452</v>
      </c>
      <c r="E241" s="508" t="str">
        <f t="shared" ca="1" si="295"/>
        <v>T2部件</v>
      </c>
      <c r="F241" s="508">
        <v>2</v>
      </c>
      <c r="G241" s="166">
        <v>7.6E-3</v>
      </c>
      <c r="H241" s="170" t="e">
        <f t="shared" ca="1" si="300"/>
        <v>#VALUE!</v>
      </c>
      <c r="I241" s="508" t="e">
        <f t="shared" ca="1" si="301"/>
        <v>#VALUE!</v>
      </c>
      <c r="J241" s="300"/>
      <c r="K241" s="512">
        <v>6</v>
      </c>
      <c r="L241" s="516" t="s">
        <v>2266</v>
      </c>
      <c r="M241" s="529" t="s">
        <v>2452</v>
      </c>
      <c r="N241" s="508" t="str">
        <f t="shared" ca="1" si="296"/>
        <v>T2部件</v>
      </c>
      <c r="O241" s="565">
        <v>1</v>
      </c>
      <c r="P241" s="633">
        <v>6.4000000000000003E-3</v>
      </c>
      <c r="Q241" s="170" t="e">
        <f t="shared" ca="1" si="310"/>
        <v>#VALUE!</v>
      </c>
      <c r="R241" s="508" t="e">
        <f t="shared" ca="1" si="311"/>
        <v>#VALUE!</v>
      </c>
      <c r="T241" s="512">
        <v>6</v>
      </c>
      <c r="U241" s="516" t="s">
        <v>2266</v>
      </c>
      <c r="V241" s="529" t="s">
        <v>2452</v>
      </c>
      <c r="W241" s="508" t="str">
        <f t="shared" ca="1" si="299"/>
        <v>T2部件</v>
      </c>
      <c r="X241" s="565">
        <v>1</v>
      </c>
      <c r="Y241" s="166">
        <v>6.4999999999999997E-3</v>
      </c>
      <c r="Z241" s="170" t="e">
        <f t="shared" ca="1" si="312"/>
        <v>#VALUE!</v>
      </c>
      <c r="AA241" s="508" t="e">
        <f t="shared" ca="1" si="313"/>
        <v>#VALUE!</v>
      </c>
      <c r="AC241" s="512">
        <v>6</v>
      </c>
      <c r="AD241" s="516" t="s">
        <v>2251</v>
      </c>
      <c r="AE241" s="529" t="s">
        <v>2452</v>
      </c>
      <c r="AF241" s="508">
        <f t="shared" ca="1" si="304"/>
        <v>10.125</v>
      </c>
      <c r="AG241" s="594">
        <v>1</v>
      </c>
      <c r="AH241" s="633">
        <v>6.0000000000000001E-3</v>
      </c>
      <c r="AI241" s="170">
        <f t="shared" ca="1" si="320"/>
        <v>3.7925925925925925E-2</v>
      </c>
      <c r="AJ241" s="508">
        <f t="shared" ca="1" si="321"/>
        <v>379</v>
      </c>
      <c r="AL241" s="512">
        <v>6</v>
      </c>
      <c r="AM241" s="516" t="s">
        <v>2252</v>
      </c>
      <c r="AN241" s="529" t="s">
        <v>2452</v>
      </c>
      <c r="AO241" s="508">
        <f t="shared" ca="1" si="317"/>
        <v>10.125</v>
      </c>
      <c r="AP241" s="600">
        <v>2.5</v>
      </c>
      <c r="AQ241" s="166">
        <v>7.0000000000000001E-3</v>
      </c>
      <c r="AR241" s="170">
        <f t="shared" ca="1" si="331"/>
        <v>2.6824691358024694E-2</v>
      </c>
      <c r="AS241" s="508">
        <f t="shared" ca="1" si="332"/>
        <v>268</v>
      </c>
      <c r="AU241" s="512">
        <v>6</v>
      </c>
      <c r="AV241" s="516" t="s">
        <v>627</v>
      </c>
      <c r="AW241" s="512" t="s">
        <v>2394</v>
      </c>
      <c r="AX241" s="508">
        <f t="shared" ca="1" si="322"/>
        <v>56.4</v>
      </c>
      <c r="AY241" s="508">
        <v>2</v>
      </c>
      <c r="AZ241" s="508">
        <f>宝箱设定!$H153</f>
        <v>3.6999999999999998E-2</v>
      </c>
      <c r="BA241" s="170">
        <f t="shared" ca="1" si="323"/>
        <v>2.1320921985815602E-2</v>
      </c>
      <c r="BB241" s="508">
        <f t="shared" ca="1" si="324"/>
        <v>213</v>
      </c>
      <c r="BD241" s="512">
        <v>6</v>
      </c>
      <c r="BE241" s="516" t="s">
        <v>627</v>
      </c>
      <c r="BF241" s="512" t="s">
        <v>2394</v>
      </c>
      <c r="BG241" s="508">
        <f t="shared" ca="1" si="325"/>
        <v>56.4</v>
      </c>
      <c r="BH241" s="615">
        <v>4</v>
      </c>
      <c r="BI241" s="508">
        <f>宝箱设定!$H153</f>
        <v>3.6999999999999998E-2</v>
      </c>
      <c r="BJ241" s="170">
        <f t="shared" ca="1" si="326"/>
        <v>2.4191046099290778E-2</v>
      </c>
      <c r="BK241" s="279">
        <f t="shared" ca="1" si="333"/>
        <v>242</v>
      </c>
      <c r="BM241" s="512">
        <v>7</v>
      </c>
      <c r="BN241" s="527" t="s">
        <v>718</v>
      </c>
      <c r="BO241" s="295" t="s">
        <v>918</v>
      </c>
      <c r="BP241" s="508">
        <f t="shared" ca="1" si="328"/>
        <v>2070</v>
      </c>
      <c r="BQ241" s="508">
        <v>1</v>
      </c>
      <c r="BR241" s="523">
        <f>宝箱设定!$P162</f>
        <v>7.3999999999999996E-2</v>
      </c>
      <c r="BS241" s="170">
        <f t="shared" ca="1" si="329"/>
        <v>1.1797101449275361E-2</v>
      </c>
      <c r="BT241" s="508">
        <f t="shared" ca="1" si="330"/>
        <v>118</v>
      </c>
      <c r="BV241" s="396">
        <v>7</v>
      </c>
      <c r="BW241" s="525" t="s">
        <v>2255</v>
      </c>
      <c r="BX241" s="530" t="s">
        <v>2200</v>
      </c>
      <c r="BY241" s="523">
        <f t="shared" ca="1" si="314"/>
        <v>9.4499999999999993</v>
      </c>
      <c r="BZ241" s="662">
        <v>3</v>
      </c>
      <c r="CA241" s="565">
        <v>1.4999999999999999E-2</v>
      </c>
      <c r="CB241" s="170">
        <f t="shared" ca="1" si="315"/>
        <v>2.6455026455026457E-2</v>
      </c>
      <c r="CC241" s="290">
        <f t="shared" ca="1" si="316"/>
        <v>265</v>
      </c>
    </row>
    <row r="242" spans="2:81" x14ac:dyDescent="0.35">
      <c r="B242" s="512">
        <v>6</v>
      </c>
      <c r="C242" s="516" t="s">
        <v>2268</v>
      </c>
      <c r="D242" s="529" t="s">
        <v>2452</v>
      </c>
      <c r="E242" s="508" t="str">
        <f t="shared" ref="E242:E263" ca="1" si="334">IF(D242="部件",VLOOKUP(B242,INDIRECT(D242&amp;"价值"),MATCH(LEFT(C242,2)&amp;"部件",INDIRECT(D242&amp;"价值标头"),0),FALSE),IF(D242="加速道具",VLOOKUP(C242,INDIRECT(D242&amp;"价值"),MATCH("价格",INDIRECT(D242&amp;"价值标头"),0),FALSE),VLOOKUP(B242,INDIRECT(D242&amp;"价值"),MATCH(C242,INDIRECT(D242&amp;"价值标头"),0),FALSE)))</f>
        <v>T2部件</v>
      </c>
      <c r="F242" s="508">
        <v>2</v>
      </c>
      <c r="G242" s="166">
        <v>7.6E-3</v>
      </c>
      <c r="H242" s="170" t="e">
        <f t="shared" ca="1" si="300"/>
        <v>#VALUE!</v>
      </c>
      <c r="I242" s="508" t="e">
        <f t="shared" ca="1" si="301"/>
        <v>#VALUE!</v>
      </c>
      <c r="J242" s="300"/>
      <c r="K242" s="512">
        <v>6</v>
      </c>
      <c r="L242" s="516" t="s">
        <v>2268</v>
      </c>
      <c r="M242" s="529" t="s">
        <v>2452</v>
      </c>
      <c r="N242" s="508" t="str">
        <f t="shared" ref="N242:N263" ca="1" si="335">IF(M242="部件",VLOOKUP(K242,INDIRECT(M242&amp;"价值"),MATCH(LEFT(L242,2)&amp;"部件",INDIRECT(M242&amp;"价值标头"),0),FALSE),IF(M242="加速道具",VLOOKUP(L242,INDIRECT(M242&amp;"价值"),MATCH("价格",INDIRECT(M242&amp;"价值标头"),0),FALSE),VLOOKUP(K242,INDIRECT(M242&amp;"价值"),MATCH(L242,INDIRECT(M242&amp;"价值标头"),0),FALSE)))</f>
        <v>T2部件</v>
      </c>
      <c r="O242" s="565">
        <v>1</v>
      </c>
      <c r="P242" s="633">
        <v>6.4000000000000003E-3</v>
      </c>
      <c r="Q242" s="170" t="e">
        <f t="shared" ca="1" si="310"/>
        <v>#VALUE!</v>
      </c>
      <c r="R242" s="508" t="e">
        <f t="shared" ca="1" si="311"/>
        <v>#VALUE!</v>
      </c>
      <c r="T242" s="512">
        <v>6</v>
      </c>
      <c r="U242" s="516" t="s">
        <v>2268</v>
      </c>
      <c r="V242" s="529" t="s">
        <v>2452</v>
      </c>
      <c r="W242" s="508" t="str">
        <f t="shared" ref="W242:W263" ca="1" si="336">IF(V242="部件",VLOOKUP(T242,INDIRECT(V242&amp;"价值"),MATCH(LEFT(U242,2)&amp;"部件",INDIRECT(V242&amp;"价值标头"),0),FALSE),IF(V242="加速道具",VLOOKUP(U242,INDIRECT(V242&amp;"价值"),MATCH("价格",INDIRECT(V242&amp;"价值标头"),0),FALSE),VLOOKUP(T242,INDIRECT(V242&amp;"价值"),MATCH(U242,INDIRECT(V242&amp;"价值标头"),0),FALSE)))</f>
        <v>T2部件</v>
      </c>
      <c r="X242" s="565">
        <v>1</v>
      </c>
      <c r="Y242" s="166">
        <v>6.4999999999999997E-3</v>
      </c>
      <c r="Z242" s="170" t="e">
        <f t="shared" ca="1" si="312"/>
        <v>#VALUE!</v>
      </c>
      <c r="AA242" s="508" t="e">
        <f t="shared" ca="1" si="313"/>
        <v>#VALUE!</v>
      </c>
      <c r="AC242" s="512">
        <v>6</v>
      </c>
      <c r="AD242" s="516" t="s">
        <v>2253</v>
      </c>
      <c r="AE242" s="529" t="s">
        <v>2452</v>
      </c>
      <c r="AF242" s="508">
        <f t="shared" ca="1" si="304"/>
        <v>10.125</v>
      </c>
      <c r="AG242" s="594">
        <v>1</v>
      </c>
      <c r="AH242" s="633">
        <v>6.0000000000000001E-3</v>
      </c>
      <c r="AI242" s="170">
        <f t="shared" ca="1" si="320"/>
        <v>3.7925925925925925E-2</v>
      </c>
      <c r="AJ242" s="508">
        <f t="shared" ca="1" si="321"/>
        <v>379</v>
      </c>
      <c r="AL242" s="512">
        <v>6</v>
      </c>
      <c r="AM242" s="512" t="s">
        <v>2254</v>
      </c>
      <c r="AN242" s="529" t="s">
        <v>2452</v>
      </c>
      <c r="AO242" s="508">
        <f t="shared" ca="1" si="317"/>
        <v>10.125</v>
      </c>
      <c r="AP242" s="600">
        <v>2.5</v>
      </c>
      <c r="AQ242" s="166">
        <v>7.0000000000000001E-3</v>
      </c>
      <c r="AR242" s="170">
        <f t="shared" ca="1" si="331"/>
        <v>2.6824691358024694E-2</v>
      </c>
      <c r="AS242" s="508">
        <f t="shared" ca="1" si="332"/>
        <v>268</v>
      </c>
      <c r="AU242" s="512">
        <v>6</v>
      </c>
      <c r="AV242" s="516" t="s">
        <v>628</v>
      </c>
      <c r="AW242" s="512" t="s">
        <v>2394</v>
      </c>
      <c r="AX242" s="508">
        <f t="shared" ca="1" si="322"/>
        <v>56.4</v>
      </c>
      <c r="AY242" s="508">
        <v>2</v>
      </c>
      <c r="AZ242" s="508">
        <f>宝箱设定!$H154</f>
        <v>3.6999999999999998E-2</v>
      </c>
      <c r="BA242" s="170">
        <f t="shared" ca="1" si="323"/>
        <v>2.1320921985815602E-2</v>
      </c>
      <c r="BB242" s="508">
        <f t="shared" ca="1" si="324"/>
        <v>213</v>
      </c>
      <c r="BD242" s="512">
        <v>6</v>
      </c>
      <c r="BE242" s="516" t="s">
        <v>628</v>
      </c>
      <c r="BF242" s="512" t="s">
        <v>2394</v>
      </c>
      <c r="BG242" s="508">
        <f t="shared" ca="1" si="325"/>
        <v>56.4</v>
      </c>
      <c r="BH242" s="615">
        <v>4</v>
      </c>
      <c r="BI242" s="508">
        <f>宝箱设定!$H154</f>
        <v>3.6999999999999998E-2</v>
      </c>
      <c r="BJ242" s="170">
        <f t="shared" ca="1" si="326"/>
        <v>2.4191046099290778E-2</v>
      </c>
      <c r="BK242" s="279">
        <f t="shared" ca="1" si="333"/>
        <v>242</v>
      </c>
      <c r="BM242" s="512">
        <v>7</v>
      </c>
      <c r="BN242" s="527" t="s">
        <v>632</v>
      </c>
      <c r="BO242" s="295" t="s">
        <v>918</v>
      </c>
      <c r="BP242" s="508">
        <f t="shared" ca="1" si="328"/>
        <v>2070</v>
      </c>
      <c r="BQ242" s="508">
        <v>1</v>
      </c>
      <c r="BR242" s="523">
        <f>宝箱设定!$P163</f>
        <v>7.3999999999999996E-2</v>
      </c>
      <c r="BS242" s="170">
        <f t="shared" ca="1" si="329"/>
        <v>1.1797101449275361E-2</v>
      </c>
      <c r="BT242" s="508">
        <f t="shared" ca="1" si="330"/>
        <v>118</v>
      </c>
      <c r="BV242" s="396">
        <v>7</v>
      </c>
      <c r="BW242" s="525" t="s">
        <v>2257</v>
      </c>
      <c r="BX242" s="530" t="s">
        <v>2200</v>
      </c>
      <c r="BY242" s="523">
        <f t="shared" ca="1" si="314"/>
        <v>9.4499999999999993</v>
      </c>
      <c r="BZ242" s="662">
        <v>3</v>
      </c>
      <c r="CA242" s="565">
        <v>1.4999999999999999E-2</v>
      </c>
      <c r="CB242" s="170">
        <f t="shared" ca="1" si="315"/>
        <v>2.6455026455026457E-2</v>
      </c>
      <c r="CC242" s="290">
        <f t="shared" ca="1" si="316"/>
        <v>265</v>
      </c>
    </row>
    <row r="243" spans="2:81" x14ac:dyDescent="0.35">
      <c r="B243" s="512">
        <v>6</v>
      </c>
      <c r="C243" s="516" t="s">
        <v>2270</v>
      </c>
      <c r="D243" s="529" t="s">
        <v>2452</v>
      </c>
      <c r="E243" s="508" t="str">
        <f t="shared" ca="1" si="334"/>
        <v>T2部件</v>
      </c>
      <c r="F243" s="508">
        <v>2</v>
      </c>
      <c r="G243" s="166">
        <v>7.6E-3</v>
      </c>
      <c r="H243" s="170" t="e">
        <f t="shared" ca="1" si="300"/>
        <v>#VALUE!</v>
      </c>
      <c r="I243" s="508" t="e">
        <f t="shared" ca="1" si="301"/>
        <v>#VALUE!</v>
      </c>
      <c r="J243" s="300"/>
      <c r="K243" s="512">
        <v>6</v>
      </c>
      <c r="L243" s="516" t="s">
        <v>2270</v>
      </c>
      <c r="M243" s="529" t="s">
        <v>2452</v>
      </c>
      <c r="N243" s="508" t="str">
        <f t="shared" ca="1" si="335"/>
        <v>T2部件</v>
      </c>
      <c r="O243" s="565">
        <v>1</v>
      </c>
      <c r="P243" s="633">
        <v>6.4000000000000003E-3</v>
      </c>
      <c r="Q243" s="170" t="e">
        <f t="shared" ca="1" si="310"/>
        <v>#VALUE!</v>
      </c>
      <c r="R243" s="508" t="e">
        <f t="shared" ca="1" si="311"/>
        <v>#VALUE!</v>
      </c>
      <c r="T243" s="512">
        <v>6</v>
      </c>
      <c r="U243" s="516" t="s">
        <v>2270</v>
      </c>
      <c r="V243" s="529" t="s">
        <v>2452</v>
      </c>
      <c r="W243" s="508" t="str">
        <f t="shared" ca="1" si="336"/>
        <v>T2部件</v>
      </c>
      <c r="X243" s="565">
        <v>1</v>
      </c>
      <c r="Y243" s="166">
        <v>6.4999999999999997E-3</v>
      </c>
      <c r="Z243" s="170" t="e">
        <f t="shared" ca="1" si="312"/>
        <v>#VALUE!</v>
      </c>
      <c r="AA243" s="508" t="e">
        <f t="shared" ca="1" si="313"/>
        <v>#VALUE!</v>
      </c>
      <c r="AC243" s="512">
        <v>6</v>
      </c>
      <c r="AD243" s="512" t="s">
        <v>2255</v>
      </c>
      <c r="AE243" s="529" t="s">
        <v>2452</v>
      </c>
      <c r="AF243" s="508">
        <f t="shared" ca="1" si="304"/>
        <v>10.125</v>
      </c>
      <c r="AG243" s="594">
        <v>1</v>
      </c>
      <c r="AH243" s="633">
        <v>6.0000000000000001E-3</v>
      </c>
      <c r="AI243" s="170">
        <f t="shared" ca="1" si="320"/>
        <v>3.7925925925925925E-2</v>
      </c>
      <c r="AJ243" s="508">
        <f t="shared" ca="1" si="321"/>
        <v>379</v>
      </c>
      <c r="AL243" s="512">
        <v>6</v>
      </c>
      <c r="AM243" s="512" t="s">
        <v>2256</v>
      </c>
      <c r="AN243" s="529" t="s">
        <v>2452</v>
      </c>
      <c r="AO243" s="508">
        <f t="shared" ca="1" si="317"/>
        <v>10.125</v>
      </c>
      <c r="AP243" s="600">
        <v>2.5</v>
      </c>
      <c r="AQ243" s="166">
        <v>7.0000000000000001E-3</v>
      </c>
      <c r="AR243" s="170">
        <f t="shared" ca="1" si="331"/>
        <v>2.6824691358024694E-2</v>
      </c>
      <c r="AS243" s="508">
        <f t="shared" ca="1" si="332"/>
        <v>268</v>
      </c>
      <c r="AU243" s="512">
        <v>6</v>
      </c>
      <c r="AV243" s="516" t="s">
        <v>619</v>
      </c>
      <c r="AW243" s="512" t="s">
        <v>2394</v>
      </c>
      <c r="AX243" s="508">
        <f t="shared" ca="1" si="322"/>
        <v>72</v>
      </c>
      <c r="AY243" s="508">
        <v>1.5</v>
      </c>
      <c r="AZ243" s="508">
        <f>宝箱设定!$H155</f>
        <v>3.6999999999999998E-2</v>
      </c>
      <c r="BA243" s="170">
        <f t="shared" ca="1" si="323"/>
        <v>2.2268518518518517E-2</v>
      </c>
      <c r="BB243" s="508">
        <f t="shared" ca="1" si="324"/>
        <v>223</v>
      </c>
      <c r="BD243" s="512">
        <v>6</v>
      </c>
      <c r="BE243" s="516" t="s">
        <v>619</v>
      </c>
      <c r="BF243" s="512" t="s">
        <v>2394</v>
      </c>
      <c r="BG243" s="508">
        <f t="shared" ca="1" si="325"/>
        <v>72</v>
      </c>
      <c r="BH243" s="508">
        <v>3.5</v>
      </c>
      <c r="BI243" s="508">
        <f>宝箱设定!$H155</f>
        <v>3.6999999999999998E-2</v>
      </c>
      <c r="BJ243" s="170">
        <f t="shared" ca="1" si="326"/>
        <v>2.165674603174603E-2</v>
      </c>
      <c r="BK243" s="279">
        <f t="shared" ca="1" si="333"/>
        <v>217</v>
      </c>
      <c r="BM243" s="512">
        <v>7</v>
      </c>
      <c r="BN243" s="527" t="s">
        <v>618</v>
      </c>
      <c r="BO243" s="525" t="s">
        <v>1211</v>
      </c>
      <c r="BP243" s="508">
        <f t="shared" ca="1" si="328"/>
        <v>52.8</v>
      </c>
      <c r="BQ243" s="508">
        <v>8</v>
      </c>
      <c r="BR243" s="523">
        <f>宝箱设定!$P164</f>
        <v>3.6999999999999998E-2</v>
      </c>
      <c r="BS243" s="170">
        <f t="shared" ca="1" si="329"/>
        <v>2.8906249999999998E-2</v>
      </c>
      <c r="BT243" s="508">
        <f t="shared" ca="1" si="330"/>
        <v>289</v>
      </c>
      <c r="BV243" s="396">
        <v>7</v>
      </c>
      <c r="BW243" s="527" t="s">
        <v>2258</v>
      </c>
      <c r="BX243" s="530" t="s">
        <v>2200</v>
      </c>
      <c r="BY243" s="523" t="str">
        <f t="shared" ca="1" si="314"/>
        <v>T2部件</v>
      </c>
      <c r="BZ243" s="662">
        <v>1.5</v>
      </c>
      <c r="CA243" s="523">
        <v>2.0500000000000001E-2</v>
      </c>
      <c r="CB243" s="170" t="e">
        <f t="shared" ca="1" si="315"/>
        <v>#VALUE!</v>
      </c>
      <c r="CC243" s="290" t="e">
        <f t="shared" ca="1" si="316"/>
        <v>#VALUE!</v>
      </c>
    </row>
    <row r="244" spans="2:81" x14ac:dyDescent="0.35">
      <c r="B244" s="512">
        <v>6</v>
      </c>
      <c r="C244" s="512" t="s">
        <v>2272</v>
      </c>
      <c r="D244" s="529" t="s">
        <v>2452</v>
      </c>
      <c r="E244" s="508" t="str">
        <f t="shared" ca="1" si="334"/>
        <v>T2部件</v>
      </c>
      <c r="F244" s="508">
        <v>2</v>
      </c>
      <c r="G244" s="166">
        <v>7.6E-3</v>
      </c>
      <c r="H244" s="170" t="e">
        <f t="shared" ca="1" si="300"/>
        <v>#VALUE!</v>
      </c>
      <c r="I244" s="508" t="e">
        <f t="shared" ca="1" si="301"/>
        <v>#VALUE!</v>
      </c>
      <c r="J244" s="300"/>
      <c r="K244" s="512">
        <v>6</v>
      </c>
      <c r="L244" s="512" t="s">
        <v>2272</v>
      </c>
      <c r="M244" s="529" t="s">
        <v>2452</v>
      </c>
      <c r="N244" s="508" t="str">
        <f t="shared" ca="1" si="335"/>
        <v>T2部件</v>
      </c>
      <c r="O244" s="565">
        <v>1</v>
      </c>
      <c r="P244" s="633">
        <v>6.4000000000000003E-3</v>
      </c>
      <c r="Q244" s="170" t="e">
        <f t="shared" ca="1" si="310"/>
        <v>#VALUE!</v>
      </c>
      <c r="R244" s="508" t="e">
        <f t="shared" ca="1" si="311"/>
        <v>#VALUE!</v>
      </c>
      <c r="T244" s="512">
        <v>6</v>
      </c>
      <c r="U244" s="512" t="s">
        <v>2272</v>
      </c>
      <c r="V244" s="529" t="s">
        <v>2452</v>
      </c>
      <c r="W244" s="508" t="str">
        <f t="shared" ca="1" si="336"/>
        <v>T2部件</v>
      </c>
      <c r="X244" s="565">
        <v>1</v>
      </c>
      <c r="Y244" s="166">
        <v>6.4999999999999997E-3</v>
      </c>
      <c r="Z244" s="170" t="e">
        <f t="shared" ca="1" si="312"/>
        <v>#VALUE!</v>
      </c>
      <c r="AA244" s="508" t="e">
        <f t="shared" ca="1" si="313"/>
        <v>#VALUE!</v>
      </c>
      <c r="AC244" s="512">
        <v>6</v>
      </c>
      <c r="AD244" s="512" t="s">
        <v>2257</v>
      </c>
      <c r="AE244" s="529" t="s">
        <v>2452</v>
      </c>
      <c r="AF244" s="508">
        <f t="shared" ca="1" si="304"/>
        <v>10.125</v>
      </c>
      <c r="AG244" s="594">
        <v>1</v>
      </c>
      <c r="AH244" s="633">
        <v>6.0000000000000001E-3</v>
      </c>
      <c r="AI244" s="170">
        <f t="shared" ca="1" si="320"/>
        <v>3.7925925925925925E-2</v>
      </c>
      <c r="AJ244" s="508">
        <f t="shared" ca="1" si="321"/>
        <v>379</v>
      </c>
      <c r="AL244" s="512">
        <v>6</v>
      </c>
      <c r="AM244" s="516" t="s">
        <v>2241</v>
      </c>
      <c r="AN244" s="529" t="s">
        <v>2452</v>
      </c>
      <c r="AO244" s="508">
        <f t="shared" ca="1" si="317"/>
        <v>10.125</v>
      </c>
      <c r="AP244" s="600">
        <v>2.5</v>
      </c>
      <c r="AQ244" s="166">
        <v>7.0000000000000001E-3</v>
      </c>
      <c r="AR244" s="170">
        <f t="shared" ca="1" si="331"/>
        <v>2.6824691358024694E-2</v>
      </c>
      <c r="AS244" s="508">
        <f t="shared" ca="1" si="332"/>
        <v>268</v>
      </c>
      <c r="AU244" s="512">
        <v>6</v>
      </c>
      <c r="AV244" s="516" t="s">
        <v>718</v>
      </c>
      <c r="AW244" s="512" t="s">
        <v>2394</v>
      </c>
      <c r="AX244" s="508">
        <f t="shared" ca="1" si="322"/>
        <v>72</v>
      </c>
      <c r="AY244" s="625">
        <v>1.5</v>
      </c>
      <c r="AZ244" s="508">
        <f>宝箱设定!$H156</f>
        <v>3.6999999999999998E-2</v>
      </c>
      <c r="BA244" s="170">
        <f t="shared" ca="1" si="323"/>
        <v>2.2268518518518517E-2</v>
      </c>
      <c r="BB244" s="508">
        <f t="shared" ca="1" si="324"/>
        <v>223</v>
      </c>
      <c r="BD244" s="512">
        <v>6</v>
      </c>
      <c r="BE244" s="516" t="s">
        <v>718</v>
      </c>
      <c r="BF244" s="512" t="s">
        <v>2394</v>
      </c>
      <c r="BG244" s="508">
        <f t="shared" ca="1" si="325"/>
        <v>72</v>
      </c>
      <c r="BH244" s="615">
        <v>3.5</v>
      </c>
      <c r="BI244" s="508">
        <f>宝箱设定!$H156</f>
        <v>3.6999999999999998E-2</v>
      </c>
      <c r="BJ244" s="170">
        <f t="shared" ca="1" si="326"/>
        <v>2.165674603174603E-2</v>
      </c>
      <c r="BK244" s="279">
        <f t="shared" ca="1" si="333"/>
        <v>217</v>
      </c>
      <c r="BM244" s="512">
        <v>7</v>
      </c>
      <c r="BN244" s="527" t="s">
        <v>627</v>
      </c>
      <c r="BO244" s="525" t="s">
        <v>1211</v>
      </c>
      <c r="BP244" s="508">
        <f t="shared" ca="1" si="328"/>
        <v>52.8</v>
      </c>
      <c r="BQ244" s="615">
        <v>8</v>
      </c>
      <c r="BR244" s="523">
        <f>宝箱设定!$P165</f>
        <v>3.6999999999999998E-2</v>
      </c>
      <c r="BS244" s="170">
        <f t="shared" ca="1" si="329"/>
        <v>2.8906249999999998E-2</v>
      </c>
      <c r="BT244" s="508">
        <f t="shared" ca="1" si="330"/>
        <v>289</v>
      </c>
      <c r="BV244" s="396">
        <v>7</v>
      </c>
      <c r="BW244" s="527" t="s">
        <v>2260</v>
      </c>
      <c r="BX244" s="530" t="s">
        <v>2200</v>
      </c>
      <c r="BY244" s="523" t="str">
        <f t="shared" ca="1" si="314"/>
        <v>T2部件</v>
      </c>
      <c r="BZ244" s="662">
        <v>1.5</v>
      </c>
      <c r="CA244" s="634">
        <v>2.0500000000000001E-2</v>
      </c>
      <c r="CB244" s="170" t="e">
        <f t="shared" ca="1" si="315"/>
        <v>#VALUE!</v>
      </c>
      <c r="CC244" s="290" t="e">
        <f t="shared" ca="1" si="316"/>
        <v>#VALUE!</v>
      </c>
    </row>
    <row r="245" spans="2:81" x14ac:dyDescent="0.35">
      <c r="B245" s="512">
        <v>6</v>
      </c>
      <c r="C245" s="512" t="s">
        <v>2274</v>
      </c>
      <c r="D245" s="529" t="s">
        <v>2452</v>
      </c>
      <c r="E245" s="508" t="str">
        <f t="shared" ca="1" si="334"/>
        <v>T2部件</v>
      </c>
      <c r="F245" s="508">
        <v>2</v>
      </c>
      <c r="G245" s="166">
        <v>7.6E-3</v>
      </c>
      <c r="H245" s="170" t="e">
        <f t="shared" ca="1" si="300"/>
        <v>#VALUE!</v>
      </c>
      <c r="I245" s="508" t="e">
        <f t="shared" ca="1" si="301"/>
        <v>#VALUE!</v>
      </c>
      <c r="J245" s="300"/>
      <c r="K245" s="512">
        <v>6</v>
      </c>
      <c r="L245" s="512" t="s">
        <v>2274</v>
      </c>
      <c r="M245" s="529" t="s">
        <v>2452</v>
      </c>
      <c r="N245" s="508" t="str">
        <f t="shared" ca="1" si="335"/>
        <v>T2部件</v>
      </c>
      <c r="O245" s="565">
        <v>1</v>
      </c>
      <c r="P245" s="633">
        <v>6.4000000000000003E-3</v>
      </c>
      <c r="Q245" s="170" t="e">
        <f t="shared" ca="1" si="310"/>
        <v>#VALUE!</v>
      </c>
      <c r="R245" s="508" t="e">
        <f t="shared" ca="1" si="311"/>
        <v>#VALUE!</v>
      </c>
      <c r="T245" s="512">
        <v>6</v>
      </c>
      <c r="U245" s="512" t="s">
        <v>2274</v>
      </c>
      <c r="V245" s="529" t="s">
        <v>2452</v>
      </c>
      <c r="W245" s="508" t="str">
        <f t="shared" ca="1" si="336"/>
        <v>T2部件</v>
      </c>
      <c r="X245" s="565">
        <v>1</v>
      </c>
      <c r="Y245" s="166">
        <v>6.4999999999999997E-3</v>
      </c>
      <c r="Z245" s="170" t="e">
        <f t="shared" ca="1" si="312"/>
        <v>#VALUE!</v>
      </c>
      <c r="AA245" s="508" t="e">
        <f t="shared" ca="1" si="313"/>
        <v>#VALUE!</v>
      </c>
      <c r="AC245" s="512">
        <v>6</v>
      </c>
      <c r="AD245" s="516" t="s">
        <v>2258</v>
      </c>
      <c r="AE245" s="529" t="s">
        <v>2452</v>
      </c>
      <c r="AF245" s="508" t="str">
        <f t="shared" ca="1" si="304"/>
        <v>T2部件</v>
      </c>
      <c r="AG245" s="508">
        <v>1</v>
      </c>
      <c r="AH245" s="633">
        <v>7.4999999999999997E-3</v>
      </c>
      <c r="AI245" s="170" t="e">
        <f t="shared" ca="1" si="320"/>
        <v>#VALUE!</v>
      </c>
      <c r="AJ245" s="508" t="e">
        <f t="shared" ca="1" si="321"/>
        <v>#VALUE!</v>
      </c>
      <c r="AL245" s="512">
        <v>6</v>
      </c>
      <c r="AM245" s="516" t="s">
        <v>2243</v>
      </c>
      <c r="AN245" s="529" t="s">
        <v>2452</v>
      </c>
      <c r="AO245" s="508">
        <f t="shared" ca="1" si="317"/>
        <v>10.125</v>
      </c>
      <c r="AP245" s="600">
        <v>2.5</v>
      </c>
      <c r="AQ245" s="166">
        <v>7.0000000000000001E-3</v>
      </c>
      <c r="AR245" s="170">
        <f t="shared" ca="1" si="331"/>
        <v>2.6824691358024694E-2</v>
      </c>
      <c r="AS245" s="508">
        <f t="shared" ca="1" si="332"/>
        <v>268</v>
      </c>
      <c r="AU245" s="512">
        <v>6</v>
      </c>
      <c r="AV245" s="516" t="s">
        <v>632</v>
      </c>
      <c r="AW245" s="512" t="s">
        <v>2394</v>
      </c>
      <c r="AX245" s="508">
        <f t="shared" ca="1" si="322"/>
        <v>72</v>
      </c>
      <c r="AY245" s="625">
        <v>1.5</v>
      </c>
      <c r="AZ245" s="508">
        <f>宝箱设定!$H157</f>
        <v>3.6999999999999998E-2</v>
      </c>
      <c r="BA245" s="170">
        <f t="shared" ca="1" si="323"/>
        <v>2.2268518518518517E-2</v>
      </c>
      <c r="BB245" s="508">
        <f t="shared" ca="1" si="324"/>
        <v>223</v>
      </c>
      <c r="BD245" s="512">
        <v>6</v>
      </c>
      <c r="BE245" s="516" t="s">
        <v>632</v>
      </c>
      <c r="BF245" s="512" t="s">
        <v>2394</v>
      </c>
      <c r="BG245" s="508">
        <f t="shared" ca="1" si="325"/>
        <v>72</v>
      </c>
      <c r="BH245" s="615">
        <v>3.5</v>
      </c>
      <c r="BI245" s="508">
        <f>宝箱设定!$H157</f>
        <v>3.6999999999999998E-2</v>
      </c>
      <c r="BJ245" s="170">
        <f t="shared" ca="1" si="326"/>
        <v>2.165674603174603E-2</v>
      </c>
      <c r="BK245" s="279">
        <f t="shared" ca="1" si="333"/>
        <v>217</v>
      </c>
      <c r="BM245" s="512">
        <v>7</v>
      </c>
      <c r="BN245" s="527" t="s">
        <v>628</v>
      </c>
      <c r="BO245" s="525" t="s">
        <v>1211</v>
      </c>
      <c r="BP245" s="508">
        <f t="shared" ca="1" si="328"/>
        <v>52.8</v>
      </c>
      <c r="BQ245" s="615">
        <v>8</v>
      </c>
      <c r="BR245" s="523">
        <f>宝箱设定!$P166</f>
        <v>3.6999999999999998E-2</v>
      </c>
      <c r="BS245" s="170">
        <f t="shared" ca="1" si="329"/>
        <v>2.8906249999999998E-2</v>
      </c>
      <c r="BT245" s="508">
        <f t="shared" ca="1" si="330"/>
        <v>289</v>
      </c>
      <c r="BV245" s="396">
        <v>7</v>
      </c>
      <c r="BW245" s="527" t="s">
        <v>2262</v>
      </c>
      <c r="BX245" s="530" t="s">
        <v>2200</v>
      </c>
      <c r="BY245" s="523" t="str">
        <f t="shared" ca="1" si="314"/>
        <v>T2部件</v>
      </c>
      <c r="BZ245" s="662">
        <v>1.5</v>
      </c>
      <c r="CA245" s="634">
        <v>2.0500000000000001E-2</v>
      </c>
      <c r="CB245" s="170" t="e">
        <f t="shared" ca="1" si="315"/>
        <v>#VALUE!</v>
      </c>
      <c r="CC245" s="290" t="e">
        <f t="shared" ca="1" si="316"/>
        <v>#VALUE!</v>
      </c>
    </row>
    <row r="246" spans="2:81" x14ac:dyDescent="0.35">
      <c r="B246" s="512">
        <v>6</v>
      </c>
      <c r="C246" s="516" t="s">
        <v>2259</v>
      </c>
      <c r="D246" s="529" t="s">
        <v>2452</v>
      </c>
      <c r="E246" s="508" t="str">
        <f t="shared" ca="1" si="334"/>
        <v>T2部件</v>
      </c>
      <c r="F246" s="508">
        <v>2</v>
      </c>
      <c r="G246" s="166">
        <v>7.6E-3</v>
      </c>
      <c r="H246" s="170" t="e">
        <f t="shared" ca="1" si="300"/>
        <v>#VALUE!</v>
      </c>
      <c r="I246" s="508" t="e">
        <f t="shared" ca="1" si="301"/>
        <v>#VALUE!</v>
      </c>
      <c r="J246" s="300"/>
      <c r="K246" s="512">
        <v>6</v>
      </c>
      <c r="L246" s="516" t="s">
        <v>2259</v>
      </c>
      <c r="M246" s="529" t="s">
        <v>2452</v>
      </c>
      <c r="N246" s="508" t="str">
        <f t="shared" ca="1" si="335"/>
        <v>T2部件</v>
      </c>
      <c r="O246" s="565">
        <v>1</v>
      </c>
      <c r="P246" s="633">
        <v>6.4000000000000003E-3</v>
      </c>
      <c r="Q246" s="170" t="e">
        <f t="shared" ca="1" si="310"/>
        <v>#VALUE!</v>
      </c>
      <c r="R246" s="508" t="e">
        <f t="shared" ca="1" si="311"/>
        <v>#VALUE!</v>
      </c>
      <c r="T246" s="512">
        <v>6</v>
      </c>
      <c r="U246" s="516" t="s">
        <v>2259</v>
      </c>
      <c r="V246" s="529" t="s">
        <v>2452</v>
      </c>
      <c r="W246" s="508" t="str">
        <f t="shared" ca="1" si="336"/>
        <v>T2部件</v>
      </c>
      <c r="X246" s="565">
        <v>1</v>
      </c>
      <c r="Y246" s="166">
        <v>6.4999999999999997E-3</v>
      </c>
      <c r="Z246" s="170" t="e">
        <f t="shared" ca="1" si="312"/>
        <v>#VALUE!</v>
      </c>
      <c r="AA246" s="508" t="e">
        <f t="shared" ca="1" si="313"/>
        <v>#VALUE!</v>
      </c>
      <c r="AC246" s="512">
        <v>6</v>
      </c>
      <c r="AD246" s="516" t="s">
        <v>2260</v>
      </c>
      <c r="AE246" s="529" t="s">
        <v>2452</v>
      </c>
      <c r="AF246" s="508" t="str">
        <f t="shared" ca="1" si="304"/>
        <v>T2部件</v>
      </c>
      <c r="AG246" s="508">
        <v>1</v>
      </c>
      <c r="AH246" s="633">
        <v>7.4999999999999997E-3</v>
      </c>
      <c r="AI246" s="170" t="e">
        <f t="shared" ca="1" si="320"/>
        <v>#VALUE!</v>
      </c>
      <c r="AJ246" s="508" t="e">
        <f t="shared" ca="1" si="321"/>
        <v>#VALUE!</v>
      </c>
      <c r="AL246" s="512">
        <v>6</v>
      </c>
      <c r="AM246" s="516" t="s">
        <v>2245</v>
      </c>
      <c r="AN246" s="529" t="s">
        <v>2452</v>
      </c>
      <c r="AO246" s="508">
        <f t="shared" ca="1" si="317"/>
        <v>10.125</v>
      </c>
      <c r="AP246" s="600">
        <v>2.5</v>
      </c>
      <c r="AQ246" s="166">
        <v>7.0000000000000001E-3</v>
      </c>
      <c r="AR246" s="170">
        <f t="shared" ca="1" si="331"/>
        <v>2.6824691358024694E-2</v>
      </c>
      <c r="AS246" s="508">
        <f t="shared" ca="1" si="332"/>
        <v>268</v>
      </c>
      <c r="AU246" s="512">
        <v>6</v>
      </c>
      <c r="AV246" s="516" t="s">
        <v>2239</v>
      </c>
      <c r="AW246" s="529" t="s">
        <v>2452</v>
      </c>
      <c r="AX246" s="508">
        <f t="shared" ca="1" si="322"/>
        <v>10.125</v>
      </c>
      <c r="AY246" s="625">
        <v>1.5</v>
      </c>
      <c r="AZ246" s="508">
        <v>7.7000000000000002E-3</v>
      </c>
      <c r="BA246" s="170">
        <f t="shared" ca="1" si="323"/>
        <v>3.2954732510288069E-2</v>
      </c>
      <c r="BB246" s="508">
        <f t="shared" ca="1" si="324"/>
        <v>330</v>
      </c>
      <c r="BD246" s="512">
        <v>6</v>
      </c>
      <c r="BE246" s="516" t="s">
        <v>2239</v>
      </c>
      <c r="BF246" s="529" t="s">
        <v>2452</v>
      </c>
      <c r="BG246" s="508">
        <f t="shared" ca="1" si="325"/>
        <v>10.125</v>
      </c>
      <c r="BH246" s="508">
        <v>5.5</v>
      </c>
      <c r="BI246" s="600">
        <v>8.3999999999999995E-3</v>
      </c>
      <c r="BJ246" s="170">
        <f t="shared" ca="1" si="326"/>
        <v>2.2249158249158244E-2</v>
      </c>
      <c r="BK246" s="279">
        <f t="shared" ca="1" si="333"/>
        <v>222</v>
      </c>
      <c r="BM246" s="512">
        <v>7</v>
      </c>
      <c r="BN246" s="527" t="s">
        <v>619</v>
      </c>
      <c r="BO246" s="525" t="s">
        <v>1211</v>
      </c>
      <c r="BP246" s="508">
        <f t="shared" ca="1" si="328"/>
        <v>69</v>
      </c>
      <c r="BQ246" s="508">
        <v>4.5</v>
      </c>
      <c r="BR246" s="523">
        <f>宝箱设定!$P167</f>
        <v>3.6999999999999998E-2</v>
      </c>
      <c r="BS246" s="170">
        <f t="shared" ca="1" si="329"/>
        <v>3.9323671497584541E-2</v>
      </c>
      <c r="BT246" s="508">
        <f t="shared" ca="1" si="330"/>
        <v>393</v>
      </c>
      <c r="BV246" s="396">
        <v>7</v>
      </c>
      <c r="BW246" s="527" t="s">
        <v>2264</v>
      </c>
      <c r="BX246" s="530" t="s">
        <v>2200</v>
      </c>
      <c r="BY246" s="523" t="str">
        <f t="shared" ca="1" si="314"/>
        <v>T2部件</v>
      </c>
      <c r="BZ246" s="662">
        <v>1.5</v>
      </c>
      <c r="CA246" s="634">
        <v>2.0500000000000001E-2</v>
      </c>
      <c r="CB246" s="170" t="e">
        <f t="shared" ca="1" si="315"/>
        <v>#VALUE!</v>
      </c>
      <c r="CC246" s="290" t="e">
        <f t="shared" ca="1" si="316"/>
        <v>#VALUE!</v>
      </c>
    </row>
    <row r="247" spans="2:81" x14ac:dyDescent="0.35">
      <c r="B247" s="512">
        <v>6</v>
      </c>
      <c r="C247" s="516" t="s">
        <v>2261</v>
      </c>
      <c r="D247" s="529" t="s">
        <v>2452</v>
      </c>
      <c r="E247" s="508" t="str">
        <f t="shared" ca="1" si="334"/>
        <v>T2部件</v>
      </c>
      <c r="F247" s="508">
        <v>2</v>
      </c>
      <c r="G247" s="166">
        <v>7.6E-3</v>
      </c>
      <c r="H247" s="170" t="e">
        <f t="shared" ca="1" si="300"/>
        <v>#VALUE!</v>
      </c>
      <c r="I247" s="508" t="e">
        <f t="shared" ca="1" si="301"/>
        <v>#VALUE!</v>
      </c>
      <c r="J247" s="300"/>
      <c r="K247" s="512">
        <v>6</v>
      </c>
      <c r="L247" s="516" t="s">
        <v>2261</v>
      </c>
      <c r="M247" s="529" t="s">
        <v>2452</v>
      </c>
      <c r="N247" s="508" t="str">
        <f t="shared" ca="1" si="335"/>
        <v>T2部件</v>
      </c>
      <c r="O247" s="565">
        <v>1</v>
      </c>
      <c r="P247" s="633">
        <v>6.3E-3</v>
      </c>
      <c r="Q247" s="170" t="e">
        <f t="shared" ca="1" si="310"/>
        <v>#VALUE!</v>
      </c>
      <c r="R247" s="508" t="e">
        <f t="shared" ca="1" si="311"/>
        <v>#VALUE!</v>
      </c>
      <c r="T247" s="512">
        <v>6</v>
      </c>
      <c r="U247" s="516" t="s">
        <v>2261</v>
      </c>
      <c r="V247" s="529" t="s">
        <v>2452</v>
      </c>
      <c r="W247" s="508" t="str">
        <f t="shared" ca="1" si="336"/>
        <v>T2部件</v>
      </c>
      <c r="X247" s="565">
        <v>1</v>
      </c>
      <c r="Y247" s="166">
        <v>6.4999999999999997E-3</v>
      </c>
      <c r="Z247" s="170" t="e">
        <f t="shared" ca="1" si="312"/>
        <v>#VALUE!</v>
      </c>
      <c r="AA247" s="508" t="e">
        <f t="shared" ca="1" si="313"/>
        <v>#VALUE!</v>
      </c>
      <c r="AC247" s="512">
        <v>6</v>
      </c>
      <c r="AD247" s="516" t="s">
        <v>2262</v>
      </c>
      <c r="AE247" s="529" t="s">
        <v>2452</v>
      </c>
      <c r="AF247" s="508" t="str">
        <f t="shared" ca="1" si="304"/>
        <v>T2部件</v>
      </c>
      <c r="AG247" s="508">
        <v>1</v>
      </c>
      <c r="AH247" s="633">
        <v>7.4999999999999997E-3</v>
      </c>
      <c r="AI247" s="170" t="e">
        <f t="shared" ca="1" si="320"/>
        <v>#VALUE!</v>
      </c>
      <c r="AJ247" s="508" t="e">
        <f t="shared" ca="1" si="321"/>
        <v>#VALUE!</v>
      </c>
      <c r="AL247" s="512">
        <v>6</v>
      </c>
      <c r="AM247" s="516" t="s">
        <v>2247</v>
      </c>
      <c r="AN247" s="529" t="s">
        <v>2452</v>
      </c>
      <c r="AO247" s="508">
        <f t="shared" ca="1" si="317"/>
        <v>10.125</v>
      </c>
      <c r="AP247" s="600">
        <v>2.5</v>
      </c>
      <c r="AQ247" s="166">
        <v>7.0000000000000001E-3</v>
      </c>
      <c r="AR247" s="170">
        <f t="shared" ca="1" si="331"/>
        <v>2.6824691358024694E-2</v>
      </c>
      <c r="AS247" s="508">
        <f t="shared" ca="1" si="332"/>
        <v>268</v>
      </c>
      <c r="AU247" s="512">
        <v>6</v>
      </c>
      <c r="AV247" s="516" t="s">
        <v>2242</v>
      </c>
      <c r="AW247" s="529" t="s">
        <v>2452</v>
      </c>
      <c r="AX247" s="508">
        <f t="shared" ca="1" si="322"/>
        <v>10.125</v>
      </c>
      <c r="AY247" s="625">
        <v>1.5</v>
      </c>
      <c r="AZ247" s="615">
        <v>7.7000000000000002E-3</v>
      </c>
      <c r="BA247" s="170">
        <f t="shared" ca="1" si="323"/>
        <v>3.2954732510288069E-2</v>
      </c>
      <c r="BB247" s="508">
        <f t="shared" ca="1" si="324"/>
        <v>330</v>
      </c>
      <c r="BD247" s="512">
        <v>6</v>
      </c>
      <c r="BE247" s="516" t="s">
        <v>2242</v>
      </c>
      <c r="BF247" s="529" t="s">
        <v>2452</v>
      </c>
      <c r="BG247" s="508">
        <f t="shared" ca="1" si="325"/>
        <v>10.125</v>
      </c>
      <c r="BH247" s="615">
        <v>5.5</v>
      </c>
      <c r="BI247" s="615">
        <v>8.3999999999999995E-3</v>
      </c>
      <c r="BJ247" s="170">
        <f t="shared" ca="1" si="326"/>
        <v>2.2249158249158244E-2</v>
      </c>
      <c r="BK247" s="279">
        <f t="shared" ca="1" si="333"/>
        <v>222</v>
      </c>
      <c r="BM247" s="512">
        <v>7</v>
      </c>
      <c r="BN247" s="527" t="s">
        <v>718</v>
      </c>
      <c r="BO247" s="525" t="s">
        <v>1211</v>
      </c>
      <c r="BP247" s="508">
        <f t="shared" ca="1" si="328"/>
        <v>69</v>
      </c>
      <c r="BQ247" s="615">
        <v>4.5</v>
      </c>
      <c r="BR247" s="523">
        <f>宝箱设定!$P168</f>
        <v>3.6999999999999998E-2</v>
      </c>
      <c r="BS247" s="170">
        <f t="shared" ca="1" si="329"/>
        <v>3.9323671497584541E-2</v>
      </c>
      <c r="BT247" s="508">
        <f t="shared" ca="1" si="330"/>
        <v>393</v>
      </c>
      <c r="BV247" s="396">
        <v>7</v>
      </c>
      <c r="BW247" s="527" t="s">
        <v>2266</v>
      </c>
      <c r="BX247" s="530" t="s">
        <v>2200</v>
      </c>
      <c r="BY247" s="523" t="str">
        <f t="shared" ca="1" si="314"/>
        <v>T2部件</v>
      </c>
      <c r="BZ247" s="662">
        <v>1.5</v>
      </c>
      <c r="CA247" s="634">
        <v>2.0500000000000001E-2</v>
      </c>
      <c r="CB247" s="170" t="e">
        <f t="shared" ca="1" si="315"/>
        <v>#VALUE!</v>
      </c>
      <c r="CC247" s="290" t="e">
        <f t="shared" ca="1" si="316"/>
        <v>#VALUE!</v>
      </c>
    </row>
    <row r="248" spans="2:81" x14ac:dyDescent="0.35">
      <c r="B248" s="512">
        <v>6</v>
      </c>
      <c r="C248" s="516" t="s">
        <v>2263</v>
      </c>
      <c r="D248" s="529" t="s">
        <v>2452</v>
      </c>
      <c r="E248" s="508" t="str">
        <f t="shared" ca="1" si="334"/>
        <v>T2部件</v>
      </c>
      <c r="F248" s="508">
        <v>2</v>
      </c>
      <c r="G248" s="166">
        <v>7.6E-3</v>
      </c>
      <c r="H248" s="170" t="e">
        <f t="shared" ca="1" si="300"/>
        <v>#VALUE!</v>
      </c>
      <c r="I248" s="508" t="e">
        <f t="shared" ca="1" si="301"/>
        <v>#VALUE!</v>
      </c>
      <c r="J248" s="300"/>
      <c r="K248" s="512">
        <v>6</v>
      </c>
      <c r="L248" s="516" t="s">
        <v>2263</v>
      </c>
      <c r="M248" s="529" t="s">
        <v>2452</v>
      </c>
      <c r="N248" s="508" t="str">
        <f t="shared" ca="1" si="335"/>
        <v>T2部件</v>
      </c>
      <c r="O248" s="565">
        <v>1</v>
      </c>
      <c r="P248" s="633">
        <v>6.3E-3</v>
      </c>
      <c r="Q248" s="170" t="e">
        <f t="shared" ca="1" si="310"/>
        <v>#VALUE!</v>
      </c>
      <c r="R248" s="508" t="e">
        <f t="shared" ca="1" si="311"/>
        <v>#VALUE!</v>
      </c>
      <c r="T248" s="512">
        <v>6</v>
      </c>
      <c r="U248" s="516" t="s">
        <v>2263</v>
      </c>
      <c r="V248" s="529" t="s">
        <v>2452</v>
      </c>
      <c r="W248" s="508" t="str">
        <f t="shared" ca="1" si="336"/>
        <v>T2部件</v>
      </c>
      <c r="X248" s="565">
        <v>1</v>
      </c>
      <c r="Y248" s="166">
        <v>6.4999999999999997E-3</v>
      </c>
      <c r="Z248" s="170" t="e">
        <f t="shared" ca="1" si="312"/>
        <v>#VALUE!</v>
      </c>
      <c r="AA248" s="508" t="e">
        <f t="shared" ca="1" si="313"/>
        <v>#VALUE!</v>
      </c>
      <c r="AC248" s="512">
        <v>6</v>
      </c>
      <c r="AD248" s="516" t="s">
        <v>2264</v>
      </c>
      <c r="AE248" s="529" t="s">
        <v>2452</v>
      </c>
      <c r="AF248" s="508" t="str">
        <f t="shared" ca="1" si="304"/>
        <v>T2部件</v>
      </c>
      <c r="AG248" s="508">
        <v>1</v>
      </c>
      <c r="AH248" s="633">
        <v>7.4999999999999997E-3</v>
      </c>
      <c r="AI248" s="170" t="e">
        <f t="shared" ca="1" si="320"/>
        <v>#VALUE!</v>
      </c>
      <c r="AJ248" s="508" t="e">
        <f t="shared" ca="1" si="321"/>
        <v>#VALUE!</v>
      </c>
      <c r="AL248" s="512">
        <v>6</v>
      </c>
      <c r="AM248" s="516" t="s">
        <v>2249</v>
      </c>
      <c r="AN248" s="529" t="s">
        <v>2452</v>
      </c>
      <c r="AO248" s="508">
        <f t="shared" ca="1" si="317"/>
        <v>10.125</v>
      </c>
      <c r="AP248" s="600">
        <v>2.5</v>
      </c>
      <c r="AQ248" s="166">
        <v>7.0000000000000001E-3</v>
      </c>
      <c r="AR248" s="170">
        <f t="shared" ca="1" si="331"/>
        <v>2.6824691358024694E-2</v>
      </c>
      <c r="AS248" s="508">
        <f t="shared" ca="1" si="332"/>
        <v>268</v>
      </c>
      <c r="AU248" s="512">
        <v>6</v>
      </c>
      <c r="AV248" s="516" t="s">
        <v>2244</v>
      </c>
      <c r="AW248" s="529" t="s">
        <v>2452</v>
      </c>
      <c r="AX248" s="508">
        <f t="shared" ca="1" si="322"/>
        <v>10.125</v>
      </c>
      <c r="AY248" s="625">
        <v>1.5</v>
      </c>
      <c r="AZ248" s="615">
        <v>7.7000000000000002E-3</v>
      </c>
      <c r="BA248" s="170">
        <f t="shared" ca="1" si="323"/>
        <v>3.2954732510288069E-2</v>
      </c>
      <c r="BB248" s="508">
        <f t="shared" ca="1" si="324"/>
        <v>330</v>
      </c>
      <c r="BD248" s="512">
        <v>6</v>
      </c>
      <c r="BE248" s="516" t="s">
        <v>2244</v>
      </c>
      <c r="BF248" s="529" t="s">
        <v>2452</v>
      </c>
      <c r="BG248" s="508">
        <f t="shared" ca="1" si="325"/>
        <v>10.125</v>
      </c>
      <c r="BH248" s="615">
        <v>5.5</v>
      </c>
      <c r="BI248" s="615">
        <v>8.3999999999999995E-3</v>
      </c>
      <c r="BJ248" s="170">
        <f t="shared" ca="1" si="326"/>
        <v>2.2249158249158244E-2</v>
      </c>
      <c r="BK248" s="279">
        <f t="shared" ca="1" si="333"/>
        <v>222</v>
      </c>
      <c r="BM248" s="512">
        <v>7</v>
      </c>
      <c r="BN248" s="527" t="s">
        <v>632</v>
      </c>
      <c r="BO248" s="525" t="s">
        <v>1211</v>
      </c>
      <c r="BP248" s="508">
        <f t="shared" ca="1" si="328"/>
        <v>69</v>
      </c>
      <c r="BQ248" s="615">
        <v>4.5</v>
      </c>
      <c r="BR248" s="523">
        <f>宝箱设定!$P169</f>
        <v>3.6999999999999998E-2</v>
      </c>
      <c r="BS248" s="170">
        <f t="shared" ca="1" si="329"/>
        <v>3.9323671497584541E-2</v>
      </c>
      <c r="BT248" s="508">
        <f t="shared" ca="1" si="330"/>
        <v>393</v>
      </c>
      <c r="BV248" s="396">
        <v>7</v>
      </c>
      <c r="BW248" s="527" t="s">
        <v>2268</v>
      </c>
      <c r="BX248" s="530" t="s">
        <v>2200</v>
      </c>
      <c r="BY248" s="523" t="str">
        <f t="shared" ca="1" si="314"/>
        <v>T2部件</v>
      </c>
      <c r="BZ248" s="662">
        <v>1.5</v>
      </c>
      <c r="CA248" s="634">
        <v>2.0500000000000001E-2</v>
      </c>
      <c r="CB248" s="170" t="e">
        <f t="shared" ref="CB248:CB259" ca="1" si="337">CA248*BW$4/BY248/BZ248</f>
        <v>#VALUE!</v>
      </c>
      <c r="CC248" s="379" t="e">
        <f t="shared" ref="CC248:CC259" ca="1" si="338">ROUND(CB248*10000,0)</f>
        <v>#VALUE!</v>
      </c>
    </row>
    <row r="249" spans="2:81" x14ac:dyDescent="0.35">
      <c r="B249" s="512">
        <v>6</v>
      </c>
      <c r="C249" s="516" t="s">
        <v>2265</v>
      </c>
      <c r="D249" s="529" t="s">
        <v>2452</v>
      </c>
      <c r="E249" s="508" t="str">
        <f t="shared" ca="1" si="334"/>
        <v>T2部件</v>
      </c>
      <c r="F249" s="508">
        <v>2</v>
      </c>
      <c r="G249" s="166">
        <v>7.6E-3</v>
      </c>
      <c r="H249" s="170" t="e">
        <f t="shared" ca="1" si="300"/>
        <v>#VALUE!</v>
      </c>
      <c r="I249" s="508" t="e">
        <f t="shared" ca="1" si="301"/>
        <v>#VALUE!</v>
      </c>
      <c r="J249" s="300"/>
      <c r="K249" s="512">
        <v>6</v>
      </c>
      <c r="L249" s="516" t="s">
        <v>2265</v>
      </c>
      <c r="M249" s="529" t="s">
        <v>2452</v>
      </c>
      <c r="N249" s="508" t="str">
        <f t="shared" ca="1" si="335"/>
        <v>T2部件</v>
      </c>
      <c r="O249" s="565">
        <v>1</v>
      </c>
      <c r="P249" s="633">
        <v>6.3E-3</v>
      </c>
      <c r="Q249" s="170" t="e">
        <f t="shared" ca="1" si="310"/>
        <v>#VALUE!</v>
      </c>
      <c r="R249" s="508" t="e">
        <f t="shared" ca="1" si="311"/>
        <v>#VALUE!</v>
      </c>
      <c r="T249" s="512">
        <v>6</v>
      </c>
      <c r="U249" s="516" t="s">
        <v>2265</v>
      </c>
      <c r="V249" s="529" t="s">
        <v>2452</v>
      </c>
      <c r="W249" s="508" t="str">
        <f t="shared" ca="1" si="336"/>
        <v>T2部件</v>
      </c>
      <c r="X249" s="565">
        <v>1</v>
      </c>
      <c r="Y249" s="166">
        <v>6.4999999999999997E-3</v>
      </c>
      <c r="Z249" s="170" t="e">
        <f t="shared" ca="1" si="312"/>
        <v>#VALUE!</v>
      </c>
      <c r="AA249" s="508" t="e">
        <f t="shared" ca="1" si="313"/>
        <v>#VALUE!</v>
      </c>
      <c r="AC249" s="512">
        <v>6</v>
      </c>
      <c r="AD249" s="516" t="s">
        <v>2266</v>
      </c>
      <c r="AE249" s="529" t="s">
        <v>2452</v>
      </c>
      <c r="AF249" s="508" t="str">
        <f t="shared" ca="1" si="304"/>
        <v>T2部件</v>
      </c>
      <c r="AG249" s="508">
        <v>1</v>
      </c>
      <c r="AH249" s="633">
        <v>7.4999999999999997E-3</v>
      </c>
      <c r="AI249" s="170" t="e">
        <f t="shared" ca="1" si="320"/>
        <v>#VALUE!</v>
      </c>
      <c r="AJ249" s="508" t="e">
        <f t="shared" ca="1" si="321"/>
        <v>#VALUE!</v>
      </c>
      <c r="AL249" s="512">
        <v>6</v>
      </c>
      <c r="AM249" s="516" t="s">
        <v>2251</v>
      </c>
      <c r="AN249" s="529" t="s">
        <v>2452</v>
      </c>
      <c r="AO249" s="508">
        <f t="shared" ca="1" si="317"/>
        <v>10.125</v>
      </c>
      <c r="AP249" s="600">
        <v>2.5</v>
      </c>
      <c r="AQ249" s="166">
        <v>7.0000000000000001E-3</v>
      </c>
      <c r="AR249" s="170">
        <f t="shared" ca="1" si="331"/>
        <v>2.6824691358024694E-2</v>
      </c>
      <c r="AS249" s="508">
        <f t="shared" ca="1" si="332"/>
        <v>268</v>
      </c>
      <c r="AU249" s="512">
        <v>6</v>
      </c>
      <c r="AV249" s="516" t="s">
        <v>2246</v>
      </c>
      <c r="AW249" s="529" t="s">
        <v>2452</v>
      </c>
      <c r="AX249" s="508">
        <f t="shared" ca="1" si="322"/>
        <v>10.125</v>
      </c>
      <c r="AY249" s="625">
        <v>1.5</v>
      </c>
      <c r="AZ249" s="615">
        <v>7.7000000000000002E-3</v>
      </c>
      <c r="BA249" s="170">
        <f t="shared" ca="1" si="323"/>
        <v>3.2954732510288069E-2</v>
      </c>
      <c r="BB249" s="508">
        <f t="shared" ca="1" si="324"/>
        <v>330</v>
      </c>
      <c r="BD249" s="512">
        <v>6</v>
      </c>
      <c r="BE249" s="516" t="s">
        <v>2246</v>
      </c>
      <c r="BF249" s="529" t="s">
        <v>2452</v>
      </c>
      <c r="BG249" s="508">
        <f t="shared" ca="1" si="325"/>
        <v>10.125</v>
      </c>
      <c r="BH249" s="615">
        <v>5.5</v>
      </c>
      <c r="BI249" s="615">
        <v>8.3999999999999995E-3</v>
      </c>
      <c r="BJ249" s="170">
        <f t="shared" ca="1" si="326"/>
        <v>2.2249158249158244E-2</v>
      </c>
      <c r="BK249" s="279">
        <f t="shared" ca="1" si="333"/>
        <v>222</v>
      </c>
      <c r="BM249" s="512">
        <v>7</v>
      </c>
      <c r="BN249" s="527" t="s">
        <v>2258</v>
      </c>
      <c r="BO249" s="530" t="s">
        <v>2200</v>
      </c>
      <c r="BP249" s="508" t="str">
        <f t="shared" ca="1" si="328"/>
        <v>T2部件</v>
      </c>
      <c r="BQ249" s="508">
        <v>3</v>
      </c>
      <c r="BR249" s="600">
        <v>1.0999999999999999E-2</v>
      </c>
      <c r="BS249" s="170" t="e">
        <f t="shared" ca="1" si="329"/>
        <v>#VALUE!</v>
      </c>
      <c r="BT249" s="508" t="e">
        <f t="shared" ca="1" si="330"/>
        <v>#VALUE!</v>
      </c>
      <c r="BV249" s="396">
        <v>7</v>
      </c>
      <c r="BW249" s="527" t="s">
        <v>2270</v>
      </c>
      <c r="BX249" s="530" t="s">
        <v>2200</v>
      </c>
      <c r="BY249" s="523" t="str">
        <f t="shared" ca="1" si="314"/>
        <v>T2部件</v>
      </c>
      <c r="BZ249" s="662">
        <v>1.5</v>
      </c>
      <c r="CA249" s="634">
        <v>2.0500000000000001E-2</v>
      </c>
      <c r="CB249" s="170" t="e">
        <f t="shared" ca="1" si="337"/>
        <v>#VALUE!</v>
      </c>
      <c r="CC249" s="379" t="e">
        <f t="shared" ca="1" si="338"/>
        <v>#VALUE!</v>
      </c>
    </row>
    <row r="250" spans="2:81" x14ac:dyDescent="0.35">
      <c r="B250" s="512">
        <v>6</v>
      </c>
      <c r="C250" s="516" t="s">
        <v>2267</v>
      </c>
      <c r="D250" s="529" t="s">
        <v>2452</v>
      </c>
      <c r="E250" s="508" t="str">
        <f t="shared" ca="1" si="334"/>
        <v>T2部件</v>
      </c>
      <c r="F250" s="508">
        <v>2</v>
      </c>
      <c r="G250" s="166">
        <v>7.6E-3</v>
      </c>
      <c r="H250" s="170" t="e">
        <f t="shared" ca="1" si="300"/>
        <v>#VALUE!</v>
      </c>
      <c r="I250" s="508" t="e">
        <f t="shared" ca="1" si="301"/>
        <v>#VALUE!</v>
      </c>
      <c r="J250" s="300"/>
      <c r="K250" s="512">
        <v>6</v>
      </c>
      <c r="L250" s="516" t="s">
        <v>2267</v>
      </c>
      <c r="M250" s="529" t="s">
        <v>2452</v>
      </c>
      <c r="N250" s="508" t="str">
        <f t="shared" ca="1" si="335"/>
        <v>T2部件</v>
      </c>
      <c r="O250" s="565">
        <v>1</v>
      </c>
      <c r="P250" s="633">
        <v>6.3E-3</v>
      </c>
      <c r="Q250" s="170" t="e">
        <f t="shared" ca="1" si="310"/>
        <v>#VALUE!</v>
      </c>
      <c r="R250" s="508" t="e">
        <f t="shared" ca="1" si="311"/>
        <v>#VALUE!</v>
      </c>
      <c r="T250" s="512">
        <v>6</v>
      </c>
      <c r="U250" s="516" t="s">
        <v>2267</v>
      </c>
      <c r="V250" s="529" t="s">
        <v>2452</v>
      </c>
      <c r="W250" s="508" t="str">
        <f t="shared" ca="1" si="336"/>
        <v>T2部件</v>
      </c>
      <c r="X250" s="565">
        <v>1</v>
      </c>
      <c r="Y250" s="166">
        <v>6.4999999999999997E-3</v>
      </c>
      <c r="Z250" s="170" t="e">
        <f t="shared" ca="1" si="312"/>
        <v>#VALUE!</v>
      </c>
      <c r="AA250" s="508" t="e">
        <f t="shared" ca="1" si="313"/>
        <v>#VALUE!</v>
      </c>
      <c r="AC250" s="512">
        <v>6</v>
      </c>
      <c r="AD250" s="516" t="s">
        <v>2268</v>
      </c>
      <c r="AE250" s="529" t="s">
        <v>2452</v>
      </c>
      <c r="AF250" s="508" t="str">
        <f t="shared" ref="AF250:AF273" ca="1" si="339">IF(AE250="部件",VLOOKUP(AC250,INDIRECT(AE250&amp;"价值"),MATCH(LEFT(AD250,2)&amp;"部件",INDIRECT(AE250&amp;"价值标头"),0),FALSE),IF(AE250="加速道具",VLOOKUP(AD250,INDIRECT(AE250&amp;"价值"),MATCH("价格",INDIRECT(AE250&amp;"价值标头"),0),FALSE),VLOOKUP(AC250,INDIRECT(AE250&amp;"价值"),MATCH(AD250,INDIRECT(AE250&amp;"价值标头"),0),FALSE)))</f>
        <v>T2部件</v>
      </c>
      <c r="AG250" s="508">
        <v>1</v>
      </c>
      <c r="AH250" s="633">
        <v>7.4999999999999997E-3</v>
      </c>
      <c r="AI250" s="170" t="e">
        <f t="shared" ca="1" si="320"/>
        <v>#VALUE!</v>
      </c>
      <c r="AJ250" s="508" t="e">
        <f t="shared" ca="1" si="321"/>
        <v>#VALUE!</v>
      </c>
      <c r="AL250" s="512">
        <v>6</v>
      </c>
      <c r="AM250" s="516" t="s">
        <v>2253</v>
      </c>
      <c r="AN250" s="529" t="s">
        <v>2452</v>
      </c>
      <c r="AO250" s="508">
        <f t="shared" ca="1" si="317"/>
        <v>10.125</v>
      </c>
      <c r="AP250" s="600">
        <v>2.5</v>
      </c>
      <c r="AQ250" s="166">
        <v>7.0000000000000001E-3</v>
      </c>
      <c r="AR250" s="170">
        <f t="shared" ca="1" si="331"/>
        <v>2.6824691358024694E-2</v>
      </c>
      <c r="AS250" s="508">
        <f t="shared" ca="1" si="332"/>
        <v>268</v>
      </c>
      <c r="AU250" s="512">
        <v>6</v>
      </c>
      <c r="AV250" s="516" t="s">
        <v>2248</v>
      </c>
      <c r="AW250" s="529" t="s">
        <v>2452</v>
      </c>
      <c r="AX250" s="508">
        <f t="shared" ca="1" si="322"/>
        <v>10.125</v>
      </c>
      <c r="AY250" s="625">
        <v>1.5</v>
      </c>
      <c r="AZ250" s="615">
        <v>7.7000000000000002E-3</v>
      </c>
      <c r="BA250" s="170">
        <f t="shared" ca="1" si="323"/>
        <v>3.2954732510288069E-2</v>
      </c>
      <c r="BB250" s="508">
        <f t="shared" ca="1" si="324"/>
        <v>330</v>
      </c>
      <c r="BD250" s="512">
        <v>6</v>
      </c>
      <c r="BE250" s="516" t="s">
        <v>2248</v>
      </c>
      <c r="BF250" s="529" t="s">
        <v>2452</v>
      </c>
      <c r="BG250" s="508">
        <f t="shared" ca="1" si="325"/>
        <v>10.125</v>
      </c>
      <c r="BH250" s="615">
        <v>5.5</v>
      </c>
      <c r="BI250" s="615">
        <v>8.3999999999999995E-3</v>
      </c>
      <c r="BJ250" s="170">
        <f t="shared" ca="1" si="326"/>
        <v>2.2249158249158244E-2</v>
      </c>
      <c r="BK250" s="279">
        <f t="shared" ca="1" si="333"/>
        <v>222</v>
      </c>
      <c r="BM250" s="512">
        <v>7</v>
      </c>
      <c r="BN250" s="527" t="s">
        <v>2260</v>
      </c>
      <c r="BO250" s="530" t="s">
        <v>2200</v>
      </c>
      <c r="BP250" s="508" t="str">
        <f t="shared" ca="1" si="328"/>
        <v>T2部件</v>
      </c>
      <c r="BQ250" s="632">
        <v>3</v>
      </c>
      <c r="BR250" s="600">
        <v>1.0999999999999999E-2</v>
      </c>
      <c r="BS250" s="170" t="e">
        <f t="shared" ca="1" si="329"/>
        <v>#VALUE!</v>
      </c>
      <c r="BT250" s="508" t="e">
        <f t="shared" ca="1" si="330"/>
        <v>#VALUE!</v>
      </c>
      <c r="BV250" s="396">
        <v>7</v>
      </c>
      <c r="BW250" s="525" t="s">
        <v>2272</v>
      </c>
      <c r="BX250" s="530" t="s">
        <v>2200</v>
      </c>
      <c r="BY250" s="523" t="str">
        <f t="shared" ca="1" si="314"/>
        <v>T2部件</v>
      </c>
      <c r="BZ250" s="662">
        <v>1.5</v>
      </c>
      <c r="CA250" s="634">
        <v>2.0500000000000001E-2</v>
      </c>
      <c r="CB250" s="170" t="e">
        <f t="shared" ca="1" si="337"/>
        <v>#VALUE!</v>
      </c>
      <c r="CC250" s="379" t="e">
        <f t="shared" ca="1" si="338"/>
        <v>#VALUE!</v>
      </c>
    </row>
    <row r="251" spans="2:81" x14ac:dyDescent="0.35">
      <c r="B251" s="512">
        <v>6</v>
      </c>
      <c r="C251" s="516" t="s">
        <v>2269</v>
      </c>
      <c r="D251" s="529" t="s">
        <v>2452</v>
      </c>
      <c r="E251" s="508" t="str">
        <f t="shared" ca="1" si="334"/>
        <v>T2部件</v>
      </c>
      <c r="F251" s="508">
        <v>2</v>
      </c>
      <c r="G251" s="166">
        <v>7.6E-3</v>
      </c>
      <c r="H251" s="170" t="e">
        <f t="shared" ca="1" si="300"/>
        <v>#VALUE!</v>
      </c>
      <c r="I251" s="508" t="e">
        <f t="shared" ca="1" si="301"/>
        <v>#VALUE!</v>
      </c>
      <c r="J251" s="300"/>
      <c r="K251" s="512">
        <v>6</v>
      </c>
      <c r="L251" s="516" t="s">
        <v>2269</v>
      </c>
      <c r="M251" s="529" t="s">
        <v>2452</v>
      </c>
      <c r="N251" s="508" t="str">
        <f t="shared" ca="1" si="335"/>
        <v>T2部件</v>
      </c>
      <c r="O251" s="565">
        <v>1</v>
      </c>
      <c r="P251" s="633">
        <v>6.3E-3</v>
      </c>
      <c r="Q251" s="170" t="e">
        <f t="shared" ca="1" si="310"/>
        <v>#VALUE!</v>
      </c>
      <c r="R251" s="508" t="e">
        <f t="shared" ca="1" si="311"/>
        <v>#VALUE!</v>
      </c>
      <c r="T251" s="512">
        <v>6</v>
      </c>
      <c r="U251" s="516" t="s">
        <v>2269</v>
      </c>
      <c r="V251" s="529" t="s">
        <v>2452</v>
      </c>
      <c r="W251" s="508" t="str">
        <f t="shared" ca="1" si="336"/>
        <v>T2部件</v>
      </c>
      <c r="X251" s="565">
        <v>1</v>
      </c>
      <c r="Y251" s="166">
        <v>6.4999999999999997E-3</v>
      </c>
      <c r="Z251" s="170" t="e">
        <f t="shared" ca="1" si="312"/>
        <v>#VALUE!</v>
      </c>
      <c r="AA251" s="508" t="e">
        <f t="shared" ca="1" si="313"/>
        <v>#VALUE!</v>
      </c>
      <c r="AC251" s="512">
        <v>6</v>
      </c>
      <c r="AD251" s="516" t="s">
        <v>2270</v>
      </c>
      <c r="AE251" s="529" t="s">
        <v>2452</v>
      </c>
      <c r="AF251" s="508" t="str">
        <f t="shared" ca="1" si="339"/>
        <v>T2部件</v>
      </c>
      <c r="AG251" s="508">
        <v>1</v>
      </c>
      <c r="AH251" s="633">
        <v>7.4999999999999997E-3</v>
      </c>
      <c r="AI251" s="170" t="e">
        <f t="shared" ca="1" si="320"/>
        <v>#VALUE!</v>
      </c>
      <c r="AJ251" s="508" t="e">
        <f t="shared" ca="1" si="321"/>
        <v>#VALUE!</v>
      </c>
      <c r="AL251" s="512">
        <v>6</v>
      </c>
      <c r="AM251" s="512" t="s">
        <v>2255</v>
      </c>
      <c r="AN251" s="529" t="s">
        <v>2452</v>
      </c>
      <c r="AO251" s="508">
        <f t="shared" ca="1" si="317"/>
        <v>10.125</v>
      </c>
      <c r="AP251" s="600">
        <v>2.5</v>
      </c>
      <c r="AQ251" s="166">
        <v>7.0000000000000001E-3</v>
      </c>
      <c r="AR251" s="170">
        <f t="shared" ca="1" si="331"/>
        <v>2.6824691358024694E-2</v>
      </c>
      <c r="AS251" s="508">
        <f t="shared" ca="1" si="332"/>
        <v>268</v>
      </c>
      <c r="AU251" s="512">
        <v>6</v>
      </c>
      <c r="AV251" s="516" t="s">
        <v>2250</v>
      </c>
      <c r="AW251" s="529" t="s">
        <v>2452</v>
      </c>
      <c r="AX251" s="508">
        <f t="shared" ca="1" si="322"/>
        <v>10.125</v>
      </c>
      <c r="AY251" s="625">
        <v>1.5</v>
      </c>
      <c r="AZ251" s="615">
        <v>7.7000000000000002E-3</v>
      </c>
      <c r="BA251" s="170">
        <f t="shared" ca="1" si="323"/>
        <v>3.2954732510288069E-2</v>
      </c>
      <c r="BB251" s="508">
        <f t="shared" ca="1" si="324"/>
        <v>330</v>
      </c>
      <c r="BD251" s="512">
        <v>6</v>
      </c>
      <c r="BE251" s="516" t="s">
        <v>2250</v>
      </c>
      <c r="BF251" s="529" t="s">
        <v>2452</v>
      </c>
      <c r="BG251" s="508">
        <f t="shared" ca="1" si="325"/>
        <v>10.125</v>
      </c>
      <c r="BH251" s="615">
        <v>5.5</v>
      </c>
      <c r="BI251" s="615">
        <v>8.3999999999999995E-3</v>
      </c>
      <c r="BJ251" s="170">
        <f t="shared" ca="1" si="326"/>
        <v>2.2249158249158244E-2</v>
      </c>
      <c r="BK251" s="279">
        <f t="shared" ca="1" si="333"/>
        <v>222</v>
      </c>
      <c r="BM251" s="512">
        <v>7</v>
      </c>
      <c r="BN251" s="527" t="s">
        <v>2262</v>
      </c>
      <c r="BO251" s="530" t="s">
        <v>2200</v>
      </c>
      <c r="BP251" s="508" t="str">
        <f t="shared" ca="1" si="328"/>
        <v>T2部件</v>
      </c>
      <c r="BQ251" s="632">
        <v>3</v>
      </c>
      <c r="BR251" s="600">
        <v>1.0999999999999999E-2</v>
      </c>
      <c r="BS251" s="170" t="e">
        <f t="shared" ca="1" si="329"/>
        <v>#VALUE!</v>
      </c>
      <c r="BT251" s="508" t="e">
        <f t="shared" ca="1" si="330"/>
        <v>#VALUE!</v>
      </c>
      <c r="BV251" s="396">
        <v>7</v>
      </c>
      <c r="BW251" s="525" t="s">
        <v>2274</v>
      </c>
      <c r="BX251" s="530" t="s">
        <v>2200</v>
      </c>
      <c r="BY251" s="523" t="str">
        <f t="shared" ca="1" si="314"/>
        <v>T2部件</v>
      </c>
      <c r="BZ251" s="662">
        <v>1.5</v>
      </c>
      <c r="CA251" s="565">
        <v>2.06E-2</v>
      </c>
      <c r="CB251" s="170" t="e">
        <f t="shared" ca="1" si="337"/>
        <v>#VALUE!</v>
      </c>
      <c r="CC251" s="379" t="e">
        <f t="shared" ca="1" si="338"/>
        <v>#VALUE!</v>
      </c>
    </row>
    <row r="252" spans="2:81" x14ac:dyDescent="0.35">
      <c r="B252" s="512">
        <v>6</v>
      </c>
      <c r="C252" s="516" t="s">
        <v>2271</v>
      </c>
      <c r="D252" s="529" t="s">
        <v>2452</v>
      </c>
      <c r="E252" s="508" t="str">
        <f t="shared" ca="1" si="334"/>
        <v>T2部件</v>
      </c>
      <c r="F252" s="508">
        <v>2</v>
      </c>
      <c r="G252" s="166">
        <v>7.6E-3</v>
      </c>
      <c r="H252" s="170" t="e">
        <f t="shared" ca="1" si="300"/>
        <v>#VALUE!</v>
      </c>
      <c r="I252" s="508" t="e">
        <f t="shared" ca="1" si="301"/>
        <v>#VALUE!</v>
      </c>
      <c r="J252" s="300"/>
      <c r="K252" s="512">
        <v>6</v>
      </c>
      <c r="L252" s="516" t="s">
        <v>2271</v>
      </c>
      <c r="M252" s="529" t="s">
        <v>2452</v>
      </c>
      <c r="N252" s="508" t="str">
        <f t="shared" ca="1" si="335"/>
        <v>T2部件</v>
      </c>
      <c r="O252" s="565">
        <v>1</v>
      </c>
      <c r="P252" s="633">
        <v>6.3E-3</v>
      </c>
      <c r="Q252" s="170" t="e">
        <f t="shared" ca="1" si="310"/>
        <v>#VALUE!</v>
      </c>
      <c r="R252" s="508" t="e">
        <f t="shared" ca="1" si="311"/>
        <v>#VALUE!</v>
      </c>
      <c r="T252" s="512">
        <v>6</v>
      </c>
      <c r="U252" s="516" t="s">
        <v>2271</v>
      </c>
      <c r="V252" s="529" t="s">
        <v>2452</v>
      </c>
      <c r="W252" s="508" t="str">
        <f t="shared" ca="1" si="336"/>
        <v>T2部件</v>
      </c>
      <c r="X252" s="565">
        <v>1</v>
      </c>
      <c r="Y252" s="166">
        <v>6.4999999999999997E-3</v>
      </c>
      <c r="Z252" s="170" t="e">
        <f t="shared" ca="1" si="312"/>
        <v>#VALUE!</v>
      </c>
      <c r="AA252" s="508" t="e">
        <f t="shared" ca="1" si="313"/>
        <v>#VALUE!</v>
      </c>
      <c r="AC252" s="512">
        <v>6</v>
      </c>
      <c r="AD252" s="512" t="s">
        <v>2272</v>
      </c>
      <c r="AE252" s="529" t="s">
        <v>2452</v>
      </c>
      <c r="AF252" s="508" t="str">
        <f t="shared" ca="1" si="339"/>
        <v>T2部件</v>
      </c>
      <c r="AG252" s="508">
        <v>1</v>
      </c>
      <c r="AH252" s="633">
        <v>7.4999999999999997E-3</v>
      </c>
      <c r="AI252" s="170" t="e">
        <f t="shared" ca="1" si="320"/>
        <v>#VALUE!</v>
      </c>
      <c r="AJ252" s="508" t="e">
        <f t="shared" ca="1" si="321"/>
        <v>#VALUE!</v>
      </c>
      <c r="AL252" s="512">
        <v>6</v>
      </c>
      <c r="AM252" s="512" t="s">
        <v>2257</v>
      </c>
      <c r="AN252" s="529" t="s">
        <v>2452</v>
      </c>
      <c r="AO252" s="508">
        <f t="shared" ca="1" si="317"/>
        <v>10.125</v>
      </c>
      <c r="AP252" s="600">
        <v>2.5</v>
      </c>
      <c r="AQ252" s="166">
        <v>7.0000000000000001E-3</v>
      </c>
      <c r="AR252" s="170">
        <f t="shared" ca="1" si="331"/>
        <v>2.6824691358024694E-2</v>
      </c>
      <c r="AS252" s="508">
        <f t="shared" ca="1" si="332"/>
        <v>268</v>
      </c>
      <c r="AU252" s="512">
        <v>6</v>
      </c>
      <c r="AV252" s="516" t="s">
        <v>2252</v>
      </c>
      <c r="AW252" s="529" t="s">
        <v>2452</v>
      </c>
      <c r="AX252" s="508">
        <f t="shared" ca="1" si="322"/>
        <v>10.125</v>
      </c>
      <c r="AY252" s="625">
        <v>1.5</v>
      </c>
      <c r="AZ252" s="615">
        <v>7.7000000000000002E-3</v>
      </c>
      <c r="BA252" s="170">
        <f t="shared" ca="1" si="323"/>
        <v>3.2954732510288069E-2</v>
      </c>
      <c r="BB252" s="508">
        <f t="shared" ca="1" si="324"/>
        <v>330</v>
      </c>
      <c r="BD252" s="512">
        <v>6</v>
      </c>
      <c r="BE252" s="516" t="s">
        <v>2252</v>
      </c>
      <c r="BF252" s="529" t="s">
        <v>2452</v>
      </c>
      <c r="BG252" s="508">
        <f t="shared" ca="1" si="325"/>
        <v>10.125</v>
      </c>
      <c r="BH252" s="615">
        <v>5.5</v>
      </c>
      <c r="BI252" s="615">
        <v>8.3999999999999995E-3</v>
      </c>
      <c r="BJ252" s="170">
        <f t="shared" ca="1" si="326"/>
        <v>2.2249158249158244E-2</v>
      </c>
      <c r="BK252" s="279">
        <f t="shared" ca="1" si="333"/>
        <v>222</v>
      </c>
      <c r="BM252" s="512">
        <v>7</v>
      </c>
      <c r="BN252" s="527" t="s">
        <v>2264</v>
      </c>
      <c r="BO252" s="530" t="s">
        <v>2200</v>
      </c>
      <c r="BP252" s="508" t="str">
        <f t="shared" ca="1" si="328"/>
        <v>T2部件</v>
      </c>
      <c r="BQ252" s="632">
        <v>3</v>
      </c>
      <c r="BR252" s="600">
        <v>1.0999999999999999E-2</v>
      </c>
      <c r="BS252" s="170" t="e">
        <f t="shared" ca="1" si="329"/>
        <v>#VALUE!</v>
      </c>
      <c r="BT252" s="508" t="e">
        <f t="shared" ca="1" si="330"/>
        <v>#VALUE!</v>
      </c>
      <c r="BV252" s="396">
        <v>7</v>
      </c>
      <c r="BW252" s="527" t="s">
        <v>2259</v>
      </c>
      <c r="BX252" s="530" t="s">
        <v>2200</v>
      </c>
      <c r="BY252" s="523" t="str">
        <f t="shared" ca="1" si="314"/>
        <v>T2部件</v>
      </c>
      <c r="BZ252" s="662">
        <v>1.5</v>
      </c>
      <c r="CA252" s="634">
        <v>2.06E-2</v>
      </c>
      <c r="CB252" s="170" t="e">
        <f t="shared" ref="CB252:CB257" ca="1" si="340">CA252*BW$4/BY252/BZ252</f>
        <v>#VALUE!</v>
      </c>
      <c r="CC252" s="394" t="e">
        <f t="shared" ref="CC252:CC257" ca="1" si="341">ROUND(CB252*10000,0)</f>
        <v>#VALUE!</v>
      </c>
    </row>
    <row r="253" spans="2:81" x14ac:dyDescent="0.35">
      <c r="B253" s="512">
        <v>6</v>
      </c>
      <c r="C253" s="512" t="s">
        <v>2273</v>
      </c>
      <c r="D253" s="529" t="s">
        <v>2452</v>
      </c>
      <c r="E253" s="508" t="str">
        <f t="shared" ca="1" si="334"/>
        <v>T2部件</v>
      </c>
      <c r="F253" s="508">
        <v>2</v>
      </c>
      <c r="G253" s="166">
        <v>7.6E-3</v>
      </c>
      <c r="H253" s="170" t="e">
        <f t="shared" ca="1" si="300"/>
        <v>#VALUE!</v>
      </c>
      <c r="I253" s="508" t="e">
        <f t="shared" ca="1" si="301"/>
        <v>#VALUE!</v>
      </c>
      <c r="J253" s="300"/>
      <c r="K253" s="512">
        <v>6</v>
      </c>
      <c r="L253" s="512" t="s">
        <v>2273</v>
      </c>
      <c r="M253" s="529" t="s">
        <v>2452</v>
      </c>
      <c r="N253" s="508" t="str">
        <f t="shared" ca="1" si="335"/>
        <v>T2部件</v>
      </c>
      <c r="O253" s="565">
        <v>1</v>
      </c>
      <c r="P253" s="633">
        <v>6.3E-3</v>
      </c>
      <c r="Q253" s="170" t="e">
        <f t="shared" ca="1" si="310"/>
        <v>#VALUE!</v>
      </c>
      <c r="R253" s="508" t="e">
        <f t="shared" ca="1" si="311"/>
        <v>#VALUE!</v>
      </c>
      <c r="T253" s="512">
        <v>6</v>
      </c>
      <c r="U253" s="512" t="s">
        <v>2273</v>
      </c>
      <c r="V253" s="529" t="s">
        <v>2452</v>
      </c>
      <c r="W253" s="508" t="str">
        <f t="shared" ca="1" si="336"/>
        <v>T2部件</v>
      </c>
      <c r="X253" s="565">
        <v>1</v>
      </c>
      <c r="Y253" s="166">
        <v>6.4999999999999997E-3</v>
      </c>
      <c r="Z253" s="170" t="e">
        <f t="shared" ca="1" si="312"/>
        <v>#VALUE!</v>
      </c>
      <c r="AA253" s="508" t="e">
        <f t="shared" ca="1" si="313"/>
        <v>#VALUE!</v>
      </c>
      <c r="AC253" s="512">
        <v>6</v>
      </c>
      <c r="AD253" s="512" t="s">
        <v>2274</v>
      </c>
      <c r="AE253" s="529" t="s">
        <v>2452</v>
      </c>
      <c r="AF253" s="508" t="str">
        <f t="shared" ca="1" si="339"/>
        <v>T2部件</v>
      </c>
      <c r="AG253" s="508">
        <v>1</v>
      </c>
      <c r="AH253" s="633">
        <v>7.4999999999999997E-3</v>
      </c>
      <c r="AI253" s="170" t="e">
        <f t="shared" ca="1" si="320"/>
        <v>#VALUE!</v>
      </c>
      <c r="AJ253" s="508" t="e">
        <f t="shared" ca="1" si="321"/>
        <v>#VALUE!</v>
      </c>
      <c r="AL253" s="512">
        <v>6</v>
      </c>
      <c r="AM253" s="516" t="s">
        <v>2258</v>
      </c>
      <c r="AN253" s="529" t="s">
        <v>2452</v>
      </c>
      <c r="AO253" s="508" t="str">
        <f t="shared" ca="1" si="317"/>
        <v>T2部件</v>
      </c>
      <c r="AP253" s="508">
        <v>1.5</v>
      </c>
      <c r="AQ253" s="166">
        <v>6.0000000000000001E-3</v>
      </c>
      <c r="AR253" s="170" t="e">
        <f t="shared" ca="1" si="331"/>
        <v>#VALUE!</v>
      </c>
      <c r="AS253" s="508" t="e">
        <f t="shared" ca="1" si="332"/>
        <v>#VALUE!</v>
      </c>
      <c r="AU253" s="512">
        <v>6</v>
      </c>
      <c r="AV253" s="512" t="s">
        <v>2254</v>
      </c>
      <c r="AW253" s="529" t="s">
        <v>2452</v>
      </c>
      <c r="AX253" s="508">
        <f t="shared" ca="1" si="322"/>
        <v>10.125</v>
      </c>
      <c r="AY253" s="625">
        <v>1.5</v>
      </c>
      <c r="AZ253" s="615">
        <v>7.7000000000000002E-3</v>
      </c>
      <c r="BA253" s="170">
        <f t="shared" ca="1" si="323"/>
        <v>3.2954732510288069E-2</v>
      </c>
      <c r="BB253" s="508">
        <f t="shared" ca="1" si="324"/>
        <v>330</v>
      </c>
      <c r="BD253" s="512">
        <v>6</v>
      </c>
      <c r="BE253" s="512" t="s">
        <v>2254</v>
      </c>
      <c r="BF253" s="529" t="s">
        <v>2452</v>
      </c>
      <c r="BG253" s="508">
        <f t="shared" ca="1" si="325"/>
        <v>10.125</v>
      </c>
      <c r="BH253" s="615">
        <v>5.5</v>
      </c>
      <c r="BI253" s="615">
        <v>8.3999999999999995E-3</v>
      </c>
      <c r="BJ253" s="170">
        <f t="shared" ca="1" si="326"/>
        <v>2.2249158249158244E-2</v>
      </c>
      <c r="BK253" s="279">
        <f t="shared" ca="1" si="333"/>
        <v>222</v>
      </c>
      <c r="BM253" s="512">
        <v>7</v>
      </c>
      <c r="BN253" s="527" t="s">
        <v>2266</v>
      </c>
      <c r="BO253" s="530" t="s">
        <v>2200</v>
      </c>
      <c r="BP253" s="508" t="str">
        <f t="shared" ca="1" si="328"/>
        <v>T2部件</v>
      </c>
      <c r="BQ253" s="632">
        <v>3</v>
      </c>
      <c r="BR253" s="600">
        <v>1.0999999999999999E-2</v>
      </c>
      <c r="BS253" s="170" t="e">
        <f t="shared" ca="1" si="329"/>
        <v>#VALUE!</v>
      </c>
      <c r="BT253" s="508" t="e">
        <f t="shared" ca="1" si="330"/>
        <v>#VALUE!</v>
      </c>
      <c r="BV253" s="396">
        <v>7</v>
      </c>
      <c r="BW253" s="527" t="s">
        <v>2261</v>
      </c>
      <c r="BX253" s="530" t="s">
        <v>2200</v>
      </c>
      <c r="BY253" s="523" t="str">
        <f t="shared" ca="1" si="314"/>
        <v>T2部件</v>
      </c>
      <c r="BZ253" s="662">
        <v>1.5</v>
      </c>
      <c r="CA253" s="634">
        <v>2.06E-2</v>
      </c>
      <c r="CB253" s="170" t="e">
        <f t="shared" ca="1" si="340"/>
        <v>#VALUE!</v>
      </c>
      <c r="CC253" s="394" t="e">
        <f t="shared" ca="1" si="341"/>
        <v>#VALUE!</v>
      </c>
    </row>
    <row r="254" spans="2:81" x14ac:dyDescent="0.35">
      <c r="B254" s="512">
        <v>6</v>
      </c>
      <c r="C254" s="512" t="s">
        <v>2275</v>
      </c>
      <c r="D254" s="529" t="s">
        <v>2452</v>
      </c>
      <c r="E254" s="508" t="str">
        <f t="shared" ca="1" si="334"/>
        <v>T2部件</v>
      </c>
      <c r="F254" s="508">
        <v>2</v>
      </c>
      <c r="G254" s="166">
        <v>7.7000000000000002E-3</v>
      </c>
      <c r="H254" s="170" t="e">
        <f t="shared" ca="1" si="300"/>
        <v>#VALUE!</v>
      </c>
      <c r="I254" s="508" t="e">
        <f t="shared" ca="1" si="301"/>
        <v>#VALUE!</v>
      </c>
      <c r="J254" s="300"/>
      <c r="K254" s="512">
        <v>6</v>
      </c>
      <c r="L254" s="512" t="s">
        <v>2275</v>
      </c>
      <c r="M254" s="529" t="s">
        <v>2452</v>
      </c>
      <c r="N254" s="508" t="str">
        <f t="shared" ca="1" si="335"/>
        <v>T2部件</v>
      </c>
      <c r="O254" s="565">
        <v>1</v>
      </c>
      <c r="P254" s="633">
        <v>6.3E-3</v>
      </c>
      <c r="Q254" s="170" t="e">
        <f t="shared" ca="1" si="310"/>
        <v>#VALUE!</v>
      </c>
      <c r="R254" s="508" t="e">
        <f t="shared" ca="1" si="311"/>
        <v>#VALUE!</v>
      </c>
      <c r="T254" s="512">
        <v>6</v>
      </c>
      <c r="U254" s="512" t="s">
        <v>2275</v>
      </c>
      <c r="V254" s="529" t="s">
        <v>2452</v>
      </c>
      <c r="W254" s="508" t="str">
        <f t="shared" ca="1" si="336"/>
        <v>T2部件</v>
      </c>
      <c r="X254" s="565">
        <v>1</v>
      </c>
      <c r="Y254" s="166">
        <v>6.4999999999999997E-3</v>
      </c>
      <c r="Z254" s="170" t="e">
        <f t="shared" ca="1" si="312"/>
        <v>#VALUE!</v>
      </c>
      <c r="AA254" s="508" t="e">
        <f t="shared" ca="1" si="313"/>
        <v>#VALUE!</v>
      </c>
      <c r="AC254" s="512">
        <v>6</v>
      </c>
      <c r="AD254" s="516" t="s">
        <v>2259</v>
      </c>
      <c r="AE254" s="529" t="s">
        <v>2452</v>
      </c>
      <c r="AF254" s="508" t="str">
        <f t="shared" ca="1" si="339"/>
        <v>T2部件</v>
      </c>
      <c r="AG254" s="508">
        <v>1</v>
      </c>
      <c r="AH254" s="633">
        <v>7.4999999999999997E-3</v>
      </c>
      <c r="AI254" s="170" t="e">
        <f t="shared" ca="1" si="320"/>
        <v>#VALUE!</v>
      </c>
      <c r="AJ254" s="508" t="e">
        <f t="shared" ca="1" si="321"/>
        <v>#VALUE!</v>
      </c>
      <c r="AL254" s="512">
        <v>6</v>
      </c>
      <c r="AM254" s="516" t="s">
        <v>2260</v>
      </c>
      <c r="AN254" s="529" t="s">
        <v>2452</v>
      </c>
      <c r="AO254" s="508" t="str">
        <f t="shared" ca="1" si="317"/>
        <v>T2部件</v>
      </c>
      <c r="AP254" s="565">
        <v>1.5</v>
      </c>
      <c r="AQ254" s="166">
        <v>6.0000000000000001E-3</v>
      </c>
      <c r="AR254" s="170" t="e">
        <f t="shared" ca="1" si="331"/>
        <v>#VALUE!</v>
      </c>
      <c r="AS254" s="508" t="e">
        <f t="shared" ca="1" si="332"/>
        <v>#VALUE!</v>
      </c>
      <c r="AU254" s="512">
        <v>6</v>
      </c>
      <c r="AV254" s="512" t="s">
        <v>2256</v>
      </c>
      <c r="AW254" s="529" t="s">
        <v>2452</v>
      </c>
      <c r="AX254" s="508">
        <f t="shared" ca="1" si="322"/>
        <v>10.125</v>
      </c>
      <c r="AY254" s="625">
        <v>1.5</v>
      </c>
      <c r="AZ254" s="615">
        <v>7.7000000000000002E-3</v>
      </c>
      <c r="BA254" s="170">
        <f t="shared" ca="1" si="323"/>
        <v>3.2954732510288069E-2</v>
      </c>
      <c r="BB254" s="508">
        <f t="shared" ca="1" si="324"/>
        <v>330</v>
      </c>
      <c r="BD254" s="512">
        <v>6</v>
      </c>
      <c r="BE254" s="512" t="s">
        <v>2256</v>
      </c>
      <c r="BF254" s="529" t="s">
        <v>2452</v>
      </c>
      <c r="BG254" s="508">
        <f t="shared" ca="1" si="325"/>
        <v>10.125</v>
      </c>
      <c r="BH254" s="615">
        <v>5.5</v>
      </c>
      <c r="BI254" s="615">
        <v>8.3999999999999995E-3</v>
      </c>
      <c r="BJ254" s="170">
        <f t="shared" ca="1" si="326"/>
        <v>2.2249158249158244E-2</v>
      </c>
      <c r="BK254" s="279">
        <f t="shared" ca="1" si="333"/>
        <v>222</v>
      </c>
      <c r="BM254" s="512">
        <v>7</v>
      </c>
      <c r="BN254" s="527" t="s">
        <v>2268</v>
      </c>
      <c r="BO254" s="530" t="s">
        <v>2200</v>
      </c>
      <c r="BP254" s="508" t="str">
        <f t="shared" ca="1" si="328"/>
        <v>T2部件</v>
      </c>
      <c r="BQ254" s="632">
        <v>3</v>
      </c>
      <c r="BR254" s="600">
        <v>1.0999999999999999E-2</v>
      </c>
      <c r="BS254" s="170" t="e">
        <f t="shared" ca="1" si="329"/>
        <v>#VALUE!</v>
      </c>
      <c r="BT254" s="508" t="e">
        <f t="shared" ca="1" si="330"/>
        <v>#VALUE!</v>
      </c>
      <c r="BV254" s="396">
        <v>7</v>
      </c>
      <c r="BW254" s="527" t="s">
        <v>2263</v>
      </c>
      <c r="BX254" s="530" t="s">
        <v>2200</v>
      </c>
      <c r="BY254" s="523" t="str">
        <f t="shared" ca="1" si="314"/>
        <v>T2部件</v>
      </c>
      <c r="BZ254" s="662">
        <v>1.5</v>
      </c>
      <c r="CA254" s="634">
        <v>2.06E-2</v>
      </c>
      <c r="CB254" s="170" t="e">
        <f t="shared" ca="1" si="340"/>
        <v>#VALUE!</v>
      </c>
      <c r="CC254" s="394" t="e">
        <f t="shared" ca="1" si="341"/>
        <v>#VALUE!</v>
      </c>
    </row>
    <row r="255" spans="2:81" x14ac:dyDescent="0.35">
      <c r="B255" s="512">
        <v>6</v>
      </c>
      <c r="C255" s="516" t="s">
        <v>2276</v>
      </c>
      <c r="D255" s="529" t="s">
        <v>2452</v>
      </c>
      <c r="E255" s="508" t="str">
        <f t="shared" ca="1" si="334"/>
        <v>T3部件</v>
      </c>
      <c r="F255" s="508">
        <v>1</v>
      </c>
      <c r="G255" s="166">
        <v>7.7000000000000002E-3</v>
      </c>
      <c r="H255" s="170" t="e">
        <f t="shared" ca="1" si="300"/>
        <v>#VALUE!</v>
      </c>
      <c r="I255" s="508" t="e">
        <f t="shared" ca="1" si="301"/>
        <v>#VALUE!</v>
      </c>
      <c r="J255" s="300"/>
      <c r="K255" s="512">
        <v>6</v>
      </c>
      <c r="L255" s="516" t="s">
        <v>2276</v>
      </c>
      <c r="M255" s="529" t="s">
        <v>2452</v>
      </c>
      <c r="N255" s="508" t="str">
        <f t="shared" ca="1" si="335"/>
        <v>T3部件</v>
      </c>
      <c r="O255" s="565">
        <v>1</v>
      </c>
      <c r="P255" s="633">
        <v>7.0000000000000001E-3</v>
      </c>
      <c r="Q255" s="170" t="e">
        <f t="shared" ca="1" si="310"/>
        <v>#VALUE!</v>
      </c>
      <c r="R255" s="508" t="e">
        <f t="shared" ca="1" si="311"/>
        <v>#VALUE!</v>
      </c>
      <c r="T255" s="512">
        <v>6</v>
      </c>
      <c r="U255" s="516" t="s">
        <v>2276</v>
      </c>
      <c r="V255" s="529" t="s">
        <v>2452</v>
      </c>
      <c r="W255" s="508" t="str">
        <f t="shared" ca="1" si="336"/>
        <v>T3部件</v>
      </c>
      <c r="X255" s="565">
        <v>1</v>
      </c>
      <c r="Y255" s="166">
        <v>7.0000000000000001E-3</v>
      </c>
      <c r="Z255" s="170" t="e">
        <f t="shared" ca="1" si="312"/>
        <v>#VALUE!</v>
      </c>
      <c r="AA255" s="508" t="e">
        <f t="shared" ca="1" si="313"/>
        <v>#VALUE!</v>
      </c>
      <c r="AC255" s="512">
        <v>6</v>
      </c>
      <c r="AD255" s="516" t="s">
        <v>2261</v>
      </c>
      <c r="AE255" s="529" t="s">
        <v>2452</v>
      </c>
      <c r="AF255" s="508" t="str">
        <f t="shared" ca="1" si="339"/>
        <v>T2部件</v>
      </c>
      <c r="AG255" s="508">
        <v>1</v>
      </c>
      <c r="AH255" s="633">
        <v>7.4999999999999997E-3</v>
      </c>
      <c r="AI255" s="170" t="e">
        <f t="shared" ca="1" si="320"/>
        <v>#VALUE!</v>
      </c>
      <c r="AJ255" s="508" t="e">
        <f t="shared" ca="1" si="321"/>
        <v>#VALUE!</v>
      </c>
      <c r="AL255" s="512">
        <v>6</v>
      </c>
      <c r="AM255" s="516" t="s">
        <v>2262</v>
      </c>
      <c r="AN255" s="529" t="s">
        <v>2452</v>
      </c>
      <c r="AO255" s="508" t="str">
        <f t="shared" ca="1" si="317"/>
        <v>T2部件</v>
      </c>
      <c r="AP255" s="565">
        <v>1.5</v>
      </c>
      <c r="AQ255" s="166">
        <v>6.0000000000000001E-3</v>
      </c>
      <c r="AR255" s="170" t="e">
        <f t="shared" ca="1" si="331"/>
        <v>#VALUE!</v>
      </c>
      <c r="AS255" s="508" t="e">
        <f t="shared" ca="1" si="332"/>
        <v>#VALUE!</v>
      </c>
      <c r="AU255" s="512">
        <v>6</v>
      </c>
      <c r="AV255" s="516" t="s">
        <v>2241</v>
      </c>
      <c r="AW255" s="529" t="s">
        <v>2452</v>
      </c>
      <c r="AX255" s="508">
        <f t="shared" ca="1" si="322"/>
        <v>10.125</v>
      </c>
      <c r="AY255" s="625">
        <v>1.5</v>
      </c>
      <c r="AZ255" s="615">
        <v>7.7000000000000002E-3</v>
      </c>
      <c r="BA255" s="170">
        <f t="shared" ca="1" si="323"/>
        <v>3.2954732510288069E-2</v>
      </c>
      <c r="BB255" s="508">
        <f t="shared" ca="1" si="324"/>
        <v>330</v>
      </c>
      <c r="BD255" s="512">
        <v>6</v>
      </c>
      <c r="BE255" s="516" t="s">
        <v>2241</v>
      </c>
      <c r="BF255" s="529" t="s">
        <v>2452</v>
      </c>
      <c r="BG255" s="508">
        <f t="shared" ca="1" si="325"/>
        <v>10.125</v>
      </c>
      <c r="BH255" s="615">
        <v>5.5</v>
      </c>
      <c r="BI255" s="615">
        <v>8.3999999999999995E-3</v>
      </c>
      <c r="BJ255" s="170">
        <f t="shared" ca="1" si="326"/>
        <v>2.2249158249158244E-2</v>
      </c>
      <c r="BK255" s="279">
        <f t="shared" ca="1" si="333"/>
        <v>222</v>
      </c>
      <c r="BM255" s="512">
        <v>7</v>
      </c>
      <c r="BN255" s="527" t="s">
        <v>2270</v>
      </c>
      <c r="BO255" s="530" t="s">
        <v>2200</v>
      </c>
      <c r="BP255" s="508" t="str">
        <f t="shared" ca="1" si="328"/>
        <v>T2部件</v>
      </c>
      <c r="BQ255" s="632">
        <v>3</v>
      </c>
      <c r="BR255" s="600">
        <v>1.0999999999999999E-2</v>
      </c>
      <c r="BS255" s="170" t="e">
        <f t="shared" ca="1" si="329"/>
        <v>#VALUE!</v>
      </c>
      <c r="BT255" s="508" t="e">
        <f t="shared" ca="1" si="330"/>
        <v>#VALUE!</v>
      </c>
      <c r="BV255" s="396">
        <v>7</v>
      </c>
      <c r="BW255" s="527" t="s">
        <v>2265</v>
      </c>
      <c r="BX255" s="530" t="s">
        <v>2200</v>
      </c>
      <c r="BY255" s="523" t="str">
        <f t="shared" ca="1" si="314"/>
        <v>T2部件</v>
      </c>
      <c r="BZ255" s="662">
        <v>1.5</v>
      </c>
      <c r="CA255" s="634">
        <v>2.06E-2</v>
      </c>
      <c r="CB255" s="170" t="e">
        <f t="shared" ca="1" si="340"/>
        <v>#VALUE!</v>
      </c>
      <c r="CC255" s="394" t="e">
        <f t="shared" ca="1" si="341"/>
        <v>#VALUE!</v>
      </c>
    </row>
    <row r="256" spans="2:81" x14ac:dyDescent="0.35">
      <c r="B256" s="512">
        <v>6</v>
      </c>
      <c r="C256" s="516" t="s">
        <v>2278</v>
      </c>
      <c r="D256" s="529" t="s">
        <v>2452</v>
      </c>
      <c r="E256" s="508" t="str">
        <f t="shared" ca="1" si="334"/>
        <v>T3部件</v>
      </c>
      <c r="F256" s="594">
        <v>1</v>
      </c>
      <c r="G256" s="166">
        <v>7.7000000000000002E-3</v>
      </c>
      <c r="H256" s="170" t="e">
        <f t="shared" ca="1" si="300"/>
        <v>#VALUE!</v>
      </c>
      <c r="I256" s="508" t="e">
        <f t="shared" ca="1" si="301"/>
        <v>#VALUE!</v>
      </c>
      <c r="J256" s="300"/>
      <c r="K256" s="512">
        <v>6</v>
      </c>
      <c r="L256" s="516" t="s">
        <v>2278</v>
      </c>
      <c r="M256" s="529" t="s">
        <v>2452</v>
      </c>
      <c r="N256" s="508" t="str">
        <f t="shared" ca="1" si="335"/>
        <v>T3部件</v>
      </c>
      <c r="O256" s="565">
        <v>1</v>
      </c>
      <c r="P256" s="633">
        <v>7.0000000000000001E-3</v>
      </c>
      <c r="Q256" s="170" t="e">
        <f t="shared" ca="1" si="310"/>
        <v>#VALUE!</v>
      </c>
      <c r="R256" s="508" t="e">
        <f t="shared" ca="1" si="311"/>
        <v>#VALUE!</v>
      </c>
      <c r="T256" s="512">
        <v>6</v>
      </c>
      <c r="U256" s="516" t="s">
        <v>2278</v>
      </c>
      <c r="V256" s="529" t="s">
        <v>2452</v>
      </c>
      <c r="W256" s="508" t="str">
        <f t="shared" ca="1" si="336"/>
        <v>T3部件</v>
      </c>
      <c r="X256" s="565">
        <v>1</v>
      </c>
      <c r="Y256" s="166">
        <v>7.0000000000000001E-3</v>
      </c>
      <c r="Z256" s="170" t="e">
        <f t="shared" ca="1" si="312"/>
        <v>#VALUE!</v>
      </c>
      <c r="AA256" s="508" t="e">
        <f t="shared" ca="1" si="313"/>
        <v>#VALUE!</v>
      </c>
      <c r="AC256" s="512">
        <v>6</v>
      </c>
      <c r="AD256" s="516" t="s">
        <v>2263</v>
      </c>
      <c r="AE256" s="529" t="s">
        <v>2452</v>
      </c>
      <c r="AF256" s="508" t="str">
        <f t="shared" ca="1" si="339"/>
        <v>T2部件</v>
      </c>
      <c r="AG256" s="508">
        <v>1</v>
      </c>
      <c r="AH256" s="633">
        <v>7.4999999999999997E-3</v>
      </c>
      <c r="AI256" s="170" t="e">
        <f t="shared" ca="1" si="320"/>
        <v>#VALUE!</v>
      </c>
      <c r="AJ256" s="508" t="e">
        <f t="shared" ca="1" si="321"/>
        <v>#VALUE!</v>
      </c>
      <c r="AL256" s="512">
        <v>6</v>
      </c>
      <c r="AM256" s="516" t="s">
        <v>2264</v>
      </c>
      <c r="AN256" s="529" t="s">
        <v>2452</v>
      </c>
      <c r="AO256" s="508" t="str">
        <f t="shared" ca="1" si="317"/>
        <v>T2部件</v>
      </c>
      <c r="AP256" s="565">
        <v>1.5</v>
      </c>
      <c r="AQ256" s="166">
        <v>6.0000000000000001E-3</v>
      </c>
      <c r="AR256" s="170" t="e">
        <f t="shared" ca="1" si="331"/>
        <v>#VALUE!</v>
      </c>
      <c r="AS256" s="508" t="e">
        <f t="shared" ca="1" si="332"/>
        <v>#VALUE!</v>
      </c>
      <c r="AU256" s="512">
        <v>6</v>
      </c>
      <c r="AV256" s="516" t="s">
        <v>2243</v>
      </c>
      <c r="AW256" s="529" t="s">
        <v>2452</v>
      </c>
      <c r="AX256" s="508">
        <f t="shared" ca="1" si="322"/>
        <v>10.125</v>
      </c>
      <c r="AY256" s="625">
        <v>1.5</v>
      </c>
      <c r="AZ256" s="615">
        <v>7.7000000000000002E-3</v>
      </c>
      <c r="BA256" s="170">
        <f t="shared" ca="1" si="323"/>
        <v>3.2954732510288069E-2</v>
      </c>
      <c r="BB256" s="508">
        <f t="shared" ca="1" si="324"/>
        <v>330</v>
      </c>
      <c r="BD256" s="512">
        <v>6</v>
      </c>
      <c r="BE256" s="516" t="s">
        <v>2243</v>
      </c>
      <c r="BF256" s="529" t="s">
        <v>2452</v>
      </c>
      <c r="BG256" s="508">
        <f t="shared" ca="1" si="325"/>
        <v>10.125</v>
      </c>
      <c r="BH256" s="615">
        <v>5.5</v>
      </c>
      <c r="BI256" s="615">
        <v>8.3999999999999995E-3</v>
      </c>
      <c r="BJ256" s="170">
        <f t="shared" ca="1" si="326"/>
        <v>2.2249158249158244E-2</v>
      </c>
      <c r="BK256" s="279">
        <f t="shared" ca="1" si="333"/>
        <v>222</v>
      </c>
      <c r="BM256" s="512">
        <v>7</v>
      </c>
      <c r="BN256" s="525" t="s">
        <v>2272</v>
      </c>
      <c r="BO256" s="530" t="s">
        <v>2200</v>
      </c>
      <c r="BP256" s="508" t="str">
        <f t="shared" ca="1" si="328"/>
        <v>T2部件</v>
      </c>
      <c r="BQ256" s="632">
        <v>3</v>
      </c>
      <c r="BR256" s="600">
        <v>1.0999999999999999E-2</v>
      </c>
      <c r="BS256" s="170" t="e">
        <f t="shared" ca="1" si="329"/>
        <v>#VALUE!</v>
      </c>
      <c r="BT256" s="508" t="e">
        <f t="shared" ca="1" si="330"/>
        <v>#VALUE!</v>
      </c>
      <c r="BV256" s="396">
        <v>7</v>
      </c>
      <c r="BW256" s="527" t="s">
        <v>2267</v>
      </c>
      <c r="BX256" s="530" t="s">
        <v>2200</v>
      </c>
      <c r="BY256" s="523" t="str">
        <f t="shared" ca="1" si="314"/>
        <v>T2部件</v>
      </c>
      <c r="BZ256" s="662">
        <v>1.5</v>
      </c>
      <c r="CA256" s="634">
        <v>2.06E-2</v>
      </c>
      <c r="CB256" s="170" t="e">
        <f t="shared" ca="1" si="340"/>
        <v>#VALUE!</v>
      </c>
      <c r="CC256" s="394" t="e">
        <f t="shared" ca="1" si="341"/>
        <v>#VALUE!</v>
      </c>
    </row>
    <row r="257" spans="2:81" x14ac:dyDescent="0.35">
      <c r="B257" s="512">
        <v>6</v>
      </c>
      <c r="C257" s="516" t="s">
        <v>2280</v>
      </c>
      <c r="D257" s="529" t="s">
        <v>2452</v>
      </c>
      <c r="E257" s="508" t="str">
        <f t="shared" ca="1" si="334"/>
        <v>T3部件</v>
      </c>
      <c r="F257" s="594">
        <v>1</v>
      </c>
      <c r="G257" s="166">
        <v>7.7000000000000002E-3</v>
      </c>
      <c r="H257" s="170" t="e">
        <f t="shared" ca="1" si="300"/>
        <v>#VALUE!</v>
      </c>
      <c r="I257" s="508" t="e">
        <f t="shared" ca="1" si="301"/>
        <v>#VALUE!</v>
      </c>
      <c r="J257" s="300"/>
      <c r="K257" s="512">
        <v>6</v>
      </c>
      <c r="L257" s="516" t="s">
        <v>2280</v>
      </c>
      <c r="M257" s="529" t="s">
        <v>2452</v>
      </c>
      <c r="N257" s="508" t="str">
        <f t="shared" ca="1" si="335"/>
        <v>T3部件</v>
      </c>
      <c r="O257" s="565">
        <v>1</v>
      </c>
      <c r="P257" s="633">
        <v>7.0000000000000001E-3</v>
      </c>
      <c r="Q257" s="170" t="e">
        <f t="shared" ca="1" si="310"/>
        <v>#VALUE!</v>
      </c>
      <c r="R257" s="508" t="e">
        <f t="shared" ca="1" si="311"/>
        <v>#VALUE!</v>
      </c>
      <c r="T257" s="512">
        <v>6</v>
      </c>
      <c r="U257" s="516" t="s">
        <v>2280</v>
      </c>
      <c r="V257" s="529" t="s">
        <v>2452</v>
      </c>
      <c r="W257" s="508" t="str">
        <f t="shared" ca="1" si="336"/>
        <v>T3部件</v>
      </c>
      <c r="X257" s="565">
        <v>1</v>
      </c>
      <c r="Y257" s="166">
        <v>7.0000000000000001E-3</v>
      </c>
      <c r="Z257" s="170" t="e">
        <f t="shared" ca="1" si="312"/>
        <v>#VALUE!</v>
      </c>
      <c r="AA257" s="508" t="e">
        <f t="shared" ca="1" si="313"/>
        <v>#VALUE!</v>
      </c>
      <c r="AC257" s="512">
        <v>6</v>
      </c>
      <c r="AD257" s="516" t="s">
        <v>2265</v>
      </c>
      <c r="AE257" s="529" t="s">
        <v>2452</v>
      </c>
      <c r="AF257" s="508" t="str">
        <f t="shared" ca="1" si="339"/>
        <v>T2部件</v>
      </c>
      <c r="AG257" s="508">
        <v>1</v>
      </c>
      <c r="AH257" s="633">
        <v>7.4999999999999997E-3</v>
      </c>
      <c r="AI257" s="170" t="e">
        <f t="shared" ca="1" si="320"/>
        <v>#VALUE!</v>
      </c>
      <c r="AJ257" s="508" t="e">
        <f t="shared" ca="1" si="321"/>
        <v>#VALUE!</v>
      </c>
      <c r="AL257" s="512">
        <v>6</v>
      </c>
      <c r="AM257" s="516" t="s">
        <v>2266</v>
      </c>
      <c r="AN257" s="529" t="s">
        <v>2452</v>
      </c>
      <c r="AO257" s="508" t="str">
        <f t="shared" ca="1" si="317"/>
        <v>T2部件</v>
      </c>
      <c r="AP257" s="565">
        <v>1.5</v>
      </c>
      <c r="AQ257" s="166">
        <v>6.0000000000000001E-3</v>
      </c>
      <c r="AR257" s="170" t="e">
        <f t="shared" ca="1" si="331"/>
        <v>#VALUE!</v>
      </c>
      <c r="AS257" s="508" t="e">
        <f t="shared" ca="1" si="332"/>
        <v>#VALUE!</v>
      </c>
      <c r="AU257" s="512">
        <v>6</v>
      </c>
      <c r="AV257" s="516" t="s">
        <v>2245</v>
      </c>
      <c r="AW257" s="529" t="s">
        <v>2452</v>
      </c>
      <c r="AX257" s="508">
        <f t="shared" ca="1" si="322"/>
        <v>10.125</v>
      </c>
      <c r="AY257" s="625">
        <v>1.5</v>
      </c>
      <c r="AZ257" s="615">
        <v>7.7000000000000002E-3</v>
      </c>
      <c r="BA257" s="170">
        <f t="shared" ca="1" si="323"/>
        <v>3.2954732510288069E-2</v>
      </c>
      <c r="BB257" s="508">
        <f t="shared" ca="1" si="324"/>
        <v>330</v>
      </c>
      <c r="BD257" s="512">
        <v>6</v>
      </c>
      <c r="BE257" s="516" t="s">
        <v>2245</v>
      </c>
      <c r="BF257" s="529" t="s">
        <v>2452</v>
      </c>
      <c r="BG257" s="508">
        <f t="shared" ca="1" si="325"/>
        <v>10.125</v>
      </c>
      <c r="BH257" s="615">
        <v>5.5</v>
      </c>
      <c r="BI257" s="615">
        <v>8.3999999999999995E-3</v>
      </c>
      <c r="BJ257" s="170">
        <f t="shared" ca="1" si="326"/>
        <v>2.2249158249158244E-2</v>
      </c>
      <c r="BK257" s="279">
        <f t="shared" ca="1" si="333"/>
        <v>222</v>
      </c>
      <c r="BM257" s="512">
        <v>7</v>
      </c>
      <c r="BN257" s="525" t="s">
        <v>2274</v>
      </c>
      <c r="BO257" s="530" t="s">
        <v>2200</v>
      </c>
      <c r="BP257" s="508" t="str">
        <f t="shared" ca="1" si="328"/>
        <v>T2部件</v>
      </c>
      <c r="BQ257" s="632">
        <v>3</v>
      </c>
      <c r="BR257" s="600">
        <v>1.0999999999999999E-2</v>
      </c>
      <c r="BS257" s="170" t="e">
        <f t="shared" ca="1" si="329"/>
        <v>#VALUE!</v>
      </c>
      <c r="BT257" s="508" t="e">
        <f t="shared" ca="1" si="330"/>
        <v>#VALUE!</v>
      </c>
      <c r="BV257" s="396">
        <v>7</v>
      </c>
      <c r="BW257" s="527" t="s">
        <v>2269</v>
      </c>
      <c r="BX257" s="530" t="s">
        <v>2200</v>
      </c>
      <c r="BY257" s="523" t="str">
        <f t="shared" ref="BY257:BY278" ca="1" si="342">IF(BX257="部件",VLOOKUP(BV257,INDIRECT(BX257&amp;"价值"),MATCH(LEFT(BW257,2)&amp;"部件",INDIRECT(BX257&amp;"价值标头"),0),FALSE),IF(BX257="加速道具",VLOOKUP(BW257,INDIRECT(BX257&amp;"价值"),MATCH("价格",INDIRECT(BX257&amp;"价值标头"),0),FALSE),VLOOKUP(BV257,INDIRECT(BX257&amp;"价值"),MATCH(BW257,INDIRECT(BX257&amp;"价值标头"),0),FALSE)))</f>
        <v>T2部件</v>
      </c>
      <c r="BZ257" s="662">
        <v>1.5</v>
      </c>
      <c r="CA257" s="634">
        <v>2.06E-2</v>
      </c>
      <c r="CB257" s="170" t="e">
        <f t="shared" ca="1" si="340"/>
        <v>#VALUE!</v>
      </c>
      <c r="CC257" s="394" t="e">
        <f t="shared" ca="1" si="341"/>
        <v>#VALUE!</v>
      </c>
    </row>
    <row r="258" spans="2:81" x14ac:dyDescent="0.35">
      <c r="B258" s="512">
        <v>6</v>
      </c>
      <c r="C258" s="516" t="s">
        <v>2282</v>
      </c>
      <c r="D258" s="529" t="s">
        <v>2452</v>
      </c>
      <c r="E258" s="508" t="str">
        <f t="shared" ca="1" si="334"/>
        <v>T3部件</v>
      </c>
      <c r="F258" s="594">
        <v>1</v>
      </c>
      <c r="G258" s="166">
        <v>7.7000000000000002E-3</v>
      </c>
      <c r="H258" s="170" t="e">
        <f t="shared" ca="1" si="300"/>
        <v>#VALUE!</v>
      </c>
      <c r="I258" s="508" t="e">
        <f t="shared" ca="1" si="301"/>
        <v>#VALUE!</v>
      </c>
      <c r="J258" s="300"/>
      <c r="K258" s="512">
        <v>6</v>
      </c>
      <c r="L258" s="516" t="s">
        <v>2282</v>
      </c>
      <c r="M258" s="529" t="s">
        <v>2452</v>
      </c>
      <c r="N258" s="508" t="str">
        <f t="shared" ca="1" si="335"/>
        <v>T3部件</v>
      </c>
      <c r="O258" s="565">
        <v>1</v>
      </c>
      <c r="P258" s="633">
        <v>7.0000000000000001E-3</v>
      </c>
      <c r="Q258" s="170" t="e">
        <f t="shared" ca="1" si="310"/>
        <v>#VALUE!</v>
      </c>
      <c r="R258" s="508" t="e">
        <f t="shared" ca="1" si="311"/>
        <v>#VALUE!</v>
      </c>
      <c r="T258" s="512">
        <v>6</v>
      </c>
      <c r="U258" s="516" t="s">
        <v>2282</v>
      </c>
      <c r="V258" s="529" t="s">
        <v>2452</v>
      </c>
      <c r="W258" s="508" t="str">
        <f t="shared" ca="1" si="336"/>
        <v>T3部件</v>
      </c>
      <c r="X258" s="565">
        <v>1</v>
      </c>
      <c r="Y258" s="166">
        <v>7.0000000000000001E-3</v>
      </c>
      <c r="Z258" s="170" t="e">
        <f t="shared" ca="1" si="312"/>
        <v>#VALUE!</v>
      </c>
      <c r="AA258" s="508" t="e">
        <f t="shared" ca="1" si="313"/>
        <v>#VALUE!</v>
      </c>
      <c r="AC258" s="512">
        <v>6</v>
      </c>
      <c r="AD258" s="516" t="s">
        <v>2267</v>
      </c>
      <c r="AE258" s="529" t="s">
        <v>2452</v>
      </c>
      <c r="AF258" s="508" t="str">
        <f t="shared" ca="1" si="339"/>
        <v>T2部件</v>
      </c>
      <c r="AG258" s="508">
        <v>1</v>
      </c>
      <c r="AH258" s="633">
        <v>7.4999999999999997E-3</v>
      </c>
      <c r="AI258" s="170" t="e">
        <f t="shared" ca="1" si="320"/>
        <v>#VALUE!</v>
      </c>
      <c r="AJ258" s="508" t="e">
        <f t="shared" ca="1" si="321"/>
        <v>#VALUE!</v>
      </c>
      <c r="AL258" s="512">
        <v>6</v>
      </c>
      <c r="AM258" s="516" t="s">
        <v>2268</v>
      </c>
      <c r="AN258" s="529" t="s">
        <v>2452</v>
      </c>
      <c r="AO258" s="508" t="str">
        <f t="shared" ref="AO258:AO279" ca="1" si="343">IF(AN258="部件",VLOOKUP(AL258,INDIRECT(AN258&amp;"价值"),MATCH(LEFT(AM258,2)&amp;"部件",INDIRECT(AN258&amp;"价值标头"),0),FALSE),IF(AN258="加速道具",VLOOKUP(AM258,INDIRECT(AN258&amp;"价值"),MATCH("价格",INDIRECT(AN258&amp;"价值标头"),0),FALSE),VLOOKUP(AL258,INDIRECT(AN258&amp;"价值"),MATCH(AM258,INDIRECT(AN258&amp;"价值标头"),0),FALSE)))</f>
        <v>T2部件</v>
      </c>
      <c r="AP258" s="565">
        <v>1.5</v>
      </c>
      <c r="AQ258" s="166">
        <v>6.0000000000000001E-3</v>
      </c>
      <c r="AR258" s="170" t="e">
        <f t="shared" ca="1" si="331"/>
        <v>#VALUE!</v>
      </c>
      <c r="AS258" s="508" t="e">
        <f t="shared" ca="1" si="332"/>
        <v>#VALUE!</v>
      </c>
      <c r="AU258" s="512">
        <v>6</v>
      </c>
      <c r="AV258" s="516" t="s">
        <v>2247</v>
      </c>
      <c r="AW258" s="529" t="s">
        <v>2452</v>
      </c>
      <c r="AX258" s="508">
        <f t="shared" ca="1" si="322"/>
        <v>10.125</v>
      </c>
      <c r="AY258" s="625">
        <v>1.5</v>
      </c>
      <c r="AZ258" s="615">
        <v>7.7000000000000002E-3</v>
      </c>
      <c r="BA258" s="170">
        <f t="shared" ca="1" si="323"/>
        <v>3.2954732510288069E-2</v>
      </c>
      <c r="BB258" s="508">
        <f t="shared" ca="1" si="324"/>
        <v>330</v>
      </c>
      <c r="BD258" s="512">
        <v>6</v>
      </c>
      <c r="BE258" s="516" t="s">
        <v>2247</v>
      </c>
      <c r="BF258" s="529" t="s">
        <v>2452</v>
      </c>
      <c r="BG258" s="508">
        <f t="shared" ca="1" si="325"/>
        <v>10.125</v>
      </c>
      <c r="BH258" s="615">
        <v>5.5</v>
      </c>
      <c r="BI258" s="615">
        <v>8.3999999999999995E-3</v>
      </c>
      <c r="BJ258" s="170">
        <f t="shared" ca="1" si="326"/>
        <v>2.2249158249158244E-2</v>
      </c>
      <c r="BK258" s="279">
        <f t="shared" ca="1" si="333"/>
        <v>222</v>
      </c>
      <c r="BM258" s="512">
        <v>7</v>
      </c>
      <c r="BN258" s="527" t="s">
        <v>2259</v>
      </c>
      <c r="BO258" s="530" t="s">
        <v>2200</v>
      </c>
      <c r="BP258" s="508" t="str">
        <f t="shared" ca="1" si="328"/>
        <v>T2部件</v>
      </c>
      <c r="BQ258" s="632">
        <v>3</v>
      </c>
      <c r="BR258" s="600">
        <v>1.0999999999999999E-2</v>
      </c>
      <c r="BS258" s="170" t="e">
        <f t="shared" ca="1" si="329"/>
        <v>#VALUE!</v>
      </c>
      <c r="BT258" s="508" t="e">
        <f t="shared" ca="1" si="330"/>
        <v>#VALUE!</v>
      </c>
      <c r="BV258" s="396">
        <v>7</v>
      </c>
      <c r="BW258" s="527" t="s">
        <v>2271</v>
      </c>
      <c r="BX258" s="530" t="s">
        <v>2200</v>
      </c>
      <c r="BY258" s="523" t="str">
        <f t="shared" ca="1" si="342"/>
        <v>T2部件</v>
      </c>
      <c r="BZ258" s="662">
        <v>1.5</v>
      </c>
      <c r="CA258" s="634">
        <v>2.06E-2</v>
      </c>
      <c r="CB258" s="170" t="e">
        <f t="shared" ca="1" si="337"/>
        <v>#VALUE!</v>
      </c>
      <c r="CC258" s="379" t="e">
        <f t="shared" ca="1" si="338"/>
        <v>#VALUE!</v>
      </c>
    </row>
    <row r="259" spans="2:81" x14ac:dyDescent="0.35">
      <c r="B259" s="512">
        <v>6</v>
      </c>
      <c r="C259" s="516" t="s">
        <v>2284</v>
      </c>
      <c r="D259" s="529" t="s">
        <v>2452</v>
      </c>
      <c r="E259" s="508" t="str">
        <f t="shared" ca="1" si="334"/>
        <v>T3部件</v>
      </c>
      <c r="F259" s="594">
        <v>1</v>
      </c>
      <c r="G259" s="166">
        <v>7.7000000000000002E-3</v>
      </c>
      <c r="H259" s="170" t="e">
        <f t="shared" ca="1" si="300"/>
        <v>#VALUE!</v>
      </c>
      <c r="I259" s="508" t="e">
        <f t="shared" ca="1" si="301"/>
        <v>#VALUE!</v>
      </c>
      <c r="J259" s="300"/>
      <c r="K259" s="512">
        <v>6</v>
      </c>
      <c r="L259" s="516" t="s">
        <v>2284</v>
      </c>
      <c r="M259" s="529" t="s">
        <v>2452</v>
      </c>
      <c r="N259" s="508" t="str">
        <f t="shared" ca="1" si="335"/>
        <v>T3部件</v>
      </c>
      <c r="O259" s="565">
        <v>1</v>
      </c>
      <c r="P259" s="633">
        <v>7.0000000000000001E-3</v>
      </c>
      <c r="Q259" s="170" t="e">
        <f t="shared" ca="1" si="310"/>
        <v>#VALUE!</v>
      </c>
      <c r="R259" s="508" t="e">
        <f t="shared" ca="1" si="311"/>
        <v>#VALUE!</v>
      </c>
      <c r="T259" s="512">
        <v>6</v>
      </c>
      <c r="U259" s="516" t="s">
        <v>2284</v>
      </c>
      <c r="V259" s="529" t="s">
        <v>2452</v>
      </c>
      <c r="W259" s="508" t="str">
        <f t="shared" ca="1" si="336"/>
        <v>T3部件</v>
      </c>
      <c r="X259" s="565">
        <v>1</v>
      </c>
      <c r="Y259" s="166">
        <v>7.0000000000000001E-3</v>
      </c>
      <c r="Z259" s="170" t="e">
        <f t="shared" ca="1" si="312"/>
        <v>#VALUE!</v>
      </c>
      <c r="AA259" s="508" t="e">
        <f t="shared" ca="1" si="313"/>
        <v>#VALUE!</v>
      </c>
      <c r="AC259" s="512">
        <v>6</v>
      </c>
      <c r="AD259" s="516" t="s">
        <v>2269</v>
      </c>
      <c r="AE259" s="529" t="s">
        <v>2452</v>
      </c>
      <c r="AF259" s="508" t="str">
        <f t="shared" ca="1" si="339"/>
        <v>T2部件</v>
      </c>
      <c r="AG259" s="508">
        <v>1</v>
      </c>
      <c r="AH259" s="633">
        <v>7.4999999999999997E-3</v>
      </c>
      <c r="AI259" s="170" t="e">
        <f t="shared" ca="1" si="320"/>
        <v>#VALUE!</v>
      </c>
      <c r="AJ259" s="508" t="e">
        <f t="shared" ca="1" si="321"/>
        <v>#VALUE!</v>
      </c>
      <c r="AL259" s="512">
        <v>6</v>
      </c>
      <c r="AM259" s="516" t="s">
        <v>2270</v>
      </c>
      <c r="AN259" s="529" t="s">
        <v>2452</v>
      </c>
      <c r="AO259" s="508" t="str">
        <f t="shared" ca="1" si="343"/>
        <v>T2部件</v>
      </c>
      <c r="AP259" s="565">
        <v>1.5</v>
      </c>
      <c r="AQ259" s="166">
        <v>6.0000000000000001E-3</v>
      </c>
      <c r="AR259" s="170" t="e">
        <f t="shared" ca="1" si="331"/>
        <v>#VALUE!</v>
      </c>
      <c r="AS259" s="508" t="e">
        <f t="shared" ca="1" si="332"/>
        <v>#VALUE!</v>
      </c>
      <c r="AU259" s="512">
        <v>6</v>
      </c>
      <c r="AV259" s="516" t="s">
        <v>2249</v>
      </c>
      <c r="AW259" s="529" t="s">
        <v>2452</v>
      </c>
      <c r="AX259" s="508">
        <f t="shared" ca="1" si="322"/>
        <v>10.125</v>
      </c>
      <c r="AY259" s="625">
        <v>1.5</v>
      </c>
      <c r="AZ259" s="615">
        <v>7.7000000000000002E-3</v>
      </c>
      <c r="BA259" s="170">
        <f t="shared" ca="1" si="323"/>
        <v>3.2954732510288069E-2</v>
      </c>
      <c r="BB259" s="508">
        <f t="shared" ca="1" si="324"/>
        <v>330</v>
      </c>
      <c r="BD259" s="512">
        <v>6</v>
      </c>
      <c r="BE259" s="516" t="s">
        <v>2249</v>
      </c>
      <c r="BF259" s="529" t="s">
        <v>2452</v>
      </c>
      <c r="BG259" s="508">
        <f t="shared" ca="1" si="325"/>
        <v>10.125</v>
      </c>
      <c r="BH259" s="615">
        <v>5.5</v>
      </c>
      <c r="BI259" s="615">
        <v>8.3999999999999995E-3</v>
      </c>
      <c r="BJ259" s="170">
        <f t="shared" ca="1" si="326"/>
        <v>2.2249158249158244E-2</v>
      </c>
      <c r="BK259" s="279">
        <f t="shared" ca="1" si="333"/>
        <v>222</v>
      </c>
      <c r="BM259" s="512">
        <v>7</v>
      </c>
      <c r="BN259" s="527" t="s">
        <v>2261</v>
      </c>
      <c r="BO259" s="530" t="s">
        <v>2200</v>
      </c>
      <c r="BP259" s="508" t="str">
        <f t="shared" ca="1" si="328"/>
        <v>T2部件</v>
      </c>
      <c r="BQ259" s="632">
        <v>3</v>
      </c>
      <c r="BR259" s="600">
        <v>1.0999999999999999E-2</v>
      </c>
      <c r="BS259" s="170" t="e">
        <f t="shared" ca="1" si="329"/>
        <v>#VALUE!</v>
      </c>
      <c r="BT259" s="508" t="e">
        <f t="shared" ca="1" si="330"/>
        <v>#VALUE!</v>
      </c>
      <c r="BV259" s="396">
        <v>7</v>
      </c>
      <c r="BW259" s="525" t="s">
        <v>2273</v>
      </c>
      <c r="BX259" s="530" t="s">
        <v>2200</v>
      </c>
      <c r="BY259" s="523" t="str">
        <f t="shared" ca="1" si="342"/>
        <v>T2部件</v>
      </c>
      <c r="BZ259" s="662">
        <v>1.5</v>
      </c>
      <c r="CA259" s="634">
        <v>2.06E-2</v>
      </c>
      <c r="CB259" s="170" t="e">
        <f t="shared" ca="1" si="337"/>
        <v>#VALUE!</v>
      </c>
      <c r="CC259" s="379" t="e">
        <f t="shared" ca="1" si="338"/>
        <v>#VALUE!</v>
      </c>
    </row>
    <row r="260" spans="2:81" x14ac:dyDescent="0.35">
      <c r="B260" s="512">
        <v>6</v>
      </c>
      <c r="C260" s="516" t="s">
        <v>2286</v>
      </c>
      <c r="D260" s="529" t="s">
        <v>2452</v>
      </c>
      <c r="E260" s="508" t="str">
        <f t="shared" ca="1" si="334"/>
        <v>T3部件</v>
      </c>
      <c r="F260" s="594">
        <v>1</v>
      </c>
      <c r="G260" s="166">
        <v>7.7000000000000002E-3</v>
      </c>
      <c r="H260" s="170" t="e">
        <f t="shared" ca="1" si="300"/>
        <v>#VALUE!</v>
      </c>
      <c r="I260" s="508" t="e">
        <f t="shared" ca="1" si="301"/>
        <v>#VALUE!</v>
      </c>
      <c r="J260" s="300"/>
      <c r="K260" s="512">
        <v>6</v>
      </c>
      <c r="L260" s="516" t="s">
        <v>2286</v>
      </c>
      <c r="M260" s="529" t="s">
        <v>2452</v>
      </c>
      <c r="N260" s="508" t="str">
        <f t="shared" ca="1" si="335"/>
        <v>T3部件</v>
      </c>
      <c r="O260" s="565">
        <v>1</v>
      </c>
      <c r="P260" s="633">
        <v>7.0000000000000001E-3</v>
      </c>
      <c r="Q260" s="170" t="e">
        <f t="shared" ca="1" si="310"/>
        <v>#VALUE!</v>
      </c>
      <c r="R260" s="508" t="e">
        <f t="shared" ca="1" si="311"/>
        <v>#VALUE!</v>
      </c>
      <c r="T260" s="512">
        <v>6</v>
      </c>
      <c r="U260" s="516" t="s">
        <v>2286</v>
      </c>
      <c r="V260" s="529" t="s">
        <v>2452</v>
      </c>
      <c r="W260" s="508" t="str">
        <f t="shared" ca="1" si="336"/>
        <v>T3部件</v>
      </c>
      <c r="X260" s="565">
        <v>1</v>
      </c>
      <c r="Y260" s="166">
        <v>7.0000000000000001E-3</v>
      </c>
      <c r="Z260" s="170" t="e">
        <f t="shared" ca="1" si="312"/>
        <v>#VALUE!</v>
      </c>
      <c r="AA260" s="508" t="e">
        <f t="shared" ca="1" si="313"/>
        <v>#VALUE!</v>
      </c>
      <c r="AC260" s="512">
        <v>6</v>
      </c>
      <c r="AD260" s="516" t="s">
        <v>2271</v>
      </c>
      <c r="AE260" s="529" t="s">
        <v>2452</v>
      </c>
      <c r="AF260" s="508" t="str">
        <f t="shared" ca="1" si="339"/>
        <v>T2部件</v>
      </c>
      <c r="AG260" s="508">
        <v>1</v>
      </c>
      <c r="AH260" s="633">
        <v>7.4999999999999997E-3</v>
      </c>
      <c r="AI260" s="170" t="e">
        <f t="shared" ca="1" si="320"/>
        <v>#VALUE!</v>
      </c>
      <c r="AJ260" s="508" t="e">
        <f t="shared" ca="1" si="321"/>
        <v>#VALUE!</v>
      </c>
      <c r="AL260" s="512">
        <v>6</v>
      </c>
      <c r="AM260" s="512" t="s">
        <v>2272</v>
      </c>
      <c r="AN260" s="529" t="s">
        <v>2452</v>
      </c>
      <c r="AO260" s="508" t="str">
        <f t="shared" ca="1" si="343"/>
        <v>T2部件</v>
      </c>
      <c r="AP260" s="565">
        <v>1.5</v>
      </c>
      <c r="AQ260" s="166">
        <v>6.0000000000000001E-3</v>
      </c>
      <c r="AR260" s="170" t="e">
        <f t="shared" ca="1" si="331"/>
        <v>#VALUE!</v>
      </c>
      <c r="AS260" s="508" t="e">
        <f t="shared" ca="1" si="332"/>
        <v>#VALUE!</v>
      </c>
      <c r="AU260" s="512">
        <v>6</v>
      </c>
      <c r="AV260" s="516" t="s">
        <v>2251</v>
      </c>
      <c r="AW260" s="529" t="s">
        <v>2452</v>
      </c>
      <c r="AX260" s="508">
        <f t="shared" ca="1" si="322"/>
        <v>10.125</v>
      </c>
      <c r="AY260" s="625">
        <v>1.5</v>
      </c>
      <c r="AZ260" s="615">
        <v>7.7000000000000002E-3</v>
      </c>
      <c r="BA260" s="170">
        <f t="shared" ca="1" si="323"/>
        <v>3.2954732510288069E-2</v>
      </c>
      <c r="BB260" s="508">
        <f t="shared" ca="1" si="324"/>
        <v>330</v>
      </c>
      <c r="BD260" s="512">
        <v>6</v>
      </c>
      <c r="BE260" s="516" t="s">
        <v>2251</v>
      </c>
      <c r="BF260" s="529" t="s">
        <v>2452</v>
      </c>
      <c r="BG260" s="508">
        <f t="shared" ca="1" si="325"/>
        <v>10.125</v>
      </c>
      <c r="BH260" s="615">
        <v>5.5</v>
      </c>
      <c r="BI260" s="615">
        <v>8.3999999999999995E-3</v>
      </c>
      <c r="BJ260" s="170">
        <f t="shared" ca="1" si="326"/>
        <v>2.2249158249158244E-2</v>
      </c>
      <c r="BK260" s="279">
        <f t="shared" ca="1" si="333"/>
        <v>222</v>
      </c>
      <c r="BM260" s="512">
        <v>7</v>
      </c>
      <c r="BN260" s="527" t="s">
        <v>2263</v>
      </c>
      <c r="BO260" s="530" t="s">
        <v>2200</v>
      </c>
      <c r="BP260" s="508" t="str">
        <f t="shared" ca="1" si="328"/>
        <v>T2部件</v>
      </c>
      <c r="BQ260" s="632">
        <v>3</v>
      </c>
      <c r="BR260" s="600">
        <v>1.0999999999999999E-2</v>
      </c>
      <c r="BS260" s="170" t="e">
        <f t="shared" ca="1" si="329"/>
        <v>#VALUE!</v>
      </c>
      <c r="BT260" s="508" t="e">
        <f t="shared" ca="1" si="330"/>
        <v>#VALUE!</v>
      </c>
      <c r="BV260" s="525">
        <v>7</v>
      </c>
      <c r="BW260" s="525" t="s">
        <v>2275</v>
      </c>
      <c r="BX260" s="530" t="s">
        <v>2200</v>
      </c>
      <c r="BY260" s="523" t="str">
        <f t="shared" ca="1" si="342"/>
        <v>T2部件</v>
      </c>
      <c r="BZ260" s="662">
        <v>1.5</v>
      </c>
      <c r="CA260" s="634">
        <v>2.06E-2</v>
      </c>
      <c r="CB260" s="170" t="e">
        <f t="shared" ref="CB260:CB274" ca="1" si="344">CA260*BW$4/BY260/BZ260</f>
        <v>#VALUE!</v>
      </c>
      <c r="CC260" s="523" t="e">
        <f t="shared" ref="CC260:CC274" ca="1" si="345">ROUND(CB260*10000,0)</f>
        <v>#VALUE!</v>
      </c>
    </row>
    <row r="261" spans="2:81" x14ac:dyDescent="0.35">
      <c r="B261" s="512">
        <v>6</v>
      </c>
      <c r="C261" s="516" t="s">
        <v>2288</v>
      </c>
      <c r="D261" s="529" t="s">
        <v>2452</v>
      </c>
      <c r="E261" s="508" t="str">
        <f t="shared" ca="1" si="334"/>
        <v>T3部件</v>
      </c>
      <c r="F261" s="594">
        <v>1</v>
      </c>
      <c r="G261" s="166">
        <v>7.7000000000000002E-3</v>
      </c>
      <c r="H261" s="170" t="e">
        <f t="shared" ca="1" si="300"/>
        <v>#VALUE!</v>
      </c>
      <c r="I261" s="508" t="e">
        <f t="shared" ca="1" si="301"/>
        <v>#VALUE!</v>
      </c>
      <c r="J261" s="300"/>
      <c r="K261" s="512">
        <v>6</v>
      </c>
      <c r="L261" s="516" t="s">
        <v>2288</v>
      </c>
      <c r="M261" s="529" t="s">
        <v>2452</v>
      </c>
      <c r="N261" s="508" t="str">
        <f t="shared" ca="1" si="335"/>
        <v>T3部件</v>
      </c>
      <c r="O261" s="565">
        <v>1</v>
      </c>
      <c r="P261" s="633">
        <v>7.0000000000000001E-3</v>
      </c>
      <c r="Q261" s="170" t="e">
        <f t="shared" ref="Q261:Q263" ca="1" si="346">P261*L$4/N261/O261</f>
        <v>#VALUE!</v>
      </c>
      <c r="R261" s="279" t="e">
        <f t="shared" ref="R261:R263" ca="1" si="347">ROUND(Q261*10000,0)</f>
        <v>#VALUE!</v>
      </c>
      <c r="T261" s="512">
        <v>6</v>
      </c>
      <c r="U261" s="516" t="s">
        <v>2288</v>
      </c>
      <c r="V261" s="529" t="s">
        <v>2452</v>
      </c>
      <c r="W261" s="508" t="str">
        <f t="shared" ca="1" si="336"/>
        <v>T3部件</v>
      </c>
      <c r="X261" s="565">
        <v>1</v>
      </c>
      <c r="Y261" s="166">
        <v>7.0000000000000001E-3</v>
      </c>
      <c r="Z261" s="170" t="e">
        <f t="shared" ref="Z261:Z263" ca="1" si="348">Y261*U$4/W261/X261</f>
        <v>#VALUE!</v>
      </c>
      <c r="AA261" s="279" t="e">
        <f t="shared" ref="AA261:AA263" ca="1" si="349">ROUND(Z261*10000,0)</f>
        <v>#VALUE!</v>
      </c>
      <c r="AC261" s="512">
        <v>6</v>
      </c>
      <c r="AD261" s="512" t="s">
        <v>2273</v>
      </c>
      <c r="AE261" s="529" t="s">
        <v>2452</v>
      </c>
      <c r="AF261" s="508" t="str">
        <f t="shared" ca="1" si="339"/>
        <v>T2部件</v>
      </c>
      <c r="AG261" s="508">
        <v>1</v>
      </c>
      <c r="AH261" s="633">
        <v>7.4999999999999997E-3</v>
      </c>
      <c r="AI261" s="170" t="e">
        <f t="shared" ca="1" si="320"/>
        <v>#VALUE!</v>
      </c>
      <c r="AJ261" s="508" t="e">
        <f t="shared" ca="1" si="321"/>
        <v>#VALUE!</v>
      </c>
      <c r="AL261" s="512">
        <v>6</v>
      </c>
      <c r="AM261" s="512" t="s">
        <v>2274</v>
      </c>
      <c r="AN261" s="529" t="s">
        <v>2452</v>
      </c>
      <c r="AO261" s="508" t="str">
        <f t="shared" ca="1" si="343"/>
        <v>T2部件</v>
      </c>
      <c r="AP261" s="565">
        <v>1.5</v>
      </c>
      <c r="AQ261" s="166">
        <v>6.0000000000000001E-3</v>
      </c>
      <c r="AR261" s="170" t="e">
        <f t="shared" ca="1" si="331"/>
        <v>#VALUE!</v>
      </c>
      <c r="AS261" s="508" t="e">
        <f t="shared" ca="1" si="332"/>
        <v>#VALUE!</v>
      </c>
      <c r="AU261" s="512">
        <v>6</v>
      </c>
      <c r="AV261" s="516" t="s">
        <v>2253</v>
      </c>
      <c r="AW261" s="529" t="s">
        <v>2452</v>
      </c>
      <c r="AX261" s="508">
        <f t="shared" ca="1" si="322"/>
        <v>10.125</v>
      </c>
      <c r="AY261" s="625">
        <v>1.5</v>
      </c>
      <c r="AZ261" s="615">
        <v>7.7000000000000002E-3</v>
      </c>
      <c r="BA261" s="170">
        <f t="shared" ca="1" si="323"/>
        <v>3.2954732510288069E-2</v>
      </c>
      <c r="BB261" s="508">
        <f t="shared" ca="1" si="324"/>
        <v>330</v>
      </c>
      <c r="BD261" s="512">
        <v>6</v>
      </c>
      <c r="BE261" s="516" t="s">
        <v>2253</v>
      </c>
      <c r="BF261" s="529" t="s">
        <v>2452</v>
      </c>
      <c r="BG261" s="508">
        <f t="shared" ca="1" si="325"/>
        <v>10.125</v>
      </c>
      <c r="BH261" s="615">
        <v>5.5</v>
      </c>
      <c r="BI261" s="615">
        <v>8.3999999999999995E-3</v>
      </c>
      <c r="BJ261" s="170">
        <f t="shared" ca="1" si="326"/>
        <v>2.2249158249158244E-2</v>
      </c>
      <c r="BK261" s="394">
        <f t="shared" ref="BK261:BK268" ca="1" si="350">ROUND(BJ261*10000,0)</f>
        <v>222</v>
      </c>
      <c r="BM261" s="512">
        <v>7</v>
      </c>
      <c r="BN261" s="527" t="s">
        <v>2265</v>
      </c>
      <c r="BO261" s="530" t="s">
        <v>2200</v>
      </c>
      <c r="BP261" s="508" t="str">
        <f t="shared" ca="1" si="328"/>
        <v>T2部件</v>
      </c>
      <c r="BQ261" s="632">
        <v>3</v>
      </c>
      <c r="BR261" s="600">
        <v>1.0999999999999999E-2</v>
      </c>
      <c r="BS261" s="170" t="e">
        <f t="shared" ca="1" si="329"/>
        <v>#VALUE!</v>
      </c>
      <c r="BT261" s="508" t="e">
        <f t="shared" ca="1" si="330"/>
        <v>#VALUE!</v>
      </c>
      <c r="BV261" s="525">
        <v>7</v>
      </c>
      <c r="BW261" s="527" t="s">
        <v>2276</v>
      </c>
      <c r="BX261" s="530" t="s">
        <v>2200</v>
      </c>
      <c r="BY261" s="523" t="str">
        <f t="shared" ca="1" si="342"/>
        <v>T3部件</v>
      </c>
      <c r="BZ261" s="665">
        <v>1</v>
      </c>
      <c r="CA261" s="565">
        <v>0.02</v>
      </c>
      <c r="CB261" s="170" t="e">
        <f t="shared" ca="1" si="344"/>
        <v>#VALUE!</v>
      </c>
      <c r="CC261" s="523" t="e">
        <f t="shared" ca="1" si="345"/>
        <v>#VALUE!</v>
      </c>
    </row>
    <row r="262" spans="2:81" x14ac:dyDescent="0.35">
      <c r="B262" s="512">
        <v>6</v>
      </c>
      <c r="C262" s="512" t="s">
        <v>2290</v>
      </c>
      <c r="D262" s="529" t="s">
        <v>2452</v>
      </c>
      <c r="E262" s="508" t="str">
        <f t="shared" ca="1" si="334"/>
        <v>T3部件</v>
      </c>
      <c r="F262" s="594">
        <v>1</v>
      </c>
      <c r="G262" s="166">
        <v>7.7000000000000002E-3</v>
      </c>
      <c r="H262" s="170" t="e">
        <f t="shared" ca="1" si="300"/>
        <v>#VALUE!</v>
      </c>
      <c r="I262" s="508" t="e">
        <f t="shared" ca="1" si="301"/>
        <v>#VALUE!</v>
      </c>
      <c r="J262" s="300"/>
      <c r="K262" s="512">
        <v>6</v>
      </c>
      <c r="L262" s="512" t="s">
        <v>2290</v>
      </c>
      <c r="M262" s="529" t="s">
        <v>2452</v>
      </c>
      <c r="N262" s="508" t="str">
        <f t="shared" ca="1" si="335"/>
        <v>T3部件</v>
      </c>
      <c r="O262" s="565">
        <v>1</v>
      </c>
      <c r="P262" s="633">
        <v>7.0000000000000001E-3</v>
      </c>
      <c r="Q262" s="170" t="e">
        <f t="shared" ca="1" si="346"/>
        <v>#VALUE!</v>
      </c>
      <c r="R262" s="279" t="e">
        <f t="shared" ca="1" si="347"/>
        <v>#VALUE!</v>
      </c>
      <c r="T262" s="512">
        <v>6</v>
      </c>
      <c r="U262" s="512" t="s">
        <v>2290</v>
      </c>
      <c r="V262" s="529" t="s">
        <v>2452</v>
      </c>
      <c r="W262" s="508" t="str">
        <f t="shared" ca="1" si="336"/>
        <v>T3部件</v>
      </c>
      <c r="X262" s="565">
        <v>1</v>
      </c>
      <c r="Y262" s="166">
        <v>7.0000000000000001E-3</v>
      </c>
      <c r="Z262" s="170" t="e">
        <f t="shared" ca="1" si="348"/>
        <v>#VALUE!</v>
      </c>
      <c r="AA262" s="279" t="e">
        <f t="shared" ca="1" si="349"/>
        <v>#VALUE!</v>
      </c>
      <c r="AC262" s="512">
        <v>6</v>
      </c>
      <c r="AD262" s="512" t="s">
        <v>2275</v>
      </c>
      <c r="AE262" s="529" t="s">
        <v>2452</v>
      </c>
      <c r="AF262" s="508" t="str">
        <f t="shared" ca="1" si="339"/>
        <v>T2部件</v>
      </c>
      <c r="AG262" s="508">
        <v>1</v>
      </c>
      <c r="AH262" s="633">
        <v>7.4999999999999997E-3</v>
      </c>
      <c r="AI262" s="170" t="e">
        <f t="shared" ca="1" si="320"/>
        <v>#VALUE!</v>
      </c>
      <c r="AJ262" s="508" t="e">
        <f t="shared" ca="1" si="321"/>
        <v>#VALUE!</v>
      </c>
      <c r="AL262" s="512">
        <v>6</v>
      </c>
      <c r="AM262" s="516" t="s">
        <v>2259</v>
      </c>
      <c r="AN262" s="529" t="s">
        <v>2452</v>
      </c>
      <c r="AO262" s="508" t="str">
        <f t="shared" ca="1" si="343"/>
        <v>T2部件</v>
      </c>
      <c r="AP262" s="565">
        <v>1.5</v>
      </c>
      <c r="AQ262" s="166">
        <v>6.0000000000000001E-3</v>
      </c>
      <c r="AR262" s="170" t="e">
        <f t="shared" ca="1" si="331"/>
        <v>#VALUE!</v>
      </c>
      <c r="AS262" s="508" t="e">
        <f t="shared" ca="1" si="332"/>
        <v>#VALUE!</v>
      </c>
      <c r="AU262" s="512">
        <v>6</v>
      </c>
      <c r="AV262" s="512" t="s">
        <v>2255</v>
      </c>
      <c r="AW262" s="529" t="s">
        <v>2452</v>
      </c>
      <c r="AX262" s="508">
        <f t="shared" ca="1" si="322"/>
        <v>10.125</v>
      </c>
      <c r="AY262" s="625">
        <v>1.5</v>
      </c>
      <c r="AZ262" s="615">
        <v>7.7000000000000002E-3</v>
      </c>
      <c r="BA262" s="170">
        <f t="shared" ca="1" si="323"/>
        <v>3.2954732510288069E-2</v>
      </c>
      <c r="BB262" s="508">
        <f t="shared" ca="1" si="324"/>
        <v>330</v>
      </c>
      <c r="BD262" s="512">
        <v>6</v>
      </c>
      <c r="BE262" s="512" t="s">
        <v>2255</v>
      </c>
      <c r="BF262" s="529" t="s">
        <v>2452</v>
      </c>
      <c r="BG262" s="508">
        <f t="shared" ca="1" si="325"/>
        <v>10.125</v>
      </c>
      <c r="BH262" s="615">
        <v>5.5</v>
      </c>
      <c r="BI262" s="615">
        <v>8.3999999999999995E-3</v>
      </c>
      <c r="BJ262" s="170">
        <f t="shared" ca="1" si="326"/>
        <v>2.2249158249158244E-2</v>
      </c>
      <c r="BK262" s="394">
        <f t="shared" ca="1" si="350"/>
        <v>222</v>
      </c>
      <c r="BM262" s="512">
        <v>7</v>
      </c>
      <c r="BN262" s="527" t="s">
        <v>2267</v>
      </c>
      <c r="BO262" s="530" t="s">
        <v>2200</v>
      </c>
      <c r="BP262" s="508" t="str">
        <f t="shared" ca="1" si="328"/>
        <v>T2部件</v>
      </c>
      <c r="BQ262" s="632">
        <v>3</v>
      </c>
      <c r="BR262" s="600">
        <v>1.0999999999999999E-2</v>
      </c>
      <c r="BS262" s="170" t="e">
        <f t="shared" ca="1" si="329"/>
        <v>#VALUE!</v>
      </c>
      <c r="BT262" s="508" t="e">
        <f t="shared" ca="1" si="330"/>
        <v>#VALUE!</v>
      </c>
      <c r="BV262" s="525">
        <v>7</v>
      </c>
      <c r="BW262" s="527" t="s">
        <v>2278</v>
      </c>
      <c r="BX262" s="530" t="s">
        <v>2200</v>
      </c>
      <c r="BY262" s="523" t="str">
        <f t="shared" ca="1" si="342"/>
        <v>T3部件</v>
      </c>
      <c r="BZ262" s="665">
        <v>1</v>
      </c>
      <c r="CA262" s="634">
        <v>0.02</v>
      </c>
      <c r="CB262" s="170" t="e">
        <f t="shared" ca="1" si="344"/>
        <v>#VALUE!</v>
      </c>
      <c r="CC262" s="523" t="e">
        <f t="shared" ca="1" si="345"/>
        <v>#VALUE!</v>
      </c>
    </row>
    <row r="263" spans="2:81" x14ac:dyDescent="0.35">
      <c r="B263" s="512">
        <v>6</v>
      </c>
      <c r="C263" s="512" t="s">
        <v>2292</v>
      </c>
      <c r="D263" s="529" t="s">
        <v>2452</v>
      </c>
      <c r="E263" s="508" t="str">
        <f t="shared" ca="1" si="334"/>
        <v>T3部件</v>
      </c>
      <c r="F263" s="594">
        <v>1</v>
      </c>
      <c r="G263" s="166">
        <v>7.7000000000000002E-3</v>
      </c>
      <c r="H263" s="170" t="e">
        <f t="shared" ca="1" si="300"/>
        <v>#VALUE!</v>
      </c>
      <c r="I263" s="508" t="e">
        <f t="shared" ca="1" si="301"/>
        <v>#VALUE!</v>
      </c>
      <c r="J263" s="300"/>
      <c r="K263" s="512">
        <v>6</v>
      </c>
      <c r="L263" s="512" t="s">
        <v>2292</v>
      </c>
      <c r="M263" s="529" t="s">
        <v>2452</v>
      </c>
      <c r="N263" s="508" t="str">
        <f t="shared" ca="1" si="335"/>
        <v>T3部件</v>
      </c>
      <c r="O263" s="565">
        <v>1</v>
      </c>
      <c r="P263" s="633">
        <v>7.0000000000000001E-3</v>
      </c>
      <c r="Q263" s="170" t="e">
        <f t="shared" ca="1" si="346"/>
        <v>#VALUE!</v>
      </c>
      <c r="R263" s="279" t="e">
        <f t="shared" ca="1" si="347"/>
        <v>#VALUE!</v>
      </c>
      <c r="T263" s="512">
        <v>6</v>
      </c>
      <c r="U263" s="512" t="s">
        <v>2292</v>
      </c>
      <c r="V263" s="529" t="s">
        <v>2452</v>
      </c>
      <c r="W263" s="508" t="str">
        <f t="shared" ca="1" si="336"/>
        <v>T3部件</v>
      </c>
      <c r="X263" s="565">
        <v>1</v>
      </c>
      <c r="Y263" s="166">
        <v>7.0000000000000001E-3</v>
      </c>
      <c r="Z263" s="170" t="e">
        <f t="shared" ca="1" si="348"/>
        <v>#VALUE!</v>
      </c>
      <c r="AA263" s="279" t="e">
        <f t="shared" ca="1" si="349"/>
        <v>#VALUE!</v>
      </c>
      <c r="AC263" s="512">
        <v>6</v>
      </c>
      <c r="AD263" s="516" t="s">
        <v>2276</v>
      </c>
      <c r="AE263" s="529" t="s">
        <v>2452</v>
      </c>
      <c r="AF263" s="508" t="str">
        <f t="shared" ca="1" si="339"/>
        <v>T3部件</v>
      </c>
      <c r="AG263" s="508">
        <v>1</v>
      </c>
      <c r="AH263" s="633">
        <v>7.0000000000000001E-3</v>
      </c>
      <c r="AI263" s="170" t="e">
        <f t="shared" ca="1" si="320"/>
        <v>#VALUE!</v>
      </c>
      <c r="AJ263" s="508" t="e">
        <f t="shared" ca="1" si="321"/>
        <v>#VALUE!</v>
      </c>
      <c r="AL263" s="512">
        <v>6</v>
      </c>
      <c r="AM263" s="516" t="s">
        <v>2261</v>
      </c>
      <c r="AN263" s="529" t="s">
        <v>2452</v>
      </c>
      <c r="AO263" s="508" t="str">
        <f t="shared" ca="1" si="343"/>
        <v>T2部件</v>
      </c>
      <c r="AP263" s="565">
        <v>1.5</v>
      </c>
      <c r="AQ263" s="166">
        <v>6.0000000000000001E-3</v>
      </c>
      <c r="AR263" s="170" t="e">
        <f t="shared" ca="1" si="331"/>
        <v>#VALUE!</v>
      </c>
      <c r="AS263" s="508" t="e">
        <f t="shared" ca="1" si="332"/>
        <v>#VALUE!</v>
      </c>
      <c r="AU263" s="512">
        <v>6</v>
      </c>
      <c r="AV263" s="512" t="s">
        <v>2257</v>
      </c>
      <c r="AW263" s="529" t="s">
        <v>2452</v>
      </c>
      <c r="AX263" s="508">
        <f t="shared" ref="AX263:AX290" ca="1" si="351">IF(AW263="部件",VLOOKUP(AU263,INDIRECT(AW263&amp;"价值"),MATCH(LEFT(AV263,2)&amp;"部件",INDIRECT(AW263&amp;"价值标头"),0),FALSE),IF(AW263="加速道具",VLOOKUP(AV263,INDIRECT(AW263&amp;"价值"),MATCH("价格",INDIRECT(AW263&amp;"价值标头"),0),FALSE),VLOOKUP(AU263,INDIRECT(AW263&amp;"价值"),MATCH(AV263,INDIRECT(AW263&amp;"价值标头"),0),FALSE)))</f>
        <v>10.125</v>
      </c>
      <c r="AY263" s="625">
        <v>1.5</v>
      </c>
      <c r="AZ263" s="615">
        <v>7.7000000000000002E-3</v>
      </c>
      <c r="BA263" s="170">
        <f t="shared" ca="1" si="323"/>
        <v>3.2954732510288069E-2</v>
      </c>
      <c r="BB263" s="508">
        <f t="shared" ca="1" si="324"/>
        <v>330</v>
      </c>
      <c r="BD263" s="512">
        <v>6</v>
      </c>
      <c r="BE263" s="512" t="s">
        <v>2257</v>
      </c>
      <c r="BF263" s="529" t="s">
        <v>2452</v>
      </c>
      <c r="BG263" s="508">
        <f t="shared" ref="BG263:BG290" ca="1" si="352">IF(BF263="部件",VLOOKUP(BD263,INDIRECT(BF263&amp;"价值"),MATCH(LEFT(BE263,2)&amp;"部件",INDIRECT(BF263&amp;"价值标头"),0),FALSE),IF(BF263="加速道具",VLOOKUP(BE263,INDIRECT(BF263&amp;"价值"),MATCH("价格",INDIRECT(BF263&amp;"价值标头"),0),FALSE),VLOOKUP(BD263,INDIRECT(BF263&amp;"价值"),MATCH(BE263,INDIRECT(BF263&amp;"价值标头"),0),FALSE)))</f>
        <v>10.125</v>
      </c>
      <c r="BH263" s="615">
        <v>5.5</v>
      </c>
      <c r="BI263" s="615">
        <v>8.3999999999999995E-3</v>
      </c>
      <c r="BJ263" s="170">
        <f t="shared" ca="1" si="326"/>
        <v>2.2249158249158244E-2</v>
      </c>
      <c r="BK263" s="394">
        <f t="shared" ca="1" si="350"/>
        <v>222</v>
      </c>
      <c r="BM263" s="512">
        <v>7</v>
      </c>
      <c r="BN263" s="527" t="s">
        <v>2269</v>
      </c>
      <c r="BO263" s="530" t="s">
        <v>2200</v>
      </c>
      <c r="BP263" s="508" t="str">
        <f t="shared" ca="1" si="328"/>
        <v>T2部件</v>
      </c>
      <c r="BQ263" s="632">
        <v>3</v>
      </c>
      <c r="BR263" s="600">
        <v>1.0999999999999999E-2</v>
      </c>
      <c r="BS263" s="170" t="e">
        <f t="shared" ca="1" si="329"/>
        <v>#VALUE!</v>
      </c>
      <c r="BT263" s="508" t="e">
        <f t="shared" ca="1" si="330"/>
        <v>#VALUE!</v>
      </c>
      <c r="BV263" s="525">
        <v>7</v>
      </c>
      <c r="BW263" s="527" t="s">
        <v>2280</v>
      </c>
      <c r="BX263" s="530" t="s">
        <v>2200</v>
      </c>
      <c r="BY263" s="523" t="str">
        <f t="shared" ca="1" si="342"/>
        <v>T3部件</v>
      </c>
      <c r="BZ263" s="665">
        <v>1</v>
      </c>
      <c r="CA263" s="634">
        <v>0.02</v>
      </c>
      <c r="CB263" s="170" t="e">
        <f t="shared" ca="1" si="344"/>
        <v>#VALUE!</v>
      </c>
      <c r="CC263" s="523" t="e">
        <f t="shared" ca="1" si="345"/>
        <v>#VALUE!</v>
      </c>
    </row>
    <row r="264" spans="2:81" x14ac:dyDescent="0.35">
      <c r="AC264" s="512">
        <v>6</v>
      </c>
      <c r="AD264" s="516" t="s">
        <v>2278</v>
      </c>
      <c r="AE264" s="529" t="s">
        <v>2452</v>
      </c>
      <c r="AF264" s="508" t="str">
        <f t="shared" ca="1" si="339"/>
        <v>T3部件</v>
      </c>
      <c r="AG264" s="508">
        <v>1</v>
      </c>
      <c r="AH264" s="633">
        <v>7.0000000000000001E-3</v>
      </c>
      <c r="AI264" s="170" t="e">
        <f t="shared" ca="1" si="320"/>
        <v>#VALUE!</v>
      </c>
      <c r="AJ264" s="508" t="e">
        <f t="shared" ca="1" si="321"/>
        <v>#VALUE!</v>
      </c>
      <c r="AL264" s="512">
        <v>6</v>
      </c>
      <c r="AM264" s="516" t="s">
        <v>2263</v>
      </c>
      <c r="AN264" s="529" t="s">
        <v>2452</v>
      </c>
      <c r="AO264" s="508" t="str">
        <f t="shared" ca="1" si="343"/>
        <v>T2部件</v>
      </c>
      <c r="AP264" s="565">
        <v>1.5</v>
      </c>
      <c r="AQ264" s="166">
        <v>6.0000000000000001E-3</v>
      </c>
      <c r="AR264" s="170" t="e">
        <f t="shared" ca="1" si="331"/>
        <v>#VALUE!</v>
      </c>
      <c r="AS264" s="508" t="e">
        <f t="shared" ca="1" si="332"/>
        <v>#VALUE!</v>
      </c>
      <c r="AU264" s="512">
        <v>6</v>
      </c>
      <c r="AV264" s="516" t="s">
        <v>2258</v>
      </c>
      <c r="AW264" s="529" t="s">
        <v>2452</v>
      </c>
      <c r="AX264" s="508" t="str">
        <f t="shared" ca="1" si="351"/>
        <v>T2部件</v>
      </c>
      <c r="AY264" s="508">
        <v>1.5</v>
      </c>
      <c r="AZ264" s="600">
        <v>7.7000000000000002E-3</v>
      </c>
      <c r="BA264" s="170" t="e">
        <f t="shared" ca="1" si="323"/>
        <v>#VALUE!</v>
      </c>
      <c r="BB264" s="508" t="e">
        <f t="shared" ca="1" si="324"/>
        <v>#VALUE!</v>
      </c>
      <c r="BD264" s="512">
        <v>6</v>
      </c>
      <c r="BE264" s="516" t="s">
        <v>2258</v>
      </c>
      <c r="BF264" s="529" t="s">
        <v>2452</v>
      </c>
      <c r="BG264" s="508" t="str">
        <f t="shared" ca="1" si="352"/>
        <v>T2部件</v>
      </c>
      <c r="BH264" s="508">
        <v>1.5</v>
      </c>
      <c r="BI264" s="600">
        <v>7.0000000000000001E-3</v>
      </c>
      <c r="BJ264" s="170" t="e">
        <f t="shared" ca="1" si="326"/>
        <v>#VALUE!</v>
      </c>
      <c r="BK264" s="394" t="e">
        <f t="shared" ca="1" si="350"/>
        <v>#VALUE!</v>
      </c>
      <c r="BM264" s="512">
        <v>7</v>
      </c>
      <c r="BN264" s="527" t="s">
        <v>2271</v>
      </c>
      <c r="BO264" s="530" t="s">
        <v>2200</v>
      </c>
      <c r="BP264" s="508" t="str">
        <f t="shared" ca="1" si="328"/>
        <v>T2部件</v>
      </c>
      <c r="BQ264" s="632">
        <v>3</v>
      </c>
      <c r="BR264" s="600">
        <v>1.0999999999999999E-2</v>
      </c>
      <c r="BS264" s="170" t="e">
        <f t="shared" ca="1" si="329"/>
        <v>#VALUE!</v>
      </c>
      <c r="BT264" s="508" t="e">
        <f t="shared" ca="1" si="330"/>
        <v>#VALUE!</v>
      </c>
      <c r="BV264" s="525">
        <v>7</v>
      </c>
      <c r="BW264" s="527" t="s">
        <v>2282</v>
      </c>
      <c r="BX264" s="530" t="s">
        <v>2200</v>
      </c>
      <c r="BY264" s="523" t="str">
        <f t="shared" ca="1" si="342"/>
        <v>T3部件</v>
      </c>
      <c r="BZ264" s="665">
        <v>1</v>
      </c>
      <c r="CA264" s="634">
        <v>0.02</v>
      </c>
      <c r="CB264" s="170" t="e">
        <f t="shared" ca="1" si="344"/>
        <v>#VALUE!</v>
      </c>
      <c r="CC264" s="523" t="e">
        <f t="shared" ca="1" si="345"/>
        <v>#VALUE!</v>
      </c>
    </row>
    <row r="265" spans="2:81" x14ac:dyDescent="0.35">
      <c r="AC265" s="512">
        <v>6</v>
      </c>
      <c r="AD265" s="516" t="s">
        <v>2280</v>
      </c>
      <c r="AE265" s="529" t="s">
        <v>2452</v>
      </c>
      <c r="AF265" s="508" t="str">
        <f t="shared" ca="1" si="339"/>
        <v>T3部件</v>
      </c>
      <c r="AG265" s="508">
        <v>1</v>
      </c>
      <c r="AH265" s="633">
        <v>7.0000000000000001E-3</v>
      </c>
      <c r="AI265" s="170" t="e">
        <f t="shared" ca="1" si="320"/>
        <v>#VALUE!</v>
      </c>
      <c r="AJ265" s="508" t="e">
        <f t="shared" ca="1" si="321"/>
        <v>#VALUE!</v>
      </c>
      <c r="AL265" s="512">
        <v>6</v>
      </c>
      <c r="AM265" s="516" t="s">
        <v>2265</v>
      </c>
      <c r="AN265" s="529" t="s">
        <v>2452</v>
      </c>
      <c r="AO265" s="508" t="str">
        <f t="shared" ca="1" si="343"/>
        <v>T2部件</v>
      </c>
      <c r="AP265" s="565">
        <v>1.5</v>
      </c>
      <c r="AQ265" s="166">
        <v>6.0000000000000001E-3</v>
      </c>
      <c r="AR265" s="170" t="e">
        <f t="shared" ca="1" si="331"/>
        <v>#VALUE!</v>
      </c>
      <c r="AS265" s="508" t="e">
        <f t="shared" ca="1" si="332"/>
        <v>#VALUE!</v>
      </c>
      <c r="AU265" s="512">
        <v>6</v>
      </c>
      <c r="AV265" s="516" t="s">
        <v>2260</v>
      </c>
      <c r="AW265" s="529" t="s">
        <v>2452</v>
      </c>
      <c r="AX265" s="508" t="str">
        <f t="shared" ca="1" si="351"/>
        <v>T2部件</v>
      </c>
      <c r="AY265" s="615">
        <v>1.5</v>
      </c>
      <c r="AZ265" s="615">
        <v>7.7000000000000002E-3</v>
      </c>
      <c r="BA265" s="170" t="e">
        <f t="shared" ca="1" si="323"/>
        <v>#VALUE!</v>
      </c>
      <c r="BB265" s="508" t="e">
        <f t="shared" ca="1" si="324"/>
        <v>#VALUE!</v>
      </c>
      <c r="BD265" s="512">
        <v>6</v>
      </c>
      <c r="BE265" s="516" t="s">
        <v>2260</v>
      </c>
      <c r="BF265" s="529" t="s">
        <v>2452</v>
      </c>
      <c r="BG265" s="508" t="str">
        <f t="shared" ca="1" si="352"/>
        <v>T2部件</v>
      </c>
      <c r="BH265" s="615">
        <v>1.5</v>
      </c>
      <c r="BI265" s="615">
        <v>7.0000000000000001E-3</v>
      </c>
      <c r="BJ265" s="170" t="e">
        <f t="shared" ca="1" si="326"/>
        <v>#VALUE!</v>
      </c>
      <c r="BK265" s="394" t="e">
        <f t="shared" ca="1" si="350"/>
        <v>#VALUE!</v>
      </c>
      <c r="BM265" s="512">
        <v>7</v>
      </c>
      <c r="BN265" s="525" t="s">
        <v>2273</v>
      </c>
      <c r="BO265" s="530" t="s">
        <v>2200</v>
      </c>
      <c r="BP265" s="508" t="str">
        <f t="shared" ca="1" si="328"/>
        <v>T2部件</v>
      </c>
      <c r="BQ265" s="632">
        <v>3</v>
      </c>
      <c r="BR265" s="600">
        <v>1.0999999999999999E-2</v>
      </c>
      <c r="BS265" s="170" t="e">
        <f t="shared" ca="1" si="329"/>
        <v>#VALUE!</v>
      </c>
      <c r="BT265" s="508" t="e">
        <f t="shared" ca="1" si="330"/>
        <v>#VALUE!</v>
      </c>
      <c r="BV265" s="525">
        <v>7</v>
      </c>
      <c r="BW265" s="527" t="s">
        <v>2284</v>
      </c>
      <c r="BX265" s="530" t="s">
        <v>2200</v>
      </c>
      <c r="BY265" s="523" t="str">
        <f t="shared" ca="1" si="342"/>
        <v>T3部件</v>
      </c>
      <c r="BZ265" s="665">
        <v>1</v>
      </c>
      <c r="CA265" s="634">
        <v>0.02</v>
      </c>
      <c r="CB265" s="170" t="e">
        <f t="shared" ca="1" si="344"/>
        <v>#VALUE!</v>
      </c>
      <c r="CC265" s="523" t="e">
        <f t="shared" ca="1" si="345"/>
        <v>#VALUE!</v>
      </c>
    </row>
    <row r="266" spans="2:81" x14ac:dyDescent="0.35">
      <c r="B266" s="273" t="s">
        <v>1226</v>
      </c>
      <c r="C266" s="273" t="s">
        <v>1225</v>
      </c>
      <c r="D266" s="258" t="s">
        <v>917</v>
      </c>
      <c r="E266" s="166" t="s">
        <v>920</v>
      </c>
      <c r="F266" s="261" t="s">
        <v>967</v>
      </c>
      <c r="G266" s="166" t="s">
        <v>854</v>
      </c>
      <c r="H266" s="166" t="s">
        <v>926</v>
      </c>
      <c r="I266" s="259" t="s">
        <v>927</v>
      </c>
      <c r="J266" s="300" t="e">
        <f ca="1">SUM(I267:I326)</f>
        <v>#VALUE!</v>
      </c>
      <c r="K266" s="282" t="s">
        <v>814</v>
      </c>
      <c r="L266" s="282" t="s">
        <v>1225</v>
      </c>
      <c r="M266" s="280" t="s">
        <v>917</v>
      </c>
      <c r="N266" s="166" t="s">
        <v>920</v>
      </c>
      <c r="O266" s="285" t="s">
        <v>967</v>
      </c>
      <c r="P266" s="166" t="s">
        <v>854</v>
      </c>
      <c r="Q266" s="166" t="s">
        <v>926</v>
      </c>
      <c r="R266" s="281" t="s">
        <v>927</v>
      </c>
      <c r="S266" s="300" t="e">
        <f ca="1">SUM(R267:R326)</f>
        <v>#VALUE!</v>
      </c>
      <c r="T266" s="512" t="s">
        <v>597</v>
      </c>
      <c r="U266" s="512" t="s">
        <v>1225</v>
      </c>
      <c r="V266" s="513" t="s">
        <v>917</v>
      </c>
      <c r="W266" s="166" t="s">
        <v>920</v>
      </c>
      <c r="X266" s="518" t="s">
        <v>967</v>
      </c>
      <c r="Y266" s="166" t="s">
        <v>854</v>
      </c>
      <c r="Z266" s="166" t="s">
        <v>926</v>
      </c>
      <c r="AA266" s="281" t="s">
        <v>927</v>
      </c>
      <c r="AB266" s="300" t="e">
        <f ca="1">SUM(AA267:AA326)</f>
        <v>#VALUE!</v>
      </c>
      <c r="AC266" s="512">
        <v>6</v>
      </c>
      <c r="AD266" s="516" t="s">
        <v>2282</v>
      </c>
      <c r="AE266" s="529" t="s">
        <v>2452</v>
      </c>
      <c r="AF266" s="508" t="str">
        <f t="shared" ca="1" si="339"/>
        <v>T3部件</v>
      </c>
      <c r="AG266" s="508">
        <v>1</v>
      </c>
      <c r="AH266" s="633">
        <v>7.0000000000000001E-3</v>
      </c>
      <c r="AI266" s="170" t="e">
        <f t="shared" ca="1" si="320"/>
        <v>#VALUE!</v>
      </c>
      <c r="AJ266" s="508" t="e">
        <f t="shared" ca="1" si="321"/>
        <v>#VALUE!</v>
      </c>
      <c r="AL266" s="512">
        <v>6</v>
      </c>
      <c r="AM266" s="516" t="s">
        <v>2267</v>
      </c>
      <c r="AN266" s="529" t="s">
        <v>2452</v>
      </c>
      <c r="AO266" s="508" t="str">
        <f t="shared" ca="1" si="343"/>
        <v>T2部件</v>
      </c>
      <c r="AP266" s="565">
        <v>1.5</v>
      </c>
      <c r="AQ266" s="166">
        <v>6.0000000000000001E-3</v>
      </c>
      <c r="AR266" s="170" t="e">
        <f t="shared" ca="1" si="331"/>
        <v>#VALUE!</v>
      </c>
      <c r="AS266" s="508" t="e">
        <f t="shared" ca="1" si="332"/>
        <v>#VALUE!</v>
      </c>
      <c r="AU266" s="512">
        <v>6</v>
      </c>
      <c r="AV266" s="516" t="s">
        <v>2262</v>
      </c>
      <c r="AW266" s="529" t="s">
        <v>2452</v>
      </c>
      <c r="AX266" s="508" t="str">
        <f t="shared" ca="1" si="351"/>
        <v>T2部件</v>
      </c>
      <c r="AY266" s="615">
        <v>1.5</v>
      </c>
      <c r="AZ266" s="615">
        <v>7.7000000000000002E-3</v>
      </c>
      <c r="BA266" s="170" t="e">
        <f t="shared" ca="1" si="323"/>
        <v>#VALUE!</v>
      </c>
      <c r="BB266" s="508" t="e">
        <f t="shared" ca="1" si="324"/>
        <v>#VALUE!</v>
      </c>
      <c r="BD266" s="512">
        <v>6</v>
      </c>
      <c r="BE266" s="516" t="s">
        <v>2262</v>
      </c>
      <c r="BF266" s="529" t="s">
        <v>2452</v>
      </c>
      <c r="BG266" s="508" t="str">
        <f t="shared" ca="1" si="352"/>
        <v>T2部件</v>
      </c>
      <c r="BH266" s="615">
        <v>1.5</v>
      </c>
      <c r="BI266" s="615">
        <v>7.0000000000000001E-3</v>
      </c>
      <c r="BJ266" s="170" t="e">
        <f t="shared" ca="1" si="326"/>
        <v>#VALUE!</v>
      </c>
      <c r="BK266" s="394" t="e">
        <f t="shared" ca="1" si="350"/>
        <v>#VALUE!</v>
      </c>
      <c r="BM266" s="512">
        <v>7</v>
      </c>
      <c r="BN266" s="525" t="s">
        <v>2275</v>
      </c>
      <c r="BO266" s="530" t="s">
        <v>2200</v>
      </c>
      <c r="BP266" s="508" t="str">
        <f t="shared" ca="1" si="328"/>
        <v>T2部件</v>
      </c>
      <c r="BQ266" s="632">
        <v>3</v>
      </c>
      <c r="BR266" s="600">
        <v>1.0999999999999999E-2</v>
      </c>
      <c r="BS266" s="170" t="e">
        <f t="shared" ca="1" si="329"/>
        <v>#VALUE!</v>
      </c>
      <c r="BT266" s="508" t="e">
        <f t="shared" ca="1" si="330"/>
        <v>#VALUE!</v>
      </c>
      <c r="BV266" s="525">
        <v>7</v>
      </c>
      <c r="BW266" s="527" t="s">
        <v>2286</v>
      </c>
      <c r="BX266" s="530" t="s">
        <v>2200</v>
      </c>
      <c r="BY266" s="523" t="str">
        <f t="shared" ca="1" si="342"/>
        <v>T3部件</v>
      </c>
      <c r="BZ266" s="665">
        <v>1</v>
      </c>
      <c r="CA266" s="634">
        <v>0.02</v>
      </c>
      <c r="CB266" s="170" t="e">
        <f t="shared" ca="1" si="344"/>
        <v>#VALUE!</v>
      </c>
      <c r="CC266" s="523" t="e">
        <f t="shared" ca="1" si="345"/>
        <v>#VALUE!</v>
      </c>
    </row>
    <row r="267" spans="2:81" x14ac:dyDescent="0.35">
      <c r="B267" s="273">
        <v>7</v>
      </c>
      <c r="C267" s="260" t="s">
        <v>618</v>
      </c>
      <c r="D267" s="273" t="s">
        <v>1235</v>
      </c>
      <c r="E267" s="508">
        <f t="shared" ref="E267:E298" ca="1" si="353">IF(D267="部件",VLOOKUP(B267,INDIRECT(D267&amp;"价值"),MATCH(LEFT(C267,2)&amp;"部件",INDIRECT(D267&amp;"价值标头"),0),FALSE),IF(D267="加速道具",VLOOKUP(C267,INDIRECT(D267&amp;"价值"),MATCH("价格",INDIRECT(D267&amp;"价值标头"),0),FALSE),VLOOKUP(B267,INDIRECT(D267&amp;"价值"),MATCH(C267,INDIRECT(D267&amp;"价值标头"),0),FALSE)))</f>
        <v>52.8</v>
      </c>
      <c r="F267" s="256">
        <v>3.5</v>
      </c>
      <c r="G267" s="408">
        <f>宝箱设定!$X134</f>
        <v>0.13139999999999999</v>
      </c>
      <c r="H267" s="170">
        <f t="shared" ref="H267:H272" ca="1" si="354">G267*$C$4/E267/F267</f>
        <v>4.1773538961038963E-2</v>
      </c>
      <c r="I267" s="256">
        <f t="shared" ref="I267:I272" ca="1" si="355">ROUND(H267*10000,0)</f>
        <v>418</v>
      </c>
      <c r="K267" s="512">
        <v>7</v>
      </c>
      <c r="L267" s="516" t="s">
        <v>618</v>
      </c>
      <c r="M267" s="512" t="s">
        <v>1211</v>
      </c>
      <c r="N267" s="508">
        <f t="shared" ref="N267:N298" ca="1" si="356">IF(M267="部件",VLOOKUP(K267,INDIRECT(M267&amp;"价值"),MATCH(LEFT(L267,2)&amp;"部件",INDIRECT(M267&amp;"价值标头"),0),FALSE),IF(M267="加速道具",VLOOKUP(L267,INDIRECT(M267&amp;"价值"),MATCH("价格",INDIRECT(M267&amp;"价值标头"),0),FALSE),VLOOKUP(K267,INDIRECT(M267&amp;"价值"),MATCH(L267,INDIRECT(M267&amp;"价值标头"),0),FALSE)))</f>
        <v>52.8</v>
      </c>
      <c r="O267" s="565">
        <v>1.5</v>
      </c>
      <c r="P267" s="508">
        <f>宝箱设定!$X134</f>
        <v>0.13139999999999999</v>
      </c>
      <c r="Q267" s="170">
        <f ca="1">P267*L$4/N267/O267</f>
        <v>7.7977272727272728E-2</v>
      </c>
      <c r="R267" s="279">
        <f t="shared" ref="R267:R272" ca="1" si="357">ROUND(Q267*10000,0)</f>
        <v>780</v>
      </c>
      <c r="T267" s="512">
        <v>7</v>
      </c>
      <c r="U267" s="516" t="s">
        <v>618</v>
      </c>
      <c r="V267" s="512" t="s">
        <v>1211</v>
      </c>
      <c r="W267" s="508">
        <f t="shared" ref="W267:W298" ca="1" si="358">IF(V267="部件",VLOOKUP(T267,INDIRECT(V267&amp;"价值"),MATCH(LEFT(U267,2)&amp;"部件",INDIRECT(V267&amp;"价值标头"),0),FALSE),IF(V267="加速道具",VLOOKUP(U267,INDIRECT(V267&amp;"价值"),MATCH("价格",INDIRECT(V267&amp;"价值标头"),0),FALSE),VLOOKUP(T267,INDIRECT(V267&amp;"价值"),MATCH(U267,INDIRECT(V267&amp;"价值标头"),0),FALSE)))</f>
        <v>52.8</v>
      </c>
      <c r="X267" s="565">
        <v>1.5</v>
      </c>
      <c r="Y267" s="508">
        <f>宝箱设定!$X134</f>
        <v>0.13139999999999999</v>
      </c>
      <c r="Z267" s="170">
        <f ca="1">Y267*U$4/W267/X267</f>
        <v>7.8806818181818186E-2</v>
      </c>
      <c r="AA267" s="279">
        <f ca="1">ROUND(Z267*10000,0)</f>
        <v>788</v>
      </c>
      <c r="AC267" s="512">
        <v>6</v>
      </c>
      <c r="AD267" s="516" t="s">
        <v>2284</v>
      </c>
      <c r="AE267" s="529" t="s">
        <v>2452</v>
      </c>
      <c r="AF267" s="508" t="str">
        <f t="shared" ca="1" si="339"/>
        <v>T3部件</v>
      </c>
      <c r="AG267" s="508">
        <v>1</v>
      </c>
      <c r="AH267" s="633">
        <v>7.0000000000000001E-3</v>
      </c>
      <c r="AI267" s="170" t="e">
        <f t="shared" ca="1" si="320"/>
        <v>#VALUE!</v>
      </c>
      <c r="AJ267" s="508" t="e">
        <f t="shared" ca="1" si="321"/>
        <v>#VALUE!</v>
      </c>
      <c r="AL267" s="512">
        <v>6</v>
      </c>
      <c r="AM267" s="516" t="s">
        <v>2269</v>
      </c>
      <c r="AN267" s="529" t="s">
        <v>2452</v>
      </c>
      <c r="AO267" s="508" t="str">
        <f t="shared" ca="1" si="343"/>
        <v>T2部件</v>
      </c>
      <c r="AP267" s="565">
        <v>1.5</v>
      </c>
      <c r="AQ267" s="166">
        <v>6.0000000000000001E-3</v>
      </c>
      <c r="AR267" s="170" t="e">
        <f t="shared" ca="1" si="331"/>
        <v>#VALUE!</v>
      </c>
      <c r="AS267" s="508" t="e">
        <f t="shared" ca="1" si="332"/>
        <v>#VALUE!</v>
      </c>
      <c r="AU267" s="512">
        <v>6</v>
      </c>
      <c r="AV267" s="516" t="s">
        <v>2264</v>
      </c>
      <c r="AW267" s="529" t="s">
        <v>2452</v>
      </c>
      <c r="AX267" s="508" t="str">
        <f t="shared" ca="1" si="351"/>
        <v>T2部件</v>
      </c>
      <c r="AY267" s="615">
        <v>1.5</v>
      </c>
      <c r="AZ267" s="615">
        <v>7.7000000000000002E-3</v>
      </c>
      <c r="BA267" s="170" t="e">
        <f t="shared" ca="1" si="323"/>
        <v>#VALUE!</v>
      </c>
      <c r="BB267" s="508" t="e">
        <f t="shared" ca="1" si="324"/>
        <v>#VALUE!</v>
      </c>
      <c r="BD267" s="512">
        <v>6</v>
      </c>
      <c r="BE267" s="516" t="s">
        <v>2264</v>
      </c>
      <c r="BF267" s="529" t="s">
        <v>2452</v>
      </c>
      <c r="BG267" s="508" t="str">
        <f t="shared" ca="1" si="352"/>
        <v>T2部件</v>
      </c>
      <c r="BH267" s="615">
        <v>1.5</v>
      </c>
      <c r="BI267" s="615">
        <v>7.0000000000000001E-3</v>
      </c>
      <c r="BJ267" s="170" t="e">
        <f t="shared" ca="1" si="326"/>
        <v>#VALUE!</v>
      </c>
      <c r="BK267" s="394" t="e">
        <f t="shared" ca="1" si="350"/>
        <v>#VALUE!</v>
      </c>
      <c r="BM267" s="512">
        <v>7</v>
      </c>
      <c r="BN267" s="527" t="s">
        <v>2276</v>
      </c>
      <c r="BO267" s="530" t="s">
        <v>2200</v>
      </c>
      <c r="BP267" s="508" t="str">
        <f t="shared" ca="1" si="328"/>
        <v>T3部件</v>
      </c>
      <c r="BQ267" s="508">
        <v>1.5</v>
      </c>
      <c r="BR267" s="600">
        <v>8.0000000000000002E-3</v>
      </c>
      <c r="BS267" s="170" t="e">
        <f t="shared" ca="1" si="329"/>
        <v>#VALUE!</v>
      </c>
      <c r="BT267" s="508" t="e">
        <f t="shared" ca="1" si="330"/>
        <v>#VALUE!</v>
      </c>
      <c r="BV267" s="525">
        <v>7</v>
      </c>
      <c r="BW267" s="527" t="s">
        <v>2288</v>
      </c>
      <c r="BX267" s="530" t="s">
        <v>2200</v>
      </c>
      <c r="BY267" s="523" t="str">
        <f t="shared" ca="1" si="342"/>
        <v>T3部件</v>
      </c>
      <c r="BZ267" s="665">
        <v>1</v>
      </c>
      <c r="CA267" s="634">
        <v>0.02</v>
      </c>
      <c r="CB267" s="170" t="e">
        <f t="shared" ca="1" si="344"/>
        <v>#VALUE!</v>
      </c>
      <c r="CC267" s="523" t="e">
        <f t="shared" ca="1" si="345"/>
        <v>#VALUE!</v>
      </c>
    </row>
    <row r="268" spans="2:81" x14ac:dyDescent="0.35">
      <c r="B268" s="273">
        <v>7</v>
      </c>
      <c r="C268" s="260" t="s">
        <v>627</v>
      </c>
      <c r="D268" s="273" t="s">
        <v>1235</v>
      </c>
      <c r="E268" s="508">
        <f t="shared" ca="1" si="353"/>
        <v>52.8</v>
      </c>
      <c r="F268" s="625">
        <v>3.5</v>
      </c>
      <c r="G268" s="508">
        <f>宝箱设定!$X135</f>
        <v>0.13139999999999999</v>
      </c>
      <c r="H268" s="170">
        <f t="shared" ca="1" si="354"/>
        <v>4.1773538961038963E-2</v>
      </c>
      <c r="I268" s="256">
        <f t="shared" ca="1" si="355"/>
        <v>418</v>
      </c>
      <c r="K268" s="512">
        <v>7</v>
      </c>
      <c r="L268" s="516" t="s">
        <v>627</v>
      </c>
      <c r="M268" s="512" t="s">
        <v>1211</v>
      </c>
      <c r="N268" s="508">
        <f t="shared" ca="1" si="356"/>
        <v>52.8</v>
      </c>
      <c r="O268" s="625">
        <v>1.5</v>
      </c>
      <c r="P268" s="508">
        <f>宝箱设定!$X135</f>
        <v>0.13139999999999999</v>
      </c>
      <c r="Q268" s="170">
        <f t="shared" ref="Q268:Q274" ca="1" si="359">P268*L$4/N268/O268</f>
        <v>7.7977272727272728E-2</v>
      </c>
      <c r="R268" s="394">
        <f t="shared" ca="1" si="357"/>
        <v>780</v>
      </c>
      <c r="T268" s="512">
        <v>7</v>
      </c>
      <c r="U268" s="516" t="s">
        <v>627</v>
      </c>
      <c r="V268" s="512" t="s">
        <v>1211</v>
      </c>
      <c r="W268" s="508">
        <f t="shared" ca="1" si="358"/>
        <v>52.8</v>
      </c>
      <c r="X268" s="625">
        <v>1.5</v>
      </c>
      <c r="Y268" s="508">
        <f>宝箱设定!$X135</f>
        <v>0.13139999999999999</v>
      </c>
      <c r="Z268" s="170">
        <f ca="1">Y268*U$4/W268/X268</f>
        <v>7.8806818181818186E-2</v>
      </c>
      <c r="AA268" s="394">
        <f ca="1">ROUND(Z268*10000,0)</f>
        <v>788</v>
      </c>
      <c r="AC268" s="512">
        <v>6</v>
      </c>
      <c r="AD268" s="516" t="s">
        <v>2286</v>
      </c>
      <c r="AE268" s="529" t="s">
        <v>2452</v>
      </c>
      <c r="AF268" s="508" t="str">
        <f t="shared" ca="1" si="339"/>
        <v>T3部件</v>
      </c>
      <c r="AG268" s="508">
        <v>1</v>
      </c>
      <c r="AH268" s="633">
        <v>7.0000000000000001E-3</v>
      </c>
      <c r="AI268" s="170" t="e">
        <f t="shared" ca="1" si="320"/>
        <v>#VALUE!</v>
      </c>
      <c r="AJ268" s="508" t="e">
        <f t="shared" ca="1" si="321"/>
        <v>#VALUE!</v>
      </c>
      <c r="AL268" s="512">
        <v>6</v>
      </c>
      <c r="AM268" s="516" t="s">
        <v>2271</v>
      </c>
      <c r="AN268" s="529" t="s">
        <v>2452</v>
      </c>
      <c r="AO268" s="508" t="str">
        <f t="shared" ca="1" si="343"/>
        <v>T2部件</v>
      </c>
      <c r="AP268" s="565">
        <v>1.5</v>
      </c>
      <c r="AQ268" s="166">
        <v>6.0000000000000001E-3</v>
      </c>
      <c r="AR268" s="170" t="e">
        <f t="shared" ca="1" si="331"/>
        <v>#VALUE!</v>
      </c>
      <c r="AS268" s="508" t="e">
        <f t="shared" ca="1" si="332"/>
        <v>#VALUE!</v>
      </c>
      <c r="AU268" s="512">
        <v>6</v>
      </c>
      <c r="AV268" s="516" t="s">
        <v>2266</v>
      </c>
      <c r="AW268" s="529" t="s">
        <v>2452</v>
      </c>
      <c r="AX268" s="508" t="str">
        <f t="shared" ca="1" si="351"/>
        <v>T2部件</v>
      </c>
      <c r="AY268" s="615">
        <v>1.5</v>
      </c>
      <c r="AZ268" s="615">
        <v>7.7000000000000002E-3</v>
      </c>
      <c r="BA268" s="170" t="e">
        <f t="shared" ca="1" si="323"/>
        <v>#VALUE!</v>
      </c>
      <c r="BB268" s="508" t="e">
        <f t="shared" ca="1" si="324"/>
        <v>#VALUE!</v>
      </c>
      <c r="BD268" s="512">
        <v>6</v>
      </c>
      <c r="BE268" s="516" t="s">
        <v>2266</v>
      </c>
      <c r="BF268" s="529" t="s">
        <v>2452</v>
      </c>
      <c r="BG268" s="508" t="str">
        <f t="shared" ca="1" si="352"/>
        <v>T2部件</v>
      </c>
      <c r="BH268" s="615">
        <v>1.5</v>
      </c>
      <c r="BI268" s="615">
        <v>7.0000000000000001E-3</v>
      </c>
      <c r="BJ268" s="170" t="e">
        <f t="shared" ca="1" si="326"/>
        <v>#VALUE!</v>
      </c>
      <c r="BK268" s="394" t="e">
        <f t="shared" ca="1" si="350"/>
        <v>#VALUE!</v>
      </c>
      <c r="BM268" s="512">
        <v>7</v>
      </c>
      <c r="BN268" s="527" t="s">
        <v>2278</v>
      </c>
      <c r="BO268" s="530" t="s">
        <v>2200</v>
      </c>
      <c r="BP268" s="508" t="str">
        <f t="shared" ca="1" si="328"/>
        <v>T3部件</v>
      </c>
      <c r="BQ268" s="615">
        <v>1.5</v>
      </c>
      <c r="BR268" s="600">
        <v>8.0000000000000002E-3</v>
      </c>
      <c r="BS268" s="170" t="e">
        <f t="shared" ca="1" si="329"/>
        <v>#VALUE!</v>
      </c>
      <c r="BT268" s="508" t="e">
        <f t="shared" ca="1" si="330"/>
        <v>#VALUE!</v>
      </c>
      <c r="BV268" s="525">
        <v>7</v>
      </c>
      <c r="BW268" s="525" t="s">
        <v>2290</v>
      </c>
      <c r="BX268" s="530" t="s">
        <v>2200</v>
      </c>
      <c r="BY268" s="523" t="str">
        <f t="shared" ca="1" si="342"/>
        <v>T3部件</v>
      </c>
      <c r="BZ268" s="665">
        <v>1</v>
      </c>
      <c r="CA268" s="634">
        <v>0.02</v>
      </c>
      <c r="CB268" s="170" t="e">
        <f t="shared" ca="1" si="344"/>
        <v>#VALUE!</v>
      </c>
      <c r="CC268" s="523" t="e">
        <f t="shared" ca="1" si="345"/>
        <v>#VALUE!</v>
      </c>
    </row>
    <row r="269" spans="2:81" x14ac:dyDescent="0.35">
      <c r="B269" s="273">
        <v>7</v>
      </c>
      <c r="C269" s="260" t="s">
        <v>628</v>
      </c>
      <c r="D269" s="273" t="s">
        <v>1235</v>
      </c>
      <c r="E269" s="508">
        <f t="shared" ca="1" si="353"/>
        <v>52.8</v>
      </c>
      <c r="F269" s="625">
        <v>3.5</v>
      </c>
      <c r="G269" s="508">
        <f>宝箱设定!$X136</f>
        <v>0.13139999999999999</v>
      </c>
      <c r="H269" s="170">
        <f t="shared" ca="1" si="354"/>
        <v>4.1773538961038963E-2</v>
      </c>
      <c r="I269" s="256">
        <f t="shared" ca="1" si="355"/>
        <v>418</v>
      </c>
      <c r="K269" s="512">
        <v>7</v>
      </c>
      <c r="L269" s="516" t="s">
        <v>628</v>
      </c>
      <c r="M269" s="512" t="s">
        <v>1211</v>
      </c>
      <c r="N269" s="508">
        <f t="shared" ca="1" si="356"/>
        <v>52.8</v>
      </c>
      <c r="O269" s="625">
        <v>1.5</v>
      </c>
      <c r="P269" s="508">
        <f>宝箱设定!$X136</f>
        <v>0.13139999999999999</v>
      </c>
      <c r="Q269" s="170">
        <f t="shared" ca="1" si="359"/>
        <v>7.7977272727272728E-2</v>
      </c>
      <c r="R269" s="394">
        <f t="shared" ca="1" si="357"/>
        <v>780</v>
      </c>
      <c r="T269" s="512">
        <v>7</v>
      </c>
      <c r="U269" s="516" t="s">
        <v>628</v>
      </c>
      <c r="V269" s="512" t="s">
        <v>1211</v>
      </c>
      <c r="W269" s="508">
        <f t="shared" ca="1" si="358"/>
        <v>52.8</v>
      </c>
      <c r="X269" s="625">
        <v>1.5</v>
      </c>
      <c r="Y269" s="508">
        <f>宝箱设定!$X136</f>
        <v>0.13139999999999999</v>
      </c>
      <c r="Z269" s="170">
        <f ca="1">Y269*U$4/W269/X269</f>
        <v>7.8806818181818186E-2</v>
      </c>
      <c r="AA269" s="394">
        <f ca="1">ROUND(Z269*10000,0)</f>
        <v>788</v>
      </c>
      <c r="AC269" s="512">
        <v>6</v>
      </c>
      <c r="AD269" s="516" t="s">
        <v>2288</v>
      </c>
      <c r="AE269" s="529" t="s">
        <v>2452</v>
      </c>
      <c r="AF269" s="508" t="str">
        <f t="shared" ca="1" si="339"/>
        <v>T3部件</v>
      </c>
      <c r="AG269" s="508">
        <v>1</v>
      </c>
      <c r="AH269" s="633">
        <v>7.0000000000000001E-3</v>
      </c>
      <c r="AI269" s="170" t="e">
        <f t="shared" ref="AI269:AI271" ca="1" si="360">AH269*AD$4/AF269/AG269</f>
        <v>#VALUE!</v>
      </c>
      <c r="AJ269" s="279" t="e">
        <f t="shared" ref="AJ269:AJ271" ca="1" si="361">ROUND(AI269*10000,0)</f>
        <v>#VALUE!</v>
      </c>
      <c r="AL269" s="512">
        <v>6</v>
      </c>
      <c r="AM269" s="512" t="s">
        <v>2273</v>
      </c>
      <c r="AN269" s="529" t="s">
        <v>2452</v>
      </c>
      <c r="AO269" s="508" t="str">
        <f t="shared" ca="1" si="343"/>
        <v>T2部件</v>
      </c>
      <c r="AP269" s="565">
        <v>1.5</v>
      </c>
      <c r="AQ269" s="166">
        <v>6.0000000000000001E-3</v>
      </c>
      <c r="AR269" s="170" t="e">
        <f t="shared" ca="1" si="331"/>
        <v>#VALUE!</v>
      </c>
      <c r="AS269" s="508" t="e">
        <f t="shared" ca="1" si="332"/>
        <v>#VALUE!</v>
      </c>
      <c r="AU269" s="512">
        <v>6</v>
      </c>
      <c r="AV269" s="516" t="s">
        <v>2268</v>
      </c>
      <c r="AW269" s="529" t="s">
        <v>2452</v>
      </c>
      <c r="AX269" s="508" t="str">
        <f t="shared" ca="1" si="351"/>
        <v>T2部件</v>
      </c>
      <c r="AY269" s="615">
        <v>1.5</v>
      </c>
      <c r="AZ269" s="615">
        <v>7.7000000000000002E-3</v>
      </c>
      <c r="BA269" s="170" t="e">
        <f t="shared" ca="1" si="323"/>
        <v>#VALUE!</v>
      </c>
      <c r="BB269" s="508" t="e">
        <f t="shared" ca="1" si="324"/>
        <v>#VALUE!</v>
      </c>
      <c r="BD269" s="512">
        <v>6</v>
      </c>
      <c r="BE269" s="516" t="s">
        <v>2268</v>
      </c>
      <c r="BF269" s="529" t="s">
        <v>2452</v>
      </c>
      <c r="BG269" s="508" t="str">
        <f t="shared" ca="1" si="352"/>
        <v>T2部件</v>
      </c>
      <c r="BH269" s="615">
        <v>1.5</v>
      </c>
      <c r="BI269" s="615">
        <v>7.0000000000000001E-3</v>
      </c>
      <c r="BJ269" s="170" t="e">
        <f t="shared" ca="1" si="326"/>
        <v>#VALUE!</v>
      </c>
      <c r="BK269" s="279" t="e">
        <f ca="1">ROUND(BJ269*10000,0)</f>
        <v>#VALUE!</v>
      </c>
      <c r="BM269" s="512">
        <v>7</v>
      </c>
      <c r="BN269" s="527" t="s">
        <v>2280</v>
      </c>
      <c r="BO269" s="530" t="s">
        <v>2200</v>
      </c>
      <c r="BP269" s="508" t="str">
        <f t="shared" ca="1" si="328"/>
        <v>T3部件</v>
      </c>
      <c r="BQ269" s="615">
        <v>1.5</v>
      </c>
      <c r="BR269" s="600">
        <v>8.0000000000000002E-3</v>
      </c>
      <c r="BS269" s="170" t="e">
        <f t="shared" ca="1" si="329"/>
        <v>#VALUE!</v>
      </c>
      <c r="BT269" s="508" t="e">
        <f t="shared" ca="1" si="330"/>
        <v>#VALUE!</v>
      </c>
      <c r="BV269" s="525">
        <v>7</v>
      </c>
      <c r="BW269" s="525" t="s">
        <v>2292</v>
      </c>
      <c r="BX269" s="530" t="s">
        <v>2200</v>
      </c>
      <c r="BY269" s="523" t="str">
        <f t="shared" ca="1" si="342"/>
        <v>T3部件</v>
      </c>
      <c r="BZ269" s="665">
        <v>1</v>
      </c>
      <c r="CA269" s="634">
        <v>0.02</v>
      </c>
      <c r="CB269" s="170" t="e">
        <f t="shared" ca="1" si="344"/>
        <v>#VALUE!</v>
      </c>
      <c r="CC269" s="523" t="e">
        <f t="shared" ca="1" si="345"/>
        <v>#VALUE!</v>
      </c>
    </row>
    <row r="270" spans="2:81" x14ac:dyDescent="0.35">
      <c r="B270" s="273">
        <v>7</v>
      </c>
      <c r="C270" s="260" t="s">
        <v>619</v>
      </c>
      <c r="D270" s="273" t="s">
        <v>1235</v>
      </c>
      <c r="E270" s="508">
        <f t="shared" ca="1" si="353"/>
        <v>69</v>
      </c>
      <c r="F270" s="594">
        <v>2</v>
      </c>
      <c r="G270" s="508">
        <f>宝箱设定!$X137</f>
        <v>8.7599999999999997E-2</v>
      </c>
      <c r="H270" s="170">
        <f t="shared" ca="1" si="354"/>
        <v>3.729347826086956E-2</v>
      </c>
      <c r="I270" s="256">
        <f t="shared" ca="1" si="355"/>
        <v>373</v>
      </c>
      <c r="K270" s="512">
        <v>7</v>
      </c>
      <c r="L270" s="516" t="s">
        <v>619</v>
      </c>
      <c r="M270" s="512" t="s">
        <v>1211</v>
      </c>
      <c r="N270" s="508">
        <f t="shared" ca="1" si="356"/>
        <v>69</v>
      </c>
      <c r="O270" s="565">
        <v>1</v>
      </c>
      <c r="P270" s="508">
        <f>宝箱设定!$X137</f>
        <v>8.7599999999999997E-2</v>
      </c>
      <c r="Q270" s="170">
        <f ca="1">P270*L$4/N270/O270</f>
        <v>5.96695652173913E-2</v>
      </c>
      <c r="R270" s="408">
        <f t="shared" ca="1" si="357"/>
        <v>597</v>
      </c>
      <c r="T270" s="512">
        <v>7</v>
      </c>
      <c r="U270" s="516" t="s">
        <v>619</v>
      </c>
      <c r="V270" s="512" t="s">
        <v>1211</v>
      </c>
      <c r="W270" s="508">
        <f t="shared" ca="1" si="358"/>
        <v>69</v>
      </c>
      <c r="X270" s="565">
        <v>1</v>
      </c>
      <c r="Y270" s="508">
        <f>宝箱设定!$X137</f>
        <v>8.7599999999999997E-2</v>
      </c>
      <c r="Z270" s="170">
        <f t="shared" ref="Z270:Z276" ca="1" si="362">Y270*U$4/W270/X270</f>
        <v>6.030434782608695E-2</v>
      </c>
      <c r="AA270" s="408">
        <f t="shared" ref="AA270:AA276" ca="1" si="363">ROUND(Z270*10000,0)</f>
        <v>603</v>
      </c>
      <c r="AC270" s="512">
        <v>6</v>
      </c>
      <c r="AD270" s="512" t="s">
        <v>2290</v>
      </c>
      <c r="AE270" s="529" t="s">
        <v>2452</v>
      </c>
      <c r="AF270" s="508" t="str">
        <f t="shared" ca="1" si="339"/>
        <v>T3部件</v>
      </c>
      <c r="AG270" s="508">
        <v>1</v>
      </c>
      <c r="AH270" s="633">
        <v>7.0000000000000001E-3</v>
      </c>
      <c r="AI270" s="170" t="e">
        <f t="shared" ca="1" si="360"/>
        <v>#VALUE!</v>
      </c>
      <c r="AJ270" s="279" t="e">
        <f t="shared" ca="1" si="361"/>
        <v>#VALUE!</v>
      </c>
      <c r="AL270" s="512">
        <v>6</v>
      </c>
      <c r="AM270" s="512" t="s">
        <v>2275</v>
      </c>
      <c r="AN270" s="529" t="s">
        <v>2452</v>
      </c>
      <c r="AO270" s="508" t="str">
        <f t="shared" ca="1" si="343"/>
        <v>T2部件</v>
      </c>
      <c r="AP270" s="565">
        <v>1.5</v>
      </c>
      <c r="AQ270" s="166">
        <v>6.0000000000000001E-3</v>
      </c>
      <c r="AR270" s="170" t="e">
        <f t="shared" ca="1" si="331"/>
        <v>#VALUE!</v>
      </c>
      <c r="AS270" s="508" t="e">
        <f t="shared" ca="1" si="332"/>
        <v>#VALUE!</v>
      </c>
      <c r="AU270" s="512">
        <v>6</v>
      </c>
      <c r="AV270" s="516" t="s">
        <v>2270</v>
      </c>
      <c r="AW270" s="529" t="s">
        <v>2452</v>
      </c>
      <c r="AX270" s="508" t="str">
        <f t="shared" ca="1" si="351"/>
        <v>T2部件</v>
      </c>
      <c r="AY270" s="615">
        <v>1.5</v>
      </c>
      <c r="AZ270" s="615">
        <v>7.7000000000000002E-3</v>
      </c>
      <c r="BA270" s="170" t="e">
        <f t="shared" ca="1" si="323"/>
        <v>#VALUE!</v>
      </c>
      <c r="BB270" s="508" t="e">
        <f t="shared" ca="1" si="324"/>
        <v>#VALUE!</v>
      </c>
      <c r="BD270" s="512">
        <v>6</v>
      </c>
      <c r="BE270" s="516" t="s">
        <v>2270</v>
      </c>
      <c r="BF270" s="529" t="s">
        <v>2452</v>
      </c>
      <c r="BG270" s="508" t="str">
        <f t="shared" ca="1" si="352"/>
        <v>T2部件</v>
      </c>
      <c r="BH270" s="615">
        <v>1.5</v>
      </c>
      <c r="BI270" s="615">
        <v>7.0000000000000001E-3</v>
      </c>
      <c r="BJ270" s="170" t="e">
        <f t="shared" ca="1" si="326"/>
        <v>#VALUE!</v>
      </c>
      <c r="BK270" s="279" t="e">
        <f ca="1">ROUND(BJ270*10000,0)</f>
        <v>#VALUE!</v>
      </c>
      <c r="BM270" s="512">
        <v>7</v>
      </c>
      <c r="BN270" s="527" t="s">
        <v>2282</v>
      </c>
      <c r="BO270" s="530" t="s">
        <v>2200</v>
      </c>
      <c r="BP270" s="508" t="str">
        <f t="shared" ca="1" si="328"/>
        <v>T3部件</v>
      </c>
      <c r="BQ270" s="615">
        <v>1.5</v>
      </c>
      <c r="BR270" s="600">
        <v>8.0000000000000002E-3</v>
      </c>
      <c r="BS270" s="170" t="e">
        <f t="shared" ca="1" si="329"/>
        <v>#VALUE!</v>
      </c>
      <c r="BT270" s="508" t="e">
        <f t="shared" ca="1" si="330"/>
        <v>#VALUE!</v>
      </c>
      <c r="BV270" s="525">
        <v>7</v>
      </c>
      <c r="BW270" s="527" t="s">
        <v>2277</v>
      </c>
      <c r="BX270" s="530" t="s">
        <v>2200</v>
      </c>
      <c r="BY270" s="523" t="str">
        <f t="shared" ca="1" si="342"/>
        <v>T3部件</v>
      </c>
      <c r="BZ270" s="523">
        <v>1</v>
      </c>
      <c r="CA270" s="634">
        <v>0.02</v>
      </c>
      <c r="CB270" s="170" t="e">
        <f t="shared" ca="1" si="344"/>
        <v>#VALUE!</v>
      </c>
      <c r="CC270" s="523" t="e">
        <f t="shared" ca="1" si="345"/>
        <v>#VALUE!</v>
      </c>
    </row>
    <row r="271" spans="2:81" x14ac:dyDescent="0.35">
      <c r="B271" s="273">
        <v>7</v>
      </c>
      <c r="C271" s="260" t="s">
        <v>718</v>
      </c>
      <c r="D271" s="273" t="s">
        <v>1235</v>
      </c>
      <c r="E271" s="508">
        <f t="shared" ca="1" si="353"/>
        <v>69</v>
      </c>
      <c r="F271" s="594">
        <v>2</v>
      </c>
      <c r="G271" s="508">
        <f>宝箱设定!$X138</f>
        <v>8.7599999999999997E-2</v>
      </c>
      <c r="H271" s="170">
        <f t="shared" ca="1" si="354"/>
        <v>3.729347826086956E-2</v>
      </c>
      <c r="I271" s="256">
        <f t="shared" ca="1" si="355"/>
        <v>373</v>
      </c>
      <c r="K271" s="512">
        <v>7</v>
      </c>
      <c r="L271" s="516" t="s">
        <v>718</v>
      </c>
      <c r="M271" s="512" t="s">
        <v>1211</v>
      </c>
      <c r="N271" s="508">
        <f t="shared" ca="1" si="356"/>
        <v>69</v>
      </c>
      <c r="O271" s="565">
        <v>1</v>
      </c>
      <c r="P271" s="508">
        <f>宝箱设定!$X138</f>
        <v>8.7599999999999997E-2</v>
      </c>
      <c r="Q271" s="170">
        <f ca="1">P271*L$4/N271/O271</f>
        <v>5.96695652173913E-2</v>
      </c>
      <c r="R271" s="408">
        <f t="shared" ca="1" si="357"/>
        <v>597</v>
      </c>
      <c r="T271" s="512">
        <v>7</v>
      </c>
      <c r="U271" s="516" t="s">
        <v>718</v>
      </c>
      <c r="V271" s="512" t="s">
        <v>1211</v>
      </c>
      <c r="W271" s="508">
        <f t="shared" ca="1" si="358"/>
        <v>69</v>
      </c>
      <c r="X271" s="565">
        <v>1</v>
      </c>
      <c r="Y271" s="508">
        <f>宝箱设定!$X138</f>
        <v>8.7599999999999997E-2</v>
      </c>
      <c r="Z271" s="170">
        <f t="shared" ca="1" si="362"/>
        <v>6.030434782608695E-2</v>
      </c>
      <c r="AA271" s="408">
        <f t="shared" ca="1" si="363"/>
        <v>603</v>
      </c>
      <c r="AC271" s="512">
        <v>6</v>
      </c>
      <c r="AD271" s="512" t="s">
        <v>2292</v>
      </c>
      <c r="AE271" s="529" t="s">
        <v>2452</v>
      </c>
      <c r="AF271" s="508" t="str">
        <f t="shared" ca="1" si="339"/>
        <v>T3部件</v>
      </c>
      <c r="AG271" s="396">
        <v>1</v>
      </c>
      <c r="AH271" s="633">
        <v>7.0000000000000001E-3</v>
      </c>
      <c r="AI271" s="170" t="e">
        <f t="shared" ca="1" si="360"/>
        <v>#VALUE!</v>
      </c>
      <c r="AJ271" s="279" t="e">
        <f t="shared" ca="1" si="361"/>
        <v>#VALUE!</v>
      </c>
      <c r="AL271" s="512">
        <v>6</v>
      </c>
      <c r="AM271" s="516" t="s">
        <v>2276</v>
      </c>
      <c r="AN271" s="529" t="s">
        <v>2452</v>
      </c>
      <c r="AO271" s="508" t="str">
        <f t="shared" ca="1" si="343"/>
        <v>T3部件</v>
      </c>
      <c r="AP271" s="508">
        <v>1</v>
      </c>
      <c r="AQ271" s="166">
        <v>8.0000000000000002E-3</v>
      </c>
      <c r="AR271" s="170" t="e">
        <f t="shared" ca="1" si="331"/>
        <v>#VALUE!</v>
      </c>
      <c r="AS271" s="508" t="e">
        <f t="shared" ca="1" si="332"/>
        <v>#VALUE!</v>
      </c>
      <c r="AU271" s="512">
        <v>6</v>
      </c>
      <c r="AV271" s="512" t="s">
        <v>2272</v>
      </c>
      <c r="AW271" s="529" t="s">
        <v>2452</v>
      </c>
      <c r="AX271" s="508" t="str">
        <f t="shared" ca="1" si="351"/>
        <v>T2部件</v>
      </c>
      <c r="AY271" s="615">
        <v>1.5</v>
      </c>
      <c r="AZ271" s="615">
        <v>7.7000000000000002E-3</v>
      </c>
      <c r="BA271" s="170" t="e">
        <f t="shared" ca="1" si="323"/>
        <v>#VALUE!</v>
      </c>
      <c r="BB271" s="508" t="e">
        <f t="shared" ca="1" si="324"/>
        <v>#VALUE!</v>
      </c>
      <c r="BD271" s="512">
        <v>6</v>
      </c>
      <c r="BE271" s="512" t="s">
        <v>2272</v>
      </c>
      <c r="BF271" s="529" t="s">
        <v>2452</v>
      </c>
      <c r="BG271" s="508" t="str">
        <f t="shared" ca="1" si="352"/>
        <v>T2部件</v>
      </c>
      <c r="BH271" s="615">
        <v>1.5</v>
      </c>
      <c r="BI271" s="615">
        <v>7.0000000000000001E-3</v>
      </c>
      <c r="BJ271" s="170" t="e">
        <f t="shared" ca="1" si="326"/>
        <v>#VALUE!</v>
      </c>
      <c r="BK271" s="279" t="e">
        <f ca="1">ROUND(BJ271*10000,0)</f>
        <v>#VALUE!</v>
      </c>
      <c r="BM271" s="512">
        <v>7</v>
      </c>
      <c r="BN271" s="527" t="s">
        <v>2284</v>
      </c>
      <c r="BO271" s="530" t="s">
        <v>2200</v>
      </c>
      <c r="BP271" s="508" t="str">
        <f t="shared" ca="1" si="328"/>
        <v>T3部件</v>
      </c>
      <c r="BQ271" s="615">
        <v>1.5</v>
      </c>
      <c r="BR271" s="600">
        <v>8.0000000000000002E-3</v>
      </c>
      <c r="BS271" s="170" t="e">
        <f t="shared" ca="1" si="329"/>
        <v>#VALUE!</v>
      </c>
      <c r="BT271" s="508" t="e">
        <f t="shared" ca="1" si="330"/>
        <v>#VALUE!</v>
      </c>
      <c r="BV271" s="525">
        <v>7</v>
      </c>
      <c r="BW271" s="527" t="s">
        <v>2279</v>
      </c>
      <c r="BX271" s="530" t="s">
        <v>2200</v>
      </c>
      <c r="BY271" s="523" t="str">
        <f t="shared" ca="1" si="342"/>
        <v>T3部件</v>
      </c>
      <c r="BZ271" s="525">
        <v>1</v>
      </c>
      <c r="CA271" s="634">
        <v>0.02</v>
      </c>
      <c r="CB271" s="170" t="e">
        <f t="shared" ca="1" si="344"/>
        <v>#VALUE!</v>
      </c>
      <c r="CC271" s="523" t="e">
        <f t="shared" ca="1" si="345"/>
        <v>#VALUE!</v>
      </c>
    </row>
    <row r="272" spans="2:81" x14ac:dyDescent="0.35">
      <c r="B272" s="273">
        <v>7</v>
      </c>
      <c r="C272" s="260" t="s">
        <v>632</v>
      </c>
      <c r="D272" s="273" t="s">
        <v>1235</v>
      </c>
      <c r="E272" s="508">
        <f t="shared" ca="1" si="353"/>
        <v>69</v>
      </c>
      <c r="F272" s="594">
        <v>2</v>
      </c>
      <c r="G272" s="508">
        <f>宝箱设定!$X139</f>
        <v>8.7599999999999997E-2</v>
      </c>
      <c r="H272" s="170">
        <f t="shared" ca="1" si="354"/>
        <v>3.729347826086956E-2</v>
      </c>
      <c r="I272" s="256">
        <f t="shared" ca="1" si="355"/>
        <v>373</v>
      </c>
      <c r="K272" s="512">
        <v>7</v>
      </c>
      <c r="L272" s="516" t="s">
        <v>632</v>
      </c>
      <c r="M272" s="512" t="s">
        <v>1211</v>
      </c>
      <c r="N272" s="508">
        <f t="shared" ca="1" si="356"/>
        <v>69</v>
      </c>
      <c r="O272" s="565">
        <v>1</v>
      </c>
      <c r="P272" s="508">
        <f>宝箱设定!$X139</f>
        <v>8.7599999999999997E-2</v>
      </c>
      <c r="Q272" s="170">
        <f ca="1">P272*L$4/N272/O272</f>
        <v>5.96695652173913E-2</v>
      </c>
      <c r="R272" s="408">
        <f t="shared" ca="1" si="357"/>
        <v>597</v>
      </c>
      <c r="T272" s="512">
        <v>7</v>
      </c>
      <c r="U272" s="516" t="s">
        <v>632</v>
      </c>
      <c r="V272" s="512" t="s">
        <v>1211</v>
      </c>
      <c r="W272" s="508">
        <f t="shared" ca="1" si="358"/>
        <v>69</v>
      </c>
      <c r="X272" s="565">
        <v>1</v>
      </c>
      <c r="Y272" s="508">
        <f>宝箱设定!$X139</f>
        <v>8.7599999999999997E-2</v>
      </c>
      <c r="Z272" s="170">
        <f t="shared" ca="1" si="362"/>
        <v>6.030434782608695E-2</v>
      </c>
      <c r="AA272" s="408">
        <f t="shared" ca="1" si="363"/>
        <v>603</v>
      </c>
      <c r="AC272" s="595">
        <v>6</v>
      </c>
      <c r="AD272" s="601" t="s">
        <v>2878</v>
      </c>
      <c r="AE272" s="601" t="s">
        <v>2879</v>
      </c>
      <c r="AF272" s="594">
        <f t="shared" ca="1" si="339"/>
        <v>35</v>
      </c>
      <c r="AG272" s="594">
        <v>1</v>
      </c>
      <c r="AH272" s="633">
        <v>1.7999999999999999E-2</v>
      </c>
      <c r="AI272" s="170">
        <f ca="1">AH272*AD$4/AF272/AG272</f>
        <v>3.2914285714285708E-2</v>
      </c>
      <c r="AJ272" s="594">
        <f ca="1">ROUND(AI272*10000,0)</f>
        <v>329</v>
      </c>
      <c r="AL272" s="512">
        <v>6</v>
      </c>
      <c r="AM272" s="516" t="s">
        <v>2278</v>
      </c>
      <c r="AN272" s="529" t="s">
        <v>2452</v>
      </c>
      <c r="AO272" s="508" t="str">
        <f t="shared" ca="1" si="343"/>
        <v>T3部件</v>
      </c>
      <c r="AP272" s="508">
        <v>1</v>
      </c>
      <c r="AQ272" s="166">
        <v>8.0000000000000002E-3</v>
      </c>
      <c r="AR272" s="170" t="e">
        <f t="shared" ca="1" si="331"/>
        <v>#VALUE!</v>
      </c>
      <c r="AS272" s="508" t="e">
        <f t="shared" ca="1" si="332"/>
        <v>#VALUE!</v>
      </c>
      <c r="AU272" s="512">
        <v>6</v>
      </c>
      <c r="AV272" s="512" t="s">
        <v>2274</v>
      </c>
      <c r="AW272" s="529" t="s">
        <v>2452</v>
      </c>
      <c r="AX272" s="508" t="str">
        <f t="shared" ca="1" si="351"/>
        <v>T2部件</v>
      </c>
      <c r="AY272" s="615">
        <v>1.5</v>
      </c>
      <c r="AZ272" s="615">
        <v>7.7000000000000002E-3</v>
      </c>
      <c r="BA272" s="170" t="e">
        <f t="shared" ca="1" si="323"/>
        <v>#VALUE!</v>
      </c>
      <c r="BB272" s="508" t="e">
        <f t="shared" ca="1" si="324"/>
        <v>#VALUE!</v>
      </c>
      <c r="BD272" s="512">
        <v>6</v>
      </c>
      <c r="BE272" s="512" t="s">
        <v>2274</v>
      </c>
      <c r="BF272" s="529" t="s">
        <v>2452</v>
      </c>
      <c r="BG272" s="508" t="str">
        <f t="shared" ca="1" si="352"/>
        <v>T2部件</v>
      </c>
      <c r="BH272" s="615">
        <v>1.5</v>
      </c>
      <c r="BI272" s="615">
        <v>7.0000000000000001E-3</v>
      </c>
      <c r="BJ272" s="170" t="e">
        <f t="shared" ca="1" si="326"/>
        <v>#VALUE!</v>
      </c>
      <c r="BK272" s="279" t="e">
        <f ca="1">ROUND(BJ272*10000,0)</f>
        <v>#VALUE!</v>
      </c>
      <c r="BM272" s="512">
        <v>7</v>
      </c>
      <c r="BN272" s="527" t="s">
        <v>2286</v>
      </c>
      <c r="BO272" s="530" t="s">
        <v>2200</v>
      </c>
      <c r="BP272" s="508" t="str">
        <f t="shared" ca="1" si="328"/>
        <v>T3部件</v>
      </c>
      <c r="BQ272" s="615">
        <v>1.5</v>
      </c>
      <c r="BR272" s="600">
        <v>8.0000000000000002E-3</v>
      </c>
      <c r="BS272" s="170" t="e">
        <f t="shared" ca="1" si="329"/>
        <v>#VALUE!</v>
      </c>
      <c r="BT272" s="508" t="e">
        <f t="shared" ca="1" si="330"/>
        <v>#VALUE!</v>
      </c>
      <c r="BV272" s="525">
        <v>7</v>
      </c>
      <c r="BW272" s="527" t="s">
        <v>2281</v>
      </c>
      <c r="BX272" s="530" t="s">
        <v>2200</v>
      </c>
      <c r="BY272" s="523" t="str">
        <f t="shared" ca="1" si="342"/>
        <v>T3部件</v>
      </c>
      <c r="BZ272" s="523">
        <v>1</v>
      </c>
      <c r="CA272" s="634">
        <v>0.02</v>
      </c>
      <c r="CB272" s="170" t="e">
        <f t="shared" ca="1" si="344"/>
        <v>#VALUE!</v>
      </c>
      <c r="CC272" s="523" t="e">
        <f t="shared" ca="1" si="345"/>
        <v>#VALUE!</v>
      </c>
    </row>
    <row r="273" spans="2:82" x14ac:dyDescent="0.35">
      <c r="B273" s="512">
        <v>7</v>
      </c>
      <c r="C273" s="516" t="s">
        <v>2239</v>
      </c>
      <c r="D273" s="529" t="s">
        <v>2452</v>
      </c>
      <c r="E273" s="508">
        <f t="shared" ca="1" si="353"/>
        <v>9.4499999999999993</v>
      </c>
      <c r="F273" s="594">
        <v>2</v>
      </c>
      <c r="G273" s="594">
        <v>6.4999999999999997E-3</v>
      </c>
      <c r="H273" s="170">
        <f t="shared" ref="H273:H324" ca="1" si="364">G273*$C$4/E273/F273</f>
        <v>2.0205026455026455E-2</v>
      </c>
      <c r="I273" s="508">
        <f t="shared" ref="I273:I324" ca="1" si="365">ROUND(H273*10000,0)</f>
        <v>202</v>
      </c>
      <c r="K273" s="512">
        <v>7</v>
      </c>
      <c r="L273" s="516" t="s">
        <v>2239</v>
      </c>
      <c r="M273" s="529" t="s">
        <v>2452</v>
      </c>
      <c r="N273" s="508">
        <f t="shared" ca="1" si="356"/>
        <v>9.4499999999999993</v>
      </c>
      <c r="O273" s="565">
        <v>1</v>
      </c>
      <c r="P273" s="633">
        <v>9.4999999999999998E-3</v>
      </c>
      <c r="Q273" s="170">
        <f t="shared" ca="1" si="359"/>
        <v>4.7248677248677255E-2</v>
      </c>
      <c r="R273" s="394">
        <f t="shared" ref="R273:R278" ca="1" si="366">ROUND(Q273*10000,0)</f>
        <v>472</v>
      </c>
      <c r="T273" s="512">
        <v>7</v>
      </c>
      <c r="U273" s="516" t="s">
        <v>2239</v>
      </c>
      <c r="V273" s="529" t="s">
        <v>2452</v>
      </c>
      <c r="W273" s="508">
        <f t="shared" ca="1" si="358"/>
        <v>9.4499999999999993</v>
      </c>
      <c r="X273" s="565">
        <v>1</v>
      </c>
      <c r="Y273" s="633">
        <v>9.4999999999999998E-3</v>
      </c>
      <c r="Z273" s="170">
        <f t="shared" ca="1" si="362"/>
        <v>4.7751322751322753E-2</v>
      </c>
      <c r="AA273" s="408">
        <f t="shared" ca="1" si="363"/>
        <v>478</v>
      </c>
      <c r="AC273" s="595">
        <v>6</v>
      </c>
      <c r="AD273" s="601" t="s">
        <v>2880</v>
      </c>
      <c r="AE273" s="601" t="s">
        <v>2879</v>
      </c>
      <c r="AF273" s="594">
        <f t="shared" ca="1" si="339"/>
        <v>60</v>
      </c>
      <c r="AG273" s="594">
        <v>1</v>
      </c>
      <c r="AH273" s="633">
        <v>1.9E-2</v>
      </c>
      <c r="AI273" s="170">
        <f ca="1">AH273*AD$4/AF273/AG273</f>
        <v>2.0266666666666665E-2</v>
      </c>
      <c r="AJ273" s="594">
        <f ca="1">ROUND(AI273*10000,0)</f>
        <v>203</v>
      </c>
      <c r="AL273" s="512">
        <v>6</v>
      </c>
      <c r="AM273" s="516" t="s">
        <v>2280</v>
      </c>
      <c r="AN273" s="529" t="s">
        <v>2452</v>
      </c>
      <c r="AO273" s="508" t="str">
        <f t="shared" ca="1" si="343"/>
        <v>T3部件</v>
      </c>
      <c r="AP273" s="508">
        <v>1</v>
      </c>
      <c r="AQ273" s="166">
        <v>8.0000000000000002E-3</v>
      </c>
      <c r="AR273" s="170" t="e">
        <f t="shared" ca="1" si="331"/>
        <v>#VALUE!</v>
      </c>
      <c r="AS273" s="508" t="e">
        <f t="shared" ca="1" si="332"/>
        <v>#VALUE!</v>
      </c>
      <c r="AU273" s="512">
        <v>6</v>
      </c>
      <c r="AV273" s="516" t="s">
        <v>2259</v>
      </c>
      <c r="AW273" s="529" t="s">
        <v>2452</v>
      </c>
      <c r="AX273" s="508" t="str">
        <f t="shared" ca="1" si="351"/>
        <v>T2部件</v>
      </c>
      <c r="AY273" s="615">
        <v>1.5</v>
      </c>
      <c r="AZ273" s="615">
        <v>7.7000000000000002E-3</v>
      </c>
      <c r="BA273" s="170" t="e">
        <f t="shared" ca="1" si="323"/>
        <v>#VALUE!</v>
      </c>
      <c r="BB273" s="508" t="e">
        <f t="shared" ca="1" si="324"/>
        <v>#VALUE!</v>
      </c>
      <c r="BD273" s="512">
        <v>6</v>
      </c>
      <c r="BE273" s="516" t="s">
        <v>2259</v>
      </c>
      <c r="BF273" s="529" t="s">
        <v>2452</v>
      </c>
      <c r="BG273" s="508" t="str">
        <f t="shared" ca="1" si="352"/>
        <v>T2部件</v>
      </c>
      <c r="BH273" s="615">
        <v>1.5</v>
      </c>
      <c r="BI273" s="615">
        <v>7.0000000000000001E-3</v>
      </c>
      <c r="BJ273" s="170" t="e">
        <f t="shared" ref="BJ273:BJ290" ca="1" si="367">BI273*BE$4/BG273/BH273</f>
        <v>#VALUE!</v>
      </c>
      <c r="BK273" s="508" t="e">
        <f t="shared" ref="BK273:BK290" ca="1" si="368">ROUND(BJ273*10000,0)</f>
        <v>#VALUE!</v>
      </c>
      <c r="BM273" s="512">
        <v>7</v>
      </c>
      <c r="BN273" s="527" t="s">
        <v>2288</v>
      </c>
      <c r="BO273" s="530" t="s">
        <v>2200</v>
      </c>
      <c r="BP273" s="508" t="str">
        <f t="shared" ca="1" si="328"/>
        <v>T3部件</v>
      </c>
      <c r="BQ273" s="615">
        <v>1.5</v>
      </c>
      <c r="BR273" s="600">
        <v>8.0000000000000002E-3</v>
      </c>
      <c r="BS273" s="170" t="e">
        <f t="shared" ca="1" si="329"/>
        <v>#VALUE!</v>
      </c>
      <c r="BT273" s="508" t="e">
        <f t="shared" ca="1" si="330"/>
        <v>#VALUE!</v>
      </c>
      <c r="BV273" s="525">
        <v>7</v>
      </c>
      <c r="BW273" s="527" t="s">
        <v>2283</v>
      </c>
      <c r="BX273" s="530" t="s">
        <v>2200</v>
      </c>
      <c r="BY273" s="523" t="str">
        <f t="shared" ca="1" si="342"/>
        <v>T3部件</v>
      </c>
      <c r="BZ273" s="525">
        <v>1</v>
      </c>
      <c r="CA273" s="634">
        <v>0.02</v>
      </c>
      <c r="CB273" s="170" t="e">
        <f t="shared" ca="1" si="344"/>
        <v>#VALUE!</v>
      </c>
      <c r="CC273" s="523" t="e">
        <f t="shared" ca="1" si="345"/>
        <v>#VALUE!</v>
      </c>
    </row>
    <row r="274" spans="2:82" x14ac:dyDescent="0.35">
      <c r="B274" s="512">
        <v>7</v>
      </c>
      <c r="C274" s="516" t="s">
        <v>2242</v>
      </c>
      <c r="D274" s="529" t="s">
        <v>2452</v>
      </c>
      <c r="E274" s="508">
        <f t="shared" ca="1" si="353"/>
        <v>9.4499999999999993</v>
      </c>
      <c r="F274" s="594">
        <v>2</v>
      </c>
      <c r="G274" s="594">
        <v>6.4999999999999997E-3</v>
      </c>
      <c r="H274" s="170">
        <f t="shared" ca="1" si="364"/>
        <v>2.0205026455026455E-2</v>
      </c>
      <c r="I274" s="508">
        <f t="shared" ca="1" si="365"/>
        <v>202</v>
      </c>
      <c r="K274" s="512">
        <v>7</v>
      </c>
      <c r="L274" s="516" t="s">
        <v>2242</v>
      </c>
      <c r="M274" s="529" t="s">
        <v>2452</v>
      </c>
      <c r="N274" s="508">
        <f t="shared" ca="1" si="356"/>
        <v>9.4499999999999993</v>
      </c>
      <c r="O274" s="565">
        <v>1</v>
      </c>
      <c r="P274" s="633">
        <v>9.4999999999999998E-3</v>
      </c>
      <c r="Q274" s="170">
        <f t="shared" ca="1" si="359"/>
        <v>4.7248677248677255E-2</v>
      </c>
      <c r="R274" s="394">
        <f t="shared" ca="1" si="366"/>
        <v>472</v>
      </c>
      <c r="T274" s="512">
        <v>7</v>
      </c>
      <c r="U274" s="516" t="s">
        <v>2242</v>
      </c>
      <c r="V274" s="529" t="s">
        <v>2452</v>
      </c>
      <c r="W274" s="508">
        <f t="shared" ca="1" si="358"/>
        <v>9.4499999999999993</v>
      </c>
      <c r="X274" s="565">
        <v>1</v>
      </c>
      <c r="Y274" s="633">
        <v>9.4999999999999998E-3</v>
      </c>
      <c r="Z274" s="170">
        <f t="shared" ca="1" si="362"/>
        <v>4.7751322751322753E-2</v>
      </c>
      <c r="AA274" s="408">
        <f t="shared" ca="1" si="363"/>
        <v>478</v>
      </c>
      <c r="AL274" s="512">
        <v>6</v>
      </c>
      <c r="AM274" s="516" t="s">
        <v>2282</v>
      </c>
      <c r="AN274" s="529" t="s">
        <v>2452</v>
      </c>
      <c r="AO274" s="508" t="str">
        <f t="shared" ca="1" si="343"/>
        <v>T3部件</v>
      </c>
      <c r="AP274" s="508">
        <v>1</v>
      </c>
      <c r="AQ274" s="166">
        <v>8.0000000000000002E-3</v>
      </c>
      <c r="AR274" s="170" t="e">
        <f t="shared" ca="1" si="331"/>
        <v>#VALUE!</v>
      </c>
      <c r="AS274" s="508" t="e">
        <f t="shared" ca="1" si="332"/>
        <v>#VALUE!</v>
      </c>
      <c r="AU274" s="512">
        <v>6</v>
      </c>
      <c r="AV274" s="516" t="s">
        <v>2261</v>
      </c>
      <c r="AW274" s="529" t="s">
        <v>2452</v>
      </c>
      <c r="AX274" s="508" t="str">
        <f t="shared" ca="1" si="351"/>
        <v>T2部件</v>
      </c>
      <c r="AY274" s="615">
        <v>1.5</v>
      </c>
      <c r="AZ274" s="615">
        <v>7.7000000000000002E-3</v>
      </c>
      <c r="BA274" s="170" t="e">
        <f t="shared" ca="1" si="323"/>
        <v>#VALUE!</v>
      </c>
      <c r="BB274" s="508" t="e">
        <f t="shared" ca="1" si="324"/>
        <v>#VALUE!</v>
      </c>
      <c r="BD274" s="512">
        <v>6</v>
      </c>
      <c r="BE274" s="516" t="s">
        <v>2261</v>
      </c>
      <c r="BF274" s="529" t="s">
        <v>2452</v>
      </c>
      <c r="BG274" s="508" t="str">
        <f t="shared" ca="1" si="352"/>
        <v>T2部件</v>
      </c>
      <c r="BH274" s="615">
        <v>1.5</v>
      </c>
      <c r="BI274" s="615">
        <v>7.0000000000000001E-3</v>
      </c>
      <c r="BJ274" s="170" t="e">
        <f t="shared" ca="1" si="367"/>
        <v>#VALUE!</v>
      </c>
      <c r="BK274" s="508" t="e">
        <f t="shared" ca="1" si="368"/>
        <v>#VALUE!</v>
      </c>
      <c r="BM274" s="512">
        <v>7</v>
      </c>
      <c r="BN274" s="525" t="s">
        <v>2290</v>
      </c>
      <c r="BO274" s="530" t="s">
        <v>2200</v>
      </c>
      <c r="BP274" s="508" t="str">
        <f t="shared" ca="1" si="328"/>
        <v>T3部件</v>
      </c>
      <c r="BQ274" s="615">
        <v>1.5</v>
      </c>
      <c r="BR274" s="600">
        <v>8.0000000000000002E-3</v>
      </c>
      <c r="BS274" s="170" t="e">
        <f t="shared" ca="1" si="329"/>
        <v>#VALUE!</v>
      </c>
      <c r="BT274" s="508" t="e">
        <f t="shared" ca="1" si="330"/>
        <v>#VALUE!</v>
      </c>
      <c r="BV274" s="525">
        <v>7</v>
      </c>
      <c r="BW274" s="527" t="s">
        <v>2285</v>
      </c>
      <c r="BX274" s="530" t="s">
        <v>2200</v>
      </c>
      <c r="BY274" s="523" t="str">
        <f t="shared" ca="1" si="342"/>
        <v>T3部件</v>
      </c>
      <c r="BZ274" s="523">
        <v>1</v>
      </c>
      <c r="CA274" s="634">
        <v>0.02</v>
      </c>
      <c r="CB274" s="170" t="e">
        <f t="shared" ca="1" si="344"/>
        <v>#VALUE!</v>
      </c>
      <c r="CC274" s="523" t="e">
        <f t="shared" ca="1" si="345"/>
        <v>#VALUE!</v>
      </c>
    </row>
    <row r="275" spans="2:82" x14ac:dyDescent="0.35">
      <c r="B275" s="512">
        <v>7</v>
      </c>
      <c r="C275" s="516" t="s">
        <v>2244</v>
      </c>
      <c r="D275" s="529" t="s">
        <v>2452</v>
      </c>
      <c r="E275" s="508">
        <f t="shared" ca="1" si="353"/>
        <v>9.4499999999999993</v>
      </c>
      <c r="F275" s="594">
        <v>2</v>
      </c>
      <c r="G275" s="594">
        <v>6.4999999999999997E-3</v>
      </c>
      <c r="H275" s="170">
        <f t="shared" ca="1" si="364"/>
        <v>2.0205026455026455E-2</v>
      </c>
      <c r="I275" s="508">
        <f t="shared" ca="1" si="365"/>
        <v>202</v>
      </c>
      <c r="K275" s="512">
        <v>7</v>
      </c>
      <c r="L275" s="516" t="s">
        <v>2244</v>
      </c>
      <c r="M275" s="529" t="s">
        <v>2452</v>
      </c>
      <c r="N275" s="508">
        <f t="shared" ca="1" si="356"/>
        <v>9.4499999999999993</v>
      </c>
      <c r="O275" s="565">
        <v>1</v>
      </c>
      <c r="P275" s="633">
        <v>9.4999999999999998E-3</v>
      </c>
      <c r="Q275" s="170">
        <f ca="1">P275*L$4/N275/O275</f>
        <v>4.7248677248677255E-2</v>
      </c>
      <c r="R275" s="279">
        <f t="shared" ca="1" si="366"/>
        <v>472</v>
      </c>
      <c r="T275" s="512">
        <v>7</v>
      </c>
      <c r="U275" s="516" t="s">
        <v>2244</v>
      </c>
      <c r="V275" s="529" t="s">
        <v>2452</v>
      </c>
      <c r="W275" s="508">
        <f t="shared" ca="1" si="358"/>
        <v>9.4499999999999993</v>
      </c>
      <c r="X275" s="565">
        <v>1</v>
      </c>
      <c r="Y275" s="633">
        <v>9.4999999999999998E-3</v>
      </c>
      <c r="Z275" s="170">
        <f t="shared" ca="1" si="362"/>
        <v>4.7751322751322753E-2</v>
      </c>
      <c r="AA275" s="408">
        <f t="shared" ca="1" si="363"/>
        <v>478</v>
      </c>
      <c r="AL275" s="512">
        <v>6</v>
      </c>
      <c r="AM275" s="516" t="s">
        <v>2284</v>
      </c>
      <c r="AN275" s="529" t="s">
        <v>2452</v>
      </c>
      <c r="AO275" s="508" t="str">
        <f t="shared" ca="1" si="343"/>
        <v>T3部件</v>
      </c>
      <c r="AP275" s="508">
        <v>1</v>
      </c>
      <c r="AQ275" s="166">
        <v>8.0000000000000002E-3</v>
      </c>
      <c r="AR275" s="170" t="e">
        <f t="shared" ca="1" si="331"/>
        <v>#VALUE!</v>
      </c>
      <c r="AS275" s="508" t="e">
        <f t="shared" ca="1" si="332"/>
        <v>#VALUE!</v>
      </c>
      <c r="AU275" s="512">
        <v>6</v>
      </c>
      <c r="AV275" s="516" t="s">
        <v>2263</v>
      </c>
      <c r="AW275" s="529" t="s">
        <v>2452</v>
      </c>
      <c r="AX275" s="508" t="str">
        <f t="shared" ca="1" si="351"/>
        <v>T2部件</v>
      </c>
      <c r="AY275" s="615">
        <v>1.5</v>
      </c>
      <c r="AZ275" s="615">
        <v>7.7000000000000002E-3</v>
      </c>
      <c r="BA275" s="170" t="e">
        <f t="shared" ca="1" si="323"/>
        <v>#VALUE!</v>
      </c>
      <c r="BB275" s="508" t="e">
        <f t="shared" ca="1" si="324"/>
        <v>#VALUE!</v>
      </c>
      <c r="BD275" s="512">
        <v>6</v>
      </c>
      <c r="BE275" s="516" t="s">
        <v>2263</v>
      </c>
      <c r="BF275" s="529" t="s">
        <v>2452</v>
      </c>
      <c r="BG275" s="508" t="str">
        <f t="shared" ca="1" si="352"/>
        <v>T2部件</v>
      </c>
      <c r="BH275" s="615">
        <v>1.5</v>
      </c>
      <c r="BI275" s="615">
        <v>7.0000000000000001E-3</v>
      </c>
      <c r="BJ275" s="170" t="e">
        <f t="shared" ca="1" si="367"/>
        <v>#VALUE!</v>
      </c>
      <c r="BK275" s="508" t="e">
        <f t="shared" ca="1" si="368"/>
        <v>#VALUE!</v>
      </c>
      <c r="BM275" s="512">
        <v>7</v>
      </c>
      <c r="BN275" s="525" t="s">
        <v>2292</v>
      </c>
      <c r="BO275" s="530" t="s">
        <v>2200</v>
      </c>
      <c r="BP275" s="508" t="str">
        <f t="shared" ca="1" si="328"/>
        <v>T3部件</v>
      </c>
      <c r="BQ275" s="615">
        <v>1.5</v>
      </c>
      <c r="BR275" s="600">
        <v>8.0000000000000002E-3</v>
      </c>
      <c r="BS275" s="170" t="e">
        <f t="shared" ca="1" si="329"/>
        <v>#VALUE!</v>
      </c>
      <c r="BT275" s="508" t="e">
        <f t="shared" ca="1" si="330"/>
        <v>#VALUE!</v>
      </c>
      <c r="BV275" s="525">
        <v>7</v>
      </c>
      <c r="BW275" s="527" t="s">
        <v>2287</v>
      </c>
      <c r="BX275" s="530" t="s">
        <v>2200</v>
      </c>
      <c r="BY275" s="523" t="str">
        <f t="shared" ca="1" si="342"/>
        <v>T3部件</v>
      </c>
      <c r="BZ275" s="525">
        <v>1</v>
      </c>
      <c r="CA275" s="634">
        <v>0.02</v>
      </c>
      <c r="CB275" s="170" t="e">
        <f t="shared" ca="1" si="315"/>
        <v>#VALUE!</v>
      </c>
      <c r="CC275" s="290" t="e">
        <f t="shared" ca="1" si="316"/>
        <v>#VALUE!</v>
      </c>
    </row>
    <row r="276" spans="2:82" x14ac:dyDescent="0.35">
      <c r="B276" s="512">
        <v>7</v>
      </c>
      <c r="C276" s="516" t="s">
        <v>2246</v>
      </c>
      <c r="D276" s="529" t="s">
        <v>2452</v>
      </c>
      <c r="E276" s="508">
        <f t="shared" ca="1" si="353"/>
        <v>9.4499999999999993</v>
      </c>
      <c r="F276" s="594">
        <v>2</v>
      </c>
      <c r="G276" s="594">
        <v>6.4999999999999997E-3</v>
      </c>
      <c r="H276" s="170">
        <f t="shared" ca="1" si="364"/>
        <v>2.0205026455026455E-2</v>
      </c>
      <c r="I276" s="508">
        <f t="shared" ca="1" si="365"/>
        <v>202</v>
      </c>
      <c r="K276" s="512">
        <v>7</v>
      </c>
      <c r="L276" s="516" t="s">
        <v>2246</v>
      </c>
      <c r="M276" s="529" t="s">
        <v>2452</v>
      </c>
      <c r="N276" s="508">
        <f t="shared" ca="1" si="356"/>
        <v>9.4499999999999993</v>
      </c>
      <c r="O276" s="565">
        <v>1</v>
      </c>
      <c r="P276" s="633">
        <v>9.4999999999999998E-3</v>
      </c>
      <c r="Q276" s="170">
        <f ca="1">P276*L$4/N276/O276</f>
        <v>4.7248677248677255E-2</v>
      </c>
      <c r="R276" s="279">
        <f t="shared" ca="1" si="366"/>
        <v>472</v>
      </c>
      <c r="T276" s="512">
        <v>7</v>
      </c>
      <c r="U276" s="516" t="s">
        <v>2246</v>
      </c>
      <c r="V276" s="529" t="s">
        <v>2452</v>
      </c>
      <c r="W276" s="508">
        <f t="shared" ca="1" si="358"/>
        <v>9.4499999999999993</v>
      </c>
      <c r="X276" s="565">
        <v>1</v>
      </c>
      <c r="Y276" s="633">
        <v>9.4999999999999998E-3</v>
      </c>
      <c r="Z276" s="170">
        <f t="shared" ca="1" si="362"/>
        <v>4.7751322751322753E-2</v>
      </c>
      <c r="AA276" s="408">
        <f t="shared" ca="1" si="363"/>
        <v>478</v>
      </c>
      <c r="AC276" s="512" t="s">
        <v>597</v>
      </c>
      <c r="AD276" s="512" t="s">
        <v>1225</v>
      </c>
      <c r="AE276" s="513" t="s">
        <v>917</v>
      </c>
      <c r="AF276" s="166" t="s">
        <v>920</v>
      </c>
      <c r="AG276" s="398" t="s">
        <v>967</v>
      </c>
      <c r="AH276" s="166" t="s">
        <v>854</v>
      </c>
      <c r="AI276" s="166" t="s">
        <v>926</v>
      </c>
      <c r="AJ276" s="281" t="s">
        <v>927</v>
      </c>
      <c r="AK276" s="300" t="e">
        <f ca="1">SUM(AJ277:AJ338)</f>
        <v>#VALUE!</v>
      </c>
      <c r="AL276" s="512">
        <v>6</v>
      </c>
      <c r="AM276" s="516" t="s">
        <v>2286</v>
      </c>
      <c r="AN276" s="529" t="s">
        <v>2452</v>
      </c>
      <c r="AO276" s="508" t="str">
        <f t="shared" ca="1" si="343"/>
        <v>T3部件</v>
      </c>
      <c r="AP276" s="508">
        <v>1</v>
      </c>
      <c r="AQ276" s="166">
        <v>8.0000000000000002E-3</v>
      </c>
      <c r="AR276" s="170" t="e">
        <f t="shared" ca="1" si="331"/>
        <v>#VALUE!</v>
      </c>
      <c r="AS276" s="508" t="e">
        <f t="shared" ca="1" si="332"/>
        <v>#VALUE!</v>
      </c>
      <c r="AU276" s="512">
        <v>6</v>
      </c>
      <c r="AV276" s="516" t="s">
        <v>2265</v>
      </c>
      <c r="AW276" s="529" t="s">
        <v>2452</v>
      </c>
      <c r="AX276" s="508" t="str">
        <f t="shared" ca="1" si="351"/>
        <v>T2部件</v>
      </c>
      <c r="AY276" s="615">
        <v>1.5</v>
      </c>
      <c r="AZ276" s="615">
        <v>7.7000000000000002E-3</v>
      </c>
      <c r="BA276" s="170" t="e">
        <f t="shared" ca="1" si="323"/>
        <v>#VALUE!</v>
      </c>
      <c r="BB276" s="508" t="e">
        <f t="shared" ca="1" si="324"/>
        <v>#VALUE!</v>
      </c>
      <c r="BD276" s="512">
        <v>6</v>
      </c>
      <c r="BE276" s="516" t="s">
        <v>2265</v>
      </c>
      <c r="BF276" s="529" t="s">
        <v>2452</v>
      </c>
      <c r="BG276" s="508" t="str">
        <f t="shared" ca="1" si="352"/>
        <v>T2部件</v>
      </c>
      <c r="BH276" s="615">
        <v>1.5</v>
      </c>
      <c r="BI276" s="615">
        <v>7.0000000000000001E-3</v>
      </c>
      <c r="BJ276" s="170" t="e">
        <f t="shared" ca="1" si="367"/>
        <v>#VALUE!</v>
      </c>
      <c r="BK276" s="508" t="e">
        <f t="shared" ca="1" si="368"/>
        <v>#VALUE!</v>
      </c>
      <c r="BM276" s="512">
        <v>7</v>
      </c>
      <c r="BN276" s="527" t="s">
        <v>2277</v>
      </c>
      <c r="BO276" s="530" t="s">
        <v>2200</v>
      </c>
      <c r="BP276" s="508" t="str">
        <f t="shared" ca="1" si="328"/>
        <v>T3部件</v>
      </c>
      <c r="BQ276" s="615">
        <v>1.5</v>
      </c>
      <c r="BR276" s="600">
        <v>8.0000000000000002E-3</v>
      </c>
      <c r="BS276" s="170" t="e">
        <f t="shared" ref="BS276:BS284" ca="1" si="369">BR276*BN$4/BP276/BQ276</f>
        <v>#VALUE!</v>
      </c>
      <c r="BT276" s="523" t="e">
        <f t="shared" ref="BT276:BT284" ca="1" si="370">ROUND(BS276*10000,0)</f>
        <v>#VALUE!</v>
      </c>
      <c r="BV276" s="396">
        <v>7</v>
      </c>
      <c r="BW276" s="527" t="s">
        <v>2289</v>
      </c>
      <c r="BX276" s="530" t="s">
        <v>2200</v>
      </c>
      <c r="BY276" s="523" t="str">
        <f t="shared" ca="1" si="342"/>
        <v>T3部件</v>
      </c>
      <c r="BZ276" s="523">
        <v>1</v>
      </c>
      <c r="CA276" s="634">
        <v>0.02</v>
      </c>
      <c r="CB276" s="170" t="e">
        <f t="shared" ca="1" si="315"/>
        <v>#VALUE!</v>
      </c>
      <c r="CC276" s="290" t="e">
        <f t="shared" ca="1" si="316"/>
        <v>#VALUE!</v>
      </c>
    </row>
    <row r="277" spans="2:82" x14ac:dyDescent="0.35">
      <c r="B277" s="512">
        <v>7</v>
      </c>
      <c r="C277" s="516" t="s">
        <v>2248</v>
      </c>
      <c r="D277" s="529" t="s">
        <v>2452</v>
      </c>
      <c r="E277" s="508">
        <f t="shared" ca="1" si="353"/>
        <v>9.4499999999999993</v>
      </c>
      <c r="F277" s="594">
        <v>2</v>
      </c>
      <c r="G277" s="594">
        <v>6.4999999999999997E-3</v>
      </c>
      <c r="H277" s="170">
        <f t="shared" ca="1" si="364"/>
        <v>2.0205026455026455E-2</v>
      </c>
      <c r="I277" s="508">
        <f t="shared" ca="1" si="365"/>
        <v>202</v>
      </c>
      <c r="K277" s="512">
        <v>7</v>
      </c>
      <c r="L277" s="516" t="s">
        <v>2248</v>
      </c>
      <c r="M277" s="529" t="s">
        <v>2452</v>
      </c>
      <c r="N277" s="508">
        <f t="shared" ca="1" si="356"/>
        <v>9.4499999999999993</v>
      </c>
      <c r="O277" s="565">
        <v>1</v>
      </c>
      <c r="P277" s="633">
        <v>9.4999999999999998E-3</v>
      </c>
      <c r="Q277" s="170">
        <f ca="1">P277*L$4/N277/O277</f>
        <v>4.7248677248677255E-2</v>
      </c>
      <c r="R277" s="279">
        <f t="shared" ca="1" si="366"/>
        <v>472</v>
      </c>
      <c r="T277" s="512">
        <v>7</v>
      </c>
      <c r="U277" s="516" t="s">
        <v>2248</v>
      </c>
      <c r="V277" s="529" t="s">
        <v>2452</v>
      </c>
      <c r="W277" s="508">
        <f t="shared" ca="1" si="358"/>
        <v>9.4499999999999993</v>
      </c>
      <c r="X277" s="565">
        <v>1</v>
      </c>
      <c r="Y277" s="633">
        <v>9.4999999999999998E-3</v>
      </c>
      <c r="Z277" s="170">
        <f ca="1">Y277*U$4/W277/X277</f>
        <v>4.7751322751322753E-2</v>
      </c>
      <c r="AA277" s="279">
        <f ca="1">ROUND(Z277*10000,0)</f>
        <v>478</v>
      </c>
      <c r="AC277" s="512">
        <v>7</v>
      </c>
      <c r="AD277" s="516" t="s">
        <v>618</v>
      </c>
      <c r="AE277" s="512" t="s">
        <v>1211</v>
      </c>
      <c r="AF277" s="508">
        <f t="shared" ref="AF277:AF308" ca="1" si="371">IF(AE277="部件",VLOOKUP(AC277,INDIRECT(AE277&amp;"价值"),MATCH(LEFT(AD277,2)&amp;"部件",INDIRECT(AE277&amp;"价值标头"),0),FALSE),IF(AE277="加速道具",VLOOKUP(AD277,INDIRECT(AE277&amp;"价值"),MATCH("价格",INDIRECT(AE277&amp;"价值标头"),0),FALSE),VLOOKUP(AC277,INDIRECT(AE277&amp;"价值"),MATCH(AD277,INDIRECT(AE277&amp;"价值标头"),0),FALSE)))</f>
        <v>52.8</v>
      </c>
      <c r="AG277" s="394">
        <v>2</v>
      </c>
      <c r="AH277" s="508">
        <f>宝箱设定!$X134</f>
        <v>0.13139999999999999</v>
      </c>
      <c r="AI277" s="170">
        <f ca="1">AH277*AD$4/AF277/AG277</f>
        <v>7.963636363636363E-2</v>
      </c>
      <c r="AJ277" s="279">
        <f ca="1">ROUND(AI277*10000,0)</f>
        <v>796</v>
      </c>
      <c r="AL277" s="512">
        <v>6</v>
      </c>
      <c r="AM277" s="516" t="s">
        <v>2288</v>
      </c>
      <c r="AN277" s="529" t="s">
        <v>2452</v>
      </c>
      <c r="AO277" s="508" t="str">
        <f t="shared" ca="1" si="343"/>
        <v>T3部件</v>
      </c>
      <c r="AP277" s="508">
        <v>1</v>
      </c>
      <c r="AQ277" s="166">
        <v>8.0000000000000002E-3</v>
      </c>
      <c r="AR277" s="170" t="e">
        <f t="shared" ref="AR277:AR283" ca="1" si="372">AQ277*AM$4/AO277/AP277</f>
        <v>#VALUE!</v>
      </c>
      <c r="AS277" s="279" t="e">
        <f t="shared" ref="AS277:AS283" ca="1" si="373">ROUND(AR277*10000,0)</f>
        <v>#VALUE!</v>
      </c>
      <c r="AU277" s="512">
        <v>6</v>
      </c>
      <c r="AV277" s="516" t="s">
        <v>2267</v>
      </c>
      <c r="AW277" s="529" t="s">
        <v>2452</v>
      </c>
      <c r="AX277" s="508" t="str">
        <f t="shared" ca="1" si="351"/>
        <v>T2部件</v>
      </c>
      <c r="AY277" s="615">
        <v>1.5</v>
      </c>
      <c r="AZ277" s="615">
        <v>7.7000000000000002E-3</v>
      </c>
      <c r="BA277" s="170" t="e">
        <f t="shared" ca="1" si="323"/>
        <v>#VALUE!</v>
      </c>
      <c r="BB277" s="508" t="e">
        <f t="shared" ca="1" si="324"/>
        <v>#VALUE!</v>
      </c>
      <c r="BD277" s="512">
        <v>6</v>
      </c>
      <c r="BE277" s="516" t="s">
        <v>2267</v>
      </c>
      <c r="BF277" s="529" t="s">
        <v>2452</v>
      </c>
      <c r="BG277" s="508" t="str">
        <f t="shared" ca="1" si="352"/>
        <v>T2部件</v>
      </c>
      <c r="BH277" s="615">
        <v>1.5</v>
      </c>
      <c r="BI277" s="615">
        <v>7.0000000000000001E-3</v>
      </c>
      <c r="BJ277" s="170" t="e">
        <f t="shared" ca="1" si="367"/>
        <v>#VALUE!</v>
      </c>
      <c r="BK277" s="508" t="e">
        <f t="shared" ca="1" si="368"/>
        <v>#VALUE!</v>
      </c>
      <c r="BM277" s="512">
        <v>7</v>
      </c>
      <c r="BN277" s="527" t="s">
        <v>2279</v>
      </c>
      <c r="BO277" s="530" t="s">
        <v>2200</v>
      </c>
      <c r="BP277" s="508" t="str">
        <f t="shared" ca="1" si="328"/>
        <v>T3部件</v>
      </c>
      <c r="BQ277" s="615">
        <v>1.5</v>
      </c>
      <c r="BR277" s="600">
        <v>7.0000000000000001E-3</v>
      </c>
      <c r="BS277" s="170" t="e">
        <f t="shared" ca="1" si="369"/>
        <v>#VALUE!</v>
      </c>
      <c r="BT277" s="523" t="e">
        <f t="shared" ca="1" si="370"/>
        <v>#VALUE!</v>
      </c>
      <c r="BV277" s="396">
        <v>7</v>
      </c>
      <c r="BW277" s="525" t="s">
        <v>2291</v>
      </c>
      <c r="BX277" s="530" t="s">
        <v>2200</v>
      </c>
      <c r="BY277" s="523" t="str">
        <f t="shared" ca="1" si="342"/>
        <v>T3部件</v>
      </c>
      <c r="BZ277" s="525">
        <v>1</v>
      </c>
      <c r="CA277" s="634">
        <v>0.02</v>
      </c>
      <c r="CB277" s="170" t="e">
        <f t="shared" ca="1" si="315"/>
        <v>#VALUE!</v>
      </c>
      <c r="CC277" s="290" t="e">
        <f t="shared" ca="1" si="316"/>
        <v>#VALUE!</v>
      </c>
    </row>
    <row r="278" spans="2:82" x14ac:dyDescent="0.35">
      <c r="B278" s="512">
        <v>7</v>
      </c>
      <c r="C278" s="516" t="s">
        <v>2250</v>
      </c>
      <c r="D278" s="529" t="s">
        <v>2452</v>
      </c>
      <c r="E278" s="508">
        <f t="shared" ca="1" si="353"/>
        <v>9.4499999999999993</v>
      </c>
      <c r="F278" s="594">
        <v>2</v>
      </c>
      <c r="G278" s="594">
        <v>6.4999999999999997E-3</v>
      </c>
      <c r="H278" s="170">
        <f t="shared" ca="1" si="364"/>
        <v>2.0205026455026455E-2</v>
      </c>
      <c r="I278" s="508">
        <f t="shared" ca="1" si="365"/>
        <v>202</v>
      </c>
      <c r="K278" s="512">
        <v>7</v>
      </c>
      <c r="L278" s="516" t="s">
        <v>2250</v>
      </c>
      <c r="M278" s="529" t="s">
        <v>2452</v>
      </c>
      <c r="N278" s="508">
        <f t="shared" ca="1" si="356"/>
        <v>9.4499999999999993</v>
      </c>
      <c r="O278" s="565">
        <v>1</v>
      </c>
      <c r="P278" s="633">
        <v>9.4999999999999998E-3</v>
      </c>
      <c r="Q278" s="170">
        <f ca="1">P278*L$4/N278/O278</f>
        <v>4.7248677248677255E-2</v>
      </c>
      <c r="R278" s="279">
        <f t="shared" ca="1" si="366"/>
        <v>472</v>
      </c>
      <c r="T278" s="512">
        <v>7</v>
      </c>
      <c r="U278" s="516" t="s">
        <v>2250</v>
      </c>
      <c r="V278" s="529" t="s">
        <v>2452</v>
      </c>
      <c r="W278" s="508">
        <f t="shared" ca="1" si="358"/>
        <v>9.4499999999999993</v>
      </c>
      <c r="X278" s="565">
        <v>1</v>
      </c>
      <c r="Y278" s="633">
        <v>9.4999999999999998E-3</v>
      </c>
      <c r="Z278" s="170">
        <f ca="1">Y278*U$4/W278/X278</f>
        <v>4.7751322751322753E-2</v>
      </c>
      <c r="AA278" s="279">
        <f ca="1">ROUND(Z278*10000,0)</f>
        <v>478</v>
      </c>
      <c r="AC278" s="512">
        <v>7</v>
      </c>
      <c r="AD278" s="516" t="s">
        <v>627</v>
      </c>
      <c r="AE278" s="512" t="s">
        <v>1211</v>
      </c>
      <c r="AF278" s="508">
        <f t="shared" ca="1" si="371"/>
        <v>52.8</v>
      </c>
      <c r="AG278" s="565">
        <v>2</v>
      </c>
      <c r="AH278" s="508">
        <f>宝箱设定!$X135</f>
        <v>0.13139999999999999</v>
      </c>
      <c r="AI278" s="170">
        <f t="shared" ref="AI278:AI283" ca="1" si="374">AH278*AD$4/AF278/AG278</f>
        <v>7.963636363636363E-2</v>
      </c>
      <c r="AJ278" s="394">
        <f t="shared" ref="AJ278:AJ283" ca="1" si="375">ROUND(AI278*10000,0)</f>
        <v>796</v>
      </c>
      <c r="AL278" s="512">
        <v>6</v>
      </c>
      <c r="AM278" s="512" t="s">
        <v>2290</v>
      </c>
      <c r="AN278" s="529" t="s">
        <v>2452</v>
      </c>
      <c r="AO278" s="508" t="str">
        <f t="shared" ca="1" si="343"/>
        <v>T3部件</v>
      </c>
      <c r="AP278" s="508">
        <v>1</v>
      </c>
      <c r="AQ278" s="166">
        <v>8.0000000000000002E-3</v>
      </c>
      <c r="AR278" s="170" t="e">
        <f t="shared" ca="1" si="372"/>
        <v>#VALUE!</v>
      </c>
      <c r="AS278" s="279" t="e">
        <f t="shared" ca="1" si="373"/>
        <v>#VALUE!</v>
      </c>
      <c r="AU278" s="512">
        <v>6</v>
      </c>
      <c r="AV278" s="516" t="s">
        <v>2269</v>
      </c>
      <c r="AW278" s="529" t="s">
        <v>2452</v>
      </c>
      <c r="AX278" s="508" t="str">
        <f t="shared" ca="1" si="351"/>
        <v>T2部件</v>
      </c>
      <c r="AY278" s="615">
        <v>1.5</v>
      </c>
      <c r="AZ278" s="615">
        <v>7.7000000000000002E-3</v>
      </c>
      <c r="BA278" s="170" t="e">
        <f t="shared" ca="1" si="323"/>
        <v>#VALUE!</v>
      </c>
      <c r="BB278" s="508" t="e">
        <f t="shared" ca="1" si="324"/>
        <v>#VALUE!</v>
      </c>
      <c r="BD278" s="512">
        <v>6</v>
      </c>
      <c r="BE278" s="516" t="s">
        <v>2269</v>
      </c>
      <c r="BF278" s="529" t="s">
        <v>2452</v>
      </c>
      <c r="BG278" s="508" t="str">
        <f t="shared" ca="1" si="352"/>
        <v>T2部件</v>
      </c>
      <c r="BH278" s="615">
        <v>1.5</v>
      </c>
      <c r="BI278" s="615">
        <v>7.0000000000000001E-3</v>
      </c>
      <c r="BJ278" s="170" t="e">
        <f t="shared" ca="1" si="367"/>
        <v>#VALUE!</v>
      </c>
      <c r="BK278" s="508" t="e">
        <f t="shared" ca="1" si="368"/>
        <v>#VALUE!</v>
      </c>
      <c r="BM278" s="512">
        <v>7</v>
      </c>
      <c r="BN278" s="527" t="s">
        <v>2281</v>
      </c>
      <c r="BO278" s="530" t="s">
        <v>2200</v>
      </c>
      <c r="BP278" s="508" t="str">
        <f t="shared" ca="1" si="328"/>
        <v>T3部件</v>
      </c>
      <c r="BQ278" s="615">
        <v>1.5</v>
      </c>
      <c r="BR278" s="600">
        <v>7.0000000000000001E-3</v>
      </c>
      <c r="BS278" s="170" t="e">
        <f t="shared" ca="1" si="369"/>
        <v>#VALUE!</v>
      </c>
      <c r="BT278" s="523" t="e">
        <f t="shared" ca="1" si="370"/>
        <v>#VALUE!</v>
      </c>
      <c r="BV278" s="396">
        <v>7</v>
      </c>
      <c r="BW278" s="525" t="s">
        <v>2293</v>
      </c>
      <c r="BX278" s="530" t="s">
        <v>2200</v>
      </c>
      <c r="BY278" s="523" t="str">
        <f t="shared" ca="1" si="342"/>
        <v>T3部件</v>
      </c>
      <c r="BZ278" s="523">
        <v>1</v>
      </c>
      <c r="CA278" s="634">
        <v>0.02</v>
      </c>
      <c r="CB278" s="170" t="e">
        <f t="shared" ca="1" si="315"/>
        <v>#VALUE!</v>
      </c>
      <c r="CC278" s="290" t="e">
        <f t="shared" ca="1" si="316"/>
        <v>#VALUE!</v>
      </c>
    </row>
    <row r="279" spans="2:82" x14ac:dyDescent="0.35">
      <c r="B279" s="512">
        <v>7</v>
      </c>
      <c r="C279" s="516" t="s">
        <v>2252</v>
      </c>
      <c r="D279" s="529" t="s">
        <v>2452</v>
      </c>
      <c r="E279" s="508">
        <f t="shared" ca="1" si="353"/>
        <v>9.4499999999999993</v>
      </c>
      <c r="F279" s="594">
        <v>2</v>
      </c>
      <c r="G279" s="594">
        <v>6.4999999999999997E-3</v>
      </c>
      <c r="H279" s="170">
        <f t="shared" ca="1" si="364"/>
        <v>2.0205026455026455E-2</v>
      </c>
      <c r="I279" s="508">
        <f t="shared" ca="1" si="365"/>
        <v>202</v>
      </c>
      <c r="K279" s="512">
        <v>7</v>
      </c>
      <c r="L279" s="516" t="s">
        <v>2252</v>
      </c>
      <c r="M279" s="529" t="s">
        <v>2452</v>
      </c>
      <c r="N279" s="508">
        <f t="shared" ca="1" si="356"/>
        <v>9.4499999999999993</v>
      </c>
      <c r="O279" s="565">
        <v>1</v>
      </c>
      <c r="P279" s="633">
        <v>9.4999999999999998E-3</v>
      </c>
      <c r="Q279" s="170">
        <f t="shared" ref="Q279:Q326" ca="1" si="376">P279*L$4/N279/O279</f>
        <v>4.7248677248677255E-2</v>
      </c>
      <c r="R279" s="508">
        <f t="shared" ref="R279:R326" ca="1" si="377">ROUND(Q279*10000,0)</f>
        <v>472</v>
      </c>
      <c r="T279" s="512">
        <v>7</v>
      </c>
      <c r="U279" s="516" t="s">
        <v>2252</v>
      </c>
      <c r="V279" s="529" t="s">
        <v>2452</v>
      </c>
      <c r="W279" s="508">
        <f t="shared" ca="1" si="358"/>
        <v>9.4499999999999993</v>
      </c>
      <c r="X279" s="565">
        <v>1</v>
      </c>
      <c r="Y279" s="633">
        <v>9.4999999999999998E-3</v>
      </c>
      <c r="Z279" s="170">
        <f t="shared" ref="Z279:Z326" ca="1" si="378">Y279*U$4/W279/X279</f>
        <v>4.7751322751322753E-2</v>
      </c>
      <c r="AA279" s="508">
        <f t="shared" ref="AA279:AA326" ca="1" si="379">ROUND(Z279*10000,0)</f>
        <v>478</v>
      </c>
      <c r="AC279" s="512">
        <v>7</v>
      </c>
      <c r="AD279" s="516" t="s">
        <v>628</v>
      </c>
      <c r="AE279" s="512" t="s">
        <v>1211</v>
      </c>
      <c r="AF279" s="508">
        <f t="shared" ca="1" si="371"/>
        <v>52.8</v>
      </c>
      <c r="AG279" s="565">
        <v>2</v>
      </c>
      <c r="AH279" s="508">
        <f>宝箱设定!$X136</f>
        <v>0.13139999999999999</v>
      </c>
      <c r="AI279" s="170">
        <f t="shared" ca="1" si="374"/>
        <v>7.963636363636363E-2</v>
      </c>
      <c r="AJ279" s="394">
        <f t="shared" ca="1" si="375"/>
        <v>796</v>
      </c>
      <c r="AL279" s="512">
        <v>6</v>
      </c>
      <c r="AM279" s="512" t="s">
        <v>2292</v>
      </c>
      <c r="AN279" s="529" t="s">
        <v>2452</v>
      </c>
      <c r="AO279" s="508" t="str">
        <f t="shared" ca="1" si="343"/>
        <v>T3部件</v>
      </c>
      <c r="AP279" s="508">
        <v>1</v>
      </c>
      <c r="AQ279" s="166">
        <v>8.0000000000000002E-3</v>
      </c>
      <c r="AR279" s="170" t="e">
        <f t="shared" ca="1" si="372"/>
        <v>#VALUE!</v>
      </c>
      <c r="AS279" s="279" t="e">
        <f t="shared" ca="1" si="373"/>
        <v>#VALUE!</v>
      </c>
      <c r="AU279" s="512">
        <v>6</v>
      </c>
      <c r="AV279" s="516" t="s">
        <v>2271</v>
      </c>
      <c r="AW279" s="529" t="s">
        <v>2452</v>
      </c>
      <c r="AX279" s="508" t="str">
        <f t="shared" ca="1" si="351"/>
        <v>T2部件</v>
      </c>
      <c r="AY279" s="615">
        <v>1.5</v>
      </c>
      <c r="AZ279" s="615">
        <v>7.7000000000000002E-3</v>
      </c>
      <c r="BA279" s="170" t="e">
        <f t="shared" ca="1" si="323"/>
        <v>#VALUE!</v>
      </c>
      <c r="BB279" s="508" t="e">
        <f t="shared" ca="1" si="324"/>
        <v>#VALUE!</v>
      </c>
      <c r="BD279" s="512">
        <v>6</v>
      </c>
      <c r="BE279" s="516" t="s">
        <v>2271</v>
      </c>
      <c r="BF279" s="529" t="s">
        <v>2452</v>
      </c>
      <c r="BG279" s="508" t="str">
        <f t="shared" ca="1" si="352"/>
        <v>T2部件</v>
      </c>
      <c r="BH279" s="615">
        <v>1.5</v>
      </c>
      <c r="BI279" s="615">
        <v>7.0000000000000001E-3</v>
      </c>
      <c r="BJ279" s="170" t="e">
        <f t="shared" ca="1" si="367"/>
        <v>#VALUE!</v>
      </c>
      <c r="BK279" s="508" t="e">
        <f t="shared" ca="1" si="368"/>
        <v>#VALUE!</v>
      </c>
      <c r="BM279" s="512">
        <v>7</v>
      </c>
      <c r="BN279" s="527" t="s">
        <v>2283</v>
      </c>
      <c r="BO279" s="530" t="s">
        <v>2200</v>
      </c>
      <c r="BP279" s="508" t="str">
        <f t="shared" ca="1" si="328"/>
        <v>T3部件</v>
      </c>
      <c r="BQ279" s="615">
        <v>1.5</v>
      </c>
      <c r="BR279" s="600">
        <v>7.0000000000000001E-3</v>
      </c>
      <c r="BS279" s="170" t="e">
        <f t="shared" ca="1" si="369"/>
        <v>#VALUE!</v>
      </c>
      <c r="BT279" s="523" t="e">
        <f t="shared" ca="1" si="370"/>
        <v>#VALUE!</v>
      </c>
    </row>
    <row r="280" spans="2:82" x14ac:dyDescent="0.35">
      <c r="B280" s="512">
        <v>7</v>
      </c>
      <c r="C280" s="512" t="s">
        <v>2254</v>
      </c>
      <c r="D280" s="529" t="s">
        <v>2452</v>
      </c>
      <c r="E280" s="508">
        <f t="shared" ca="1" si="353"/>
        <v>9.4499999999999993</v>
      </c>
      <c r="F280" s="594">
        <v>2</v>
      </c>
      <c r="G280" s="594">
        <v>6.4999999999999997E-3</v>
      </c>
      <c r="H280" s="170">
        <f t="shared" ca="1" si="364"/>
        <v>2.0205026455026455E-2</v>
      </c>
      <c r="I280" s="508">
        <f t="shared" ca="1" si="365"/>
        <v>202</v>
      </c>
      <c r="K280" s="512">
        <v>7</v>
      </c>
      <c r="L280" s="512" t="s">
        <v>2254</v>
      </c>
      <c r="M280" s="529" t="s">
        <v>2452</v>
      </c>
      <c r="N280" s="508">
        <f t="shared" ca="1" si="356"/>
        <v>9.4499999999999993</v>
      </c>
      <c r="O280" s="565">
        <v>1</v>
      </c>
      <c r="P280" s="633">
        <v>9.4999999999999998E-3</v>
      </c>
      <c r="Q280" s="170">
        <f t="shared" ca="1" si="376"/>
        <v>4.7248677248677255E-2</v>
      </c>
      <c r="R280" s="508">
        <f t="shared" ca="1" si="377"/>
        <v>472</v>
      </c>
      <c r="T280" s="512">
        <v>7</v>
      </c>
      <c r="U280" s="512" t="s">
        <v>2254</v>
      </c>
      <c r="V280" s="529" t="s">
        <v>2452</v>
      </c>
      <c r="W280" s="508">
        <f t="shared" ca="1" si="358"/>
        <v>9.4499999999999993</v>
      </c>
      <c r="X280" s="565">
        <v>1</v>
      </c>
      <c r="Y280" s="633">
        <v>9.4999999999999998E-3</v>
      </c>
      <c r="Z280" s="170">
        <f t="shared" ca="1" si="378"/>
        <v>4.7751322751322753E-2</v>
      </c>
      <c r="AA280" s="508">
        <f t="shared" ca="1" si="379"/>
        <v>478</v>
      </c>
      <c r="AC280" s="512">
        <v>7</v>
      </c>
      <c r="AD280" s="516" t="s">
        <v>619</v>
      </c>
      <c r="AE280" s="512" t="s">
        <v>1211</v>
      </c>
      <c r="AF280" s="508">
        <f t="shared" ca="1" si="371"/>
        <v>69</v>
      </c>
      <c r="AG280" s="408">
        <v>1</v>
      </c>
      <c r="AH280" s="508">
        <f>宝箱设定!$X137</f>
        <v>8.7599999999999997E-2</v>
      </c>
      <c r="AI280" s="170">
        <f ca="1">AH280*AD$4/AF280/AG280</f>
        <v>8.1252173913043471E-2</v>
      </c>
      <c r="AJ280" s="408">
        <f ca="1">ROUND(AI280*10000,0)</f>
        <v>813</v>
      </c>
      <c r="AL280" s="595">
        <v>6</v>
      </c>
      <c r="AM280" s="601" t="s">
        <v>2878</v>
      </c>
      <c r="AN280" s="601" t="s">
        <v>2879</v>
      </c>
      <c r="AO280" s="594">
        <f t="shared" ref="AO280:AO283" ca="1" si="380">IF(AN280="部件",VLOOKUP(AL280,INDIRECT(AN280&amp;"价值"),MATCH(LEFT(AM280,2)&amp;"部件",INDIRECT(AN280&amp;"价值标头"),0),FALSE),IF(AN280="加速道具",VLOOKUP(AM280,INDIRECT(AN280&amp;"价值"),MATCH("价格",INDIRECT(AN280&amp;"价值标头"),0),FALSE),VLOOKUP(AL280,INDIRECT(AN280&amp;"价值"),MATCH(AM280,INDIRECT(AN280&amp;"价值标头"),0),FALSE)))</f>
        <v>35</v>
      </c>
      <c r="AP280" s="600">
        <v>1</v>
      </c>
      <c r="AQ280" s="594">
        <v>8.0000000000000002E-3</v>
      </c>
      <c r="AR280" s="170">
        <f t="shared" ca="1" si="372"/>
        <v>2.2171428571428571E-2</v>
      </c>
      <c r="AS280" s="594">
        <f t="shared" ca="1" si="373"/>
        <v>222</v>
      </c>
      <c r="AU280" s="512">
        <v>6</v>
      </c>
      <c r="AV280" s="512" t="s">
        <v>2273</v>
      </c>
      <c r="AW280" s="529" t="s">
        <v>2452</v>
      </c>
      <c r="AX280" s="508" t="str">
        <f t="shared" ca="1" si="351"/>
        <v>T2部件</v>
      </c>
      <c r="AY280" s="615">
        <v>1.5</v>
      </c>
      <c r="AZ280" s="615">
        <v>7.7000000000000002E-3</v>
      </c>
      <c r="BA280" s="170" t="e">
        <f t="shared" ca="1" si="323"/>
        <v>#VALUE!</v>
      </c>
      <c r="BB280" s="508" t="e">
        <f t="shared" ca="1" si="324"/>
        <v>#VALUE!</v>
      </c>
      <c r="BD280" s="512">
        <v>6</v>
      </c>
      <c r="BE280" s="512" t="s">
        <v>2273</v>
      </c>
      <c r="BF280" s="529" t="s">
        <v>2452</v>
      </c>
      <c r="BG280" s="508" t="str">
        <f t="shared" ca="1" si="352"/>
        <v>T2部件</v>
      </c>
      <c r="BH280" s="615">
        <v>1.5</v>
      </c>
      <c r="BI280" s="615">
        <v>7.0000000000000001E-3</v>
      </c>
      <c r="BJ280" s="170" t="e">
        <f t="shared" ca="1" si="367"/>
        <v>#VALUE!</v>
      </c>
      <c r="BK280" s="508" t="e">
        <f t="shared" ca="1" si="368"/>
        <v>#VALUE!</v>
      </c>
      <c r="BM280" s="512">
        <v>7</v>
      </c>
      <c r="BN280" s="527" t="s">
        <v>2285</v>
      </c>
      <c r="BO280" s="530" t="s">
        <v>2200</v>
      </c>
      <c r="BP280" s="508" t="str">
        <f t="shared" ca="1" si="328"/>
        <v>T3部件</v>
      </c>
      <c r="BQ280" s="615">
        <v>1.5</v>
      </c>
      <c r="BR280" s="600">
        <v>7.0000000000000001E-3</v>
      </c>
      <c r="BS280" s="170" t="e">
        <f t="shared" ca="1" si="369"/>
        <v>#VALUE!</v>
      </c>
      <c r="BT280" s="523" t="e">
        <f t="shared" ca="1" si="370"/>
        <v>#VALUE!</v>
      </c>
    </row>
    <row r="281" spans="2:82" x14ac:dyDescent="0.35">
      <c r="B281" s="512">
        <v>7</v>
      </c>
      <c r="C281" s="512" t="s">
        <v>2256</v>
      </c>
      <c r="D281" s="529" t="s">
        <v>2452</v>
      </c>
      <c r="E281" s="508">
        <f t="shared" ca="1" si="353"/>
        <v>9.4499999999999993</v>
      </c>
      <c r="F281" s="594">
        <v>2</v>
      </c>
      <c r="G281" s="594">
        <v>6.4999999999999997E-3</v>
      </c>
      <c r="H281" s="170">
        <f t="shared" ca="1" si="364"/>
        <v>2.0205026455026455E-2</v>
      </c>
      <c r="I281" s="508">
        <f t="shared" ca="1" si="365"/>
        <v>202</v>
      </c>
      <c r="K281" s="512">
        <v>7</v>
      </c>
      <c r="L281" s="512" t="s">
        <v>2256</v>
      </c>
      <c r="M281" s="529" t="s">
        <v>2452</v>
      </c>
      <c r="N281" s="508">
        <f t="shared" ca="1" si="356"/>
        <v>9.4499999999999993</v>
      </c>
      <c r="O281" s="565">
        <v>1</v>
      </c>
      <c r="P281" s="633">
        <v>9.4999999999999998E-3</v>
      </c>
      <c r="Q281" s="170">
        <f t="shared" ca="1" si="376"/>
        <v>4.7248677248677255E-2</v>
      </c>
      <c r="R281" s="508">
        <f t="shared" ca="1" si="377"/>
        <v>472</v>
      </c>
      <c r="T281" s="512">
        <v>7</v>
      </c>
      <c r="U281" s="512" t="s">
        <v>2256</v>
      </c>
      <c r="V281" s="529" t="s">
        <v>2452</v>
      </c>
      <c r="W281" s="508">
        <f t="shared" ca="1" si="358"/>
        <v>9.4499999999999993</v>
      </c>
      <c r="X281" s="565">
        <v>1</v>
      </c>
      <c r="Y281" s="633">
        <v>9.4999999999999998E-3</v>
      </c>
      <c r="Z281" s="170">
        <f t="shared" ca="1" si="378"/>
        <v>4.7751322751322753E-2</v>
      </c>
      <c r="AA281" s="508">
        <f t="shared" ca="1" si="379"/>
        <v>478</v>
      </c>
      <c r="AC281" s="512">
        <v>7</v>
      </c>
      <c r="AD281" s="516" t="s">
        <v>718</v>
      </c>
      <c r="AE281" s="512" t="s">
        <v>1211</v>
      </c>
      <c r="AF281" s="508">
        <f t="shared" ca="1" si="371"/>
        <v>69</v>
      </c>
      <c r="AG281" s="523">
        <v>1</v>
      </c>
      <c r="AH281" s="508">
        <f>宝箱设定!$X138</f>
        <v>8.7599999999999997E-2</v>
      </c>
      <c r="AI281" s="170">
        <f ca="1">AH281*AD$4/AF281/AG281</f>
        <v>8.1252173913043471E-2</v>
      </c>
      <c r="AJ281" s="408">
        <f ca="1">ROUND(AI281*10000,0)</f>
        <v>813</v>
      </c>
      <c r="AL281" s="595">
        <v>6</v>
      </c>
      <c r="AM281" s="601" t="s">
        <v>2880</v>
      </c>
      <c r="AN281" s="601" t="s">
        <v>2879</v>
      </c>
      <c r="AO281" s="594">
        <f t="shared" ca="1" si="380"/>
        <v>60</v>
      </c>
      <c r="AP281" s="600">
        <v>1</v>
      </c>
      <c r="AQ281" s="594">
        <v>8.9999999999999993E-3</v>
      </c>
      <c r="AR281" s="170">
        <f t="shared" ca="1" si="372"/>
        <v>1.4549999999999999E-2</v>
      </c>
      <c r="AS281" s="594">
        <f t="shared" ca="1" si="373"/>
        <v>146</v>
      </c>
      <c r="AU281" s="512">
        <v>6</v>
      </c>
      <c r="AV281" s="512" t="s">
        <v>2275</v>
      </c>
      <c r="AW281" s="529" t="s">
        <v>2452</v>
      </c>
      <c r="AX281" s="508" t="str">
        <f t="shared" ca="1" si="351"/>
        <v>T2部件</v>
      </c>
      <c r="AY281" s="615">
        <v>1.5</v>
      </c>
      <c r="AZ281" s="615">
        <v>7.7000000000000002E-3</v>
      </c>
      <c r="BA281" s="170" t="e">
        <f t="shared" ca="1" si="323"/>
        <v>#VALUE!</v>
      </c>
      <c r="BB281" s="508" t="e">
        <f t="shared" ca="1" si="324"/>
        <v>#VALUE!</v>
      </c>
      <c r="BD281" s="512">
        <v>6</v>
      </c>
      <c r="BE281" s="512" t="s">
        <v>2275</v>
      </c>
      <c r="BF281" s="529" t="s">
        <v>2452</v>
      </c>
      <c r="BG281" s="508" t="str">
        <f t="shared" ca="1" si="352"/>
        <v>T2部件</v>
      </c>
      <c r="BH281" s="615">
        <v>1.5</v>
      </c>
      <c r="BI281" s="615">
        <v>7.0000000000000001E-3</v>
      </c>
      <c r="BJ281" s="170" t="e">
        <f t="shared" ca="1" si="367"/>
        <v>#VALUE!</v>
      </c>
      <c r="BK281" s="508" t="e">
        <f t="shared" ca="1" si="368"/>
        <v>#VALUE!</v>
      </c>
      <c r="BM281" s="512">
        <v>7</v>
      </c>
      <c r="BN281" s="527" t="s">
        <v>2287</v>
      </c>
      <c r="BO281" s="530" t="s">
        <v>2200</v>
      </c>
      <c r="BP281" s="508" t="str">
        <f t="shared" ca="1" si="328"/>
        <v>T3部件</v>
      </c>
      <c r="BQ281" s="615">
        <v>1.5</v>
      </c>
      <c r="BR281" s="600">
        <v>7.0000000000000001E-3</v>
      </c>
      <c r="BS281" s="170" t="e">
        <f t="shared" ca="1" si="369"/>
        <v>#VALUE!</v>
      </c>
      <c r="BT281" s="523" t="e">
        <f t="shared" ca="1" si="370"/>
        <v>#VALUE!</v>
      </c>
      <c r="BV281" s="293" t="s">
        <v>597</v>
      </c>
      <c r="BW281" s="293" t="s">
        <v>1225</v>
      </c>
      <c r="BX281" s="291" t="s">
        <v>917</v>
      </c>
      <c r="BY281" s="166" t="s">
        <v>920</v>
      </c>
      <c r="BZ281" s="294" t="s">
        <v>967</v>
      </c>
      <c r="CA281" s="166" t="s">
        <v>854</v>
      </c>
      <c r="CB281" s="166" t="s">
        <v>926</v>
      </c>
      <c r="CC281" s="292" t="s">
        <v>927</v>
      </c>
      <c r="CD281" s="300" t="e">
        <f ca="1">SUM(CC282:CC335)</f>
        <v>#VALUE!</v>
      </c>
    </row>
    <row r="282" spans="2:82" x14ac:dyDescent="0.35">
      <c r="B282" s="512">
        <v>7</v>
      </c>
      <c r="C282" s="516" t="s">
        <v>2241</v>
      </c>
      <c r="D282" s="529" t="s">
        <v>2452</v>
      </c>
      <c r="E282" s="508">
        <f t="shared" ca="1" si="353"/>
        <v>9.4499999999999993</v>
      </c>
      <c r="F282" s="594">
        <v>2</v>
      </c>
      <c r="G282" s="594">
        <v>6.4999999999999997E-3</v>
      </c>
      <c r="H282" s="170">
        <f t="shared" ca="1" si="364"/>
        <v>2.0205026455026455E-2</v>
      </c>
      <c r="I282" s="508">
        <f t="shared" ca="1" si="365"/>
        <v>202</v>
      </c>
      <c r="K282" s="512">
        <v>7</v>
      </c>
      <c r="L282" s="516" t="s">
        <v>2241</v>
      </c>
      <c r="M282" s="529" t="s">
        <v>2452</v>
      </c>
      <c r="N282" s="508">
        <f t="shared" ca="1" si="356"/>
        <v>9.4499999999999993</v>
      </c>
      <c r="O282" s="565">
        <v>1</v>
      </c>
      <c r="P282" s="633">
        <v>9.4999999999999998E-3</v>
      </c>
      <c r="Q282" s="170">
        <f t="shared" ca="1" si="376"/>
        <v>4.7248677248677255E-2</v>
      </c>
      <c r="R282" s="508">
        <f t="shared" ca="1" si="377"/>
        <v>472</v>
      </c>
      <c r="T282" s="512">
        <v>7</v>
      </c>
      <c r="U282" s="516" t="s">
        <v>2241</v>
      </c>
      <c r="V282" s="529" t="s">
        <v>2452</v>
      </c>
      <c r="W282" s="508">
        <f t="shared" ca="1" si="358"/>
        <v>9.4499999999999993</v>
      </c>
      <c r="X282" s="565">
        <v>1</v>
      </c>
      <c r="Y282" s="633">
        <v>9.4999999999999998E-3</v>
      </c>
      <c r="Z282" s="170">
        <f t="shared" ca="1" si="378"/>
        <v>4.7751322751322753E-2</v>
      </c>
      <c r="AA282" s="508">
        <f t="shared" ca="1" si="379"/>
        <v>478</v>
      </c>
      <c r="AC282" s="512">
        <v>7</v>
      </c>
      <c r="AD282" s="516" t="s">
        <v>632</v>
      </c>
      <c r="AE282" s="512" t="s">
        <v>1211</v>
      </c>
      <c r="AF282" s="508">
        <f t="shared" ca="1" si="371"/>
        <v>69</v>
      </c>
      <c r="AG282" s="523">
        <v>1</v>
      </c>
      <c r="AH282" s="508">
        <f>宝箱设定!$X139</f>
        <v>8.7599999999999997E-2</v>
      </c>
      <c r="AI282" s="170">
        <f ca="1">AH282*AD$4/AF282/AG282</f>
        <v>8.1252173913043471E-2</v>
      </c>
      <c r="AJ282" s="408">
        <f ca="1">ROUND(AI282*10000,0)</f>
        <v>813</v>
      </c>
      <c r="AL282" s="595">
        <v>6</v>
      </c>
      <c r="AM282" s="601" t="s">
        <v>2881</v>
      </c>
      <c r="AN282" s="601" t="s">
        <v>2879</v>
      </c>
      <c r="AO282" s="594">
        <f t="shared" ca="1" si="380"/>
        <v>70</v>
      </c>
      <c r="AP282" s="600">
        <v>1</v>
      </c>
      <c r="AQ282" s="594">
        <v>0.01</v>
      </c>
      <c r="AR282" s="170">
        <f t="shared" ca="1" si="372"/>
        <v>1.3857142857142856E-2</v>
      </c>
      <c r="AS282" s="594">
        <f t="shared" ca="1" si="373"/>
        <v>139</v>
      </c>
      <c r="AU282" s="512">
        <v>6</v>
      </c>
      <c r="AV282" s="516" t="s">
        <v>2276</v>
      </c>
      <c r="AW282" s="529" t="s">
        <v>2452</v>
      </c>
      <c r="AX282" s="508" t="str">
        <f t="shared" ca="1" si="351"/>
        <v>T3部件</v>
      </c>
      <c r="AY282" s="508">
        <v>1</v>
      </c>
      <c r="AZ282" s="508">
        <v>6.4000000000000003E-3</v>
      </c>
      <c r="BA282" s="170" t="e">
        <f t="shared" ref="BA282:BA290" ca="1" si="381">AZ282*AV$4/AX282/AY282</f>
        <v>#VALUE!</v>
      </c>
      <c r="BB282" s="508" t="e">
        <f t="shared" ref="BB282:BB290" ca="1" si="382">ROUND(BA282*10000,0)</f>
        <v>#VALUE!</v>
      </c>
      <c r="BD282" s="512">
        <v>6</v>
      </c>
      <c r="BE282" s="516" t="s">
        <v>2276</v>
      </c>
      <c r="BF282" s="529" t="s">
        <v>2452</v>
      </c>
      <c r="BG282" s="508" t="str">
        <f t="shared" ca="1" si="352"/>
        <v>T3部件</v>
      </c>
      <c r="BH282" s="508">
        <v>1</v>
      </c>
      <c r="BI282" s="600">
        <v>6.4000000000000003E-3</v>
      </c>
      <c r="BJ282" s="170" t="e">
        <f t="shared" ca="1" si="367"/>
        <v>#VALUE!</v>
      </c>
      <c r="BK282" s="508" t="e">
        <f t="shared" ca="1" si="368"/>
        <v>#VALUE!</v>
      </c>
      <c r="BM282" s="512">
        <v>7</v>
      </c>
      <c r="BN282" s="527" t="s">
        <v>2289</v>
      </c>
      <c r="BO282" s="530" t="s">
        <v>2200</v>
      </c>
      <c r="BP282" s="508" t="str">
        <f t="shared" ca="1" si="328"/>
        <v>T3部件</v>
      </c>
      <c r="BQ282" s="615">
        <v>1.5</v>
      </c>
      <c r="BR282" s="600">
        <v>7.0000000000000001E-3</v>
      </c>
      <c r="BS282" s="170" t="e">
        <f t="shared" ca="1" si="369"/>
        <v>#VALUE!</v>
      </c>
      <c r="BT282" s="523" t="e">
        <f t="shared" ca="1" si="370"/>
        <v>#VALUE!</v>
      </c>
      <c r="BV282" s="293">
        <v>8</v>
      </c>
      <c r="BW282" s="527" t="s">
        <v>2239</v>
      </c>
      <c r="BX282" s="530" t="s">
        <v>2200</v>
      </c>
      <c r="BY282" s="523">
        <f t="shared" ref="BY282:BY313" ca="1" si="383">IF(BX282="部件",VLOOKUP(BV282,INDIRECT(BX282&amp;"价值"),MATCH(LEFT(BW282,2)&amp;"部件",INDIRECT(BX282&amp;"价值标头"),0),FALSE),IF(BX282="加速道具",VLOOKUP(BW282,INDIRECT(BX282&amp;"价值"),MATCH("价格",INDIRECT(BX282&amp;"价值标头"),0),FALSE),VLOOKUP(BV282,INDIRECT(BX282&amp;"价值"),MATCH(BW282,INDIRECT(BX282&amp;"价值标头"),0),FALSE)))</f>
        <v>8.7750000000000004</v>
      </c>
      <c r="BZ282" s="662">
        <v>2.5</v>
      </c>
      <c r="CA282" s="523">
        <v>1.0500000000000001E-2</v>
      </c>
      <c r="CB282" s="170">
        <f t="shared" ref="CB282:CB312" ca="1" si="384">CA282*BW$4/BY282/BZ282</f>
        <v>2.3931623931623933E-2</v>
      </c>
      <c r="CC282" s="290">
        <f t="shared" ref="CC282:CC312" ca="1" si="385">ROUND(CB282*10000,0)</f>
        <v>239</v>
      </c>
    </row>
    <row r="283" spans="2:82" x14ac:dyDescent="0.35">
      <c r="B283" s="512">
        <v>7</v>
      </c>
      <c r="C283" s="516" t="s">
        <v>2243</v>
      </c>
      <c r="D283" s="529" t="s">
        <v>2452</v>
      </c>
      <c r="E283" s="508">
        <f t="shared" ca="1" si="353"/>
        <v>9.4499999999999993</v>
      </c>
      <c r="F283" s="594">
        <v>2</v>
      </c>
      <c r="G283" s="594">
        <v>6.4999999999999997E-3</v>
      </c>
      <c r="H283" s="170">
        <f t="shared" ca="1" si="364"/>
        <v>2.0205026455026455E-2</v>
      </c>
      <c r="I283" s="508">
        <f t="shared" ca="1" si="365"/>
        <v>202</v>
      </c>
      <c r="K283" s="512">
        <v>7</v>
      </c>
      <c r="L283" s="516" t="s">
        <v>2243</v>
      </c>
      <c r="M283" s="529" t="s">
        <v>2452</v>
      </c>
      <c r="N283" s="508">
        <f t="shared" ca="1" si="356"/>
        <v>9.4499999999999993</v>
      </c>
      <c r="O283" s="565">
        <v>1</v>
      </c>
      <c r="P283" s="633">
        <v>9.4000000000000004E-3</v>
      </c>
      <c r="Q283" s="170">
        <f t="shared" ca="1" si="376"/>
        <v>4.6751322751322759E-2</v>
      </c>
      <c r="R283" s="508">
        <f t="shared" ca="1" si="377"/>
        <v>468</v>
      </c>
      <c r="T283" s="512">
        <v>7</v>
      </c>
      <c r="U283" s="516" t="s">
        <v>2243</v>
      </c>
      <c r="V283" s="529" t="s">
        <v>2452</v>
      </c>
      <c r="W283" s="508">
        <f t="shared" ca="1" si="358"/>
        <v>9.4499999999999993</v>
      </c>
      <c r="X283" s="565">
        <v>1</v>
      </c>
      <c r="Y283" s="633">
        <v>9.4000000000000004E-3</v>
      </c>
      <c r="Z283" s="170">
        <f t="shared" ca="1" si="378"/>
        <v>4.7248677248677255E-2</v>
      </c>
      <c r="AA283" s="508">
        <f t="shared" ca="1" si="379"/>
        <v>472</v>
      </c>
      <c r="AC283" s="512">
        <v>7</v>
      </c>
      <c r="AD283" s="516" t="s">
        <v>2239</v>
      </c>
      <c r="AE283" s="529" t="s">
        <v>2452</v>
      </c>
      <c r="AF283" s="508">
        <f t="shared" ca="1" si="371"/>
        <v>9.4499999999999993</v>
      </c>
      <c r="AG283" s="394">
        <v>1</v>
      </c>
      <c r="AH283" s="633">
        <v>4.1999999999999997E-3</v>
      </c>
      <c r="AI283" s="170">
        <f t="shared" ca="1" si="374"/>
        <v>2.8444444444444446E-2</v>
      </c>
      <c r="AJ283" s="394">
        <f t="shared" ca="1" si="375"/>
        <v>284</v>
      </c>
      <c r="AL283" s="595">
        <v>6</v>
      </c>
      <c r="AM283" s="601" t="s">
        <v>2882</v>
      </c>
      <c r="AN283" s="601" t="s">
        <v>2879</v>
      </c>
      <c r="AO283" s="594">
        <f t="shared" ca="1" si="380"/>
        <v>125</v>
      </c>
      <c r="AP283" s="600">
        <v>1</v>
      </c>
      <c r="AQ283" s="594">
        <v>0.01</v>
      </c>
      <c r="AR283" s="170">
        <f t="shared" ca="1" si="372"/>
        <v>7.7599999999999995E-3</v>
      </c>
      <c r="AS283" s="594">
        <f t="shared" ca="1" si="373"/>
        <v>78</v>
      </c>
      <c r="AU283" s="512">
        <v>6</v>
      </c>
      <c r="AV283" s="516" t="s">
        <v>2278</v>
      </c>
      <c r="AW283" s="529" t="s">
        <v>2452</v>
      </c>
      <c r="AX283" s="508" t="str">
        <f t="shared" ca="1" si="351"/>
        <v>T3部件</v>
      </c>
      <c r="AY283" s="615">
        <v>1</v>
      </c>
      <c r="AZ283" s="615">
        <v>6.3E-3</v>
      </c>
      <c r="BA283" s="170" t="e">
        <f t="shared" ca="1" si="381"/>
        <v>#VALUE!</v>
      </c>
      <c r="BB283" s="508" t="e">
        <f t="shared" ca="1" si="382"/>
        <v>#VALUE!</v>
      </c>
      <c r="BD283" s="512">
        <v>6</v>
      </c>
      <c r="BE283" s="516" t="s">
        <v>2278</v>
      </c>
      <c r="BF283" s="529" t="s">
        <v>2452</v>
      </c>
      <c r="BG283" s="508" t="str">
        <f t="shared" ca="1" si="352"/>
        <v>T3部件</v>
      </c>
      <c r="BH283" s="508">
        <v>1</v>
      </c>
      <c r="BI283" s="600">
        <v>6.3E-3</v>
      </c>
      <c r="BJ283" s="170" t="e">
        <f t="shared" ca="1" si="367"/>
        <v>#VALUE!</v>
      </c>
      <c r="BK283" s="508" t="e">
        <f t="shared" ca="1" si="368"/>
        <v>#VALUE!</v>
      </c>
      <c r="BM283" s="512">
        <v>7</v>
      </c>
      <c r="BN283" s="525" t="s">
        <v>2291</v>
      </c>
      <c r="BO283" s="530" t="s">
        <v>2200</v>
      </c>
      <c r="BP283" s="508" t="str">
        <f t="shared" ca="1" si="328"/>
        <v>T3部件</v>
      </c>
      <c r="BQ283" s="615">
        <v>1.5</v>
      </c>
      <c r="BR283" s="600">
        <v>7.0000000000000001E-3</v>
      </c>
      <c r="BS283" s="170" t="e">
        <f t="shared" ca="1" si="369"/>
        <v>#VALUE!</v>
      </c>
      <c r="BT283" s="523" t="e">
        <f t="shared" ca="1" si="370"/>
        <v>#VALUE!</v>
      </c>
      <c r="BV283" s="293">
        <v>8</v>
      </c>
      <c r="BW283" s="527" t="s">
        <v>2242</v>
      </c>
      <c r="BX283" s="530" t="s">
        <v>2200</v>
      </c>
      <c r="BY283" s="523">
        <f t="shared" ca="1" si="383"/>
        <v>8.7750000000000004</v>
      </c>
      <c r="BZ283" s="662">
        <v>2.5</v>
      </c>
      <c r="CA283" s="634">
        <v>1.0500000000000001E-2</v>
      </c>
      <c r="CB283" s="170">
        <f t="shared" ca="1" si="384"/>
        <v>2.3931623931623933E-2</v>
      </c>
      <c r="CC283" s="290">
        <f t="shared" ca="1" si="385"/>
        <v>239</v>
      </c>
    </row>
    <row r="284" spans="2:82" x14ac:dyDescent="0.35">
      <c r="B284" s="512">
        <v>7</v>
      </c>
      <c r="C284" s="516" t="s">
        <v>2245</v>
      </c>
      <c r="D284" s="529" t="s">
        <v>2452</v>
      </c>
      <c r="E284" s="508">
        <f t="shared" ca="1" si="353"/>
        <v>9.4499999999999993</v>
      </c>
      <c r="F284" s="594">
        <v>2</v>
      </c>
      <c r="G284" s="594">
        <v>6.4999999999999997E-3</v>
      </c>
      <c r="H284" s="170">
        <f t="shared" ca="1" si="364"/>
        <v>2.0205026455026455E-2</v>
      </c>
      <c r="I284" s="508">
        <f t="shared" ca="1" si="365"/>
        <v>202</v>
      </c>
      <c r="K284" s="512">
        <v>7</v>
      </c>
      <c r="L284" s="516" t="s">
        <v>2245</v>
      </c>
      <c r="M284" s="529" t="s">
        <v>2452</v>
      </c>
      <c r="N284" s="508">
        <f t="shared" ca="1" si="356"/>
        <v>9.4499999999999993</v>
      </c>
      <c r="O284" s="565">
        <v>1</v>
      </c>
      <c r="P284" s="633">
        <v>9.4000000000000004E-3</v>
      </c>
      <c r="Q284" s="170">
        <f t="shared" ca="1" si="376"/>
        <v>4.6751322751322759E-2</v>
      </c>
      <c r="R284" s="508">
        <f t="shared" ca="1" si="377"/>
        <v>468</v>
      </c>
      <c r="T284" s="512">
        <v>7</v>
      </c>
      <c r="U284" s="516" t="s">
        <v>2245</v>
      </c>
      <c r="V284" s="529" t="s">
        <v>2452</v>
      </c>
      <c r="W284" s="508">
        <f t="shared" ca="1" si="358"/>
        <v>9.4499999999999993</v>
      </c>
      <c r="X284" s="565">
        <v>1</v>
      </c>
      <c r="Y284" s="633">
        <v>9.4000000000000004E-3</v>
      </c>
      <c r="Z284" s="170">
        <f t="shared" ca="1" si="378"/>
        <v>4.7248677248677255E-2</v>
      </c>
      <c r="AA284" s="508">
        <f t="shared" ca="1" si="379"/>
        <v>472</v>
      </c>
      <c r="AC284" s="512">
        <v>7</v>
      </c>
      <c r="AD284" s="516" t="s">
        <v>2242</v>
      </c>
      <c r="AE284" s="529" t="s">
        <v>2452</v>
      </c>
      <c r="AF284" s="508">
        <f t="shared" ca="1" si="371"/>
        <v>9.4499999999999993</v>
      </c>
      <c r="AG284" s="594">
        <v>1</v>
      </c>
      <c r="AH284" s="633">
        <v>4.1999999999999997E-3</v>
      </c>
      <c r="AI284" s="170">
        <f ca="1">AH284*AD$4/AF284/AG284</f>
        <v>2.8444444444444446E-2</v>
      </c>
      <c r="AJ284" s="279">
        <f ca="1">ROUND(AI284*10000,0)</f>
        <v>284</v>
      </c>
      <c r="AL284" s="276"/>
      <c r="AM284" s="604"/>
      <c r="AN284" s="604"/>
      <c r="AO284" s="157"/>
      <c r="AP284" s="157"/>
      <c r="AQ284" s="157"/>
      <c r="AR284" s="538"/>
      <c r="AS284" s="157"/>
      <c r="AU284" s="512">
        <v>6</v>
      </c>
      <c r="AV284" s="516" t="s">
        <v>2280</v>
      </c>
      <c r="AW284" s="529" t="s">
        <v>2452</v>
      </c>
      <c r="AX284" s="508" t="str">
        <f t="shared" ca="1" si="351"/>
        <v>T3部件</v>
      </c>
      <c r="AY284" s="615">
        <v>1</v>
      </c>
      <c r="AZ284" s="615">
        <v>6.3E-3</v>
      </c>
      <c r="BA284" s="170" t="e">
        <f t="shared" ca="1" si="381"/>
        <v>#VALUE!</v>
      </c>
      <c r="BB284" s="508" t="e">
        <f t="shared" ca="1" si="382"/>
        <v>#VALUE!</v>
      </c>
      <c r="BD284" s="512">
        <v>6</v>
      </c>
      <c r="BE284" s="516" t="s">
        <v>2280</v>
      </c>
      <c r="BF284" s="529" t="s">
        <v>2452</v>
      </c>
      <c r="BG284" s="508" t="str">
        <f t="shared" ca="1" si="352"/>
        <v>T3部件</v>
      </c>
      <c r="BH284" s="508">
        <v>1</v>
      </c>
      <c r="BI284" s="600">
        <v>6.3E-3</v>
      </c>
      <c r="BJ284" s="170" t="e">
        <f t="shared" ca="1" si="367"/>
        <v>#VALUE!</v>
      </c>
      <c r="BK284" s="508" t="e">
        <f t="shared" ca="1" si="368"/>
        <v>#VALUE!</v>
      </c>
      <c r="BM284" s="512">
        <v>7</v>
      </c>
      <c r="BN284" s="525" t="s">
        <v>2293</v>
      </c>
      <c r="BO284" s="530" t="s">
        <v>2200</v>
      </c>
      <c r="BP284" s="508" t="str">
        <f t="shared" ca="1" si="328"/>
        <v>T3部件</v>
      </c>
      <c r="BQ284" s="615">
        <v>1.5</v>
      </c>
      <c r="BR284" s="600">
        <v>7.0000000000000001E-3</v>
      </c>
      <c r="BS284" s="170" t="e">
        <f t="shared" ca="1" si="369"/>
        <v>#VALUE!</v>
      </c>
      <c r="BT284" s="523" t="e">
        <f t="shared" ca="1" si="370"/>
        <v>#VALUE!</v>
      </c>
      <c r="BV284" s="293">
        <v>8</v>
      </c>
      <c r="BW284" s="527" t="s">
        <v>2244</v>
      </c>
      <c r="BX284" s="530" t="s">
        <v>2200</v>
      </c>
      <c r="BY284" s="523">
        <f t="shared" ca="1" si="383"/>
        <v>8.7750000000000004</v>
      </c>
      <c r="BZ284" s="662">
        <v>2.5</v>
      </c>
      <c r="CA284" s="634">
        <v>1.0500000000000001E-2</v>
      </c>
      <c r="CB284" s="170">
        <f t="shared" ca="1" si="384"/>
        <v>2.3931623931623933E-2</v>
      </c>
      <c r="CC284" s="290">
        <f t="shared" ca="1" si="385"/>
        <v>239</v>
      </c>
    </row>
    <row r="285" spans="2:82" x14ac:dyDescent="0.35">
      <c r="B285" s="512">
        <v>7</v>
      </c>
      <c r="C285" s="516" t="s">
        <v>2247</v>
      </c>
      <c r="D285" s="529" t="s">
        <v>2452</v>
      </c>
      <c r="E285" s="508">
        <f t="shared" ca="1" si="353"/>
        <v>9.4499999999999993</v>
      </c>
      <c r="F285" s="594">
        <v>2</v>
      </c>
      <c r="G285" s="594">
        <v>6.4999999999999997E-3</v>
      </c>
      <c r="H285" s="170">
        <f t="shared" ca="1" si="364"/>
        <v>2.0205026455026455E-2</v>
      </c>
      <c r="I285" s="508">
        <f t="shared" ca="1" si="365"/>
        <v>202</v>
      </c>
      <c r="K285" s="512">
        <v>7</v>
      </c>
      <c r="L285" s="516" t="s">
        <v>2247</v>
      </c>
      <c r="M285" s="529" t="s">
        <v>2452</v>
      </c>
      <c r="N285" s="508">
        <f t="shared" ca="1" si="356"/>
        <v>9.4499999999999993</v>
      </c>
      <c r="O285" s="565">
        <v>1</v>
      </c>
      <c r="P285" s="633">
        <v>9.4000000000000004E-3</v>
      </c>
      <c r="Q285" s="170">
        <f t="shared" ca="1" si="376"/>
        <v>4.6751322751322759E-2</v>
      </c>
      <c r="R285" s="508">
        <f t="shared" ca="1" si="377"/>
        <v>468</v>
      </c>
      <c r="T285" s="512">
        <v>7</v>
      </c>
      <c r="U285" s="516" t="s">
        <v>2247</v>
      </c>
      <c r="V285" s="529" t="s">
        <v>2452</v>
      </c>
      <c r="W285" s="508">
        <f t="shared" ca="1" si="358"/>
        <v>9.4499999999999993</v>
      </c>
      <c r="X285" s="565">
        <v>1</v>
      </c>
      <c r="Y285" s="633">
        <v>9.4000000000000004E-3</v>
      </c>
      <c r="Z285" s="170">
        <f t="shared" ca="1" si="378"/>
        <v>4.7248677248677255E-2</v>
      </c>
      <c r="AA285" s="508">
        <f t="shared" ca="1" si="379"/>
        <v>472</v>
      </c>
      <c r="AC285" s="512">
        <v>7</v>
      </c>
      <c r="AD285" s="516" t="s">
        <v>2244</v>
      </c>
      <c r="AE285" s="529" t="s">
        <v>2452</v>
      </c>
      <c r="AF285" s="508">
        <f t="shared" ca="1" si="371"/>
        <v>9.4499999999999993</v>
      </c>
      <c r="AG285" s="594">
        <v>1</v>
      </c>
      <c r="AH285" s="633">
        <v>4.1999999999999997E-3</v>
      </c>
      <c r="AI285" s="170">
        <f ca="1">AH285*AD$4/AF285/AG285</f>
        <v>2.8444444444444446E-2</v>
      </c>
      <c r="AJ285" s="279">
        <f ca="1">ROUND(AI285*10000,0)</f>
        <v>284</v>
      </c>
      <c r="AU285" s="512">
        <v>6</v>
      </c>
      <c r="AV285" s="516" t="s">
        <v>2282</v>
      </c>
      <c r="AW285" s="529" t="s">
        <v>2452</v>
      </c>
      <c r="AX285" s="508" t="str">
        <f t="shared" ca="1" si="351"/>
        <v>T3部件</v>
      </c>
      <c r="AY285" s="615">
        <v>1</v>
      </c>
      <c r="AZ285" s="615">
        <v>6.3E-3</v>
      </c>
      <c r="BA285" s="170" t="e">
        <f t="shared" ca="1" si="381"/>
        <v>#VALUE!</v>
      </c>
      <c r="BB285" s="508" t="e">
        <f t="shared" ca="1" si="382"/>
        <v>#VALUE!</v>
      </c>
      <c r="BD285" s="512">
        <v>6</v>
      </c>
      <c r="BE285" s="516" t="s">
        <v>2282</v>
      </c>
      <c r="BF285" s="529" t="s">
        <v>2452</v>
      </c>
      <c r="BG285" s="508" t="str">
        <f t="shared" ca="1" si="352"/>
        <v>T3部件</v>
      </c>
      <c r="BH285" s="508">
        <v>1</v>
      </c>
      <c r="BI285" s="600">
        <v>6.3E-3</v>
      </c>
      <c r="BJ285" s="170" t="e">
        <f t="shared" ca="1" si="367"/>
        <v>#VALUE!</v>
      </c>
      <c r="BK285" s="508" t="e">
        <f t="shared" ca="1" si="368"/>
        <v>#VALUE!</v>
      </c>
      <c r="BV285" s="293">
        <v>8</v>
      </c>
      <c r="BW285" s="527" t="s">
        <v>2246</v>
      </c>
      <c r="BX285" s="530" t="s">
        <v>2200</v>
      </c>
      <c r="BY285" s="523">
        <f t="shared" ca="1" si="383"/>
        <v>8.7750000000000004</v>
      </c>
      <c r="BZ285" s="662">
        <v>2.5</v>
      </c>
      <c r="CA285" s="634">
        <v>1.0500000000000001E-2</v>
      </c>
      <c r="CB285" s="170">
        <f t="shared" ca="1" si="384"/>
        <v>2.3931623931623933E-2</v>
      </c>
      <c r="CC285" s="290">
        <f t="shared" ca="1" si="385"/>
        <v>239</v>
      </c>
    </row>
    <row r="286" spans="2:82" x14ac:dyDescent="0.35">
      <c r="B286" s="512">
        <v>7</v>
      </c>
      <c r="C286" s="516" t="s">
        <v>2249</v>
      </c>
      <c r="D286" s="529" t="s">
        <v>2452</v>
      </c>
      <c r="E286" s="508">
        <f t="shared" ca="1" si="353"/>
        <v>9.4499999999999993</v>
      </c>
      <c r="F286" s="594">
        <v>2</v>
      </c>
      <c r="G286" s="594">
        <v>6.4999999999999997E-3</v>
      </c>
      <c r="H286" s="170">
        <f t="shared" ca="1" si="364"/>
        <v>2.0205026455026455E-2</v>
      </c>
      <c r="I286" s="508">
        <f t="shared" ca="1" si="365"/>
        <v>202</v>
      </c>
      <c r="K286" s="512">
        <v>7</v>
      </c>
      <c r="L286" s="516" t="s">
        <v>2249</v>
      </c>
      <c r="M286" s="529" t="s">
        <v>2452</v>
      </c>
      <c r="N286" s="508">
        <f t="shared" ca="1" si="356"/>
        <v>9.4499999999999993</v>
      </c>
      <c r="O286" s="565">
        <v>1</v>
      </c>
      <c r="P286" s="633">
        <v>9.4000000000000004E-3</v>
      </c>
      <c r="Q286" s="170">
        <f t="shared" ca="1" si="376"/>
        <v>4.6751322751322759E-2</v>
      </c>
      <c r="R286" s="508">
        <f t="shared" ca="1" si="377"/>
        <v>468</v>
      </c>
      <c r="T286" s="512">
        <v>7</v>
      </c>
      <c r="U286" s="516" t="s">
        <v>2249</v>
      </c>
      <c r="V286" s="529" t="s">
        <v>2452</v>
      </c>
      <c r="W286" s="508">
        <f t="shared" ca="1" si="358"/>
        <v>9.4499999999999993</v>
      </c>
      <c r="X286" s="565">
        <v>1</v>
      </c>
      <c r="Y286" s="633">
        <v>9.4000000000000004E-3</v>
      </c>
      <c r="Z286" s="170">
        <f t="shared" ca="1" si="378"/>
        <v>4.7248677248677255E-2</v>
      </c>
      <c r="AA286" s="508">
        <f t="shared" ca="1" si="379"/>
        <v>472</v>
      </c>
      <c r="AC286" s="512">
        <v>7</v>
      </c>
      <c r="AD286" s="516" t="s">
        <v>2246</v>
      </c>
      <c r="AE286" s="529" t="s">
        <v>2452</v>
      </c>
      <c r="AF286" s="508">
        <f t="shared" ca="1" si="371"/>
        <v>9.4499999999999993</v>
      </c>
      <c r="AG286" s="594">
        <v>1</v>
      </c>
      <c r="AH286" s="633">
        <v>4.1999999999999997E-3</v>
      </c>
      <c r="AI286" s="170">
        <f ca="1">AH286*AD$4/AF286/AG286</f>
        <v>2.8444444444444446E-2</v>
      </c>
      <c r="AJ286" s="279">
        <f ca="1">ROUND(AI286*10000,0)</f>
        <v>284</v>
      </c>
      <c r="AL286" s="512" t="s">
        <v>597</v>
      </c>
      <c r="AM286" s="512" t="s">
        <v>1225</v>
      </c>
      <c r="AN286" s="513" t="s">
        <v>917</v>
      </c>
      <c r="AO286" s="166" t="s">
        <v>920</v>
      </c>
      <c r="AP286" s="285" t="s">
        <v>967</v>
      </c>
      <c r="AQ286" s="166" t="s">
        <v>854</v>
      </c>
      <c r="AR286" s="166" t="s">
        <v>926</v>
      </c>
      <c r="AS286" s="281" t="s">
        <v>927</v>
      </c>
      <c r="AT286" s="300" t="e">
        <f ca="1">SUM(AS287:AS350)</f>
        <v>#VALUE!</v>
      </c>
      <c r="AU286" s="512">
        <v>6</v>
      </c>
      <c r="AV286" s="516" t="s">
        <v>2284</v>
      </c>
      <c r="AW286" s="529" t="s">
        <v>2452</v>
      </c>
      <c r="AX286" s="508" t="str">
        <f t="shared" ca="1" si="351"/>
        <v>T3部件</v>
      </c>
      <c r="AY286" s="615">
        <v>1</v>
      </c>
      <c r="AZ286" s="615">
        <v>6.3E-3</v>
      </c>
      <c r="BA286" s="170" t="e">
        <f t="shared" ca="1" si="381"/>
        <v>#VALUE!</v>
      </c>
      <c r="BB286" s="508" t="e">
        <f t="shared" ca="1" si="382"/>
        <v>#VALUE!</v>
      </c>
      <c r="BD286" s="512">
        <v>6</v>
      </c>
      <c r="BE286" s="516" t="s">
        <v>2284</v>
      </c>
      <c r="BF286" s="529" t="s">
        <v>2452</v>
      </c>
      <c r="BG286" s="508" t="str">
        <f t="shared" ca="1" si="352"/>
        <v>T3部件</v>
      </c>
      <c r="BH286" s="508">
        <v>1</v>
      </c>
      <c r="BI286" s="600">
        <v>6.3E-3</v>
      </c>
      <c r="BJ286" s="170" t="e">
        <f t="shared" ca="1" si="367"/>
        <v>#VALUE!</v>
      </c>
      <c r="BK286" s="508" t="e">
        <f t="shared" ca="1" si="368"/>
        <v>#VALUE!</v>
      </c>
      <c r="BV286" s="293">
        <v>8</v>
      </c>
      <c r="BW286" s="527" t="s">
        <v>2248</v>
      </c>
      <c r="BX286" s="530" t="s">
        <v>2200</v>
      </c>
      <c r="BY286" s="523">
        <f t="shared" ca="1" si="383"/>
        <v>8.7750000000000004</v>
      </c>
      <c r="BZ286" s="662">
        <v>2.5</v>
      </c>
      <c r="CA286" s="634">
        <v>1.0500000000000001E-2</v>
      </c>
      <c r="CB286" s="170">
        <f t="shared" ca="1" si="384"/>
        <v>2.3931623931623933E-2</v>
      </c>
      <c r="CC286" s="290">
        <f t="shared" ca="1" si="385"/>
        <v>239</v>
      </c>
    </row>
    <row r="287" spans="2:82" x14ac:dyDescent="0.35">
      <c r="B287" s="512">
        <v>7</v>
      </c>
      <c r="C287" s="516" t="s">
        <v>2251</v>
      </c>
      <c r="D287" s="529" t="s">
        <v>2452</v>
      </c>
      <c r="E287" s="508">
        <f t="shared" ca="1" si="353"/>
        <v>9.4499999999999993</v>
      </c>
      <c r="F287" s="594">
        <v>2</v>
      </c>
      <c r="G287" s="594">
        <v>6.4999999999999997E-3</v>
      </c>
      <c r="H287" s="170">
        <f t="shared" ca="1" si="364"/>
        <v>2.0205026455026455E-2</v>
      </c>
      <c r="I287" s="508">
        <f t="shared" ca="1" si="365"/>
        <v>202</v>
      </c>
      <c r="K287" s="512">
        <v>7</v>
      </c>
      <c r="L287" s="516" t="s">
        <v>2251</v>
      </c>
      <c r="M287" s="529" t="s">
        <v>2452</v>
      </c>
      <c r="N287" s="508">
        <f t="shared" ca="1" si="356"/>
        <v>9.4499999999999993</v>
      </c>
      <c r="O287" s="565">
        <v>1</v>
      </c>
      <c r="P287" s="633">
        <v>9.4000000000000004E-3</v>
      </c>
      <c r="Q287" s="170">
        <f t="shared" ca="1" si="376"/>
        <v>4.6751322751322759E-2</v>
      </c>
      <c r="R287" s="508">
        <f t="shared" ca="1" si="377"/>
        <v>468</v>
      </c>
      <c r="T287" s="512">
        <v>7</v>
      </c>
      <c r="U287" s="516" t="s">
        <v>2251</v>
      </c>
      <c r="V287" s="529" t="s">
        <v>2452</v>
      </c>
      <c r="W287" s="508">
        <f t="shared" ca="1" si="358"/>
        <v>9.4499999999999993</v>
      </c>
      <c r="X287" s="565">
        <v>1</v>
      </c>
      <c r="Y287" s="633">
        <v>9.4000000000000004E-3</v>
      </c>
      <c r="Z287" s="170">
        <f t="shared" ca="1" si="378"/>
        <v>4.7248677248677255E-2</v>
      </c>
      <c r="AA287" s="508">
        <f t="shared" ca="1" si="379"/>
        <v>472</v>
      </c>
      <c r="AC287" s="512">
        <v>7</v>
      </c>
      <c r="AD287" s="516" t="s">
        <v>2248</v>
      </c>
      <c r="AE287" s="529" t="s">
        <v>2452</v>
      </c>
      <c r="AF287" s="508">
        <f t="shared" ca="1" si="371"/>
        <v>9.4499999999999993</v>
      </c>
      <c r="AG287" s="594">
        <v>1</v>
      </c>
      <c r="AH287" s="633">
        <v>4.1999999999999997E-3</v>
      </c>
      <c r="AI287" s="170">
        <f ca="1">AH287*AD$4/AF287/AG287</f>
        <v>2.8444444444444446E-2</v>
      </c>
      <c r="AJ287" s="279">
        <f ca="1">ROUND(AI287*10000,0)</f>
        <v>284</v>
      </c>
      <c r="AL287" s="512">
        <v>7</v>
      </c>
      <c r="AM287" s="516" t="s">
        <v>618</v>
      </c>
      <c r="AN287" s="512" t="s">
        <v>1211</v>
      </c>
      <c r="AO287" s="508">
        <f t="shared" ref="AO287:AO318" ca="1" si="386">IF(AN287="部件",VLOOKUP(AL287,INDIRECT(AN287&amp;"价值"),MATCH(LEFT(AM287,2)&amp;"部件",INDIRECT(AN287&amp;"价值标头"),0),FALSE),IF(AN287="加速道具",VLOOKUP(AM287,INDIRECT(AN287&amp;"价值"),MATCH("价格",INDIRECT(AN287&amp;"价值标头"),0),FALSE),VLOOKUP(AL287,INDIRECT(AN287&amp;"价值"),MATCH(AM287,INDIRECT(AN287&amp;"价值标头"),0),FALSE)))</f>
        <v>52.8</v>
      </c>
      <c r="AP287" s="408">
        <v>4</v>
      </c>
      <c r="AQ287" s="508">
        <f>宝箱设定!$X134</f>
        <v>0.13139999999999999</v>
      </c>
      <c r="AR287" s="170">
        <f ca="1">AQ287*AM$4/AO287/AP287</f>
        <v>6.0349431818181816E-2</v>
      </c>
      <c r="AS287" s="279">
        <f ca="1">ROUND(AR287*10000,0)</f>
        <v>603</v>
      </c>
      <c r="AU287" s="512">
        <v>6</v>
      </c>
      <c r="AV287" s="516" t="s">
        <v>2286</v>
      </c>
      <c r="AW287" s="529" t="s">
        <v>2452</v>
      </c>
      <c r="AX287" s="508" t="str">
        <f t="shared" ca="1" si="351"/>
        <v>T3部件</v>
      </c>
      <c r="AY287" s="615">
        <v>1</v>
      </c>
      <c r="AZ287" s="615">
        <v>6.3E-3</v>
      </c>
      <c r="BA287" s="170" t="e">
        <f t="shared" ca="1" si="381"/>
        <v>#VALUE!</v>
      </c>
      <c r="BB287" s="508" t="e">
        <f t="shared" ca="1" si="382"/>
        <v>#VALUE!</v>
      </c>
      <c r="BD287" s="512">
        <v>6</v>
      </c>
      <c r="BE287" s="516" t="s">
        <v>2286</v>
      </c>
      <c r="BF287" s="529" t="s">
        <v>2452</v>
      </c>
      <c r="BG287" s="508" t="str">
        <f t="shared" ca="1" si="352"/>
        <v>T3部件</v>
      </c>
      <c r="BH287" s="508">
        <v>1</v>
      </c>
      <c r="BI287" s="600">
        <v>6.3E-3</v>
      </c>
      <c r="BJ287" s="170" t="e">
        <f t="shared" ca="1" si="367"/>
        <v>#VALUE!</v>
      </c>
      <c r="BK287" s="508" t="e">
        <f t="shared" ca="1" si="368"/>
        <v>#VALUE!</v>
      </c>
      <c r="BM287" s="512" t="s">
        <v>597</v>
      </c>
      <c r="BN287" s="525" t="s">
        <v>1225</v>
      </c>
      <c r="BO287" s="526" t="s">
        <v>917</v>
      </c>
      <c r="BP287" s="166" t="s">
        <v>920</v>
      </c>
      <c r="BQ287" s="518" t="s">
        <v>967</v>
      </c>
      <c r="BR287" s="166" t="s">
        <v>854</v>
      </c>
      <c r="BS287" s="166" t="s">
        <v>926</v>
      </c>
      <c r="BT287" s="514" t="s">
        <v>927</v>
      </c>
      <c r="BU287" s="300" t="e">
        <f ca="1">SUM(BT288:BT339)</f>
        <v>#VALUE!</v>
      </c>
      <c r="BV287" s="293">
        <v>8</v>
      </c>
      <c r="BW287" s="527" t="s">
        <v>2250</v>
      </c>
      <c r="BX287" s="530" t="s">
        <v>2200</v>
      </c>
      <c r="BY287" s="523">
        <f t="shared" ca="1" si="383"/>
        <v>8.7750000000000004</v>
      </c>
      <c r="BZ287" s="662">
        <v>2.5</v>
      </c>
      <c r="CA287" s="634">
        <v>1.0500000000000001E-2</v>
      </c>
      <c r="CB287" s="170">
        <f t="shared" ca="1" si="384"/>
        <v>2.3931623931623933E-2</v>
      </c>
      <c r="CC287" s="290">
        <f t="shared" ca="1" si="385"/>
        <v>239</v>
      </c>
    </row>
    <row r="288" spans="2:82" x14ac:dyDescent="0.35">
      <c r="B288" s="512">
        <v>7</v>
      </c>
      <c r="C288" s="516" t="s">
        <v>2253</v>
      </c>
      <c r="D288" s="529" t="s">
        <v>2452</v>
      </c>
      <c r="E288" s="508">
        <f t="shared" ca="1" si="353"/>
        <v>9.4499999999999993</v>
      </c>
      <c r="F288" s="594">
        <v>2</v>
      </c>
      <c r="G288" s="594">
        <v>6.4999999999999997E-3</v>
      </c>
      <c r="H288" s="170">
        <f t="shared" ca="1" si="364"/>
        <v>2.0205026455026455E-2</v>
      </c>
      <c r="I288" s="508">
        <f t="shared" ca="1" si="365"/>
        <v>202</v>
      </c>
      <c r="K288" s="512">
        <v>7</v>
      </c>
      <c r="L288" s="516" t="s">
        <v>2253</v>
      </c>
      <c r="M288" s="529" t="s">
        <v>2452</v>
      </c>
      <c r="N288" s="508">
        <f t="shared" ca="1" si="356"/>
        <v>9.4499999999999993</v>
      </c>
      <c r="O288" s="565">
        <v>1</v>
      </c>
      <c r="P288" s="633">
        <v>9.4000000000000004E-3</v>
      </c>
      <c r="Q288" s="170">
        <f t="shared" ca="1" si="376"/>
        <v>4.6751322751322759E-2</v>
      </c>
      <c r="R288" s="508">
        <f t="shared" ca="1" si="377"/>
        <v>468</v>
      </c>
      <c r="T288" s="512">
        <v>7</v>
      </c>
      <c r="U288" s="516" t="s">
        <v>2253</v>
      </c>
      <c r="V288" s="529" t="s">
        <v>2452</v>
      </c>
      <c r="W288" s="508">
        <f t="shared" ca="1" si="358"/>
        <v>9.4499999999999993</v>
      </c>
      <c r="X288" s="565">
        <v>1</v>
      </c>
      <c r="Y288" s="633">
        <v>9.4000000000000004E-3</v>
      </c>
      <c r="Z288" s="170">
        <f t="shared" ca="1" si="378"/>
        <v>4.7248677248677255E-2</v>
      </c>
      <c r="AA288" s="508">
        <f t="shared" ca="1" si="379"/>
        <v>472</v>
      </c>
      <c r="AC288" s="512">
        <v>7</v>
      </c>
      <c r="AD288" s="516" t="s">
        <v>2250</v>
      </c>
      <c r="AE288" s="529" t="s">
        <v>2452</v>
      </c>
      <c r="AF288" s="508">
        <f t="shared" ca="1" si="371"/>
        <v>9.4499999999999993</v>
      </c>
      <c r="AG288" s="594">
        <v>1</v>
      </c>
      <c r="AH288" s="633">
        <v>4.1999999999999997E-3</v>
      </c>
      <c r="AI288" s="170">
        <f ca="1">AH288*AD$4/AF288/AG288</f>
        <v>2.8444444444444446E-2</v>
      </c>
      <c r="AJ288" s="279">
        <f ca="1">ROUND(AI288*10000,0)</f>
        <v>284</v>
      </c>
      <c r="AL288" s="512">
        <v>7</v>
      </c>
      <c r="AM288" s="516" t="s">
        <v>627</v>
      </c>
      <c r="AN288" s="512" t="s">
        <v>1211</v>
      </c>
      <c r="AO288" s="508">
        <f t="shared" ca="1" si="386"/>
        <v>52.8</v>
      </c>
      <c r="AP288" s="600">
        <v>4</v>
      </c>
      <c r="AQ288" s="508">
        <f>宝箱设定!$X135</f>
        <v>0.13139999999999999</v>
      </c>
      <c r="AR288" s="170">
        <f t="shared" ref="AR288:AR293" ca="1" si="387">AQ288*AM$4/AO288/AP288</f>
        <v>6.0349431818181816E-2</v>
      </c>
      <c r="AS288" s="394">
        <f t="shared" ref="AS288:AS293" ca="1" si="388">ROUND(AR288*10000,0)</f>
        <v>603</v>
      </c>
      <c r="AU288" s="512">
        <v>6</v>
      </c>
      <c r="AV288" s="516" t="s">
        <v>2288</v>
      </c>
      <c r="AW288" s="529" t="s">
        <v>2452</v>
      </c>
      <c r="AX288" s="508" t="str">
        <f t="shared" ca="1" si="351"/>
        <v>T3部件</v>
      </c>
      <c r="AY288" s="615">
        <v>1</v>
      </c>
      <c r="AZ288" s="615">
        <v>6.3E-3</v>
      </c>
      <c r="BA288" s="170" t="e">
        <f t="shared" ca="1" si="381"/>
        <v>#VALUE!</v>
      </c>
      <c r="BB288" s="508" t="e">
        <f t="shared" ca="1" si="382"/>
        <v>#VALUE!</v>
      </c>
      <c r="BD288" s="512">
        <v>6</v>
      </c>
      <c r="BE288" s="516" t="s">
        <v>2288</v>
      </c>
      <c r="BF288" s="529" t="s">
        <v>2452</v>
      </c>
      <c r="BG288" s="508" t="str">
        <f t="shared" ca="1" si="352"/>
        <v>T3部件</v>
      </c>
      <c r="BH288" s="508">
        <v>1</v>
      </c>
      <c r="BI288" s="600">
        <v>6.3E-3</v>
      </c>
      <c r="BJ288" s="170" t="e">
        <f t="shared" ca="1" si="367"/>
        <v>#VALUE!</v>
      </c>
      <c r="BK288" s="508" t="e">
        <f t="shared" ca="1" si="368"/>
        <v>#VALUE!</v>
      </c>
      <c r="BM288" s="512">
        <v>8</v>
      </c>
      <c r="BN288" s="527" t="s">
        <v>619</v>
      </c>
      <c r="BO288" s="295" t="s">
        <v>918</v>
      </c>
      <c r="BP288" s="508">
        <f t="shared" ref="BP288:BP319" ca="1" si="389">IF(BO288="部件",VLOOKUP(BM288,INDIRECT(BO288&amp;"价值"),MATCH(LEFT(BN288,2)&amp;"部件",INDIRECT(BO288&amp;"价值标头"),0),FALSE),IF(BO288="加速道具",VLOOKUP(BN288,INDIRECT(BO288&amp;"价值"),MATCH("价格",INDIRECT(BO288&amp;"价值标头"),0),FALSE),VLOOKUP(BM288,INDIRECT(BO288&amp;"价值"),MATCH(BN288,INDIRECT(BO288&amp;"价值标头"),0),FALSE)))</f>
        <v>1980</v>
      </c>
      <c r="BQ288" s="508">
        <v>1</v>
      </c>
      <c r="BR288" s="523">
        <f>宝箱设定!$P173</f>
        <v>7.3999999999999996E-2</v>
      </c>
      <c r="BS288" s="170">
        <f t="shared" ref="BS288:BS326" ca="1" si="390">BR288*BN$4/BP288/BQ288</f>
        <v>1.2333333333333332E-2</v>
      </c>
      <c r="BT288" s="508">
        <f t="shared" ref="BT288:BT326" ca="1" si="391">ROUND(BS288*10000,0)</f>
        <v>123</v>
      </c>
      <c r="BV288" s="293">
        <v>8</v>
      </c>
      <c r="BW288" s="527" t="s">
        <v>2252</v>
      </c>
      <c r="BX288" s="530" t="s">
        <v>2200</v>
      </c>
      <c r="BY288" s="523">
        <f t="shared" ca="1" si="383"/>
        <v>8.7750000000000004</v>
      </c>
      <c r="BZ288" s="662">
        <v>2.5</v>
      </c>
      <c r="CA288" s="634">
        <v>1.0500000000000001E-2</v>
      </c>
      <c r="CB288" s="170">
        <f t="shared" ca="1" si="384"/>
        <v>2.3931623931623933E-2</v>
      </c>
      <c r="CC288" s="290">
        <f t="shared" ca="1" si="385"/>
        <v>239</v>
      </c>
    </row>
    <row r="289" spans="2:81" x14ac:dyDescent="0.35">
      <c r="B289" s="512">
        <v>7</v>
      </c>
      <c r="C289" s="512" t="s">
        <v>2255</v>
      </c>
      <c r="D289" s="529" t="s">
        <v>2452</v>
      </c>
      <c r="E289" s="508">
        <f t="shared" ca="1" si="353"/>
        <v>9.4499999999999993</v>
      </c>
      <c r="F289" s="594">
        <v>2</v>
      </c>
      <c r="G289" s="594">
        <v>6.4999999999999997E-3</v>
      </c>
      <c r="H289" s="170">
        <f t="shared" ca="1" si="364"/>
        <v>2.0205026455026455E-2</v>
      </c>
      <c r="I289" s="508">
        <f t="shared" ca="1" si="365"/>
        <v>202</v>
      </c>
      <c r="K289" s="512">
        <v>7</v>
      </c>
      <c r="L289" s="512" t="s">
        <v>2255</v>
      </c>
      <c r="M289" s="529" t="s">
        <v>2452</v>
      </c>
      <c r="N289" s="508">
        <f t="shared" ca="1" si="356"/>
        <v>9.4499999999999993</v>
      </c>
      <c r="O289" s="565">
        <v>1</v>
      </c>
      <c r="P289" s="633">
        <v>9.4000000000000004E-3</v>
      </c>
      <c r="Q289" s="170">
        <f t="shared" ca="1" si="376"/>
        <v>4.6751322751322759E-2</v>
      </c>
      <c r="R289" s="508">
        <f t="shared" ca="1" si="377"/>
        <v>468</v>
      </c>
      <c r="T289" s="512">
        <v>7</v>
      </c>
      <c r="U289" s="512" t="s">
        <v>2255</v>
      </c>
      <c r="V289" s="529" t="s">
        <v>2452</v>
      </c>
      <c r="W289" s="508">
        <f t="shared" ca="1" si="358"/>
        <v>9.4499999999999993</v>
      </c>
      <c r="X289" s="565">
        <v>1</v>
      </c>
      <c r="Y289" s="633">
        <v>9.4000000000000004E-3</v>
      </c>
      <c r="Z289" s="170">
        <f t="shared" ca="1" si="378"/>
        <v>4.7248677248677255E-2</v>
      </c>
      <c r="AA289" s="508">
        <f t="shared" ca="1" si="379"/>
        <v>472</v>
      </c>
      <c r="AC289" s="512">
        <v>7</v>
      </c>
      <c r="AD289" s="516" t="s">
        <v>2252</v>
      </c>
      <c r="AE289" s="529" t="s">
        <v>2452</v>
      </c>
      <c r="AF289" s="508">
        <f t="shared" ca="1" si="371"/>
        <v>9.4499999999999993</v>
      </c>
      <c r="AG289" s="594">
        <v>1</v>
      </c>
      <c r="AH289" s="633">
        <v>4.1999999999999997E-3</v>
      </c>
      <c r="AI289" s="170">
        <f t="shared" ref="AI289:AI336" ca="1" si="392">AH289*AD$4/AF289/AG289</f>
        <v>2.8444444444444446E-2</v>
      </c>
      <c r="AJ289" s="508">
        <f t="shared" ref="AJ289:AJ336" ca="1" si="393">ROUND(AI289*10000,0)</f>
        <v>284</v>
      </c>
      <c r="AL289" s="512">
        <v>7</v>
      </c>
      <c r="AM289" s="516" t="s">
        <v>628</v>
      </c>
      <c r="AN289" s="512" t="s">
        <v>1211</v>
      </c>
      <c r="AO289" s="508">
        <f t="shared" ca="1" si="386"/>
        <v>52.8</v>
      </c>
      <c r="AP289" s="600">
        <v>4</v>
      </c>
      <c r="AQ289" s="508">
        <f>宝箱设定!$X136</f>
        <v>0.13139999999999999</v>
      </c>
      <c r="AR289" s="170">
        <f t="shared" ca="1" si="387"/>
        <v>6.0349431818181816E-2</v>
      </c>
      <c r="AS289" s="394">
        <f t="shared" ca="1" si="388"/>
        <v>603</v>
      </c>
      <c r="AU289" s="512">
        <v>6</v>
      </c>
      <c r="AV289" s="512" t="s">
        <v>2290</v>
      </c>
      <c r="AW289" s="529" t="s">
        <v>2452</v>
      </c>
      <c r="AX289" s="508" t="str">
        <f t="shared" ca="1" si="351"/>
        <v>T3部件</v>
      </c>
      <c r="AY289" s="615">
        <v>1</v>
      </c>
      <c r="AZ289" s="615">
        <v>6.3E-3</v>
      </c>
      <c r="BA289" s="170" t="e">
        <f t="shared" ca="1" si="381"/>
        <v>#VALUE!</v>
      </c>
      <c r="BB289" s="508" t="e">
        <f t="shared" ca="1" si="382"/>
        <v>#VALUE!</v>
      </c>
      <c r="BD289" s="512">
        <v>6</v>
      </c>
      <c r="BE289" s="512" t="s">
        <v>2290</v>
      </c>
      <c r="BF289" s="529" t="s">
        <v>2452</v>
      </c>
      <c r="BG289" s="508" t="str">
        <f t="shared" ca="1" si="352"/>
        <v>T3部件</v>
      </c>
      <c r="BH289" s="508">
        <v>1</v>
      </c>
      <c r="BI289" s="600">
        <v>6.3E-3</v>
      </c>
      <c r="BJ289" s="170" t="e">
        <f t="shared" ca="1" si="367"/>
        <v>#VALUE!</v>
      </c>
      <c r="BK289" s="508" t="e">
        <f t="shared" ca="1" si="368"/>
        <v>#VALUE!</v>
      </c>
      <c r="BM289" s="512">
        <v>8</v>
      </c>
      <c r="BN289" s="527" t="s">
        <v>718</v>
      </c>
      <c r="BO289" s="295" t="s">
        <v>918</v>
      </c>
      <c r="BP289" s="508">
        <f t="shared" ca="1" si="389"/>
        <v>1980</v>
      </c>
      <c r="BQ289" s="508">
        <v>1</v>
      </c>
      <c r="BR289" s="523">
        <f>宝箱设定!$P174</f>
        <v>7.3999999999999996E-2</v>
      </c>
      <c r="BS289" s="170">
        <f t="shared" ca="1" si="390"/>
        <v>1.2333333333333332E-2</v>
      </c>
      <c r="BT289" s="508">
        <f t="shared" ca="1" si="391"/>
        <v>123</v>
      </c>
      <c r="BV289" s="293">
        <v>8</v>
      </c>
      <c r="BW289" s="525" t="s">
        <v>2254</v>
      </c>
      <c r="BX289" s="530" t="s">
        <v>2200</v>
      </c>
      <c r="BY289" s="523">
        <f t="shared" ca="1" si="383"/>
        <v>8.7750000000000004</v>
      </c>
      <c r="BZ289" s="662">
        <v>2.5</v>
      </c>
      <c r="CA289" s="634">
        <v>1.0500000000000001E-2</v>
      </c>
      <c r="CB289" s="170">
        <f t="shared" ca="1" si="384"/>
        <v>2.3931623931623933E-2</v>
      </c>
      <c r="CC289" s="290">
        <f t="shared" ca="1" si="385"/>
        <v>239</v>
      </c>
    </row>
    <row r="290" spans="2:81" x14ac:dyDescent="0.35">
      <c r="B290" s="512">
        <v>7</v>
      </c>
      <c r="C290" s="512" t="s">
        <v>2257</v>
      </c>
      <c r="D290" s="529" t="s">
        <v>2452</v>
      </c>
      <c r="E290" s="508">
        <f t="shared" ca="1" si="353"/>
        <v>9.4499999999999993</v>
      </c>
      <c r="F290" s="594">
        <v>2</v>
      </c>
      <c r="G290" s="594">
        <v>6.4999999999999997E-3</v>
      </c>
      <c r="H290" s="170">
        <f t="shared" ca="1" si="364"/>
        <v>2.0205026455026455E-2</v>
      </c>
      <c r="I290" s="508">
        <f t="shared" ca="1" si="365"/>
        <v>202</v>
      </c>
      <c r="K290" s="512">
        <v>7</v>
      </c>
      <c r="L290" s="512" t="s">
        <v>2257</v>
      </c>
      <c r="M290" s="529" t="s">
        <v>2452</v>
      </c>
      <c r="N290" s="508">
        <f t="shared" ca="1" si="356"/>
        <v>9.4499999999999993</v>
      </c>
      <c r="O290" s="565">
        <v>1</v>
      </c>
      <c r="P290" s="633">
        <v>9.4000000000000004E-3</v>
      </c>
      <c r="Q290" s="170">
        <f t="shared" ca="1" si="376"/>
        <v>4.6751322751322759E-2</v>
      </c>
      <c r="R290" s="508">
        <f t="shared" ca="1" si="377"/>
        <v>468</v>
      </c>
      <c r="T290" s="512">
        <v>7</v>
      </c>
      <c r="U290" s="512" t="s">
        <v>2257</v>
      </c>
      <c r="V290" s="529" t="s">
        <v>2452</v>
      </c>
      <c r="W290" s="508">
        <f t="shared" ca="1" si="358"/>
        <v>9.4499999999999993</v>
      </c>
      <c r="X290" s="565">
        <v>1</v>
      </c>
      <c r="Y290" s="633">
        <v>9.4000000000000004E-3</v>
      </c>
      <c r="Z290" s="170">
        <f t="shared" ca="1" si="378"/>
        <v>4.7248677248677255E-2</v>
      </c>
      <c r="AA290" s="508">
        <f t="shared" ca="1" si="379"/>
        <v>472</v>
      </c>
      <c r="AC290" s="512">
        <v>7</v>
      </c>
      <c r="AD290" s="512" t="s">
        <v>2254</v>
      </c>
      <c r="AE290" s="529" t="s">
        <v>2452</v>
      </c>
      <c r="AF290" s="508">
        <f t="shared" ca="1" si="371"/>
        <v>9.4499999999999993</v>
      </c>
      <c r="AG290" s="594">
        <v>1</v>
      </c>
      <c r="AH290" s="633">
        <v>4.1999999999999997E-3</v>
      </c>
      <c r="AI290" s="170">
        <f t="shared" ca="1" si="392"/>
        <v>2.8444444444444446E-2</v>
      </c>
      <c r="AJ290" s="508">
        <f t="shared" ca="1" si="393"/>
        <v>284</v>
      </c>
      <c r="AL290" s="512">
        <v>7</v>
      </c>
      <c r="AM290" s="516" t="s">
        <v>619</v>
      </c>
      <c r="AN290" s="512" t="s">
        <v>1211</v>
      </c>
      <c r="AO290" s="508">
        <f t="shared" ca="1" si="386"/>
        <v>69</v>
      </c>
      <c r="AP290" s="408">
        <v>2</v>
      </c>
      <c r="AQ290" s="508">
        <f>宝箱设定!$X137</f>
        <v>8.7599999999999997E-2</v>
      </c>
      <c r="AR290" s="170">
        <f t="shared" ca="1" si="387"/>
        <v>6.1573913043478257E-2</v>
      </c>
      <c r="AS290" s="408">
        <f t="shared" ca="1" si="388"/>
        <v>616</v>
      </c>
      <c r="AU290" s="512">
        <v>6</v>
      </c>
      <c r="AV290" s="512" t="s">
        <v>2292</v>
      </c>
      <c r="AW290" s="529" t="s">
        <v>2452</v>
      </c>
      <c r="AX290" s="508" t="str">
        <f t="shared" ca="1" si="351"/>
        <v>T3部件</v>
      </c>
      <c r="AY290" s="615">
        <v>1</v>
      </c>
      <c r="AZ290" s="615">
        <v>6.3E-3</v>
      </c>
      <c r="BA290" s="170" t="e">
        <f t="shared" ca="1" si="381"/>
        <v>#VALUE!</v>
      </c>
      <c r="BB290" s="508" t="e">
        <f t="shared" ca="1" si="382"/>
        <v>#VALUE!</v>
      </c>
      <c r="BD290" s="512">
        <v>6</v>
      </c>
      <c r="BE290" s="512" t="s">
        <v>2292</v>
      </c>
      <c r="BF290" s="529" t="s">
        <v>2452</v>
      </c>
      <c r="BG290" s="508" t="str">
        <f t="shared" ca="1" si="352"/>
        <v>T3部件</v>
      </c>
      <c r="BH290" s="508">
        <v>1</v>
      </c>
      <c r="BI290" s="600">
        <v>6.3E-3</v>
      </c>
      <c r="BJ290" s="170" t="e">
        <f t="shared" ca="1" si="367"/>
        <v>#VALUE!</v>
      </c>
      <c r="BK290" s="508" t="e">
        <f t="shared" ca="1" si="368"/>
        <v>#VALUE!</v>
      </c>
      <c r="BM290" s="512">
        <v>8</v>
      </c>
      <c r="BN290" s="527" t="s">
        <v>632</v>
      </c>
      <c r="BO290" s="295" t="s">
        <v>918</v>
      </c>
      <c r="BP290" s="508">
        <f t="shared" ca="1" si="389"/>
        <v>1980</v>
      </c>
      <c r="BQ290" s="508">
        <v>1</v>
      </c>
      <c r="BR290" s="523">
        <f>宝箱设定!$P175</f>
        <v>7.3999999999999996E-2</v>
      </c>
      <c r="BS290" s="170">
        <f t="shared" ca="1" si="390"/>
        <v>1.2333333333333332E-2</v>
      </c>
      <c r="BT290" s="508">
        <f t="shared" ca="1" si="391"/>
        <v>123</v>
      </c>
      <c r="BV290" s="293">
        <v>8</v>
      </c>
      <c r="BW290" s="525" t="s">
        <v>2256</v>
      </c>
      <c r="BX290" s="530" t="s">
        <v>2200</v>
      </c>
      <c r="BY290" s="523">
        <f t="shared" ca="1" si="383"/>
        <v>8.7750000000000004</v>
      </c>
      <c r="BZ290" s="662">
        <v>2.5</v>
      </c>
      <c r="CA290" s="634">
        <v>1.0500000000000001E-2</v>
      </c>
      <c r="CB290" s="170">
        <f t="shared" ca="1" si="384"/>
        <v>2.3931623931623933E-2</v>
      </c>
      <c r="CC290" s="290">
        <f t="shared" ca="1" si="385"/>
        <v>239</v>
      </c>
    </row>
    <row r="291" spans="2:81" x14ac:dyDescent="0.35">
      <c r="B291" s="512">
        <v>7</v>
      </c>
      <c r="C291" s="516" t="s">
        <v>2258</v>
      </c>
      <c r="D291" s="529" t="s">
        <v>2452</v>
      </c>
      <c r="E291" s="508" t="str">
        <f t="shared" ca="1" si="353"/>
        <v>T2部件</v>
      </c>
      <c r="F291" s="594">
        <v>1.5</v>
      </c>
      <c r="G291" s="565">
        <v>6.4999999999999997E-3</v>
      </c>
      <c r="H291" s="170" t="e">
        <f t="shared" ca="1" si="364"/>
        <v>#VALUE!</v>
      </c>
      <c r="I291" s="508" t="e">
        <f t="shared" ca="1" si="365"/>
        <v>#VALUE!</v>
      </c>
      <c r="K291" s="512">
        <v>7</v>
      </c>
      <c r="L291" s="516" t="s">
        <v>2258</v>
      </c>
      <c r="M291" s="529" t="s">
        <v>2452</v>
      </c>
      <c r="N291" s="508" t="str">
        <f t="shared" ca="1" si="356"/>
        <v>T2部件</v>
      </c>
      <c r="O291" s="566">
        <v>1</v>
      </c>
      <c r="P291" s="633">
        <v>5.0000000000000001E-3</v>
      </c>
      <c r="Q291" s="170" t="e">
        <f t="shared" ca="1" si="376"/>
        <v>#VALUE!</v>
      </c>
      <c r="R291" s="508" t="e">
        <f t="shared" ca="1" si="377"/>
        <v>#VALUE!</v>
      </c>
      <c r="T291" s="512">
        <v>7</v>
      </c>
      <c r="U291" s="516" t="s">
        <v>2258</v>
      </c>
      <c r="V291" s="529" t="s">
        <v>2452</v>
      </c>
      <c r="W291" s="508" t="str">
        <f t="shared" ca="1" si="358"/>
        <v>T2部件</v>
      </c>
      <c r="X291" s="566">
        <v>1</v>
      </c>
      <c r="Y291" s="633">
        <v>5.0000000000000001E-3</v>
      </c>
      <c r="Z291" s="170" t="e">
        <f t="shared" ca="1" si="378"/>
        <v>#VALUE!</v>
      </c>
      <c r="AA291" s="508" t="e">
        <f t="shared" ca="1" si="379"/>
        <v>#VALUE!</v>
      </c>
      <c r="AC291" s="512">
        <v>7</v>
      </c>
      <c r="AD291" s="512" t="s">
        <v>2256</v>
      </c>
      <c r="AE291" s="529" t="s">
        <v>2452</v>
      </c>
      <c r="AF291" s="508">
        <f t="shared" ca="1" si="371"/>
        <v>9.4499999999999993</v>
      </c>
      <c r="AG291" s="594">
        <v>1</v>
      </c>
      <c r="AH291" s="633">
        <v>4.1999999999999997E-3</v>
      </c>
      <c r="AI291" s="170">
        <f t="shared" ca="1" si="392"/>
        <v>2.8444444444444446E-2</v>
      </c>
      <c r="AJ291" s="508">
        <f t="shared" ca="1" si="393"/>
        <v>284</v>
      </c>
      <c r="AL291" s="512">
        <v>7</v>
      </c>
      <c r="AM291" s="516" t="s">
        <v>718</v>
      </c>
      <c r="AN291" s="512" t="s">
        <v>1211</v>
      </c>
      <c r="AO291" s="508">
        <f t="shared" ca="1" si="386"/>
        <v>69</v>
      </c>
      <c r="AP291" s="565">
        <v>2</v>
      </c>
      <c r="AQ291" s="508">
        <f>宝箱设定!$X138</f>
        <v>8.7599999999999997E-2</v>
      </c>
      <c r="AR291" s="170">
        <f t="shared" ca="1" si="387"/>
        <v>6.1573913043478257E-2</v>
      </c>
      <c r="AS291" s="408">
        <f t="shared" ca="1" si="388"/>
        <v>616</v>
      </c>
      <c r="BM291" s="512">
        <v>8</v>
      </c>
      <c r="BN291" s="527" t="s">
        <v>620</v>
      </c>
      <c r="BO291" s="295" t="s">
        <v>918</v>
      </c>
      <c r="BP291" s="508">
        <f t="shared" ca="1" si="389"/>
        <v>5000</v>
      </c>
      <c r="BQ291" s="508">
        <v>1</v>
      </c>
      <c r="BR291" s="523">
        <f>宝箱设定!$P176</f>
        <v>4.4399999999999995E-2</v>
      </c>
      <c r="BS291" s="170">
        <f t="shared" ca="1" si="390"/>
        <v>2.9303999999999997E-3</v>
      </c>
      <c r="BT291" s="508">
        <f t="shared" ca="1" si="391"/>
        <v>29</v>
      </c>
      <c r="BV291" s="293">
        <v>8</v>
      </c>
      <c r="BW291" s="527" t="s">
        <v>2241</v>
      </c>
      <c r="BX291" s="530" t="s">
        <v>2200</v>
      </c>
      <c r="BY291" s="523">
        <f t="shared" ca="1" si="383"/>
        <v>8.7750000000000004</v>
      </c>
      <c r="BZ291" s="662">
        <v>2.5</v>
      </c>
      <c r="CA291" s="634">
        <v>1.0500000000000001E-2</v>
      </c>
      <c r="CB291" s="170">
        <f t="shared" ca="1" si="384"/>
        <v>2.3931623931623933E-2</v>
      </c>
      <c r="CC291" s="290">
        <f t="shared" ca="1" si="385"/>
        <v>239</v>
      </c>
    </row>
    <row r="292" spans="2:81" x14ac:dyDescent="0.35">
      <c r="B292" s="512">
        <v>7</v>
      </c>
      <c r="C292" s="516" t="s">
        <v>2260</v>
      </c>
      <c r="D292" s="529" t="s">
        <v>2452</v>
      </c>
      <c r="E292" s="508" t="str">
        <f t="shared" ca="1" si="353"/>
        <v>T2部件</v>
      </c>
      <c r="F292" s="594">
        <v>1.5</v>
      </c>
      <c r="G292" s="594">
        <v>6.4999999999999997E-3</v>
      </c>
      <c r="H292" s="170" t="e">
        <f t="shared" ca="1" si="364"/>
        <v>#VALUE!</v>
      </c>
      <c r="I292" s="508" t="e">
        <f t="shared" ca="1" si="365"/>
        <v>#VALUE!</v>
      </c>
      <c r="K292" s="512">
        <v>7</v>
      </c>
      <c r="L292" s="516" t="s">
        <v>2260</v>
      </c>
      <c r="M292" s="529" t="s">
        <v>2452</v>
      </c>
      <c r="N292" s="508" t="str">
        <f t="shared" ca="1" si="356"/>
        <v>T2部件</v>
      </c>
      <c r="O292" s="566">
        <v>1</v>
      </c>
      <c r="P292" s="633">
        <v>5.0000000000000001E-3</v>
      </c>
      <c r="Q292" s="170" t="e">
        <f t="shared" ca="1" si="376"/>
        <v>#VALUE!</v>
      </c>
      <c r="R292" s="508" t="e">
        <f t="shared" ca="1" si="377"/>
        <v>#VALUE!</v>
      </c>
      <c r="T292" s="512">
        <v>7</v>
      </c>
      <c r="U292" s="516" t="s">
        <v>2260</v>
      </c>
      <c r="V292" s="529" t="s">
        <v>2452</v>
      </c>
      <c r="W292" s="508" t="str">
        <f t="shared" ca="1" si="358"/>
        <v>T2部件</v>
      </c>
      <c r="X292" s="566">
        <v>1</v>
      </c>
      <c r="Y292" s="633">
        <v>5.0000000000000001E-3</v>
      </c>
      <c r="Z292" s="170" t="e">
        <f t="shared" ca="1" si="378"/>
        <v>#VALUE!</v>
      </c>
      <c r="AA292" s="508" t="e">
        <f t="shared" ca="1" si="379"/>
        <v>#VALUE!</v>
      </c>
      <c r="AC292" s="512">
        <v>7</v>
      </c>
      <c r="AD292" s="516" t="s">
        <v>2241</v>
      </c>
      <c r="AE292" s="529" t="s">
        <v>2452</v>
      </c>
      <c r="AF292" s="508">
        <f t="shared" ca="1" si="371"/>
        <v>9.4499999999999993</v>
      </c>
      <c r="AG292" s="594">
        <v>1</v>
      </c>
      <c r="AH292" s="633">
        <v>4.1999999999999997E-3</v>
      </c>
      <c r="AI292" s="170">
        <f t="shared" ca="1" si="392"/>
        <v>2.8444444444444446E-2</v>
      </c>
      <c r="AJ292" s="508">
        <f t="shared" ca="1" si="393"/>
        <v>284</v>
      </c>
      <c r="AL292" s="512">
        <v>7</v>
      </c>
      <c r="AM292" s="516" t="s">
        <v>632</v>
      </c>
      <c r="AN292" s="512" t="s">
        <v>1211</v>
      </c>
      <c r="AO292" s="508">
        <f t="shared" ca="1" si="386"/>
        <v>69</v>
      </c>
      <c r="AP292" s="565">
        <v>2</v>
      </c>
      <c r="AQ292" s="508">
        <f>宝箱设定!$X139</f>
        <v>8.7599999999999997E-2</v>
      </c>
      <c r="AR292" s="170">
        <f t="shared" ca="1" si="387"/>
        <v>6.1573913043478257E-2</v>
      </c>
      <c r="AS292" s="408">
        <f t="shared" ca="1" si="388"/>
        <v>616</v>
      </c>
      <c r="BM292" s="512">
        <v>8</v>
      </c>
      <c r="BN292" s="527" t="s">
        <v>719</v>
      </c>
      <c r="BO292" s="295" t="s">
        <v>918</v>
      </c>
      <c r="BP292" s="508">
        <f t="shared" ca="1" si="389"/>
        <v>5000</v>
      </c>
      <c r="BQ292" s="508">
        <v>1</v>
      </c>
      <c r="BR292" s="523">
        <f>宝箱设定!$P177</f>
        <v>4.4399999999999995E-2</v>
      </c>
      <c r="BS292" s="170">
        <f t="shared" ca="1" si="390"/>
        <v>2.9303999999999997E-3</v>
      </c>
      <c r="BT292" s="508">
        <f t="shared" ca="1" si="391"/>
        <v>29</v>
      </c>
      <c r="BV292" s="293">
        <v>8</v>
      </c>
      <c r="BW292" s="527" t="s">
        <v>2243</v>
      </c>
      <c r="BX292" s="530" t="s">
        <v>2200</v>
      </c>
      <c r="BY292" s="523">
        <f t="shared" ca="1" si="383"/>
        <v>8.7750000000000004</v>
      </c>
      <c r="BZ292" s="662">
        <v>2.5</v>
      </c>
      <c r="CA292" s="634">
        <v>1.0500000000000001E-2</v>
      </c>
      <c r="CB292" s="170">
        <f t="shared" ca="1" si="384"/>
        <v>2.3931623931623933E-2</v>
      </c>
      <c r="CC292" s="290">
        <f t="shared" ca="1" si="385"/>
        <v>239</v>
      </c>
    </row>
    <row r="293" spans="2:81" x14ac:dyDescent="0.35">
      <c r="B293" s="512">
        <v>7</v>
      </c>
      <c r="C293" s="516" t="s">
        <v>2262</v>
      </c>
      <c r="D293" s="529" t="s">
        <v>2452</v>
      </c>
      <c r="E293" s="508" t="str">
        <f t="shared" ca="1" si="353"/>
        <v>T2部件</v>
      </c>
      <c r="F293" s="594">
        <v>1.5</v>
      </c>
      <c r="G293" s="594">
        <v>6.4999999999999997E-3</v>
      </c>
      <c r="H293" s="170" t="e">
        <f t="shared" ca="1" si="364"/>
        <v>#VALUE!</v>
      </c>
      <c r="I293" s="508" t="e">
        <f t="shared" ca="1" si="365"/>
        <v>#VALUE!</v>
      </c>
      <c r="K293" s="512">
        <v>7</v>
      </c>
      <c r="L293" s="516" t="s">
        <v>2262</v>
      </c>
      <c r="M293" s="529" t="s">
        <v>2452</v>
      </c>
      <c r="N293" s="508" t="str">
        <f t="shared" ca="1" si="356"/>
        <v>T2部件</v>
      </c>
      <c r="O293" s="566">
        <v>1</v>
      </c>
      <c r="P293" s="633">
        <v>5.0000000000000001E-3</v>
      </c>
      <c r="Q293" s="170" t="e">
        <f t="shared" ca="1" si="376"/>
        <v>#VALUE!</v>
      </c>
      <c r="R293" s="508" t="e">
        <f t="shared" ca="1" si="377"/>
        <v>#VALUE!</v>
      </c>
      <c r="T293" s="512">
        <v>7</v>
      </c>
      <c r="U293" s="516" t="s">
        <v>2262</v>
      </c>
      <c r="V293" s="529" t="s">
        <v>2452</v>
      </c>
      <c r="W293" s="508" t="str">
        <f t="shared" ca="1" si="358"/>
        <v>T2部件</v>
      </c>
      <c r="X293" s="566">
        <v>1</v>
      </c>
      <c r="Y293" s="633">
        <v>5.0000000000000001E-3</v>
      </c>
      <c r="Z293" s="170" t="e">
        <f t="shared" ca="1" si="378"/>
        <v>#VALUE!</v>
      </c>
      <c r="AA293" s="508" t="e">
        <f t="shared" ca="1" si="379"/>
        <v>#VALUE!</v>
      </c>
      <c r="AC293" s="512">
        <v>7</v>
      </c>
      <c r="AD293" s="516" t="s">
        <v>2243</v>
      </c>
      <c r="AE293" s="529" t="s">
        <v>2452</v>
      </c>
      <c r="AF293" s="508">
        <f t="shared" ca="1" si="371"/>
        <v>9.4499999999999993</v>
      </c>
      <c r="AG293" s="594">
        <v>1</v>
      </c>
      <c r="AH293" s="633">
        <v>4.1999999999999997E-3</v>
      </c>
      <c r="AI293" s="170">
        <f t="shared" ca="1" si="392"/>
        <v>2.8444444444444446E-2</v>
      </c>
      <c r="AJ293" s="508">
        <f t="shared" ca="1" si="393"/>
        <v>284</v>
      </c>
      <c r="AL293" s="512">
        <v>7</v>
      </c>
      <c r="AM293" s="516" t="s">
        <v>2239</v>
      </c>
      <c r="AN293" s="529" t="s">
        <v>2452</v>
      </c>
      <c r="AO293" s="508">
        <f t="shared" ca="1" si="386"/>
        <v>9.4499999999999993</v>
      </c>
      <c r="AP293" s="600">
        <v>1.5</v>
      </c>
      <c r="AQ293" s="565">
        <v>6.0000000000000001E-3</v>
      </c>
      <c r="AR293" s="170">
        <f t="shared" ca="1" si="387"/>
        <v>4.1058201058201058E-2</v>
      </c>
      <c r="AS293" s="408">
        <f t="shared" ca="1" si="388"/>
        <v>411</v>
      </c>
      <c r="AU293" s="512" t="s">
        <v>597</v>
      </c>
      <c r="AV293" s="512" t="s">
        <v>1225</v>
      </c>
      <c r="AW293" s="513" t="s">
        <v>917</v>
      </c>
      <c r="AX293" s="166" t="s">
        <v>920</v>
      </c>
      <c r="AY293" s="518" t="s">
        <v>967</v>
      </c>
      <c r="AZ293" s="166" t="s">
        <v>854</v>
      </c>
      <c r="BA293" s="166" t="s">
        <v>926</v>
      </c>
      <c r="BB293" s="514" t="s">
        <v>927</v>
      </c>
      <c r="BC293" s="300" t="e">
        <f ca="1">SUM(BB294:BB362)</f>
        <v>#VALUE!</v>
      </c>
      <c r="BD293" s="512" t="s">
        <v>597</v>
      </c>
      <c r="BE293" s="512" t="s">
        <v>1225</v>
      </c>
      <c r="BF293" s="513" t="s">
        <v>917</v>
      </c>
      <c r="BG293" s="166" t="s">
        <v>920</v>
      </c>
      <c r="BH293" s="518" t="s">
        <v>967</v>
      </c>
      <c r="BI293" s="166" t="s">
        <v>854</v>
      </c>
      <c r="BJ293" s="166" t="s">
        <v>926</v>
      </c>
      <c r="BK293" s="281" t="s">
        <v>927</v>
      </c>
      <c r="BL293" s="300" t="e">
        <f ca="1">SUM(BK294:BK362)</f>
        <v>#VALUE!</v>
      </c>
      <c r="BM293" s="512">
        <v>8</v>
      </c>
      <c r="BN293" s="527" t="s">
        <v>635</v>
      </c>
      <c r="BO293" s="295" t="s">
        <v>918</v>
      </c>
      <c r="BP293" s="508">
        <f t="shared" ca="1" si="389"/>
        <v>5000</v>
      </c>
      <c r="BQ293" s="508">
        <v>1</v>
      </c>
      <c r="BR293" s="523">
        <f>宝箱设定!$P178</f>
        <v>4.4399999999999995E-2</v>
      </c>
      <c r="BS293" s="170">
        <f t="shared" ca="1" si="390"/>
        <v>2.9303999999999997E-3</v>
      </c>
      <c r="BT293" s="508">
        <f t="shared" ca="1" si="391"/>
        <v>29</v>
      </c>
      <c r="BV293" s="293">
        <v>8</v>
      </c>
      <c r="BW293" s="527" t="s">
        <v>2245</v>
      </c>
      <c r="BX293" s="530" t="s">
        <v>2200</v>
      </c>
      <c r="BY293" s="523">
        <f t="shared" ca="1" si="383"/>
        <v>8.7750000000000004</v>
      </c>
      <c r="BZ293" s="662">
        <v>2.5</v>
      </c>
      <c r="CA293" s="634">
        <v>1.0500000000000001E-2</v>
      </c>
      <c r="CB293" s="170">
        <f t="shared" ca="1" si="384"/>
        <v>2.3931623931623933E-2</v>
      </c>
      <c r="CC293" s="290">
        <f t="shared" ca="1" si="385"/>
        <v>239</v>
      </c>
    </row>
    <row r="294" spans="2:81" x14ac:dyDescent="0.35">
      <c r="B294" s="512">
        <v>7</v>
      </c>
      <c r="C294" s="516" t="s">
        <v>2264</v>
      </c>
      <c r="D294" s="529" t="s">
        <v>2452</v>
      </c>
      <c r="E294" s="508" t="str">
        <f t="shared" ca="1" si="353"/>
        <v>T2部件</v>
      </c>
      <c r="F294" s="594">
        <v>1.5</v>
      </c>
      <c r="G294" s="594">
        <v>6.4999999999999997E-3</v>
      </c>
      <c r="H294" s="170" t="e">
        <f t="shared" ca="1" si="364"/>
        <v>#VALUE!</v>
      </c>
      <c r="I294" s="508" t="e">
        <f t="shared" ca="1" si="365"/>
        <v>#VALUE!</v>
      </c>
      <c r="K294" s="512">
        <v>7</v>
      </c>
      <c r="L294" s="516" t="s">
        <v>2264</v>
      </c>
      <c r="M294" s="529" t="s">
        <v>2452</v>
      </c>
      <c r="N294" s="508" t="str">
        <f t="shared" ca="1" si="356"/>
        <v>T2部件</v>
      </c>
      <c r="O294" s="566">
        <v>1</v>
      </c>
      <c r="P294" s="633">
        <v>5.0000000000000001E-3</v>
      </c>
      <c r="Q294" s="170" t="e">
        <f t="shared" ca="1" si="376"/>
        <v>#VALUE!</v>
      </c>
      <c r="R294" s="508" t="e">
        <f t="shared" ca="1" si="377"/>
        <v>#VALUE!</v>
      </c>
      <c r="T294" s="512">
        <v>7</v>
      </c>
      <c r="U294" s="516" t="s">
        <v>2264</v>
      </c>
      <c r="V294" s="529" t="s">
        <v>2452</v>
      </c>
      <c r="W294" s="508" t="str">
        <f t="shared" ca="1" si="358"/>
        <v>T2部件</v>
      </c>
      <c r="X294" s="566">
        <v>1</v>
      </c>
      <c r="Y294" s="633">
        <v>5.0000000000000001E-3</v>
      </c>
      <c r="Z294" s="170" t="e">
        <f t="shared" ca="1" si="378"/>
        <v>#VALUE!</v>
      </c>
      <c r="AA294" s="508" t="e">
        <f t="shared" ca="1" si="379"/>
        <v>#VALUE!</v>
      </c>
      <c r="AC294" s="512">
        <v>7</v>
      </c>
      <c r="AD294" s="516" t="s">
        <v>2245</v>
      </c>
      <c r="AE294" s="529" t="s">
        <v>2452</v>
      </c>
      <c r="AF294" s="508">
        <f t="shared" ca="1" si="371"/>
        <v>9.4499999999999993</v>
      </c>
      <c r="AG294" s="594">
        <v>1</v>
      </c>
      <c r="AH294" s="633">
        <v>4.1999999999999997E-3</v>
      </c>
      <c r="AI294" s="170">
        <f t="shared" ca="1" si="392"/>
        <v>2.8444444444444446E-2</v>
      </c>
      <c r="AJ294" s="508">
        <f t="shared" ca="1" si="393"/>
        <v>284</v>
      </c>
      <c r="AL294" s="512">
        <v>7</v>
      </c>
      <c r="AM294" s="516" t="s">
        <v>2242</v>
      </c>
      <c r="AN294" s="529" t="s">
        <v>2452</v>
      </c>
      <c r="AO294" s="508">
        <f t="shared" ca="1" si="386"/>
        <v>9.4499999999999993</v>
      </c>
      <c r="AP294" s="600">
        <v>1.5</v>
      </c>
      <c r="AQ294" s="565">
        <v>6.0000000000000001E-3</v>
      </c>
      <c r="AR294" s="170">
        <f ca="1">AQ294*AM$4/AO294/AP294</f>
        <v>4.1058201058201058E-2</v>
      </c>
      <c r="AS294" s="279">
        <f ca="1">ROUND(AR294*10000,0)</f>
        <v>411</v>
      </c>
      <c r="AU294" s="512">
        <v>7</v>
      </c>
      <c r="AV294" s="516" t="s">
        <v>618</v>
      </c>
      <c r="AW294" s="295" t="s">
        <v>2395</v>
      </c>
      <c r="AX294" s="508">
        <f t="shared" ref="AX294:AX325" ca="1" si="394">IF(AW294="部件",VLOOKUP(AU294,INDIRECT(AW294&amp;"价值"),MATCH(LEFT(AV294,2)&amp;"部件",INDIRECT(AW294&amp;"价值标头"),0),FALSE),IF(AW294="加速道具",VLOOKUP(AV294,INDIRECT(AW294&amp;"价值"),MATCH("价格",INDIRECT(AW294&amp;"价值标头"),0),FALSE),VLOOKUP(AU294,INDIRECT(AW294&amp;"价值"),MATCH(AV294,INDIRECT(AW294&amp;"价值标头"),0),FALSE)))</f>
        <v>1584</v>
      </c>
      <c r="AY294" s="508">
        <v>1</v>
      </c>
      <c r="AZ294" s="508">
        <f>宝箱设定!$H161</f>
        <v>6.2899999999999998E-2</v>
      </c>
      <c r="BA294" s="170">
        <f t="shared" ref="BA294:BA353" ca="1" si="395">AZ294*AV$4/AX294/AY294</f>
        <v>2.5811237373737374E-3</v>
      </c>
      <c r="BB294" s="508">
        <f t="shared" ref="BB294:BB353" ca="1" si="396">ROUND(BA294*10000,0)</f>
        <v>26</v>
      </c>
      <c r="BD294" s="512">
        <v>7</v>
      </c>
      <c r="BE294" s="516" t="s">
        <v>618</v>
      </c>
      <c r="BF294" s="295" t="s">
        <v>2395</v>
      </c>
      <c r="BG294" s="508">
        <f t="shared" ref="BG294:BG325" ca="1" si="397">IF(BF294="部件",VLOOKUP(BD294,INDIRECT(BF294&amp;"价值"),MATCH(LEFT(BE294,2)&amp;"部件",INDIRECT(BF294&amp;"价值标头"),0),FALSE),IF(BF294="加速道具",VLOOKUP(BE294,INDIRECT(BF294&amp;"价值"),MATCH("价格",INDIRECT(BF294&amp;"价值标头"),0),FALSE),VLOOKUP(BD294,INDIRECT(BF294&amp;"价值"),MATCH(BE294,INDIRECT(BF294&amp;"价值标头"),0),FALSE)))</f>
        <v>1584</v>
      </c>
      <c r="BH294" s="508">
        <v>1</v>
      </c>
      <c r="BI294" s="508">
        <f>宝箱设定!$H161</f>
        <v>6.2899999999999998E-2</v>
      </c>
      <c r="BJ294" s="170">
        <f t="shared" ref="BJ294:BJ305" ca="1" si="398">BI294*BE$4/BG294/BH294</f>
        <v>5.8571654040404037E-3</v>
      </c>
      <c r="BK294" s="279">
        <f t="shared" ref="BK294:BK305" ca="1" si="399">ROUND(BJ294*10000,0)</f>
        <v>59</v>
      </c>
      <c r="BM294" s="512">
        <v>8</v>
      </c>
      <c r="BN294" s="527" t="s">
        <v>720</v>
      </c>
      <c r="BO294" s="295" t="s">
        <v>918</v>
      </c>
      <c r="BP294" s="508">
        <f t="shared" ca="1" si="389"/>
        <v>6250</v>
      </c>
      <c r="BQ294" s="508">
        <v>1</v>
      </c>
      <c r="BR294" s="523">
        <f>宝箱设定!$P179</f>
        <v>4.4399999999999995E-2</v>
      </c>
      <c r="BS294" s="170">
        <f t="shared" ca="1" si="390"/>
        <v>2.3443199999999996E-3</v>
      </c>
      <c r="BT294" s="508">
        <f t="shared" ca="1" si="391"/>
        <v>23</v>
      </c>
      <c r="BV294" s="293">
        <v>8</v>
      </c>
      <c r="BW294" s="527" t="s">
        <v>2247</v>
      </c>
      <c r="BX294" s="530" t="s">
        <v>2200</v>
      </c>
      <c r="BY294" s="523">
        <f t="shared" ca="1" si="383"/>
        <v>8.7750000000000004</v>
      </c>
      <c r="BZ294" s="662">
        <v>2.5</v>
      </c>
      <c r="CA294" s="634">
        <v>1.0500000000000001E-2</v>
      </c>
      <c r="CB294" s="170">
        <f t="shared" ca="1" si="384"/>
        <v>2.3931623931623933E-2</v>
      </c>
      <c r="CC294" s="290">
        <f t="shared" ca="1" si="385"/>
        <v>239</v>
      </c>
    </row>
    <row r="295" spans="2:81" x14ac:dyDescent="0.35">
      <c r="B295" s="512">
        <v>7</v>
      </c>
      <c r="C295" s="516" t="s">
        <v>2266</v>
      </c>
      <c r="D295" s="529" t="s">
        <v>2452</v>
      </c>
      <c r="E295" s="508" t="str">
        <f t="shared" ca="1" si="353"/>
        <v>T2部件</v>
      </c>
      <c r="F295" s="594">
        <v>1.5</v>
      </c>
      <c r="G295" s="594">
        <v>6.4999999999999997E-3</v>
      </c>
      <c r="H295" s="170" t="e">
        <f t="shared" ca="1" si="364"/>
        <v>#VALUE!</v>
      </c>
      <c r="I295" s="508" t="e">
        <f t="shared" ca="1" si="365"/>
        <v>#VALUE!</v>
      </c>
      <c r="K295" s="512">
        <v>7</v>
      </c>
      <c r="L295" s="516" t="s">
        <v>2266</v>
      </c>
      <c r="M295" s="529" t="s">
        <v>2452</v>
      </c>
      <c r="N295" s="508" t="str">
        <f t="shared" ca="1" si="356"/>
        <v>T2部件</v>
      </c>
      <c r="O295" s="566">
        <v>1</v>
      </c>
      <c r="P295" s="633">
        <v>5.0000000000000001E-3</v>
      </c>
      <c r="Q295" s="170" t="e">
        <f t="shared" ca="1" si="376"/>
        <v>#VALUE!</v>
      </c>
      <c r="R295" s="508" t="e">
        <f t="shared" ca="1" si="377"/>
        <v>#VALUE!</v>
      </c>
      <c r="T295" s="512">
        <v>7</v>
      </c>
      <c r="U295" s="516" t="s">
        <v>2266</v>
      </c>
      <c r="V295" s="529" t="s">
        <v>2452</v>
      </c>
      <c r="W295" s="508" t="str">
        <f t="shared" ca="1" si="358"/>
        <v>T2部件</v>
      </c>
      <c r="X295" s="566">
        <v>1</v>
      </c>
      <c r="Y295" s="633">
        <v>5.0000000000000001E-3</v>
      </c>
      <c r="Z295" s="170" t="e">
        <f t="shared" ca="1" si="378"/>
        <v>#VALUE!</v>
      </c>
      <c r="AA295" s="508" t="e">
        <f t="shared" ca="1" si="379"/>
        <v>#VALUE!</v>
      </c>
      <c r="AC295" s="512">
        <v>7</v>
      </c>
      <c r="AD295" s="516" t="s">
        <v>2247</v>
      </c>
      <c r="AE295" s="529" t="s">
        <v>2452</v>
      </c>
      <c r="AF295" s="508">
        <f t="shared" ca="1" si="371"/>
        <v>9.4499999999999993</v>
      </c>
      <c r="AG295" s="594">
        <v>1</v>
      </c>
      <c r="AH295" s="633">
        <v>4.1999999999999997E-3</v>
      </c>
      <c r="AI295" s="170">
        <f t="shared" ca="1" si="392"/>
        <v>2.8444444444444446E-2</v>
      </c>
      <c r="AJ295" s="508">
        <f t="shared" ca="1" si="393"/>
        <v>284</v>
      </c>
      <c r="AL295" s="512">
        <v>7</v>
      </c>
      <c r="AM295" s="516" t="s">
        <v>2244</v>
      </c>
      <c r="AN295" s="529" t="s">
        <v>2452</v>
      </c>
      <c r="AO295" s="508">
        <f t="shared" ca="1" si="386"/>
        <v>9.4499999999999993</v>
      </c>
      <c r="AP295" s="600">
        <v>1.5</v>
      </c>
      <c r="AQ295" s="565">
        <v>6.0000000000000001E-3</v>
      </c>
      <c r="AR295" s="170">
        <f ca="1">AQ295*AM$4/AO295/AP295</f>
        <v>4.1058201058201058E-2</v>
      </c>
      <c r="AS295" s="279">
        <f ca="1">ROUND(AR295*10000,0)</f>
        <v>411</v>
      </c>
      <c r="AU295" s="512">
        <v>7</v>
      </c>
      <c r="AV295" s="516" t="s">
        <v>627</v>
      </c>
      <c r="AW295" s="295" t="s">
        <v>2395</v>
      </c>
      <c r="AX295" s="508">
        <f t="shared" ca="1" si="394"/>
        <v>1584</v>
      </c>
      <c r="AY295" s="565">
        <v>1</v>
      </c>
      <c r="AZ295" s="508">
        <f>宝箱设定!$H162</f>
        <v>6.2899999999999998E-2</v>
      </c>
      <c r="BA295" s="170">
        <f t="shared" ca="1" si="395"/>
        <v>2.5811237373737374E-3</v>
      </c>
      <c r="BB295" s="508">
        <f t="shared" ca="1" si="396"/>
        <v>26</v>
      </c>
      <c r="BD295" s="512">
        <v>7</v>
      </c>
      <c r="BE295" s="516" t="s">
        <v>627</v>
      </c>
      <c r="BF295" s="295" t="s">
        <v>2395</v>
      </c>
      <c r="BG295" s="508">
        <f t="shared" ca="1" si="397"/>
        <v>1584</v>
      </c>
      <c r="BH295" s="508">
        <v>1</v>
      </c>
      <c r="BI295" s="508">
        <f>宝箱设定!$H162</f>
        <v>6.2899999999999998E-2</v>
      </c>
      <c r="BJ295" s="170">
        <f ca="1">BI295*BE$4/BG295/BH295</f>
        <v>5.8571654040404037E-3</v>
      </c>
      <c r="BK295" s="379">
        <f ca="1">ROUND(BJ295*10000,0)</f>
        <v>59</v>
      </c>
      <c r="BM295" s="512">
        <v>8</v>
      </c>
      <c r="BN295" s="527" t="s">
        <v>621</v>
      </c>
      <c r="BO295" s="295" t="s">
        <v>918</v>
      </c>
      <c r="BP295" s="508">
        <f t="shared" ca="1" si="389"/>
        <v>7750</v>
      </c>
      <c r="BQ295" s="508">
        <v>1</v>
      </c>
      <c r="BR295" s="523">
        <f>宝箱设定!$P180</f>
        <v>4.4399999999999995E-2</v>
      </c>
      <c r="BS295" s="170">
        <f t="shared" ca="1" si="390"/>
        <v>1.8905806451612901E-3</v>
      </c>
      <c r="BT295" s="508">
        <f t="shared" ca="1" si="391"/>
        <v>19</v>
      </c>
      <c r="BV295" s="293">
        <v>8</v>
      </c>
      <c r="BW295" s="527" t="s">
        <v>2249</v>
      </c>
      <c r="BX295" s="530" t="s">
        <v>2200</v>
      </c>
      <c r="BY295" s="523">
        <f t="shared" ca="1" si="383"/>
        <v>8.7750000000000004</v>
      </c>
      <c r="BZ295" s="662">
        <v>2.5</v>
      </c>
      <c r="CA295" s="634">
        <v>1.0500000000000001E-2</v>
      </c>
      <c r="CB295" s="170">
        <f t="shared" ca="1" si="384"/>
        <v>2.3931623931623933E-2</v>
      </c>
      <c r="CC295" s="290">
        <f t="shared" ca="1" si="385"/>
        <v>239</v>
      </c>
    </row>
    <row r="296" spans="2:81" x14ac:dyDescent="0.35">
      <c r="B296" s="512">
        <v>7</v>
      </c>
      <c r="C296" s="516" t="s">
        <v>2268</v>
      </c>
      <c r="D296" s="529" t="s">
        <v>2452</v>
      </c>
      <c r="E296" s="508" t="str">
        <f t="shared" ca="1" si="353"/>
        <v>T2部件</v>
      </c>
      <c r="F296" s="594">
        <v>1.5</v>
      </c>
      <c r="G296" s="594">
        <v>6.4999999999999997E-3</v>
      </c>
      <c r="H296" s="170" t="e">
        <f t="shared" ca="1" si="364"/>
        <v>#VALUE!</v>
      </c>
      <c r="I296" s="508" t="e">
        <f t="shared" ca="1" si="365"/>
        <v>#VALUE!</v>
      </c>
      <c r="K296" s="512">
        <v>7</v>
      </c>
      <c r="L296" s="516" t="s">
        <v>2268</v>
      </c>
      <c r="M296" s="529" t="s">
        <v>2452</v>
      </c>
      <c r="N296" s="508" t="str">
        <f t="shared" ca="1" si="356"/>
        <v>T2部件</v>
      </c>
      <c r="O296" s="566">
        <v>1</v>
      </c>
      <c r="P296" s="633">
        <v>5.0000000000000001E-3</v>
      </c>
      <c r="Q296" s="170" t="e">
        <f t="shared" ca="1" si="376"/>
        <v>#VALUE!</v>
      </c>
      <c r="R296" s="508" t="e">
        <f t="shared" ca="1" si="377"/>
        <v>#VALUE!</v>
      </c>
      <c r="T296" s="512">
        <v>7</v>
      </c>
      <c r="U296" s="516" t="s">
        <v>2268</v>
      </c>
      <c r="V296" s="529" t="s">
        <v>2452</v>
      </c>
      <c r="W296" s="508" t="str">
        <f t="shared" ca="1" si="358"/>
        <v>T2部件</v>
      </c>
      <c r="X296" s="566">
        <v>1</v>
      </c>
      <c r="Y296" s="633">
        <v>5.0000000000000001E-3</v>
      </c>
      <c r="Z296" s="170" t="e">
        <f t="shared" ca="1" si="378"/>
        <v>#VALUE!</v>
      </c>
      <c r="AA296" s="508" t="e">
        <f t="shared" ca="1" si="379"/>
        <v>#VALUE!</v>
      </c>
      <c r="AC296" s="512">
        <v>7</v>
      </c>
      <c r="AD296" s="516" t="s">
        <v>2249</v>
      </c>
      <c r="AE296" s="529" t="s">
        <v>2452</v>
      </c>
      <c r="AF296" s="508">
        <f t="shared" ca="1" si="371"/>
        <v>9.4499999999999993</v>
      </c>
      <c r="AG296" s="594">
        <v>1</v>
      </c>
      <c r="AH296" s="633">
        <v>4.1999999999999997E-3</v>
      </c>
      <c r="AI296" s="170">
        <f t="shared" ca="1" si="392"/>
        <v>2.8444444444444446E-2</v>
      </c>
      <c r="AJ296" s="508">
        <f t="shared" ca="1" si="393"/>
        <v>284</v>
      </c>
      <c r="AL296" s="512">
        <v>7</v>
      </c>
      <c r="AM296" s="516" t="s">
        <v>2246</v>
      </c>
      <c r="AN296" s="529" t="s">
        <v>2452</v>
      </c>
      <c r="AO296" s="508">
        <f t="shared" ca="1" si="386"/>
        <v>9.4499999999999993</v>
      </c>
      <c r="AP296" s="600">
        <v>1.5</v>
      </c>
      <c r="AQ296" s="565">
        <v>6.0000000000000001E-3</v>
      </c>
      <c r="AR296" s="170">
        <f ca="1">AQ296*AM$4/AO296/AP296</f>
        <v>4.1058201058201058E-2</v>
      </c>
      <c r="AS296" s="279">
        <f ca="1">ROUND(AR296*10000,0)</f>
        <v>411</v>
      </c>
      <c r="AU296" s="512">
        <v>7</v>
      </c>
      <c r="AV296" s="516" t="s">
        <v>628</v>
      </c>
      <c r="AW296" s="295" t="s">
        <v>2395</v>
      </c>
      <c r="AX296" s="508">
        <f t="shared" ca="1" si="394"/>
        <v>1584</v>
      </c>
      <c r="AY296" s="565">
        <v>1</v>
      </c>
      <c r="AZ296" s="508">
        <f>宝箱设定!$H163</f>
        <v>6.2899999999999998E-2</v>
      </c>
      <c r="BA296" s="170">
        <f t="shared" ca="1" si="395"/>
        <v>2.5811237373737374E-3</v>
      </c>
      <c r="BB296" s="508">
        <f t="shared" ca="1" si="396"/>
        <v>26</v>
      </c>
      <c r="BD296" s="512">
        <v>7</v>
      </c>
      <c r="BE296" s="516" t="s">
        <v>628</v>
      </c>
      <c r="BF296" s="295" t="s">
        <v>2395</v>
      </c>
      <c r="BG296" s="508">
        <f t="shared" ca="1" si="397"/>
        <v>1584</v>
      </c>
      <c r="BH296" s="508">
        <v>1</v>
      </c>
      <c r="BI296" s="508">
        <f>宝箱设定!$H163</f>
        <v>6.2899999999999998E-2</v>
      </c>
      <c r="BJ296" s="170">
        <f ca="1">BI296*BE$4/BG296/BH296</f>
        <v>5.8571654040404037E-3</v>
      </c>
      <c r="BK296" s="379">
        <f ca="1">ROUND(BJ296*10000,0)</f>
        <v>59</v>
      </c>
      <c r="BM296" s="512">
        <v>8</v>
      </c>
      <c r="BN296" s="527" t="s">
        <v>619</v>
      </c>
      <c r="BO296" s="525" t="s">
        <v>1211</v>
      </c>
      <c r="BP296" s="508">
        <f t="shared" ca="1" si="389"/>
        <v>66</v>
      </c>
      <c r="BQ296" s="508">
        <v>5.5</v>
      </c>
      <c r="BR296" s="523">
        <f>宝箱设定!$P181</f>
        <v>3.6999999999999998E-2</v>
      </c>
      <c r="BS296" s="170">
        <f t="shared" ca="1" si="390"/>
        <v>3.3636363636363638E-2</v>
      </c>
      <c r="BT296" s="508">
        <f t="shared" ca="1" si="391"/>
        <v>336</v>
      </c>
      <c r="BV296" s="293">
        <v>8</v>
      </c>
      <c r="BW296" s="527" t="s">
        <v>2251</v>
      </c>
      <c r="BX296" s="530" t="s">
        <v>2200</v>
      </c>
      <c r="BY296" s="523">
        <f t="shared" ca="1" si="383"/>
        <v>8.7750000000000004</v>
      </c>
      <c r="BZ296" s="662">
        <v>2.5</v>
      </c>
      <c r="CA296" s="634">
        <v>1.0500000000000001E-2</v>
      </c>
      <c r="CB296" s="170">
        <f t="shared" ca="1" si="384"/>
        <v>2.3931623931623933E-2</v>
      </c>
      <c r="CC296" s="290">
        <f t="shared" ca="1" si="385"/>
        <v>239</v>
      </c>
    </row>
    <row r="297" spans="2:81" x14ac:dyDescent="0.35">
      <c r="B297" s="512">
        <v>7</v>
      </c>
      <c r="C297" s="516" t="s">
        <v>2270</v>
      </c>
      <c r="D297" s="529" t="s">
        <v>2452</v>
      </c>
      <c r="E297" s="508" t="str">
        <f t="shared" ca="1" si="353"/>
        <v>T2部件</v>
      </c>
      <c r="F297" s="594">
        <v>1.5</v>
      </c>
      <c r="G297" s="594">
        <v>6.4999999999999997E-3</v>
      </c>
      <c r="H297" s="170" t="e">
        <f t="shared" ca="1" si="364"/>
        <v>#VALUE!</v>
      </c>
      <c r="I297" s="508" t="e">
        <f t="shared" ca="1" si="365"/>
        <v>#VALUE!</v>
      </c>
      <c r="K297" s="512">
        <v>7</v>
      </c>
      <c r="L297" s="516" t="s">
        <v>2270</v>
      </c>
      <c r="M297" s="529" t="s">
        <v>2452</v>
      </c>
      <c r="N297" s="508" t="str">
        <f t="shared" ca="1" si="356"/>
        <v>T2部件</v>
      </c>
      <c r="O297" s="566">
        <v>1</v>
      </c>
      <c r="P297" s="633">
        <v>5.0000000000000001E-3</v>
      </c>
      <c r="Q297" s="170" t="e">
        <f t="shared" ca="1" si="376"/>
        <v>#VALUE!</v>
      </c>
      <c r="R297" s="508" t="e">
        <f t="shared" ca="1" si="377"/>
        <v>#VALUE!</v>
      </c>
      <c r="T297" s="512">
        <v>7</v>
      </c>
      <c r="U297" s="516" t="s">
        <v>2270</v>
      </c>
      <c r="V297" s="529" t="s">
        <v>2452</v>
      </c>
      <c r="W297" s="508" t="str">
        <f t="shared" ca="1" si="358"/>
        <v>T2部件</v>
      </c>
      <c r="X297" s="566">
        <v>1</v>
      </c>
      <c r="Y297" s="633">
        <v>5.0000000000000001E-3</v>
      </c>
      <c r="Z297" s="170" t="e">
        <f t="shared" ca="1" si="378"/>
        <v>#VALUE!</v>
      </c>
      <c r="AA297" s="508" t="e">
        <f t="shared" ca="1" si="379"/>
        <v>#VALUE!</v>
      </c>
      <c r="AC297" s="512">
        <v>7</v>
      </c>
      <c r="AD297" s="516" t="s">
        <v>2251</v>
      </c>
      <c r="AE297" s="529" t="s">
        <v>2452</v>
      </c>
      <c r="AF297" s="508">
        <f t="shared" ca="1" si="371"/>
        <v>9.4499999999999993</v>
      </c>
      <c r="AG297" s="594">
        <v>1</v>
      </c>
      <c r="AH297" s="633">
        <v>4.1999999999999997E-3</v>
      </c>
      <c r="AI297" s="170">
        <f t="shared" ca="1" si="392"/>
        <v>2.8444444444444446E-2</v>
      </c>
      <c r="AJ297" s="508">
        <f t="shared" ca="1" si="393"/>
        <v>284</v>
      </c>
      <c r="AL297" s="512">
        <v>7</v>
      </c>
      <c r="AM297" s="516" t="s">
        <v>2248</v>
      </c>
      <c r="AN297" s="529" t="s">
        <v>2452</v>
      </c>
      <c r="AO297" s="508">
        <f t="shared" ca="1" si="386"/>
        <v>9.4499999999999993</v>
      </c>
      <c r="AP297" s="600">
        <v>1.5</v>
      </c>
      <c r="AQ297" s="565">
        <v>6.0000000000000001E-3</v>
      </c>
      <c r="AR297" s="170">
        <f ca="1">AQ297*AM$4/AO297/AP297</f>
        <v>4.1058201058201058E-2</v>
      </c>
      <c r="AS297" s="279">
        <f ca="1">ROUND(AR297*10000,0)</f>
        <v>411</v>
      </c>
      <c r="AU297" s="512">
        <v>7</v>
      </c>
      <c r="AV297" s="516" t="s">
        <v>616</v>
      </c>
      <c r="AW297" s="512" t="s">
        <v>2394</v>
      </c>
      <c r="AX297" s="508">
        <f t="shared" ca="1" si="394"/>
        <v>42</v>
      </c>
      <c r="AY297" s="600">
        <v>5</v>
      </c>
      <c r="AZ297" s="508">
        <f>宝箱设定!$H164</f>
        <v>4.8099999999999997E-2</v>
      </c>
      <c r="BA297" s="170">
        <f t="shared" ca="1" si="395"/>
        <v>1.4888095238095237E-2</v>
      </c>
      <c r="BB297" s="508">
        <f t="shared" ca="1" si="396"/>
        <v>149</v>
      </c>
      <c r="BD297" s="512">
        <v>7</v>
      </c>
      <c r="BE297" s="516" t="s">
        <v>616</v>
      </c>
      <c r="BF297" s="512" t="s">
        <v>2394</v>
      </c>
      <c r="BG297" s="508">
        <f t="shared" ca="1" si="397"/>
        <v>42</v>
      </c>
      <c r="BH297" s="508">
        <v>10</v>
      </c>
      <c r="BI297" s="508">
        <f>宝箱设定!$H164</f>
        <v>4.8099999999999997E-2</v>
      </c>
      <c r="BJ297" s="170">
        <f ca="1">BI297*BE$4/BG297/BH297</f>
        <v>1.6892261904761903E-2</v>
      </c>
      <c r="BK297" s="379">
        <f ca="1">ROUND(BJ297*10000,0)</f>
        <v>169</v>
      </c>
      <c r="BM297" s="512">
        <v>8</v>
      </c>
      <c r="BN297" s="527" t="s">
        <v>718</v>
      </c>
      <c r="BO297" s="525" t="s">
        <v>1211</v>
      </c>
      <c r="BP297" s="508">
        <f t="shared" ca="1" si="389"/>
        <v>66</v>
      </c>
      <c r="BQ297" s="632">
        <v>5.5</v>
      </c>
      <c r="BR297" s="523">
        <f>宝箱设定!$P182</f>
        <v>3.6999999999999998E-2</v>
      </c>
      <c r="BS297" s="170">
        <f t="shared" ca="1" si="390"/>
        <v>3.3636363636363638E-2</v>
      </c>
      <c r="BT297" s="508">
        <f t="shared" ca="1" si="391"/>
        <v>336</v>
      </c>
      <c r="BV297" s="293">
        <v>8</v>
      </c>
      <c r="BW297" s="527" t="s">
        <v>2253</v>
      </c>
      <c r="BX297" s="530" t="s">
        <v>2200</v>
      </c>
      <c r="BY297" s="523">
        <f t="shared" ca="1" si="383"/>
        <v>8.7750000000000004</v>
      </c>
      <c r="BZ297" s="662">
        <v>2.5</v>
      </c>
      <c r="CA297" s="634">
        <v>1.0500000000000001E-2</v>
      </c>
      <c r="CB297" s="170">
        <f t="shared" ca="1" si="384"/>
        <v>2.3931623931623933E-2</v>
      </c>
      <c r="CC297" s="290">
        <f t="shared" ca="1" si="385"/>
        <v>239</v>
      </c>
    </row>
    <row r="298" spans="2:81" x14ac:dyDescent="0.35">
      <c r="B298" s="512">
        <v>7</v>
      </c>
      <c r="C298" s="512" t="s">
        <v>2272</v>
      </c>
      <c r="D298" s="529" t="s">
        <v>2452</v>
      </c>
      <c r="E298" s="508" t="str">
        <f t="shared" ca="1" si="353"/>
        <v>T2部件</v>
      </c>
      <c r="F298" s="594">
        <v>1.5</v>
      </c>
      <c r="G298" s="594">
        <v>6.4999999999999997E-3</v>
      </c>
      <c r="H298" s="170" t="e">
        <f t="shared" ca="1" si="364"/>
        <v>#VALUE!</v>
      </c>
      <c r="I298" s="508" t="e">
        <f t="shared" ca="1" si="365"/>
        <v>#VALUE!</v>
      </c>
      <c r="K298" s="512">
        <v>7</v>
      </c>
      <c r="L298" s="512" t="s">
        <v>2272</v>
      </c>
      <c r="M298" s="529" t="s">
        <v>2452</v>
      </c>
      <c r="N298" s="508" t="str">
        <f t="shared" ca="1" si="356"/>
        <v>T2部件</v>
      </c>
      <c r="O298" s="566">
        <v>1</v>
      </c>
      <c r="P298" s="633">
        <v>5.0000000000000001E-3</v>
      </c>
      <c r="Q298" s="170" t="e">
        <f t="shared" ca="1" si="376"/>
        <v>#VALUE!</v>
      </c>
      <c r="R298" s="508" t="e">
        <f t="shared" ca="1" si="377"/>
        <v>#VALUE!</v>
      </c>
      <c r="T298" s="512">
        <v>7</v>
      </c>
      <c r="U298" s="512" t="s">
        <v>2272</v>
      </c>
      <c r="V298" s="529" t="s">
        <v>2452</v>
      </c>
      <c r="W298" s="508" t="str">
        <f t="shared" ca="1" si="358"/>
        <v>T2部件</v>
      </c>
      <c r="X298" s="566">
        <v>1</v>
      </c>
      <c r="Y298" s="633">
        <v>5.0000000000000001E-3</v>
      </c>
      <c r="Z298" s="170" t="e">
        <f t="shared" ca="1" si="378"/>
        <v>#VALUE!</v>
      </c>
      <c r="AA298" s="508" t="e">
        <f t="shared" ca="1" si="379"/>
        <v>#VALUE!</v>
      </c>
      <c r="AC298" s="512">
        <v>7</v>
      </c>
      <c r="AD298" s="516" t="s">
        <v>2253</v>
      </c>
      <c r="AE298" s="529" t="s">
        <v>2452</v>
      </c>
      <c r="AF298" s="508">
        <f t="shared" ca="1" si="371"/>
        <v>9.4499999999999993</v>
      </c>
      <c r="AG298" s="594">
        <v>1</v>
      </c>
      <c r="AH298" s="633">
        <v>4.1999999999999997E-3</v>
      </c>
      <c r="AI298" s="170">
        <f t="shared" ca="1" si="392"/>
        <v>2.8444444444444446E-2</v>
      </c>
      <c r="AJ298" s="508">
        <f t="shared" ca="1" si="393"/>
        <v>284</v>
      </c>
      <c r="AL298" s="512">
        <v>7</v>
      </c>
      <c r="AM298" s="516" t="s">
        <v>2250</v>
      </c>
      <c r="AN298" s="529" t="s">
        <v>2452</v>
      </c>
      <c r="AO298" s="508">
        <f t="shared" ca="1" si="386"/>
        <v>9.4499999999999993</v>
      </c>
      <c r="AP298" s="600">
        <v>1.5</v>
      </c>
      <c r="AQ298" s="565">
        <v>6.0000000000000001E-3</v>
      </c>
      <c r="AR298" s="170">
        <f ca="1">AQ298*AM$4/AO298/AP298</f>
        <v>4.1058201058201058E-2</v>
      </c>
      <c r="AS298" s="279">
        <f ca="1">ROUND(AR298*10000,0)</f>
        <v>411</v>
      </c>
      <c r="AU298" s="512">
        <v>7</v>
      </c>
      <c r="AV298" s="516" t="s">
        <v>624</v>
      </c>
      <c r="AW298" s="512" t="s">
        <v>2394</v>
      </c>
      <c r="AX298" s="508">
        <f t="shared" ca="1" si="394"/>
        <v>42</v>
      </c>
      <c r="AY298" s="600">
        <v>5</v>
      </c>
      <c r="AZ298" s="508">
        <f>宝箱设定!$H165</f>
        <v>4.8099999999999997E-2</v>
      </c>
      <c r="BA298" s="170">
        <f t="shared" ca="1" si="395"/>
        <v>1.4888095238095237E-2</v>
      </c>
      <c r="BB298" s="508">
        <f t="shared" ca="1" si="396"/>
        <v>149</v>
      </c>
      <c r="BD298" s="512">
        <v>7</v>
      </c>
      <c r="BE298" s="516" t="s">
        <v>624</v>
      </c>
      <c r="BF298" s="512" t="s">
        <v>2394</v>
      </c>
      <c r="BG298" s="508">
        <f t="shared" ca="1" si="397"/>
        <v>42</v>
      </c>
      <c r="BH298" s="615">
        <v>10</v>
      </c>
      <c r="BI298" s="508">
        <f>宝箱设定!$H165</f>
        <v>4.8099999999999997E-2</v>
      </c>
      <c r="BJ298" s="170">
        <f ca="1">BI298*BE$4/BG298/BH298</f>
        <v>1.6892261904761903E-2</v>
      </c>
      <c r="BK298" s="379">
        <f ca="1">ROUND(BJ298*10000,0)</f>
        <v>169</v>
      </c>
      <c r="BM298" s="512">
        <v>8</v>
      </c>
      <c r="BN298" s="527" t="s">
        <v>632</v>
      </c>
      <c r="BO298" s="525" t="s">
        <v>1211</v>
      </c>
      <c r="BP298" s="508">
        <f t="shared" ca="1" si="389"/>
        <v>66</v>
      </c>
      <c r="BQ298" s="632">
        <v>5.5</v>
      </c>
      <c r="BR298" s="523">
        <f>宝箱设定!$P183</f>
        <v>3.6999999999999998E-2</v>
      </c>
      <c r="BS298" s="170">
        <f t="shared" ca="1" si="390"/>
        <v>3.3636363636363638E-2</v>
      </c>
      <c r="BT298" s="508">
        <f t="shared" ca="1" si="391"/>
        <v>336</v>
      </c>
      <c r="BV298" s="293">
        <v>8</v>
      </c>
      <c r="BW298" s="525" t="s">
        <v>2255</v>
      </c>
      <c r="BX298" s="530" t="s">
        <v>2200</v>
      </c>
      <c r="BY298" s="523">
        <f t="shared" ca="1" si="383"/>
        <v>8.7750000000000004</v>
      </c>
      <c r="BZ298" s="662">
        <v>2.5</v>
      </c>
      <c r="CA298" s="634">
        <v>1.0500000000000001E-2</v>
      </c>
      <c r="CB298" s="170">
        <f t="shared" ca="1" si="384"/>
        <v>2.3931623931623933E-2</v>
      </c>
      <c r="CC298" s="290">
        <f t="shared" ca="1" si="385"/>
        <v>239</v>
      </c>
    </row>
    <row r="299" spans="2:81" x14ac:dyDescent="0.35">
      <c r="B299" s="512">
        <v>7</v>
      </c>
      <c r="C299" s="512" t="s">
        <v>2274</v>
      </c>
      <c r="D299" s="529" t="s">
        <v>2452</v>
      </c>
      <c r="E299" s="508" t="str">
        <f t="shared" ref="E299:E326" ca="1" si="400">IF(D299="部件",VLOOKUP(B299,INDIRECT(D299&amp;"价值"),MATCH(LEFT(C299,2)&amp;"部件",INDIRECT(D299&amp;"价值标头"),0),FALSE),IF(D299="加速道具",VLOOKUP(C299,INDIRECT(D299&amp;"价值"),MATCH("价格",INDIRECT(D299&amp;"价值标头"),0),FALSE),VLOOKUP(B299,INDIRECT(D299&amp;"价值"),MATCH(C299,INDIRECT(D299&amp;"价值标头"),0),FALSE)))</f>
        <v>T2部件</v>
      </c>
      <c r="F299" s="594">
        <v>1.5</v>
      </c>
      <c r="G299" s="594">
        <v>6.4999999999999997E-3</v>
      </c>
      <c r="H299" s="170" t="e">
        <f t="shared" ca="1" si="364"/>
        <v>#VALUE!</v>
      </c>
      <c r="I299" s="508" t="e">
        <f t="shared" ca="1" si="365"/>
        <v>#VALUE!</v>
      </c>
      <c r="K299" s="512">
        <v>7</v>
      </c>
      <c r="L299" s="512" t="s">
        <v>2274</v>
      </c>
      <c r="M299" s="529" t="s">
        <v>2452</v>
      </c>
      <c r="N299" s="508" t="str">
        <f t="shared" ref="N299:N326" ca="1" si="401">IF(M299="部件",VLOOKUP(K299,INDIRECT(M299&amp;"价值"),MATCH(LEFT(L299,2)&amp;"部件",INDIRECT(M299&amp;"价值标头"),0),FALSE),IF(M299="加速道具",VLOOKUP(L299,INDIRECT(M299&amp;"价值"),MATCH("价格",INDIRECT(M299&amp;"价值标头"),0),FALSE),VLOOKUP(K299,INDIRECT(M299&amp;"价值"),MATCH(L299,INDIRECT(M299&amp;"价值标头"),0),FALSE)))</f>
        <v>T2部件</v>
      </c>
      <c r="O299" s="566">
        <v>1</v>
      </c>
      <c r="P299" s="633">
        <v>5.0000000000000001E-3</v>
      </c>
      <c r="Q299" s="170" t="e">
        <f t="shared" ca="1" si="376"/>
        <v>#VALUE!</v>
      </c>
      <c r="R299" s="508" t="e">
        <f t="shared" ca="1" si="377"/>
        <v>#VALUE!</v>
      </c>
      <c r="T299" s="512">
        <v>7</v>
      </c>
      <c r="U299" s="512" t="s">
        <v>2274</v>
      </c>
      <c r="V299" s="529" t="s">
        <v>2452</v>
      </c>
      <c r="W299" s="508" t="str">
        <f t="shared" ref="W299:W326" ca="1" si="402">IF(V299="部件",VLOOKUP(T299,INDIRECT(V299&amp;"价值"),MATCH(LEFT(U299,2)&amp;"部件",INDIRECT(V299&amp;"价值标头"),0),FALSE),IF(V299="加速道具",VLOOKUP(U299,INDIRECT(V299&amp;"价值"),MATCH("价格",INDIRECT(V299&amp;"价值标头"),0),FALSE),VLOOKUP(T299,INDIRECT(V299&amp;"价值"),MATCH(U299,INDIRECT(V299&amp;"价值标头"),0),FALSE)))</f>
        <v>T2部件</v>
      </c>
      <c r="X299" s="566">
        <v>1</v>
      </c>
      <c r="Y299" s="633">
        <v>5.0000000000000001E-3</v>
      </c>
      <c r="Z299" s="170" t="e">
        <f t="shared" ca="1" si="378"/>
        <v>#VALUE!</v>
      </c>
      <c r="AA299" s="508" t="e">
        <f t="shared" ca="1" si="379"/>
        <v>#VALUE!</v>
      </c>
      <c r="AC299" s="512">
        <v>7</v>
      </c>
      <c r="AD299" s="512" t="s">
        <v>2255</v>
      </c>
      <c r="AE299" s="529" t="s">
        <v>2452</v>
      </c>
      <c r="AF299" s="508">
        <f t="shared" ca="1" si="371"/>
        <v>9.4499999999999993</v>
      </c>
      <c r="AG299" s="594">
        <v>1</v>
      </c>
      <c r="AH299" s="633">
        <v>4.1999999999999997E-3</v>
      </c>
      <c r="AI299" s="170">
        <f t="shared" ca="1" si="392"/>
        <v>2.8444444444444446E-2</v>
      </c>
      <c r="AJ299" s="508">
        <f t="shared" ca="1" si="393"/>
        <v>284</v>
      </c>
      <c r="AL299" s="512">
        <v>7</v>
      </c>
      <c r="AM299" s="516" t="s">
        <v>2252</v>
      </c>
      <c r="AN299" s="529" t="s">
        <v>2452</v>
      </c>
      <c r="AO299" s="508">
        <f t="shared" ca="1" si="386"/>
        <v>9.4499999999999993</v>
      </c>
      <c r="AP299" s="600">
        <v>1.5</v>
      </c>
      <c r="AQ299" s="565">
        <v>6.0000000000000001E-3</v>
      </c>
      <c r="AR299" s="170">
        <f t="shared" ref="AR299:AR350" ca="1" si="403">AQ299*AM$4/AO299/AP299</f>
        <v>4.1058201058201058E-2</v>
      </c>
      <c r="AS299" s="508">
        <f t="shared" ref="AS299:AS350" ca="1" si="404">ROUND(AR299*10000,0)</f>
        <v>411</v>
      </c>
      <c r="AU299" s="512">
        <v>7</v>
      </c>
      <c r="AV299" s="516" t="s">
        <v>630</v>
      </c>
      <c r="AW299" s="512" t="s">
        <v>2394</v>
      </c>
      <c r="AX299" s="508">
        <f t="shared" ca="1" si="394"/>
        <v>42</v>
      </c>
      <c r="AY299" s="565">
        <v>5</v>
      </c>
      <c r="AZ299" s="508">
        <f>宝箱设定!$H166</f>
        <v>4.8099999999999997E-2</v>
      </c>
      <c r="BA299" s="170">
        <f t="shared" ca="1" si="395"/>
        <v>1.4888095238095237E-2</v>
      </c>
      <c r="BB299" s="508">
        <f t="shared" ca="1" si="396"/>
        <v>149</v>
      </c>
      <c r="BD299" s="512">
        <v>7</v>
      </c>
      <c r="BE299" s="516" t="s">
        <v>630</v>
      </c>
      <c r="BF299" s="512" t="s">
        <v>2394</v>
      </c>
      <c r="BG299" s="508">
        <f t="shared" ca="1" si="397"/>
        <v>42</v>
      </c>
      <c r="BH299" s="615">
        <v>10</v>
      </c>
      <c r="BI299" s="508">
        <f>宝箱设定!$H166</f>
        <v>4.8099999999999997E-2</v>
      </c>
      <c r="BJ299" s="170">
        <f ca="1">BI299*BE$4/BG299/BH299</f>
        <v>1.6892261904761903E-2</v>
      </c>
      <c r="BK299" s="379">
        <f ca="1">ROUND(BJ299*10000,0)</f>
        <v>169</v>
      </c>
      <c r="BM299" s="512">
        <v>8</v>
      </c>
      <c r="BN299" s="527" t="s">
        <v>620</v>
      </c>
      <c r="BO299" s="525" t="s">
        <v>1211</v>
      </c>
      <c r="BP299" s="508">
        <f t="shared" ca="1" si="389"/>
        <v>100</v>
      </c>
      <c r="BQ299" s="508">
        <v>2.5</v>
      </c>
      <c r="BR299" s="523">
        <f>宝箱设定!$P184</f>
        <v>2.2199999999999998E-2</v>
      </c>
      <c r="BS299" s="170">
        <f t="shared" ca="1" si="390"/>
        <v>2.9303999999999997E-2</v>
      </c>
      <c r="BT299" s="508">
        <f t="shared" ca="1" si="391"/>
        <v>293</v>
      </c>
      <c r="BV299" s="293">
        <v>8</v>
      </c>
      <c r="BW299" s="525" t="s">
        <v>2257</v>
      </c>
      <c r="BX299" s="530" t="s">
        <v>2200</v>
      </c>
      <c r="BY299" s="523">
        <f t="shared" ca="1" si="383"/>
        <v>8.7750000000000004</v>
      </c>
      <c r="BZ299" s="662">
        <v>2.5</v>
      </c>
      <c r="CA299" s="634">
        <v>1.0500000000000001E-2</v>
      </c>
      <c r="CB299" s="170">
        <f t="shared" ca="1" si="384"/>
        <v>2.3931623931623933E-2</v>
      </c>
      <c r="CC299" s="290">
        <f t="shared" ca="1" si="385"/>
        <v>239</v>
      </c>
    </row>
    <row r="300" spans="2:81" x14ac:dyDescent="0.35">
      <c r="B300" s="512">
        <v>7</v>
      </c>
      <c r="C300" s="516" t="s">
        <v>2259</v>
      </c>
      <c r="D300" s="529" t="s">
        <v>2452</v>
      </c>
      <c r="E300" s="508" t="str">
        <f t="shared" ca="1" si="400"/>
        <v>T2部件</v>
      </c>
      <c r="F300" s="594">
        <v>1.5</v>
      </c>
      <c r="G300" s="594">
        <v>6.4999999999999997E-3</v>
      </c>
      <c r="H300" s="170" t="e">
        <f t="shared" ca="1" si="364"/>
        <v>#VALUE!</v>
      </c>
      <c r="I300" s="508" t="e">
        <f t="shared" ca="1" si="365"/>
        <v>#VALUE!</v>
      </c>
      <c r="K300" s="512">
        <v>7</v>
      </c>
      <c r="L300" s="516" t="s">
        <v>2259</v>
      </c>
      <c r="M300" s="529" t="s">
        <v>2452</v>
      </c>
      <c r="N300" s="508" t="str">
        <f t="shared" ca="1" si="401"/>
        <v>T2部件</v>
      </c>
      <c r="O300" s="566">
        <v>1</v>
      </c>
      <c r="P300" s="633">
        <v>5.0000000000000001E-3</v>
      </c>
      <c r="Q300" s="170" t="e">
        <f t="shared" ca="1" si="376"/>
        <v>#VALUE!</v>
      </c>
      <c r="R300" s="508" t="e">
        <f t="shared" ca="1" si="377"/>
        <v>#VALUE!</v>
      </c>
      <c r="T300" s="512">
        <v>7</v>
      </c>
      <c r="U300" s="516" t="s">
        <v>2259</v>
      </c>
      <c r="V300" s="529" t="s">
        <v>2452</v>
      </c>
      <c r="W300" s="508" t="str">
        <f t="shared" ca="1" si="402"/>
        <v>T2部件</v>
      </c>
      <c r="X300" s="566">
        <v>1</v>
      </c>
      <c r="Y300" s="633">
        <v>5.0000000000000001E-3</v>
      </c>
      <c r="Z300" s="170" t="e">
        <f t="shared" ca="1" si="378"/>
        <v>#VALUE!</v>
      </c>
      <c r="AA300" s="508" t="e">
        <f t="shared" ca="1" si="379"/>
        <v>#VALUE!</v>
      </c>
      <c r="AC300" s="512">
        <v>7</v>
      </c>
      <c r="AD300" s="512" t="s">
        <v>2257</v>
      </c>
      <c r="AE300" s="529" t="s">
        <v>2452</v>
      </c>
      <c r="AF300" s="508">
        <f t="shared" ca="1" si="371"/>
        <v>9.4499999999999993</v>
      </c>
      <c r="AG300" s="594">
        <v>1</v>
      </c>
      <c r="AH300" s="633">
        <v>4.1999999999999997E-3</v>
      </c>
      <c r="AI300" s="170">
        <f t="shared" ca="1" si="392"/>
        <v>2.8444444444444446E-2</v>
      </c>
      <c r="AJ300" s="508">
        <f t="shared" ca="1" si="393"/>
        <v>284</v>
      </c>
      <c r="AL300" s="512">
        <v>7</v>
      </c>
      <c r="AM300" s="512" t="s">
        <v>2254</v>
      </c>
      <c r="AN300" s="529" t="s">
        <v>2452</v>
      </c>
      <c r="AO300" s="508">
        <f t="shared" ca="1" si="386"/>
        <v>9.4499999999999993</v>
      </c>
      <c r="AP300" s="600">
        <v>1.5</v>
      </c>
      <c r="AQ300" s="565">
        <v>6.0000000000000001E-3</v>
      </c>
      <c r="AR300" s="170">
        <f t="shared" ca="1" si="403"/>
        <v>4.1058201058201058E-2</v>
      </c>
      <c r="AS300" s="508">
        <f t="shared" ca="1" si="404"/>
        <v>411</v>
      </c>
      <c r="AU300" s="512">
        <v>7</v>
      </c>
      <c r="AV300" s="516" t="s">
        <v>617</v>
      </c>
      <c r="AW300" s="512" t="s">
        <v>2394</v>
      </c>
      <c r="AX300" s="508">
        <f t="shared" ca="1" si="394"/>
        <v>71.399999999999991</v>
      </c>
      <c r="AY300" s="565">
        <v>2.5</v>
      </c>
      <c r="AZ300" s="508">
        <f>宝箱设定!$H167</f>
        <v>3.6999999999999998E-2</v>
      </c>
      <c r="BA300" s="170">
        <f t="shared" ca="1" si="395"/>
        <v>1.3473389355742296E-2</v>
      </c>
      <c r="BB300" s="508">
        <f t="shared" ca="1" si="396"/>
        <v>135</v>
      </c>
      <c r="BD300" s="512">
        <v>7</v>
      </c>
      <c r="BE300" s="516" t="s">
        <v>617</v>
      </c>
      <c r="BF300" s="512" t="s">
        <v>2394</v>
      </c>
      <c r="BG300" s="508">
        <f t="shared" ca="1" si="397"/>
        <v>71.399999999999991</v>
      </c>
      <c r="BH300" s="565">
        <v>4.5</v>
      </c>
      <c r="BI300" s="508">
        <f>宝箱设定!$H167</f>
        <v>3.6999999999999998E-2</v>
      </c>
      <c r="BJ300" s="170">
        <f t="shared" ca="1" si="398"/>
        <v>1.698568316215375E-2</v>
      </c>
      <c r="BK300" s="379">
        <f t="shared" ca="1" si="399"/>
        <v>170</v>
      </c>
      <c r="BM300" s="512">
        <v>8</v>
      </c>
      <c r="BN300" s="527" t="s">
        <v>719</v>
      </c>
      <c r="BO300" s="525" t="s">
        <v>1211</v>
      </c>
      <c r="BP300" s="508">
        <f t="shared" ca="1" si="389"/>
        <v>100</v>
      </c>
      <c r="BQ300" s="632">
        <v>2.5</v>
      </c>
      <c r="BR300" s="523">
        <f>宝箱设定!$P185</f>
        <v>2.2199999999999998E-2</v>
      </c>
      <c r="BS300" s="170">
        <f t="shared" ca="1" si="390"/>
        <v>2.9303999999999997E-2</v>
      </c>
      <c r="BT300" s="508">
        <f t="shared" ca="1" si="391"/>
        <v>293</v>
      </c>
      <c r="BV300" s="293">
        <v>8</v>
      </c>
      <c r="BW300" s="527" t="s">
        <v>2258</v>
      </c>
      <c r="BX300" s="530" t="s">
        <v>2200</v>
      </c>
      <c r="BY300" s="523" t="str">
        <f t="shared" ca="1" si="383"/>
        <v>T2部件</v>
      </c>
      <c r="BZ300" s="662">
        <v>1</v>
      </c>
      <c r="CA300" s="523">
        <v>2.2499999999999999E-2</v>
      </c>
      <c r="CB300" s="170" t="e">
        <f t="shared" ca="1" si="384"/>
        <v>#VALUE!</v>
      </c>
      <c r="CC300" s="290" t="e">
        <f t="shared" ca="1" si="385"/>
        <v>#VALUE!</v>
      </c>
    </row>
    <row r="301" spans="2:81" x14ac:dyDescent="0.35">
      <c r="B301" s="512">
        <v>7</v>
      </c>
      <c r="C301" s="516" t="s">
        <v>2261</v>
      </c>
      <c r="D301" s="529" t="s">
        <v>2452</v>
      </c>
      <c r="E301" s="508" t="str">
        <f t="shared" ca="1" si="400"/>
        <v>T2部件</v>
      </c>
      <c r="F301" s="594">
        <v>1.5</v>
      </c>
      <c r="G301" s="594">
        <v>6.4000000000000003E-3</v>
      </c>
      <c r="H301" s="170" t="e">
        <f t="shared" ca="1" si="364"/>
        <v>#VALUE!</v>
      </c>
      <c r="I301" s="508" t="e">
        <f t="shared" ca="1" si="365"/>
        <v>#VALUE!</v>
      </c>
      <c r="K301" s="512">
        <v>7</v>
      </c>
      <c r="L301" s="516" t="s">
        <v>2261</v>
      </c>
      <c r="M301" s="529" t="s">
        <v>2452</v>
      </c>
      <c r="N301" s="508" t="str">
        <f t="shared" ca="1" si="401"/>
        <v>T2部件</v>
      </c>
      <c r="O301" s="566">
        <v>1</v>
      </c>
      <c r="P301" s="633">
        <v>5.0000000000000001E-3</v>
      </c>
      <c r="Q301" s="170" t="e">
        <f t="shared" ca="1" si="376"/>
        <v>#VALUE!</v>
      </c>
      <c r="R301" s="508" t="e">
        <f t="shared" ca="1" si="377"/>
        <v>#VALUE!</v>
      </c>
      <c r="T301" s="512">
        <v>7</v>
      </c>
      <c r="U301" s="516" t="s">
        <v>2261</v>
      </c>
      <c r="V301" s="529" t="s">
        <v>2452</v>
      </c>
      <c r="W301" s="508" t="str">
        <f t="shared" ca="1" si="402"/>
        <v>T2部件</v>
      </c>
      <c r="X301" s="566">
        <v>1</v>
      </c>
      <c r="Y301" s="633">
        <v>5.0000000000000001E-3</v>
      </c>
      <c r="Z301" s="170" t="e">
        <f t="shared" ca="1" si="378"/>
        <v>#VALUE!</v>
      </c>
      <c r="AA301" s="508" t="e">
        <f t="shared" ca="1" si="379"/>
        <v>#VALUE!</v>
      </c>
      <c r="AC301" s="512">
        <v>7</v>
      </c>
      <c r="AD301" s="516" t="s">
        <v>2258</v>
      </c>
      <c r="AE301" s="529" t="s">
        <v>2452</v>
      </c>
      <c r="AF301" s="508" t="str">
        <f t="shared" ca="1" si="371"/>
        <v>T2部件</v>
      </c>
      <c r="AG301" s="508">
        <v>1</v>
      </c>
      <c r="AH301" s="633">
        <v>6.7999999999999996E-3</v>
      </c>
      <c r="AI301" s="170" t="e">
        <f t="shared" ca="1" si="392"/>
        <v>#VALUE!</v>
      </c>
      <c r="AJ301" s="508" t="e">
        <f t="shared" ca="1" si="393"/>
        <v>#VALUE!</v>
      </c>
      <c r="AL301" s="512">
        <v>7</v>
      </c>
      <c r="AM301" s="512" t="s">
        <v>2256</v>
      </c>
      <c r="AN301" s="529" t="s">
        <v>2452</v>
      </c>
      <c r="AO301" s="508">
        <f t="shared" ca="1" si="386"/>
        <v>9.4499999999999993</v>
      </c>
      <c r="AP301" s="600">
        <v>1.5</v>
      </c>
      <c r="AQ301" s="565">
        <v>6.0000000000000001E-3</v>
      </c>
      <c r="AR301" s="170">
        <f t="shared" ca="1" si="403"/>
        <v>4.1058201058201058E-2</v>
      </c>
      <c r="AS301" s="508">
        <f t="shared" ca="1" si="404"/>
        <v>411</v>
      </c>
      <c r="AU301" s="512">
        <v>7</v>
      </c>
      <c r="AV301" s="516" t="s">
        <v>626</v>
      </c>
      <c r="AW301" s="512" t="s">
        <v>2394</v>
      </c>
      <c r="AX301" s="508">
        <f t="shared" ca="1" si="394"/>
        <v>71.399999999999991</v>
      </c>
      <c r="AY301" s="565">
        <v>2.5</v>
      </c>
      <c r="AZ301" s="508">
        <f>宝箱设定!$H168</f>
        <v>3.6999999999999998E-2</v>
      </c>
      <c r="BA301" s="170">
        <f t="shared" ca="1" si="395"/>
        <v>1.3473389355742296E-2</v>
      </c>
      <c r="BB301" s="508">
        <f t="shared" ca="1" si="396"/>
        <v>135</v>
      </c>
      <c r="BD301" s="512">
        <v>7</v>
      </c>
      <c r="BE301" s="516" t="s">
        <v>626</v>
      </c>
      <c r="BF301" s="512" t="s">
        <v>2394</v>
      </c>
      <c r="BG301" s="508">
        <f t="shared" ca="1" si="397"/>
        <v>71.399999999999991</v>
      </c>
      <c r="BH301" s="615">
        <v>4.5</v>
      </c>
      <c r="BI301" s="508">
        <f>宝箱设定!$H168</f>
        <v>3.6999999999999998E-2</v>
      </c>
      <c r="BJ301" s="170">
        <f t="shared" ca="1" si="398"/>
        <v>1.698568316215375E-2</v>
      </c>
      <c r="BK301" s="379">
        <f t="shared" ca="1" si="399"/>
        <v>170</v>
      </c>
      <c r="BM301" s="512">
        <v>8</v>
      </c>
      <c r="BN301" s="527" t="s">
        <v>635</v>
      </c>
      <c r="BO301" s="525" t="s">
        <v>1211</v>
      </c>
      <c r="BP301" s="508">
        <f t="shared" ca="1" si="389"/>
        <v>100</v>
      </c>
      <c r="BQ301" s="632">
        <v>2.5</v>
      </c>
      <c r="BR301" s="523">
        <f>宝箱设定!$P186</f>
        <v>2.2199999999999998E-2</v>
      </c>
      <c r="BS301" s="170">
        <f t="shared" ca="1" si="390"/>
        <v>2.9303999999999997E-2</v>
      </c>
      <c r="BT301" s="508">
        <f t="shared" ca="1" si="391"/>
        <v>293</v>
      </c>
      <c r="BV301" s="396">
        <v>8</v>
      </c>
      <c r="BW301" s="527" t="s">
        <v>2260</v>
      </c>
      <c r="BX301" s="530" t="s">
        <v>2200</v>
      </c>
      <c r="BY301" s="523" t="str">
        <f t="shared" ca="1" si="383"/>
        <v>T2部件</v>
      </c>
      <c r="BZ301" s="662">
        <v>1</v>
      </c>
      <c r="CA301" s="634">
        <v>2.2499999999999999E-2</v>
      </c>
      <c r="CB301" s="170" t="e">
        <f t="shared" ca="1" si="384"/>
        <v>#VALUE!</v>
      </c>
      <c r="CC301" s="290" t="e">
        <f t="shared" ca="1" si="385"/>
        <v>#VALUE!</v>
      </c>
    </row>
    <row r="302" spans="2:81" x14ac:dyDescent="0.35">
      <c r="B302" s="512">
        <v>7</v>
      </c>
      <c r="C302" s="516" t="s">
        <v>2263</v>
      </c>
      <c r="D302" s="529" t="s">
        <v>2452</v>
      </c>
      <c r="E302" s="508" t="str">
        <f t="shared" ca="1" si="400"/>
        <v>T2部件</v>
      </c>
      <c r="F302" s="594">
        <v>1.5</v>
      </c>
      <c r="G302" s="594">
        <v>6.4000000000000003E-3</v>
      </c>
      <c r="H302" s="170" t="e">
        <f t="shared" ca="1" si="364"/>
        <v>#VALUE!</v>
      </c>
      <c r="I302" s="508" t="e">
        <f t="shared" ca="1" si="365"/>
        <v>#VALUE!</v>
      </c>
      <c r="K302" s="512">
        <v>7</v>
      </c>
      <c r="L302" s="516" t="s">
        <v>2263</v>
      </c>
      <c r="M302" s="529" t="s">
        <v>2452</v>
      </c>
      <c r="N302" s="508" t="str">
        <f t="shared" ca="1" si="401"/>
        <v>T2部件</v>
      </c>
      <c r="O302" s="566">
        <v>1</v>
      </c>
      <c r="P302" s="633">
        <v>5.0000000000000001E-3</v>
      </c>
      <c r="Q302" s="170" t="e">
        <f t="shared" ca="1" si="376"/>
        <v>#VALUE!</v>
      </c>
      <c r="R302" s="508" t="e">
        <f t="shared" ca="1" si="377"/>
        <v>#VALUE!</v>
      </c>
      <c r="T302" s="512">
        <v>7</v>
      </c>
      <c r="U302" s="516" t="s">
        <v>2263</v>
      </c>
      <c r="V302" s="529" t="s">
        <v>2452</v>
      </c>
      <c r="W302" s="508" t="str">
        <f t="shared" ca="1" si="402"/>
        <v>T2部件</v>
      </c>
      <c r="X302" s="566">
        <v>1</v>
      </c>
      <c r="Y302" s="633">
        <v>5.0000000000000001E-3</v>
      </c>
      <c r="Z302" s="170" t="e">
        <f t="shared" ca="1" si="378"/>
        <v>#VALUE!</v>
      </c>
      <c r="AA302" s="508" t="e">
        <f t="shared" ca="1" si="379"/>
        <v>#VALUE!</v>
      </c>
      <c r="AC302" s="512">
        <v>7</v>
      </c>
      <c r="AD302" s="516" t="s">
        <v>2260</v>
      </c>
      <c r="AE302" s="529" t="s">
        <v>2452</v>
      </c>
      <c r="AF302" s="508" t="str">
        <f t="shared" ca="1" si="371"/>
        <v>T2部件</v>
      </c>
      <c r="AG302" s="508">
        <v>1</v>
      </c>
      <c r="AH302" s="633">
        <v>6.7999999999999996E-3</v>
      </c>
      <c r="AI302" s="170" t="e">
        <f t="shared" ca="1" si="392"/>
        <v>#VALUE!</v>
      </c>
      <c r="AJ302" s="508" t="e">
        <f t="shared" ca="1" si="393"/>
        <v>#VALUE!</v>
      </c>
      <c r="AL302" s="512">
        <v>7</v>
      </c>
      <c r="AM302" s="516" t="s">
        <v>2241</v>
      </c>
      <c r="AN302" s="529" t="s">
        <v>2452</v>
      </c>
      <c r="AO302" s="508">
        <f t="shared" ca="1" si="386"/>
        <v>9.4499999999999993</v>
      </c>
      <c r="AP302" s="600">
        <v>1.5</v>
      </c>
      <c r="AQ302" s="565">
        <v>6.0000000000000001E-3</v>
      </c>
      <c r="AR302" s="170">
        <f t="shared" ca="1" si="403"/>
        <v>4.1058201058201058E-2</v>
      </c>
      <c r="AS302" s="508">
        <f t="shared" ca="1" si="404"/>
        <v>411</v>
      </c>
      <c r="AU302" s="512">
        <v>7</v>
      </c>
      <c r="AV302" s="516" t="s">
        <v>631</v>
      </c>
      <c r="AW302" s="512" t="s">
        <v>2394</v>
      </c>
      <c r="AX302" s="508">
        <f t="shared" ca="1" si="394"/>
        <v>71.399999999999991</v>
      </c>
      <c r="AY302" s="565">
        <v>2.5</v>
      </c>
      <c r="AZ302" s="508">
        <f>宝箱设定!$H169</f>
        <v>3.6999999999999998E-2</v>
      </c>
      <c r="BA302" s="170">
        <f t="shared" ca="1" si="395"/>
        <v>1.3473389355742296E-2</v>
      </c>
      <c r="BB302" s="508">
        <f t="shared" ca="1" si="396"/>
        <v>135</v>
      </c>
      <c r="BD302" s="512">
        <v>7</v>
      </c>
      <c r="BE302" s="516" t="s">
        <v>631</v>
      </c>
      <c r="BF302" s="512" t="s">
        <v>2394</v>
      </c>
      <c r="BG302" s="508">
        <f t="shared" ca="1" si="397"/>
        <v>71.399999999999991</v>
      </c>
      <c r="BH302" s="615">
        <v>4.5</v>
      </c>
      <c r="BI302" s="508">
        <f>宝箱设定!$H169</f>
        <v>3.6999999999999998E-2</v>
      </c>
      <c r="BJ302" s="170">
        <f t="shared" ca="1" si="398"/>
        <v>1.698568316215375E-2</v>
      </c>
      <c r="BK302" s="379">
        <f t="shared" ca="1" si="399"/>
        <v>170</v>
      </c>
      <c r="BM302" s="512">
        <v>8</v>
      </c>
      <c r="BN302" s="527" t="s">
        <v>717</v>
      </c>
      <c r="BO302" s="525" t="s">
        <v>1211</v>
      </c>
      <c r="BP302" s="508">
        <f t="shared" ca="1" si="389"/>
        <v>125</v>
      </c>
      <c r="BQ302" s="508">
        <v>1.5</v>
      </c>
      <c r="BR302" s="523">
        <f>宝箱设定!$P187</f>
        <v>2.2199999999999998E-2</v>
      </c>
      <c r="BS302" s="170">
        <f t="shared" ca="1" si="390"/>
        <v>3.9071999999999989E-2</v>
      </c>
      <c r="BT302" s="508">
        <f t="shared" ca="1" si="391"/>
        <v>391</v>
      </c>
      <c r="BV302" s="396">
        <v>8</v>
      </c>
      <c r="BW302" s="527" t="s">
        <v>2262</v>
      </c>
      <c r="BX302" s="530" t="s">
        <v>2200</v>
      </c>
      <c r="BY302" s="523" t="str">
        <f t="shared" ca="1" si="383"/>
        <v>T2部件</v>
      </c>
      <c r="BZ302" s="662">
        <v>1</v>
      </c>
      <c r="CA302" s="634">
        <v>2.2499999999999999E-2</v>
      </c>
      <c r="CB302" s="170" t="e">
        <f t="shared" ca="1" si="384"/>
        <v>#VALUE!</v>
      </c>
      <c r="CC302" s="290" t="e">
        <f t="shared" ca="1" si="385"/>
        <v>#VALUE!</v>
      </c>
    </row>
    <row r="303" spans="2:81" x14ac:dyDescent="0.35">
      <c r="B303" s="512">
        <v>7</v>
      </c>
      <c r="C303" s="516" t="s">
        <v>2265</v>
      </c>
      <c r="D303" s="529" t="s">
        <v>2452</v>
      </c>
      <c r="E303" s="508" t="str">
        <f t="shared" ca="1" si="400"/>
        <v>T2部件</v>
      </c>
      <c r="F303" s="594">
        <v>1.5</v>
      </c>
      <c r="G303" s="594">
        <v>6.4000000000000003E-3</v>
      </c>
      <c r="H303" s="170" t="e">
        <f t="shared" ca="1" si="364"/>
        <v>#VALUE!</v>
      </c>
      <c r="I303" s="508" t="e">
        <f t="shared" ca="1" si="365"/>
        <v>#VALUE!</v>
      </c>
      <c r="K303" s="512">
        <v>7</v>
      </c>
      <c r="L303" s="516" t="s">
        <v>2265</v>
      </c>
      <c r="M303" s="529" t="s">
        <v>2452</v>
      </c>
      <c r="N303" s="508" t="str">
        <f t="shared" ca="1" si="401"/>
        <v>T2部件</v>
      </c>
      <c r="O303" s="566">
        <v>1</v>
      </c>
      <c r="P303" s="633">
        <v>5.0000000000000001E-3</v>
      </c>
      <c r="Q303" s="170" t="e">
        <f t="shared" ca="1" si="376"/>
        <v>#VALUE!</v>
      </c>
      <c r="R303" s="508" t="e">
        <f t="shared" ca="1" si="377"/>
        <v>#VALUE!</v>
      </c>
      <c r="T303" s="512">
        <v>7</v>
      </c>
      <c r="U303" s="516" t="s">
        <v>2265</v>
      </c>
      <c r="V303" s="529" t="s">
        <v>2452</v>
      </c>
      <c r="W303" s="508" t="str">
        <f t="shared" ca="1" si="402"/>
        <v>T2部件</v>
      </c>
      <c r="X303" s="566">
        <v>1</v>
      </c>
      <c r="Y303" s="633">
        <v>5.0000000000000001E-3</v>
      </c>
      <c r="Z303" s="170" t="e">
        <f t="shared" ca="1" si="378"/>
        <v>#VALUE!</v>
      </c>
      <c r="AA303" s="508" t="e">
        <f t="shared" ca="1" si="379"/>
        <v>#VALUE!</v>
      </c>
      <c r="AC303" s="512">
        <v>7</v>
      </c>
      <c r="AD303" s="516" t="s">
        <v>2262</v>
      </c>
      <c r="AE303" s="529" t="s">
        <v>2452</v>
      </c>
      <c r="AF303" s="508" t="str">
        <f t="shared" ca="1" si="371"/>
        <v>T2部件</v>
      </c>
      <c r="AG303" s="508">
        <v>1</v>
      </c>
      <c r="AH303" s="633">
        <v>6.7999999999999996E-3</v>
      </c>
      <c r="AI303" s="170" t="e">
        <f t="shared" ca="1" si="392"/>
        <v>#VALUE!</v>
      </c>
      <c r="AJ303" s="508" t="e">
        <f t="shared" ca="1" si="393"/>
        <v>#VALUE!</v>
      </c>
      <c r="AL303" s="512">
        <v>7</v>
      </c>
      <c r="AM303" s="516" t="s">
        <v>2243</v>
      </c>
      <c r="AN303" s="529" t="s">
        <v>2452</v>
      </c>
      <c r="AO303" s="508">
        <f t="shared" ca="1" si="386"/>
        <v>9.4499999999999993</v>
      </c>
      <c r="AP303" s="600">
        <v>1.5</v>
      </c>
      <c r="AQ303" s="565">
        <v>6.0000000000000001E-3</v>
      </c>
      <c r="AR303" s="170">
        <f t="shared" ca="1" si="403"/>
        <v>4.1058201058201058E-2</v>
      </c>
      <c r="AS303" s="508">
        <f t="shared" ca="1" si="404"/>
        <v>411</v>
      </c>
      <c r="AU303" s="512">
        <v>7</v>
      </c>
      <c r="AV303" s="516" t="s">
        <v>618</v>
      </c>
      <c r="AW303" s="512" t="s">
        <v>2394</v>
      </c>
      <c r="AX303" s="508">
        <f t="shared" ca="1" si="394"/>
        <v>52.8</v>
      </c>
      <c r="AY303" s="565">
        <v>2</v>
      </c>
      <c r="AZ303" s="508">
        <f>宝箱设定!$H170</f>
        <v>3.6999999999999998E-2</v>
      </c>
      <c r="BA303" s="170">
        <f t="shared" ca="1" si="395"/>
        <v>2.2774621212121211E-2</v>
      </c>
      <c r="BB303" s="508">
        <f t="shared" ca="1" si="396"/>
        <v>228</v>
      </c>
      <c r="BD303" s="512">
        <v>7</v>
      </c>
      <c r="BE303" s="516" t="s">
        <v>618</v>
      </c>
      <c r="BF303" s="512" t="s">
        <v>2394</v>
      </c>
      <c r="BG303" s="508">
        <f t="shared" ca="1" si="397"/>
        <v>52.8</v>
      </c>
      <c r="BH303" s="565">
        <v>4.5</v>
      </c>
      <c r="BI303" s="508">
        <f>宝箱设定!$H170</f>
        <v>3.6999999999999998E-2</v>
      </c>
      <c r="BJ303" s="170">
        <f t="shared" ca="1" si="398"/>
        <v>2.2969276094276094E-2</v>
      </c>
      <c r="BK303" s="379">
        <f t="shared" ca="1" si="399"/>
        <v>230</v>
      </c>
      <c r="BM303" s="512">
        <v>8</v>
      </c>
      <c r="BN303" s="527" t="s">
        <v>621</v>
      </c>
      <c r="BO303" s="525" t="s">
        <v>1211</v>
      </c>
      <c r="BP303" s="508">
        <f t="shared" ca="1" si="389"/>
        <v>155</v>
      </c>
      <c r="BQ303" s="615">
        <v>1.5</v>
      </c>
      <c r="BR303" s="523">
        <f>宝箱设定!$P188</f>
        <v>2.2199999999999998E-2</v>
      </c>
      <c r="BS303" s="170">
        <f t="shared" ca="1" si="390"/>
        <v>3.1509677419354835E-2</v>
      </c>
      <c r="BT303" s="508">
        <f t="shared" ca="1" si="391"/>
        <v>315</v>
      </c>
      <c r="BV303" s="396">
        <v>8</v>
      </c>
      <c r="BW303" s="527" t="s">
        <v>2264</v>
      </c>
      <c r="BX303" s="530" t="s">
        <v>2200</v>
      </c>
      <c r="BY303" s="523" t="str">
        <f t="shared" ca="1" si="383"/>
        <v>T2部件</v>
      </c>
      <c r="BZ303" s="662">
        <v>1</v>
      </c>
      <c r="CA303" s="634">
        <v>2.2499999999999999E-2</v>
      </c>
      <c r="CB303" s="170" t="e">
        <f t="shared" ca="1" si="384"/>
        <v>#VALUE!</v>
      </c>
      <c r="CC303" s="290" t="e">
        <f t="shared" ca="1" si="385"/>
        <v>#VALUE!</v>
      </c>
    </row>
    <row r="304" spans="2:81" x14ac:dyDescent="0.35">
      <c r="B304" s="512">
        <v>7</v>
      </c>
      <c r="C304" s="516" t="s">
        <v>2267</v>
      </c>
      <c r="D304" s="529" t="s">
        <v>2452</v>
      </c>
      <c r="E304" s="508" t="str">
        <f t="shared" ca="1" si="400"/>
        <v>T2部件</v>
      </c>
      <c r="F304" s="594">
        <v>1.5</v>
      </c>
      <c r="G304" s="594">
        <v>6.4000000000000003E-3</v>
      </c>
      <c r="H304" s="170" t="e">
        <f t="shared" ca="1" si="364"/>
        <v>#VALUE!</v>
      </c>
      <c r="I304" s="508" t="e">
        <f t="shared" ca="1" si="365"/>
        <v>#VALUE!</v>
      </c>
      <c r="K304" s="512">
        <v>7</v>
      </c>
      <c r="L304" s="516" t="s">
        <v>2267</v>
      </c>
      <c r="M304" s="529" t="s">
        <v>2452</v>
      </c>
      <c r="N304" s="508" t="str">
        <f t="shared" ca="1" si="401"/>
        <v>T2部件</v>
      </c>
      <c r="O304" s="566">
        <v>1</v>
      </c>
      <c r="P304" s="633">
        <v>5.0000000000000001E-3</v>
      </c>
      <c r="Q304" s="170" t="e">
        <f t="shared" ca="1" si="376"/>
        <v>#VALUE!</v>
      </c>
      <c r="R304" s="508" t="e">
        <f t="shared" ca="1" si="377"/>
        <v>#VALUE!</v>
      </c>
      <c r="T304" s="512">
        <v>7</v>
      </c>
      <c r="U304" s="516" t="s">
        <v>2267</v>
      </c>
      <c r="V304" s="529" t="s">
        <v>2452</v>
      </c>
      <c r="W304" s="508" t="str">
        <f t="shared" ca="1" si="402"/>
        <v>T2部件</v>
      </c>
      <c r="X304" s="566">
        <v>1</v>
      </c>
      <c r="Y304" s="633">
        <v>5.0000000000000001E-3</v>
      </c>
      <c r="Z304" s="170" t="e">
        <f t="shared" ca="1" si="378"/>
        <v>#VALUE!</v>
      </c>
      <c r="AA304" s="508" t="e">
        <f t="shared" ca="1" si="379"/>
        <v>#VALUE!</v>
      </c>
      <c r="AC304" s="512">
        <v>7</v>
      </c>
      <c r="AD304" s="516" t="s">
        <v>2264</v>
      </c>
      <c r="AE304" s="529" t="s">
        <v>2452</v>
      </c>
      <c r="AF304" s="508" t="str">
        <f t="shared" ca="1" si="371"/>
        <v>T2部件</v>
      </c>
      <c r="AG304" s="508">
        <v>1</v>
      </c>
      <c r="AH304" s="633">
        <v>6.7999999999999996E-3</v>
      </c>
      <c r="AI304" s="170" t="e">
        <f t="shared" ca="1" si="392"/>
        <v>#VALUE!</v>
      </c>
      <c r="AJ304" s="508" t="e">
        <f t="shared" ca="1" si="393"/>
        <v>#VALUE!</v>
      </c>
      <c r="AL304" s="512">
        <v>7</v>
      </c>
      <c r="AM304" s="516" t="s">
        <v>2245</v>
      </c>
      <c r="AN304" s="529" t="s">
        <v>2452</v>
      </c>
      <c r="AO304" s="508">
        <f t="shared" ca="1" si="386"/>
        <v>9.4499999999999993</v>
      </c>
      <c r="AP304" s="600">
        <v>1.5</v>
      </c>
      <c r="AQ304" s="565">
        <v>6.0000000000000001E-3</v>
      </c>
      <c r="AR304" s="170">
        <f t="shared" ca="1" si="403"/>
        <v>4.1058201058201058E-2</v>
      </c>
      <c r="AS304" s="508">
        <f t="shared" ca="1" si="404"/>
        <v>411</v>
      </c>
      <c r="AU304" s="512">
        <v>7</v>
      </c>
      <c r="AV304" s="516" t="s">
        <v>627</v>
      </c>
      <c r="AW304" s="512" t="s">
        <v>2394</v>
      </c>
      <c r="AX304" s="508">
        <f t="shared" ca="1" si="394"/>
        <v>52.8</v>
      </c>
      <c r="AY304" s="625">
        <v>2</v>
      </c>
      <c r="AZ304" s="508">
        <f>宝箱设定!$H171</f>
        <v>3.6999999999999998E-2</v>
      </c>
      <c r="BA304" s="170">
        <f t="shared" ca="1" si="395"/>
        <v>2.2774621212121211E-2</v>
      </c>
      <c r="BB304" s="508">
        <f t="shared" ca="1" si="396"/>
        <v>228</v>
      </c>
      <c r="BD304" s="512">
        <v>7</v>
      </c>
      <c r="BE304" s="516" t="s">
        <v>627</v>
      </c>
      <c r="BF304" s="512" t="s">
        <v>2394</v>
      </c>
      <c r="BG304" s="508">
        <f t="shared" ca="1" si="397"/>
        <v>52.8</v>
      </c>
      <c r="BH304" s="615">
        <v>4.5</v>
      </c>
      <c r="BI304" s="508">
        <f>宝箱设定!$H171</f>
        <v>3.6999999999999998E-2</v>
      </c>
      <c r="BJ304" s="170">
        <f t="shared" ca="1" si="398"/>
        <v>2.2969276094276094E-2</v>
      </c>
      <c r="BK304" s="379">
        <f t="shared" ca="1" si="399"/>
        <v>230</v>
      </c>
      <c r="BM304" s="512">
        <v>8</v>
      </c>
      <c r="BN304" s="527" t="s">
        <v>2258</v>
      </c>
      <c r="BO304" s="530" t="s">
        <v>2200</v>
      </c>
      <c r="BP304" s="508" t="str">
        <f t="shared" ca="1" si="389"/>
        <v>T2部件</v>
      </c>
      <c r="BQ304" s="508">
        <v>3</v>
      </c>
      <c r="BR304" s="600">
        <v>0.01</v>
      </c>
      <c r="BS304" s="170" t="e">
        <f t="shared" ca="1" si="390"/>
        <v>#VALUE!</v>
      </c>
      <c r="BT304" s="508" t="e">
        <f t="shared" ca="1" si="391"/>
        <v>#VALUE!</v>
      </c>
      <c r="BV304" s="396">
        <v>8</v>
      </c>
      <c r="BW304" s="527" t="s">
        <v>2266</v>
      </c>
      <c r="BX304" s="530" t="s">
        <v>2200</v>
      </c>
      <c r="BY304" s="523" t="str">
        <f t="shared" ca="1" si="383"/>
        <v>T2部件</v>
      </c>
      <c r="BZ304" s="662">
        <v>1</v>
      </c>
      <c r="CA304" s="634">
        <v>2.2499999999999999E-2</v>
      </c>
      <c r="CB304" s="170" t="e">
        <f t="shared" ca="1" si="384"/>
        <v>#VALUE!</v>
      </c>
      <c r="CC304" s="290" t="e">
        <f t="shared" ca="1" si="385"/>
        <v>#VALUE!</v>
      </c>
    </row>
    <row r="305" spans="2:81" x14ac:dyDescent="0.35">
      <c r="B305" s="512">
        <v>7</v>
      </c>
      <c r="C305" s="516" t="s">
        <v>2269</v>
      </c>
      <c r="D305" s="529" t="s">
        <v>2452</v>
      </c>
      <c r="E305" s="508" t="str">
        <f t="shared" ca="1" si="400"/>
        <v>T2部件</v>
      </c>
      <c r="F305" s="594">
        <v>1.5</v>
      </c>
      <c r="G305" s="594">
        <v>6.4000000000000003E-3</v>
      </c>
      <c r="H305" s="170" t="e">
        <f t="shared" ca="1" si="364"/>
        <v>#VALUE!</v>
      </c>
      <c r="I305" s="508" t="e">
        <f t="shared" ca="1" si="365"/>
        <v>#VALUE!</v>
      </c>
      <c r="K305" s="512">
        <v>7</v>
      </c>
      <c r="L305" s="516" t="s">
        <v>2269</v>
      </c>
      <c r="M305" s="529" t="s">
        <v>2452</v>
      </c>
      <c r="N305" s="508" t="str">
        <f t="shared" ca="1" si="401"/>
        <v>T2部件</v>
      </c>
      <c r="O305" s="566">
        <v>1</v>
      </c>
      <c r="P305" s="633">
        <v>5.0000000000000001E-3</v>
      </c>
      <c r="Q305" s="170" t="e">
        <f t="shared" ca="1" si="376"/>
        <v>#VALUE!</v>
      </c>
      <c r="R305" s="508" t="e">
        <f t="shared" ca="1" si="377"/>
        <v>#VALUE!</v>
      </c>
      <c r="T305" s="512">
        <v>7</v>
      </c>
      <c r="U305" s="516" t="s">
        <v>2269</v>
      </c>
      <c r="V305" s="529" t="s">
        <v>2452</v>
      </c>
      <c r="W305" s="508" t="str">
        <f t="shared" ca="1" si="402"/>
        <v>T2部件</v>
      </c>
      <c r="X305" s="566">
        <v>1</v>
      </c>
      <c r="Y305" s="633">
        <v>5.0000000000000001E-3</v>
      </c>
      <c r="Z305" s="170" t="e">
        <f t="shared" ca="1" si="378"/>
        <v>#VALUE!</v>
      </c>
      <c r="AA305" s="508" t="e">
        <f t="shared" ca="1" si="379"/>
        <v>#VALUE!</v>
      </c>
      <c r="AC305" s="512">
        <v>7</v>
      </c>
      <c r="AD305" s="516" t="s">
        <v>2266</v>
      </c>
      <c r="AE305" s="529" t="s">
        <v>2452</v>
      </c>
      <c r="AF305" s="508" t="str">
        <f t="shared" ca="1" si="371"/>
        <v>T2部件</v>
      </c>
      <c r="AG305" s="508">
        <v>1</v>
      </c>
      <c r="AH305" s="633">
        <v>6.7999999999999996E-3</v>
      </c>
      <c r="AI305" s="170" t="e">
        <f t="shared" ca="1" si="392"/>
        <v>#VALUE!</v>
      </c>
      <c r="AJ305" s="508" t="e">
        <f t="shared" ca="1" si="393"/>
        <v>#VALUE!</v>
      </c>
      <c r="AL305" s="512">
        <v>7</v>
      </c>
      <c r="AM305" s="516" t="s">
        <v>2247</v>
      </c>
      <c r="AN305" s="529" t="s">
        <v>2452</v>
      </c>
      <c r="AO305" s="508">
        <f t="shared" ca="1" si="386"/>
        <v>9.4499999999999993</v>
      </c>
      <c r="AP305" s="600">
        <v>1.5</v>
      </c>
      <c r="AQ305" s="565">
        <v>6.0000000000000001E-3</v>
      </c>
      <c r="AR305" s="170">
        <f t="shared" ca="1" si="403"/>
        <v>4.1058201058201058E-2</v>
      </c>
      <c r="AS305" s="508">
        <f t="shared" ca="1" si="404"/>
        <v>411</v>
      </c>
      <c r="AU305" s="512">
        <v>7</v>
      </c>
      <c r="AV305" s="516" t="s">
        <v>628</v>
      </c>
      <c r="AW305" s="512" t="s">
        <v>2394</v>
      </c>
      <c r="AX305" s="508">
        <f t="shared" ca="1" si="394"/>
        <v>52.8</v>
      </c>
      <c r="AY305" s="625">
        <v>2</v>
      </c>
      <c r="AZ305" s="508">
        <f>宝箱设定!$H172</f>
        <v>3.6999999999999998E-2</v>
      </c>
      <c r="BA305" s="170">
        <f t="shared" ca="1" si="395"/>
        <v>2.2774621212121211E-2</v>
      </c>
      <c r="BB305" s="508">
        <f t="shared" ca="1" si="396"/>
        <v>228</v>
      </c>
      <c r="BD305" s="512">
        <v>7</v>
      </c>
      <c r="BE305" s="516" t="s">
        <v>628</v>
      </c>
      <c r="BF305" s="512" t="s">
        <v>2394</v>
      </c>
      <c r="BG305" s="508">
        <f t="shared" ca="1" si="397"/>
        <v>52.8</v>
      </c>
      <c r="BH305" s="615">
        <v>4.5</v>
      </c>
      <c r="BI305" s="508">
        <f>宝箱设定!$H172</f>
        <v>3.6999999999999998E-2</v>
      </c>
      <c r="BJ305" s="170">
        <f t="shared" ca="1" si="398"/>
        <v>2.2969276094276094E-2</v>
      </c>
      <c r="BK305" s="379">
        <f t="shared" ca="1" si="399"/>
        <v>230</v>
      </c>
      <c r="BM305" s="512">
        <v>8</v>
      </c>
      <c r="BN305" s="527" t="s">
        <v>2260</v>
      </c>
      <c r="BO305" s="530" t="s">
        <v>2200</v>
      </c>
      <c r="BP305" s="508" t="str">
        <f t="shared" ca="1" si="389"/>
        <v>T2部件</v>
      </c>
      <c r="BQ305" s="615">
        <v>3</v>
      </c>
      <c r="BR305" s="615">
        <v>0.01</v>
      </c>
      <c r="BS305" s="170" t="e">
        <f t="shared" ca="1" si="390"/>
        <v>#VALUE!</v>
      </c>
      <c r="BT305" s="508" t="e">
        <f t="shared" ca="1" si="391"/>
        <v>#VALUE!</v>
      </c>
      <c r="BV305" s="396">
        <v>8</v>
      </c>
      <c r="BW305" s="527" t="s">
        <v>2268</v>
      </c>
      <c r="BX305" s="530" t="s">
        <v>2200</v>
      </c>
      <c r="BY305" s="523" t="str">
        <f t="shared" ca="1" si="383"/>
        <v>T2部件</v>
      </c>
      <c r="BZ305" s="662">
        <v>1</v>
      </c>
      <c r="CA305" s="634">
        <v>2.2499999999999999E-2</v>
      </c>
      <c r="CB305" s="170" t="e">
        <f t="shared" ca="1" si="384"/>
        <v>#VALUE!</v>
      </c>
      <c r="CC305" s="290" t="e">
        <f t="shared" ca="1" si="385"/>
        <v>#VALUE!</v>
      </c>
    </row>
    <row r="306" spans="2:81" x14ac:dyDescent="0.35">
      <c r="B306" s="512">
        <v>7</v>
      </c>
      <c r="C306" s="516" t="s">
        <v>2271</v>
      </c>
      <c r="D306" s="529" t="s">
        <v>2452</v>
      </c>
      <c r="E306" s="508" t="str">
        <f t="shared" ca="1" si="400"/>
        <v>T2部件</v>
      </c>
      <c r="F306" s="594">
        <v>1.5</v>
      </c>
      <c r="G306" s="594">
        <v>6.4000000000000003E-3</v>
      </c>
      <c r="H306" s="170" t="e">
        <f t="shared" ca="1" si="364"/>
        <v>#VALUE!</v>
      </c>
      <c r="I306" s="508" t="e">
        <f t="shared" ca="1" si="365"/>
        <v>#VALUE!</v>
      </c>
      <c r="K306" s="512">
        <v>7</v>
      </c>
      <c r="L306" s="516" t="s">
        <v>2271</v>
      </c>
      <c r="M306" s="529" t="s">
        <v>2452</v>
      </c>
      <c r="N306" s="508" t="str">
        <f t="shared" ca="1" si="401"/>
        <v>T2部件</v>
      </c>
      <c r="O306" s="566">
        <v>1</v>
      </c>
      <c r="P306" s="633">
        <v>5.0000000000000001E-3</v>
      </c>
      <c r="Q306" s="170" t="e">
        <f t="shared" ca="1" si="376"/>
        <v>#VALUE!</v>
      </c>
      <c r="R306" s="508" t="e">
        <f t="shared" ca="1" si="377"/>
        <v>#VALUE!</v>
      </c>
      <c r="T306" s="512">
        <v>7</v>
      </c>
      <c r="U306" s="516" t="s">
        <v>2271</v>
      </c>
      <c r="V306" s="529" t="s">
        <v>2452</v>
      </c>
      <c r="W306" s="508" t="str">
        <f t="shared" ca="1" si="402"/>
        <v>T2部件</v>
      </c>
      <c r="X306" s="566">
        <v>1</v>
      </c>
      <c r="Y306" s="633">
        <v>5.0000000000000001E-3</v>
      </c>
      <c r="Z306" s="170" t="e">
        <f t="shared" ca="1" si="378"/>
        <v>#VALUE!</v>
      </c>
      <c r="AA306" s="508" t="e">
        <f t="shared" ca="1" si="379"/>
        <v>#VALUE!</v>
      </c>
      <c r="AC306" s="512">
        <v>7</v>
      </c>
      <c r="AD306" s="516" t="s">
        <v>2268</v>
      </c>
      <c r="AE306" s="529" t="s">
        <v>2452</v>
      </c>
      <c r="AF306" s="508" t="str">
        <f t="shared" ca="1" si="371"/>
        <v>T2部件</v>
      </c>
      <c r="AG306" s="508">
        <v>1</v>
      </c>
      <c r="AH306" s="633">
        <v>6.7999999999999996E-3</v>
      </c>
      <c r="AI306" s="170" t="e">
        <f t="shared" ca="1" si="392"/>
        <v>#VALUE!</v>
      </c>
      <c r="AJ306" s="508" t="e">
        <f t="shared" ca="1" si="393"/>
        <v>#VALUE!</v>
      </c>
      <c r="AL306" s="512">
        <v>7</v>
      </c>
      <c r="AM306" s="516" t="s">
        <v>2249</v>
      </c>
      <c r="AN306" s="529" t="s">
        <v>2452</v>
      </c>
      <c r="AO306" s="508">
        <f t="shared" ca="1" si="386"/>
        <v>9.4499999999999993</v>
      </c>
      <c r="AP306" s="600">
        <v>1.5</v>
      </c>
      <c r="AQ306" s="565">
        <v>6.0000000000000001E-3</v>
      </c>
      <c r="AR306" s="170">
        <f t="shared" ca="1" si="403"/>
        <v>4.1058201058201058E-2</v>
      </c>
      <c r="AS306" s="508">
        <f t="shared" ca="1" si="404"/>
        <v>411</v>
      </c>
      <c r="AU306" s="512">
        <v>7</v>
      </c>
      <c r="AV306" s="516" t="s">
        <v>619</v>
      </c>
      <c r="AW306" s="512" t="s">
        <v>2394</v>
      </c>
      <c r="AX306" s="508">
        <f t="shared" ca="1" si="394"/>
        <v>69</v>
      </c>
      <c r="AY306" s="625">
        <v>2</v>
      </c>
      <c r="AZ306" s="508">
        <f>宝箱设定!$H173</f>
        <v>3.6999999999999998E-2</v>
      </c>
      <c r="BA306" s="170">
        <f t="shared" ca="1" si="395"/>
        <v>1.7427536231884058E-2</v>
      </c>
      <c r="BB306" s="508">
        <f t="shared" ca="1" si="396"/>
        <v>174</v>
      </c>
      <c r="BD306" s="512">
        <v>7</v>
      </c>
      <c r="BE306" s="516" t="s">
        <v>619</v>
      </c>
      <c r="BF306" s="512" t="s">
        <v>2394</v>
      </c>
      <c r="BG306" s="508">
        <f t="shared" ca="1" si="397"/>
        <v>69</v>
      </c>
      <c r="BH306" s="565">
        <v>3.5</v>
      </c>
      <c r="BI306" s="508">
        <f>宝箱设定!$H173</f>
        <v>3.6999999999999998E-2</v>
      </c>
      <c r="BJ306" s="170">
        <f ca="1">BI306*BE$4/BG306/BH306</f>
        <v>2.2598343685300205E-2</v>
      </c>
      <c r="BK306" s="279">
        <f ca="1">ROUND(BJ306*10000,0)</f>
        <v>226</v>
      </c>
      <c r="BM306" s="512">
        <v>8</v>
      </c>
      <c r="BN306" s="527" t="s">
        <v>2262</v>
      </c>
      <c r="BO306" s="530" t="s">
        <v>2200</v>
      </c>
      <c r="BP306" s="508" t="str">
        <f t="shared" ca="1" si="389"/>
        <v>T2部件</v>
      </c>
      <c r="BQ306" s="615">
        <v>3</v>
      </c>
      <c r="BR306" s="615">
        <v>0.01</v>
      </c>
      <c r="BS306" s="170" t="e">
        <f t="shared" ca="1" si="390"/>
        <v>#VALUE!</v>
      </c>
      <c r="BT306" s="508" t="e">
        <f t="shared" ca="1" si="391"/>
        <v>#VALUE!</v>
      </c>
      <c r="BV306" s="396">
        <v>8</v>
      </c>
      <c r="BW306" s="527" t="s">
        <v>2270</v>
      </c>
      <c r="BX306" s="530" t="s">
        <v>2200</v>
      </c>
      <c r="BY306" s="523" t="str">
        <f t="shared" ca="1" si="383"/>
        <v>T2部件</v>
      </c>
      <c r="BZ306" s="662">
        <v>1</v>
      </c>
      <c r="CA306" s="634">
        <v>2.2499999999999999E-2</v>
      </c>
      <c r="CB306" s="170" t="e">
        <f t="shared" ca="1" si="384"/>
        <v>#VALUE!</v>
      </c>
      <c r="CC306" s="290" t="e">
        <f t="shared" ca="1" si="385"/>
        <v>#VALUE!</v>
      </c>
    </row>
    <row r="307" spans="2:81" x14ac:dyDescent="0.35">
      <c r="B307" s="512">
        <v>7</v>
      </c>
      <c r="C307" s="512" t="s">
        <v>2273</v>
      </c>
      <c r="D307" s="529" t="s">
        <v>2452</v>
      </c>
      <c r="E307" s="508" t="str">
        <f t="shared" ca="1" si="400"/>
        <v>T2部件</v>
      </c>
      <c r="F307" s="594">
        <v>1.5</v>
      </c>
      <c r="G307" s="594">
        <v>6.4000000000000003E-3</v>
      </c>
      <c r="H307" s="170" t="e">
        <f t="shared" ca="1" si="364"/>
        <v>#VALUE!</v>
      </c>
      <c r="I307" s="508" t="e">
        <f t="shared" ca="1" si="365"/>
        <v>#VALUE!</v>
      </c>
      <c r="K307" s="512">
        <v>7</v>
      </c>
      <c r="L307" s="512" t="s">
        <v>2273</v>
      </c>
      <c r="M307" s="529" t="s">
        <v>2452</v>
      </c>
      <c r="N307" s="508" t="str">
        <f t="shared" ca="1" si="401"/>
        <v>T2部件</v>
      </c>
      <c r="O307" s="566">
        <v>1</v>
      </c>
      <c r="P307" s="633">
        <v>5.0000000000000001E-3</v>
      </c>
      <c r="Q307" s="170" t="e">
        <f t="shared" ca="1" si="376"/>
        <v>#VALUE!</v>
      </c>
      <c r="R307" s="508" t="e">
        <f t="shared" ca="1" si="377"/>
        <v>#VALUE!</v>
      </c>
      <c r="T307" s="512">
        <v>7</v>
      </c>
      <c r="U307" s="512" t="s">
        <v>2273</v>
      </c>
      <c r="V307" s="529" t="s">
        <v>2452</v>
      </c>
      <c r="W307" s="508" t="str">
        <f t="shared" ca="1" si="402"/>
        <v>T2部件</v>
      </c>
      <c r="X307" s="566">
        <v>1</v>
      </c>
      <c r="Y307" s="633">
        <v>5.0000000000000001E-3</v>
      </c>
      <c r="Z307" s="170" t="e">
        <f t="shared" ca="1" si="378"/>
        <v>#VALUE!</v>
      </c>
      <c r="AA307" s="508" t="e">
        <f t="shared" ca="1" si="379"/>
        <v>#VALUE!</v>
      </c>
      <c r="AC307" s="512">
        <v>7</v>
      </c>
      <c r="AD307" s="516" t="s">
        <v>2270</v>
      </c>
      <c r="AE307" s="529" t="s">
        <v>2452</v>
      </c>
      <c r="AF307" s="508" t="str">
        <f t="shared" ca="1" si="371"/>
        <v>T2部件</v>
      </c>
      <c r="AG307" s="508">
        <v>1</v>
      </c>
      <c r="AH307" s="633">
        <v>6.7999999999999996E-3</v>
      </c>
      <c r="AI307" s="170" t="e">
        <f t="shared" ca="1" si="392"/>
        <v>#VALUE!</v>
      </c>
      <c r="AJ307" s="508" t="e">
        <f t="shared" ca="1" si="393"/>
        <v>#VALUE!</v>
      </c>
      <c r="AL307" s="512">
        <v>7</v>
      </c>
      <c r="AM307" s="516" t="s">
        <v>2251</v>
      </c>
      <c r="AN307" s="529" t="s">
        <v>2452</v>
      </c>
      <c r="AO307" s="508">
        <f t="shared" ca="1" si="386"/>
        <v>9.4499999999999993</v>
      </c>
      <c r="AP307" s="600">
        <v>1.5</v>
      </c>
      <c r="AQ307" s="565">
        <v>6.0000000000000001E-3</v>
      </c>
      <c r="AR307" s="170">
        <f t="shared" ca="1" si="403"/>
        <v>4.1058201058201058E-2</v>
      </c>
      <c r="AS307" s="508">
        <f t="shared" ca="1" si="404"/>
        <v>411</v>
      </c>
      <c r="AU307" s="512">
        <v>7</v>
      </c>
      <c r="AV307" s="516" t="s">
        <v>718</v>
      </c>
      <c r="AW307" s="512" t="s">
        <v>2394</v>
      </c>
      <c r="AX307" s="508">
        <f t="shared" ca="1" si="394"/>
        <v>69</v>
      </c>
      <c r="AY307" s="565">
        <v>2</v>
      </c>
      <c r="AZ307" s="508">
        <f>宝箱设定!$H174</f>
        <v>3.6999999999999998E-2</v>
      </c>
      <c r="BA307" s="170">
        <f t="shared" ca="1" si="395"/>
        <v>1.7427536231884058E-2</v>
      </c>
      <c r="BB307" s="508">
        <f t="shared" ca="1" si="396"/>
        <v>174</v>
      </c>
      <c r="BD307" s="512">
        <v>7</v>
      </c>
      <c r="BE307" s="516" t="s">
        <v>718</v>
      </c>
      <c r="BF307" s="512" t="s">
        <v>2394</v>
      </c>
      <c r="BG307" s="508">
        <f t="shared" ca="1" si="397"/>
        <v>69</v>
      </c>
      <c r="BH307" s="615">
        <v>3.5</v>
      </c>
      <c r="BI307" s="508">
        <f>宝箱设定!$H174</f>
        <v>3.6999999999999998E-2</v>
      </c>
      <c r="BJ307" s="170">
        <f ca="1">BI307*BE$4/BG307/BH307</f>
        <v>2.2598343685300205E-2</v>
      </c>
      <c r="BK307" s="279">
        <f ca="1">ROUND(BJ307*10000,0)</f>
        <v>226</v>
      </c>
      <c r="BM307" s="512">
        <v>8</v>
      </c>
      <c r="BN307" s="527" t="s">
        <v>2264</v>
      </c>
      <c r="BO307" s="530" t="s">
        <v>2200</v>
      </c>
      <c r="BP307" s="508" t="str">
        <f t="shared" ca="1" si="389"/>
        <v>T2部件</v>
      </c>
      <c r="BQ307" s="615">
        <v>3</v>
      </c>
      <c r="BR307" s="615">
        <v>0.01</v>
      </c>
      <c r="BS307" s="170" t="e">
        <f t="shared" ca="1" si="390"/>
        <v>#VALUE!</v>
      </c>
      <c r="BT307" s="508" t="e">
        <f t="shared" ca="1" si="391"/>
        <v>#VALUE!</v>
      </c>
      <c r="BV307" s="396">
        <v>8</v>
      </c>
      <c r="BW307" s="525" t="s">
        <v>2272</v>
      </c>
      <c r="BX307" s="530" t="s">
        <v>2200</v>
      </c>
      <c r="BY307" s="523" t="str">
        <f t="shared" ca="1" si="383"/>
        <v>T2部件</v>
      </c>
      <c r="BZ307" s="662">
        <v>1</v>
      </c>
      <c r="CA307" s="634">
        <v>2.2499999999999999E-2</v>
      </c>
      <c r="CB307" s="170" t="e">
        <f t="shared" ca="1" si="384"/>
        <v>#VALUE!</v>
      </c>
      <c r="CC307" s="290" t="e">
        <f t="shared" ca="1" si="385"/>
        <v>#VALUE!</v>
      </c>
    </row>
    <row r="308" spans="2:81" x14ac:dyDescent="0.35">
      <c r="B308" s="512">
        <v>7</v>
      </c>
      <c r="C308" s="512" t="s">
        <v>2275</v>
      </c>
      <c r="D308" s="529" t="s">
        <v>2452</v>
      </c>
      <c r="E308" s="508" t="str">
        <f t="shared" ca="1" si="400"/>
        <v>T2部件</v>
      </c>
      <c r="F308" s="594">
        <v>1.5</v>
      </c>
      <c r="G308" s="594">
        <v>6.4000000000000003E-3</v>
      </c>
      <c r="H308" s="170" t="e">
        <f t="shared" ca="1" si="364"/>
        <v>#VALUE!</v>
      </c>
      <c r="I308" s="508" t="e">
        <f t="shared" ca="1" si="365"/>
        <v>#VALUE!</v>
      </c>
      <c r="K308" s="512">
        <v>7</v>
      </c>
      <c r="L308" s="512" t="s">
        <v>2275</v>
      </c>
      <c r="M308" s="529" t="s">
        <v>2452</v>
      </c>
      <c r="N308" s="508" t="str">
        <f t="shared" ca="1" si="401"/>
        <v>T2部件</v>
      </c>
      <c r="O308" s="566">
        <v>1</v>
      </c>
      <c r="P308" s="633">
        <v>5.0000000000000001E-3</v>
      </c>
      <c r="Q308" s="170" t="e">
        <f t="shared" ca="1" si="376"/>
        <v>#VALUE!</v>
      </c>
      <c r="R308" s="508" t="e">
        <f t="shared" ca="1" si="377"/>
        <v>#VALUE!</v>
      </c>
      <c r="T308" s="512">
        <v>7</v>
      </c>
      <c r="U308" s="512" t="s">
        <v>2275</v>
      </c>
      <c r="V308" s="529" t="s">
        <v>2452</v>
      </c>
      <c r="W308" s="508" t="str">
        <f t="shared" ca="1" si="402"/>
        <v>T2部件</v>
      </c>
      <c r="X308" s="566">
        <v>1</v>
      </c>
      <c r="Y308" s="633">
        <v>5.0000000000000001E-3</v>
      </c>
      <c r="Z308" s="170" t="e">
        <f t="shared" ca="1" si="378"/>
        <v>#VALUE!</v>
      </c>
      <c r="AA308" s="508" t="e">
        <f t="shared" ca="1" si="379"/>
        <v>#VALUE!</v>
      </c>
      <c r="AC308" s="512">
        <v>7</v>
      </c>
      <c r="AD308" s="512" t="s">
        <v>2272</v>
      </c>
      <c r="AE308" s="529" t="s">
        <v>2452</v>
      </c>
      <c r="AF308" s="508" t="str">
        <f t="shared" ca="1" si="371"/>
        <v>T2部件</v>
      </c>
      <c r="AG308" s="508">
        <v>1</v>
      </c>
      <c r="AH308" s="633">
        <v>6.7999999999999996E-3</v>
      </c>
      <c r="AI308" s="170" t="e">
        <f t="shared" ca="1" si="392"/>
        <v>#VALUE!</v>
      </c>
      <c r="AJ308" s="508" t="e">
        <f t="shared" ca="1" si="393"/>
        <v>#VALUE!</v>
      </c>
      <c r="AL308" s="512">
        <v>7</v>
      </c>
      <c r="AM308" s="516" t="s">
        <v>2253</v>
      </c>
      <c r="AN308" s="529" t="s">
        <v>2452</v>
      </c>
      <c r="AO308" s="508">
        <f t="shared" ca="1" si="386"/>
        <v>9.4499999999999993</v>
      </c>
      <c r="AP308" s="600">
        <v>1.5</v>
      </c>
      <c r="AQ308" s="565">
        <v>6.0000000000000001E-3</v>
      </c>
      <c r="AR308" s="170">
        <f t="shared" ca="1" si="403"/>
        <v>4.1058201058201058E-2</v>
      </c>
      <c r="AS308" s="508">
        <f t="shared" ca="1" si="404"/>
        <v>411</v>
      </c>
      <c r="AU308" s="512">
        <v>7</v>
      </c>
      <c r="AV308" s="516" t="s">
        <v>632</v>
      </c>
      <c r="AW308" s="512" t="s">
        <v>2394</v>
      </c>
      <c r="AX308" s="508">
        <f t="shared" ca="1" si="394"/>
        <v>69</v>
      </c>
      <c r="AY308" s="565">
        <v>2</v>
      </c>
      <c r="AZ308" s="508">
        <f>宝箱设定!$H175</f>
        <v>3.6999999999999998E-2</v>
      </c>
      <c r="BA308" s="170">
        <f t="shared" ca="1" si="395"/>
        <v>1.7427536231884058E-2</v>
      </c>
      <c r="BB308" s="508">
        <f t="shared" ca="1" si="396"/>
        <v>174</v>
      </c>
      <c r="BD308" s="512">
        <v>7</v>
      </c>
      <c r="BE308" s="516" t="s">
        <v>632</v>
      </c>
      <c r="BF308" s="512" t="s">
        <v>2394</v>
      </c>
      <c r="BG308" s="508">
        <f t="shared" ca="1" si="397"/>
        <v>69</v>
      </c>
      <c r="BH308" s="615">
        <v>3.5</v>
      </c>
      <c r="BI308" s="508">
        <f>宝箱设定!$H175</f>
        <v>3.6999999999999998E-2</v>
      </c>
      <c r="BJ308" s="170">
        <f ca="1">BI308*BE$4/BG308/BH308</f>
        <v>2.2598343685300205E-2</v>
      </c>
      <c r="BK308" s="279">
        <f ca="1">ROUND(BJ308*10000,0)</f>
        <v>226</v>
      </c>
      <c r="BM308" s="512">
        <v>8</v>
      </c>
      <c r="BN308" s="527" t="s">
        <v>2266</v>
      </c>
      <c r="BO308" s="530" t="s">
        <v>2200</v>
      </c>
      <c r="BP308" s="508" t="str">
        <f t="shared" ca="1" si="389"/>
        <v>T2部件</v>
      </c>
      <c r="BQ308" s="615">
        <v>3</v>
      </c>
      <c r="BR308" s="615">
        <v>0.01</v>
      </c>
      <c r="BS308" s="170" t="e">
        <f t="shared" ca="1" si="390"/>
        <v>#VALUE!</v>
      </c>
      <c r="BT308" s="508" t="e">
        <f t="shared" ca="1" si="391"/>
        <v>#VALUE!</v>
      </c>
      <c r="BV308" s="396">
        <v>8</v>
      </c>
      <c r="BW308" s="525" t="s">
        <v>2274</v>
      </c>
      <c r="BX308" s="530" t="s">
        <v>2200</v>
      </c>
      <c r="BY308" s="523" t="str">
        <f t="shared" ca="1" si="383"/>
        <v>T2部件</v>
      </c>
      <c r="BZ308" s="662">
        <v>1</v>
      </c>
      <c r="CA308" s="634">
        <v>2.2499999999999999E-2</v>
      </c>
      <c r="CB308" s="170" t="e">
        <f t="shared" ca="1" si="384"/>
        <v>#VALUE!</v>
      </c>
      <c r="CC308" s="290" t="e">
        <f t="shared" ca="1" si="385"/>
        <v>#VALUE!</v>
      </c>
    </row>
    <row r="309" spans="2:81" x14ac:dyDescent="0.35">
      <c r="B309" s="512">
        <v>7</v>
      </c>
      <c r="C309" s="516" t="s">
        <v>2276</v>
      </c>
      <c r="D309" s="529" t="s">
        <v>2452</v>
      </c>
      <c r="E309" s="508" t="str">
        <f t="shared" ca="1" si="400"/>
        <v>T3部件</v>
      </c>
      <c r="F309" s="594">
        <v>1.5</v>
      </c>
      <c r="G309" s="594">
        <v>6.1000000000000004E-3</v>
      </c>
      <c r="H309" s="170" t="e">
        <f t="shared" ca="1" si="364"/>
        <v>#VALUE!</v>
      </c>
      <c r="I309" s="508" t="e">
        <f t="shared" ca="1" si="365"/>
        <v>#VALUE!</v>
      </c>
      <c r="K309" s="512">
        <v>7</v>
      </c>
      <c r="L309" s="516" t="s">
        <v>2276</v>
      </c>
      <c r="M309" s="529" t="s">
        <v>2452</v>
      </c>
      <c r="N309" s="508" t="str">
        <f t="shared" ca="1" si="401"/>
        <v>T3部件</v>
      </c>
      <c r="O309" s="566">
        <v>1</v>
      </c>
      <c r="P309" s="633">
        <v>4.5999999999999999E-3</v>
      </c>
      <c r="Q309" s="170" t="e">
        <f t="shared" ca="1" si="376"/>
        <v>#VALUE!</v>
      </c>
      <c r="R309" s="508" t="e">
        <f t="shared" ca="1" si="377"/>
        <v>#VALUE!</v>
      </c>
      <c r="T309" s="512">
        <v>7</v>
      </c>
      <c r="U309" s="516" t="s">
        <v>2276</v>
      </c>
      <c r="V309" s="529" t="s">
        <v>2452</v>
      </c>
      <c r="W309" s="508" t="str">
        <f t="shared" ca="1" si="402"/>
        <v>T3部件</v>
      </c>
      <c r="X309" s="566">
        <v>1</v>
      </c>
      <c r="Y309" s="633">
        <v>4.5999999999999999E-3</v>
      </c>
      <c r="Z309" s="170" t="e">
        <f t="shared" ca="1" si="378"/>
        <v>#VALUE!</v>
      </c>
      <c r="AA309" s="508" t="e">
        <f t="shared" ca="1" si="379"/>
        <v>#VALUE!</v>
      </c>
      <c r="AC309" s="512">
        <v>7</v>
      </c>
      <c r="AD309" s="512" t="s">
        <v>2274</v>
      </c>
      <c r="AE309" s="529" t="s">
        <v>2452</v>
      </c>
      <c r="AF309" s="508" t="str">
        <f t="shared" ref="AF309:AF338" ca="1" si="405">IF(AE309="部件",VLOOKUP(AC309,INDIRECT(AE309&amp;"价值"),MATCH(LEFT(AD309,2)&amp;"部件",INDIRECT(AE309&amp;"价值标头"),0),FALSE),IF(AE309="加速道具",VLOOKUP(AD309,INDIRECT(AE309&amp;"价值"),MATCH("价格",INDIRECT(AE309&amp;"价值标头"),0),FALSE),VLOOKUP(AC309,INDIRECT(AE309&amp;"价值"),MATCH(AD309,INDIRECT(AE309&amp;"价值标头"),0),FALSE)))</f>
        <v>T2部件</v>
      </c>
      <c r="AG309" s="508">
        <v>1</v>
      </c>
      <c r="AH309" s="633">
        <v>6.7999999999999996E-3</v>
      </c>
      <c r="AI309" s="170" t="e">
        <f t="shared" ca="1" si="392"/>
        <v>#VALUE!</v>
      </c>
      <c r="AJ309" s="508" t="e">
        <f t="shared" ca="1" si="393"/>
        <v>#VALUE!</v>
      </c>
      <c r="AL309" s="512">
        <v>7</v>
      </c>
      <c r="AM309" s="512" t="s">
        <v>2255</v>
      </c>
      <c r="AN309" s="529" t="s">
        <v>2452</v>
      </c>
      <c r="AO309" s="508">
        <f t="shared" ca="1" si="386"/>
        <v>9.4499999999999993</v>
      </c>
      <c r="AP309" s="600">
        <v>1.5</v>
      </c>
      <c r="AQ309" s="565">
        <v>6.0000000000000001E-3</v>
      </c>
      <c r="AR309" s="170">
        <f t="shared" ca="1" si="403"/>
        <v>4.1058201058201058E-2</v>
      </c>
      <c r="AS309" s="508">
        <f t="shared" ca="1" si="404"/>
        <v>411</v>
      </c>
      <c r="AU309" s="512">
        <v>7</v>
      </c>
      <c r="AV309" s="516" t="s">
        <v>2239</v>
      </c>
      <c r="AW309" s="529" t="s">
        <v>2452</v>
      </c>
      <c r="AX309" s="508">
        <f t="shared" ca="1" si="394"/>
        <v>9.4499999999999993</v>
      </c>
      <c r="AY309" s="565">
        <v>1.5</v>
      </c>
      <c r="AZ309" s="633">
        <v>6.3E-3</v>
      </c>
      <c r="BA309" s="170">
        <f t="shared" ca="1" si="395"/>
        <v>2.8888888888888891E-2</v>
      </c>
      <c r="BB309" s="508">
        <f t="shared" ca="1" si="396"/>
        <v>289</v>
      </c>
      <c r="BD309" s="512">
        <v>7</v>
      </c>
      <c r="BE309" s="516" t="s">
        <v>2239</v>
      </c>
      <c r="BF309" s="529" t="s">
        <v>2452</v>
      </c>
      <c r="BG309" s="508">
        <f t="shared" ca="1" si="397"/>
        <v>9.4499999999999993</v>
      </c>
      <c r="BH309" s="508">
        <v>5</v>
      </c>
      <c r="BI309" s="615">
        <v>6.0000000000000001E-3</v>
      </c>
      <c r="BJ309" s="170">
        <f t="shared" ref="BJ309:BJ332" ca="1" si="406">BI309*BE$4/BG309/BH309</f>
        <v>1.8730158730158732E-2</v>
      </c>
      <c r="BK309" s="279">
        <f t="shared" ref="BK309:BK332" ca="1" si="407">ROUND(BJ309*10000,0)</f>
        <v>187</v>
      </c>
      <c r="BM309" s="512">
        <v>8</v>
      </c>
      <c r="BN309" s="527" t="s">
        <v>2268</v>
      </c>
      <c r="BO309" s="530" t="s">
        <v>2200</v>
      </c>
      <c r="BP309" s="508" t="str">
        <f t="shared" ca="1" si="389"/>
        <v>T2部件</v>
      </c>
      <c r="BQ309" s="615">
        <v>3</v>
      </c>
      <c r="BR309" s="615">
        <v>0.01</v>
      </c>
      <c r="BS309" s="170" t="e">
        <f t="shared" ca="1" si="390"/>
        <v>#VALUE!</v>
      </c>
      <c r="BT309" s="508" t="e">
        <f t="shared" ca="1" si="391"/>
        <v>#VALUE!</v>
      </c>
      <c r="BV309" s="396">
        <v>8</v>
      </c>
      <c r="BW309" s="527" t="s">
        <v>2259</v>
      </c>
      <c r="BX309" s="530" t="s">
        <v>2200</v>
      </c>
      <c r="BY309" s="523" t="str">
        <f t="shared" ca="1" si="383"/>
        <v>T2部件</v>
      </c>
      <c r="BZ309" s="662">
        <v>1</v>
      </c>
      <c r="CA309" s="634">
        <v>2.2499999999999999E-2</v>
      </c>
      <c r="CB309" s="170" t="e">
        <f t="shared" ca="1" si="384"/>
        <v>#VALUE!</v>
      </c>
      <c r="CC309" s="290" t="e">
        <f t="shared" ca="1" si="385"/>
        <v>#VALUE!</v>
      </c>
    </row>
    <row r="310" spans="2:81" x14ac:dyDescent="0.35">
      <c r="B310" s="512">
        <v>7</v>
      </c>
      <c r="C310" s="516" t="s">
        <v>2278</v>
      </c>
      <c r="D310" s="529" t="s">
        <v>2452</v>
      </c>
      <c r="E310" s="508" t="str">
        <f t="shared" ca="1" si="400"/>
        <v>T3部件</v>
      </c>
      <c r="F310" s="594">
        <v>1.5</v>
      </c>
      <c r="G310" s="594">
        <v>6.1000000000000004E-3</v>
      </c>
      <c r="H310" s="170" t="e">
        <f t="shared" ca="1" si="364"/>
        <v>#VALUE!</v>
      </c>
      <c r="I310" s="508" t="e">
        <f t="shared" ca="1" si="365"/>
        <v>#VALUE!</v>
      </c>
      <c r="K310" s="512">
        <v>7</v>
      </c>
      <c r="L310" s="516" t="s">
        <v>2278</v>
      </c>
      <c r="M310" s="529" t="s">
        <v>2452</v>
      </c>
      <c r="N310" s="508" t="str">
        <f t="shared" ca="1" si="401"/>
        <v>T3部件</v>
      </c>
      <c r="O310" s="566">
        <v>1</v>
      </c>
      <c r="P310" s="633">
        <v>4.5999999999999999E-3</v>
      </c>
      <c r="Q310" s="170" t="e">
        <f t="shared" ca="1" si="376"/>
        <v>#VALUE!</v>
      </c>
      <c r="R310" s="508" t="e">
        <f t="shared" ca="1" si="377"/>
        <v>#VALUE!</v>
      </c>
      <c r="T310" s="512">
        <v>7</v>
      </c>
      <c r="U310" s="516" t="s">
        <v>2278</v>
      </c>
      <c r="V310" s="529" t="s">
        <v>2452</v>
      </c>
      <c r="W310" s="508" t="str">
        <f t="shared" ca="1" si="402"/>
        <v>T3部件</v>
      </c>
      <c r="X310" s="566">
        <v>1</v>
      </c>
      <c r="Y310" s="633">
        <v>4.5999999999999999E-3</v>
      </c>
      <c r="Z310" s="170" t="e">
        <f t="shared" ca="1" si="378"/>
        <v>#VALUE!</v>
      </c>
      <c r="AA310" s="508" t="e">
        <f t="shared" ca="1" si="379"/>
        <v>#VALUE!</v>
      </c>
      <c r="AC310" s="512">
        <v>7</v>
      </c>
      <c r="AD310" s="516" t="s">
        <v>2259</v>
      </c>
      <c r="AE310" s="529" t="s">
        <v>2452</v>
      </c>
      <c r="AF310" s="508" t="str">
        <f t="shared" ca="1" si="405"/>
        <v>T2部件</v>
      </c>
      <c r="AG310" s="508">
        <v>1</v>
      </c>
      <c r="AH310" s="633">
        <v>6.7999999999999996E-3</v>
      </c>
      <c r="AI310" s="170" t="e">
        <f t="shared" ca="1" si="392"/>
        <v>#VALUE!</v>
      </c>
      <c r="AJ310" s="508" t="e">
        <f t="shared" ca="1" si="393"/>
        <v>#VALUE!</v>
      </c>
      <c r="AL310" s="512">
        <v>7</v>
      </c>
      <c r="AM310" s="512" t="s">
        <v>2257</v>
      </c>
      <c r="AN310" s="529" t="s">
        <v>2452</v>
      </c>
      <c r="AO310" s="508">
        <f t="shared" ca="1" si="386"/>
        <v>9.4499999999999993</v>
      </c>
      <c r="AP310" s="600">
        <v>1.5</v>
      </c>
      <c r="AQ310" s="565">
        <v>6.0000000000000001E-3</v>
      </c>
      <c r="AR310" s="170">
        <f t="shared" ca="1" si="403"/>
        <v>4.1058201058201058E-2</v>
      </c>
      <c r="AS310" s="508">
        <f t="shared" ca="1" si="404"/>
        <v>411</v>
      </c>
      <c r="AU310" s="512">
        <v>7</v>
      </c>
      <c r="AV310" s="516" t="s">
        <v>2242</v>
      </c>
      <c r="AW310" s="529" t="s">
        <v>2452</v>
      </c>
      <c r="AX310" s="508">
        <f t="shared" ca="1" si="394"/>
        <v>9.4499999999999993</v>
      </c>
      <c r="AY310" s="625">
        <v>1.5</v>
      </c>
      <c r="AZ310" s="633">
        <v>6.3E-3</v>
      </c>
      <c r="BA310" s="170">
        <f t="shared" ca="1" si="395"/>
        <v>2.8888888888888891E-2</v>
      </c>
      <c r="BB310" s="508">
        <f t="shared" ca="1" si="396"/>
        <v>289</v>
      </c>
      <c r="BD310" s="512">
        <v>7</v>
      </c>
      <c r="BE310" s="516" t="s">
        <v>2242</v>
      </c>
      <c r="BF310" s="529" t="s">
        <v>2452</v>
      </c>
      <c r="BG310" s="508">
        <f t="shared" ca="1" si="397"/>
        <v>9.4499999999999993</v>
      </c>
      <c r="BH310" s="632">
        <v>5</v>
      </c>
      <c r="BI310" s="615">
        <v>6.0000000000000001E-3</v>
      </c>
      <c r="BJ310" s="170">
        <f t="shared" ca="1" si="406"/>
        <v>1.8730158730158732E-2</v>
      </c>
      <c r="BK310" s="279">
        <f t="shared" ca="1" si="407"/>
        <v>187</v>
      </c>
      <c r="BM310" s="512">
        <v>8</v>
      </c>
      <c r="BN310" s="527" t="s">
        <v>2270</v>
      </c>
      <c r="BO310" s="530" t="s">
        <v>2200</v>
      </c>
      <c r="BP310" s="508" t="str">
        <f t="shared" ca="1" si="389"/>
        <v>T2部件</v>
      </c>
      <c r="BQ310" s="615">
        <v>3</v>
      </c>
      <c r="BR310" s="615">
        <v>0.01</v>
      </c>
      <c r="BS310" s="170" t="e">
        <f t="shared" ca="1" si="390"/>
        <v>#VALUE!</v>
      </c>
      <c r="BT310" s="508" t="e">
        <f t="shared" ca="1" si="391"/>
        <v>#VALUE!</v>
      </c>
      <c r="BV310" s="396">
        <v>8</v>
      </c>
      <c r="BW310" s="527" t="s">
        <v>2261</v>
      </c>
      <c r="BX310" s="530" t="s">
        <v>2200</v>
      </c>
      <c r="BY310" s="523" t="str">
        <f t="shared" ca="1" si="383"/>
        <v>T2部件</v>
      </c>
      <c r="BZ310" s="662">
        <v>1</v>
      </c>
      <c r="CA310" s="634">
        <v>2.2499999999999999E-2</v>
      </c>
      <c r="CB310" s="170" t="e">
        <f t="shared" ca="1" si="384"/>
        <v>#VALUE!</v>
      </c>
      <c r="CC310" s="290" t="e">
        <f t="shared" ca="1" si="385"/>
        <v>#VALUE!</v>
      </c>
    </row>
    <row r="311" spans="2:81" x14ac:dyDescent="0.35">
      <c r="B311" s="512">
        <v>7</v>
      </c>
      <c r="C311" s="516" t="s">
        <v>2280</v>
      </c>
      <c r="D311" s="529" t="s">
        <v>2452</v>
      </c>
      <c r="E311" s="508" t="str">
        <f t="shared" ca="1" si="400"/>
        <v>T3部件</v>
      </c>
      <c r="F311" s="594">
        <v>1.5</v>
      </c>
      <c r="G311" s="594">
        <v>6.1000000000000004E-3</v>
      </c>
      <c r="H311" s="170" t="e">
        <f t="shared" ca="1" si="364"/>
        <v>#VALUE!</v>
      </c>
      <c r="I311" s="508" t="e">
        <f t="shared" ca="1" si="365"/>
        <v>#VALUE!</v>
      </c>
      <c r="K311" s="512">
        <v>7</v>
      </c>
      <c r="L311" s="516" t="s">
        <v>2280</v>
      </c>
      <c r="M311" s="529" t="s">
        <v>2452</v>
      </c>
      <c r="N311" s="508" t="str">
        <f t="shared" ca="1" si="401"/>
        <v>T3部件</v>
      </c>
      <c r="O311" s="566">
        <v>1</v>
      </c>
      <c r="P311" s="633">
        <v>4.5999999999999999E-3</v>
      </c>
      <c r="Q311" s="170" t="e">
        <f t="shared" ca="1" si="376"/>
        <v>#VALUE!</v>
      </c>
      <c r="R311" s="508" t="e">
        <f t="shared" ca="1" si="377"/>
        <v>#VALUE!</v>
      </c>
      <c r="T311" s="512">
        <v>7</v>
      </c>
      <c r="U311" s="516" t="s">
        <v>2280</v>
      </c>
      <c r="V311" s="529" t="s">
        <v>2452</v>
      </c>
      <c r="W311" s="508" t="str">
        <f t="shared" ca="1" si="402"/>
        <v>T3部件</v>
      </c>
      <c r="X311" s="566">
        <v>1</v>
      </c>
      <c r="Y311" s="633">
        <v>4.5999999999999999E-3</v>
      </c>
      <c r="Z311" s="170" t="e">
        <f t="shared" ca="1" si="378"/>
        <v>#VALUE!</v>
      </c>
      <c r="AA311" s="508" t="e">
        <f t="shared" ca="1" si="379"/>
        <v>#VALUE!</v>
      </c>
      <c r="AC311" s="512">
        <v>7</v>
      </c>
      <c r="AD311" s="516" t="s">
        <v>2261</v>
      </c>
      <c r="AE311" s="529" t="s">
        <v>2452</v>
      </c>
      <c r="AF311" s="508" t="str">
        <f t="shared" ca="1" si="405"/>
        <v>T2部件</v>
      </c>
      <c r="AG311" s="508">
        <v>1</v>
      </c>
      <c r="AH311" s="633">
        <v>6.7999999999999996E-3</v>
      </c>
      <c r="AI311" s="170" t="e">
        <f t="shared" ca="1" si="392"/>
        <v>#VALUE!</v>
      </c>
      <c r="AJ311" s="508" t="e">
        <f t="shared" ca="1" si="393"/>
        <v>#VALUE!</v>
      </c>
      <c r="AL311" s="512">
        <v>7</v>
      </c>
      <c r="AM311" s="516" t="s">
        <v>2258</v>
      </c>
      <c r="AN311" s="529" t="s">
        <v>2452</v>
      </c>
      <c r="AO311" s="508" t="str">
        <f t="shared" ca="1" si="386"/>
        <v>T2部件</v>
      </c>
      <c r="AP311" s="508">
        <v>1</v>
      </c>
      <c r="AQ311" s="565">
        <v>6.0000000000000001E-3</v>
      </c>
      <c r="AR311" s="170" t="e">
        <f t="shared" ca="1" si="403"/>
        <v>#VALUE!</v>
      </c>
      <c r="AS311" s="508" t="e">
        <f t="shared" ca="1" si="404"/>
        <v>#VALUE!</v>
      </c>
      <c r="AU311" s="512">
        <v>7</v>
      </c>
      <c r="AV311" s="516" t="s">
        <v>2244</v>
      </c>
      <c r="AW311" s="529" t="s">
        <v>2452</v>
      </c>
      <c r="AX311" s="508">
        <f t="shared" ca="1" si="394"/>
        <v>9.4499999999999993</v>
      </c>
      <c r="AY311" s="625">
        <v>1.5</v>
      </c>
      <c r="AZ311" s="633">
        <v>6.3E-3</v>
      </c>
      <c r="BA311" s="170">
        <f t="shared" ca="1" si="395"/>
        <v>2.8888888888888891E-2</v>
      </c>
      <c r="BB311" s="508">
        <f t="shared" ca="1" si="396"/>
        <v>289</v>
      </c>
      <c r="BD311" s="512">
        <v>7</v>
      </c>
      <c r="BE311" s="516" t="s">
        <v>2244</v>
      </c>
      <c r="BF311" s="529" t="s">
        <v>2452</v>
      </c>
      <c r="BG311" s="508">
        <f t="shared" ca="1" si="397"/>
        <v>9.4499999999999993</v>
      </c>
      <c r="BH311" s="632">
        <v>5</v>
      </c>
      <c r="BI311" s="615">
        <v>6.0000000000000001E-3</v>
      </c>
      <c r="BJ311" s="170">
        <f t="shared" ca="1" si="406"/>
        <v>1.8730158730158732E-2</v>
      </c>
      <c r="BK311" s="279">
        <f t="shared" ca="1" si="407"/>
        <v>187</v>
      </c>
      <c r="BM311" s="512">
        <v>8</v>
      </c>
      <c r="BN311" s="525" t="s">
        <v>2272</v>
      </c>
      <c r="BO311" s="530" t="s">
        <v>2200</v>
      </c>
      <c r="BP311" s="508" t="str">
        <f t="shared" ca="1" si="389"/>
        <v>T2部件</v>
      </c>
      <c r="BQ311" s="615">
        <v>3</v>
      </c>
      <c r="BR311" s="615">
        <v>0.01</v>
      </c>
      <c r="BS311" s="170" t="e">
        <f t="shared" ca="1" si="390"/>
        <v>#VALUE!</v>
      </c>
      <c r="BT311" s="508" t="e">
        <f t="shared" ca="1" si="391"/>
        <v>#VALUE!</v>
      </c>
      <c r="BV311" s="396">
        <v>8</v>
      </c>
      <c r="BW311" s="527" t="s">
        <v>2263</v>
      </c>
      <c r="BX311" s="530" t="s">
        <v>2200</v>
      </c>
      <c r="BY311" s="523" t="str">
        <f t="shared" ca="1" si="383"/>
        <v>T2部件</v>
      </c>
      <c r="BZ311" s="662">
        <v>1</v>
      </c>
      <c r="CA311" s="634">
        <v>2.2499999999999999E-2</v>
      </c>
      <c r="CB311" s="170" t="e">
        <f t="shared" ca="1" si="384"/>
        <v>#VALUE!</v>
      </c>
      <c r="CC311" s="290" t="e">
        <f t="shared" ca="1" si="385"/>
        <v>#VALUE!</v>
      </c>
    </row>
    <row r="312" spans="2:81" x14ac:dyDescent="0.35">
      <c r="B312" s="512">
        <v>7</v>
      </c>
      <c r="C312" s="516" t="s">
        <v>2282</v>
      </c>
      <c r="D312" s="529" t="s">
        <v>2452</v>
      </c>
      <c r="E312" s="508" t="str">
        <f t="shared" ca="1" si="400"/>
        <v>T3部件</v>
      </c>
      <c r="F312" s="594">
        <v>1.5</v>
      </c>
      <c r="G312" s="594">
        <v>6.1000000000000004E-3</v>
      </c>
      <c r="H312" s="170" t="e">
        <f t="shared" ca="1" si="364"/>
        <v>#VALUE!</v>
      </c>
      <c r="I312" s="508" t="e">
        <f t="shared" ca="1" si="365"/>
        <v>#VALUE!</v>
      </c>
      <c r="K312" s="512">
        <v>7</v>
      </c>
      <c r="L312" s="516" t="s">
        <v>2282</v>
      </c>
      <c r="M312" s="529" t="s">
        <v>2452</v>
      </c>
      <c r="N312" s="508" t="str">
        <f t="shared" ca="1" si="401"/>
        <v>T3部件</v>
      </c>
      <c r="O312" s="566">
        <v>1</v>
      </c>
      <c r="P312" s="633">
        <v>4.5999999999999999E-3</v>
      </c>
      <c r="Q312" s="170" t="e">
        <f t="shared" ca="1" si="376"/>
        <v>#VALUE!</v>
      </c>
      <c r="R312" s="508" t="e">
        <f t="shared" ca="1" si="377"/>
        <v>#VALUE!</v>
      </c>
      <c r="T312" s="512">
        <v>7</v>
      </c>
      <c r="U312" s="516" t="s">
        <v>2282</v>
      </c>
      <c r="V312" s="529" t="s">
        <v>2452</v>
      </c>
      <c r="W312" s="508" t="str">
        <f t="shared" ca="1" si="402"/>
        <v>T3部件</v>
      </c>
      <c r="X312" s="566">
        <v>1</v>
      </c>
      <c r="Y312" s="633">
        <v>4.5999999999999999E-3</v>
      </c>
      <c r="Z312" s="170" t="e">
        <f t="shared" ca="1" si="378"/>
        <v>#VALUE!</v>
      </c>
      <c r="AA312" s="508" t="e">
        <f t="shared" ca="1" si="379"/>
        <v>#VALUE!</v>
      </c>
      <c r="AC312" s="512">
        <v>7</v>
      </c>
      <c r="AD312" s="516" t="s">
        <v>2263</v>
      </c>
      <c r="AE312" s="529" t="s">
        <v>2452</v>
      </c>
      <c r="AF312" s="508" t="str">
        <f t="shared" ca="1" si="405"/>
        <v>T2部件</v>
      </c>
      <c r="AG312" s="508">
        <v>1</v>
      </c>
      <c r="AH312" s="633">
        <v>6.7999999999999996E-3</v>
      </c>
      <c r="AI312" s="170" t="e">
        <f t="shared" ca="1" si="392"/>
        <v>#VALUE!</v>
      </c>
      <c r="AJ312" s="508" t="e">
        <f t="shared" ca="1" si="393"/>
        <v>#VALUE!</v>
      </c>
      <c r="AL312" s="512">
        <v>7</v>
      </c>
      <c r="AM312" s="516" t="s">
        <v>2260</v>
      </c>
      <c r="AN312" s="529" t="s">
        <v>2452</v>
      </c>
      <c r="AO312" s="508" t="str">
        <f t="shared" ca="1" si="386"/>
        <v>T2部件</v>
      </c>
      <c r="AP312" s="600">
        <v>1</v>
      </c>
      <c r="AQ312" s="600">
        <v>6.0000000000000001E-3</v>
      </c>
      <c r="AR312" s="170" t="e">
        <f t="shared" ca="1" si="403"/>
        <v>#VALUE!</v>
      </c>
      <c r="AS312" s="508" t="e">
        <f t="shared" ca="1" si="404"/>
        <v>#VALUE!</v>
      </c>
      <c r="AU312" s="512">
        <v>7</v>
      </c>
      <c r="AV312" s="516" t="s">
        <v>2246</v>
      </c>
      <c r="AW312" s="529" t="s">
        <v>2452</v>
      </c>
      <c r="AX312" s="508">
        <f t="shared" ca="1" si="394"/>
        <v>9.4499999999999993</v>
      </c>
      <c r="AY312" s="625">
        <v>1.5</v>
      </c>
      <c r="AZ312" s="633">
        <v>6.3E-3</v>
      </c>
      <c r="BA312" s="170">
        <f t="shared" ca="1" si="395"/>
        <v>2.8888888888888891E-2</v>
      </c>
      <c r="BB312" s="508">
        <f t="shared" ca="1" si="396"/>
        <v>289</v>
      </c>
      <c r="BD312" s="512">
        <v>7</v>
      </c>
      <c r="BE312" s="516" t="s">
        <v>2246</v>
      </c>
      <c r="BF312" s="529" t="s">
        <v>2452</v>
      </c>
      <c r="BG312" s="508">
        <f t="shared" ca="1" si="397"/>
        <v>9.4499999999999993</v>
      </c>
      <c r="BH312" s="632">
        <v>5</v>
      </c>
      <c r="BI312" s="615">
        <v>6.0000000000000001E-3</v>
      </c>
      <c r="BJ312" s="170">
        <f t="shared" ca="1" si="406"/>
        <v>1.8730158730158732E-2</v>
      </c>
      <c r="BK312" s="279">
        <f t="shared" ca="1" si="407"/>
        <v>187</v>
      </c>
      <c r="BM312" s="512">
        <v>8</v>
      </c>
      <c r="BN312" s="525" t="s">
        <v>2274</v>
      </c>
      <c r="BO312" s="530" t="s">
        <v>2200</v>
      </c>
      <c r="BP312" s="508" t="str">
        <f t="shared" ca="1" si="389"/>
        <v>T2部件</v>
      </c>
      <c r="BQ312" s="615">
        <v>3</v>
      </c>
      <c r="BR312" s="615">
        <v>0.01</v>
      </c>
      <c r="BS312" s="170" t="e">
        <f t="shared" ca="1" si="390"/>
        <v>#VALUE!</v>
      </c>
      <c r="BT312" s="508" t="e">
        <f t="shared" ca="1" si="391"/>
        <v>#VALUE!</v>
      </c>
      <c r="BV312" s="396">
        <v>8</v>
      </c>
      <c r="BW312" s="527" t="s">
        <v>2265</v>
      </c>
      <c r="BX312" s="530" t="s">
        <v>2200</v>
      </c>
      <c r="BY312" s="523" t="str">
        <f t="shared" ca="1" si="383"/>
        <v>T2部件</v>
      </c>
      <c r="BZ312" s="662">
        <v>1</v>
      </c>
      <c r="CA312" s="634">
        <v>2.2499999999999999E-2</v>
      </c>
      <c r="CB312" s="170" t="e">
        <f t="shared" ca="1" si="384"/>
        <v>#VALUE!</v>
      </c>
      <c r="CC312" s="290" t="e">
        <f t="shared" ca="1" si="385"/>
        <v>#VALUE!</v>
      </c>
    </row>
    <row r="313" spans="2:81" x14ac:dyDescent="0.35">
      <c r="B313" s="512">
        <v>7</v>
      </c>
      <c r="C313" s="516" t="s">
        <v>2284</v>
      </c>
      <c r="D313" s="529" t="s">
        <v>2452</v>
      </c>
      <c r="E313" s="508" t="str">
        <f t="shared" ca="1" si="400"/>
        <v>T3部件</v>
      </c>
      <c r="F313" s="594">
        <v>1.5</v>
      </c>
      <c r="G313" s="594">
        <v>6.1000000000000004E-3</v>
      </c>
      <c r="H313" s="170" t="e">
        <f t="shared" ca="1" si="364"/>
        <v>#VALUE!</v>
      </c>
      <c r="I313" s="508" t="e">
        <f t="shared" ca="1" si="365"/>
        <v>#VALUE!</v>
      </c>
      <c r="K313" s="512">
        <v>7</v>
      </c>
      <c r="L313" s="516" t="s">
        <v>2284</v>
      </c>
      <c r="M313" s="529" t="s">
        <v>2452</v>
      </c>
      <c r="N313" s="508" t="str">
        <f t="shared" ca="1" si="401"/>
        <v>T3部件</v>
      </c>
      <c r="O313" s="566">
        <v>1</v>
      </c>
      <c r="P313" s="633">
        <v>4.5999999999999999E-3</v>
      </c>
      <c r="Q313" s="170" t="e">
        <f t="shared" ca="1" si="376"/>
        <v>#VALUE!</v>
      </c>
      <c r="R313" s="508" t="e">
        <f t="shared" ca="1" si="377"/>
        <v>#VALUE!</v>
      </c>
      <c r="T313" s="512">
        <v>7</v>
      </c>
      <c r="U313" s="516" t="s">
        <v>2284</v>
      </c>
      <c r="V313" s="529" t="s">
        <v>2452</v>
      </c>
      <c r="W313" s="508" t="str">
        <f t="shared" ca="1" si="402"/>
        <v>T3部件</v>
      </c>
      <c r="X313" s="566">
        <v>1</v>
      </c>
      <c r="Y313" s="633">
        <v>4.5999999999999999E-3</v>
      </c>
      <c r="Z313" s="170" t="e">
        <f t="shared" ca="1" si="378"/>
        <v>#VALUE!</v>
      </c>
      <c r="AA313" s="508" t="e">
        <f t="shared" ca="1" si="379"/>
        <v>#VALUE!</v>
      </c>
      <c r="AC313" s="512">
        <v>7</v>
      </c>
      <c r="AD313" s="516" t="s">
        <v>2265</v>
      </c>
      <c r="AE313" s="529" t="s">
        <v>2452</v>
      </c>
      <c r="AF313" s="508" t="str">
        <f t="shared" ca="1" si="405"/>
        <v>T2部件</v>
      </c>
      <c r="AG313" s="508">
        <v>1</v>
      </c>
      <c r="AH313" s="633">
        <v>6.7999999999999996E-3</v>
      </c>
      <c r="AI313" s="170" t="e">
        <f t="shared" ca="1" si="392"/>
        <v>#VALUE!</v>
      </c>
      <c r="AJ313" s="508" t="e">
        <f t="shared" ca="1" si="393"/>
        <v>#VALUE!</v>
      </c>
      <c r="AL313" s="512">
        <v>7</v>
      </c>
      <c r="AM313" s="516" t="s">
        <v>2262</v>
      </c>
      <c r="AN313" s="529" t="s">
        <v>2452</v>
      </c>
      <c r="AO313" s="508" t="str">
        <f t="shared" ca="1" si="386"/>
        <v>T2部件</v>
      </c>
      <c r="AP313" s="600">
        <v>1</v>
      </c>
      <c r="AQ313" s="600">
        <v>6.0000000000000001E-3</v>
      </c>
      <c r="AR313" s="170" t="e">
        <f t="shared" ca="1" si="403"/>
        <v>#VALUE!</v>
      </c>
      <c r="AS313" s="508" t="e">
        <f t="shared" ca="1" si="404"/>
        <v>#VALUE!</v>
      </c>
      <c r="AU313" s="512">
        <v>7</v>
      </c>
      <c r="AV313" s="516" t="s">
        <v>2248</v>
      </c>
      <c r="AW313" s="529" t="s">
        <v>2452</v>
      </c>
      <c r="AX313" s="508">
        <f t="shared" ca="1" si="394"/>
        <v>9.4499999999999993</v>
      </c>
      <c r="AY313" s="625">
        <v>1.5</v>
      </c>
      <c r="AZ313" s="633">
        <v>6.3E-3</v>
      </c>
      <c r="BA313" s="170">
        <f t="shared" ca="1" si="395"/>
        <v>2.8888888888888891E-2</v>
      </c>
      <c r="BB313" s="508">
        <f t="shared" ca="1" si="396"/>
        <v>289</v>
      </c>
      <c r="BD313" s="512">
        <v>7</v>
      </c>
      <c r="BE313" s="516" t="s">
        <v>2248</v>
      </c>
      <c r="BF313" s="529" t="s">
        <v>2452</v>
      </c>
      <c r="BG313" s="508">
        <f t="shared" ca="1" si="397"/>
        <v>9.4499999999999993</v>
      </c>
      <c r="BH313" s="632">
        <v>5</v>
      </c>
      <c r="BI313" s="615">
        <v>6.0000000000000001E-3</v>
      </c>
      <c r="BJ313" s="170">
        <f t="shared" ca="1" si="406"/>
        <v>1.8730158730158732E-2</v>
      </c>
      <c r="BK313" s="279">
        <f t="shared" ca="1" si="407"/>
        <v>187</v>
      </c>
      <c r="BM313" s="512">
        <v>8</v>
      </c>
      <c r="BN313" s="527" t="s">
        <v>2259</v>
      </c>
      <c r="BO313" s="530" t="s">
        <v>2200</v>
      </c>
      <c r="BP313" s="508" t="str">
        <f t="shared" ca="1" si="389"/>
        <v>T2部件</v>
      </c>
      <c r="BQ313" s="615">
        <v>3</v>
      </c>
      <c r="BR313" s="615">
        <v>0.01</v>
      </c>
      <c r="BS313" s="170" t="e">
        <f t="shared" ca="1" si="390"/>
        <v>#VALUE!</v>
      </c>
      <c r="BT313" s="508" t="e">
        <f t="shared" ca="1" si="391"/>
        <v>#VALUE!</v>
      </c>
      <c r="BV313" s="396">
        <v>8</v>
      </c>
      <c r="BW313" s="527" t="s">
        <v>2267</v>
      </c>
      <c r="BX313" s="530" t="s">
        <v>2200</v>
      </c>
      <c r="BY313" s="523" t="str">
        <f t="shared" ca="1" si="383"/>
        <v>T2部件</v>
      </c>
      <c r="BZ313" s="662">
        <v>1</v>
      </c>
      <c r="CA313" s="634">
        <v>2.2499999999999999E-2</v>
      </c>
      <c r="CB313" s="170" t="e">
        <f ca="1">CA313*BW$4/BY313/BZ313</f>
        <v>#VALUE!</v>
      </c>
      <c r="CC313" s="394" t="e">
        <f ca="1">ROUND(CB313*10000,0)</f>
        <v>#VALUE!</v>
      </c>
    </row>
    <row r="314" spans="2:81" x14ac:dyDescent="0.35">
      <c r="B314" s="512">
        <v>7</v>
      </c>
      <c r="C314" s="516" t="s">
        <v>2286</v>
      </c>
      <c r="D314" s="529" t="s">
        <v>2452</v>
      </c>
      <c r="E314" s="508" t="str">
        <f t="shared" ca="1" si="400"/>
        <v>T3部件</v>
      </c>
      <c r="F314" s="594">
        <v>1.5</v>
      </c>
      <c r="G314" s="594">
        <v>6.1000000000000004E-3</v>
      </c>
      <c r="H314" s="170" t="e">
        <f t="shared" ca="1" si="364"/>
        <v>#VALUE!</v>
      </c>
      <c r="I314" s="508" t="e">
        <f t="shared" ca="1" si="365"/>
        <v>#VALUE!</v>
      </c>
      <c r="K314" s="512">
        <v>7</v>
      </c>
      <c r="L314" s="516" t="s">
        <v>2286</v>
      </c>
      <c r="M314" s="529" t="s">
        <v>2452</v>
      </c>
      <c r="N314" s="508" t="str">
        <f t="shared" ca="1" si="401"/>
        <v>T3部件</v>
      </c>
      <c r="O314" s="566">
        <v>1</v>
      </c>
      <c r="P314" s="633">
        <v>4.5999999999999999E-3</v>
      </c>
      <c r="Q314" s="170" t="e">
        <f t="shared" ca="1" si="376"/>
        <v>#VALUE!</v>
      </c>
      <c r="R314" s="508" t="e">
        <f t="shared" ca="1" si="377"/>
        <v>#VALUE!</v>
      </c>
      <c r="T314" s="512">
        <v>7</v>
      </c>
      <c r="U314" s="516" t="s">
        <v>2286</v>
      </c>
      <c r="V314" s="529" t="s">
        <v>2452</v>
      </c>
      <c r="W314" s="508" t="str">
        <f t="shared" ca="1" si="402"/>
        <v>T3部件</v>
      </c>
      <c r="X314" s="566">
        <v>1</v>
      </c>
      <c r="Y314" s="633">
        <v>4.5999999999999999E-3</v>
      </c>
      <c r="Z314" s="170" t="e">
        <f t="shared" ca="1" si="378"/>
        <v>#VALUE!</v>
      </c>
      <c r="AA314" s="508" t="e">
        <f t="shared" ca="1" si="379"/>
        <v>#VALUE!</v>
      </c>
      <c r="AC314" s="512">
        <v>7</v>
      </c>
      <c r="AD314" s="516" t="s">
        <v>2267</v>
      </c>
      <c r="AE314" s="529" t="s">
        <v>2452</v>
      </c>
      <c r="AF314" s="508" t="str">
        <f t="shared" ca="1" si="405"/>
        <v>T2部件</v>
      </c>
      <c r="AG314" s="508">
        <v>1</v>
      </c>
      <c r="AH314" s="633">
        <v>6.7999999999999996E-3</v>
      </c>
      <c r="AI314" s="170" t="e">
        <f t="shared" ca="1" si="392"/>
        <v>#VALUE!</v>
      </c>
      <c r="AJ314" s="508" t="e">
        <f t="shared" ca="1" si="393"/>
        <v>#VALUE!</v>
      </c>
      <c r="AL314" s="512">
        <v>7</v>
      </c>
      <c r="AM314" s="516" t="s">
        <v>2264</v>
      </c>
      <c r="AN314" s="529" t="s">
        <v>2452</v>
      </c>
      <c r="AO314" s="508" t="str">
        <f t="shared" ca="1" si="386"/>
        <v>T2部件</v>
      </c>
      <c r="AP314" s="600">
        <v>1</v>
      </c>
      <c r="AQ314" s="600">
        <v>6.0000000000000001E-3</v>
      </c>
      <c r="AR314" s="170" t="e">
        <f t="shared" ca="1" si="403"/>
        <v>#VALUE!</v>
      </c>
      <c r="AS314" s="508" t="e">
        <f t="shared" ca="1" si="404"/>
        <v>#VALUE!</v>
      </c>
      <c r="AU314" s="512">
        <v>7</v>
      </c>
      <c r="AV314" s="516" t="s">
        <v>2250</v>
      </c>
      <c r="AW314" s="529" t="s">
        <v>2452</v>
      </c>
      <c r="AX314" s="508">
        <f t="shared" ca="1" si="394"/>
        <v>9.4499999999999993</v>
      </c>
      <c r="AY314" s="625">
        <v>1.5</v>
      </c>
      <c r="AZ314" s="633">
        <v>6.3E-3</v>
      </c>
      <c r="BA314" s="170">
        <f t="shared" ca="1" si="395"/>
        <v>2.8888888888888891E-2</v>
      </c>
      <c r="BB314" s="508">
        <f t="shared" ca="1" si="396"/>
        <v>289</v>
      </c>
      <c r="BD314" s="512">
        <v>7</v>
      </c>
      <c r="BE314" s="516" t="s">
        <v>2250</v>
      </c>
      <c r="BF314" s="529" t="s">
        <v>2452</v>
      </c>
      <c r="BG314" s="508">
        <f t="shared" ca="1" si="397"/>
        <v>9.4499999999999993</v>
      </c>
      <c r="BH314" s="632">
        <v>5</v>
      </c>
      <c r="BI314" s="615">
        <v>6.0000000000000001E-3</v>
      </c>
      <c r="BJ314" s="170">
        <f t="shared" ca="1" si="406"/>
        <v>1.8730158730158732E-2</v>
      </c>
      <c r="BK314" s="279">
        <f t="shared" ca="1" si="407"/>
        <v>187</v>
      </c>
      <c r="BM314" s="512">
        <v>8</v>
      </c>
      <c r="BN314" s="527" t="s">
        <v>2261</v>
      </c>
      <c r="BO314" s="530" t="s">
        <v>2200</v>
      </c>
      <c r="BP314" s="508" t="str">
        <f t="shared" ca="1" si="389"/>
        <v>T2部件</v>
      </c>
      <c r="BQ314" s="615">
        <v>3</v>
      </c>
      <c r="BR314" s="615">
        <v>0.01</v>
      </c>
      <c r="BS314" s="170" t="e">
        <f t="shared" ca="1" si="390"/>
        <v>#VALUE!</v>
      </c>
      <c r="BT314" s="508" t="e">
        <f t="shared" ca="1" si="391"/>
        <v>#VALUE!</v>
      </c>
      <c r="BV314" s="525">
        <v>8</v>
      </c>
      <c r="BW314" s="527" t="s">
        <v>2269</v>
      </c>
      <c r="BX314" s="530" t="s">
        <v>2200</v>
      </c>
      <c r="BY314" s="523" t="str">
        <f t="shared" ref="BY314:BY335" ca="1" si="408">IF(BX314="部件",VLOOKUP(BV314,INDIRECT(BX314&amp;"价值"),MATCH(LEFT(BW314,2)&amp;"部件",INDIRECT(BX314&amp;"价值标头"),0),FALSE),IF(BX314="加速道具",VLOOKUP(BW314,INDIRECT(BX314&amp;"价值"),MATCH("价格",INDIRECT(BX314&amp;"价值标头"),0),FALSE),VLOOKUP(BV314,INDIRECT(BX314&amp;"价值"),MATCH(BW314,INDIRECT(BX314&amp;"价值标头"),0),FALSE)))</f>
        <v>T2部件</v>
      </c>
      <c r="BZ314" s="662">
        <v>1</v>
      </c>
      <c r="CA314" s="634">
        <v>2.2499999999999999E-2</v>
      </c>
      <c r="CB314" s="170" t="e">
        <f t="shared" ref="CB314:CB328" ca="1" si="409">CA314*BW$4/BY314/BZ314</f>
        <v>#VALUE!</v>
      </c>
      <c r="CC314" s="523" t="e">
        <f t="shared" ref="CC314:CC328" ca="1" si="410">ROUND(CB314*10000,0)</f>
        <v>#VALUE!</v>
      </c>
    </row>
    <row r="315" spans="2:81" x14ac:dyDescent="0.35">
      <c r="B315" s="512">
        <v>7</v>
      </c>
      <c r="C315" s="516" t="s">
        <v>2288</v>
      </c>
      <c r="D315" s="529" t="s">
        <v>2452</v>
      </c>
      <c r="E315" s="508" t="str">
        <f t="shared" ca="1" si="400"/>
        <v>T3部件</v>
      </c>
      <c r="F315" s="594">
        <v>1.5</v>
      </c>
      <c r="G315" s="594">
        <v>6.1000000000000004E-3</v>
      </c>
      <c r="H315" s="170" t="e">
        <f t="shared" ca="1" si="364"/>
        <v>#VALUE!</v>
      </c>
      <c r="I315" s="508" t="e">
        <f t="shared" ca="1" si="365"/>
        <v>#VALUE!</v>
      </c>
      <c r="K315" s="512">
        <v>7</v>
      </c>
      <c r="L315" s="516" t="s">
        <v>2288</v>
      </c>
      <c r="M315" s="529" t="s">
        <v>2452</v>
      </c>
      <c r="N315" s="508" t="str">
        <f t="shared" ca="1" si="401"/>
        <v>T3部件</v>
      </c>
      <c r="O315" s="566">
        <v>1</v>
      </c>
      <c r="P315" s="633">
        <v>4.5999999999999999E-3</v>
      </c>
      <c r="Q315" s="170" t="e">
        <f t="shared" ca="1" si="376"/>
        <v>#VALUE!</v>
      </c>
      <c r="R315" s="508" t="e">
        <f t="shared" ca="1" si="377"/>
        <v>#VALUE!</v>
      </c>
      <c r="T315" s="512">
        <v>7</v>
      </c>
      <c r="U315" s="516" t="s">
        <v>2288</v>
      </c>
      <c r="V315" s="529" t="s">
        <v>2452</v>
      </c>
      <c r="W315" s="508" t="str">
        <f t="shared" ca="1" si="402"/>
        <v>T3部件</v>
      </c>
      <c r="X315" s="566">
        <v>1</v>
      </c>
      <c r="Y315" s="633">
        <v>4.5999999999999999E-3</v>
      </c>
      <c r="Z315" s="170" t="e">
        <f t="shared" ca="1" si="378"/>
        <v>#VALUE!</v>
      </c>
      <c r="AA315" s="508" t="e">
        <f t="shared" ca="1" si="379"/>
        <v>#VALUE!</v>
      </c>
      <c r="AC315" s="512">
        <v>7</v>
      </c>
      <c r="AD315" s="516" t="s">
        <v>2269</v>
      </c>
      <c r="AE315" s="529" t="s">
        <v>2452</v>
      </c>
      <c r="AF315" s="508" t="str">
        <f t="shared" ca="1" si="405"/>
        <v>T2部件</v>
      </c>
      <c r="AG315" s="508">
        <v>1</v>
      </c>
      <c r="AH315" s="633">
        <v>6.7999999999999996E-3</v>
      </c>
      <c r="AI315" s="170" t="e">
        <f t="shared" ca="1" si="392"/>
        <v>#VALUE!</v>
      </c>
      <c r="AJ315" s="508" t="e">
        <f t="shared" ca="1" si="393"/>
        <v>#VALUE!</v>
      </c>
      <c r="AL315" s="512">
        <v>7</v>
      </c>
      <c r="AM315" s="516" t="s">
        <v>2266</v>
      </c>
      <c r="AN315" s="529" t="s">
        <v>2452</v>
      </c>
      <c r="AO315" s="508" t="str">
        <f t="shared" ca="1" si="386"/>
        <v>T2部件</v>
      </c>
      <c r="AP315" s="600">
        <v>1</v>
      </c>
      <c r="AQ315" s="600">
        <v>6.0000000000000001E-3</v>
      </c>
      <c r="AR315" s="170" t="e">
        <f t="shared" ca="1" si="403"/>
        <v>#VALUE!</v>
      </c>
      <c r="AS315" s="508" t="e">
        <f t="shared" ca="1" si="404"/>
        <v>#VALUE!</v>
      </c>
      <c r="AU315" s="512">
        <v>7</v>
      </c>
      <c r="AV315" s="516" t="s">
        <v>2252</v>
      </c>
      <c r="AW315" s="529" t="s">
        <v>2452</v>
      </c>
      <c r="AX315" s="508">
        <f t="shared" ca="1" si="394"/>
        <v>9.4499999999999993</v>
      </c>
      <c r="AY315" s="625">
        <v>1.5</v>
      </c>
      <c r="AZ315" s="633">
        <v>6.3E-3</v>
      </c>
      <c r="BA315" s="170">
        <f t="shared" ca="1" si="395"/>
        <v>2.8888888888888891E-2</v>
      </c>
      <c r="BB315" s="508">
        <f t="shared" ca="1" si="396"/>
        <v>289</v>
      </c>
      <c r="BD315" s="512">
        <v>7</v>
      </c>
      <c r="BE315" s="516" t="s">
        <v>2252</v>
      </c>
      <c r="BF315" s="529" t="s">
        <v>2452</v>
      </c>
      <c r="BG315" s="508">
        <f t="shared" ca="1" si="397"/>
        <v>9.4499999999999993</v>
      </c>
      <c r="BH315" s="632">
        <v>5</v>
      </c>
      <c r="BI315" s="615">
        <v>6.0000000000000001E-3</v>
      </c>
      <c r="BJ315" s="170">
        <f t="shared" ca="1" si="406"/>
        <v>1.8730158730158732E-2</v>
      </c>
      <c r="BK315" s="279">
        <f t="shared" ca="1" si="407"/>
        <v>187</v>
      </c>
      <c r="BM315" s="512">
        <v>8</v>
      </c>
      <c r="BN315" s="527" t="s">
        <v>2263</v>
      </c>
      <c r="BO315" s="530" t="s">
        <v>2200</v>
      </c>
      <c r="BP315" s="508" t="str">
        <f t="shared" ca="1" si="389"/>
        <v>T2部件</v>
      </c>
      <c r="BQ315" s="615">
        <v>3</v>
      </c>
      <c r="BR315" s="600">
        <v>0.01</v>
      </c>
      <c r="BS315" s="170" t="e">
        <f t="shared" ca="1" si="390"/>
        <v>#VALUE!</v>
      </c>
      <c r="BT315" s="508" t="e">
        <f t="shared" ca="1" si="391"/>
        <v>#VALUE!</v>
      </c>
      <c r="BV315" s="525">
        <v>8</v>
      </c>
      <c r="BW315" s="527" t="s">
        <v>2271</v>
      </c>
      <c r="BX315" s="530" t="s">
        <v>2200</v>
      </c>
      <c r="BY315" s="523" t="str">
        <f t="shared" ca="1" si="408"/>
        <v>T2部件</v>
      </c>
      <c r="BZ315" s="662">
        <v>1</v>
      </c>
      <c r="CA315" s="634">
        <v>2.2499999999999999E-2</v>
      </c>
      <c r="CB315" s="170" t="e">
        <f t="shared" ca="1" si="409"/>
        <v>#VALUE!</v>
      </c>
      <c r="CC315" s="523" t="e">
        <f t="shared" ca="1" si="410"/>
        <v>#VALUE!</v>
      </c>
    </row>
    <row r="316" spans="2:81" x14ac:dyDescent="0.35">
      <c r="B316" s="512">
        <v>7</v>
      </c>
      <c r="C316" s="512" t="s">
        <v>2290</v>
      </c>
      <c r="D316" s="529" t="s">
        <v>2452</v>
      </c>
      <c r="E316" s="508" t="str">
        <f t="shared" ca="1" si="400"/>
        <v>T3部件</v>
      </c>
      <c r="F316" s="594">
        <v>1.5</v>
      </c>
      <c r="G316" s="594">
        <v>6.1000000000000004E-3</v>
      </c>
      <c r="H316" s="170" t="e">
        <f t="shared" ca="1" si="364"/>
        <v>#VALUE!</v>
      </c>
      <c r="I316" s="508" t="e">
        <f t="shared" ca="1" si="365"/>
        <v>#VALUE!</v>
      </c>
      <c r="K316" s="512">
        <v>7</v>
      </c>
      <c r="L316" s="512" t="s">
        <v>2290</v>
      </c>
      <c r="M316" s="529" t="s">
        <v>2452</v>
      </c>
      <c r="N316" s="508" t="str">
        <f t="shared" ca="1" si="401"/>
        <v>T3部件</v>
      </c>
      <c r="O316" s="566">
        <v>1</v>
      </c>
      <c r="P316" s="633">
        <v>4.5999999999999999E-3</v>
      </c>
      <c r="Q316" s="170" t="e">
        <f t="shared" ca="1" si="376"/>
        <v>#VALUE!</v>
      </c>
      <c r="R316" s="508" t="e">
        <f t="shared" ca="1" si="377"/>
        <v>#VALUE!</v>
      </c>
      <c r="T316" s="512">
        <v>7</v>
      </c>
      <c r="U316" s="512" t="s">
        <v>2290</v>
      </c>
      <c r="V316" s="529" t="s">
        <v>2452</v>
      </c>
      <c r="W316" s="508" t="str">
        <f t="shared" ca="1" si="402"/>
        <v>T3部件</v>
      </c>
      <c r="X316" s="566">
        <v>1</v>
      </c>
      <c r="Y316" s="633">
        <v>4.5999999999999999E-3</v>
      </c>
      <c r="Z316" s="170" t="e">
        <f t="shared" ca="1" si="378"/>
        <v>#VALUE!</v>
      </c>
      <c r="AA316" s="508" t="e">
        <f t="shared" ca="1" si="379"/>
        <v>#VALUE!</v>
      </c>
      <c r="AC316" s="512">
        <v>7</v>
      </c>
      <c r="AD316" s="516" t="s">
        <v>2271</v>
      </c>
      <c r="AE316" s="529" t="s">
        <v>2452</v>
      </c>
      <c r="AF316" s="508" t="str">
        <f t="shared" ca="1" si="405"/>
        <v>T2部件</v>
      </c>
      <c r="AG316" s="508">
        <v>1</v>
      </c>
      <c r="AH316" s="633">
        <v>6.7999999999999996E-3</v>
      </c>
      <c r="AI316" s="170" t="e">
        <f t="shared" ca="1" si="392"/>
        <v>#VALUE!</v>
      </c>
      <c r="AJ316" s="508" t="e">
        <f t="shared" ca="1" si="393"/>
        <v>#VALUE!</v>
      </c>
      <c r="AL316" s="512">
        <v>7</v>
      </c>
      <c r="AM316" s="516" t="s">
        <v>2268</v>
      </c>
      <c r="AN316" s="529" t="s">
        <v>2452</v>
      </c>
      <c r="AO316" s="508" t="str">
        <f t="shared" ca="1" si="386"/>
        <v>T2部件</v>
      </c>
      <c r="AP316" s="600">
        <v>1</v>
      </c>
      <c r="AQ316" s="600">
        <v>6.0000000000000001E-3</v>
      </c>
      <c r="AR316" s="170" t="e">
        <f t="shared" ca="1" si="403"/>
        <v>#VALUE!</v>
      </c>
      <c r="AS316" s="508" t="e">
        <f t="shared" ca="1" si="404"/>
        <v>#VALUE!</v>
      </c>
      <c r="AU316" s="512">
        <v>7</v>
      </c>
      <c r="AV316" s="512" t="s">
        <v>2254</v>
      </c>
      <c r="AW316" s="529" t="s">
        <v>2452</v>
      </c>
      <c r="AX316" s="508">
        <f t="shared" ca="1" si="394"/>
        <v>9.4499999999999993</v>
      </c>
      <c r="AY316" s="625">
        <v>1.5</v>
      </c>
      <c r="AZ316" s="633">
        <v>6.3E-3</v>
      </c>
      <c r="BA316" s="170">
        <f t="shared" ca="1" si="395"/>
        <v>2.8888888888888891E-2</v>
      </c>
      <c r="BB316" s="508">
        <f t="shared" ca="1" si="396"/>
        <v>289</v>
      </c>
      <c r="BD316" s="512">
        <v>7</v>
      </c>
      <c r="BE316" s="512" t="s">
        <v>2254</v>
      </c>
      <c r="BF316" s="529" t="s">
        <v>2452</v>
      </c>
      <c r="BG316" s="508">
        <f t="shared" ca="1" si="397"/>
        <v>9.4499999999999993</v>
      </c>
      <c r="BH316" s="632">
        <v>5</v>
      </c>
      <c r="BI316" s="615">
        <v>6.0000000000000001E-3</v>
      </c>
      <c r="BJ316" s="170">
        <f t="shared" ca="1" si="406"/>
        <v>1.8730158730158732E-2</v>
      </c>
      <c r="BK316" s="279">
        <f t="shared" ca="1" si="407"/>
        <v>187</v>
      </c>
      <c r="BM316" s="512">
        <v>8</v>
      </c>
      <c r="BN316" s="527" t="s">
        <v>2265</v>
      </c>
      <c r="BO316" s="530" t="s">
        <v>2200</v>
      </c>
      <c r="BP316" s="508" t="str">
        <f t="shared" ca="1" si="389"/>
        <v>T2部件</v>
      </c>
      <c r="BQ316" s="615">
        <v>3</v>
      </c>
      <c r="BR316" s="600">
        <v>0.01</v>
      </c>
      <c r="BS316" s="170" t="e">
        <f t="shared" ca="1" si="390"/>
        <v>#VALUE!</v>
      </c>
      <c r="BT316" s="508" t="e">
        <f t="shared" ca="1" si="391"/>
        <v>#VALUE!</v>
      </c>
      <c r="BV316" s="525">
        <v>8</v>
      </c>
      <c r="BW316" s="525" t="s">
        <v>2273</v>
      </c>
      <c r="BX316" s="530" t="s">
        <v>2200</v>
      </c>
      <c r="BY316" s="523" t="str">
        <f t="shared" ca="1" si="408"/>
        <v>T2部件</v>
      </c>
      <c r="BZ316" s="662">
        <v>1</v>
      </c>
      <c r="CA316" s="634">
        <v>2.2499999999999999E-2</v>
      </c>
      <c r="CB316" s="170" t="e">
        <f t="shared" ca="1" si="409"/>
        <v>#VALUE!</v>
      </c>
      <c r="CC316" s="523" t="e">
        <f t="shared" ca="1" si="410"/>
        <v>#VALUE!</v>
      </c>
    </row>
    <row r="317" spans="2:81" x14ac:dyDescent="0.35">
      <c r="B317" s="512">
        <v>7</v>
      </c>
      <c r="C317" s="512" t="s">
        <v>2292</v>
      </c>
      <c r="D317" s="529" t="s">
        <v>2452</v>
      </c>
      <c r="E317" s="508" t="str">
        <f t="shared" ca="1" si="400"/>
        <v>T3部件</v>
      </c>
      <c r="F317" s="594">
        <v>1.5</v>
      </c>
      <c r="G317" s="594">
        <v>6.1000000000000004E-3</v>
      </c>
      <c r="H317" s="170" t="e">
        <f t="shared" ca="1" si="364"/>
        <v>#VALUE!</v>
      </c>
      <c r="I317" s="508" t="e">
        <f t="shared" ca="1" si="365"/>
        <v>#VALUE!</v>
      </c>
      <c r="K317" s="512">
        <v>7</v>
      </c>
      <c r="L317" s="512" t="s">
        <v>2292</v>
      </c>
      <c r="M317" s="529" t="s">
        <v>2452</v>
      </c>
      <c r="N317" s="508" t="str">
        <f t="shared" ca="1" si="401"/>
        <v>T3部件</v>
      </c>
      <c r="O317" s="566">
        <v>1</v>
      </c>
      <c r="P317" s="633">
        <v>4.5999999999999999E-3</v>
      </c>
      <c r="Q317" s="170" t="e">
        <f t="shared" ca="1" si="376"/>
        <v>#VALUE!</v>
      </c>
      <c r="R317" s="508" t="e">
        <f t="shared" ca="1" si="377"/>
        <v>#VALUE!</v>
      </c>
      <c r="T317" s="512">
        <v>7</v>
      </c>
      <c r="U317" s="512" t="s">
        <v>2292</v>
      </c>
      <c r="V317" s="529" t="s">
        <v>2452</v>
      </c>
      <c r="W317" s="508" t="str">
        <f t="shared" ca="1" si="402"/>
        <v>T3部件</v>
      </c>
      <c r="X317" s="566">
        <v>1</v>
      </c>
      <c r="Y317" s="633">
        <v>4.5999999999999999E-3</v>
      </c>
      <c r="Z317" s="170" t="e">
        <f t="shared" ca="1" si="378"/>
        <v>#VALUE!</v>
      </c>
      <c r="AA317" s="508" t="e">
        <f t="shared" ca="1" si="379"/>
        <v>#VALUE!</v>
      </c>
      <c r="AC317" s="512">
        <v>7</v>
      </c>
      <c r="AD317" s="512" t="s">
        <v>2273</v>
      </c>
      <c r="AE317" s="529" t="s">
        <v>2452</v>
      </c>
      <c r="AF317" s="508" t="str">
        <f t="shared" ca="1" si="405"/>
        <v>T2部件</v>
      </c>
      <c r="AG317" s="508">
        <v>1</v>
      </c>
      <c r="AH317" s="633">
        <v>6.7999999999999996E-3</v>
      </c>
      <c r="AI317" s="170" t="e">
        <f t="shared" ca="1" si="392"/>
        <v>#VALUE!</v>
      </c>
      <c r="AJ317" s="508" t="e">
        <f t="shared" ca="1" si="393"/>
        <v>#VALUE!</v>
      </c>
      <c r="AL317" s="512">
        <v>7</v>
      </c>
      <c r="AM317" s="516" t="s">
        <v>2270</v>
      </c>
      <c r="AN317" s="529" t="s">
        <v>2452</v>
      </c>
      <c r="AO317" s="508" t="str">
        <f t="shared" ca="1" si="386"/>
        <v>T2部件</v>
      </c>
      <c r="AP317" s="600">
        <v>1</v>
      </c>
      <c r="AQ317" s="600">
        <v>6.0000000000000001E-3</v>
      </c>
      <c r="AR317" s="170" t="e">
        <f t="shared" ca="1" si="403"/>
        <v>#VALUE!</v>
      </c>
      <c r="AS317" s="508" t="e">
        <f t="shared" ca="1" si="404"/>
        <v>#VALUE!</v>
      </c>
      <c r="AU317" s="512">
        <v>7</v>
      </c>
      <c r="AV317" s="512" t="s">
        <v>2256</v>
      </c>
      <c r="AW317" s="529" t="s">
        <v>2452</v>
      </c>
      <c r="AX317" s="508">
        <f t="shared" ca="1" si="394"/>
        <v>9.4499999999999993</v>
      </c>
      <c r="AY317" s="625">
        <v>1.5</v>
      </c>
      <c r="AZ317" s="633">
        <v>6.3E-3</v>
      </c>
      <c r="BA317" s="170">
        <f t="shared" ca="1" si="395"/>
        <v>2.8888888888888891E-2</v>
      </c>
      <c r="BB317" s="508">
        <f t="shared" ca="1" si="396"/>
        <v>289</v>
      </c>
      <c r="BD317" s="512">
        <v>7</v>
      </c>
      <c r="BE317" s="512" t="s">
        <v>2256</v>
      </c>
      <c r="BF317" s="529" t="s">
        <v>2452</v>
      </c>
      <c r="BG317" s="508">
        <f t="shared" ca="1" si="397"/>
        <v>9.4499999999999993</v>
      </c>
      <c r="BH317" s="632">
        <v>5</v>
      </c>
      <c r="BI317" s="615">
        <v>6.0000000000000001E-3</v>
      </c>
      <c r="BJ317" s="170">
        <f t="shared" ca="1" si="406"/>
        <v>1.8730158730158732E-2</v>
      </c>
      <c r="BK317" s="279">
        <f t="shared" ca="1" si="407"/>
        <v>187</v>
      </c>
      <c r="BM317" s="512">
        <v>8</v>
      </c>
      <c r="BN317" s="527" t="s">
        <v>2267</v>
      </c>
      <c r="BO317" s="530" t="s">
        <v>2200</v>
      </c>
      <c r="BP317" s="508" t="str">
        <f t="shared" ca="1" si="389"/>
        <v>T2部件</v>
      </c>
      <c r="BQ317" s="615">
        <v>3</v>
      </c>
      <c r="BR317" s="600">
        <v>0.01</v>
      </c>
      <c r="BS317" s="170" t="e">
        <f t="shared" ca="1" si="390"/>
        <v>#VALUE!</v>
      </c>
      <c r="BT317" s="508" t="e">
        <f t="shared" ca="1" si="391"/>
        <v>#VALUE!</v>
      </c>
      <c r="BV317" s="525">
        <v>8</v>
      </c>
      <c r="BW317" s="525" t="s">
        <v>2275</v>
      </c>
      <c r="BX317" s="530" t="s">
        <v>2200</v>
      </c>
      <c r="BY317" s="523" t="str">
        <f t="shared" ca="1" si="408"/>
        <v>T2部件</v>
      </c>
      <c r="BZ317" s="662">
        <v>1</v>
      </c>
      <c r="CA317" s="634">
        <v>2.2499999999999999E-2</v>
      </c>
      <c r="CB317" s="170" t="e">
        <f t="shared" ca="1" si="409"/>
        <v>#VALUE!</v>
      </c>
      <c r="CC317" s="523" t="e">
        <f t="shared" ca="1" si="410"/>
        <v>#VALUE!</v>
      </c>
    </row>
    <row r="318" spans="2:81" x14ac:dyDescent="0.35">
      <c r="B318" s="512">
        <v>7</v>
      </c>
      <c r="C318" s="516" t="s">
        <v>2277</v>
      </c>
      <c r="D318" s="529" t="s">
        <v>2452</v>
      </c>
      <c r="E318" s="508" t="str">
        <f t="shared" ca="1" si="400"/>
        <v>T3部件</v>
      </c>
      <c r="F318" s="594">
        <v>1.5</v>
      </c>
      <c r="G318" s="594">
        <v>6.1000000000000004E-3</v>
      </c>
      <c r="H318" s="170" t="e">
        <f t="shared" ca="1" si="364"/>
        <v>#VALUE!</v>
      </c>
      <c r="I318" s="508" t="e">
        <f t="shared" ca="1" si="365"/>
        <v>#VALUE!</v>
      </c>
      <c r="K318" s="512">
        <v>7</v>
      </c>
      <c r="L318" s="516" t="s">
        <v>2277</v>
      </c>
      <c r="M318" s="529" t="s">
        <v>2452</v>
      </c>
      <c r="N318" s="508" t="str">
        <f t="shared" ca="1" si="401"/>
        <v>T3部件</v>
      </c>
      <c r="O318" s="566">
        <v>1</v>
      </c>
      <c r="P318" s="633">
        <v>4.5999999999999999E-3</v>
      </c>
      <c r="Q318" s="170" t="e">
        <f t="shared" ca="1" si="376"/>
        <v>#VALUE!</v>
      </c>
      <c r="R318" s="508" t="e">
        <f t="shared" ca="1" si="377"/>
        <v>#VALUE!</v>
      </c>
      <c r="T318" s="512">
        <v>7</v>
      </c>
      <c r="U318" s="516" t="s">
        <v>2277</v>
      </c>
      <c r="V318" s="529" t="s">
        <v>2452</v>
      </c>
      <c r="W318" s="508" t="str">
        <f t="shared" ca="1" si="402"/>
        <v>T3部件</v>
      </c>
      <c r="X318" s="566">
        <v>1</v>
      </c>
      <c r="Y318" s="633">
        <v>4.5999999999999999E-3</v>
      </c>
      <c r="Z318" s="170" t="e">
        <f t="shared" ca="1" si="378"/>
        <v>#VALUE!</v>
      </c>
      <c r="AA318" s="508" t="e">
        <f t="shared" ca="1" si="379"/>
        <v>#VALUE!</v>
      </c>
      <c r="AC318" s="512">
        <v>7</v>
      </c>
      <c r="AD318" s="512" t="s">
        <v>2275</v>
      </c>
      <c r="AE318" s="529" t="s">
        <v>2452</v>
      </c>
      <c r="AF318" s="508" t="str">
        <f t="shared" ca="1" si="405"/>
        <v>T2部件</v>
      </c>
      <c r="AG318" s="508">
        <v>1</v>
      </c>
      <c r="AH318" s="633">
        <v>6.7999999999999996E-3</v>
      </c>
      <c r="AI318" s="170" t="e">
        <f t="shared" ca="1" si="392"/>
        <v>#VALUE!</v>
      </c>
      <c r="AJ318" s="508" t="e">
        <f t="shared" ca="1" si="393"/>
        <v>#VALUE!</v>
      </c>
      <c r="AL318" s="512">
        <v>7</v>
      </c>
      <c r="AM318" s="512" t="s">
        <v>2272</v>
      </c>
      <c r="AN318" s="529" t="s">
        <v>2452</v>
      </c>
      <c r="AO318" s="508" t="str">
        <f t="shared" ca="1" si="386"/>
        <v>T2部件</v>
      </c>
      <c r="AP318" s="600">
        <v>1</v>
      </c>
      <c r="AQ318" s="600">
        <v>6.0000000000000001E-3</v>
      </c>
      <c r="AR318" s="170" t="e">
        <f t="shared" ca="1" si="403"/>
        <v>#VALUE!</v>
      </c>
      <c r="AS318" s="508" t="e">
        <f t="shared" ca="1" si="404"/>
        <v>#VALUE!</v>
      </c>
      <c r="AU318" s="512">
        <v>7</v>
      </c>
      <c r="AV318" s="516" t="s">
        <v>2241</v>
      </c>
      <c r="AW318" s="529" t="s">
        <v>2452</v>
      </c>
      <c r="AX318" s="508">
        <f t="shared" ca="1" si="394"/>
        <v>9.4499999999999993</v>
      </c>
      <c r="AY318" s="625">
        <v>1.5</v>
      </c>
      <c r="AZ318" s="633">
        <v>6.3E-3</v>
      </c>
      <c r="BA318" s="170">
        <f t="shared" ca="1" si="395"/>
        <v>2.8888888888888891E-2</v>
      </c>
      <c r="BB318" s="508">
        <f t="shared" ca="1" si="396"/>
        <v>289</v>
      </c>
      <c r="BD318" s="512">
        <v>7</v>
      </c>
      <c r="BE318" s="516" t="s">
        <v>2241</v>
      </c>
      <c r="BF318" s="529" t="s">
        <v>2452</v>
      </c>
      <c r="BG318" s="508">
        <f t="shared" ca="1" si="397"/>
        <v>9.4499999999999993</v>
      </c>
      <c r="BH318" s="632">
        <v>5</v>
      </c>
      <c r="BI318" s="615">
        <v>6.0000000000000001E-3</v>
      </c>
      <c r="BJ318" s="170">
        <f t="shared" ca="1" si="406"/>
        <v>1.8730158730158732E-2</v>
      </c>
      <c r="BK318" s="279">
        <f t="shared" ca="1" si="407"/>
        <v>187</v>
      </c>
      <c r="BM318" s="512">
        <v>8</v>
      </c>
      <c r="BN318" s="527" t="s">
        <v>2269</v>
      </c>
      <c r="BO318" s="530" t="s">
        <v>2200</v>
      </c>
      <c r="BP318" s="508" t="str">
        <f t="shared" ca="1" si="389"/>
        <v>T2部件</v>
      </c>
      <c r="BQ318" s="615">
        <v>3</v>
      </c>
      <c r="BR318" s="600">
        <v>0.01</v>
      </c>
      <c r="BS318" s="170" t="e">
        <f t="shared" ca="1" si="390"/>
        <v>#VALUE!</v>
      </c>
      <c r="BT318" s="508" t="e">
        <f t="shared" ca="1" si="391"/>
        <v>#VALUE!</v>
      </c>
      <c r="BV318" s="525">
        <v>8</v>
      </c>
      <c r="BW318" s="527" t="s">
        <v>2276</v>
      </c>
      <c r="BX318" s="530" t="s">
        <v>2200</v>
      </c>
      <c r="BY318" s="523" t="str">
        <f t="shared" ca="1" si="408"/>
        <v>T3部件</v>
      </c>
      <c r="BZ318" s="665">
        <v>1</v>
      </c>
      <c r="CA318" s="523">
        <v>2.2499999999999999E-2</v>
      </c>
      <c r="CB318" s="170" t="e">
        <f t="shared" ca="1" si="409"/>
        <v>#VALUE!</v>
      </c>
      <c r="CC318" s="523" t="e">
        <f t="shared" ca="1" si="410"/>
        <v>#VALUE!</v>
      </c>
    </row>
    <row r="319" spans="2:81" x14ac:dyDescent="0.35">
      <c r="B319" s="512">
        <v>7</v>
      </c>
      <c r="C319" s="516" t="s">
        <v>2279</v>
      </c>
      <c r="D319" s="529" t="s">
        <v>2452</v>
      </c>
      <c r="E319" s="508" t="str">
        <f t="shared" ca="1" si="400"/>
        <v>T3部件</v>
      </c>
      <c r="F319" s="594">
        <v>1.5</v>
      </c>
      <c r="G319" s="594">
        <v>6.1000000000000004E-3</v>
      </c>
      <c r="H319" s="170" t="e">
        <f t="shared" ca="1" si="364"/>
        <v>#VALUE!</v>
      </c>
      <c r="I319" s="508" t="e">
        <f t="shared" ca="1" si="365"/>
        <v>#VALUE!</v>
      </c>
      <c r="K319" s="512">
        <v>7</v>
      </c>
      <c r="L319" s="516" t="s">
        <v>2279</v>
      </c>
      <c r="M319" s="529" t="s">
        <v>2452</v>
      </c>
      <c r="N319" s="508" t="str">
        <f t="shared" ca="1" si="401"/>
        <v>T3部件</v>
      </c>
      <c r="O319" s="566">
        <v>1</v>
      </c>
      <c r="P319" s="633">
        <v>4.5999999999999999E-3</v>
      </c>
      <c r="Q319" s="170" t="e">
        <f t="shared" ca="1" si="376"/>
        <v>#VALUE!</v>
      </c>
      <c r="R319" s="508" t="e">
        <f t="shared" ca="1" si="377"/>
        <v>#VALUE!</v>
      </c>
      <c r="T319" s="512">
        <v>7</v>
      </c>
      <c r="U319" s="516" t="s">
        <v>2279</v>
      </c>
      <c r="V319" s="529" t="s">
        <v>2452</v>
      </c>
      <c r="W319" s="508" t="str">
        <f t="shared" ca="1" si="402"/>
        <v>T3部件</v>
      </c>
      <c r="X319" s="566">
        <v>1</v>
      </c>
      <c r="Y319" s="633">
        <v>4.5999999999999999E-3</v>
      </c>
      <c r="Z319" s="170" t="e">
        <f t="shared" ca="1" si="378"/>
        <v>#VALUE!</v>
      </c>
      <c r="AA319" s="508" t="e">
        <f t="shared" ca="1" si="379"/>
        <v>#VALUE!</v>
      </c>
      <c r="AC319" s="512">
        <v>7</v>
      </c>
      <c r="AD319" s="516" t="s">
        <v>2276</v>
      </c>
      <c r="AE319" s="529" t="s">
        <v>2452</v>
      </c>
      <c r="AF319" s="508" t="str">
        <f t="shared" ca="1" si="405"/>
        <v>T3部件</v>
      </c>
      <c r="AG319" s="508">
        <v>1</v>
      </c>
      <c r="AH319" s="633">
        <v>6.0000000000000001E-3</v>
      </c>
      <c r="AI319" s="170" t="e">
        <f t="shared" ca="1" si="392"/>
        <v>#VALUE!</v>
      </c>
      <c r="AJ319" s="508" t="e">
        <f t="shared" ca="1" si="393"/>
        <v>#VALUE!</v>
      </c>
      <c r="AL319" s="512">
        <v>7</v>
      </c>
      <c r="AM319" s="512" t="s">
        <v>2274</v>
      </c>
      <c r="AN319" s="529" t="s">
        <v>2452</v>
      </c>
      <c r="AO319" s="508" t="str">
        <f t="shared" ref="AO319:AO346" ca="1" si="411">IF(AN319="部件",VLOOKUP(AL319,INDIRECT(AN319&amp;"价值"),MATCH(LEFT(AM319,2)&amp;"部件",INDIRECT(AN319&amp;"价值标头"),0),FALSE),IF(AN319="加速道具",VLOOKUP(AM319,INDIRECT(AN319&amp;"价值"),MATCH("价格",INDIRECT(AN319&amp;"价值标头"),0),FALSE),VLOOKUP(AL319,INDIRECT(AN319&amp;"价值"),MATCH(AM319,INDIRECT(AN319&amp;"价值标头"),0),FALSE)))</f>
        <v>T2部件</v>
      </c>
      <c r="AP319" s="600">
        <v>1</v>
      </c>
      <c r="AQ319" s="600">
        <v>6.0000000000000001E-3</v>
      </c>
      <c r="AR319" s="170" t="e">
        <f t="shared" ca="1" si="403"/>
        <v>#VALUE!</v>
      </c>
      <c r="AS319" s="508" t="e">
        <f t="shared" ca="1" si="404"/>
        <v>#VALUE!</v>
      </c>
      <c r="AU319" s="512">
        <v>7</v>
      </c>
      <c r="AV319" s="516" t="s">
        <v>2243</v>
      </c>
      <c r="AW319" s="529" t="s">
        <v>2452</v>
      </c>
      <c r="AX319" s="508">
        <f t="shared" ca="1" si="394"/>
        <v>9.4499999999999993</v>
      </c>
      <c r="AY319" s="625">
        <v>1.5</v>
      </c>
      <c r="AZ319" s="633">
        <v>6.3E-3</v>
      </c>
      <c r="BA319" s="170">
        <f t="shared" ca="1" si="395"/>
        <v>2.8888888888888891E-2</v>
      </c>
      <c r="BB319" s="508">
        <f t="shared" ca="1" si="396"/>
        <v>289</v>
      </c>
      <c r="BD319" s="512">
        <v>7</v>
      </c>
      <c r="BE319" s="516" t="s">
        <v>2243</v>
      </c>
      <c r="BF319" s="529" t="s">
        <v>2452</v>
      </c>
      <c r="BG319" s="508">
        <f t="shared" ca="1" si="397"/>
        <v>9.4499999999999993</v>
      </c>
      <c r="BH319" s="632">
        <v>5</v>
      </c>
      <c r="BI319" s="615">
        <v>6.0000000000000001E-3</v>
      </c>
      <c r="BJ319" s="170">
        <f t="shared" ca="1" si="406"/>
        <v>1.8730158730158732E-2</v>
      </c>
      <c r="BK319" s="279">
        <f t="shared" ca="1" si="407"/>
        <v>187</v>
      </c>
      <c r="BM319" s="512">
        <v>8</v>
      </c>
      <c r="BN319" s="527" t="s">
        <v>2271</v>
      </c>
      <c r="BO319" s="530" t="s">
        <v>2200</v>
      </c>
      <c r="BP319" s="508" t="str">
        <f t="shared" ca="1" si="389"/>
        <v>T2部件</v>
      </c>
      <c r="BQ319" s="615">
        <v>3</v>
      </c>
      <c r="BR319" s="600">
        <v>0.01</v>
      </c>
      <c r="BS319" s="170" t="e">
        <f t="shared" ca="1" si="390"/>
        <v>#VALUE!</v>
      </c>
      <c r="BT319" s="508" t="e">
        <f t="shared" ca="1" si="391"/>
        <v>#VALUE!</v>
      </c>
      <c r="BV319" s="525">
        <v>8</v>
      </c>
      <c r="BW319" s="527" t="s">
        <v>2278</v>
      </c>
      <c r="BX319" s="530" t="s">
        <v>2200</v>
      </c>
      <c r="BY319" s="523" t="str">
        <f t="shared" ca="1" si="408"/>
        <v>T3部件</v>
      </c>
      <c r="BZ319" s="665">
        <v>1</v>
      </c>
      <c r="CA319" s="523">
        <v>2.2499999999999999E-2</v>
      </c>
      <c r="CB319" s="170" t="e">
        <f t="shared" ca="1" si="409"/>
        <v>#VALUE!</v>
      </c>
      <c r="CC319" s="523" t="e">
        <f t="shared" ca="1" si="410"/>
        <v>#VALUE!</v>
      </c>
    </row>
    <row r="320" spans="2:81" x14ac:dyDescent="0.35">
      <c r="B320" s="512">
        <v>7</v>
      </c>
      <c r="C320" s="516" t="s">
        <v>2281</v>
      </c>
      <c r="D320" s="529" t="s">
        <v>2452</v>
      </c>
      <c r="E320" s="508" t="str">
        <f t="shared" ca="1" si="400"/>
        <v>T3部件</v>
      </c>
      <c r="F320" s="594">
        <v>1.5</v>
      </c>
      <c r="G320" s="594">
        <v>6.1000000000000004E-3</v>
      </c>
      <c r="H320" s="170" t="e">
        <f t="shared" ca="1" si="364"/>
        <v>#VALUE!</v>
      </c>
      <c r="I320" s="508" t="e">
        <f t="shared" ca="1" si="365"/>
        <v>#VALUE!</v>
      </c>
      <c r="K320" s="512">
        <v>7</v>
      </c>
      <c r="L320" s="516" t="s">
        <v>2281</v>
      </c>
      <c r="M320" s="529" t="s">
        <v>2452</v>
      </c>
      <c r="N320" s="508" t="str">
        <f t="shared" ca="1" si="401"/>
        <v>T3部件</v>
      </c>
      <c r="O320" s="566">
        <v>1</v>
      </c>
      <c r="P320" s="633">
        <v>4.5999999999999999E-3</v>
      </c>
      <c r="Q320" s="170" t="e">
        <f t="shared" ca="1" si="376"/>
        <v>#VALUE!</v>
      </c>
      <c r="R320" s="508" t="e">
        <f t="shared" ca="1" si="377"/>
        <v>#VALUE!</v>
      </c>
      <c r="T320" s="512">
        <v>7</v>
      </c>
      <c r="U320" s="516" t="s">
        <v>2281</v>
      </c>
      <c r="V320" s="529" t="s">
        <v>2452</v>
      </c>
      <c r="W320" s="508" t="str">
        <f t="shared" ca="1" si="402"/>
        <v>T3部件</v>
      </c>
      <c r="X320" s="566">
        <v>1</v>
      </c>
      <c r="Y320" s="633">
        <v>4.5999999999999999E-3</v>
      </c>
      <c r="Z320" s="170" t="e">
        <f t="shared" ca="1" si="378"/>
        <v>#VALUE!</v>
      </c>
      <c r="AA320" s="508" t="e">
        <f t="shared" ca="1" si="379"/>
        <v>#VALUE!</v>
      </c>
      <c r="AC320" s="512">
        <v>7</v>
      </c>
      <c r="AD320" s="516" t="s">
        <v>2278</v>
      </c>
      <c r="AE320" s="529" t="s">
        <v>2452</v>
      </c>
      <c r="AF320" s="508" t="str">
        <f t="shared" ca="1" si="405"/>
        <v>T3部件</v>
      </c>
      <c r="AG320" s="508">
        <v>1</v>
      </c>
      <c r="AH320" s="633">
        <v>6.0000000000000001E-3</v>
      </c>
      <c r="AI320" s="170" t="e">
        <f t="shared" ca="1" si="392"/>
        <v>#VALUE!</v>
      </c>
      <c r="AJ320" s="508" t="e">
        <f t="shared" ca="1" si="393"/>
        <v>#VALUE!</v>
      </c>
      <c r="AL320" s="512">
        <v>7</v>
      </c>
      <c r="AM320" s="516" t="s">
        <v>2259</v>
      </c>
      <c r="AN320" s="529" t="s">
        <v>2452</v>
      </c>
      <c r="AO320" s="508" t="str">
        <f t="shared" ca="1" si="411"/>
        <v>T2部件</v>
      </c>
      <c r="AP320" s="600">
        <v>1</v>
      </c>
      <c r="AQ320" s="600">
        <v>6.0000000000000001E-3</v>
      </c>
      <c r="AR320" s="170" t="e">
        <f t="shared" ca="1" si="403"/>
        <v>#VALUE!</v>
      </c>
      <c r="AS320" s="508" t="e">
        <f t="shared" ca="1" si="404"/>
        <v>#VALUE!</v>
      </c>
      <c r="AU320" s="512">
        <v>7</v>
      </c>
      <c r="AV320" s="516" t="s">
        <v>2245</v>
      </c>
      <c r="AW320" s="529" t="s">
        <v>2452</v>
      </c>
      <c r="AX320" s="508">
        <f t="shared" ca="1" si="394"/>
        <v>9.4499999999999993</v>
      </c>
      <c r="AY320" s="625">
        <v>1.5</v>
      </c>
      <c r="AZ320" s="633">
        <v>6.3E-3</v>
      </c>
      <c r="BA320" s="170">
        <f t="shared" ca="1" si="395"/>
        <v>2.8888888888888891E-2</v>
      </c>
      <c r="BB320" s="508">
        <f t="shared" ca="1" si="396"/>
        <v>289</v>
      </c>
      <c r="BD320" s="512">
        <v>7</v>
      </c>
      <c r="BE320" s="516" t="s">
        <v>2245</v>
      </c>
      <c r="BF320" s="529" t="s">
        <v>2452</v>
      </c>
      <c r="BG320" s="508">
        <f t="shared" ca="1" si="397"/>
        <v>9.4499999999999993</v>
      </c>
      <c r="BH320" s="632">
        <v>5</v>
      </c>
      <c r="BI320" s="615">
        <v>6.0000000000000001E-3</v>
      </c>
      <c r="BJ320" s="170">
        <f t="shared" ca="1" si="406"/>
        <v>1.8730158730158732E-2</v>
      </c>
      <c r="BK320" s="279">
        <f t="shared" ca="1" si="407"/>
        <v>187</v>
      </c>
      <c r="BM320" s="512">
        <v>8</v>
      </c>
      <c r="BN320" s="525" t="s">
        <v>2273</v>
      </c>
      <c r="BO320" s="530" t="s">
        <v>2200</v>
      </c>
      <c r="BP320" s="508" t="str">
        <f t="shared" ref="BP320:BP339" ca="1" si="412">IF(BO320="部件",VLOOKUP(BM320,INDIRECT(BO320&amp;"价值"),MATCH(LEFT(BN320,2)&amp;"部件",INDIRECT(BO320&amp;"价值标头"),0),FALSE),IF(BO320="加速道具",VLOOKUP(BN320,INDIRECT(BO320&amp;"价值"),MATCH("价格",INDIRECT(BO320&amp;"价值标头"),0),FALSE),VLOOKUP(BM320,INDIRECT(BO320&amp;"价值"),MATCH(BN320,INDIRECT(BO320&amp;"价值标头"),0),FALSE)))</f>
        <v>T2部件</v>
      </c>
      <c r="BQ320" s="615">
        <v>3</v>
      </c>
      <c r="BR320" s="600">
        <v>0.01</v>
      </c>
      <c r="BS320" s="170" t="e">
        <f t="shared" ca="1" si="390"/>
        <v>#VALUE!</v>
      </c>
      <c r="BT320" s="508" t="e">
        <f t="shared" ca="1" si="391"/>
        <v>#VALUE!</v>
      </c>
      <c r="BV320" s="525">
        <v>8</v>
      </c>
      <c r="BW320" s="527" t="s">
        <v>2280</v>
      </c>
      <c r="BX320" s="530" t="s">
        <v>2200</v>
      </c>
      <c r="BY320" s="523" t="str">
        <f t="shared" ca="1" si="408"/>
        <v>T3部件</v>
      </c>
      <c r="BZ320" s="665">
        <v>1</v>
      </c>
      <c r="CA320" s="523">
        <v>2.2499999999999999E-2</v>
      </c>
      <c r="CB320" s="170" t="e">
        <f t="shared" ca="1" si="409"/>
        <v>#VALUE!</v>
      </c>
      <c r="CC320" s="523" t="e">
        <f t="shared" ca="1" si="410"/>
        <v>#VALUE!</v>
      </c>
    </row>
    <row r="321" spans="2:81" x14ac:dyDescent="0.35">
      <c r="B321" s="512">
        <v>7</v>
      </c>
      <c r="C321" s="516" t="s">
        <v>2283</v>
      </c>
      <c r="D321" s="529" t="s">
        <v>2452</v>
      </c>
      <c r="E321" s="508" t="str">
        <f t="shared" ca="1" si="400"/>
        <v>T3部件</v>
      </c>
      <c r="F321" s="594">
        <v>1.5</v>
      </c>
      <c r="G321" s="594">
        <v>6.1000000000000004E-3</v>
      </c>
      <c r="H321" s="170" t="e">
        <f t="shared" ca="1" si="364"/>
        <v>#VALUE!</v>
      </c>
      <c r="I321" s="508" t="e">
        <f t="shared" ca="1" si="365"/>
        <v>#VALUE!</v>
      </c>
      <c r="K321" s="512">
        <v>7</v>
      </c>
      <c r="L321" s="516" t="s">
        <v>2283</v>
      </c>
      <c r="M321" s="529" t="s">
        <v>2452</v>
      </c>
      <c r="N321" s="508" t="str">
        <f t="shared" ca="1" si="401"/>
        <v>T3部件</v>
      </c>
      <c r="O321" s="566">
        <v>1</v>
      </c>
      <c r="P321" s="633">
        <v>4.5999999999999999E-3</v>
      </c>
      <c r="Q321" s="170" t="e">
        <f t="shared" ca="1" si="376"/>
        <v>#VALUE!</v>
      </c>
      <c r="R321" s="508" t="e">
        <f t="shared" ca="1" si="377"/>
        <v>#VALUE!</v>
      </c>
      <c r="T321" s="512">
        <v>7</v>
      </c>
      <c r="U321" s="516" t="s">
        <v>2283</v>
      </c>
      <c r="V321" s="529" t="s">
        <v>2452</v>
      </c>
      <c r="W321" s="508" t="str">
        <f t="shared" ca="1" si="402"/>
        <v>T3部件</v>
      </c>
      <c r="X321" s="566">
        <v>1</v>
      </c>
      <c r="Y321" s="633">
        <v>4.5999999999999999E-3</v>
      </c>
      <c r="Z321" s="170" t="e">
        <f t="shared" ca="1" si="378"/>
        <v>#VALUE!</v>
      </c>
      <c r="AA321" s="508" t="e">
        <f t="shared" ca="1" si="379"/>
        <v>#VALUE!</v>
      </c>
      <c r="AC321" s="512">
        <v>7</v>
      </c>
      <c r="AD321" s="516" t="s">
        <v>2280</v>
      </c>
      <c r="AE321" s="529" t="s">
        <v>2452</v>
      </c>
      <c r="AF321" s="508" t="str">
        <f t="shared" ca="1" si="405"/>
        <v>T3部件</v>
      </c>
      <c r="AG321" s="508">
        <v>1</v>
      </c>
      <c r="AH321" s="633">
        <v>6.0000000000000001E-3</v>
      </c>
      <c r="AI321" s="170" t="e">
        <f t="shared" ca="1" si="392"/>
        <v>#VALUE!</v>
      </c>
      <c r="AJ321" s="508" t="e">
        <f t="shared" ca="1" si="393"/>
        <v>#VALUE!</v>
      </c>
      <c r="AL321" s="512">
        <v>7</v>
      </c>
      <c r="AM321" s="516" t="s">
        <v>2261</v>
      </c>
      <c r="AN321" s="529" t="s">
        <v>2452</v>
      </c>
      <c r="AO321" s="508" t="str">
        <f t="shared" ca="1" si="411"/>
        <v>T2部件</v>
      </c>
      <c r="AP321" s="600">
        <v>1</v>
      </c>
      <c r="AQ321" s="600">
        <v>6.0000000000000001E-3</v>
      </c>
      <c r="AR321" s="170" t="e">
        <f t="shared" ca="1" si="403"/>
        <v>#VALUE!</v>
      </c>
      <c r="AS321" s="508" t="e">
        <f t="shared" ca="1" si="404"/>
        <v>#VALUE!</v>
      </c>
      <c r="AU321" s="512">
        <v>7</v>
      </c>
      <c r="AV321" s="516" t="s">
        <v>2247</v>
      </c>
      <c r="AW321" s="529" t="s">
        <v>2452</v>
      </c>
      <c r="AX321" s="508">
        <f t="shared" ca="1" si="394"/>
        <v>9.4499999999999993</v>
      </c>
      <c r="AY321" s="625">
        <v>1.5</v>
      </c>
      <c r="AZ321" s="633">
        <v>6.3E-3</v>
      </c>
      <c r="BA321" s="170">
        <f t="shared" ca="1" si="395"/>
        <v>2.8888888888888891E-2</v>
      </c>
      <c r="BB321" s="508">
        <f t="shared" ca="1" si="396"/>
        <v>289</v>
      </c>
      <c r="BD321" s="512">
        <v>7</v>
      </c>
      <c r="BE321" s="516" t="s">
        <v>2247</v>
      </c>
      <c r="BF321" s="529" t="s">
        <v>2452</v>
      </c>
      <c r="BG321" s="508">
        <f t="shared" ca="1" si="397"/>
        <v>9.4499999999999993</v>
      </c>
      <c r="BH321" s="632">
        <v>5</v>
      </c>
      <c r="BI321" s="615">
        <v>6.0000000000000001E-3</v>
      </c>
      <c r="BJ321" s="170">
        <f t="shared" ref="BJ321:BJ326" ca="1" si="413">BI321*BE$4/BG321/BH321</f>
        <v>1.8730158730158732E-2</v>
      </c>
      <c r="BK321" s="394">
        <f t="shared" ref="BK321:BK326" ca="1" si="414">ROUND(BJ321*10000,0)</f>
        <v>187</v>
      </c>
      <c r="BM321" s="512">
        <v>8</v>
      </c>
      <c r="BN321" s="525" t="s">
        <v>2275</v>
      </c>
      <c r="BO321" s="530" t="s">
        <v>2200</v>
      </c>
      <c r="BP321" s="508" t="str">
        <f t="shared" ca="1" si="412"/>
        <v>T2部件</v>
      </c>
      <c r="BQ321" s="615">
        <v>3</v>
      </c>
      <c r="BR321" s="600">
        <v>0.01</v>
      </c>
      <c r="BS321" s="170" t="e">
        <f t="shared" ca="1" si="390"/>
        <v>#VALUE!</v>
      </c>
      <c r="BT321" s="508" t="e">
        <f t="shared" ca="1" si="391"/>
        <v>#VALUE!</v>
      </c>
      <c r="BV321" s="525">
        <v>8</v>
      </c>
      <c r="BW321" s="527" t="s">
        <v>2282</v>
      </c>
      <c r="BX321" s="530" t="s">
        <v>2200</v>
      </c>
      <c r="BY321" s="523" t="str">
        <f t="shared" ca="1" si="408"/>
        <v>T3部件</v>
      </c>
      <c r="BZ321" s="665">
        <v>1</v>
      </c>
      <c r="CA321" s="523">
        <v>2.2499999999999999E-2</v>
      </c>
      <c r="CB321" s="170" t="e">
        <f t="shared" ca="1" si="409"/>
        <v>#VALUE!</v>
      </c>
      <c r="CC321" s="523" t="e">
        <f t="shared" ca="1" si="410"/>
        <v>#VALUE!</v>
      </c>
    </row>
    <row r="322" spans="2:81" x14ac:dyDescent="0.35">
      <c r="B322" s="512">
        <v>7</v>
      </c>
      <c r="C322" s="516" t="s">
        <v>2285</v>
      </c>
      <c r="D322" s="529" t="s">
        <v>2452</v>
      </c>
      <c r="E322" s="508" t="str">
        <f t="shared" ca="1" si="400"/>
        <v>T3部件</v>
      </c>
      <c r="F322" s="594">
        <v>1.5</v>
      </c>
      <c r="G322" s="594">
        <v>6.1000000000000004E-3</v>
      </c>
      <c r="H322" s="170" t="e">
        <f t="shared" ca="1" si="364"/>
        <v>#VALUE!</v>
      </c>
      <c r="I322" s="508" t="e">
        <f t="shared" ca="1" si="365"/>
        <v>#VALUE!</v>
      </c>
      <c r="K322" s="512">
        <v>7</v>
      </c>
      <c r="L322" s="516" t="s">
        <v>2285</v>
      </c>
      <c r="M322" s="529" t="s">
        <v>2452</v>
      </c>
      <c r="N322" s="508" t="str">
        <f t="shared" ca="1" si="401"/>
        <v>T3部件</v>
      </c>
      <c r="O322" s="566">
        <v>1</v>
      </c>
      <c r="P322" s="633">
        <v>4.5999999999999999E-3</v>
      </c>
      <c r="Q322" s="170" t="e">
        <f t="shared" ca="1" si="376"/>
        <v>#VALUE!</v>
      </c>
      <c r="R322" s="508" t="e">
        <f t="shared" ca="1" si="377"/>
        <v>#VALUE!</v>
      </c>
      <c r="T322" s="512">
        <v>7</v>
      </c>
      <c r="U322" s="516" t="s">
        <v>2285</v>
      </c>
      <c r="V322" s="529" t="s">
        <v>2452</v>
      </c>
      <c r="W322" s="508" t="str">
        <f t="shared" ca="1" si="402"/>
        <v>T3部件</v>
      </c>
      <c r="X322" s="566">
        <v>1</v>
      </c>
      <c r="Y322" s="633">
        <v>4.5999999999999999E-3</v>
      </c>
      <c r="Z322" s="170" t="e">
        <f t="shared" ca="1" si="378"/>
        <v>#VALUE!</v>
      </c>
      <c r="AA322" s="508" t="e">
        <f t="shared" ca="1" si="379"/>
        <v>#VALUE!</v>
      </c>
      <c r="AC322" s="512">
        <v>7</v>
      </c>
      <c r="AD322" s="516" t="s">
        <v>2282</v>
      </c>
      <c r="AE322" s="529" t="s">
        <v>2452</v>
      </c>
      <c r="AF322" s="508" t="str">
        <f t="shared" ca="1" si="405"/>
        <v>T3部件</v>
      </c>
      <c r="AG322" s="508">
        <v>1</v>
      </c>
      <c r="AH322" s="633">
        <v>6.0000000000000001E-3</v>
      </c>
      <c r="AI322" s="170" t="e">
        <f t="shared" ca="1" si="392"/>
        <v>#VALUE!</v>
      </c>
      <c r="AJ322" s="508" t="e">
        <f t="shared" ca="1" si="393"/>
        <v>#VALUE!</v>
      </c>
      <c r="AL322" s="512">
        <v>7</v>
      </c>
      <c r="AM322" s="516" t="s">
        <v>2263</v>
      </c>
      <c r="AN322" s="529" t="s">
        <v>2452</v>
      </c>
      <c r="AO322" s="508" t="str">
        <f t="shared" ca="1" si="411"/>
        <v>T2部件</v>
      </c>
      <c r="AP322" s="600">
        <v>1</v>
      </c>
      <c r="AQ322" s="600">
        <v>6.0000000000000001E-3</v>
      </c>
      <c r="AR322" s="170" t="e">
        <f t="shared" ca="1" si="403"/>
        <v>#VALUE!</v>
      </c>
      <c r="AS322" s="508" t="e">
        <f t="shared" ca="1" si="404"/>
        <v>#VALUE!</v>
      </c>
      <c r="AU322" s="512">
        <v>7</v>
      </c>
      <c r="AV322" s="516" t="s">
        <v>2249</v>
      </c>
      <c r="AW322" s="529" t="s">
        <v>2452</v>
      </c>
      <c r="AX322" s="508">
        <f t="shared" ca="1" si="394"/>
        <v>9.4499999999999993</v>
      </c>
      <c r="AY322" s="625">
        <v>1.5</v>
      </c>
      <c r="AZ322" s="633">
        <v>6.3E-3</v>
      </c>
      <c r="BA322" s="170">
        <f t="shared" ca="1" si="395"/>
        <v>2.8888888888888891E-2</v>
      </c>
      <c r="BB322" s="508">
        <f t="shared" ca="1" si="396"/>
        <v>289</v>
      </c>
      <c r="BD322" s="512">
        <v>7</v>
      </c>
      <c r="BE322" s="516" t="s">
        <v>2249</v>
      </c>
      <c r="BF322" s="529" t="s">
        <v>2452</v>
      </c>
      <c r="BG322" s="508">
        <f t="shared" ca="1" si="397"/>
        <v>9.4499999999999993</v>
      </c>
      <c r="BH322" s="632">
        <v>5</v>
      </c>
      <c r="BI322" s="615">
        <v>6.0000000000000001E-3</v>
      </c>
      <c r="BJ322" s="170">
        <f t="shared" ca="1" si="413"/>
        <v>1.8730158730158732E-2</v>
      </c>
      <c r="BK322" s="394">
        <f t="shared" ca="1" si="414"/>
        <v>187</v>
      </c>
      <c r="BM322" s="512">
        <v>8</v>
      </c>
      <c r="BN322" s="527" t="s">
        <v>2276</v>
      </c>
      <c r="BO322" s="530" t="s">
        <v>2200</v>
      </c>
      <c r="BP322" s="508" t="str">
        <f t="shared" ca="1" si="412"/>
        <v>T3部件</v>
      </c>
      <c r="BQ322" s="508">
        <v>1.5</v>
      </c>
      <c r="BR322" s="600">
        <v>8.9999999999999993E-3</v>
      </c>
      <c r="BS322" s="170" t="e">
        <f t="shared" ca="1" si="390"/>
        <v>#VALUE!</v>
      </c>
      <c r="BT322" s="508" t="e">
        <f t="shared" ca="1" si="391"/>
        <v>#VALUE!</v>
      </c>
      <c r="BV322" s="525">
        <v>8</v>
      </c>
      <c r="BW322" s="527" t="s">
        <v>2284</v>
      </c>
      <c r="BX322" s="530" t="s">
        <v>2200</v>
      </c>
      <c r="BY322" s="523" t="str">
        <f t="shared" ca="1" si="408"/>
        <v>T3部件</v>
      </c>
      <c r="BZ322" s="665">
        <v>1</v>
      </c>
      <c r="CA322" s="523">
        <v>2.2499999999999999E-2</v>
      </c>
      <c r="CB322" s="170" t="e">
        <f t="shared" ca="1" si="409"/>
        <v>#VALUE!</v>
      </c>
      <c r="CC322" s="523" t="e">
        <f t="shared" ca="1" si="410"/>
        <v>#VALUE!</v>
      </c>
    </row>
    <row r="323" spans="2:81" x14ac:dyDescent="0.35">
      <c r="B323" s="512">
        <v>7</v>
      </c>
      <c r="C323" s="516" t="s">
        <v>2287</v>
      </c>
      <c r="D323" s="529" t="s">
        <v>2452</v>
      </c>
      <c r="E323" s="508" t="str">
        <f t="shared" ca="1" si="400"/>
        <v>T3部件</v>
      </c>
      <c r="F323" s="594">
        <v>1.5</v>
      </c>
      <c r="G323" s="594">
        <v>6.1000000000000004E-3</v>
      </c>
      <c r="H323" s="170" t="e">
        <f t="shared" ca="1" si="364"/>
        <v>#VALUE!</v>
      </c>
      <c r="I323" s="508" t="e">
        <f t="shared" ca="1" si="365"/>
        <v>#VALUE!</v>
      </c>
      <c r="K323" s="512">
        <v>7</v>
      </c>
      <c r="L323" s="516" t="s">
        <v>2287</v>
      </c>
      <c r="M323" s="529" t="s">
        <v>2452</v>
      </c>
      <c r="N323" s="508" t="str">
        <f t="shared" ca="1" si="401"/>
        <v>T3部件</v>
      </c>
      <c r="O323" s="566">
        <v>1</v>
      </c>
      <c r="P323" s="633">
        <v>4.5999999999999999E-3</v>
      </c>
      <c r="Q323" s="170" t="e">
        <f t="shared" ca="1" si="376"/>
        <v>#VALUE!</v>
      </c>
      <c r="R323" s="508" t="e">
        <f t="shared" ca="1" si="377"/>
        <v>#VALUE!</v>
      </c>
      <c r="T323" s="512">
        <v>7</v>
      </c>
      <c r="U323" s="516" t="s">
        <v>2287</v>
      </c>
      <c r="V323" s="529" t="s">
        <v>2452</v>
      </c>
      <c r="W323" s="508" t="str">
        <f t="shared" ca="1" si="402"/>
        <v>T3部件</v>
      </c>
      <c r="X323" s="566">
        <v>1</v>
      </c>
      <c r="Y323" s="633">
        <v>4.5999999999999999E-3</v>
      </c>
      <c r="Z323" s="170" t="e">
        <f t="shared" ca="1" si="378"/>
        <v>#VALUE!</v>
      </c>
      <c r="AA323" s="508" t="e">
        <f t="shared" ca="1" si="379"/>
        <v>#VALUE!</v>
      </c>
      <c r="AC323" s="512">
        <v>7</v>
      </c>
      <c r="AD323" s="516" t="s">
        <v>2284</v>
      </c>
      <c r="AE323" s="529" t="s">
        <v>2452</v>
      </c>
      <c r="AF323" s="508" t="str">
        <f t="shared" ca="1" si="405"/>
        <v>T3部件</v>
      </c>
      <c r="AG323" s="508">
        <v>1</v>
      </c>
      <c r="AH323" s="633">
        <v>6.0000000000000001E-3</v>
      </c>
      <c r="AI323" s="170" t="e">
        <f t="shared" ca="1" si="392"/>
        <v>#VALUE!</v>
      </c>
      <c r="AJ323" s="508" t="e">
        <f t="shared" ca="1" si="393"/>
        <v>#VALUE!</v>
      </c>
      <c r="AL323" s="512">
        <v>7</v>
      </c>
      <c r="AM323" s="516" t="s">
        <v>2265</v>
      </c>
      <c r="AN323" s="529" t="s">
        <v>2452</v>
      </c>
      <c r="AO323" s="508" t="str">
        <f t="shared" ca="1" si="411"/>
        <v>T2部件</v>
      </c>
      <c r="AP323" s="600">
        <v>1</v>
      </c>
      <c r="AQ323" s="600">
        <v>6.0000000000000001E-3</v>
      </c>
      <c r="AR323" s="170" t="e">
        <f t="shared" ca="1" si="403"/>
        <v>#VALUE!</v>
      </c>
      <c r="AS323" s="508" t="e">
        <f t="shared" ca="1" si="404"/>
        <v>#VALUE!</v>
      </c>
      <c r="AU323" s="512">
        <v>7</v>
      </c>
      <c r="AV323" s="516" t="s">
        <v>2251</v>
      </c>
      <c r="AW323" s="529" t="s">
        <v>2452</v>
      </c>
      <c r="AX323" s="508">
        <f t="shared" ca="1" si="394"/>
        <v>9.4499999999999993</v>
      </c>
      <c r="AY323" s="625">
        <v>1.5</v>
      </c>
      <c r="AZ323" s="633">
        <v>6.3E-3</v>
      </c>
      <c r="BA323" s="170">
        <f t="shared" ca="1" si="395"/>
        <v>2.8888888888888891E-2</v>
      </c>
      <c r="BB323" s="508">
        <f t="shared" ca="1" si="396"/>
        <v>289</v>
      </c>
      <c r="BD323" s="512">
        <v>7</v>
      </c>
      <c r="BE323" s="516" t="s">
        <v>2251</v>
      </c>
      <c r="BF323" s="529" t="s">
        <v>2452</v>
      </c>
      <c r="BG323" s="508">
        <f t="shared" ca="1" si="397"/>
        <v>9.4499999999999993</v>
      </c>
      <c r="BH323" s="632">
        <v>5</v>
      </c>
      <c r="BI323" s="615">
        <v>6.0000000000000001E-3</v>
      </c>
      <c r="BJ323" s="170">
        <f t="shared" ca="1" si="413"/>
        <v>1.8730158730158732E-2</v>
      </c>
      <c r="BK323" s="394">
        <f t="shared" ca="1" si="414"/>
        <v>187</v>
      </c>
      <c r="BM323" s="512">
        <v>8</v>
      </c>
      <c r="BN323" s="527" t="s">
        <v>2278</v>
      </c>
      <c r="BO323" s="530" t="s">
        <v>2200</v>
      </c>
      <c r="BP323" s="508" t="str">
        <f t="shared" ca="1" si="412"/>
        <v>T3部件</v>
      </c>
      <c r="BQ323" s="615">
        <v>1.5</v>
      </c>
      <c r="BR323" s="615">
        <v>8.9999999999999993E-3</v>
      </c>
      <c r="BS323" s="170" t="e">
        <f t="shared" ca="1" si="390"/>
        <v>#VALUE!</v>
      </c>
      <c r="BT323" s="508" t="e">
        <f t="shared" ca="1" si="391"/>
        <v>#VALUE!</v>
      </c>
      <c r="BV323" s="525">
        <v>8</v>
      </c>
      <c r="BW323" s="527" t="s">
        <v>2286</v>
      </c>
      <c r="BX323" s="530" t="s">
        <v>2200</v>
      </c>
      <c r="BY323" s="523" t="str">
        <f t="shared" ca="1" si="408"/>
        <v>T3部件</v>
      </c>
      <c r="BZ323" s="665">
        <v>1</v>
      </c>
      <c r="CA323" s="523">
        <v>2.2499999999999999E-2</v>
      </c>
      <c r="CB323" s="170" t="e">
        <f t="shared" ca="1" si="409"/>
        <v>#VALUE!</v>
      </c>
      <c r="CC323" s="523" t="e">
        <f t="shared" ca="1" si="410"/>
        <v>#VALUE!</v>
      </c>
    </row>
    <row r="324" spans="2:81" x14ac:dyDescent="0.35">
      <c r="B324" s="273">
        <v>7</v>
      </c>
      <c r="C324" s="516" t="s">
        <v>2289</v>
      </c>
      <c r="D324" s="529" t="s">
        <v>2452</v>
      </c>
      <c r="E324" s="508" t="str">
        <f t="shared" ca="1" si="400"/>
        <v>T3部件</v>
      </c>
      <c r="F324" s="594">
        <v>1.5</v>
      </c>
      <c r="G324" s="594">
        <v>6.1000000000000004E-3</v>
      </c>
      <c r="H324" s="170" t="e">
        <f t="shared" ca="1" si="364"/>
        <v>#VALUE!</v>
      </c>
      <c r="I324" s="508" t="e">
        <f t="shared" ca="1" si="365"/>
        <v>#VALUE!</v>
      </c>
      <c r="K324" s="512">
        <v>7</v>
      </c>
      <c r="L324" s="516" t="s">
        <v>2289</v>
      </c>
      <c r="M324" s="529" t="s">
        <v>2452</v>
      </c>
      <c r="N324" s="508" t="str">
        <f t="shared" ca="1" si="401"/>
        <v>T3部件</v>
      </c>
      <c r="O324" s="566">
        <v>1</v>
      </c>
      <c r="P324" s="633">
        <v>4.5999999999999999E-3</v>
      </c>
      <c r="Q324" s="170" t="e">
        <f t="shared" ca="1" si="376"/>
        <v>#VALUE!</v>
      </c>
      <c r="R324" s="508" t="e">
        <f t="shared" ca="1" si="377"/>
        <v>#VALUE!</v>
      </c>
      <c r="T324" s="512">
        <v>7</v>
      </c>
      <c r="U324" s="516" t="s">
        <v>2289</v>
      </c>
      <c r="V324" s="529" t="s">
        <v>2452</v>
      </c>
      <c r="W324" s="508" t="str">
        <f t="shared" ca="1" si="402"/>
        <v>T3部件</v>
      </c>
      <c r="X324" s="566">
        <v>1</v>
      </c>
      <c r="Y324" s="633">
        <v>4.5999999999999999E-3</v>
      </c>
      <c r="Z324" s="170" t="e">
        <f t="shared" ca="1" si="378"/>
        <v>#VALUE!</v>
      </c>
      <c r="AA324" s="508" t="e">
        <f t="shared" ca="1" si="379"/>
        <v>#VALUE!</v>
      </c>
      <c r="AC324" s="512">
        <v>7</v>
      </c>
      <c r="AD324" s="516" t="s">
        <v>2286</v>
      </c>
      <c r="AE324" s="529" t="s">
        <v>2452</v>
      </c>
      <c r="AF324" s="508" t="str">
        <f t="shared" ca="1" si="405"/>
        <v>T3部件</v>
      </c>
      <c r="AG324" s="508">
        <v>1</v>
      </c>
      <c r="AH324" s="633">
        <v>6.0000000000000001E-3</v>
      </c>
      <c r="AI324" s="170" t="e">
        <f t="shared" ca="1" si="392"/>
        <v>#VALUE!</v>
      </c>
      <c r="AJ324" s="508" t="e">
        <f t="shared" ca="1" si="393"/>
        <v>#VALUE!</v>
      </c>
      <c r="AL324" s="512">
        <v>7</v>
      </c>
      <c r="AM324" s="516" t="s">
        <v>2267</v>
      </c>
      <c r="AN324" s="529" t="s">
        <v>2452</v>
      </c>
      <c r="AO324" s="508" t="str">
        <f t="shared" ca="1" si="411"/>
        <v>T2部件</v>
      </c>
      <c r="AP324" s="600">
        <v>1</v>
      </c>
      <c r="AQ324" s="600">
        <v>6.0000000000000001E-3</v>
      </c>
      <c r="AR324" s="170" t="e">
        <f t="shared" ca="1" si="403"/>
        <v>#VALUE!</v>
      </c>
      <c r="AS324" s="508" t="e">
        <f t="shared" ca="1" si="404"/>
        <v>#VALUE!</v>
      </c>
      <c r="AU324" s="512">
        <v>7</v>
      </c>
      <c r="AV324" s="516" t="s">
        <v>2253</v>
      </c>
      <c r="AW324" s="529" t="s">
        <v>2452</v>
      </c>
      <c r="AX324" s="508">
        <f t="shared" ca="1" si="394"/>
        <v>9.4499999999999993</v>
      </c>
      <c r="AY324" s="625">
        <v>1.5</v>
      </c>
      <c r="AZ324" s="633">
        <v>6.3E-3</v>
      </c>
      <c r="BA324" s="170">
        <f t="shared" ca="1" si="395"/>
        <v>2.8888888888888891E-2</v>
      </c>
      <c r="BB324" s="508">
        <f t="shared" ca="1" si="396"/>
        <v>289</v>
      </c>
      <c r="BD324" s="512">
        <v>7</v>
      </c>
      <c r="BE324" s="516" t="s">
        <v>2253</v>
      </c>
      <c r="BF324" s="529" t="s">
        <v>2452</v>
      </c>
      <c r="BG324" s="508">
        <f t="shared" ca="1" si="397"/>
        <v>9.4499999999999993</v>
      </c>
      <c r="BH324" s="632">
        <v>5</v>
      </c>
      <c r="BI324" s="615">
        <v>6.0000000000000001E-3</v>
      </c>
      <c r="BJ324" s="170">
        <f t="shared" ca="1" si="413"/>
        <v>1.8730158730158732E-2</v>
      </c>
      <c r="BK324" s="394">
        <f t="shared" ca="1" si="414"/>
        <v>187</v>
      </c>
      <c r="BM324" s="512">
        <v>8</v>
      </c>
      <c r="BN324" s="527" t="s">
        <v>2280</v>
      </c>
      <c r="BO324" s="530" t="s">
        <v>2200</v>
      </c>
      <c r="BP324" s="508" t="str">
        <f t="shared" ca="1" si="412"/>
        <v>T3部件</v>
      </c>
      <c r="BQ324" s="615">
        <v>1.5</v>
      </c>
      <c r="BR324" s="615">
        <v>8.9999999999999993E-3</v>
      </c>
      <c r="BS324" s="170" t="e">
        <f t="shared" ca="1" si="390"/>
        <v>#VALUE!</v>
      </c>
      <c r="BT324" s="508" t="e">
        <f t="shared" ca="1" si="391"/>
        <v>#VALUE!</v>
      </c>
      <c r="BV324" s="525">
        <v>8</v>
      </c>
      <c r="BW324" s="527" t="s">
        <v>2288</v>
      </c>
      <c r="BX324" s="530" t="s">
        <v>2200</v>
      </c>
      <c r="BY324" s="523" t="str">
        <f t="shared" ca="1" si="408"/>
        <v>T3部件</v>
      </c>
      <c r="BZ324" s="665">
        <v>1</v>
      </c>
      <c r="CA324" s="523">
        <v>2.2499999999999999E-2</v>
      </c>
      <c r="CB324" s="170" t="e">
        <f t="shared" ca="1" si="409"/>
        <v>#VALUE!</v>
      </c>
      <c r="CC324" s="523" t="e">
        <f t="shared" ca="1" si="410"/>
        <v>#VALUE!</v>
      </c>
    </row>
    <row r="325" spans="2:81" x14ac:dyDescent="0.35">
      <c r="B325" s="273">
        <v>7</v>
      </c>
      <c r="C325" s="512" t="s">
        <v>2291</v>
      </c>
      <c r="D325" s="529" t="s">
        <v>2452</v>
      </c>
      <c r="E325" s="508" t="str">
        <f t="shared" ca="1" si="400"/>
        <v>T3部件</v>
      </c>
      <c r="F325" s="594">
        <v>1.5</v>
      </c>
      <c r="G325" s="594">
        <v>6.1000000000000004E-3</v>
      </c>
      <c r="H325" s="170" t="e">
        <f t="shared" ref="H325:H326" ca="1" si="415">G325*$C$4/E325/F325</f>
        <v>#VALUE!</v>
      </c>
      <c r="I325" s="508" t="e">
        <f t="shared" ref="I325:I326" ca="1" si="416">ROUND(H325*10000,0)</f>
        <v>#VALUE!</v>
      </c>
      <c r="K325" s="512">
        <v>7</v>
      </c>
      <c r="L325" s="512" t="s">
        <v>2291</v>
      </c>
      <c r="M325" s="529" t="s">
        <v>2452</v>
      </c>
      <c r="N325" s="508" t="str">
        <f t="shared" ca="1" si="401"/>
        <v>T3部件</v>
      </c>
      <c r="O325" s="566">
        <v>1</v>
      </c>
      <c r="P325" s="633">
        <v>4.5999999999999999E-3</v>
      </c>
      <c r="Q325" s="170" t="e">
        <f t="shared" ca="1" si="376"/>
        <v>#VALUE!</v>
      </c>
      <c r="R325" s="508" t="e">
        <f t="shared" ca="1" si="377"/>
        <v>#VALUE!</v>
      </c>
      <c r="T325" s="512">
        <v>7</v>
      </c>
      <c r="U325" s="512" t="s">
        <v>2291</v>
      </c>
      <c r="V325" s="529" t="s">
        <v>2452</v>
      </c>
      <c r="W325" s="508" t="str">
        <f t="shared" ca="1" si="402"/>
        <v>T3部件</v>
      </c>
      <c r="X325" s="566">
        <v>1</v>
      </c>
      <c r="Y325" s="633">
        <v>4.5999999999999999E-3</v>
      </c>
      <c r="Z325" s="170" t="e">
        <f t="shared" ca="1" si="378"/>
        <v>#VALUE!</v>
      </c>
      <c r="AA325" s="508" t="e">
        <f t="shared" ca="1" si="379"/>
        <v>#VALUE!</v>
      </c>
      <c r="AC325" s="512">
        <v>7</v>
      </c>
      <c r="AD325" s="516" t="s">
        <v>2288</v>
      </c>
      <c r="AE325" s="529" t="s">
        <v>2452</v>
      </c>
      <c r="AF325" s="508" t="str">
        <f t="shared" ca="1" si="405"/>
        <v>T3部件</v>
      </c>
      <c r="AG325" s="508">
        <v>1</v>
      </c>
      <c r="AH325" s="633">
        <v>6.0000000000000001E-3</v>
      </c>
      <c r="AI325" s="170" t="e">
        <f t="shared" ca="1" si="392"/>
        <v>#VALUE!</v>
      </c>
      <c r="AJ325" s="508" t="e">
        <f t="shared" ca="1" si="393"/>
        <v>#VALUE!</v>
      </c>
      <c r="AL325" s="512">
        <v>7</v>
      </c>
      <c r="AM325" s="516" t="s">
        <v>2269</v>
      </c>
      <c r="AN325" s="529" t="s">
        <v>2452</v>
      </c>
      <c r="AO325" s="508" t="str">
        <f t="shared" ca="1" si="411"/>
        <v>T2部件</v>
      </c>
      <c r="AP325" s="600">
        <v>1</v>
      </c>
      <c r="AQ325" s="600">
        <v>6.0000000000000001E-3</v>
      </c>
      <c r="AR325" s="170" t="e">
        <f t="shared" ca="1" si="403"/>
        <v>#VALUE!</v>
      </c>
      <c r="AS325" s="508" t="e">
        <f t="shared" ca="1" si="404"/>
        <v>#VALUE!</v>
      </c>
      <c r="AU325" s="512">
        <v>7</v>
      </c>
      <c r="AV325" s="512" t="s">
        <v>2255</v>
      </c>
      <c r="AW325" s="529" t="s">
        <v>2452</v>
      </c>
      <c r="AX325" s="508">
        <f t="shared" ca="1" si="394"/>
        <v>9.4499999999999993</v>
      </c>
      <c r="AY325" s="625">
        <v>1.5</v>
      </c>
      <c r="AZ325" s="633">
        <v>6.3E-3</v>
      </c>
      <c r="BA325" s="170">
        <f t="shared" ca="1" si="395"/>
        <v>2.8888888888888891E-2</v>
      </c>
      <c r="BB325" s="508">
        <f t="shared" ca="1" si="396"/>
        <v>289</v>
      </c>
      <c r="BD325" s="512">
        <v>7</v>
      </c>
      <c r="BE325" s="512" t="s">
        <v>2255</v>
      </c>
      <c r="BF325" s="529" t="s">
        <v>2452</v>
      </c>
      <c r="BG325" s="508">
        <f t="shared" ca="1" si="397"/>
        <v>9.4499999999999993</v>
      </c>
      <c r="BH325" s="632">
        <v>5</v>
      </c>
      <c r="BI325" s="615">
        <v>6.0000000000000001E-3</v>
      </c>
      <c r="BJ325" s="170">
        <f t="shared" ca="1" si="413"/>
        <v>1.8730158730158732E-2</v>
      </c>
      <c r="BK325" s="394">
        <f t="shared" ca="1" si="414"/>
        <v>187</v>
      </c>
      <c r="BM325" s="512">
        <v>8</v>
      </c>
      <c r="BN325" s="527" t="s">
        <v>2282</v>
      </c>
      <c r="BO325" s="530" t="s">
        <v>2200</v>
      </c>
      <c r="BP325" s="508" t="str">
        <f t="shared" ca="1" si="412"/>
        <v>T3部件</v>
      </c>
      <c r="BQ325" s="615">
        <v>1.5</v>
      </c>
      <c r="BR325" s="615">
        <v>8.9999999999999993E-3</v>
      </c>
      <c r="BS325" s="170" t="e">
        <f t="shared" ca="1" si="390"/>
        <v>#VALUE!</v>
      </c>
      <c r="BT325" s="508" t="e">
        <f t="shared" ca="1" si="391"/>
        <v>#VALUE!</v>
      </c>
      <c r="BV325" s="525">
        <v>8</v>
      </c>
      <c r="BW325" s="525" t="s">
        <v>2290</v>
      </c>
      <c r="BX325" s="530" t="s">
        <v>2200</v>
      </c>
      <c r="BY325" s="523" t="str">
        <f t="shared" ca="1" si="408"/>
        <v>T3部件</v>
      </c>
      <c r="BZ325" s="665">
        <v>1</v>
      </c>
      <c r="CA325" s="523">
        <v>2.2499999999999999E-2</v>
      </c>
      <c r="CB325" s="170" t="e">
        <f t="shared" ca="1" si="409"/>
        <v>#VALUE!</v>
      </c>
      <c r="CC325" s="523" t="e">
        <f t="shared" ca="1" si="410"/>
        <v>#VALUE!</v>
      </c>
    </row>
    <row r="326" spans="2:81" x14ac:dyDescent="0.35">
      <c r="B326" s="273">
        <v>7</v>
      </c>
      <c r="C326" s="512" t="s">
        <v>2293</v>
      </c>
      <c r="D326" s="529" t="s">
        <v>2452</v>
      </c>
      <c r="E326" s="508" t="str">
        <f t="shared" ca="1" si="400"/>
        <v>T3部件</v>
      </c>
      <c r="F326" s="594">
        <v>1.5</v>
      </c>
      <c r="G326" s="594">
        <v>6.1000000000000004E-3</v>
      </c>
      <c r="H326" s="170" t="e">
        <f t="shared" ca="1" si="415"/>
        <v>#VALUE!</v>
      </c>
      <c r="I326" s="508" t="e">
        <f t="shared" ca="1" si="416"/>
        <v>#VALUE!</v>
      </c>
      <c r="K326" s="512">
        <v>7</v>
      </c>
      <c r="L326" s="512" t="s">
        <v>2293</v>
      </c>
      <c r="M326" s="529" t="s">
        <v>2452</v>
      </c>
      <c r="N326" s="508" t="str">
        <f t="shared" ca="1" si="401"/>
        <v>T3部件</v>
      </c>
      <c r="O326" s="566">
        <v>1</v>
      </c>
      <c r="P326" s="633">
        <v>4.5999999999999999E-3</v>
      </c>
      <c r="Q326" s="170" t="e">
        <f t="shared" ca="1" si="376"/>
        <v>#VALUE!</v>
      </c>
      <c r="R326" s="508" t="e">
        <f t="shared" ca="1" si="377"/>
        <v>#VALUE!</v>
      </c>
      <c r="T326" s="512">
        <v>7</v>
      </c>
      <c r="U326" s="512" t="s">
        <v>2293</v>
      </c>
      <c r="V326" s="529" t="s">
        <v>2452</v>
      </c>
      <c r="W326" s="508" t="str">
        <f t="shared" ca="1" si="402"/>
        <v>T3部件</v>
      </c>
      <c r="X326" s="566">
        <v>1</v>
      </c>
      <c r="Y326" s="633">
        <v>4.5999999999999999E-3</v>
      </c>
      <c r="Z326" s="170" t="e">
        <f t="shared" ca="1" si="378"/>
        <v>#VALUE!</v>
      </c>
      <c r="AA326" s="508" t="e">
        <f t="shared" ca="1" si="379"/>
        <v>#VALUE!</v>
      </c>
      <c r="AC326" s="512">
        <v>7</v>
      </c>
      <c r="AD326" s="512" t="s">
        <v>2290</v>
      </c>
      <c r="AE326" s="529" t="s">
        <v>2452</v>
      </c>
      <c r="AF326" s="508" t="str">
        <f t="shared" ca="1" si="405"/>
        <v>T3部件</v>
      </c>
      <c r="AG326" s="508">
        <v>1</v>
      </c>
      <c r="AH326" s="633">
        <v>6.0000000000000001E-3</v>
      </c>
      <c r="AI326" s="170" t="e">
        <f t="shared" ca="1" si="392"/>
        <v>#VALUE!</v>
      </c>
      <c r="AJ326" s="508" t="e">
        <f t="shared" ca="1" si="393"/>
        <v>#VALUE!</v>
      </c>
      <c r="AL326" s="512">
        <v>7</v>
      </c>
      <c r="AM326" s="516" t="s">
        <v>2271</v>
      </c>
      <c r="AN326" s="529" t="s">
        <v>2452</v>
      </c>
      <c r="AO326" s="508" t="str">
        <f t="shared" ca="1" si="411"/>
        <v>T2部件</v>
      </c>
      <c r="AP326" s="600">
        <v>1</v>
      </c>
      <c r="AQ326" s="600">
        <v>6.0000000000000001E-3</v>
      </c>
      <c r="AR326" s="170" t="e">
        <f t="shared" ca="1" si="403"/>
        <v>#VALUE!</v>
      </c>
      <c r="AS326" s="508" t="e">
        <f t="shared" ca="1" si="404"/>
        <v>#VALUE!</v>
      </c>
      <c r="AU326" s="512">
        <v>7</v>
      </c>
      <c r="AV326" s="512" t="s">
        <v>2257</v>
      </c>
      <c r="AW326" s="529" t="s">
        <v>2452</v>
      </c>
      <c r="AX326" s="508">
        <f t="shared" ref="AX326:AX357" ca="1" si="417">IF(AW326="部件",VLOOKUP(AU326,INDIRECT(AW326&amp;"价值"),MATCH(LEFT(AV326,2)&amp;"部件",INDIRECT(AW326&amp;"价值标头"),0),FALSE),IF(AW326="加速道具",VLOOKUP(AV326,INDIRECT(AW326&amp;"价值"),MATCH("价格",INDIRECT(AW326&amp;"价值标头"),0),FALSE),VLOOKUP(AU326,INDIRECT(AW326&amp;"价值"),MATCH(AV326,INDIRECT(AW326&amp;"价值标头"),0),FALSE)))</f>
        <v>9.4499999999999993</v>
      </c>
      <c r="AY326" s="625">
        <v>1.5</v>
      </c>
      <c r="AZ326" s="633">
        <v>6.3E-3</v>
      </c>
      <c r="BA326" s="170">
        <f t="shared" ca="1" si="395"/>
        <v>2.8888888888888891E-2</v>
      </c>
      <c r="BB326" s="508">
        <f t="shared" ca="1" si="396"/>
        <v>289</v>
      </c>
      <c r="BD326" s="512">
        <v>7</v>
      </c>
      <c r="BE326" s="512" t="s">
        <v>2257</v>
      </c>
      <c r="BF326" s="529" t="s">
        <v>2452</v>
      </c>
      <c r="BG326" s="508">
        <f t="shared" ref="BG326:BG357" ca="1" si="418">IF(BF326="部件",VLOOKUP(BD326,INDIRECT(BF326&amp;"价值"),MATCH(LEFT(BE326,2)&amp;"部件",INDIRECT(BF326&amp;"价值标头"),0),FALSE),IF(BF326="加速道具",VLOOKUP(BE326,INDIRECT(BF326&amp;"价值"),MATCH("价格",INDIRECT(BF326&amp;"价值标头"),0),FALSE),VLOOKUP(BD326,INDIRECT(BF326&amp;"价值"),MATCH(BE326,INDIRECT(BF326&amp;"价值标头"),0),FALSE)))</f>
        <v>9.4499999999999993</v>
      </c>
      <c r="BH326" s="632">
        <v>5</v>
      </c>
      <c r="BI326" s="615">
        <v>6.0000000000000001E-3</v>
      </c>
      <c r="BJ326" s="170">
        <f t="shared" ca="1" si="413"/>
        <v>1.8730158730158732E-2</v>
      </c>
      <c r="BK326" s="394">
        <f t="shared" ca="1" si="414"/>
        <v>187</v>
      </c>
      <c r="BM326" s="512">
        <v>8</v>
      </c>
      <c r="BN326" s="527" t="s">
        <v>2284</v>
      </c>
      <c r="BO326" s="530" t="s">
        <v>2200</v>
      </c>
      <c r="BP326" s="508" t="str">
        <f t="shared" ca="1" si="412"/>
        <v>T3部件</v>
      </c>
      <c r="BQ326" s="615">
        <v>1.5</v>
      </c>
      <c r="BR326" s="615">
        <v>8.9999999999999993E-3</v>
      </c>
      <c r="BS326" s="170" t="e">
        <f t="shared" ca="1" si="390"/>
        <v>#VALUE!</v>
      </c>
      <c r="BT326" s="508" t="e">
        <f t="shared" ca="1" si="391"/>
        <v>#VALUE!</v>
      </c>
      <c r="BV326" s="525">
        <v>8</v>
      </c>
      <c r="BW326" s="525" t="s">
        <v>2292</v>
      </c>
      <c r="BX326" s="530" t="s">
        <v>2200</v>
      </c>
      <c r="BY326" s="523" t="str">
        <f t="shared" ca="1" si="408"/>
        <v>T3部件</v>
      </c>
      <c r="BZ326" s="665">
        <v>1</v>
      </c>
      <c r="CA326" s="523">
        <v>2.2599999999999999E-2</v>
      </c>
      <c r="CB326" s="170" t="e">
        <f t="shared" ca="1" si="409"/>
        <v>#VALUE!</v>
      </c>
      <c r="CC326" s="523" t="e">
        <f t="shared" ca="1" si="410"/>
        <v>#VALUE!</v>
      </c>
    </row>
    <row r="327" spans="2:81" x14ac:dyDescent="0.35">
      <c r="AC327" s="512">
        <v>7</v>
      </c>
      <c r="AD327" s="512" t="s">
        <v>2292</v>
      </c>
      <c r="AE327" s="529" t="s">
        <v>2452</v>
      </c>
      <c r="AF327" s="508" t="str">
        <f t="shared" ca="1" si="405"/>
        <v>T3部件</v>
      </c>
      <c r="AG327" s="508">
        <v>1</v>
      </c>
      <c r="AH327" s="633">
        <v>6.0000000000000001E-3</v>
      </c>
      <c r="AI327" s="170" t="e">
        <f t="shared" ca="1" si="392"/>
        <v>#VALUE!</v>
      </c>
      <c r="AJ327" s="508" t="e">
        <f t="shared" ca="1" si="393"/>
        <v>#VALUE!</v>
      </c>
      <c r="AL327" s="512">
        <v>7</v>
      </c>
      <c r="AM327" s="512" t="s">
        <v>2273</v>
      </c>
      <c r="AN327" s="529" t="s">
        <v>2452</v>
      </c>
      <c r="AO327" s="508" t="str">
        <f t="shared" ca="1" si="411"/>
        <v>T2部件</v>
      </c>
      <c r="AP327" s="600">
        <v>1</v>
      </c>
      <c r="AQ327" s="600">
        <v>6.0000000000000001E-3</v>
      </c>
      <c r="AR327" s="170" t="e">
        <f t="shared" ca="1" si="403"/>
        <v>#VALUE!</v>
      </c>
      <c r="AS327" s="508" t="e">
        <f t="shared" ca="1" si="404"/>
        <v>#VALUE!</v>
      </c>
      <c r="AU327" s="512">
        <v>7</v>
      </c>
      <c r="AV327" s="516" t="s">
        <v>2258</v>
      </c>
      <c r="AW327" s="529" t="s">
        <v>2452</v>
      </c>
      <c r="AX327" s="508" t="str">
        <f t="shared" ca="1" si="417"/>
        <v>T2部件</v>
      </c>
      <c r="AY327" s="565">
        <v>1.5</v>
      </c>
      <c r="AZ327" s="633">
        <v>6.3E-3</v>
      </c>
      <c r="BA327" s="170" t="e">
        <f t="shared" ca="1" si="395"/>
        <v>#VALUE!</v>
      </c>
      <c r="BB327" s="508" t="e">
        <f t="shared" ca="1" si="396"/>
        <v>#VALUE!</v>
      </c>
      <c r="BD327" s="512">
        <v>7</v>
      </c>
      <c r="BE327" s="516" t="s">
        <v>2258</v>
      </c>
      <c r="BF327" s="529" t="s">
        <v>2452</v>
      </c>
      <c r="BG327" s="508" t="str">
        <f t="shared" ca="1" si="418"/>
        <v>T2部件</v>
      </c>
      <c r="BH327" s="508">
        <v>1.5</v>
      </c>
      <c r="BI327" s="615">
        <v>6.0000000000000001E-3</v>
      </c>
      <c r="BJ327" s="170" t="e">
        <f t="shared" ca="1" si="406"/>
        <v>#VALUE!</v>
      </c>
      <c r="BK327" s="279" t="e">
        <f t="shared" ca="1" si="407"/>
        <v>#VALUE!</v>
      </c>
      <c r="BM327" s="512">
        <v>8</v>
      </c>
      <c r="BN327" s="527" t="s">
        <v>2286</v>
      </c>
      <c r="BO327" s="530" t="s">
        <v>2200</v>
      </c>
      <c r="BP327" s="508" t="str">
        <f t="shared" ca="1" si="412"/>
        <v>T3部件</v>
      </c>
      <c r="BQ327" s="615">
        <v>1.5</v>
      </c>
      <c r="BR327" s="615">
        <v>8.9999999999999993E-3</v>
      </c>
      <c r="BS327" s="170" t="e">
        <f t="shared" ref="BS327:BS339" ca="1" si="419">BR327*BN$4/BP327/BQ327</f>
        <v>#VALUE!</v>
      </c>
      <c r="BT327" s="523" t="e">
        <f t="shared" ref="BT327:BT339" ca="1" si="420">ROUND(BS327*10000,0)</f>
        <v>#VALUE!</v>
      </c>
      <c r="BV327" s="525">
        <v>8</v>
      </c>
      <c r="BW327" s="527" t="s">
        <v>2277</v>
      </c>
      <c r="BX327" s="530" t="s">
        <v>2200</v>
      </c>
      <c r="BY327" s="523" t="str">
        <f t="shared" ca="1" si="408"/>
        <v>T3部件</v>
      </c>
      <c r="BZ327" s="662">
        <v>1</v>
      </c>
      <c r="CA327" s="523">
        <v>2.2599999999999999E-2</v>
      </c>
      <c r="CB327" s="170" t="e">
        <f t="shared" ca="1" si="409"/>
        <v>#VALUE!</v>
      </c>
      <c r="CC327" s="523" t="e">
        <f t="shared" ca="1" si="410"/>
        <v>#VALUE!</v>
      </c>
    </row>
    <row r="328" spans="2:81" x14ac:dyDescent="0.35">
      <c r="AC328" s="512">
        <v>7</v>
      </c>
      <c r="AD328" s="516" t="s">
        <v>2277</v>
      </c>
      <c r="AE328" s="529" t="s">
        <v>2452</v>
      </c>
      <c r="AF328" s="508" t="str">
        <f t="shared" ca="1" si="405"/>
        <v>T3部件</v>
      </c>
      <c r="AG328" s="508">
        <v>1</v>
      </c>
      <c r="AH328" s="633">
        <v>6.0000000000000001E-3</v>
      </c>
      <c r="AI328" s="170" t="e">
        <f t="shared" ca="1" si="392"/>
        <v>#VALUE!</v>
      </c>
      <c r="AJ328" s="508" t="e">
        <f t="shared" ca="1" si="393"/>
        <v>#VALUE!</v>
      </c>
      <c r="AL328" s="512">
        <v>7</v>
      </c>
      <c r="AM328" s="512" t="s">
        <v>2275</v>
      </c>
      <c r="AN328" s="529" t="s">
        <v>2452</v>
      </c>
      <c r="AO328" s="508" t="str">
        <f t="shared" ca="1" si="411"/>
        <v>T2部件</v>
      </c>
      <c r="AP328" s="600">
        <v>1</v>
      </c>
      <c r="AQ328" s="600">
        <v>6.0000000000000001E-3</v>
      </c>
      <c r="AR328" s="170" t="e">
        <f t="shared" ca="1" si="403"/>
        <v>#VALUE!</v>
      </c>
      <c r="AS328" s="508" t="e">
        <f t="shared" ca="1" si="404"/>
        <v>#VALUE!</v>
      </c>
      <c r="AU328" s="512">
        <v>7</v>
      </c>
      <c r="AV328" s="516" t="s">
        <v>2260</v>
      </c>
      <c r="AW328" s="529" t="s">
        <v>2452</v>
      </c>
      <c r="AX328" s="508" t="str">
        <f t="shared" ca="1" si="417"/>
        <v>T2部件</v>
      </c>
      <c r="AY328" s="615">
        <v>1.5</v>
      </c>
      <c r="AZ328" s="633">
        <v>6.3E-3</v>
      </c>
      <c r="BA328" s="170" t="e">
        <f t="shared" ca="1" si="395"/>
        <v>#VALUE!</v>
      </c>
      <c r="BB328" s="508" t="e">
        <f t="shared" ca="1" si="396"/>
        <v>#VALUE!</v>
      </c>
      <c r="BD328" s="512">
        <v>7</v>
      </c>
      <c r="BE328" s="516" t="s">
        <v>2260</v>
      </c>
      <c r="BF328" s="529" t="s">
        <v>2452</v>
      </c>
      <c r="BG328" s="508" t="str">
        <f t="shared" ca="1" si="418"/>
        <v>T2部件</v>
      </c>
      <c r="BH328" s="565">
        <v>1.5</v>
      </c>
      <c r="BI328" s="615">
        <v>6.0000000000000001E-3</v>
      </c>
      <c r="BJ328" s="170" t="e">
        <f t="shared" ca="1" si="406"/>
        <v>#VALUE!</v>
      </c>
      <c r="BK328" s="279" t="e">
        <f t="shared" ca="1" si="407"/>
        <v>#VALUE!</v>
      </c>
      <c r="BM328" s="512">
        <v>8</v>
      </c>
      <c r="BN328" s="527" t="s">
        <v>2288</v>
      </c>
      <c r="BO328" s="530" t="s">
        <v>2200</v>
      </c>
      <c r="BP328" s="508" t="str">
        <f t="shared" ca="1" si="412"/>
        <v>T3部件</v>
      </c>
      <c r="BQ328" s="615">
        <v>1.5</v>
      </c>
      <c r="BR328" s="615">
        <v>8.9999999999999993E-3</v>
      </c>
      <c r="BS328" s="170" t="e">
        <f t="shared" ca="1" si="419"/>
        <v>#VALUE!</v>
      </c>
      <c r="BT328" s="523" t="e">
        <f t="shared" ca="1" si="420"/>
        <v>#VALUE!</v>
      </c>
      <c r="BV328" s="525">
        <v>8</v>
      </c>
      <c r="BW328" s="527" t="s">
        <v>2279</v>
      </c>
      <c r="BX328" s="530" t="s">
        <v>2200</v>
      </c>
      <c r="BY328" s="523" t="str">
        <f t="shared" ca="1" si="408"/>
        <v>T3部件</v>
      </c>
      <c r="BZ328" s="665">
        <v>1</v>
      </c>
      <c r="CA328" s="523">
        <v>2.2599999999999999E-2</v>
      </c>
      <c r="CB328" s="170" t="e">
        <f t="shared" ca="1" si="409"/>
        <v>#VALUE!</v>
      </c>
      <c r="CC328" s="523" t="e">
        <f t="shared" ca="1" si="410"/>
        <v>#VALUE!</v>
      </c>
    </row>
    <row r="329" spans="2:81" x14ac:dyDescent="0.35">
      <c r="B329" s="273" t="s">
        <v>1226</v>
      </c>
      <c r="C329" s="273" t="s">
        <v>1225</v>
      </c>
      <c r="D329" s="258" t="s">
        <v>917</v>
      </c>
      <c r="E329" s="166" t="s">
        <v>920</v>
      </c>
      <c r="F329" s="261" t="s">
        <v>967</v>
      </c>
      <c r="G329" s="166" t="s">
        <v>854</v>
      </c>
      <c r="H329" s="166" t="s">
        <v>926</v>
      </c>
      <c r="I329" s="259" t="s">
        <v>927</v>
      </c>
      <c r="J329" s="300" t="e">
        <f ca="1">SUM(I330:I391)</f>
        <v>#VALUE!</v>
      </c>
      <c r="K329" s="282" t="s">
        <v>814</v>
      </c>
      <c r="L329" s="282" t="s">
        <v>1225</v>
      </c>
      <c r="M329" s="280" t="s">
        <v>917</v>
      </c>
      <c r="N329" s="166" t="s">
        <v>920</v>
      </c>
      <c r="O329" s="285" t="s">
        <v>967</v>
      </c>
      <c r="P329" s="166" t="s">
        <v>854</v>
      </c>
      <c r="Q329" s="166" t="s">
        <v>926</v>
      </c>
      <c r="R329" s="281" t="s">
        <v>927</v>
      </c>
      <c r="S329" s="300" t="e">
        <f ca="1">SUM(R330:R391)</f>
        <v>#VALUE!</v>
      </c>
      <c r="T329" s="512" t="s">
        <v>597</v>
      </c>
      <c r="U329" s="512" t="s">
        <v>1225</v>
      </c>
      <c r="V329" s="513" t="s">
        <v>917</v>
      </c>
      <c r="W329" s="166" t="s">
        <v>920</v>
      </c>
      <c r="X329" s="518" t="s">
        <v>967</v>
      </c>
      <c r="Y329" s="166" t="s">
        <v>854</v>
      </c>
      <c r="Z329" s="166" t="s">
        <v>926</v>
      </c>
      <c r="AA329" s="281" t="s">
        <v>927</v>
      </c>
      <c r="AB329" s="300" t="e">
        <f ca="1">SUM(AA330:AA391)</f>
        <v>#VALUE!</v>
      </c>
      <c r="AC329" s="512">
        <v>7</v>
      </c>
      <c r="AD329" s="516" t="s">
        <v>2279</v>
      </c>
      <c r="AE329" s="529" t="s">
        <v>2452</v>
      </c>
      <c r="AF329" s="508" t="str">
        <f t="shared" ca="1" si="405"/>
        <v>T3部件</v>
      </c>
      <c r="AG329" s="508">
        <v>1</v>
      </c>
      <c r="AH329" s="633">
        <v>6.0000000000000001E-3</v>
      </c>
      <c r="AI329" s="170" t="e">
        <f t="shared" ca="1" si="392"/>
        <v>#VALUE!</v>
      </c>
      <c r="AJ329" s="508" t="e">
        <f t="shared" ca="1" si="393"/>
        <v>#VALUE!</v>
      </c>
      <c r="AL329" s="512">
        <v>7</v>
      </c>
      <c r="AM329" s="516" t="s">
        <v>2276</v>
      </c>
      <c r="AN329" s="529" t="s">
        <v>2452</v>
      </c>
      <c r="AO329" s="508" t="str">
        <f t="shared" ca="1" si="411"/>
        <v>T3部件</v>
      </c>
      <c r="AP329" s="508">
        <v>1</v>
      </c>
      <c r="AQ329" s="565">
        <v>5.0000000000000001E-3</v>
      </c>
      <c r="AR329" s="170" t="e">
        <f t="shared" ca="1" si="403"/>
        <v>#VALUE!</v>
      </c>
      <c r="AS329" s="508" t="e">
        <f t="shared" ca="1" si="404"/>
        <v>#VALUE!</v>
      </c>
      <c r="AU329" s="512">
        <v>7</v>
      </c>
      <c r="AV329" s="516" t="s">
        <v>2262</v>
      </c>
      <c r="AW329" s="529" t="s">
        <v>2452</v>
      </c>
      <c r="AX329" s="508" t="str">
        <f t="shared" ca="1" si="417"/>
        <v>T2部件</v>
      </c>
      <c r="AY329" s="615">
        <v>1.5</v>
      </c>
      <c r="AZ329" s="633">
        <v>6.3E-3</v>
      </c>
      <c r="BA329" s="170" t="e">
        <f t="shared" ca="1" si="395"/>
        <v>#VALUE!</v>
      </c>
      <c r="BB329" s="508" t="e">
        <f t="shared" ca="1" si="396"/>
        <v>#VALUE!</v>
      </c>
      <c r="BD329" s="512">
        <v>7</v>
      </c>
      <c r="BE329" s="516" t="s">
        <v>2262</v>
      </c>
      <c r="BF329" s="529" t="s">
        <v>2452</v>
      </c>
      <c r="BG329" s="508" t="str">
        <f t="shared" ca="1" si="418"/>
        <v>T2部件</v>
      </c>
      <c r="BH329" s="565">
        <v>1.5</v>
      </c>
      <c r="BI329" s="615">
        <v>6.0000000000000001E-3</v>
      </c>
      <c r="BJ329" s="170" t="e">
        <f t="shared" ca="1" si="406"/>
        <v>#VALUE!</v>
      </c>
      <c r="BK329" s="279" t="e">
        <f t="shared" ca="1" si="407"/>
        <v>#VALUE!</v>
      </c>
      <c r="BM329" s="512">
        <v>8</v>
      </c>
      <c r="BN329" s="525" t="s">
        <v>2290</v>
      </c>
      <c r="BO329" s="530" t="s">
        <v>2200</v>
      </c>
      <c r="BP329" s="508" t="str">
        <f t="shared" ca="1" si="412"/>
        <v>T3部件</v>
      </c>
      <c r="BQ329" s="615">
        <v>1.5</v>
      </c>
      <c r="BR329" s="615">
        <v>8.9999999999999993E-3</v>
      </c>
      <c r="BS329" s="170" t="e">
        <f t="shared" ca="1" si="419"/>
        <v>#VALUE!</v>
      </c>
      <c r="BT329" s="523" t="e">
        <f t="shared" ca="1" si="420"/>
        <v>#VALUE!</v>
      </c>
      <c r="BV329" s="396">
        <v>8</v>
      </c>
      <c r="BW329" s="527" t="s">
        <v>2281</v>
      </c>
      <c r="BX329" s="530" t="s">
        <v>2200</v>
      </c>
      <c r="BY329" s="523" t="str">
        <f t="shared" ca="1" si="408"/>
        <v>T3部件</v>
      </c>
      <c r="BZ329" s="662">
        <v>1</v>
      </c>
      <c r="CA329" s="523">
        <v>2.2599999999999999E-2</v>
      </c>
      <c r="CB329" s="170" t="e">
        <f t="shared" ref="CB329:CB335" ca="1" si="421">CA329*BW$4/BY329/BZ329</f>
        <v>#VALUE!</v>
      </c>
      <c r="CC329" s="394" t="e">
        <f t="shared" ref="CC329:CC335" ca="1" si="422">ROUND(CB329*10000,0)</f>
        <v>#VALUE!</v>
      </c>
    </row>
    <row r="330" spans="2:81" x14ac:dyDescent="0.35">
      <c r="B330" s="273">
        <v>8</v>
      </c>
      <c r="C330" s="516" t="s">
        <v>619</v>
      </c>
      <c r="D330" s="273" t="s">
        <v>1235</v>
      </c>
      <c r="E330" s="508">
        <f t="shared" ref="E330:E361" ca="1" si="423">IF(D330="部件",VLOOKUP(B330,INDIRECT(D330&amp;"价值"),MATCH(LEFT(C330,2)&amp;"部件",INDIRECT(D330&amp;"价值标头"),0),FALSE),IF(D330="加速道具",VLOOKUP(C330,INDIRECT(D330&amp;"价值"),MATCH("价格",INDIRECT(D330&amp;"价值标头"),0),FALSE),VLOOKUP(B330,INDIRECT(D330&amp;"价值"),MATCH(C330,INDIRECT(D330&amp;"价值标头"),0),FALSE)))</f>
        <v>66</v>
      </c>
      <c r="F330" s="256">
        <v>3</v>
      </c>
      <c r="G330" s="408">
        <f>宝箱设定!$X143</f>
        <v>0.10219999999999999</v>
      </c>
      <c r="H330" s="170">
        <f t="shared" ref="H330:H337" ca="1" si="424">G330*$C$4/E330/F330</f>
        <v>3.0324494949494945E-2</v>
      </c>
      <c r="I330" s="256">
        <f t="shared" ref="I330:I337" ca="1" si="425">ROUND(H330*10000,0)</f>
        <v>303</v>
      </c>
      <c r="K330" s="512">
        <v>8</v>
      </c>
      <c r="L330" s="516" t="s">
        <v>619</v>
      </c>
      <c r="M330" s="512" t="s">
        <v>1211</v>
      </c>
      <c r="N330" s="508">
        <f t="shared" ref="N330:N361" ca="1" si="426">IF(M330="部件",VLOOKUP(K330,INDIRECT(M330&amp;"价值"),MATCH(LEFT(L330,2)&amp;"部件",INDIRECT(M330&amp;"价值标头"),0),FALSE),IF(M330="加速道具",VLOOKUP(L330,INDIRECT(M330&amp;"价值"),MATCH("价格",INDIRECT(M330&amp;"价值标头"),0),FALSE),VLOOKUP(K330,INDIRECT(M330&amp;"价值"),MATCH(L330,INDIRECT(M330&amp;"价值标头"),0),FALSE)))</f>
        <v>66</v>
      </c>
      <c r="O330" s="565">
        <v>1.5</v>
      </c>
      <c r="P330" s="508">
        <f>宝箱设定!$X143</f>
        <v>0.10219999999999999</v>
      </c>
      <c r="Q330" s="170">
        <f ca="1">P330*L$4/N330/O330</f>
        <v>4.8519191919191906E-2</v>
      </c>
      <c r="R330" s="279">
        <f t="shared" ref="R330:R343" ca="1" si="427">ROUND(Q330*10000,0)</f>
        <v>485</v>
      </c>
      <c r="T330" s="512">
        <v>8</v>
      </c>
      <c r="U330" s="516" t="s">
        <v>619</v>
      </c>
      <c r="V330" s="512" t="s">
        <v>1211</v>
      </c>
      <c r="W330" s="508">
        <f t="shared" ref="W330:W361" ca="1" si="428">IF(V330="部件",VLOOKUP(T330,INDIRECT(V330&amp;"价值"),MATCH(LEFT(U330,2)&amp;"部件",INDIRECT(V330&amp;"价值标头"),0),FALSE),IF(V330="加速道具",VLOOKUP(U330,INDIRECT(V330&amp;"价值"),MATCH("价格",INDIRECT(V330&amp;"价值标头"),0),FALSE),VLOOKUP(T330,INDIRECT(V330&amp;"价值"),MATCH(U330,INDIRECT(V330&amp;"价值标头"),0),FALSE)))</f>
        <v>66</v>
      </c>
      <c r="X330" s="565">
        <v>1.5</v>
      </c>
      <c r="Y330" s="508">
        <f>宝箱设定!$X143</f>
        <v>0.10219999999999999</v>
      </c>
      <c r="Z330" s="170">
        <f t="shared" ref="Z330:Z343" ca="1" si="429">Y330*U$4/W330/X330</f>
        <v>4.9035353535353522E-2</v>
      </c>
      <c r="AA330" s="279">
        <f t="shared" ref="AA330:AA343" ca="1" si="430">ROUND(Z330*10000,0)</f>
        <v>490</v>
      </c>
      <c r="AC330" s="512">
        <v>7</v>
      </c>
      <c r="AD330" s="516" t="s">
        <v>2281</v>
      </c>
      <c r="AE330" s="529" t="s">
        <v>2452</v>
      </c>
      <c r="AF330" s="508" t="str">
        <f t="shared" ca="1" si="405"/>
        <v>T3部件</v>
      </c>
      <c r="AG330" s="508">
        <v>1</v>
      </c>
      <c r="AH330" s="633">
        <v>6.0000000000000001E-3</v>
      </c>
      <c r="AI330" s="170" t="e">
        <f t="shared" ca="1" si="392"/>
        <v>#VALUE!</v>
      </c>
      <c r="AJ330" s="508" t="e">
        <f t="shared" ca="1" si="393"/>
        <v>#VALUE!</v>
      </c>
      <c r="AL330" s="512">
        <v>7</v>
      </c>
      <c r="AM330" s="516" t="s">
        <v>2278</v>
      </c>
      <c r="AN330" s="529" t="s">
        <v>2452</v>
      </c>
      <c r="AO330" s="508" t="str">
        <f t="shared" ca="1" si="411"/>
        <v>T3部件</v>
      </c>
      <c r="AP330" s="508">
        <v>1</v>
      </c>
      <c r="AQ330" s="565">
        <v>5.0000000000000001E-3</v>
      </c>
      <c r="AR330" s="170" t="e">
        <f t="shared" ca="1" si="403"/>
        <v>#VALUE!</v>
      </c>
      <c r="AS330" s="508" t="e">
        <f t="shared" ca="1" si="404"/>
        <v>#VALUE!</v>
      </c>
      <c r="AU330" s="512">
        <v>7</v>
      </c>
      <c r="AV330" s="516" t="s">
        <v>2264</v>
      </c>
      <c r="AW330" s="529" t="s">
        <v>2452</v>
      </c>
      <c r="AX330" s="508" t="str">
        <f t="shared" ca="1" si="417"/>
        <v>T2部件</v>
      </c>
      <c r="AY330" s="615">
        <v>1.5</v>
      </c>
      <c r="AZ330" s="633">
        <v>6.3E-3</v>
      </c>
      <c r="BA330" s="170" t="e">
        <f t="shared" ca="1" si="395"/>
        <v>#VALUE!</v>
      </c>
      <c r="BB330" s="508" t="e">
        <f t="shared" ca="1" si="396"/>
        <v>#VALUE!</v>
      </c>
      <c r="BD330" s="512">
        <v>7</v>
      </c>
      <c r="BE330" s="516" t="s">
        <v>2264</v>
      </c>
      <c r="BF330" s="529" t="s">
        <v>2452</v>
      </c>
      <c r="BG330" s="508" t="str">
        <f t="shared" ca="1" si="418"/>
        <v>T2部件</v>
      </c>
      <c r="BH330" s="565">
        <v>1.5</v>
      </c>
      <c r="BI330" s="615">
        <v>6.0000000000000001E-3</v>
      </c>
      <c r="BJ330" s="170" t="e">
        <f t="shared" ca="1" si="406"/>
        <v>#VALUE!</v>
      </c>
      <c r="BK330" s="279" t="e">
        <f t="shared" ca="1" si="407"/>
        <v>#VALUE!</v>
      </c>
      <c r="BM330" s="512">
        <v>8</v>
      </c>
      <c r="BN330" s="525" t="s">
        <v>2292</v>
      </c>
      <c r="BO330" s="530" t="s">
        <v>2200</v>
      </c>
      <c r="BP330" s="508" t="str">
        <f t="shared" ca="1" si="412"/>
        <v>T3部件</v>
      </c>
      <c r="BQ330" s="615">
        <v>1.5</v>
      </c>
      <c r="BR330" s="615">
        <v>8.9999999999999993E-3</v>
      </c>
      <c r="BS330" s="170" t="e">
        <f t="shared" ca="1" si="419"/>
        <v>#VALUE!</v>
      </c>
      <c r="BT330" s="523" t="e">
        <f t="shared" ca="1" si="420"/>
        <v>#VALUE!</v>
      </c>
      <c r="BV330" s="396">
        <v>8</v>
      </c>
      <c r="BW330" s="527" t="s">
        <v>2283</v>
      </c>
      <c r="BX330" s="530" t="s">
        <v>2200</v>
      </c>
      <c r="BY330" s="523" t="str">
        <f t="shared" ca="1" si="408"/>
        <v>T3部件</v>
      </c>
      <c r="BZ330" s="665">
        <v>1</v>
      </c>
      <c r="CA330" s="523">
        <v>2.2599999999999999E-2</v>
      </c>
      <c r="CB330" s="170" t="e">
        <f t="shared" ca="1" si="421"/>
        <v>#VALUE!</v>
      </c>
      <c r="CC330" s="394" t="e">
        <f t="shared" ca="1" si="422"/>
        <v>#VALUE!</v>
      </c>
    </row>
    <row r="331" spans="2:81" x14ac:dyDescent="0.35">
      <c r="B331" s="273">
        <v>8</v>
      </c>
      <c r="C331" s="516" t="s">
        <v>718</v>
      </c>
      <c r="D331" s="273" t="s">
        <v>1235</v>
      </c>
      <c r="E331" s="508">
        <f t="shared" ca="1" si="423"/>
        <v>66</v>
      </c>
      <c r="F331" s="625">
        <v>3</v>
      </c>
      <c r="G331" s="508">
        <f>宝箱设定!$X144</f>
        <v>0.10219999999999999</v>
      </c>
      <c r="H331" s="170">
        <f t="shared" ca="1" si="424"/>
        <v>3.0324494949494945E-2</v>
      </c>
      <c r="I331" s="256">
        <f t="shared" ca="1" si="425"/>
        <v>303</v>
      </c>
      <c r="K331" s="512">
        <v>8</v>
      </c>
      <c r="L331" s="516" t="s">
        <v>718</v>
      </c>
      <c r="M331" s="512" t="s">
        <v>1211</v>
      </c>
      <c r="N331" s="508">
        <f t="shared" ca="1" si="426"/>
        <v>66</v>
      </c>
      <c r="O331" s="625">
        <v>1.5</v>
      </c>
      <c r="P331" s="508">
        <f>宝箱设定!$X144</f>
        <v>0.10219999999999999</v>
      </c>
      <c r="Q331" s="170">
        <f ca="1">P331*L$4/N331/O331</f>
        <v>4.8519191919191906E-2</v>
      </c>
      <c r="R331" s="279">
        <f t="shared" ca="1" si="427"/>
        <v>485</v>
      </c>
      <c r="T331" s="512">
        <v>8</v>
      </c>
      <c r="U331" s="516" t="s">
        <v>718</v>
      </c>
      <c r="V331" s="512" t="s">
        <v>1211</v>
      </c>
      <c r="W331" s="508">
        <f t="shared" ca="1" si="428"/>
        <v>66</v>
      </c>
      <c r="X331" s="625">
        <v>1.5</v>
      </c>
      <c r="Y331" s="508">
        <f>宝箱设定!$X144</f>
        <v>0.10219999999999999</v>
      </c>
      <c r="Z331" s="170">
        <f t="shared" ca="1" si="429"/>
        <v>4.9035353535353522E-2</v>
      </c>
      <c r="AA331" s="279">
        <f t="shared" ca="1" si="430"/>
        <v>490</v>
      </c>
      <c r="AC331" s="512">
        <v>7</v>
      </c>
      <c r="AD331" s="516" t="s">
        <v>2283</v>
      </c>
      <c r="AE331" s="529" t="s">
        <v>2452</v>
      </c>
      <c r="AF331" s="508" t="str">
        <f t="shared" ca="1" si="405"/>
        <v>T3部件</v>
      </c>
      <c r="AG331" s="508">
        <v>1</v>
      </c>
      <c r="AH331" s="633">
        <v>6.0000000000000001E-3</v>
      </c>
      <c r="AI331" s="170" t="e">
        <f t="shared" ca="1" si="392"/>
        <v>#VALUE!</v>
      </c>
      <c r="AJ331" s="508" t="e">
        <f t="shared" ca="1" si="393"/>
        <v>#VALUE!</v>
      </c>
      <c r="AL331" s="512">
        <v>7</v>
      </c>
      <c r="AM331" s="516" t="s">
        <v>2280</v>
      </c>
      <c r="AN331" s="529" t="s">
        <v>2452</v>
      </c>
      <c r="AO331" s="508" t="str">
        <f t="shared" ca="1" si="411"/>
        <v>T3部件</v>
      </c>
      <c r="AP331" s="508">
        <v>1</v>
      </c>
      <c r="AQ331" s="565">
        <v>5.0000000000000001E-3</v>
      </c>
      <c r="AR331" s="170" t="e">
        <f t="shared" ca="1" si="403"/>
        <v>#VALUE!</v>
      </c>
      <c r="AS331" s="508" t="e">
        <f t="shared" ca="1" si="404"/>
        <v>#VALUE!</v>
      </c>
      <c r="AU331" s="512">
        <v>7</v>
      </c>
      <c r="AV331" s="516" t="s">
        <v>2266</v>
      </c>
      <c r="AW331" s="529" t="s">
        <v>2452</v>
      </c>
      <c r="AX331" s="508" t="str">
        <f t="shared" ca="1" si="417"/>
        <v>T2部件</v>
      </c>
      <c r="AY331" s="615">
        <v>1.5</v>
      </c>
      <c r="AZ331" s="633">
        <v>6.3E-3</v>
      </c>
      <c r="BA331" s="170" t="e">
        <f t="shared" ca="1" si="395"/>
        <v>#VALUE!</v>
      </c>
      <c r="BB331" s="508" t="e">
        <f t="shared" ca="1" si="396"/>
        <v>#VALUE!</v>
      </c>
      <c r="BD331" s="512">
        <v>7</v>
      </c>
      <c r="BE331" s="516" t="s">
        <v>2266</v>
      </c>
      <c r="BF331" s="529" t="s">
        <v>2452</v>
      </c>
      <c r="BG331" s="508" t="str">
        <f t="shared" ca="1" si="418"/>
        <v>T2部件</v>
      </c>
      <c r="BH331" s="565">
        <v>1.5</v>
      </c>
      <c r="BI331" s="615">
        <v>6.0000000000000001E-3</v>
      </c>
      <c r="BJ331" s="170" t="e">
        <f t="shared" ca="1" si="406"/>
        <v>#VALUE!</v>
      </c>
      <c r="BK331" s="279" t="e">
        <f t="shared" ca="1" si="407"/>
        <v>#VALUE!</v>
      </c>
      <c r="BM331" s="512">
        <v>8</v>
      </c>
      <c r="BN331" s="527" t="s">
        <v>2277</v>
      </c>
      <c r="BO331" s="530" t="s">
        <v>2200</v>
      </c>
      <c r="BP331" s="508" t="str">
        <f t="shared" ca="1" si="412"/>
        <v>T3部件</v>
      </c>
      <c r="BQ331" s="615">
        <v>1.5</v>
      </c>
      <c r="BR331" s="615">
        <v>8.9999999999999993E-3</v>
      </c>
      <c r="BS331" s="170" t="e">
        <f t="shared" ca="1" si="419"/>
        <v>#VALUE!</v>
      </c>
      <c r="BT331" s="523" t="e">
        <f t="shared" ca="1" si="420"/>
        <v>#VALUE!</v>
      </c>
      <c r="BV331" s="396">
        <v>8</v>
      </c>
      <c r="BW331" s="527" t="s">
        <v>2285</v>
      </c>
      <c r="BX331" s="530" t="s">
        <v>2200</v>
      </c>
      <c r="BY331" s="523" t="str">
        <f t="shared" ca="1" si="408"/>
        <v>T3部件</v>
      </c>
      <c r="BZ331" s="662">
        <v>1</v>
      </c>
      <c r="CA331" s="523">
        <v>2.2599999999999999E-2</v>
      </c>
      <c r="CB331" s="170" t="e">
        <f t="shared" ca="1" si="421"/>
        <v>#VALUE!</v>
      </c>
      <c r="CC331" s="394" t="e">
        <f t="shared" ca="1" si="422"/>
        <v>#VALUE!</v>
      </c>
    </row>
    <row r="332" spans="2:81" x14ac:dyDescent="0.35">
      <c r="B332" s="273">
        <v>8</v>
      </c>
      <c r="C332" s="516" t="s">
        <v>632</v>
      </c>
      <c r="D332" s="273" t="s">
        <v>1235</v>
      </c>
      <c r="E332" s="508">
        <f t="shared" ca="1" si="423"/>
        <v>66</v>
      </c>
      <c r="F332" s="625">
        <v>3</v>
      </c>
      <c r="G332" s="508">
        <f>宝箱设定!$X145</f>
        <v>0.10219999999999999</v>
      </c>
      <c r="H332" s="170">
        <f t="shared" ca="1" si="424"/>
        <v>3.0324494949494945E-2</v>
      </c>
      <c r="I332" s="256">
        <f t="shared" ca="1" si="425"/>
        <v>303</v>
      </c>
      <c r="K332" s="512">
        <v>8</v>
      </c>
      <c r="L332" s="516" t="s">
        <v>632</v>
      </c>
      <c r="M332" s="512" t="s">
        <v>1211</v>
      </c>
      <c r="N332" s="508">
        <f t="shared" ca="1" si="426"/>
        <v>66</v>
      </c>
      <c r="O332" s="625">
        <v>1.5</v>
      </c>
      <c r="P332" s="508">
        <f>宝箱设定!$X145</f>
        <v>0.10219999999999999</v>
      </c>
      <c r="Q332" s="170">
        <f ca="1">P332*L$4/N332/O332</f>
        <v>4.8519191919191906E-2</v>
      </c>
      <c r="R332" s="279">
        <f t="shared" ca="1" si="427"/>
        <v>485</v>
      </c>
      <c r="T332" s="512">
        <v>8</v>
      </c>
      <c r="U332" s="516" t="s">
        <v>632</v>
      </c>
      <c r="V332" s="512" t="s">
        <v>1211</v>
      </c>
      <c r="W332" s="508">
        <f t="shared" ca="1" si="428"/>
        <v>66</v>
      </c>
      <c r="X332" s="625">
        <v>1.5</v>
      </c>
      <c r="Y332" s="508">
        <f>宝箱设定!$X145</f>
        <v>0.10219999999999999</v>
      </c>
      <c r="Z332" s="170">
        <f t="shared" ca="1" si="429"/>
        <v>4.9035353535353522E-2</v>
      </c>
      <c r="AA332" s="279">
        <f t="shared" ca="1" si="430"/>
        <v>490</v>
      </c>
      <c r="AC332" s="512">
        <v>7</v>
      </c>
      <c r="AD332" s="516" t="s">
        <v>2285</v>
      </c>
      <c r="AE332" s="529" t="s">
        <v>2452</v>
      </c>
      <c r="AF332" s="508" t="str">
        <f t="shared" ca="1" si="405"/>
        <v>T3部件</v>
      </c>
      <c r="AG332" s="508">
        <v>1</v>
      </c>
      <c r="AH332" s="633">
        <v>6.0000000000000001E-3</v>
      </c>
      <c r="AI332" s="170" t="e">
        <f t="shared" ca="1" si="392"/>
        <v>#VALUE!</v>
      </c>
      <c r="AJ332" s="508" t="e">
        <f t="shared" ca="1" si="393"/>
        <v>#VALUE!</v>
      </c>
      <c r="AL332" s="512">
        <v>7</v>
      </c>
      <c r="AM332" s="516" t="s">
        <v>2282</v>
      </c>
      <c r="AN332" s="529" t="s">
        <v>2452</v>
      </c>
      <c r="AO332" s="508" t="str">
        <f t="shared" ca="1" si="411"/>
        <v>T3部件</v>
      </c>
      <c r="AP332" s="508">
        <v>1</v>
      </c>
      <c r="AQ332" s="565">
        <v>5.0000000000000001E-3</v>
      </c>
      <c r="AR332" s="170" t="e">
        <f t="shared" ca="1" si="403"/>
        <v>#VALUE!</v>
      </c>
      <c r="AS332" s="508" t="e">
        <f t="shared" ca="1" si="404"/>
        <v>#VALUE!</v>
      </c>
      <c r="AU332" s="512">
        <v>7</v>
      </c>
      <c r="AV332" s="516" t="s">
        <v>2268</v>
      </c>
      <c r="AW332" s="529" t="s">
        <v>2452</v>
      </c>
      <c r="AX332" s="508" t="str">
        <f t="shared" ca="1" si="417"/>
        <v>T2部件</v>
      </c>
      <c r="AY332" s="615">
        <v>1.5</v>
      </c>
      <c r="AZ332" s="633">
        <v>6.3E-3</v>
      </c>
      <c r="BA332" s="170" t="e">
        <f t="shared" ca="1" si="395"/>
        <v>#VALUE!</v>
      </c>
      <c r="BB332" s="508" t="e">
        <f t="shared" ca="1" si="396"/>
        <v>#VALUE!</v>
      </c>
      <c r="BD332" s="512">
        <v>7</v>
      </c>
      <c r="BE332" s="516" t="s">
        <v>2268</v>
      </c>
      <c r="BF332" s="529" t="s">
        <v>2452</v>
      </c>
      <c r="BG332" s="508" t="str">
        <f t="shared" ca="1" si="418"/>
        <v>T2部件</v>
      </c>
      <c r="BH332" s="565">
        <v>1.5</v>
      </c>
      <c r="BI332" s="615">
        <v>6.0000000000000001E-3</v>
      </c>
      <c r="BJ332" s="170" t="e">
        <f t="shared" ca="1" si="406"/>
        <v>#VALUE!</v>
      </c>
      <c r="BK332" s="279" t="e">
        <f t="shared" ca="1" si="407"/>
        <v>#VALUE!</v>
      </c>
      <c r="BM332" s="512">
        <v>8</v>
      </c>
      <c r="BN332" s="527" t="s">
        <v>2279</v>
      </c>
      <c r="BO332" s="530" t="s">
        <v>2200</v>
      </c>
      <c r="BP332" s="508" t="str">
        <f t="shared" ca="1" si="412"/>
        <v>T3部件</v>
      </c>
      <c r="BQ332" s="615">
        <v>1.5</v>
      </c>
      <c r="BR332" s="600">
        <v>8.0000000000000002E-3</v>
      </c>
      <c r="BS332" s="170" t="e">
        <f t="shared" ca="1" si="419"/>
        <v>#VALUE!</v>
      </c>
      <c r="BT332" s="523" t="e">
        <f t="shared" ca="1" si="420"/>
        <v>#VALUE!</v>
      </c>
      <c r="BV332" s="396">
        <v>8</v>
      </c>
      <c r="BW332" s="527" t="s">
        <v>2287</v>
      </c>
      <c r="BX332" s="530" t="s">
        <v>2200</v>
      </c>
      <c r="BY332" s="523" t="str">
        <f t="shared" ca="1" si="408"/>
        <v>T3部件</v>
      </c>
      <c r="BZ332" s="665">
        <v>1</v>
      </c>
      <c r="CA332" s="523">
        <v>2.2599999999999999E-2</v>
      </c>
      <c r="CB332" s="170" t="e">
        <f t="shared" ca="1" si="421"/>
        <v>#VALUE!</v>
      </c>
      <c r="CC332" s="394" t="e">
        <f t="shared" ca="1" si="422"/>
        <v>#VALUE!</v>
      </c>
    </row>
    <row r="333" spans="2:81" x14ac:dyDescent="0.35">
      <c r="B333" s="273">
        <v>8</v>
      </c>
      <c r="C333" s="516" t="s">
        <v>620</v>
      </c>
      <c r="D333" s="273" t="s">
        <v>1235</v>
      </c>
      <c r="E333" s="508">
        <f t="shared" ca="1" si="423"/>
        <v>100</v>
      </c>
      <c r="F333" s="594">
        <v>1.5</v>
      </c>
      <c r="G333" s="508">
        <f>宝箱设定!$X146</f>
        <v>7.007999999999999E-2</v>
      </c>
      <c r="H333" s="170">
        <f t="shared" ca="1" si="424"/>
        <v>2.7447999999999997E-2</v>
      </c>
      <c r="I333" s="256">
        <f t="shared" ca="1" si="425"/>
        <v>274</v>
      </c>
      <c r="K333" s="512">
        <v>8</v>
      </c>
      <c r="L333" s="516" t="s">
        <v>620</v>
      </c>
      <c r="M333" s="512" t="s">
        <v>1211</v>
      </c>
      <c r="N333" s="508">
        <f t="shared" ca="1" si="426"/>
        <v>100</v>
      </c>
      <c r="O333" s="565">
        <v>1</v>
      </c>
      <c r="P333" s="508">
        <f>宝箱设定!$X146</f>
        <v>7.007999999999999E-2</v>
      </c>
      <c r="Q333" s="170">
        <f t="shared" ref="Q333:Q338" ca="1" si="431">P333*L$4/N333/O333</f>
        <v>3.293759999999999E-2</v>
      </c>
      <c r="R333" s="408">
        <f t="shared" ca="1" si="427"/>
        <v>329</v>
      </c>
      <c r="T333" s="512">
        <v>8</v>
      </c>
      <c r="U333" s="516" t="s">
        <v>620</v>
      </c>
      <c r="V333" s="512" t="s">
        <v>1211</v>
      </c>
      <c r="W333" s="508">
        <f t="shared" ca="1" si="428"/>
        <v>100</v>
      </c>
      <c r="X333" s="565">
        <v>1</v>
      </c>
      <c r="Y333" s="508">
        <f>宝箱设定!$X146</f>
        <v>7.007999999999999E-2</v>
      </c>
      <c r="Z333" s="170">
        <f t="shared" ca="1" si="429"/>
        <v>3.3287999999999991E-2</v>
      </c>
      <c r="AA333" s="408">
        <f t="shared" ca="1" si="430"/>
        <v>333</v>
      </c>
      <c r="AC333" s="512">
        <v>7</v>
      </c>
      <c r="AD333" s="516" t="s">
        <v>2287</v>
      </c>
      <c r="AE333" s="529" t="s">
        <v>2452</v>
      </c>
      <c r="AF333" s="508" t="str">
        <f t="shared" ca="1" si="405"/>
        <v>T3部件</v>
      </c>
      <c r="AG333" s="508">
        <v>1</v>
      </c>
      <c r="AH333" s="633">
        <v>6.0000000000000001E-3</v>
      </c>
      <c r="AI333" s="170" t="e">
        <f t="shared" ca="1" si="392"/>
        <v>#VALUE!</v>
      </c>
      <c r="AJ333" s="508" t="e">
        <f t="shared" ca="1" si="393"/>
        <v>#VALUE!</v>
      </c>
      <c r="AL333" s="512">
        <v>7</v>
      </c>
      <c r="AM333" s="516" t="s">
        <v>2284</v>
      </c>
      <c r="AN333" s="529" t="s">
        <v>2452</v>
      </c>
      <c r="AO333" s="508" t="str">
        <f t="shared" ca="1" si="411"/>
        <v>T3部件</v>
      </c>
      <c r="AP333" s="508">
        <v>1</v>
      </c>
      <c r="AQ333" s="565">
        <v>5.0000000000000001E-3</v>
      </c>
      <c r="AR333" s="170" t="e">
        <f t="shared" ca="1" si="403"/>
        <v>#VALUE!</v>
      </c>
      <c r="AS333" s="508" t="e">
        <f t="shared" ca="1" si="404"/>
        <v>#VALUE!</v>
      </c>
      <c r="AU333" s="512">
        <v>7</v>
      </c>
      <c r="AV333" s="516" t="s">
        <v>2270</v>
      </c>
      <c r="AW333" s="529" t="s">
        <v>2452</v>
      </c>
      <c r="AX333" s="508" t="str">
        <f t="shared" ca="1" si="417"/>
        <v>T2部件</v>
      </c>
      <c r="AY333" s="615">
        <v>1.5</v>
      </c>
      <c r="AZ333" s="633">
        <v>6.3E-3</v>
      </c>
      <c r="BA333" s="170" t="e">
        <f t="shared" ca="1" si="395"/>
        <v>#VALUE!</v>
      </c>
      <c r="BB333" s="508" t="e">
        <f t="shared" ca="1" si="396"/>
        <v>#VALUE!</v>
      </c>
      <c r="BD333" s="512">
        <v>7</v>
      </c>
      <c r="BE333" s="516" t="s">
        <v>2270</v>
      </c>
      <c r="BF333" s="529" t="s">
        <v>2452</v>
      </c>
      <c r="BG333" s="508" t="str">
        <f t="shared" ca="1" si="418"/>
        <v>T2部件</v>
      </c>
      <c r="BH333" s="565">
        <v>1.5</v>
      </c>
      <c r="BI333" s="615">
        <v>6.0000000000000001E-3</v>
      </c>
      <c r="BJ333" s="170" t="e">
        <f t="shared" ref="BJ333:BJ362" ca="1" si="432">BI333*BE$4/BG333/BH333</f>
        <v>#VALUE!</v>
      </c>
      <c r="BK333" s="508" t="e">
        <f t="shared" ref="BK333:BK362" ca="1" si="433">ROUND(BJ333*10000,0)</f>
        <v>#VALUE!</v>
      </c>
      <c r="BM333" s="512">
        <v>8</v>
      </c>
      <c r="BN333" s="527" t="s">
        <v>2281</v>
      </c>
      <c r="BO333" s="530" t="s">
        <v>2200</v>
      </c>
      <c r="BP333" s="508" t="str">
        <f t="shared" ca="1" si="412"/>
        <v>T3部件</v>
      </c>
      <c r="BQ333" s="615">
        <v>1.5</v>
      </c>
      <c r="BR333" s="600">
        <v>8.0000000000000002E-3</v>
      </c>
      <c r="BS333" s="170" t="e">
        <f t="shared" ca="1" si="419"/>
        <v>#VALUE!</v>
      </c>
      <c r="BT333" s="523" t="e">
        <f t="shared" ca="1" si="420"/>
        <v>#VALUE!</v>
      </c>
      <c r="BV333" s="396">
        <v>8</v>
      </c>
      <c r="BW333" s="527" t="s">
        <v>2289</v>
      </c>
      <c r="BX333" s="530" t="s">
        <v>2200</v>
      </c>
      <c r="BY333" s="523" t="str">
        <f t="shared" ca="1" si="408"/>
        <v>T3部件</v>
      </c>
      <c r="BZ333" s="662">
        <v>1</v>
      </c>
      <c r="CA333" s="523">
        <v>2.2599999999999999E-2</v>
      </c>
      <c r="CB333" s="170" t="e">
        <f t="shared" ca="1" si="421"/>
        <v>#VALUE!</v>
      </c>
      <c r="CC333" s="394" t="e">
        <f t="shared" ca="1" si="422"/>
        <v>#VALUE!</v>
      </c>
    </row>
    <row r="334" spans="2:81" x14ac:dyDescent="0.35">
      <c r="B334" s="273">
        <v>8</v>
      </c>
      <c r="C334" s="516" t="s">
        <v>719</v>
      </c>
      <c r="D334" s="273" t="s">
        <v>1235</v>
      </c>
      <c r="E334" s="508">
        <f t="shared" ca="1" si="423"/>
        <v>100</v>
      </c>
      <c r="F334" s="625">
        <v>1.5</v>
      </c>
      <c r="G334" s="508">
        <f>宝箱设定!$X147</f>
        <v>7.007999999999999E-2</v>
      </c>
      <c r="H334" s="170">
        <f t="shared" ca="1" si="424"/>
        <v>2.7447999999999997E-2</v>
      </c>
      <c r="I334" s="256">
        <f t="shared" ca="1" si="425"/>
        <v>274</v>
      </c>
      <c r="K334" s="512">
        <v>8</v>
      </c>
      <c r="L334" s="516" t="s">
        <v>719</v>
      </c>
      <c r="M334" s="512" t="s">
        <v>1211</v>
      </c>
      <c r="N334" s="508">
        <f t="shared" ca="1" si="426"/>
        <v>100</v>
      </c>
      <c r="O334" s="565">
        <v>1</v>
      </c>
      <c r="P334" s="508">
        <f>宝箱设定!$X147</f>
        <v>7.007999999999999E-2</v>
      </c>
      <c r="Q334" s="170">
        <f t="shared" ca="1" si="431"/>
        <v>3.293759999999999E-2</v>
      </c>
      <c r="R334" s="408">
        <f t="shared" ca="1" si="427"/>
        <v>329</v>
      </c>
      <c r="T334" s="512">
        <v>8</v>
      </c>
      <c r="U334" s="516" t="s">
        <v>719</v>
      </c>
      <c r="V334" s="512" t="s">
        <v>1211</v>
      </c>
      <c r="W334" s="508">
        <f t="shared" ca="1" si="428"/>
        <v>100</v>
      </c>
      <c r="X334" s="565">
        <v>1</v>
      </c>
      <c r="Y334" s="508">
        <f>宝箱设定!$X147</f>
        <v>7.007999999999999E-2</v>
      </c>
      <c r="Z334" s="170">
        <f t="shared" ca="1" si="429"/>
        <v>3.3287999999999991E-2</v>
      </c>
      <c r="AA334" s="408">
        <f t="shared" ca="1" si="430"/>
        <v>333</v>
      </c>
      <c r="AC334" s="512">
        <v>7</v>
      </c>
      <c r="AD334" s="516" t="s">
        <v>2289</v>
      </c>
      <c r="AE334" s="529" t="s">
        <v>2452</v>
      </c>
      <c r="AF334" s="508" t="str">
        <f t="shared" ca="1" si="405"/>
        <v>T3部件</v>
      </c>
      <c r="AG334" s="508">
        <v>1</v>
      </c>
      <c r="AH334" s="633">
        <v>6.0000000000000001E-3</v>
      </c>
      <c r="AI334" s="170" t="e">
        <f t="shared" ca="1" si="392"/>
        <v>#VALUE!</v>
      </c>
      <c r="AJ334" s="508" t="e">
        <f t="shared" ca="1" si="393"/>
        <v>#VALUE!</v>
      </c>
      <c r="AL334" s="512">
        <v>7</v>
      </c>
      <c r="AM334" s="516" t="s">
        <v>2286</v>
      </c>
      <c r="AN334" s="529" t="s">
        <v>2452</v>
      </c>
      <c r="AO334" s="508" t="str">
        <f t="shared" ca="1" si="411"/>
        <v>T3部件</v>
      </c>
      <c r="AP334" s="508">
        <v>1</v>
      </c>
      <c r="AQ334" s="565">
        <v>5.0000000000000001E-3</v>
      </c>
      <c r="AR334" s="170" t="e">
        <f t="shared" ca="1" si="403"/>
        <v>#VALUE!</v>
      </c>
      <c r="AS334" s="508" t="e">
        <f t="shared" ca="1" si="404"/>
        <v>#VALUE!</v>
      </c>
      <c r="AU334" s="512">
        <v>7</v>
      </c>
      <c r="AV334" s="512" t="s">
        <v>2272</v>
      </c>
      <c r="AW334" s="529" t="s">
        <v>2452</v>
      </c>
      <c r="AX334" s="508" t="str">
        <f t="shared" ca="1" si="417"/>
        <v>T2部件</v>
      </c>
      <c r="AY334" s="615">
        <v>1.5</v>
      </c>
      <c r="AZ334" s="633">
        <v>6.3E-3</v>
      </c>
      <c r="BA334" s="170" t="e">
        <f t="shared" ca="1" si="395"/>
        <v>#VALUE!</v>
      </c>
      <c r="BB334" s="508" t="e">
        <f t="shared" ca="1" si="396"/>
        <v>#VALUE!</v>
      </c>
      <c r="BD334" s="512">
        <v>7</v>
      </c>
      <c r="BE334" s="512" t="s">
        <v>2272</v>
      </c>
      <c r="BF334" s="529" t="s">
        <v>2452</v>
      </c>
      <c r="BG334" s="508" t="str">
        <f t="shared" ca="1" si="418"/>
        <v>T2部件</v>
      </c>
      <c r="BH334" s="565">
        <v>1.5</v>
      </c>
      <c r="BI334" s="615">
        <v>6.0000000000000001E-3</v>
      </c>
      <c r="BJ334" s="170" t="e">
        <f t="shared" ca="1" si="432"/>
        <v>#VALUE!</v>
      </c>
      <c r="BK334" s="508" t="e">
        <f t="shared" ca="1" si="433"/>
        <v>#VALUE!</v>
      </c>
      <c r="BM334" s="512">
        <v>8</v>
      </c>
      <c r="BN334" s="527" t="s">
        <v>2283</v>
      </c>
      <c r="BO334" s="530" t="s">
        <v>2200</v>
      </c>
      <c r="BP334" s="508" t="str">
        <f t="shared" ca="1" si="412"/>
        <v>T3部件</v>
      </c>
      <c r="BQ334" s="615">
        <v>1.5</v>
      </c>
      <c r="BR334" s="600">
        <v>8.0000000000000002E-3</v>
      </c>
      <c r="BS334" s="170" t="e">
        <f t="shared" ca="1" si="419"/>
        <v>#VALUE!</v>
      </c>
      <c r="BT334" s="523" t="e">
        <f t="shared" ca="1" si="420"/>
        <v>#VALUE!</v>
      </c>
      <c r="BV334" s="396">
        <v>8</v>
      </c>
      <c r="BW334" s="525" t="s">
        <v>2291</v>
      </c>
      <c r="BX334" s="530" t="s">
        <v>2200</v>
      </c>
      <c r="BY334" s="523" t="str">
        <f t="shared" ca="1" si="408"/>
        <v>T3部件</v>
      </c>
      <c r="BZ334" s="665">
        <v>1</v>
      </c>
      <c r="CA334" s="523">
        <v>2.2599999999999999E-2</v>
      </c>
      <c r="CB334" s="170" t="e">
        <f t="shared" ca="1" si="421"/>
        <v>#VALUE!</v>
      </c>
      <c r="CC334" s="394" t="e">
        <f t="shared" ca="1" si="422"/>
        <v>#VALUE!</v>
      </c>
    </row>
    <row r="335" spans="2:81" x14ac:dyDescent="0.35">
      <c r="B335" s="273">
        <v>8</v>
      </c>
      <c r="C335" s="516" t="s">
        <v>635</v>
      </c>
      <c r="D335" s="273" t="s">
        <v>1235</v>
      </c>
      <c r="E335" s="508">
        <f t="shared" ca="1" si="423"/>
        <v>100</v>
      </c>
      <c r="F335" s="625">
        <v>1.5</v>
      </c>
      <c r="G335" s="508">
        <f>宝箱设定!$X148</f>
        <v>7.007999999999999E-2</v>
      </c>
      <c r="H335" s="170">
        <f t="shared" ca="1" si="424"/>
        <v>2.7447999999999997E-2</v>
      </c>
      <c r="I335" s="256">
        <f t="shared" ca="1" si="425"/>
        <v>274</v>
      </c>
      <c r="K335" s="512">
        <v>8</v>
      </c>
      <c r="L335" s="516" t="s">
        <v>635</v>
      </c>
      <c r="M335" s="512" t="s">
        <v>1211</v>
      </c>
      <c r="N335" s="508">
        <f t="shared" ca="1" si="426"/>
        <v>100</v>
      </c>
      <c r="O335" s="565">
        <v>1</v>
      </c>
      <c r="P335" s="508">
        <f>宝箱设定!$X148</f>
        <v>7.007999999999999E-2</v>
      </c>
      <c r="Q335" s="170">
        <f t="shared" ca="1" si="431"/>
        <v>3.293759999999999E-2</v>
      </c>
      <c r="R335" s="408">
        <f t="shared" ca="1" si="427"/>
        <v>329</v>
      </c>
      <c r="T335" s="512">
        <v>8</v>
      </c>
      <c r="U335" s="516" t="s">
        <v>635</v>
      </c>
      <c r="V335" s="512" t="s">
        <v>1211</v>
      </c>
      <c r="W335" s="508">
        <f t="shared" ca="1" si="428"/>
        <v>100</v>
      </c>
      <c r="X335" s="565">
        <v>1</v>
      </c>
      <c r="Y335" s="508">
        <f>宝箱设定!$X148</f>
        <v>7.007999999999999E-2</v>
      </c>
      <c r="Z335" s="170">
        <f t="shared" ca="1" si="429"/>
        <v>3.3287999999999991E-2</v>
      </c>
      <c r="AA335" s="408">
        <f t="shared" ca="1" si="430"/>
        <v>333</v>
      </c>
      <c r="AC335" s="512">
        <v>7</v>
      </c>
      <c r="AD335" s="512" t="s">
        <v>2291</v>
      </c>
      <c r="AE335" s="529" t="s">
        <v>2452</v>
      </c>
      <c r="AF335" s="508" t="str">
        <f t="shared" ca="1" si="405"/>
        <v>T3部件</v>
      </c>
      <c r="AG335" s="508">
        <v>1</v>
      </c>
      <c r="AH335" s="633">
        <v>6.0000000000000001E-3</v>
      </c>
      <c r="AI335" s="170" t="e">
        <f t="shared" ca="1" si="392"/>
        <v>#VALUE!</v>
      </c>
      <c r="AJ335" s="508" t="e">
        <f t="shared" ca="1" si="393"/>
        <v>#VALUE!</v>
      </c>
      <c r="AL335" s="512">
        <v>7</v>
      </c>
      <c r="AM335" s="516" t="s">
        <v>2288</v>
      </c>
      <c r="AN335" s="529" t="s">
        <v>2452</v>
      </c>
      <c r="AO335" s="508" t="str">
        <f t="shared" ca="1" si="411"/>
        <v>T3部件</v>
      </c>
      <c r="AP335" s="508">
        <v>1</v>
      </c>
      <c r="AQ335" s="565">
        <v>5.0000000000000001E-3</v>
      </c>
      <c r="AR335" s="170" t="e">
        <f t="shared" ca="1" si="403"/>
        <v>#VALUE!</v>
      </c>
      <c r="AS335" s="508" t="e">
        <f t="shared" ca="1" si="404"/>
        <v>#VALUE!</v>
      </c>
      <c r="AU335" s="512">
        <v>7</v>
      </c>
      <c r="AV335" s="512" t="s">
        <v>2274</v>
      </c>
      <c r="AW335" s="529" t="s">
        <v>2452</v>
      </c>
      <c r="AX335" s="508" t="str">
        <f t="shared" ca="1" si="417"/>
        <v>T2部件</v>
      </c>
      <c r="AY335" s="615">
        <v>1.5</v>
      </c>
      <c r="AZ335" s="633">
        <v>6.3E-3</v>
      </c>
      <c r="BA335" s="170" t="e">
        <f t="shared" ca="1" si="395"/>
        <v>#VALUE!</v>
      </c>
      <c r="BB335" s="508" t="e">
        <f t="shared" ca="1" si="396"/>
        <v>#VALUE!</v>
      </c>
      <c r="BD335" s="512">
        <v>7</v>
      </c>
      <c r="BE335" s="512" t="s">
        <v>2274</v>
      </c>
      <c r="BF335" s="529" t="s">
        <v>2452</v>
      </c>
      <c r="BG335" s="508" t="str">
        <f t="shared" ca="1" si="418"/>
        <v>T2部件</v>
      </c>
      <c r="BH335" s="565">
        <v>1.5</v>
      </c>
      <c r="BI335" s="615">
        <v>6.0000000000000001E-3</v>
      </c>
      <c r="BJ335" s="170" t="e">
        <f t="shared" ca="1" si="432"/>
        <v>#VALUE!</v>
      </c>
      <c r="BK335" s="508" t="e">
        <f t="shared" ca="1" si="433"/>
        <v>#VALUE!</v>
      </c>
      <c r="BM335" s="512">
        <v>8</v>
      </c>
      <c r="BN335" s="527" t="s">
        <v>2285</v>
      </c>
      <c r="BO335" s="530" t="s">
        <v>2200</v>
      </c>
      <c r="BP335" s="508" t="str">
        <f t="shared" ca="1" si="412"/>
        <v>T3部件</v>
      </c>
      <c r="BQ335" s="615">
        <v>1.5</v>
      </c>
      <c r="BR335" s="600">
        <v>8.0000000000000002E-3</v>
      </c>
      <c r="BS335" s="170" t="e">
        <f t="shared" ca="1" si="419"/>
        <v>#VALUE!</v>
      </c>
      <c r="BT335" s="523" t="e">
        <f t="shared" ca="1" si="420"/>
        <v>#VALUE!</v>
      </c>
      <c r="BV335" s="396">
        <v>8</v>
      </c>
      <c r="BW335" s="525" t="s">
        <v>2293</v>
      </c>
      <c r="BX335" s="530" t="s">
        <v>2200</v>
      </c>
      <c r="BY335" s="523" t="str">
        <f t="shared" ca="1" si="408"/>
        <v>T3部件</v>
      </c>
      <c r="BZ335" s="662">
        <v>1</v>
      </c>
      <c r="CA335" s="523">
        <v>2.2599999999999999E-2</v>
      </c>
      <c r="CB335" s="170" t="e">
        <f t="shared" ca="1" si="421"/>
        <v>#VALUE!</v>
      </c>
      <c r="CC335" s="394" t="e">
        <f t="shared" ca="1" si="422"/>
        <v>#VALUE!</v>
      </c>
    </row>
    <row r="336" spans="2:81" x14ac:dyDescent="0.35">
      <c r="B336" s="273">
        <v>8</v>
      </c>
      <c r="C336" s="516" t="s">
        <v>717</v>
      </c>
      <c r="D336" s="273" t="s">
        <v>1235</v>
      </c>
      <c r="E336" s="508">
        <f t="shared" ca="1" si="423"/>
        <v>125</v>
      </c>
      <c r="F336" s="594">
        <v>1</v>
      </c>
      <c r="G336" s="508">
        <f>宝箱设定!$X149</f>
        <v>7.007999999999999E-2</v>
      </c>
      <c r="H336" s="170">
        <f t="shared" ca="1" si="424"/>
        <v>3.2937599999999997E-2</v>
      </c>
      <c r="I336" s="256">
        <f t="shared" ca="1" si="425"/>
        <v>329</v>
      </c>
      <c r="K336" s="512">
        <v>8</v>
      </c>
      <c r="L336" s="516" t="s">
        <v>717</v>
      </c>
      <c r="M336" s="512" t="s">
        <v>1211</v>
      </c>
      <c r="N336" s="508">
        <f t="shared" ca="1" si="426"/>
        <v>125</v>
      </c>
      <c r="O336" s="565">
        <v>1</v>
      </c>
      <c r="P336" s="508">
        <f>宝箱设定!$X149</f>
        <v>7.007999999999999E-2</v>
      </c>
      <c r="Q336" s="170">
        <f t="shared" ca="1" si="431"/>
        <v>2.6350079999999994E-2</v>
      </c>
      <c r="R336" s="379">
        <f t="shared" ca="1" si="427"/>
        <v>264</v>
      </c>
      <c r="T336" s="512">
        <v>8</v>
      </c>
      <c r="U336" s="516" t="s">
        <v>717</v>
      </c>
      <c r="V336" s="512" t="s">
        <v>1211</v>
      </c>
      <c r="W336" s="508">
        <f t="shared" ca="1" si="428"/>
        <v>125</v>
      </c>
      <c r="X336" s="565">
        <v>1</v>
      </c>
      <c r="Y336" s="508">
        <f>宝箱设定!$X149</f>
        <v>7.007999999999999E-2</v>
      </c>
      <c r="Z336" s="170">
        <f t="shared" ca="1" si="429"/>
        <v>2.6630399999999995E-2</v>
      </c>
      <c r="AA336" s="408">
        <f t="shared" ca="1" si="430"/>
        <v>266</v>
      </c>
      <c r="AC336" s="512">
        <v>7</v>
      </c>
      <c r="AD336" s="512" t="s">
        <v>2293</v>
      </c>
      <c r="AE336" s="529" t="s">
        <v>2452</v>
      </c>
      <c r="AF336" s="508" t="str">
        <f t="shared" ca="1" si="405"/>
        <v>T3部件</v>
      </c>
      <c r="AG336" s="508">
        <v>1</v>
      </c>
      <c r="AH336" s="633">
        <v>6.0000000000000001E-3</v>
      </c>
      <c r="AI336" s="170" t="e">
        <f t="shared" ca="1" si="392"/>
        <v>#VALUE!</v>
      </c>
      <c r="AJ336" s="508" t="e">
        <f t="shared" ca="1" si="393"/>
        <v>#VALUE!</v>
      </c>
      <c r="AL336" s="512">
        <v>7</v>
      </c>
      <c r="AM336" s="512" t="s">
        <v>2290</v>
      </c>
      <c r="AN336" s="529" t="s">
        <v>2452</v>
      </c>
      <c r="AO336" s="508" t="str">
        <f t="shared" ca="1" si="411"/>
        <v>T3部件</v>
      </c>
      <c r="AP336" s="508">
        <v>1</v>
      </c>
      <c r="AQ336" s="565">
        <v>5.0000000000000001E-3</v>
      </c>
      <c r="AR336" s="170" t="e">
        <f t="shared" ca="1" si="403"/>
        <v>#VALUE!</v>
      </c>
      <c r="AS336" s="508" t="e">
        <f t="shared" ca="1" si="404"/>
        <v>#VALUE!</v>
      </c>
      <c r="AU336" s="512">
        <v>7</v>
      </c>
      <c r="AV336" s="516" t="s">
        <v>2259</v>
      </c>
      <c r="AW336" s="529" t="s">
        <v>2452</v>
      </c>
      <c r="AX336" s="508" t="str">
        <f t="shared" ca="1" si="417"/>
        <v>T2部件</v>
      </c>
      <c r="AY336" s="615">
        <v>1.5</v>
      </c>
      <c r="AZ336" s="633">
        <v>6.3E-3</v>
      </c>
      <c r="BA336" s="170" t="e">
        <f t="shared" ca="1" si="395"/>
        <v>#VALUE!</v>
      </c>
      <c r="BB336" s="508" t="e">
        <f t="shared" ca="1" si="396"/>
        <v>#VALUE!</v>
      </c>
      <c r="BD336" s="512">
        <v>7</v>
      </c>
      <c r="BE336" s="516" t="s">
        <v>2259</v>
      </c>
      <c r="BF336" s="529" t="s">
        <v>2452</v>
      </c>
      <c r="BG336" s="508" t="str">
        <f t="shared" ca="1" si="418"/>
        <v>T2部件</v>
      </c>
      <c r="BH336" s="565">
        <v>1.5</v>
      </c>
      <c r="BI336" s="615">
        <v>6.0000000000000001E-3</v>
      </c>
      <c r="BJ336" s="170" t="e">
        <f t="shared" ca="1" si="432"/>
        <v>#VALUE!</v>
      </c>
      <c r="BK336" s="508" t="e">
        <f t="shared" ca="1" si="433"/>
        <v>#VALUE!</v>
      </c>
      <c r="BM336" s="512">
        <v>8</v>
      </c>
      <c r="BN336" s="527" t="s">
        <v>2287</v>
      </c>
      <c r="BO336" s="530" t="s">
        <v>2200</v>
      </c>
      <c r="BP336" s="508" t="str">
        <f t="shared" ca="1" si="412"/>
        <v>T3部件</v>
      </c>
      <c r="BQ336" s="615">
        <v>1.5</v>
      </c>
      <c r="BR336" s="600">
        <v>8.0000000000000002E-3</v>
      </c>
      <c r="BS336" s="170" t="e">
        <f t="shared" ca="1" si="419"/>
        <v>#VALUE!</v>
      </c>
      <c r="BT336" s="523" t="e">
        <f t="shared" ca="1" si="420"/>
        <v>#VALUE!</v>
      </c>
    </row>
    <row r="337" spans="2:82" x14ac:dyDescent="0.35">
      <c r="B337" s="273">
        <v>8</v>
      </c>
      <c r="C337" s="516" t="s">
        <v>621</v>
      </c>
      <c r="D337" s="273" t="s">
        <v>1235</v>
      </c>
      <c r="E337" s="508">
        <f t="shared" ca="1" si="423"/>
        <v>155</v>
      </c>
      <c r="F337" s="594">
        <v>1</v>
      </c>
      <c r="G337" s="508">
        <f>宝箱设定!$X150</f>
        <v>7.007999999999999E-2</v>
      </c>
      <c r="H337" s="170">
        <f t="shared" ca="1" si="424"/>
        <v>2.6562580645161288E-2</v>
      </c>
      <c r="I337" s="256">
        <f t="shared" ca="1" si="425"/>
        <v>266</v>
      </c>
      <c r="K337" s="512">
        <v>8</v>
      </c>
      <c r="L337" s="516" t="s">
        <v>621</v>
      </c>
      <c r="M337" s="512" t="s">
        <v>1211</v>
      </c>
      <c r="N337" s="508">
        <f t="shared" ca="1" si="426"/>
        <v>155</v>
      </c>
      <c r="O337" s="565">
        <v>1</v>
      </c>
      <c r="P337" s="508">
        <f>宝箱设定!$X150</f>
        <v>7.007999999999999E-2</v>
      </c>
      <c r="Q337" s="170">
        <f t="shared" ca="1" si="431"/>
        <v>2.1250064516129027E-2</v>
      </c>
      <c r="R337" s="379">
        <f t="shared" ca="1" si="427"/>
        <v>213</v>
      </c>
      <c r="T337" s="512">
        <v>8</v>
      </c>
      <c r="U337" s="516" t="s">
        <v>621</v>
      </c>
      <c r="V337" s="512" t="s">
        <v>1211</v>
      </c>
      <c r="W337" s="508">
        <f t="shared" ca="1" si="428"/>
        <v>155</v>
      </c>
      <c r="X337" s="565">
        <v>1</v>
      </c>
      <c r="Y337" s="508">
        <f>宝箱设定!$X150</f>
        <v>7.007999999999999E-2</v>
      </c>
      <c r="Z337" s="170">
        <f t="shared" ca="1" si="429"/>
        <v>2.1476129032258061E-2</v>
      </c>
      <c r="AA337" s="279">
        <f t="shared" ca="1" si="430"/>
        <v>215</v>
      </c>
      <c r="AC337" s="595">
        <v>7</v>
      </c>
      <c r="AD337" s="601" t="s">
        <v>2878</v>
      </c>
      <c r="AE337" s="601" t="s">
        <v>2879</v>
      </c>
      <c r="AF337" s="594">
        <f t="shared" ca="1" si="405"/>
        <v>35</v>
      </c>
      <c r="AG337" s="594">
        <v>1</v>
      </c>
      <c r="AH337" s="633">
        <v>1.7999999999999999E-2</v>
      </c>
      <c r="AI337" s="170">
        <f ca="1">AH337*AD$4/AF337/AG337</f>
        <v>3.2914285714285708E-2</v>
      </c>
      <c r="AJ337" s="594">
        <f ca="1">ROUND(AI337*10000,0)</f>
        <v>329</v>
      </c>
      <c r="AL337" s="512">
        <v>7</v>
      </c>
      <c r="AM337" s="512" t="s">
        <v>2292</v>
      </c>
      <c r="AN337" s="529" t="s">
        <v>2452</v>
      </c>
      <c r="AO337" s="508" t="str">
        <f t="shared" ca="1" si="411"/>
        <v>T3部件</v>
      </c>
      <c r="AP337" s="508">
        <v>1</v>
      </c>
      <c r="AQ337" s="565">
        <v>5.0000000000000001E-3</v>
      </c>
      <c r="AR337" s="170" t="e">
        <f t="shared" ca="1" si="403"/>
        <v>#VALUE!</v>
      </c>
      <c r="AS337" s="508" t="e">
        <f t="shared" ca="1" si="404"/>
        <v>#VALUE!</v>
      </c>
      <c r="AU337" s="512">
        <v>7</v>
      </c>
      <c r="AV337" s="516" t="s">
        <v>2261</v>
      </c>
      <c r="AW337" s="529" t="s">
        <v>2452</v>
      </c>
      <c r="AX337" s="508" t="str">
        <f t="shared" ca="1" si="417"/>
        <v>T2部件</v>
      </c>
      <c r="AY337" s="615">
        <v>1.5</v>
      </c>
      <c r="AZ337" s="633">
        <v>6.1999999999999998E-3</v>
      </c>
      <c r="BA337" s="170" t="e">
        <f t="shared" ca="1" si="395"/>
        <v>#VALUE!</v>
      </c>
      <c r="BB337" s="508" t="e">
        <f t="shared" ca="1" si="396"/>
        <v>#VALUE!</v>
      </c>
      <c r="BD337" s="512">
        <v>7</v>
      </c>
      <c r="BE337" s="516" t="s">
        <v>2261</v>
      </c>
      <c r="BF337" s="529" t="s">
        <v>2452</v>
      </c>
      <c r="BG337" s="508" t="str">
        <f t="shared" ca="1" si="418"/>
        <v>T2部件</v>
      </c>
      <c r="BH337" s="565">
        <v>1.5</v>
      </c>
      <c r="BI337" s="615">
        <v>6.0000000000000001E-3</v>
      </c>
      <c r="BJ337" s="170" t="e">
        <f t="shared" ca="1" si="432"/>
        <v>#VALUE!</v>
      </c>
      <c r="BK337" s="508" t="e">
        <f t="shared" ca="1" si="433"/>
        <v>#VALUE!</v>
      </c>
      <c r="BM337" s="512">
        <v>8</v>
      </c>
      <c r="BN337" s="527" t="s">
        <v>2289</v>
      </c>
      <c r="BO337" s="530" t="s">
        <v>2200</v>
      </c>
      <c r="BP337" s="508" t="str">
        <f t="shared" ca="1" si="412"/>
        <v>T3部件</v>
      </c>
      <c r="BQ337" s="615">
        <v>1.5</v>
      </c>
      <c r="BR337" s="600">
        <v>8.0000000000000002E-3</v>
      </c>
      <c r="BS337" s="170" t="e">
        <f t="shared" ca="1" si="419"/>
        <v>#VALUE!</v>
      </c>
      <c r="BT337" s="523" t="e">
        <f t="shared" ca="1" si="420"/>
        <v>#VALUE!</v>
      </c>
    </row>
    <row r="338" spans="2:82" x14ac:dyDescent="0.35">
      <c r="B338" s="512">
        <v>8</v>
      </c>
      <c r="C338" s="516" t="s">
        <v>2239</v>
      </c>
      <c r="D338" s="529" t="s">
        <v>2444</v>
      </c>
      <c r="E338" s="508">
        <f t="shared" ca="1" si="423"/>
        <v>8.7750000000000004</v>
      </c>
      <c r="F338" s="508">
        <v>2.5</v>
      </c>
      <c r="G338" s="565">
        <v>7.0000000000000001E-3</v>
      </c>
      <c r="H338" s="170">
        <f t="shared" ref="H338:H391" ca="1" si="434">G338*$C$4/E338/F338</f>
        <v>1.8746438746438745E-2</v>
      </c>
      <c r="I338" s="508">
        <f t="shared" ref="I338:I391" ca="1" si="435">ROUND(H338*10000,0)</f>
        <v>187</v>
      </c>
      <c r="K338" s="512">
        <v>8</v>
      </c>
      <c r="L338" s="516" t="s">
        <v>2239</v>
      </c>
      <c r="M338" s="529" t="s">
        <v>2444</v>
      </c>
      <c r="N338" s="508">
        <f t="shared" ca="1" si="426"/>
        <v>8.7750000000000004</v>
      </c>
      <c r="O338" s="565">
        <v>1</v>
      </c>
      <c r="P338" s="633">
        <v>1.0999999999999999E-2</v>
      </c>
      <c r="Q338" s="170">
        <f t="shared" ca="1" si="431"/>
        <v>5.8917378917378915E-2</v>
      </c>
      <c r="R338" s="379">
        <f t="shared" ca="1" si="427"/>
        <v>589</v>
      </c>
      <c r="T338" s="512">
        <v>8</v>
      </c>
      <c r="U338" s="516" t="s">
        <v>2239</v>
      </c>
      <c r="V338" s="529" t="s">
        <v>2444</v>
      </c>
      <c r="W338" s="508">
        <f t="shared" ca="1" si="428"/>
        <v>8.7750000000000004</v>
      </c>
      <c r="X338" s="565">
        <v>1</v>
      </c>
      <c r="Y338" s="594">
        <v>1.0999999999999999E-2</v>
      </c>
      <c r="Z338" s="170">
        <f t="shared" ca="1" si="429"/>
        <v>5.9544159544159536E-2</v>
      </c>
      <c r="AA338" s="279">
        <f t="shared" ca="1" si="430"/>
        <v>595</v>
      </c>
      <c r="AC338" s="595">
        <v>7</v>
      </c>
      <c r="AD338" s="601" t="s">
        <v>2880</v>
      </c>
      <c r="AE338" s="601" t="s">
        <v>2879</v>
      </c>
      <c r="AF338" s="594">
        <f t="shared" ca="1" si="405"/>
        <v>60</v>
      </c>
      <c r="AG338" s="594">
        <v>1</v>
      </c>
      <c r="AH338" s="633">
        <v>1.9E-2</v>
      </c>
      <c r="AI338" s="170">
        <f ca="1">AH338*AD$4/AF338/AG338</f>
        <v>2.0266666666666665E-2</v>
      </c>
      <c r="AJ338" s="594">
        <f ca="1">ROUND(AI338*10000,0)</f>
        <v>203</v>
      </c>
      <c r="AL338" s="512">
        <v>7</v>
      </c>
      <c r="AM338" s="516" t="s">
        <v>2277</v>
      </c>
      <c r="AN338" s="529" t="s">
        <v>2452</v>
      </c>
      <c r="AO338" s="508" t="str">
        <f t="shared" ca="1" si="411"/>
        <v>T3部件</v>
      </c>
      <c r="AP338" s="508">
        <v>1</v>
      </c>
      <c r="AQ338" s="565">
        <v>5.0000000000000001E-3</v>
      </c>
      <c r="AR338" s="170" t="e">
        <f t="shared" ca="1" si="403"/>
        <v>#VALUE!</v>
      </c>
      <c r="AS338" s="508" t="e">
        <f t="shared" ca="1" si="404"/>
        <v>#VALUE!</v>
      </c>
      <c r="AU338" s="512">
        <v>7</v>
      </c>
      <c r="AV338" s="516" t="s">
        <v>2263</v>
      </c>
      <c r="AW338" s="529" t="s">
        <v>2452</v>
      </c>
      <c r="AX338" s="508" t="str">
        <f t="shared" ca="1" si="417"/>
        <v>T2部件</v>
      </c>
      <c r="AY338" s="615">
        <v>1.5</v>
      </c>
      <c r="AZ338" s="633">
        <v>6.1999999999999998E-3</v>
      </c>
      <c r="BA338" s="170" t="e">
        <f t="shared" ca="1" si="395"/>
        <v>#VALUE!</v>
      </c>
      <c r="BB338" s="508" t="e">
        <f t="shared" ca="1" si="396"/>
        <v>#VALUE!</v>
      </c>
      <c r="BD338" s="512">
        <v>7</v>
      </c>
      <c r="BE338" s="516" t="s">
        <v>2263</v>
      </c>
      <c r="BF338" s="529" t="s">
        <v>2452</v>
      </c>
      <c r="BG338" s="508" t="str">
        <f t="shared" ca="1" si="418"/>
        <v>T2部件</v>
      </c>
      <c r="BH338" s="565">
        <v>1.5</v>
      </c>
      <c r="BI338" s="615">
        <v>6.0000000000000001E-3</v>
      </c>
      <c r="BJ338" s="170" t="e">
        <f t="shared" ca="1" si="432"/>
        <v>#VALUE!</v>
      </c>
      <c r="BK338" s="508" t="e">
        <f t="shared" ca="1" si="433"/>
        <v>#VALUE!</v>
      </c>
      <c r="BM338" s="512">
        <v>8</v>
      </c>
      <c r="BN338" s="525" t="s">
        <v>2291</v>
      </c>
      <c r="BO338" s="530" t="s">
        <v>2200</v>
      </c>
      <c r="BP338" s="508" t="str">
        <f t="shared" ca="1" si="412"/>
        <v>T3部件</v>
      </c>
      <c r="BQ338" s="615">
        <v>1.5</v>
      </c>
      <c r="BR338" s="600">
        <v>8.0000000000000002E-3</v>
      </c>
      <c r="BS338" s="170" t="e">
        <f t="shared" ca="1" si="419"/>
        <v>#VALUE!</v>
      </c>
      <c r="BT338" s="523" t="e">
        <f t="shared" ca="1" si="420"/>
        <v>#VALUE!</v>
      </c>
      <c r="BV338" s="381" t="s">
        <v>597</v>
      </c>
      <c r="BW338" s="381" t="s">
        <v>1225</v>
      </c>
      <c r="BX338" s="382" t="s">
        <v>917</v>
      </c>
      <c r="BY338" s="166" t="s">
        <v>920</v>
      </c>
      <c r="BZ338" s="386" t="s">
        <v>967</v>
      </c>
      <c r="CA338" s="166" t="s">
        <v>854</v>
      </c>
      <c r="CB338" s="166" t="s">
        <v>926</v>
      </c>
      <c r="CC338" s="383" t="s">
        <v>927</v>
      </c>
      <c r="CD338" s="300" t="e">
        <f ca="1">SUM(CC339:CC392)</f>
        <v>#VALUE!</v>
      </c>
    </row>
    <row r="339" spans="2:82" x14ac:dyDescent="0.35">
      <c r="B339" s="512">
        <v>8</v>
      </c>
      <c r="C339" s="516" t="s">
        <v>2242</v>
      </c>
      <c r="D339" s="529" t="s">
        <v>2444</v>
      </c>
      <c r="E339" s="508">
        <f t="shared" ca="1" si="423"/>
        <v>8.7750000000000004</v>
      </c>
      <c r="F339" s="625">
        <v>2.5</v>
      </c>
      <c r="G339" s="594">
        <v>7.0000000000000001E-3</v>
      </c>
      <c r="H339" s="170">
        <f t="shared" ca="1" si="434"/>
        <v>1.8746438746438745E-2</v>
      </c>
      <c r="I339" s="508">
        <f t="shared" ca="1" si="435"/>
        <v>187</v>
      </c>
      <c r="K339" s="512">
        <v>8</v>
      </c>
      <c r="L339" s="516" t="s">
        <v>2242</v>
      </c>
      <c r="M339" s="529" t="s">
        <v>2444</v>
      </c>
      <c r="N339" s="508">
        <f t="shared" ca="1" si="426"/>
        <v>8.7750000000000004</v>
      </c>
      <c r="O339" s="565">
        <v>1</v>
      </c>
      <c r="P339" s="633">
        <v>1.0999999999999999E-2</v>
      </c>
      <c r="Q339" s="170">
        <f ca="1">P339*L$4/N339/O339</f>
        <v>5.8917378917378915E-2</v>
      </c>
      <c r="R339" s="279">
        <f t="shared" ca="1" si="427"/>
        <v>589</v>
      </c>
      <c r="T339" s="512">
        <v>8</v>
      </c>
      <c r="U339" s="516" t="s">
        <v>2242</v>
      </c>
      <c r="V339" s="529" t="s">
        <v>2444</v>
      </c>
      <c r="W339" s="508">
        <f t="shared" ca="1" si="428"/>
        <v>8.7750000000000004</v>
      </c>
      <c r="X339" s="565">
        <v>1</v>
      </c>
      <c r="Y339" s="594">
        <v>1.0999999999999999E-2</v>
      </c>
      <c r="Z339" s="170">
        <f t="shared" ca="1" si="429"/>
        <v>5.9544159544159536E-2</v>
      </c>
      <c r="AA339" s="279">
        <f t="shared" ca="1" si="430"/>
        <v>595</v>
      </c>
      <c r="AL339" s="512">
        <v>7</v>
      </c>
      <c r="AM339" s="516" t="s">
        <v>2279</v>
      </c>
      <c r="AN339" s="529" t="s">
        <v>2452</v>
      </c>
      <c r="AO339" s="508" t="str">
        <f t="shared" ca="1" si="411"/>
        <v>T3部件</v>
      </c>
      <c r="AP339" s="508">
        <v>1</v>
      </c>
      <c r="AQ339" s="565">
        <v>5.0000000000000001E-3</v>
      </c>
      <c r="AR339" s="170" t="e">
        <f t="shared" ca="1" si="403"/>
        <v>#VALUE!</v>
      </c>
      <c r="AS339" s="508" t="e">
        <f t="shared" ca="1" si="404"/>
        <v>#VALUE!</v>
      </c>
      <c r="AU339" s="512">
        <v>7</v>
      </c>
      <c r="AV339" s="516" t="s">
        <v>2265</v>
      </c>
      <c r="AW339" s="529" t="s">
        <v>2452</v>
      </c>
      <c r="AX339" s="508" t="str">
        <f t="shared" ca="1" si="417"/>
        <v>T2部件</v>
      </c>
      <c r="AY339" s="615">
        <v>1.5</v>
      </c>
      <c r="AZ339" s="633">
        <v>6.1999999999999998E-3</v>
      </c>
      <c r="BA339" s="170" t="e">
        <f t="shared" ca="1" si="395"/>
        <v>#VALUE!</v>
      </c>
      <c r="BB339" s="508" t="e">
        <f t="shared" ca="1" si="396"/>
        <v>#VALUE!</v>
      </c>
      <c r="BD339" s="512">
        <v>7</v>
      </c>
      <c r="BE339" s="516" t="s">
        <v>2265</v>
      </c>
      <c r="BF339" s="529" t="s">
        <v>2452</v>
      </c>
      <c r="BG339" s="508" t="str">
        <f t="shared" ca="1" si="418"/>
        <v>T2部件</v>
      </c>
      <c r="BH339" s="565">
        <v>1.5</v>
      </c>
      <c r="BI339" s="615">
        <v>6.0000000000000001E-3</v>
      </c>
      <c r="BJ339" s="170" t="e">
        <f t="shared" ca="1" si="432"/>
        <v>#VALUE!</v>
      </c>
      <c r="BK339" s="508" t="e">
        <f t="shared" ca="1" si="433"/>
        <v>#VALUE!</v>
      </c>
      <c r="BM339" s="512">
        <v>8</v>
      </c>
      <c r="BN339" s="525" t="s">
        <v>2293</v>
      </c>
      <c r="BO339" s="530" t="s">
        <v>2200</v>
      </c>
      <c r="BP339" s="508" t="str">
        <f t="shared" ca="1" si="412"/>
        <v>T3部件</v>
      </c>
      <c r="BQ339" s="615">
        <v>1.5</v>
      </c>
      <c r="BR339" s="600">
        <v>8.0000000000000002E-3</v>
      </c>
      <c r="BS339" s="170" t="e">
        <f t="shared" ca="1" si="419"/>
        <v>#VALUE!</v>
      </c>
      <c r="BT339" s="523" t="e">
        <f t="shared" ca="1" si="420"/>
        <v>#VALUE!</v>
      </c>
      <c r="BV339" s="381">
        <v>9</v>
      </c>
      <c r="BW339" s="527" t="s">
        <v>2239</v>
      </c>
      <c r="BX339" s="530" t="s">
        <v>2200</v>
      </c>
      <c r="BY339" s="523">
        <f t="shared" ref="BY339:BY370" ca="1" si="436">IF(BX339="部件",VLOOKUP(BV339,INDIRECT(BX339&amp;"价值"),MATCH(LEFT(BW339,2)&amp;"部件",INDIRECT(BX339&amp;"价值标头"),0),FALSE),IF(BX339="加速道具",VLOOKUP(BW339,INDIRECT(BX339&amp;"价值"),MATCH("价格",INDIRECT(BX339&amp;"价值标头"),0),FALSE),VLOOKUP(BV339,INDIRECT(BX339&amp;"价值"),MATCH(BW339,INDIRECT(BX339&amp;"价值标头"),0),FALSE)))</f>
        <v>8.1</v>
      </c>
      <c r="BZ339" s="573">
        <v>1.5</v>
      </c>
      <c r="CA339" s="523">
        <v>6.0000000000000001E-3</v>
      </c>
      <c r="CB339" s="170">
        <f t="shared" ref="CB339:CB371" ca="1" si="437">CA339*BW$4/BY339/BZ339</f>
        <v>2.4691358024691357E-2</v>
      </c>
      <c r="CC339" s="379">
        <f t="shared" ref="CC339:CC371" ca="1" si="438">ROUND(CB339*10000,0)</f>
        <v>247</v>
      </c>
    </row>
    <row r="340" spans="2:82" x14ac:dyDescent="0.35">
      <c r="B340" s="512">
        <v>8</v>
      </c>
      <c r="C340" s="516" t="s">
        <v>2244</v>
      </c>
      <c r="D340" s="529" t="s">
        <v>2444</v>
      </c>
      <c r="E340" s="508">
        <f t="shared" ca="1" si="423"/>
        <v>8.7750000000000004</v>
      </c>
      <c r="F340" s="625">
        <v>2.5</v>
      </c>
      <c r="G340" s="594">
        <v>7.0000000000000001E-3</v>
      </c>
      <c r="H340" s="170">
        <f t="shared" ca="1" si="434"/>
        <v>1.8746438746438745E-2</v>
      </c>
      <c r="I340" s="508">
        <f t="shared" ca="1" si="435"/>
        <v>187</v>
      </c>
      <c r="K340" s="512">
        <v>8</v>
      </c>
      <c r="L340" s="516" t="s">
        <v>2244</v>
      </c>
      <c r="M340" s="529" t="s">
        <v>2444</v>
      </c>
      <c r="N340" s="508">
        <f t="shared" ca="1" si="426"/>
        <v>8.7750000000000004</v>
      </c>
      <c r="O340" s="565">
        <v>1</v>
      </c>
      <c r="P340" s="633">
        <v>1.0999999999999999E-2</v>
      </c>
      <c r="Q340" s="170">
        <f ca="1">P340*L$4/N340/O340</f>
        <v>5.8917378917378915E-2</v>
      </c>
      <c r="R340" s="279">
        <f t="shared" ca="1" si="427"/>
        <v>589</v>
      </c>
      <c r="T340" s="512">
        <v>8</v>
      </c>
      <c r="U340" s="516" t="s">
        <v>2244</v>
      </c>
      <c r="V340" s="529" t="s">
        <v>2444</v>
      </c>
      <c r="W340" s="508">
        <f t="shared" ca="1" si="428"/>
        <v>8.7750000000000004</v>
      </c>
      <c r="X340" s="565">
        <v>1</v>
      </c>
      <c r="Y340" s="594">
        <v>1.0999999999999999E-2</v>
      </c>
      <c r="Z340" s="170">
        <f t="shared" ca="1" si="429"/>
        <v>5.9544159544159536E-2</v>
      </c>
      <c r="AA340" s="279">
        <f t="shared" ca="1" si="430"/>
        <v>595</v>
      </c>
      <c r="AL340" s="512">
        <v>7</v>
      </c>
      <c r="AM340" s="516" t="s">
        <v>2281</v>
      </c>
      <c r="AN340" s="529" t="s">
        <v>2452</v>
      </c>
      <c r="AO340" s="508" t="str">
        <f t="shared" ca="1" si="411"/>
        <v>T3部件</v>
      </c>
      <c r="AP340" s="508">
        <v>1</v>
      </c>
      <c r="AQ340" s="565">
        <v>5.0000000000000001E-3</v>
      </c>
      <c r="AR340" s="170" t="e">
        <f t="shared" ca="1" si="403"/>
        <v>#VALUE!</v>
      </c>
      <c r="AS340" s="508" t="e">
        <f t="shared" ca="1" si="404"/>
        <v>#VALUE!</v>
      </c>
      <c r="AU340" s="512">
        <v>7</v>
      </c>
      <c r="AV340" s="516" t="s">
        <v>2267</v>
      </c>
      <c r="AW340" s="529" t="s">
        <v>2452</v>
      </c>
      <c r="AX340" s="508" t="str">
        <f t="shared" ca="1" si="417"/>
        <v>T2部件</v>
      </c>
      <c r="AY340" s="615">
        <v>1.5</v>
      </c>
      <c r="AZ340" s="633">
        <v>6.1999999999999998E-3</v>
      </c>
      <c r="BA340" s="170" t="e">
        <f t="shared" ca="1" si="395"/>
        <v>#VALUE!</v>
      </c>
      <c r="BB340" s="508" t="e">
        <f t="shared" ca="1" si="396"/>
        <v>#VALUE!</v>
      </c>
      <c r="BD340" s="512">
        <v>7</v>
      </c>
      <c r="BE340" s="516" t="s">
        <v>2267</v>
      </c>
      <c r="BF340" s="529" t="s">
        <v>2452</v>
      </c>
      <c r="BG340" s="508" t="str">
        <f t="shared" ca="1" si="418"/>
        <v>T2部件</v>
      </c>
      <c r="BH340" s="565">
        <v>1.5</v>
      </c>
      <c r="BI340" s="615">
        <v>6.0000000000000001E-3</v>
      </c>
      <c r="BJ340" s="170" t="e">
        <f t="shared" ca="1" si="432"/>
        <v>#VALUE!</v>
      </c>
      <c r="BK340" s="508" t="e">
        <f t="shared" ca="1" si="433"/>
        <v>#VALUE!</v>
      </c>
      <c r="BV340" s="381">
        <v>9</v>
      </c>
      <c r="BW340" s="527" t="s">
        <v>2242</v>
      </c>
      <c r="BX340" s="530" t="s">
        <v>2200</v>
      </c>
      <c r="BY340" s="523">
        <f t="shared" ca="1" si="436"/>
        <v>8.1</v>
      </c>
      <c r="BZ340" s="665">
        <v>1.5</v>
      </c>
      <c r="CA340" s="662">
        <v>6.0000000000000001E-3</v>
      </c>
      <c r="CB340" s="170">
        <f t="shared" ca="1" si="437"/>
        <v>2.4691358024691357E-2</v>
      </c>
      <c r="CC340" s="379">
        <f t="shared" ca="1" si="438"/>
        <v>247</v>
      </c>
    </row>
    <row r="341" spans="2:82" x14ac:dyDescent="0.35">
      <c r="B341" s="512">
        <v>8</v>
      </c>
      <c r="C341" s="516" t="s">
        <v>2246</v>
      </c>
      <c r="D341" s="529" t="s">
        <v>2444</v>
      </c>
      <c r="E341" s="508">
        <f t="shared" ca="1" si="423"/>
        <v>8.7750000000000004</v>
      </c>
      <c r="F341" s="625">
        <v>2.5</v>
      </c>
      <c r="G341" s="594">
        <v>7.0000000000000001E-3</v>
      </c>
      <c r="H341" s="170">
        <f t="shared" ca="1" si="434"/>
        <v>1.8746438746438745E-2</v>
      </c>
      <c r="I341" s="508">
        <f t="shared" ca="1" si="435"/>
        <v>187</v>
      </c>
      <c r="K341" s="512">
        <v>8</v>
      </c>
      <c r="L341" s="516" t="s">
        <v>2246</v>
      </c>
      <c r="M341" s="529" t="s">
        <v>2444</v>
      </c>
      <c r="N341" s="508">
        <f t="shared" ca="1" si="426"/>
        <v>8.7750000000000004</v>
      </c>
      <c r="O341" s="565">
        <v>1</v>
      </c>
      <c r="P341" s="633">
        <v>1.0999999999999999E-2</v>
      </c>
      <c r="Q341" s="170">
        <f ca="1">P341*L$4/N341/O341</f>
        <v>5.8917378917378915E-2</v>
      </c>
      <c r="R341" s="279">
        <f t="shared" ca="1" si="427"/>
        <v>589</v>
      </c>
      <c r="T341" s="512">
        <v>8</v>
      </c>
      <c r="U341" s="516" t="s">
        <v>2246</v>
      </c>
      <c r="V341" s="529" t="s">
        <v>2444</v>
      </c>
      <c r="W341" s="508">
        <f t="shared" ca="1" si="428"/>
        <v>8.7750000000000004</v>
      </c>
      <c r="X341" s="565">
        <v>1</v>
      </c>
      <c r="Y341" s="594">
        <v>1.0999999999999999E-2</v>
      </c>
      <c r="Z341" s="170">
        <f t="shared" ca="1" si="429"/>
        <v>5.9544159544159536E-2</v>
      </c>
      <c r="AA341" s="279">
        <f t="shared" ca="1" si="430"/>
        <v>595</v>
      </c>
      <c r="AC341" s="512" t="s">
        <v>597</v>
      </c>
      <c r="AD341" s="512" t="s">
        <v>1225</v>
      </c>
      <c r="AE341" s="513" t="s">
        <v>917</v>
      </c>
      <c r="AF341" s="166" t="s">
        <v>920</v>
      </c>
      <c r="AG341" s="398" t="s">
        <v>967</v>
      </c>
      <c r="AH341" s="166" t="s">
        <v>854</v>
      </c>
      <c r="AI341" s="166" t="s">
        <v>926</v>
      </c>
      <c r="AJ341" s="281" t="s">
        <v>927</v>
      </c>
      <c r="AK341" s="300" t="e">
        <f ca="1">SUM(AJ342:AJ405)</f>
        <v>#VALUE!</v>
      </c>
      <c r="AL341" s="512">
        <v>7</v>
      </c>
      <c r="AM341" s="516" t="s">
        <v>2283</v>
      </c>
      <c r="AN341" s="529" t="s">
        <v>2452</v>
      </c>
      <c r="AO341" s="508" t="str">
        <f t="shared" ca="1" si="411"/>
        <v>T3部件</v>
      </c>
      <c r="AP341" s="508">
        <v>1</v>
      </c>
      <c r="AQ341" s="565">
        <v>5.0000000000000001E-3</v>
      </c>
      <c r="AR341" s="170" t="e">
        <f t="shared" ca="1" si="403"/>
        <v>#VALUE!</v>
      </c>
      <c r="AS341" s="508" t="e">
        <f t="shared" ca="1" si="404"/>
        <v>#VALUE!</v>
      </c>
      <c r="AU341" s="512">
        <v>7</v>
      </c>
      <c r="AV341" s="516" t="s">
        <v>2269</v>
      </c>
      <c r="AW341" s="529" t="s">
        <v>2452</v>
      </c>
      <c r="AX341" s="508" t="str">
        <f t="shared" ca="1" si="417"/>
        <v>T2部件</v>
      </c>
      <c r="AY341" s="615">
        <v>1.5</v>
      </c>
      <c r="AZ341" s="633">
        <v>6.1999999999999998E-3</v>
      </c>
      <c r="BA341" s="170" t="e">
        <f t="shared" ca="1" si="395"/>
        <v>#VALUE!</v>
      </c>
      <c r="BB341" s="508" t="e">
        <f t="shared" ca="1" si="396"/>
        <v>#VALUE!</v>
      </c>
      <c r="BD341" s="512">
        <v>7</v>
      </c>
      <c r="BE341" s="516" t="s">
        <v>2269</v>
      </c>
      <c r="BF341" s="529" t="s">
        <v>2452</v>
      </c>
      <c r="BG341" s="508" t="str">
        <f t="shared" ca="1" si="418"/>
        <v>T2部件</v>
      </c>
      <c r="BH341" s="565">
        <v>1.5</v>
      </c>
      <c r="BI341" s="615">
        <v>6.0000000000000001E-3</v>
      </c>
      <c r="BJ341" s="170" t="e">
        <f t="shared" ca="1" si="432"/>
        <v>#VALUE!</v>
      </c>
      <c r="BK341" s="508" t="e">
        <f t="shared" ca="1" si="433"/>
        <v>#VALUE!</v>
      </c>
      <c r="BV341" s="381">
        <v>9</v>
      </c>
      <c r="BW341" s="527" t="s">
        <v>2244</v>
      </c>
      <c r="BX341" s="530" t="s">
        <v>2200</v>
      </c>
      <c r="BY341" s="523">
        <f t="shared" ca="1" si="436"/>
        <v>8.1</v>
      </c>
      <c r="BZ341" s="665">
        <v>1.5</v>
      </c>
      <c r="CA341" s="662">
        <v>6.0000000000000001E-3</v>
      </c>
      <c r="CB341" s="170">
        <f t="shared" ca="1" si="437"/>
        <v>2.4691358024691357E-2</v>
      </c>
      <c r="CC341" s="379">
        <f t="shared" ca="1" si="438"/>
        <v>247</v>
      </c>
    </row>
    <row r="342" spans="2:82" x14ac:dyDescent="0.35">
      <c r="B342" s="512">
        <v>8</v>
      </c>
      <c r="C342" s="516" t="s">
        <v>2248</v>
      </c>
      <c r="D342" s="529" t="s">
        <v>2444</v>
      </c>
      <c r="E342" s="508">
        <f t="shared" ca="1" si="423"/>
        <v>8.7750000000000004</v>
      </c>
      <c r="F342" s="625">
        <v>2.5</v>
      </c>
      <c r="G342" s="594">
        <v>7.0000000000000001E-3</v>
      </c>
      <c r="H342" s="170">
        <f t="shared" ca="1" si="434"/>
        <v>1.8746438746438745E-2</v>
      </c>
      <c r="I342" s="508">
        <f t="shared" ca="1" si="435"/>
        <v>187</v>
      </c>
      <c r="K342" s="512">
        <v>8</v>
      </c>
      <c r="L342" s="516" t="s">
        <v>2248</v>
      </c>
      <c r="M342" s="529" t="s">
        <v>2444</v>
      </c>
      <c r="N342" s="508">
        <f t="shared" ca="1" si="426"/>
        <v>8.7750000000000004</v>
      </c>
      <c r="O342" s="565">
        <v>1</v>
      </c>
      <c r="P342" s="633">
        <v>1.0999999999999999E-2</v>
      </c>
      <c r="Q342" s="170">
        <f ca="1">P342*L$4/N342/O342</f>
        <v>5.8917378917378915E-2</v>
      </c>
      <c r="R342" s="279">
        <f t="shared" ca="1" si="427"/>
        <v>589</v>
      </c>
      <c r="T342" s="512">
        <v>8</v>
      </c>
      <c r="U342" s="516" t="s">
        <v>2248</v>
      </c>
      <c r="V342" s="529" t="s">
        <v>2444</v>
      </c>
      <c r="W342" s="508">
        <f t="shared" ca="1" si="428"/>
        <v>8.7750000000000004</v>
      </c>
      <c r="X342" s="565">
        <v>1</v>
      </c>
      <c r="Y342" s="594">
        <v>1.0999999999999999E-2</v>
      </c>
      <c r="Z342" s="170">
        <f t="shared" ca="1" si="429"/>
        <v>5.9544159544159536E-2</v>
      </c>
      <c r="AA342" s="279">
        <f t="shared" ca="1" si="430"/>
        <v>595</v>
      </c>
      <c r="AC342" s="512">
        <v>8</v>
      </c>
      <c r="AD342" s="516" t="s">
        <v>619</v>
      </c>
      <c r="AE342" s="512" t="s">
        <v>1211</v>
      </c>
      <c r="AF342" s="508">
        <f t="shared" ref="AF342:AF373" ca="1" si="439">IF(AE342="部件",VLOOKUP(AC342,INDIRECT(AE342&amp;"价值"),MATCH(LEFT(AD342,2)&amp;"部件",INDIRECT(AE342&amp;"价值标头"),0),FALSE),IF(AE342="加速道具",VLOOKUP(AD342,INDIRECT(AE342&amp;"价值"),MATCH("价格",INDIRECT(AE342&amp;"价值标头"),0),FALSE),VLOOKUP(AC342,INDIRECT(AE342&amp;"价值"),MATCH(AD342,INDIRECT(AE342&amp;"价值标头"),0),FALSE)))</f>
        <v>66</v>
      </c>
      <c r="AG342" s="394">
        <v>1.5</v>
      </c>
      <c r="AH342" s="508">
        <f>宝箱设定!$X143</f>
        <v>0.10219999999999999</v>
      </c>
      <c r="AI342" s="170">
        <f t="shared" ref="AI342:AI355" ca="1" si="440">AH342*AD$4/AF342/AG342</f>
        <v>6.606868686868686E-2</v>
      </c>
      <c r="AJ342" s="279">
        <f t="shared" ref="AJ342:AJ355" ca="1" si="441">ROUND(AI342*10000,0)</f>
        <v>661</v>
      </c>
      <c r="AL342" s="512">
        <v>7</v>
      </c>
      <c r="AM342" s="516" t="s">
        <v>2285</v>
      </c>
      <c r="AN342" s="529" t="s">
        <v>2452</v>
      </c>
      <c r="AO342" s="508" t="str">
        <f t="shared" ca="1" si="411"/>
        <v>T3部件</v>
      </c>
      <c r="AP342" s="508">
        <v>1</v>
      </c>
      <c r="AQ342" s="565">
        <v>5.0000000000000001E-3</v>
      </c>
      <c r="AR342" s="170" t="e">
        <f t="shared" ca="1" si="403"/>
        <v>#VALUE!</v>
      </c>
      <c r="AS342" s="508" t="e">
        <f t="shared" ca="1" si="404"/>
        <v>#VALUE!</v>
      </c>
      <c r="AU342" s="512">
        <v>7</v>
      </c>
      <c r="AV342" s="516" t="s">
        <v>2271</v>
      </c>
      <c r="AW342" s="529" t="s">
        <v>2452</v>
      </c>
      <c r="AX342" s="508" t="str">
        <f t="shared" ca="1" si="417"/>
        <v>T2部件</v>
      </c>
      <c r="AY342" s="615">
        <v>1.5</v>
      </c>
      <c r="AZ342" s="633">
        <v>6.1999999999999998E-3</v>
      </c>
      <c r="BA342" s="170" t="e">
        <f t="shared" ca="1" si="395"/>
        <v>#VALUE!</v>
      </c>
      <c r="BB342" s="508" t="e">
        <f t="shared" ca="1" si="396"/>
        <v>#VALUE!</v>
      </c>
      <c r="BD342" s="512">
        <v>7</v>
      </c>
      <c r="BE342" s="516" t="s">
        <v>2271</v>
      </c>
      <c r="BF342" s="529" t="s">
        <v>2452</v>
      </c>
      <c r="BG342" s="508" t="str">
        <f t="shared" ca="1" si="418"/>
        <v>T2部件</v>
      </c>
      <c r="BH342" s="565">
        <v>1.5</v>
      </c>
      <c r="BI342" s="615">
        <v>6.0000000000000001E-3</v>
      </c>
      <c r="BJ342" s="170" t="e">
        <f t="shared" ca="1" si="432"/>
        <v>#VALUE!</v>
      </c>
      <c r="BK342" s="508" t="e">
        <f t="shared" ca="1" si="433"/>
        <v>#VALUE!</v>
      </c>
      <c r="BM342" s="512" t="s">
        <v>597</v>
      </c>
      <c r="BN342" s="525" t="s">
        <v>1225</v>
      </c>
      <c r="BO342" s="526" t="s">
        <v>917</v>
      </c>
      <c r="BP342" s="166" t="s">
        <v>920</v>
      </c>
      <c r="BQ342" s="518" t="s">
        <v>967</v>
      </c>
      <c r="BR342" s="166" t="s">
        <v>854</v>
      </c>
      <c r="BS342" s="166" t="s">
        <v>926</v>
      </c>
      <c r="BT342" s="514" t="s">
        <v>927</v>
      </c>
      <c r="BU342" s="300" t="e">
        <f ca="1">SUM(BT343:BT401)</f>
        <v>#VALUE!</v>
      </c>
      <c r="BV342" s="381">
        <v>9</v>
      </c>
      <c r="BW342" s="527" t="s">
        <v>2246</v>
      </c>
      <c r="BX342" s="530" t="s">
        <v>2200</v>
      </c>
      <c r="BY342" s="523">
        <f t="shared" ca="1" si="436"/>
        <v>8.1</v>
      </c>
      <c r="BZ342" s="665">
        <v>1.5</v>
      </c>
      <c r="CA342" s="662">
        <v>6.0000000000000001E-3</v>
      </c>
      <c r="CB342" s="170">
        <f t="shared" ca="1" si="437"/>
        <v>2.4691358024691357E-2</v>
      </c>
      <c r="CC342" s="379">
        <f t="shared" ca="1" si="438"/>
        <v>247</v>
      </c>
    </row>
    <row r="343" spans="2:82" x14ac:dyDescent="0.35">
      <c r="B343" s="512">
        <v>8</v>
      </c>
      <c r="C343" s="516" t="s">
        <v>2250</v>
      </c>
      <c r="D343" s="529" t="s">
        <v>2444</v>
      </c>
      <c r="E343" s="508">
        <f t="shared" ca="1" si="423"/>
        <v>8.7750000000000004</v>
      </c>
      <c r="F343" s="625">
        <v>2.5</v>
      </c>
      <c r="G343" s="594">
        <v>7.0000000000000001E-3</v>
      </c>
      <c r="H343" s="170">
        <f t="shared" ca="1" si="434"/>
        <v>1.8746438746438745E-2</v>
      </c>
      <c r="I343" s="508">
        <f t="shared" ca="1" si="435"/>
        <v>187</v>
      </c>
      <c r="K343" s="512">
        <v>8</v>
      </c>
      <c r="L343" s="516" t="s">
        <v>2250</v>
      </c>
      <c r="M343" s="529" t="s">
        <v>2444</v>
      </c>
      <c r="N343" s="508">
        <f t="shared" ca="1" si="426"/>
        <v>8.7750000000000004</v>
      </c>
      <c r="O343" s="565">
        <v>1</v>
      </c>
      <c r="P343" s="633">
        <v>1.0999999999999999E-2</v>
      </c>
      <c r="Q343" s="170">
        <f ca="1">P343*L$4/N343/O343</f>
        <v>5.8917378917378915E-2</v>
      </c>
      <c r="R343" s="394">
        <f t="shared" ca="1" si="427"/>
        <v>589</v>
      </c>
      <c r="T343" s="512">
        <v>8</v>
      </c>
      <c r="U343" s="516" t="s">
        <v>2250</v>
      </c>
      <c r="V343" s="529" t="s">
        <v>2444</v>
      </c>
      <c r="W343" s="508">
        <f t="shared" ca="1" si="428"/>
        <v>8.7750000000000004</v>
      </c>
      <c r="X343" s="565">
        <v>1</v>
      </c>
      <c r="Y343" s="594">
        <v>1.0999999999999999E-2</v>
      </c>
      <c r="Z343" s="170">
        <f t="shared" ca="1" si="429"/>
        <v>5.9544159544159536E-2</v>
      </c>
      <c r="AA343" s="394">
        <f t="shared" ca="1" si="430"/>
        <v>595</v>
      </c>
      <c r="AC343" s="512">
        <v>8</v>
      </c>
      <c r="AD343" s="516" t="s">
        <v>718</v>
      </c>
      <c r="AE343" s="512" t="s">
        <v>1211</v>
      </c>
      <c r="AF343" s="508">
        <f t="shared" ca="1" si="439"/>
        <v>66</v>
      </c>
      <c r="AG343" s="565">
        <v>1.5</v>
      </c>
      <c r="AH343" s="508">
        <f>宝箱设定!$X144</f>
        <v>0.10219999999999999</v>
      </c>
      <c r="AI343" s="170">
        <f t="shared" ca="1" si="440"/>
        <v>6.606868686868686E-2</v>
      </c>
      <c r="AJ343" s="279">
        <f t="shared" ca="1" si="441"/>
        <v>661</v>
      </c>
      <c r="AL343" s="512">
        <v>7</v>
      </c>
      <c r="AM343" s="516" t="s">
        <v>2287</v>
      </c>
      <c r="AN343" s="529" t="s">
        <v>2452</v>
      </c>
      <c r="AO343" s="508" t="str">
        <f t="shared" ca="1" si="411"/>
        <v>T3部件</v>
      </c>
      <c r="AP343" s="508">
        <v>1</v>
      </c>
      <c r="AQ343" s="565">
        <v>5.0000000000000001E-3</v>
      </c>
      <c r="AR343" s="170" t="e">
        <f t="shared" ca="1" si="403"/>
        <v>#VALUE!</v>
      </c>
      <c r="AS343" s="508" t="e">
        <f t="shared" ca="1" si="404"/>
        <v>#VALUE!</v>
      </c>
      <c r="AU343" s="512">
        <v>7</v>
      </c>
      <c r="AV343" s="512" t="s">
        <v>2273</v>
      </c>
      <c r="AW343" s="529" t="s">
        <v>2452</v>
      </c>
      <c r="AX343" s="508" t="str">
        <f t="shared" ca="1" si="417"/>
        <v>T2部件</v>
      </c>
      <c r="AY343" s="615">
        <v>1.5</v>
      </c>
      <c r="AZ343" s="633">
        <v>6.1999999999999998E-3</v>
      </c>
      <c r="BA343" s="170" t="e">
        <f t="shared" ca="1" si="395"/>
        <v>#VALUE!</v>
      </c>
      <c r="BB343" s="508" t="e">
        <f t="shared" ca="1" si="396"/>
        <v>#VALUE!</v>
      </c>
      <c r="BD343" s="512">
        <v>7</v>
      </c>
      <c r="BE343" s="512" t="s">
        <v>2273</v>
      </c>
      <c r="BF343" s="529" t="s">
        <v>2452</v>
      </c>
      <c r="BG343" s="508" t="str">
        <f t="shared" ca="1" si="418"/>
        <v>T2部件</v>
      </c>
      <c r="BH343" s="565">
        <v>1.5</v>
      </c>
      <c r="BI343" s="615">
        <v>6.0000000000000001E-3</v>
      </c>
      <c r="BJ343" s="170" t="e">
        <f t="shared" ca="1" si="432"/>
        <v>#VALUE!</v>
      </c>
      <c r="BK343" s="508" t="e">
        <f t="shared" ca="1" si="433"/>
        <v>#VALUE!</v>
      </c>
      <c r="BM343" s="512">
        <v>9</v>
      </c>
      <c r="BN343" s="527" t="s">
        <v>620</v>
      </c>
      <c r="BO343" s="295" t="s">
        <v>918</v>
      </c>
      <c r="BP343" s="508">
        <f t="shared" ref="BP343:BP374" ca="1" si="442">IF(BO343="部件",VLOOKUP(BM343,INDIRECT(BO343&amp;"价值"),MATCH(LEFT(BN343,2)&amp;"部件",INDIRECT(BO343&amp;"价值标头"),0),FALSE),IF(BO343="加速道具",VLOOKUP(BN343,INDIRECT(BO343&amp;"价值"),MATCH("价格",INDIRECT(BO343&amp;"价值标头"),0),FALSE),VLOOKUP(BM343,INDIRECT(BO343&amp;"价值"),MATCH(BN343,INDIRECT(BO343&amp;"价值标头"),0),FALSE)))</f>
        <v>4800</v>
      </c>
      <c r="BQ343" s="508">
        <v>1</v>
      </c>
      <c r="BR343" s="523">
        <f>宝箱设定!$P192</f>
        <v>5.1799999999999992E-2</v>
      </c>
      <c r="BS343" s="170">
        <f t="shared" ref="BS343:BS396" ca="1" si="443">BR343*BN$4/BP343/BQ343</f>
        <v>3.5612499999999993E-3</v>
      </c>
      <c r="BT343" s="508">
        <f t="shared" ref="BT343:BT396" ca="1" si="444">ROUND(BS343*10000,0)</f>
        <v>36</v>
      </c>
      <c r="BV343" s="381">
        <v>9</v>
      </c>
      <c r="BW343" s="527" t="s">
        <v>2248</v>
      </c>
      <c r="BX343" s="530" t="s">
        <v>2200</v>
      </c>
      <c r="BY343" s="523">
        <f t="shared" ca="1" si="436"/>
        <v>8.1</v>
      </c>
      <c r="BZ343" s="665">
        <v>1.5</v>
      </c>
      <c r="CA343" s="662">
        <v>6.0000000000000001E-3</v>
      </c>
      <c r="CB343" s="170">
        <f t="shared" ca="1" si="437"/>
        <v>2.4691358024691357E-2</v>
      </c>
      <c r="CC343" s="379">
        <f t="shared" ca="1" si="438"/>
        <v>247</v>
      </c>
    </row>
    <row r="344" spans="2:82" x14ac:dyDescent="0.35">
      <c r="B344" s="512">
        <v>8</v>
      </c>
      <c r="C344" s="516" t="s">
        <v>2252</v>
      </c>
      <c r="D344" s="529" t="s">
        <v>2444</v>
      </c>
      <c r="E344" s="508">
        <f t="shared" ca="1" si="423"/>
        <v>8.7750000000000004</v>
      </c>
      <c r="F344" s="625">
        <v>2.5</v>
      </c>
      <c r="G344" s="594">
        <v>7.0000000000000001E-3</v>
      </c>
      <c r="H344" s="170">
        <f t="shared" ca="1" si="434"/>
        <v>1.8746438746438745E-2</v>
      </c>
      <c r="I344" s="508">
        <f t="shared" ca="1" si="435"/>
        <v>187</v>
      </c>
      <c r="K344" s="512">
        <v>8</v>
      </c>
      <c r="L344" s="516" t="s">
        <v>2252</v>
      </c>
      <c r="M344" s="529" t="s">
        <v>2444</v>
      </c>
      <c r="N344" s="508">
        <f t="shared" ca="1" si="426"/>
        <v>8.7750000000000004</v>
      </c>
      <c r="O344" s="565">
        <v>1</v>
      </c>
      <c r="P344" s="633">
        <v>1.0999999999999999E-2</v>
      </c>
      <c r="Q344" s="170">
        <f t="shared" ref="Q344:Q391" ca="1" si="445">P344*L$4/N344/O344</f>
        <v>5.8917378917378915E-2</v>
      </c>
      <c r="R344" s="508">
        <f t="shared" ref="R344:R391" ca="1" si="446">ROUND(Q344*10000,0)</f>
        <v>589</v>
      </c>
      <c r="T344" s="512">
        <v>8</v>
      </c>
      <c r="U344" s="516" t="s">
        <v>2252</v>
      </c>
      <c r="V344" s="529" t="s">
        <v>2444</v>
      </c>
      <c r="W344" s="508">
        <f t="shared" ca="1" si="428"/>
        <v>8.7750000000000004</v>
      </c>
      <c r="X344" s="565">
        <v>1</v>
      </c>
      <c r="Y344" s="594">
        <v>1.0999999999999999E-2</v>
      </c>
      <c r="Z344" s="170">
        <f t="shared" ref="Z344:Z391" ca="1" si="447">Y344*U$4/W344/X344</f>
        <v>5.9544159544159536E-2</v>
      </c>
      <c r="AA344" s="508">
        <f t="shared" ref="AA344:AA391" ca="1" si="448">ROUND(Z344*10000,0)</f>
        <v>595</v>
      </c>
      <c r="AC344" s="512">
        <v>8</v>
      </c>
      <c r="AD344" s="516" t="s">
        <v>632</v>
      </c>
      <c r="AE344" s="512" t="s">
        <v>1211</v>
      </c>
      <c r="AF344" s="508">
        <f t="shared" ca="1" si="439"/>
        <v>66</v>
      </c>
      <c r="AG344" s="565">
        <v>1.5</v>
      </c>
      <c r="AH344" s="508">
        <f>宝箱设定!$X145</f>
        <v>0.10219999999999999</v>
      </c>
      <c r="AI344" s="170">
        <f t="shared" ca="1" si="440"/>
        <v>6.606868686868686E-2</v>
      </c>
      <c r="AJ344" s="279">
        <f t="shared" ca="1" si="441"/>
        <v>661</v>
      </c>
      <c r="AL344" s="512">
        <v>7</v>
      </c>
      <c r="AM344" s="516" t="s">
        <v>2289</v>
      </c>
      <c r="AN344" s="529" t="s">
        <v>2452</v>
      </c>
      <c r="AO344" s="508" t="str">
        <f t="shared" ca="1" si="411"/>
        <v>T3部件</v>
      </c>
      <c r="AP344" s="508">
        <v>1</v>
      </c>
      <c r="AQ344" s="565">
        <v>5.0000000000000001E-3</v>
      </c>
      <c r="AR344" s="170" t="e">
        <f t="shared" ca="1" si="403"/>
        <v>#VALUE!</v>
      </c>
      <c r="AS344" s="508" t="e">
        <f t="shared" ca="1" si="404"/>
        <v>#VALUE!</v>
      </c>
      <c r="AU344" s="512">
        <v>7</v>
      </c>
      <c r="AV344" s="512" t="s">
        <v>2275</v>
      </c>
      <c r="AW344" s="529" t="s">
        <v>2452</v>
      </c>
      <c r="AX344" s="508" t="str">
        <f t="shared" ca="1" si="417"/>
        <v>T2部件</v>
      </c>
      <c r="AY344" s="615">
        <v>1.5</v>
      </c>
      <c r="AZ344" s="633">
        <v>6.1999999999999998E-3</v>
      </c>
      <c r="BA344" s="170" t="e">
        <f t="shared" ca="1" si="395"/>
        <v>#VALUE!</v>
      </c>
      <c r="BB344" s="508" t="e">
        <f t="shared" ca="1" si="396"/>
        <v>#VALUE!</v>
      </c>
      <c r="BD344" s="512">
        <v>7</v>
      </c>
      <c r="BE344" s="512" t="s">
        <v>2275</v>
      </c>
      <c r="BF344" s="529" t="s">
        <v>2452</v>
      </c>
      <c r="BG344" s="508" t="str">
        <f t="shared" ca="1" si="418"/>
        <v>T2部件</v>
      </c>
      <c r="BH344" s="565">
        <v>1.5</v>
      </c>
      <c r="BI344" s="615">
        <v>6.0000000000000001E-3</v>
      </c>
      <c r="BJ344" s="170" t="e">
        <f t="shared" ca="1" si="432"/>
        <v>#VALUE!</v>
      </c>
      <c r="BK344" s="508" t="e">
        <f t="shared" ca="1" si="433"/>
        <v>#VALUE!</v>
      </c>
      <c r="BM344" s="512">
        <v>9</v>
      </c>
      <c r="BN344" s="527" t="s">
        <v>719</v>
      </c>
      <c r="BO344" s="295" t="s">
        <v>918</v>
      </c>
      <c r="BP344" s="508">
        <f t="shared" ca="1" si="442"/>
        <v>4800</v>
      </c>
      <c r="BQ344" s="508">
        <v>1</v>
      </c>
      <c r="BR344" s="523">
        <f>宝箱设定!$P193</f>
        <v>5.1799999999999992E-2</v>
      </c>
      <c r="BS344" s="170">
        <f t="shared" ca="1" si="443"/>
        <v>3.5612499999999993E-3</v>
      </c>
      <c r="BT344" s="508">
        <f t="shared" ca="1" si="444"/>
        <v>36</v>
      </c>
      <c r="BV344" s="381">
        <v>9</v>
      </c>
      <c r="BW344" s="527" t="s">
        <v>2250</v>
      </c>
      <c r="BX344" s="530" t="s">
        <v>2200</v>
      </c>
      <c r="BY344" s="523">
        <f t="shared" ca="1" si="436"/>
        <v>8.1</v>
      </c>
      <c r="BZ344" s="665">
        <v>1.5</v>
      </c>
      <c r="CA344" s="662">
        <v>6.0000000000000001E-3</v>
      </c>
      <c r="CB344" s="170">
        <f t="shared" ca="1" si="437"/>
        <v>2.4691358024691357E-2</v>
      </c>
      <c r="CC344" s="379">
        <f t="shared" ca="1" si="438"/>
        <v>247</v>
      </c>
    </row>
    <row r="345" spans="2:82" x14ac:dyDescent="0.35">
      <c r="B345" s="512">
        <v>8</v>
      </c>
      <c r="C345" s="512" t="s">
        <v>2254</v>
      </c>
      <c r="D345" s="529" t="s">
        <v>2444</v>
      </c>
      <c r="E345" s="508">
        <f t="shared" ca="1" si="423"/>
        <v>8.7750000000000004</v>
      </c>
      <c r="F345" s="625">
        <v>2.5</v>
      </c>
      <c r="G345" s="594">
        <v>7.0000000000000001E-3</v>
      </c>
      <c r="H345" s="170">
        <f t="shared" ca="1" si="434"/>
        <v>1.8746438746438745E-2</v>
      </c>
      <c r="I345" s="508">
        <f t="shared" ca="1" si="435"/>
        <v>187</v>
      </c>
      <c r="K345" s="512">
        <v>8</v>
      </c>
      <c r="L345" s="512" t="s">
        <v>2254</v>
      </c>
      <c r="M345" s="529" t="s">
        <v>2444</v>
      </c>
      <c r="N345" s="508">
        <f t="shared" ca="1" si="426"/>
        <v>8.7750000000000004</v>
      </c>
      <c r="O345" s="565">
        <v>1</v>
      </c>
      <c r="P345" s="633">
        <v>1.0999999999999999E-2</v>
      </c>
      <c r="Q345" s="170">
        <f t="shared" ca="1" si="445"/>
        <v>5.8917378917378915E-2</v>
      </c>
      <c r="R345" s="508">
        <f t="shared" ca="1" si="446"/>
        <v>589</v>
      </c>
      <c r="T345" s="512">
        <v>8</v>
      </c>
      <c r="U345" s="512" t="s">
        <v>2254</v>
      </c>
      <c r="V345" s="529" t="s">
        <v>2444</v>
      </c>
      <c r="W345" s="508">
        <f t="shared" ca="1" si="428"/>
        <v>8.7750000000000004</v>
      </c>
      <c r="X345" s="565">
        <v>1</v>
      </c>
      <c r="Y345" s="594">
        <v>1.0999999999999999E-2</v>
      </c>
      <c r="Z345" s="170">
        <f t="shared" ca="1" si="447"/>
        <v>5.9544159544159536E-2</v>
      </c>
      <c r="AA345" s="508">
        <f t="shared" ca="1" si="448"/>
        <v>595</v>
      </c>
      <c r="AC345" s="512">
        <v>8</v>
      </c>
      <c r="AD345" s="516" t="s">
        <v>620</v>
      </c>
      <c r="AE345" s="512" t="s">
        <v>1211</v>
      </c>
      <c r="AF345" s="508">
        <f t="shared" ca="1" si="439"/>
        <v>100</v>
      </c>
      <c r="AG345" s="565">
        <v>1</v>
      </c>
      <c r="AH345" s="508">
        <f>宝箱设定!$X146</f>
        <v>7.007999999999999E-2</v>
      </c>
      <c r="AI345" s="170">
        <f t="shared" ca="1" si="440"/>
        <v>4.4851199999999994E-2</v>
      </c>
      <c r="AJ345" s="408">
        <f t="shared" ca="1" si="441"/>
        <v>449</v>
      </c>
      <c r="AL345" s="512">
        <v>7</v>
      </c>
      <c r="AM345" s="512" t="s">
        <v>2291</v>
      </c>
      <c r="AN345" s="529" t="s">
        <v>2452</v>
      </c>
      <c r="AO345" s="508" t="str">
        <f t="shared" ca="1" si="411"/>
        <v>T3部件</v>
      </c>
      <c r="AP345" s="508">
        <v>1</v>
      </c>
      <c r="AQ345" s="565">
        <v>5.0000000000000001E-3</v>
      </c>
      <c r="AR345" s="170" t="e">
        <f t="shared" ca="1" si="403"/>
        <v>#VALUE!</v>
      </c>
      <c r="AS345" s="508" t="e">
        <f t="shared" ca="1" si="404"/>
        <v>#VALUE!</v>
      </c>
      <c r="AU345" s="512">
        <v>7</v>
      </c>
      <c r="AV345" s="516" t="s">
        <v>2276</v>
      </c>
      <c r="AW345" s="529" t="s">
        <v>2452</v>
      </c>
      <c r="AX345" s="508" t="str">
        <f t="shared" ca="1" si="417"/>
        <v>T3部件</v>
      </c>
      <c r="AY345" s="565">
        <v>1</v>
      </c>
      <c r="AZ345" s="633">
        <v>6.0000000000000001E-3</v>
      </c>
      <c r="BA345" s="170" t="e">
        <f t="shared" ca="1" si="395"/>
        <v>#VALUE!</v>
      </c>
      <c r="BB345" s="508" t="e">
        <f t="shared" ca="1" si="396"/>
        <v>#VALUE!</v>
      </c>
      <c r="BD345" s="512">
        <v>7</v>
      </c>
      <c r="BE345" s="516" t="s">
        <v>2276</v>
      </c>
      <c r="BF345" s="529" t="s">
        <v>2452</v>
      </c>
      <c r="BG345" s="508" t="str">
        <f t="shared" ca="1" si="418"/>
        <v>T3部件</v>
      </c>
      <c r="BH345" s="508">
        <v>1</v>
      </c>
      <c r="BI345" s="615">
        <v>6.6E-3</v>
      </c>
      <c r="BJ345" s="170" t="e">
        <f t="shared" ca="1" si="432"/>
        <v>#VALUE!</v>
      </c>
      <c r="BK345" s="508" t="e">
        <f t="shared" ca="1" si="433"/>
        <v>#VALUE!</v>
      </c>
      <c r="BM345" s="512">
        <v>9</v>
      </c>
      <c r="BN345" s="527" t="s">
        <v>635</v>
      </c>
      <c r="BO345" s="295" t="s">
        <v>918</v>
      </c>
      <c r="BP345" s="508">
        <f t="shared" ca="1" si="442"/>
        <v>4800</v>
      </c>
      <c r="BQ345" s="508">
        <v>1</v>
      </c>
      <c r="BR345" s="523">
        <f>宝箱设定!$P194</f>
        <v>5.1799999999999992E-2</v>
      </c>
      <c r="BS345" s="170">
        <f t="shared" ca="1" si="443"/>
        <v>3.5612499999999993E-3</v>
      </c>
      <c r="BT345" s="508">
        <f t="shared" ca="1" si="444"/>
        <v>36</v>
      </c>
      <c r="BV345" s="381">
        <v>9</v>
      </c>
      <c r="BW345" s="527" t="s">
        <v>2252</v>
      </c>
      <c r="BX345" s="530" t="s">
        <v>2200</v>
      </c>
      <c r="BY345" s="523">
        <f t="shared" ca="1" si="436"/>
        <v>8.1</v>
      </c>
      <c r="BZ345" s="665">
        <v>1.5</v>
      </c>
      <c r="CA345" s="662">
        <v>6.0000000000000001E-3</v>
      </c>
      <c r="CB345" s="170">
        <f t="shared" ca="1" si="437"/>
        <v>2.4691358024691357E-2</v>
      </c>
      <c r="CC345" s="379">
        <f t="shared" ca="1" si="438"/>
        <v>247</v>
      </c>
    </row>
    <row r="346" spans="2:82" x14ac:dyDescent="0.35">
      <c r="B346" s="512">
        <v>8</v>
      </c>
      <c r="C346" s="512" t="s">
        <v>2256</v>
      </c>
      <c r="D346" s="529" t="s">
        <v>2444</v>
      </c>
      <c r="E346" s="508">
        <f t="shared" ca="1" si="423"/>
        <v>8.7750000000000004</v>
      </c>
      <c r="F346" s="625">
        <v>2.5</v>
      </c>
      <c r="G346" s="594">
        <v>7.0000000000000001E-3</v>
      </c>
      <c r="H346" s="170">
        <f t="shared" ca="1" si="434"/>
        <v>1.8746438746438745E-2</v>
      </c>
      <c r="I346" s="508">
        <f t="shared" ca="1" si="435"/>
        <v>187</v>
      </c>
      <c r="K346" s="512">
        <v>8</v>
      </c>
      <c r="L346" s="512" t="s">
        <v>2256</v>
      </c>
      <c r="M346" s="529" t="s">
        <v>2444</v>
      </c>
      <c r="N346" s="508">
        <f t="shared" ca="1" si="426"/>
        <v>8.7750000000000004</v>
      </c>
      <c r="O346" s="565">
        <v>1</v>
      </c>
      <c r="P346" s="633">
        <v>1.0999999999999999E-2</v>
      </c>
      <c r="Q346" s="170">
        <f t="shared" ca="1" si="445"/>
        <v>5.8917378917378915E-2</v>
      </c>
      <c r="R346" s="508">
        <f t="shared" ca="1" si="446"/>
        <v>589</v>
      </c>
      <c r="T346" s="512">
        <v>8</v>
      </c>
      <c r="U346" s="512" t="s">
        <v>2256</v>
      </c>
      <c r="V346" s="529" t="s">
        <v>2444</v>
      </c>
      <c r="W346" s="508">
        <f t="shared" ca="1" si="428"/>
        <v>8.7750000000000004</v>
      </c>
      <c r="X346" s="565">
        <v>1</v>
      </c>
      <c r="Y346" s="594">
        <v>1.0999999999999999E-2</v>
      </c>
      <c r="Z346" s="170">
        <f t="shared" ca="1" si="447"/>
        <v>5.9544159544159536E-2</v>
      </c>
      <c r="AA346" s="508">
        <f t="shared" ca="1" si="448"/>
        <v>595</v>
      </c>
      <c r="AC346" s="512">
        <v>8</v>
      </c>
      <c r="AD346" s="516" t="s">
        <v>719</v>
      </c>
      <c r="AE346" s="512" t="s">
        <v>1211</v>
      </c>
      <c r="AF346" s="508">
        <f t="shared" ca="1" si="439"/>
        <v>100</v>
      </c>
      <c r="AG346" s="565">
        <v>1</v>
      </c>
      <c r="AH346" s="508">
        <f>宝箱设定!$X147</f>
        <v>7.007999999999999E-2</v>
      </c>
      <c r="AI346" s="170">
        <f t="shared" ca="1" si="440"/>
        <v>4.4851199999999994E-2</v>
      </c>
      <c r="AJ346" s="408">
        <f t="shared" ca="1" si="441"/>
        <v>449</v>
      </c>
      <c r="AL346" s="512">
        <v>7</v>
      </c>
      <c r="AM346" s="512" t="s">
        <v>2293</v>
      </c>
      <c r="AN346" s="529" t="s">
        <v>2452</v>
      </c>
      <c r="AO346" s="508" t="str">
        <f t="shared" ca="1" si="411"/>
        <v>T3部件</v>
      </c>
      <c r="AP346" s="508">
        <v>1</v>
      </c>
      <c r="AQ346" s="565">
        <v>5.0000000000000001E-3</v>
      </c>
      <c r="AR346" s="170" t="e">
        <f t="shared" ca="1" si="403"/>
        <v>#VALUE!</v>
      </c>
      <c r="AS346" s="508" t="e">
        <f t="shared" ca="1" si="404"/>
        <v>#VALUE!</v>
      </c>
      <c r="AU346" s="512">
        <v>7</v>
      </c>
      <c r="AV346" s="516" t="s">
        <v>2278</v>
      </c>
      <c r="AW346" s="529" t="s">
        <v>2452</v>
      </c>
      <c r="AX346" s="508" t="str">
        <f t="shared" ca="1" si="417"/>
        <v>T3部件</v>
      </c>
      <c r="AY346" s="565">
        <v>1</v>
      </c>
      <c r="AZ346" s="633">
        <v>6.0000000000000001E-3</v>
      </c>
      <c r="BA346" s="170" t="e">
        <f t="shared" ca="1" si="395"/>
        <v>#VALUE!</v>
      </c>
      <c r="BB346" s="508" t="e">
        <f t="shared" ca="1" si="396"/>
        <v>#VALUE!</v>
      </c>
      <c r="BD346" s="512">
        <v>7</v>
      </c>
      <c r="BE346" s="516" t="s">
        <v>2278</v>
      </c>
      <c r="BF346" s="529" t="s">
        <v>2452</v>
      </c>
      <c r="BG346" s="508" t="str">
        <f t="shared" ca="1" si="418"/>
        <v>T3部件</v>
      </c>
      <c r="BH346" s="565">
        <v>1</v>
      </c>
      <c r="BI346" s="615">
        <v>6.6E-3</v>
      </c>
      <c r="BJ346" s="170" t="e">
        <f t="shared" ca="1" si="432"/>
        <v>#VALUE!</v>
      </c>
      <c r="BK346" s="508" t="e">
        <f t="shared" ca="1" si="433"/>
        <v>#VALUE!</v>
      </c>
      <c r="BM346" s="512">
        <v>9</v>
      </c>
      <c r="BN346" s="527" t="s">
        <v>717</v>
      </c>
      <c r="BO346" s="295" t="s">
        <v>918</v>
      </c>
      <c r="BP346" s="508">
        <f t="shared" ca="1" si="442"/>
        <v>6000</v>
      </c>
      <c r="BQ346" s="508">
        <v>1</v>
      </c>
      <c r="BR346" s="523">
        <f>宝箱设定!$P195</f>
        <v>5.1799999999999992E-2</v>
      </c>
      <c r="BS346" s="170">
        <f t="shared" ca="1" si="443"/>
        <v>2.8489999999999995E-3</v>
      </c>
      <c r="BT346" s="508">
        <f t="shared" ca="1" si="444"/>
        <v>28</v>
      </c>
      <c r="BV346" s="381">
        <v>9</v>
      </c>
      <c r="BW346" s="525" t="s">
        <v>2254</v>
      </c>
      <c r="BX346" s="530" t="s">
        <v>2200</v>
      </c>
      <c r="BY346" s="523">
        <f t="shared" ca="1" si="436"/>
        <v>8.1</v>
      </c>
      <c r="BZ346" s="665">
        <v>1.5</v>
      </c>
      <c r="CA346" s="662">
        <v>6.0000000000000001E-3</v>
      </c>
      <c r="CB346" s="170">
        <f t="shared" ca="1" si="437"/>
        <v>2.4691358024691357E-2</v>
      </c>
      <c r="CC346" s="379">
        <f t="shared" ca="1" si="438"/>
        <v>247</v>
      </c>
    </row>
    <row r="347" spans="2:82" x14ac:dyDescent="0.35">
      <c r="B347" s="512">
        <v>8</v>
      </c>
      <c r="C347" s="516" t="s">
        <v>2241</v>
      </c>
      <c r="D347" s="529" t="s">
        <v>2444</v>
      </c>
      <c r="E347" s="508">
        <f t="shared" ca="1" si="423"/>
        <v>8.7750000000000004</v>
      </c>
      <c r="F347" s="625">
        <v>2.5</v>
      </c>
      <c r="G347" s="594">
        <v>7.0000000000000001E-3</v>
      </c>
      <c r="H347" s="170">
        <f t="shared" ca="1" si="434"/>
        <v>1.8746438746438745E-2</v>
      </c>
      <c r="I347" s="508">
        <f t="shared" ca="1" si="435"/>
        <v>187</v>
      </c>
      <c r="K347" s="512">
        <v>8</v>
      </c>
      <c r="L347" s="516" t="s">
        <v>2241</v>
      </c>
      <c r="M347" s="529" t="s">
        <v>2444</v>
      </c>
      <c r="N347" s="508">
        <f t="shared" ca="1" si="426"/>
        <v>8.7750000000000004</v>
      </c>
      <c r="O347" s="565">
        <v>1</v>
      </c>
      <c r="P347" s="633">
        <v>1.0999999999999999E-2</v>
      </c>
      <c r="Q347" s="170">
        <f t="shared" ca="1" si="445"/>
        <v>5.8917378917378915E-2</v>
      </c>
      <c r="R347" s="508">
        <f t="shared" ca="1" si="446"/>
        <v>589</v>
      </c>
      <c r="T347" s="512">
        <v>8</v>
      </c>
      <c r="U347" s="516" t="s">
        <v>2241</v>
      </c>
      <c r="V347" s="529" t="s">
        <v>2444</v>
      </c>
      <c r="W347" s="508">
        <f t="shared" ca="1" si="428"/>
        <v>8.7750000000000004</v>
      </c>
      <c r="X347" s="565">
        <v>1</v>
      </c>
      <c r="Y347" s="594">
        <v>1.0999999999999999E-2</v>
      </c>
      <c r="Z347" s="170">
        <f t="shared" ca="1" si="447"/>
        <v>5.9544159544159536E-2</v>
      </c>
      <c r="AA347" s="508">
        <f t="shared" ca="1" si="448"/>
        <v>595</v>
      </c>
      <c r="AC347" s="512">
        <v>8</v>
      </c>
      <c r="AD347" s="516" t="s">
        <v>635</v>
      </c>
      <c r="AE347" s="512" t="s">
        <v>1211</v>
      </c>
      <c r="AF347" s="508">
        <f t="shared" ca="1" si="439"/>
        <v>100</v>
      </c>
      <c r="AG347" s="565">
        <v>1</v>
      </c>
      <c r="AH347" s="508">
        <f>宝箱设定!$X148</f>
        <v>7.007999999999999E-2</v>
      </c>
      <c r="AI347" s="170">
        <f t="shared" ca="1" si="440"/>
        <v>4.4851199999999994E-2</v>
      </c>
      <c r="AJ347" s="408">
        <f t="shared" ca="1" si="441"/>
        <v>449</v>
      </c>
      <c r="AL347" s="595">
        <v>7</v>
      </c>
      <c r="AM347" s="601" t="s">
        <v>2878</v>
      </c>
      <c r="AN347" s="601" t="s">
        <v>2879</v>
      </c>
      <c r="AO347" s="594">
        <f t="shared" ref="AO347:AO350" ca="1" si="449">IF(AN347="部件",VLOOKUP(AL347,INDIRECT(AN347&amp;"价值"),MATCH(LEFT(AM347,2)&amp;"部件",INDIRECT(AN347&amp;"价值标头"),0),FALSE),IF(AN347="加速道具",VLOOKUP(AM347,INDIRECT(AN347&amp;"价值"),MATCH("价格",INDIRECT(AN347&amp;"价值标头"),0),FALSE),VLOOKUP(AL347,INDIRECT(AN347&amp;"价值"),MATCH(AM347,INDIRECT(AN347&amp;"价值标头"),0),FALSE)))</f>
        <v>35</v>
      </c>
      <c r="AP347" s="600">
        <v>1</v>
      </c>
      <c r="AQ347" s="594">
        <v>8.0000000000000002E-3</v>
      </c>
      <c r="AR347" s="170">
        <f t="shared" ca="1" si="403"/>
        <v>2.2171428571428571E-2</v>
      </c>
      <c r="AS347" s="594">
        <f t="shared" ca="1" si="404"/>
        <v>222</v>
      </c>
      <c r="AU347" s="512">
        <v>7</v>
      </c>
      <c r="AV347" s="516" t="s">
        <v>2280</v>
      </c>
      <c r="AW347" s="529" t="s">
        <v>2452</v>
      </c>
      <c r="AX347" s="508" t="str">
        <f t="shared" ca="1" si="417"/>
        <v>T3部件</v>
      </c>
      <c r="AY347" s="565">
        <v>1</v>
      </c>
      <c r="AZ347" s="633">
        <v>6.0000000000000001E-3</v>
      </c>
      <c r="BA347" s="170" t="e">
        <f t="shared" ca="1" si="395"/>
        <v>#VALUE!</v>
      </c>
      <c r="BB347" s="508" t="e">
        <f t="shared" ca="1" si="396"/>
        <v>#VALUE!</v>
      </c>
      <c r="BD347" s="512">
        <v>7</v>
      </c>
      <c r="BE347" s="516" t="s">
        <v>2280</v>
      </c>
      <c r="BF347" s="529" t="s">
        <v>2452</v>
      </c>
      <c r="BG347" s="508" t="str">
        <f t="shared" ca="1" si="418"/>
        <v>T3部件</v>
      </c>
      <c r="BH347" s="565">
        <v>1</v>
      </c>
      <c r="BI347" s="615">
        <v>6.6E-3</v>
      </c>
      <c r="BJ347" s="170" t="e">
        <f t="shared" ca="1" si="432"/>
        <v>#VALUE!</v>
      </c>
      <c r="BK347" s="508" t="e">
        <f t="shared" ca="1" si="433"/>
        <v>#VALUE!</v>
      </c>
      <c r="BM347" s="512">
        <v>9</v>
      </c>
      <c r="BN347" s="527" t="s">
        <v>720</v>
      </c>
      <c r="BO347" s="295" t="s">
        <v>918</v>
      </c>
      <c r="BP347" s="508">
        <f t="shared" ca="1" si="442"/>
        <v>6000</v>
      </c>
      <c r="BQ347" s="508">
        <v>1</v>
      </c>
      <c r="BR347" s="523">
        <f>宝箱设定!$P196</f>
        <v>5.1799999999999992E-2</v>
      </c>
      <c r="BS347" s="170">
        <f t="shared" ca="1" si="443"/>
        <v>2.8489999999999995E-3</v>
      </c>
      <c r="BT347" s="508">
        <f t="shared" ca="1" si="444"/>
        <v>28</v>
      </c>
      <c r="BV347" s="381">
        <v>9</v>
      </c>
      <c r="BW347" s="525" t="s">
        <v>2256</v>
      </c>
      <c r="BX347" s="530" t="s">
        <v>2200</v>
      </c>
      <c r="BY347" s="523">
        <f t="shared" ca="1" si="436"/>
        <v>8.1</v>
      </c>
      <c r="BZ347" s="665">
        <v>1.5</v>
      </c>
      <c r="CA347" s="662">
        <v>6.0000000000000001E-3</v>
      </c>
      <c r="CB347" s="170">
        <f t="shared" ca="1" si="437"/>
        <v>2.4691358024691357E-2</v>
      </c>
      <c r="CC347" s="379">
        <f t="shared" ca="1" si="438"/>
        <v>247</v>
      </c>
    </row>
    <row r="348" spans="2:82" x14ac:dyDescent="0.35">
      <c r="B348" s="512">
        <v>8</v>
      </c>
      <c r="C348" s="516" t="s">
        <v>2243</v>
      </c>
      <c r="D348" s="529" t="s">
        <v>2444</v>
      </c>
      <c r="E348" s="508">
        <f t="shared" ca="1" si="423"/>
        <v>8.7750000000000004</v>
      </c>
      <c r="F348" s="625">
        <v>2.5</v>
      </c>
      <c r="G348" s="594">
        <v>7.0000000000000001E-3</v>
      </c>
      <c r="H348" s="170">
        <f t="shared" ca="1" si="434"/>
        <v>1.8746438746438745E-2</v>
      </c>
      <c r="I348" s="508">
        <f t="shared" ca="1" si="435"/>
        <v>187</v>
      </c>
      <c r="K348" s="512">
        <v>8</v>
      </c>
      <c r="L348" s="516" t="s">
        <v>2243</v>
      </c>
      <c r="M348" s="529" t="s">
        <v>2444</v>
      </c>
      <c r="N348" s="508">
        <f t="shared" ca="1" si="426"/>
        <v>8.7750000000000004</v>
      </c>
      <c r="O348" s="565">
        <v>1</v>
      </c>
      <c r="P348" s="633">
        <v>1.0999999999999999E-2</v>
      </c>
      <c r="Q348" s="170">
        <f t="shared" ca="1" si="445"/>
        <v>5.8917378917378915E-2</v>
      </c>
      <c r="R348" s="508">
        <f t="shared" ca="1" si="446"/>
        <v>589</v>
      </c>
      <c r="T348" s="512">
        <v>8</v>
      </c>
      <c r="U348" s="516" t="s">
        <v>2243</v>
      </c>
      <c r="V348" s="529" t="s">
        <v>2444</v>
      </c>
      <c r="W348" s="508">
        <f t="shared" ca="1" si="428"/>
        <v>8.7750000000000004</v>
      </c>
      <c r="X348" s="565">
        <v>1</v>
      </c>
      <c r="Y348" s="594">
        <v>1.0999999999999999E-2</v>
      </c>
      <c r="Z348" s="170">
        <f t="shared" ca="1" si="447"/>
        <v>5.9544159544159536E-2</v>
      </c>
      <c r="AA348" s="508">
        <f t="shared" ca="1" si="448"/>
        <v>595</v>
      </c>
      <c r="AC348" s="512">
        <v>8</v>
      </c>
      <c r="AD348" s="516" t="s">
        <v>717</v>
      </c>
      <c r="AE348" s="512" t="s">
        <v>1211</v>
      </c>
      <c r="AF348" s="508">
        <f t="shared" ca="1" si="439"/>
        <v>125</v>
      </c>
      <c r="AG348" s="394">
        <v>1</v>
      </c>
      <c r="AH348" s="508">
        <f>宝箱设定!$X149</f>
        <v>7.007999999999999E-2</v>
      </c>
      <c r="AI348" s="170">
        <f t="shared" ca="1" si="440"/>
        <v>3.5880959999999996E-2</v>
      </c>
      <c r="AJ348" s="279">
        <f t="shared" ca="1" si="441"/>
        <v>359</v>
      </c>
      <c r="AL348" s="595">
        <v>7</v>
      </c>
      <c r="AM348" s="601" t="s">
        <v>2880</v>
      </c>
      <c r="AN348" s="601" t="s">
        <v>2879</v>
      </c>
      <c r="AO348" s="594">
        <f t="shared" ca="1" si="449"/>
        <v>60</v>
      </c>
      <c r="AP348" s="600">
        <v>1</v>
      </c>
      <c r="AQ348" s="594">
        <v>8.9999999999999993E-3</v>
      </c>
      <c r="AR348" s="170">
        <f t="shared" ca="1" si="403"/>
        <v>1.4549999999999999E-2</v>
      </c>
      <c r="AS348" s="594">
        <f t="shared" ca="1" si="404"/>
        <v>146</v>
      </c>
      <c r="AU348" s="512">
        <v>7</v>
      </c>
      <c r="AV348" s="516" t="s">
        <v>2282</v>
      </c>
      <c r="AW348" s="529" t="s">
        <v>2452</v>
      </c>
      <c r="AX348" s="508" t="str">
        <f t="shared" ca="1" si="417"/>
        <v>T3部件</v>
      </c>
      <c r="AY348" s="565">
        <v>1</v>
      </c>
      <c r="AZ348" s="633">
        <v>6.0000000000000001E-3</v>
      </c>
      <c r="BA348" s="170" t="e">
        <f t="shared" ca="1" si="395"/>
        <v>#VALUE!</v>
      </c>
      <c r="BB348" s="508" t="e">
        <f t="shared" ca="1" si="396"/>
        <v>#VALUE!</v>
      </c>
      <c r="BD348" s="512">
        <v>7</v>
      </c>
      <c r="BE348" s="516" t="s">
        <v>2282</v>
      </c>
      <c r="BF348" s="529" t="s">
        <v>2452</v>
      </c>
      <c r="BG348" s="508" t="str">
        <f t="shared" ca="1" si="418"/>
        <v>T3部件</v>
      </c>
      <c r="BH348" s="565">
        <v>1</v>
      </c>
      <c r="BI348" s="615">
        <v>6.6E-3</v>
      </c>
      <c r="BJ348" s="170" t="e">
        <f t="shared" ca="1" si="432"/>
        <v>#VALUE!</v>
      </c>
      <c r="BK348" s="508" t="e">
        <f t="shared" ca="1" si="433"/>
        <v>#VALUE!</v>
      </c>
      <c r="BM348" s="512">
        <v>9</v>
      </c>
      <c r="BN348" s="527" t="s">
        <v>621</v>
      </c>
      <c r="BO348" s="295" t="s">
        <v>918</v>
      </c>
      <c r="BP348" s="508">
        <f t="shared" ca="1" si="442"/>
        <v>7440</v>
      </c>
      <c r="BQ348" s="508">
        <v>1</v>
      </c>
      <c r="BR348" s="523">
        <f>宝箱设定!$P197</f>
        <v>5.1799999999999992E-2</v>
      </c>
      <c r="BS348" s="170">
        <f t="shared" ca="1" si="443"/>
        <v>2.2975806451612899E-3</v>
      </c>
      <c r="BT348" s="508">
        <f t="shared" ca="1" si="444"/>
        <v>23</v>
      </c>
      <c r="BV348" s="381">
        <v>9</v>
      </c>
      <c r="BW348" s="527" t="s">
        <v>2241</v>
      </c>
      <c r="BX348" s="530" t="s">
        <v>2200</v>
      </c>
      <c r="BY348" s="523">
        <f t="shared" ca="1" si="436"/>
        <v>8.1</v>
      </c>
      <c r="BZ348" s="665">
        <v>1.5</v>
      </c>
      <c r="CA348" s="662">
        <v>6.0000000000000001E-3</v>
      </c>
      <c r="CB348" s="170">
        <f t="shared" ca="1" si="437"/>
        <v>2.4691358024691357E-2</v>
      </c>
      <c r="CC348" s="379">
        <f t="shared" ca="1" si="438"/>
        <v>247</v>
      </c>
    </row>
    <row r="349" spans="2:82" x14ac:dyDescent="0.35">
      <c r="B349" s="512">
        <v>8</v>
      </c>
      <c r="C349" s="516" t="s">
        <v>2245</v>
      </c>
      <c r="D349" s="529" t="s">
        <v>2444</v>
      </c>
      <c r="E349" s="508">
        <f t="shared" ca="1" si="423"/>
        <v>8.7750000000000004</v>
      </c>
      <c r="F349" s="625">
        <v>2.5</v>
      </c>
      <c r="G349" s="594">
        <v>7.0000000000000001E-3</v>
      </c>
      <c r="H349" s="170">
        <f t="shared" ca="1" si="434"/>
        <v>1.8746438746438745E-2</v>
      </c>
      <c r="I349" s="508">
        <f t="shared" ca="1" si="435"/>
        <v>187</v>
      </c>
      <c r="K349" s="512">
        <v>8</v>
      </c>
      <c r="L349" s="516" t="s">
        <v>2245</v>
      </c>
      <c r="M349" s="529" t="s">
        <v>2444</v>
      </c>
      <c r="N349" s="508">
        <f t="shared" ca="1" si="426"/>
        <v>8.7750000000000004</v>
      </c>
      <c r="O349" s="565">
        <v>1</v>
      </c>
      <c r="P349" s="633">
        <v>1.0999999999999999E-2</v>
      </c>
      <c r="Q349" s="170">
        <f t="shared" ca="1" si="445"/>
        <v>5.8917378917378915E-2</v>
      </c>
      <c r="R349" s="508">
        <f t="shared" ca="1" si="446"/>
        <v>589</v>
      </c>
      <c r="T349" s="512">
        <v>8</v>
      </c>
      <c r="U349" s="516" t="s">
        <v>2245</v>
      </c>
      <c r="V349" s="529" t="s">
        <v>2444</v>
      </c>
      <c r="W349" s="508">
        <f t="shared" ca="1" si="428"/>
        <v>8.7750000000000004</v>
      </c>
      <c r="X349" s="565">
        <v>1</v>
      </c>
      <c r="Y349" s="594">
        <v>1.0999999999999999E-2</v>
      </c>
      <c r="Z349" s="170">
        <f t="shared" ca="1" si="447"/>
        <v>5.9544159544159536E-2</v>
      </c>
      <c r="AA349" s="508">
        <f t="shared" ca="1" si="448"/>
        <v>595</v>
      </c>
      <c r="AC349" s="512">
        <v>8</v>
      </c>
      <c r="AD349" s="516" t="s">
        <v>621</v>
      </c>
      <c r="AE349" s="512" t="s">
        <v>1211</v>
      </c>
      <c r="AF349" s="508">
        <f t="shared" ca="1" si="439"/>
        <v>155</v>
      </c>
      <c r="AG349" s="394">
        <v>1</v>
      </c>
      <c r="AH349" s="508">
        <f>宝箱设定!$X150</f>
        <v>7.007999999999999E-2</v>
      </c>
      <c r="AI349" s="170">
        <f t="shared" ca="1" si="440"/>
        <v>2.8936258064516125E-2</v>
      </c>
      <c r="AJ349" s="279">
        <f t="shared" ca="1" si="441"/>
        <v>289</v>
      </c>
      <c r="AL349" s="595">
        <v>7</v>
      </c>
      <c r="AM349" s="601" t="s">
        <v>2881</v>
      </c>
      <c r="AN349" s="601" t="s">
        <v>2879</v>
      </c>
      <c r="AO349" s="594">
        <f t="shared" ca="1" si="449"/>
        <v>70</v>
      </c>
      <c r="AP349" s="600">
        <v>1</v>
      </c>
      <c r="AQ349" s="594">
        <v>0.01</v>
      </c>
      <c r="AR349" s="170">
        <f t="shared" ca="1" si="403"/>
        <v>1.3857142857142856E-2</v>
      </c>
      <c r="AS349" s="594">
        <f t="shared" ca="1" si="404"/>
        <v>139</v>
      </c>
      <c r="AU349" s="512">
        <v>7</v>
      </c>
      <c r="AV349" s="516" t="s">
        <v>2284</v>
      </c>
      <c r="AW349" s="529" t="s">
        <v>2452</v>
      </c>
      <c r="AX349" s="508" t="str">
        <f t="shared" ca="1" si="417"/>
        <v>T3部件</v>
      </c>
      <c r="AY349" s="565">
        <v>1</v>
      </c>
      <c r="AZ349" s="633">
        <v>6.0000000000000001E-3</v>
      </c>
      <c r="BA349" s="170" t="e">
        <f t="shared" ca="1" si="395"/>
        <v>#VALUE!</v>
      </c>
      <c r="BB349" s="508" t="e">
        <f t="shared" ca="1" si="396"/>
        <v>#VALUE!</v>
      </c>
      <c r="BD349" s="512">
        <v>7</v>
      </c>
      <c r="BE349" s="516" t="s">
        <v>2284</v>
      </c>
      <c r="BF349" s="529" t="s">
        <v>2452</v>
      </c>
      <c r="BG349" s="508" t="str">
        <f t="shared" ca="1" si="418"/>
        <v>T3部件</v>
      </c>
      <c r="BH349" s="565">
        <v>1</v>
      </c>
      <c r="BI349" s="615">
        <v>6.6E-3</v>
      </c>
      <c r="BJ349" s="170" t="e">
        <f t="shared" ca="1" si="432"/>
        <v>#VALUE!</v>
      </c>
      <c r="BK349" s="508" t="e">
        <f t="shared" ca="1" si="433"/>
        <v>#VALUE!</v>
      </c>
      <c r="BM349" s="512">
        <v>9</v>
      </c>
      <c r="BN349" s="527" t="s">
        <v>634</v>
      </c>
      <c r="BO349" s="295" t="s">
        <v>918</v>
      </c>
      <c r="BP349" s="508">
        <f t="shared" ca="1" si="442"/>
        <v>7440</v>
      </c>
      <c r="BQ349" s="508">
        <v>1</v>
      </c>
      <c r="BR349" s="523">
        <f>宝箱设定!$P198</f>
        <v>5.1799999999999992E-2</v>
      </c>
      <c r="BS349" s="170">
        <f t="shared" ca="1" si="443"/>
        <v>2.2975806451612899E-3</v>
      </c>
      <c r="BT349" s="508">
        <f t="shared" ca="1" si="444"/>
        <v>23</v>
      </c>
      <c r="BV349" s="381">
        <v>9</v>
      </c>
      <c r="BW349" s="527" t="s">
        <v>2243</v>
      </c>
      <c r="BX349" s="530" t="s">
        <v>2200</v>
      </c>
      <c r="BY349" s="523">
        <f t="shared" ca="1" si="436"/>
        <v>8.1</v>
      </c>
      <c r="BZ349" s="665">
        <v>1.5</v>
      </c>
      <c r="CA349" s="662">
        <v>6.0000000000000001E-3</v>
      </c>
      <c r="CB349" s="170">
        <f t="shared" ca="1" si="437"/>
        <v>2.4691358024691357E-2</v>
      </c>
      <c r="CC349" s="379">
        <f t="shared" ca="1" si="438"/>
        <v>247</v>
      </c>
    </row>
    <row r="350" spans="2:82" x14ac:dyDescent="0.35">
      <c r="B350" s="512">
        <v>8</v>
      </c>
      <c r="C350" s="516" t="s">
        <v>2247</v>
      </c>
      <c r="D350" s="529" t="s">
        <v>2444</v>
      </c>
      <c r="E350" s="508">
        <f t="shared" ca="1" si="423"/>
        <v>8.7750000000000004</v>
      </c>
      <c r="F350" s="625">
        <v>2.5</v>
      </c>
      <c r="G350" s="594">
        <v>7.0000000000000001E-3</v>
      </c>
      <c r="H350" s="170">
        <f t="shared" ca="1" si="434"/>
        <v>1.8746438746438745E-2</v>
      </c>
      <c r="I350" s="508">
        <f t="shared" ca="1" si="435"/>
        <v>187</v>
      </c>
      <c r="K350" s="512">
        <v>8</v>
      </c>
      <c r="L350" s="516" t="s">
        <v>2247</v>
      </c>
      <c r="M350" s="529" t="s">
        <v>2444</v>
      </c>
      <c r="N350" s="508">
        <f t="shared" ca="1" si="426"/>
        <v>8.7750000000000004</v>
      </c>
      <c r="O350" s="565">
        <v>1</v>
      </c>
      <c r="P350" s="633">
        <v>1.0999999999999999E-2</v>
      </c>
      <c r="Q350" s="170">
        <f t="shared" ca="1" si="445"/>
        <v>5.8917378917378915E-2</v>
      </c>
      <c r="R350" s="508">
        <f t="shared" ca="1" si="446"/>
        <v>589</v>
      </c>
      <c r="T350" s="512">
        <v>8</v>
      </c>
      <c r="U350" s="516" t="s">
        <v>2247</v>
      </c>
      <c r="V350" s="529" t="s">
        <v>2444</v>
      </c>
      <c r="W350" s="508">
        <f t="shared" ca="1" si="428"/>
        <v>8.7750000000000004</v>
      </c>
      <c r="X350" s="565">
        <v>1</v>
      </c>
      <c r="Y350" s="594">
        <v>1.0999999999999999E-2</v>
      </c>
      <c r="Z350" s="170">
        <f t="shared" ca="1" si="447"/>
        <v>5.9544159544159536E-2</v>
      </c>
      <c r="AA350" s="508">
        <f t="shared" ca="1" si="448"/>
        <v>595</v>
      </c>
      <c r="AC350" s="512">
        <v>8</v>
      </c>
      <c r="AD350" s="516" t="s">
        <v>2239</v>
      </c>
      <c r="AE350" s="529" t="s">
        <v>2444</v>
      </c>
      <c r="AF350" s="508">
        <f t="shared" ca="1" si="439"/>
        <v>8.7750000000000004</v>
      </c>
      <c r="AG350" s="394">
        <v>1</v>
      </c>
      <c r="AH350" s="633">
        <v>5.4999999999999997E-3</v>
      </c>
      <c r="AI350" s="170">
        <f t="shared" ca="1" si="440"/>
        <v>4.0113960113960109E-2</v>
      </c>
      <c r="AJ350" s="279">
        <f t="shared" ca="1" si="441"/>
        <v>401</v>
      </c>
      <c r="AL350" s="595">
        <v>7</v>
      </c>
      <c r="AM350" s="601" t="s">
        <v>2882</v>
      </c>
      <c r="AN350" s="601" t="s">
        <v>2879</v>
      </c>
      <c r="AO350" s="594">
        <f t="shared" ca="1" si="449"/>
        <v>125</v>
      </c>
      <c r="AP350" s="600">
        <v>1</v>
      </c>
      <c r="AQ350" s="594">
        <v>0.01</v>
      </c>
      <c r="AR350" s="170">
        <f t="shared" ca="1" si="403"/>
        <v>7.7599999999999995E-3</v>
      </c>
      <c r="AS350" s="594">
        <f t="shared" ca="1" si="404"/>
        <v>78</v>
      </c>
      <c r="AU350" s="512">
        <v>7</v>
      </c>
      <c r="AV350" s="516" t="s">
        <v>2286</v>
      </c>
      <c r="AW350" s="529" t="s">
        <v>2452</v>
      </c>
      <c r="AX350" s="508" t="str">
        <f t="shared" ca="1" si="417"/>
        <v>T3部件</v>
      </c>
      <c r="AY350" s="508">
        <v>1</v>
      </c>
      <c r="AZ350" s="633">
        <v>6.0000000000000001E-3</v>
      </c>
      <c r="BA350" s="170" t="e">
        <f t="shared" ca="1" si="395"/>
        <v>#VALUE!</v>
      </c>
      <c r="BB350" s="508" t="e">
        <f t="shared" ca="1" si="396"/>
        <v>#VALUE!</v>
      </c>
      <c r="BD350" s="512">
        <v>7</v>
      </c>
      <c r="BE350" s="516" t="s">
        <v>2286</v>
      </c>
      <c r="BF350" s="529" t="s">
        <v>2452</v>
      </c>
      <c r="BG350" s="508" t="str">
        <f t="shared" ca="1" si="418"/>
        <v>T3部件</v>
      </c>
      <c r="BH350" s="565">
        <v>1</v>
      </c>
      <c r="BI350" s="615">
        <v>6.6E-3</v>
      </c>
      <c r="BJ350" s="170" t="e">
        <f t="shared" ca="1" si="432"/>
        <v>#VALUE!</v>
      </c>
      <c r="BK350" s="508" t="e">
        <f t="shared" ca="1" si="433"/>
        <v>#VALUE!</v>
      </c>
      <c r="BM350" s="512">
        <v>9</v>
      </c>
      <c r="BN350" s="527" t="s">
        <v>620</v>
      </c>
      <c r="BO350" s="525" t="s">
        <v>1211</v>
      </c>
      <c r="BP350" s="508">
        <f t="shared" ca="1" si="442"/>
        <v>96</v>
      </c>
      <c r="BQ350" s="508">
        <v>2.5</v>
      </c>
      <c r="BR350" s="523">
        <f>宝箱设定!$P199</f>
        <v>2.5899999999999996E-2</v>
      </c>
      <c r="BS350" s="170">
        <f t="shared" ca="1" si="443"/>
        <v>3.5612499999999998E-2</v>
      </c>
      <c r="BT350" s="508">
        <f t="shared" ca="1" si="444"/>
        <v>356</v>
      </c>
      <c r="BV350" s="381">
        <v>9</v>
      </c>
      <c r="BW350" s="527" t="s">
        <v>2245</v>
      </c>
      <c r="BX350" s="530" t="s">
        <v>2200</v>
      </c>
      <c r="BY350" s="523">
        <f t="shared" ca="1" si="436"/>
        <v>8.1</v>
      </c>
      <c r="BZ350" s="665">
        <v>1.5</v>
      </c>
      <c r="CA350" s="662">
        <v>6.0000000000000001E-3</v>
      </c>
      <c r="CB350" s="170">
        <f t="shared" ca="1" si="437"/>
        <v>2.4691358024691357E-2</v>
      </c>
      <c r="CC350" s="379">
        <f t="shared" ca="1" si="438"/>
        <v>247</v>
      </c>
    </row>
    <row r="351" spans="2:82" x14ac:dyDescent="0.35">
      <c r="B351" s="512">
        <v>8</v>
      </c>
      <c r="C351" s="516" t="s">
        <v>2249</v>
      </c>
      <c r="D351" s="529" t="s">
        <v>2444</v>
      </c>
      <c r="E351" s="508">
        <f t="shared" ca="1" si="423"/>
        <v>8.7750000000000004</v>
      </c>
      <c r="F351" s="625">
        <v>2.5</v>
      </c>
      <c r="G351" s="594">
        <v>7.0000000000000001E-3</v>
      </c>
      <c r="H351" s="170">
        <f t="shared" ca="1" si="434"/>
        <v>1.8746438746438745E-2</v>
      </c>
      <c r="I351" s="508">
        <f t="shared" ca="1" si="435"/>
        <v>187</v>
      </c>
      <c r="K351" s="512">
        <v>8</v>
      </c>
      <c r="L351" s="516" t="s">
        <v>2249</v>
      </c>
      <c r="M351" s="529" t="s">
        <v>2444</v>
      </c>
      <c r="N351" s="508">
        <f t="shared" ca="1" si="426"/>
        <v>8.7750000000000004</v>
      </c>
      <c r="O351" s="565">
        <v>1</v>
      </c>
      <c r="P351" s="633">
        <v>1.0999999999999999E-2</v>
      </c>
      <c r="Q351" s="170">
        <f t="shared" ca="1" si="445"/>
        <v>5.8917378917378915E-2</v>
      </c>
      <c r="R351" s="508">
        <f t="shared" ca="1" si="446"/>
        <v>589</v>
      </c>
      <c r="T351" s="512">
        <v>8</v>
      </c>
      <c r="U351" s="516" t="s">
        <v>2249</v>
      </c>
      <c r="V351" s="529" t="s">
        <v>2444</v>
      </c>
      <c r="W351" s="508">
        <f t="shared" ca="1" si="428"/>
        <v>8.7750000000000004</v>
      </c>
      <c r="X351" s="565">
        <v>1</v>
      </c>
      <c r="Y351" s="594">
        <v>1.0999999999999999E-2</v>
      </c>
      <c r="Z351" s="170">
        <f t="shared" ca="1" si="447"/>
        <v>5.9544159544159536E-2</v>
      </c>
      <c r="AA351" s="508">
        <f t="shared" ca="1" si="448"/>
        <v>595</v>
      </c>
      <c r="AC351" s="512">
        <v>8</v>
      </c>
      <c r="AD351" s="516" t="s">
        <v>2242</v>
      </c>
      <c r="AE351" s="529" t="s">
        <v>2444</v>
      </c>
      <c r="AF351" s="508">
        <f t="shared" ca="1" si="439"/>
        <v>8.7750000000000004</v>
      </c>
      <c r="AG351" s="594">
        <v>1</v>
      </c>
      <c r="AH351" s="633">
        <v>5.4999999999999997E-3</v>
      </c>
      <c r="AI351" s="170">
        <f t="shared" ca="1" si="440"/>
        <v>4.0113960113960109E-2</v>
      </c>
      <c r="AJ351" s="279">
        <f t="shared" ca="1" si="441"/>
        <v>401</v>
      </c>
      <c r="AL351" s="276"/>
      <c r="AM351" s="604"/>
      <c r="AN351" s="604"/>
      <c r="AO351" s="157"/>
      <c r="AP351" s="157"/>
      <c r="AQ351" s="157"/>
      <c r="AR351" s="538"/>
      <c r="AS351" s="157"/>
      <c r="AU351" s="512">
        <v>7</v>
      </c>
      <c r="AV351" s="516" t="s">
        <v>2288</v>
      </c>
      <c r="AW351" s="529" t="s">
        <v>2452</v>
      </c>
      <c r="AX351" s="508" t="str">
        <f t="shared" ca="1" si="417"/>
        <v>T3部件</v>
      </c>
      <c r="AY351" s="508">
        <v>1</v>
      </c>
      <c r="AZ351" s="633">
        <v>6.0000000000000001E-3</v>
      </c>
      <c r="BA351" s="170" t="e">
        <f t="shared" ca="1" si="395"/>
        <v>#VALUE!</v>
      </c>
      <c r="BB351" s="508" t="e">
        <f t="shared" ca="1" si="396"/>
        <v>#VALUE!</v>
      </c>
      <c r="BD351" s="512">
        <v>7</v>
      </c>
      <c r="BE351" s="516" t="s">
        <v>2288</v>
      </c>
      <c r="BF351" s="529" t="s">
        <v>2452</v>
      </c>
      <c r="BG351" s="508" t="str">
        <f t="shared" ca="1" si="418"/>
        <v>T3部件</v>
      </c>
      <c r="BH351" s="565">
        <v>1</v>
      </c>
      <c r="BI351" s="615">
        <v>6.6E-3</v>
      </c>
      <c r="BJ351" s="170" t="e">
        <f t="shared" ca="1" si="432"/>
        <v>#VALUE!</v>
      </c>
      <c r="BK351" s="508" t="e">
        <f t="shared" ca="1" si="433"/>
        <v>#VALUE!</v>
      </c>
      <c r="BM351" s="512">
        <v>9</v>
      </c>
      <c r="BN351" s="527" t="s">
        <v>719</v>
      </c>
      <c r="BO351" s="525" t="s">
        <v>1211</v>
      </c>
      <c r="BP351" s="508">
        <f t="shared" ca="1" si="442"/>
        <v>96</v>
      </c>
      <c r="BQ351" s="632">
        <v>2.5</v>
      </c>
      <c r="BR351" s="523">
        <f>宝箱设定!$P200</f>
        <v>2.5899999999999996E-2</v>
      </c>
      <c r="BS351" s="170">
        <f t="shared" ca="1" si="443"/>
        <v>3.5612499999999998E-2</v>
      </c>
      <c r="BT351" s="508">
        <f t="shared" ca="1" si="444"/>
        <v>356</v>
      </c>
      <c r="BV351" s="381">
        <v>9</v>
      </c>
      <c r="BW351" s="527" t="s">
        <v>2247</v>
      </c>
      <c r="BX351" s="530" t="s">
        <v>2200</v>
      </c>
      <c r="BY351" s="523">
        <f t="shared" ca="1" si="436"/>
        <v>8.1</v>
      </c>
      <c r="BZ351" s="665">
        <v>1.5</v>
      </c>
      <c r="CA351" s="662">
        <v>6.0000000000000001E-3</v>
      </c>
      <c r="CB351" s="170">
        <f t="shared" ca="1" si="437"/>
        <v>2.4691358024691357E-2</v>
      </c>
      <c r="CC351" s="379">
        <f t="shared" ca="1" si="438"/>
        <v>247</v>
      </c>
    </row>
    <row r="352" spans="2:82" x14ac:dyDescent="0.35">
      <c r="B352" s="512">
        <v>8</v>
      </c>
      <c r="C352" s="516" t="s">
        <v>2251</v>
      </c>
      <c r="D352" s="529" t="s">
        <v>2444</v>
      </c>
      <c r="E352" s="508">
        <f t="shared" ca="1" si="423"/>
        <v>8.7750000000000004</v>
      </c>
      <c r="F352" s="625">
        <v>2.5</v>
      </c>
      <c r="G352" s="594">
        <v>7.0000000000000001E-3</v>
      </c>
      <c r="H352" s="170">
        <f t="shared" ca="1" si="434"/>
        <v>1.8746438746438745E-2</v>
      </c>
      <c r="I352" s="508">
        <f t="shared" ca="1" si="435"/>
        <v>187</v>
      </c>
      <c r="K352" s="512">
        <v>8</v>
      </c>
      <c r="L352" s="516" t="s">
        <v>2251</v>
      </c>
      <c r="M352" s="529" t="s">
        <v>2444</v>
      </c>
      <c r="N352" s="508">
        <f t="shared" ca="1" si="426"/>
        <v>8.7750000000000004</v>
      </c>
      <c r="O352" s="565">
        <v>1</v>
      </c>
      <c r="P352" s="633">
        <v>1.0999999999999999E-2</v>
      </c>
      <c r="Q352" s="170">
        <f t="shared" ca="1" si="445"/>
        <v>5.8917378917378915E-2</v>
      </c>
      <c r="R352" s="508">
        <f t="shared" ca="1" si="446"/>
        <v>589</v>
      </c>
      <c r="T352" s="512">
        <v>8</v>
      </c>
      <c r="U352" s="516" t="s">
        <v>2251</v>
      </c>
      <c r="V352" s="529" t="s">
        <v>2444</v>
      </c>
      <c r="W352" s="508">
        <f t="shared" ca="1" si="428"/>
        <v>8.7750000000000004</v>
      </c>
      <c r="X352" s="565">
        <v>1</v>
      </c>
      <c r="Y352" s="594">
        <v>1.0999999999999999E-2</v>
      </c>
      <c r="Z352" s="170">
        <f t="shared" ca="1" si="447"/>
        <v>5.9544159544159536E-2</v>
      </c>
      <c r="AA352" s="508">
        <f t="shared" ca="1" si="448"/>
        <v>595</v>
      </c>
      <c r="AC352" s="512">
        <v>8</v>
      </c>
      <c r="AD352" s="516" t="s">
        <v>2244</v>
      </c>
      <c r="AE352" s="529" t="s">
        <v>2444</v>
      </c>
      <c r="AF352" s="508">
        <f t="shared" ca="1" si="439"/>
        <v>8.7750000000000004</v>
      </c>
      <c r="AG352" s="594">
        <v>1</v>
      </c>
      <c r="AH352" s="633">
        <v>5.4999999999999997E-3</v>
      </c>
      <c r="AI352" s="170">
        <f t="shared" ca="1" si="440"/>
        <v>4.0113960113960109E-2</v>
      </c>
      <c r="AJ352" s="279">
        <f t="shared" ca="1" si="441"/>
        <v>401</v>
      </c>
      <c r="AU352" s="512">
        <v>7</v>
      </c>
      <c r="AV352" s="512" t="s">
        <v>2290</v>
      </c>
      <c r="AW352" s="529" t="s">
        <v>2452</v>
      </c>
      <c r="AX352" s="508" t="str">
        <f t="shared" ca="1" si="417"/>
        <v>T3部件</v>
      </c>
      <c r="AY352" s="508">
        <v>1</v>
      </c>
      <c r="AZ352" s="633">
        <v>6.0000000000000001E-3</v>
      </c>
      <c r="BA352" s="170" t="e">
        <f t="shared" ca="1" si="395"/>
        <v>#VALUE!</v>
      </c>
      <c r="BB352" s="508" t="e">
        <f t="shared" ca="1" si="396"/>
        <v>#VALUE!</v>
      </c>
      <c r="BD352" s="512">
        <v>7</v>
      </c>
      <c r="BE352" s="512" t="s">
        <v>2290</v>
      </c>
      <c r="BF352" s="529" t="s">
        <v>2452</v>
      </c>
      <c r="BG352" s="508" t="str">
        <f t="shared" ca="1" si="418"/>
        <v>T3部件</v>
      </c>
      <c r="BH352" s="565">
        <v>1</v>
      </c>
      <c r="BI352" s="615">
        <v>6.6E-3</v>
      </c>
      <c r="BJ352" s="170" t="e">
        <f t="shared" ca="1" si="432"/>
        <v>#VALUE!</v>
      </c>
      <c r="BK352" s="508" t="e">
        <f t="shared" ca="1" si="433"/>
        <v>#VALUE!</v>
      </c>
      <c r="BM352" s="512">
        <v>9</v>
      </c>
      <c r="BN352" s="527" t="s">
        <v>635</v>
      </c>
      <c r="BO352" s="525" t="s">
        <v>1211</v>
      </c>
      <c r="BP352" s="508">
        <f t="shared" ca="1" si="442"/>
        <v>96</v>
      </c>
      <c r="BQ352" s="632">
        <v>2.5</v>
      </c>
      <c r="BR352" s="523">
        <f>宝箱设定!$P201</f>
        <v>2.5899999999999996E-2</v>
      </c>
      <c r="BS352" s="170">
        <f t="shared" ca="1" si="443"/>
        <v>3.5612499999999998E-2</v>
      </c>
      <c r="BT352" s="508">
        <f t="shared" ca="1" si="444"/>
        <v>356</v>
      </c>
      <c r="BV352" s="381">
        <v>9</v>
      </c>
      <c r="BW352" s="527" t="s">
        <v>2249</v>
      </c>
      <c r="BX352" s="530" t="s">
        <v>2200</v>
      </c>
      <c r="BY352" s="523">
        <f t="shared" ca="1" si="436"/>
        <v>8.1</v>
      </c>
      <c r="BZ352" s="665">
        <v>1.5</v>
      </c>
      <c r="CA352" s="662">
        <v>6.0000000000000001E-3</v>
      </c>
      <c r="CB352" s="170">
        <f t="shared" ca="1" si="437"/>
        <v>2.4691358024691357E-2</v>
      </c>
      <c r="CC352" s="379">
        <f t="shared" ca="1" si="438"/>
        <v>247</v>
      </c>
    </row>
    <row r="353" spans="2:81" x14ac:dyDescent="0.35">
      <c r="B353" s="512">
        <v>8</v>
      </c>
      <c r="C353" s="516" t="s">
        <v>2253</v>
      </c>
      <c r="D353" s="529" t="s">
        <v>2444</v>
      </c>
      <c r="E353" s="508">
        <f t="shared" ca="1" si="423"/>
        <v>8.7750000000000004</v>
      </c>
      <c r="F353" s="625">
        <v>2.5</v>
      </c>
      <c r="G353" s="594">
        <v>7.0000000000000001E-3</v>
      </c>
      <c r="H353" s="170">
        <f t="shared" ca="1" si="434"/>
        <v>1.8746438746438745E-2</v>
      </c>
      <c r="I353" s="508">
        <f t="shared" ca="1" si="435"/>
        <v>187</v>
      </c>
      <c r="K353" s="512">
        <v>8</v>
      </c>
      <c r="L353" s="516" t="s">
        <v>2253</v>
      </c>
      <c r="M353" s="529" t="s">
        <v>2444</v>
      </c>
      <c r="N353" s="508">
        <f t="shared" ca="1" si="426"/>
        <v>8.7750000000000004</v>
      </c>
      <c r="O353" s="565">
        <v>1</v>
      </c>
      <c r="P353" s="633">
        <v>1.0999999999999999E-2</v>
      </c>
      <c r="Q353" s="170">
        <f t="shared" ca="1" si="445"/>
        <v>5.8917378917378915E-2</v>
      </c>
      <c r="R353" s="508">
        <f t="shared" ca="1" si="446"/>
        <v>589</v>
      </c>
      <c r="T353" s="512">
        <v>8</v>
      </c>
      <c r="U353" s="516" t="s">
        <v>2253</v>
      </c>
      <c r="V353" s="529" t="s">
        <v>2444</v>
      </c>
      <c r="W353" s="508">
        <f t="shared" ca="1" si="428"/>
        <v>8.7750000000000004</v>
      </c>
      <c r="X353" s="565">
        <v>1</v>
      </c>
      <c r="Y353" s="594">
        <v>1.0999999999999999E-2</v>
      </c>
      <c r="Z353" s="170">
        <f t="shared" ca="1" si="447"/>
        <v>5.9544159544159536E-2</v>
      </c>
      <c r="AA353" s="508">
        <f t="shared" ca="1" si="448"/>
        <v>595</v>
      </c>
      <c r="AC353" s="512">
        <v>8</v>
      </c>
      <c r="AD353" s="516" t="s">
        <v>2246</v>
      </c>
      <c r="AE353" s="529" t="s">
        <v>2444</v>
      </c>
      <c r="AF353" s="508">
        <f t="shared" ca="1" si="439"/>
        <v>8.7750000000000004</v>
      </c>
      <c r="AG353" s="594">
        <v>1</v>
      </c>
      <c r="AH353" s="633">
        <v>5.4999999999999997E-3</v>
      </c>
      <c r="AI353" s="170">
        <f t="shared" ca="1" si="440"/>
        <v>4.0113960113960109E-2</v>
      </c>
      <c r="AJ353" s="279">
        <f t="shared" ca="1" si="441"/>
        <v>401</v>
      </c>
      <c r="AL353" s="512" t="s">
        <v>597</v>
      </c>
      <c r="AM353" s="512" t="s">
        <v>1225</v>
      </c>
      <c r="AN353" s="513" t="s">
        <v>917</v>
      </c>
      <c r="AO353" s="166" t="s">
        <v>920</v>
      </c>
      <c r="AP353" s="285" t="s">
        <v>967</v>
      </c>
      <c r="AQ353" s="166" t="s">
        <v>854</v>
      </c>
      <c r="AR353" s="166" t="s">
        <v>926</v>
      </c>
      <c r="AS353" s="281" t="s">
        <v>927</v>
      </c>
      <c r="AT353" s="300" t="e">
        <f ca="1">SUM(AS354:AS419)</f>
        <v>#VALUE!</v>
      </c>
      <c r="AU353" s="512">
        <v>7</v>
      </c>
      <c r="AV353" s="512" t="s">
        <v>2292</v>
      </c>
      <c r="AW353" s="529" t="s">
        <v>2452</v>
      </c>
      <c r="AX353" s="508" t="str">
        <f t="shared" ca="1" si="417"/>
        <v>T3部件</v>
      </c>
      <c r="AY353" s="508">
        <v>1</v>
      </c>
      <c r="AZ353" s="633">
        <v>6.0000000000000001E-3</v>
      </c>
      <c r="BA353" s="170" t="e">
        <f t="shared" ca="1" si="395"/>
        <v>#VALUE!</v>
      </c>
      <c r="BB353" s="508" t="e">
        <f t="shared" ca="1" si="396"/>
        <v>#VALUE!</v>
      </c>
      <c r="BD353" s="512">
        <v>7</v>
      </c>
      <c r="BE353" s="512" t="s">
        <v>2292</v>
      </c>
      <c r="BF353" s="529" t="s">
        <v>2452</v>
      </c>
      <c r="BG353" s="508" t="str">
        <f t="shared" ca="1" si="418"/>
        <v>T3部件</v>
      </c>
      <c r="BH353" s="565">
        <v>1</v>
      </c>
      <c r="BI353" s="615">
        <v>6.6E-3</v>
      </c>
      <c r="BJ353" s="170" t="e">
        <f t="shared" ca="1" si="432"/>
        <v>#VALUE!</v>
      </c>
      <c r="BK353" s="508" t="e">
        <f t="shared" ca="1" si="433"/>
        <v>#VALUE!</v>
      </c>
      <c r="BM353" s="512">
        <v>9</v>
      </c>
      <c r="BN353" s="527" t="s">
        <v>717</v>
      </c>
      <c r="BO353" s="525" t="s">
        <v>1211</v>
      </c>
      <c r="BP353" s="508">
        <f t="shared" ca="1" si="442"/>
        <v>120</v>
      </c>
      <c r="BQ353" s="508">
        <v>2</v>
      </c>
      <c r="BR353" s="523">
        <f>宝箱设定!$P202</f>
        <v>2.5899999999999996E-2</v>
      </c>
      <c r="BS353" s="170">
        <f t="shared" ca="1" si="443"/>
        <v>3.5612499999999998E-2</v>
      </c>
      <c r="BT353" s="508">
        <f t="shared" ca="1" si="444"/>
        <v>356</v>
      </c>
      <c r="BV353" s="381">
        <v>9</v>
      </c>
      <c r="BW353" s="527" t="s">
        <v>2251</v>
      </c>
      <c r="BX353" s="530" t="s">
        <v>2200</v>
      </c>
      <c r="BY353" s="523">
        <f t="shared" ca="1" si="436"/>
        <v>8.1</v>
      </c>
      <c r="BZ353" s="665">
        <v>1.5</v>
      </c>
      <c r="CA353" s="662">
        <v>6.0000000000000001E-3</v>
      </c>
      <c r="CB353" s="170">
        <f t="shared" ca="1" si="437"/>
        <v>2.4691358024691357E-2</v>
      </c>
      <c r="CC353" s="379">
        <f t="shared" ca="1" si="438"/>
        <v>247</v>
      </c>
    </row>
    <row r="354" spans="2:81" x14ac:dyDescent="0.35">
      <c r="B354" s="512">
        <v>8</v>
      </c>
      <c r="C354" s="512" t="s">
        <v>2255</v>
      </c>
      <c r="D354" s="529" t="s">
        <v>2444</v>
      </c>
      <c r="E354" s="508">
        <f t="shared" ca="1" si="423"/>
        <v>8.7750000000000004</v>
      </c>
      <c r="F354" s="625">
        <v>2.5</v>
      </c>
      <c r="G354" s="594">
        <v>7.0000000000000001E-3</v>
      </c>
      <c r="H354" s="170">
        <f t="shared" ca="1" si="434"/>
        <v>1.8746438746438745E-2</v>
      </c>
      <c r="I354" s="508">
        <f t="shared" ca="1" si="435"/>
        <v>187</v>
      </c>
      <c r="K354" s="512">
        <v>8</v>
      </c>
      <c r="L354" s="512" t="s">
        <v>2255</v>
      </c>
      <c r="M354" s="529" t="s">
        <v>2444</v>
      </c>
      <c r="N354" s="508">
        <f t="shared" ca="1" si="426"/>
        <v>8.7750000000000004</v>
      </c>
      <c r="O354" s="565">
        <v>1</v>
      </c>
      <c r="P354" s="633">
        <v>1.0999999999999999E-2</v>
      </c>
      <c r="Q354" s="170">
        <f t="shared" ca="1" si="445"/>
        <v>5.8917378917378915E-2</v>
      </c>
      <c r="R354" s="508">
        <f t="shared" ca="1" si="446"/>
        <v>589</v>
      </c>
      <c r="T354" s="512">
        <v>8</v>
      </c>
      <c r="U354" s="512" t="s">
        <v>2255</v>
      </c>
      <c r="V354" s="529" t="s">
        <v>2444</v>
      </c>
      <c r="W354" s="508">
        <f t="shared" ca="1" si="428"/>
        <v>8.7750000000000004</v>
      </c>
      <c r="X354" s="565">
        <v>1</v>
      </c>
      <c r="Y354" s="594">
        <v>1.0999999999999999E-2</v>
      </c>
      <c r="Z354" s="170">
        <f t="shared" ca="1" si="447"/>
        <v>5.9544159544159536E-2</v>
      </c>
      <c r="AA354" s="508">
        <f t="shared" ca="1" si="448"/>
        <v>595</v>
      </c>
      <c r="AC354" s="512">
        <v>8</v>
      </c>
      <c r="AD354" s="516" t="s">
        <v>2248</v>
      </c>
      <c r="AE354" s="529" t="s">
        <v>2444</v>
      </c>
      <c r="AF354" s="508">
        <f t="shared" ca="1" si="439"/>
        <v>8.7750000000000004</v>
      </c>
      <c r="AG354" s="594">
        <v>1</v>
      </c>
      <c r="AH354" s="633">
        <v>5.4999999999999997E-3</v>
      </c>
      <c r="AI354" s="170">
        <f t="shared" ca="1" si="440"/>
        <v>4.0113960113960109E-2</v>
      </c>
      <c r="AJ354" s="279">
        <f t="shared" ca="1" si="441"/>
        <v>401</v>
      </c>
      <c r="AL354" s="512">
        <v>8</v>
      </c>
      <c r="AM354" s="516" t="s">
        <v>619</v>
      </c>
      <c r="AN354" s="512" t="s">
        <v>1211</v>
      </c>
      <c r="AO354" s="508">
        <f t="shared" ref="AO354:AO385" ca="1" si="450">IF(AN354="部件",VLOOKUP(AL354,INDIRECT(AN354&amp;"价值"),MATCH(LEFT(AM354,2)&amp;"部件",INDIRECT(AN354&amp;"价值标头"),0),FALSE),IF(AN354="加速道具",VLOOKUP(AM354,INDIRECT(AN354&amp;"价值"),MATCH("价格",INDIRECT(AN354&amp;"价值标头"),0),FALSE),VLOOKUP(AL354,INDIRECT(AN354&amp;"价值"),MATCH(AM354,INDIRECT(AN354&amp;"价值标头"),0),FALSE)))</f>
        <v>66</v>
      </c>
      <c r="AP354" s="408">
        <v>3</v>
      </c>
      <c r="AQ354" s="508">
        <f>宝箱设定!$X143</f>
        <v>0.10219999999999999</v>
      </c>
      <c r="AR354" s="170">
        <f t="shared" ref="AR354:AR367" ca="1" si="451">AQ354*AM$4/AO354/AP354</f>
        <v>5.0067676767676761E-2</v>
      </c>
      <c r="AS354" s="279">
        <f t="shared" ref="AS354:AS367" ca="1" si="452">ROUND(AR354*10000,0)</f>
        <v>501</v>
      </c>
      <c r="AU354" s="512">
        <v>7</v>
      </c>
      <c r="AV354" s="516" t="s">
        <v>2277</v>
      </c>
      <c r="AW354" s="529" t="s">
        <v>2452</v>
      </c>
      <c r="AX354" s="508" t="str">
        <f t="shared" ca="1" si="417"/>
        <v>T3部件</v>
      </c>
      <c r="AY354" s="508">
        <v>1</v>
      </c>
      <c r="AZ354" s="633">
        <v>6.0000000000000001E-3</v>
      </c>
      <c r="BA354" s="170" t="e">
        <f t="shared" ref="BA354:BA362" ca="1" si="453">AZ354*AV$4/AX354/AY354</f>
        <v>#VALUE!</v>
      </c>
      <c r="BB354" s="508" t="e">
        <f t="shared" ref="BB354:BB362" ca="1" si="454">ROUND(BA354*10000,0)</f>
        <v>#VALUE!</v>
      </c>
      <c r="BD354" s="512">
        <v>7</v>
      </c>
      <c r="BE354" s="516" t="s">
        <v>2277</v>
      </c>
      <c r="BF354" s="529" t="s">
        <v>2452</v>
      </c>
      <c r="BG354" s="508" t="str">
        <f t="shared" ca="1" si="418"/>
        <v>T3部件</v>
      </c>
      <c r="BH354" s="565">
        <v>1</v>
      </c>
      <c r="BI354" s="615">
        <v>6.6E-3</v>
      </c>
      <c r="BJ354" s="170" t="e">
        <f t="shared" ca="1" si="432"/>
        <v>#VALUE!</v>
      </c>
      <c r="BK354" s="508" t="e">
        <f t="shared" ca="1" si="433"/>
        <v>#VALUE!</v>
      </c>
      <c r="BM354" s="512">
        <v>9</v>
      </c>
      <c r="BN354" s="527" t="s">
        <v>720</v>
      </c>
      <c r="BO354" s="525" t="s">
        <v>1211</v>
      </c>
      <c r="BP354" s="508">
        <f t="shared" ca="1" si="442"/>
        <v>120</v>
      </c>
      <c r="BQ354" s="615">
        <v>2</v>
      </c>
      <c r="BR354" s="523">
        <f>宝箱设定!$P203</f>
        <v>2.5899999999999996E-2</v>
      </c>
      <c r="BS354" s="170">
        <f t="shared" ca="1" si="443"/>
        <v>3.5612499999999998E-2</v>
      </c>
      <c r="BT354" s="508">
        <f t="shared" ca="1" si="444"/>
        <v>356</v>
      </c>
      <c r="BV354" s="381">
        <v>9</v>
      </c>
      <c r="BW354" s="527" t="s">
        <v>2253</v>
      </c>
      <c r="BX354" s="530" t="s">
        <v>2200</v>
      </c>
      <c r="BY354" s="523">
        <f t="shared" ca="1" si="436"/>
        <v>8.1</v>
      </c>
      <c r="BZ354" s="665">
        <v>1.5</v>
      </c>
      <c r="CA354" s="662">
        <v>6.0000000000000001E-3</v>
      </c>
      <c r="CB354" s="170">
        <f t="shared" ca="1" si="437"/>
        <v>2.4691358024691357E-2</v>
      </c>
      <c r="CC354" s="379">
        <f t="shared" ca="1" si="438"/>
        <v>247</v>
      </c>
    </row>
    <row r="355" spans="2:81" x14ac:dyDescent="0.35">
      <c r="B355" s="512">
        <v>8</v>
      </c>
      <c r="C355" s="512" t="s">
        <v>2257</v>
      </c>
      <c r="D355" s="529" t="s">
        <v>2444</v>
      </c>
      <c r="E355" s="508">
        <f t="shared" ca="1" si="423"/>
        <v>8.7750000000000004</v>
      </c>
      <c r="F355" s="625">
        <v>2.5</v>
      </c>
      <c r="G355" s="594">
        <v>7.0000000000000001E-3</v>
      </c>
      <c r="H355" s="170">
        <f t="shared" ca="1" si="434"/>
        <v>1.8746438746438745E-2</v>
      </c>
      <c r="I355" s="508">
        <f t="shared" ca="1" si="435"/>
        <v>187</v>
      </c>
      <c r="K355" s="512">
        <v>8</v>
      </c>
      <c r="L355" s="512" t="s">
        <v>2257</v>
      </c>
      <c r="M355" s="529" t="s">
        <v>2444</v>
      </c>
      <c r="N355" s="508">
        <f t="shared" ca="1" si="426"/>
        <v>8.7750000000000004</v>
      </c>
      <c r="O355" s="565">
        <v>1</v>
      </c>
      <c r="P355" s="633">
        <v>1.0999999999999999E-2</v>
      </c>
      <c r="Q355" s="170">
        <f t="shared" ca="1" si="445"/>
        <v>5.8917378917378915E-2</v>
      </c>
      <c r="R355" s="508">
        <f t="shared" ca="1" si="446"/>
        <v>589</v>
      </c>
      <c r="T355" s="512">
        <v>8</v>
      </c>
      <c r="U355" s="512" t="s">
        <v>2257</v>
      </c>
      <c r="V355" s="529" t="s">
        <v>2444</v>
      </c>
      <c r="W355" s="508">
        <f t="shared" ca="1" si="428"/>
        <v>8.7750000000000004</v>
      </c>
      <c r="X355" s="565">
        <v>1</v>
      </c>
      <c r="Y355" s="594">
        <v>1.0999999999999999E-2</v>
      </c>
      <c r="Z355" s="170">
        <f t="shared" ca="1" si="447"/>
        <v>5.9544159544159536E-2</v>
      </c>
      <c r="AA355" s="508">
        <f t="shared" ca="1" si="448"/>
        <v>595</v>
      </c>
      <c r="AC355" s="512">
        <v>8</v>
      </c>
      <c r="AD355" s="516" t="s">
        <v>2250</v>
      </c>
      <c r="AE355" s="529" t="s">
        <v>2444</v>
      </c>
      <c r="AF355" s="508">
        <f t="shared" ca="1" si="439"/>
        <v>8.7750000000000004</v>
      </c>
      <c r="AG355" s="594">
        <v>1</v>
      </c>
      <c r="AH355" s="633">
        <v>5.4999999999999997E-3</v>
      </c>
      <c r="AI355" s="170">
        <f t="shared" ca="1" si="440"/>
        <v>4.0113960113960109E-2</v>
      </c>
      <c r="AJ355" s="394">
        <f t="shared" ca="1" si="441"/>
        <v>401</v>
      </c>
      <c r="AL355" s="512">
        <v>8</v>
      </c>
      <c r="AM355" s="516" t="s">
        <v>718</v>
      </c>
      <c r="AN355" s="512" t="s">
        <v>1211</v>
      </c>
      <c r="AO355" s="508">
        <f t="shared" ca="1" si="450"/>
        <v>66</v>
      </c>
      <c r="AP355" s="523">
        <v>3</v>
      </c>
      <c r="AQ355" s="508">
        <f>宝箱设定!$X144</f>
        <v>0.10219999999999999</v>
      </c>
      <c r="AR355" s="170">
        <f t="shared" ca="1" si="451"/>
        <v>5.0067676767676761E-2</v>
      </c>
      <c r="AS355" s="279">
        <f t="shared" ca="1" si="452"/>
        <v>501</v>
      </c>
      <c r="AU355" s="512">
        <v>7</v>
      </c>
      <c r="AV355" s="516" t="s">
        <v>2279</v>
      </c>
      <c r="AW355" s="529" t="s">
        <v>2452</v>
      </c>
      <c r="AX355" s="508" t="str">
        <f t="shared" ca="1" si="417"/>
        <v>T3部件</v>
      </c>
      <c r="AY355" s="508">
        <v>1</v>
      </c>
      <c r="AZ355" s="633">
        <v>6.0000000000000001E-3</v>
      </c>
      <c r="BA355" s="170" t="e">
        <f t="shared" ca="1" si="453"/>
        <v>#VALUE!</v>
      </c>
      <c r="BB355" s="508" t="e">
        <f t="shared" ca="1" si="454"/>
        <v>#VALUE!</v>
      </c>
      <c r="BD355" s="512">
        <v>7</v>
      </c>
      <c r="BE355" s="516" t="s">
        <v>2279</v>
      </c>
      <c r="BF355" s="529" t="s">
        <v>2452</v>
      </c>
      <c r="BG355" s="508" t="str">
        <f t="shared" ca="1" si="418"/>
        <v>T3部件</v>
      </c>
      <c r="BH355" s="565">
        <v>1</v>
      </c>
      <c r="BI355" s="615">
        <v>6.4999999999999997E-3</v>
      </c>
      <c r="BJ355" s="170" t="e">
        <f t="shared" ca="1" si="432"/>
        <v>#VALUE!</v>
      </c>
      <c r="BK355" s="508" t="e">
        <f t="shared" ca="1" si="433"/>
        <v>#VALUE!</v>
      </c>
      <c r="BM355" s="512">
        <v>9</v>
      </c>
      <c r="BN355" s="527" t="s">
        <v>621</v>
      </c>
      <c r="BO355" s="525" t="s">
        <v>1211</v>
      </c>
      <c r="BP355" s="508">
        <f t="shared" ca="1" si="442"/>
        <v>148.79999999999998</v>
      </c>
      <c r="BQ355" s="523">
        <v>1.5</v>
      </c>
      <c r="BR355" s="523">
        <f>宝箱设定!$P204</f>
        <v>2.5899999999999996E-2</v>
      </c>
      <c r="BS355" s="170">
        <f t="shared" ca="1" si="443"/>
        <v>3.8293010752688171E-2</v>
      </c>
      <c r="BT355" s="508">
        <f t="shared" ca="1" si="444"/>
        <v>383</v>
      </c>
      <c r="BV355" s="381">
        <v>9</v>
      </c>
      <c r="BW355" s="525" t="s">
        <v>2255</v>
      </c>
      <c r="BX355" s="530" t="s">
        <v>2200</v>
      </c>
      <c r="BY355" s="523">
        <f t="shared" ca="1" si="436"/>
        <v>8.1</v>
      </c>
      <c r="BZ355" s="665">
        <v>1.5</v>
      </c>
      <c r="CA355" s="662">
        <v>6.0000000000000001E-3</v>
      </c>
      <c r="CB355" s="170">
        <f t="shared" ca="1" si="437"/>
        <v>2.4691358024691357E-2</v>
      </c>
      <c r="CC355" s="379">
        <f t="shared" ca="1" si="438"/>
        <v>247</v>
      </c>
    </row>
    <row r="356" spans="2:81" x14ac:dyDescent="0.35">
      <c r="B356" s="512">
        <v>8</v>
      </c>
      <c r="C356" s="516" t="s">
        <v>2258</v>
      </c>
      <c r="D356" s="529" t="s">
        <v>2444</v>
      </c>
      <c r="E356" s="508" t="str">
        <f t="shared" ca="1" si="423"/>
        <v>T2部件</v>
      </c>
      <c r="F356" s="565">
        <v>1</v>
      </c>
      <c r="G356" s="508">
        <v>7.0000000000000001E-3</v>
      </c>
      <c r="H356" s="170" t="e">
        <f t="shared" ca="1" si="434"/>
        <v>#VALUE!</v>
      </c>
      <c r="I356" s="508" t="e">
        <f t="shared" ca="1" si="435"/>
        <v>#VALUE!</v>
      </c>
      <c r="K356" s="512">
        <v>8</v>
      </c>
      <c r="L356" s="516" t="s">
        <v>2258</v>
      </c>
      <c r="M356" s="529" t="s">
        <v>2444</v>
      </c>
      <c r="N356" s="508" t="str">
        <f t="shared" ca="1" si="426"/>
        <v>T2部件</v>
      </c>
      <c r="O356" s="565">
        <v>1</v>
      </c>
      <c r="P356" s="633">
        <v>7.0000000000000001E-3</v>
      </c>
      <c r="Q356" s="170" t="e">
        <f t="shared" ca="1" si="445"/>
        <v>#VALUE!</v>
      </c>
      <c r="R356" s="508" t="e">
        <f t="shared" ca="1" si="446"/>
        <v>#VALUE!</v>
      </c>
      <c r="T356" s="512">
        <v>8</v>
      </c>
      <c r="U356" s="516" t="s">
        <v>2258</v>
      </c>
      <c r="V356" s="529" t="s">
        <v>2444</v>
      </c>
      <c r="W356" s="508" t="str">
        <f t="shared" ca="1" si="428"/>
        <v>T2部件</v>
      </c>
      <c r="X356" s="565">
        <v>1</v>
      </c>
      <c r="Y356" s="594">
        <v>7.0000000000000001E-3</v>
      </c>
      <c r="Z356" s="170" t="e">
        <f t="shared" ca="1" si="447"/>
        <v>#VALUE!</v>
      </c>
      <c r="AA356" s="508" t="e">
        <f t="shared" ca="1" si="448"/>
        <v>#VALUE!</v>
      </c>
      <c r="AC356" s="512">
        <v>8</v>
      </c>
      <c r="AD356" s="516" t="s">
        <v>2252</v>
      </c>
      <c r="AE356" s="529" t="s">
        <v>2444</v>
      </c>
      <c r="AF356" s="508">
        <f t="shared" ca="1" si="439"/>
        <v>8.7750000000000004</v>
      </c>
      <c r="AG356" s="594">
        <v>1</v>
      </c>
      <c r="AH356" s="633">
        <v>5.4999999999999997E-3</v>
      </c>
      <c r="AI356" s="170">
        <f t="shared" ref="AI356:AI403" ca="1" si="455">AH356*AD$4/AF356/AG356</f>
        <v>4.0113960113960109E-2</v>
      </c>
      <c r="AJ356" s="508">
        <f t="shared" ref="AJ356:AJ403" ca="1" si="456">ROUND(AI356*10000,0)</f>
        <v>401</v>
      </c>
      <c r="AL356" s="512">
        <v>8</v>
      </c>
      <c r="AM356" s="516" t="s">
        <v>632</v>
      </c>
      <c r="AN356" s="512" t="s">
        <v>1211</v>
      </c>
      <c r="AO356" s="508">
        <f t="shared" ca="1" si="450"/>
        <v>66</v>
      </c>
      <c r="AP356" s="523">
        <v>3</v>
      </c>
      <c r="AQ356" s="508">
        <f>宝箱设定!$X145</f>
        <v>0.10219999999999999</v>
      </c>
      <c r="AR356" s="170">
        <f t="shared" ca="1" si="451"/>
        <v>5.0067676767676761E-2</v>
      </c>
      <c r="AS356" s="279">
        <f t="shared" ca="1" si="452"/>
        <v>501</v>
      </c>
      <c r="AU356" s="512">
        <v>7</v>
      </c>
      <c r="AV356" s="516" t="s">
        <v>2281</v>
      </c>
      <c r="AW356" s="529" t="s">
        <v>2452</v>
      </c>
      <c r="AX356" s="508" t="str">
        <f t="shared" ca="1" si="417"/>
        <v>T3部件</v>
      </c>
      <c r="AY356" s="508">
        <v>1</v>
      </c>
      <c r="AZ356" s="633">
        <v>6.0000000000000001E-3</v>
      </c>
      <c r="BA356" s="170" t="e">
        <f t="shared" ca="1" si="453"/>
        <v>#VALUE!</v>
      </c>
      <c r="BB356" s="508" t="e">
        <f t="shared" ca="1" si="454"/>
        <v>#VALUE!</v>
      </c>
      <c r="BD356" s="512">
        <v>7</v>
      </c>
      <c r="BE356" s="516" t="s">
        <v>2281</v>
      </c>
      <c r="BF356" s="529" t="s">
        <v>2452</v>
      </c>
      <c r="BG356" s="508" t="str">
        <f t="shared" ca="1" si="418"/>
        <v>T3部件</v>
      </c>
      <c r="BH356" s="565">
        <v>1</v>
      </c>
      <c r="BI356" s="615">
        <v>6.4999999999999997E-3</v>
      </c>
      <c r="BJ356" s="170" t="e">
        <f t="shared" ca="1" si="432"/>
        <v>#VALUE!</v>
      </c>
      <c r="BK356" s="508" t="e">
        <f t="shared" ca="1" si="433"/>
        <v>#VALUE!</v>
      </c>
      <c r="BM356" s="512">
        <v>9</v>
      </c>
      <c r="BN356" s="527" t="s">
        <v>634</v>
      </c>
      <c r="BO356" s="525" t="s">
        <v>1211</v>
      </c>
      <c r="BP356" s="508">
        <f t="shared" ca="1" si="442"/>
        <v>148.79999999999998</v>
      </c>
      <c r="BQ356" s="615">
        <v>1.5</v>
      </c>
      <c r="BR356" s="523">
        <f>宝箱设定!$P205</f>
        <v>2.5899999999999996E-2</v>
      </c>
      <c r="BS356" s="170">
        <f t="shared" ca="1" si="443"/>
        <v>3.8293010752688171E-2</v>
      </c>
      <c r="BT356" s="508">
        <f t="shared" ca="1" si="444"/>
        <v>383</v>
      </c>
      <c r="BV356" s="381">
        <v>9</v>
      </c>
      <c r="BW356" s="525" t="s">
        <v>2257</v>
      </c>
      <c r="BX356" s="530" t="s">
        <v>2200</v>
      </c>
      <c r="BY356" s="523">
        <f t="shared" ca="1" si="436"/>
        <v>8.1</v>
      </c>
      <c r="BZ356" s="665">
        <v>1.5</v>
      </c>
      <c r="CA356" s="662">
        <v>6.0000000000000001E-3</v>
      </c>
      <c r="CB356" s="170">
        <f t="shared" ca="1" si="437"/>
        <v>2.4691358024691357E-2</v>
      </c>
      <c r="CC356" s="379">
        <f t="shared" ca="1" si="438"/>
        <v>247</v>
      </c>
    </row>
    <row r="357" spans="2:81" x14ac:dyDescent="0.35">
      <c r="B357" s="512">
        <v>8</v>
      </c>
      <c r="C357" s="516" t="s">
        <v>2260</v>
      </c>
      <c r="D357" s="529" t="s">
        <v>2444</v>
      </c>
      <c r="E357" s="508" t="str">
        <f t="shared" ca="1" si="423"/>
        <v>T2部件</v>
      </c>
      <c r="F357" s="565">
        <v>1</v>
      </c>
      <c r="G357" s="565">
        <v>6.0000000000000001E-3</v>
      </c>
      <c r="H357" s="170" t="e">
        <f t="shared" ca="1" si="434"/>
        <v>#VALUE!</v>
      </c>
      <c r="I357" s="508" t="e">
        <f t="shared" ca="1" si="435"/>
        <v>#VALUE!</v>
      </c>
      <c r="K357" s="512">
        <v>8</v>
      </c>
      <c r="L357" s="516" t="s">
        <v>2260</v>
      </c>
      <c r="M357" s="529" t="s">
        <v>2444</v>
      </c>
      <c r="N357" s="508" t="str">
        <f t="shared" ca="1" si="426"/>
        <v>T2部件</v>
      </c>
      <c r="O357" s="565">
        <v>1</v>
      </c>
      <c r="P357" s="633">
        <v>6.0000000000000001E-3</v>
      </c>
      <c r="Q357" s="170" t="e">
        <f t="shared" ca="1" si="445"/>
        <v>#VALUE!</v>
      </c>
      <c r="R357" s="508" t="e">
        <f t="shared" ca="1" si="446"/>
        <v>#VALUE!</v>
      </c>
      <c r="T357" s="512">
        <v>8</v>
      </c>
      <c r="U357" s="516" t="s">
        <v>2260</v>
      </c>
      <c r="V357" s="529" t="s">
        <v>2444</v>
      </c>
      <c r="W357" s="508" t="str">
        <f t="shared" ca="1" si="428"/>
        <v>T2部件</v>
      </c>
      <c r="X357" s="565">
        <v>1</v>
      </c>
      <c r="Y357" s="594">
        <v>6.0000000000000001E-3</v>
      </c>
      <c r="Z357" s="170" t="e">
        <f t="shared" ca="1" si="447"/>
        <v>#VALUE!</v>
      </c>
      <c r="AA357" s="508" t="e">
        <f t="shared" ca="1" si="448"/>
        <v>#VALUE!</v>
      </c>
      <c r="AC357" s="512">
        <v>8</v>
      </c>
      <c r="AD357" s="512" t="s">
        <v>2254</v>
      </c>
      <c r="AE357" s="529" t="s">
        <v>2444</v>
      </c>
      <c r="AF357" s="508">
        <f t="shared" ca="1" si="439"/>
        <v>8.7750000000000004</v>
      </c>
      <c r="AG357" s="594">
        <v>1</v>
      </c>
      <c r="AH357" s="633">
        <v>5.4999999999999997E-3</v>
      </c>
      <c r="AI357" s="170">
        <f t="shared" ca="1" si="455"/>
        <v>4.0113960113960109E-2</v>
      </c>
      <c r="AJ357" s="508">
        <f t="shared" ca="1" si="456"/>
        <v>401</v>
      </c>
      <c r="AL357" s="512">
        <v>8</v>
      </c>
      <c r="AM357" s="516" t="s">
        <v>620</v>
      </c>
      <c r="AN357" s="512" t="s">
        <v>1211</v>
      </c>
      <c r="AO357" s="508">
        <f t="shared" ca="1" si="450"/>
        <v>100</v>
      </c>
      <c r="AP357" s="408">
        <v>1.5</v>
      </c>
      <c r="AQ357" s="508">
        <f>宝箱设定!$X146</f>
        <v>7.007999999999999E-2</v>
      </c>
      <c r="AR357" s="170">
        <f t="shared" ca="1" si="451"/>
        <v>4.5318400000000002E-2</v>
      </c>
      <c r="AS357" s="408">
        <f t="shared" ca="1" si="452"/>
        <v>453</v>
      </c>
      <c r="AU357" s="512">
        <v>7</v>
      </c>
      <c r="AV357" s="516" t="s">
        <v>2283</v>
      </c>
      <c r="AW357" s="529" t="s">
        <v>2452</v>
      </c>
      <c r="AX357" s="508" t="str">
        <f t="shared" ca="1" si="417"/>
        <v>T3部件</v>
      </c>
      <c r="AY357" s="508">
        <v>1</v>
      </c>
      <c r="AZ357" s="633">
        <v>6.0000000000000001E-3</v>
      </c>
      <c r="BA357" s="170" t="e">
        <f t="shared" ca="1" si="453"/>
        <v>#VALUE!</v>
      </c>
      <c r="BB357" s="508" t="e">
        <f t="shared" ca="1" si="454"/>
        <v>#VALUE!</v>
      </c>
      <c r="BD357" s="512">
        <v>7</v>
      </c>
      <c r="BE357" s="516" t="s">
        <v>2283</v>
      </c>
      <c r="BF357" s="529" t="s">
        <v>2452</v>
      </c>
      <c r="BG357" s="508" t="str">
        <f t="shared" ca="1" si="418"/>
        <v>T3部件</v>
      </c>
      <c r="BH357" s="565">
        <v>1</v>
      </c>
      <c r="BI357" s="615">
        <v>6.4999999999999997E-3</v>
      </c>
      <c r="BJ357" s="170" t="e">
        <f t="shared" ca="1" si="432"/>
        <v>#VALUE!</v>
      </c>
      <c r="BK357" s="508" t="e">
        <f t="shared" ca="1" si="433"/>
        <v>#VALUE!</v>
      </c>
      <c r="BM357" s="512">
        <v>9</v>
      </c>
      <c r="BN357" s="527" t="s">
        <v>2258</v>
      </c>
      <c r="BO357" s="530" t="s">
        <v>2200</v>
      </c>
      <c r="BP357" s="508" t="str">
        <f t="shared" ca="1" si="442"/>
        <v>T2部件</v>
      </c>
      <c r="BQ357" s="508">
        <v>3</v>
      </c>
      <c r="BR357" s="600">
        <v>9.5999999999999992E-3</v>
      </c>
      <c r="BS357" s="170" t="e">
        <f t="shared" ca="1" si="443"/>
        <v>#VALUE!</v>
      </c>
      <c r="BT357" s="508" t="e">
        <f t="shared" ca="1" si="444"/>
        <v>#VALUE!</v>
      </c>
      <c r="BV357" s="381">
        <v>9</v>
      </c>
      <c r="BW357" s="527" t="s">
        <v>2258</v>
      </c>
      <c r="BX357" s="530" t="s">
        <v>2200</v>
      </c>
      <c r="BY357" s="523" t="str">
        <f t="shared" ca="1" si="436"/>
        <v>T2部件</v>
      </c>
      <c r="BZ357" s="573">
        <v>1</v>
      </c>
      <c r="CA357" s="634">
        <v>1.7000000000000001E-2</v>
      </c>
      <c r="CB357" s="170" t="e">
        <f t="shared" ca="1" si="437"/>
        <v>#VALUE!</v>
      </c>
      <c r="CC357" s="379" t="e">
        <f t="shared" ca="1" si="438"/>
        <v>#VALUE!</v>
      </c>
    </row>
    <row r="358" spans="2:81" x14ac:dyDescent="0.35">
      <c r="B358" s="512">
        <v>8</v>
      </c>
      <c r="C358" s="516" t="s">
        <v>2262</v>
      </c>
      <c r="D358" s="529" t="s">
        <v>2444</v>
      </c>
      <c r="E358" s="508" t="str">
        <f t="shared" ca="1" si="423"/>
        <v>T2部件</v>
      </c>
      <c r="F358" s="565">
        <v>1</v>
      </c>
      <c r="G358" s="565">
        <v>6.0000000000000001E-3</v>
      </c>
      <c r="H358" s="170" t="e">
        <f t="shared" ca="1" si="434"/>
        <v>#VALUE!</v>
      </c>
      <c r="I358" s="508" t="e">
        <f t="shared" ca="1" si="435"/>
        <v>#VALUE!</v>
      </c>
      <c r="K358" s="512">
        <v>8</v>
      </c>
      <c r="L358" s="516" t="s">
        <v>2262</v>
      </c>
      <c r="M358" s="529" t="s">
        <v>2444</v>
      </c>
      <c r="N358" s="508" t="str">
        <f t="shared" ca="1" si="426"/>
        <v>T2部件</v>
      </c>
      <c r="O358" s="565">
        <v>1</v>
      </c>
      <c r="P358" s="633">
        <v>6.0000000000000001E-3</v>
      </c>
      <c r="Q358" s="170" t="e">
        <f t="shared" ca="1" si="445"/>
        <v>#VALUE!</v>
      </c>
      <c r="R358" s="508" t="e">
        <f t="shared" ca="1" si="446"/>
        <v>#VALUE!</v>
      </c>
      <c r="T358" s="512">
        <v>8</v>
      </c>
      <c r="U358" s="516" t="s">
        <v>2262</v>
      </c>
      <c r="V358" s="529" t="s">
        <v>2444</v>
      </c>
      <c r="W358" s="508" t="str">
        <f t="shared" ca="1" si="428"/>
        <v>T2部件</v>
      </c>
      <c r="X358" s="565">
        <v>1</v>
      </c>
      <c r="Y358" s="594">
        <v>6.0000000000000001E-3</v>
      </c>
      <c r="Z358" s="170" t="e">
        <f t="shared" ca="1" si="447"/>
        <v>#VALUE!</v>
      </c>
      <c r="AA358" s="508" t="e">
        <f t="shared" ca="1" si="448"/>
        <v>#VALUE!</v>
      </c>
      <c r="AC358" s="512">
        <v>8</v>
      </c>
      <c r="AD358" s="512" t="s">
        <v>2256</v>
      </c>
      <c r="AE358" s="529" t="s">
        <v>2444</v>
      </c>
      <c r="AF358" s="508">
        <f t="shared" ca="1" si="439"/>
        <v>8.7750000000000004</v>
      </c>
      <c r="AG358" s="594">
        <v>1</v>
      </c>
      <c r="AH358" s="633">
        <v>5.4999999999999997E-3</v>
      </c>
      <c r="AI358" s="170">
        <f t="shared" ca="1" si="455"/>
        <v>4.0113960113960109E-2</v>
      </c>
      <c r="AJ358" s="508">
        <f t="shared" ca="1" si="456"/>
        <v>401</v>
      </c>
      <c r="AL358" s="512">
        <v>8</v>
      </c>
      <c r="AM358" s="516" t="s">
        <v>719</v>
      </c>
      <c r="AN358" s="512" t="s">
        <v>1211</v>
      </c>
      <c r="AO358" s="508">
        <f t="shared" ca="1" si="450"/>
        <v>100</v>
      </c>
      <c r="AP358" s="600">
        <v>1.5</v>
      </c>
      <c r="AQ358" s="508">
        <f>宝箱设定!$X147</f>
        <v>7.007999999999999E-2</v>
      </c>
      <c r="AR358" s="170">
        <f t="shared" ca="1" si="451"/>
        <v>4.5318400000000002E-2</v>
      </c>
      <c r="AS358" s="408">
        <f t="shared" ca="1" si="452"/>
        <v>453</v>
      </c>
      <c r="AU358" s="512">
        <v>7</v>
      </c>
      <c r="AV358" s="516" t="s">
        <v>2285</v>
      </c>
      <c r="AW358" s="529" t="s">
        <v>2452</v>
      </c>
      <c r="AX358" s="508" t="str">
        <f t="shared" ref="AX358:AX362" ca="1" si="457">IF(AW358="部件",VLOOKUP(AU358,INDIRECT(AW358&amp;"价值"),MATCH(LEFT(AV358,2)&amp;"部件",INDIRECT(AW358&amp;"价值标头"),0),FALSE),IF(AW358="加速道具",VLOOKUP(AV358,INDIRECT(AW358&amp;"价值"),MATCH("价格",INDIRECT(AW358&amp;"价值标头"),0),FALSE),VLOOKUP(AU358,INDIRECT(AW358&amp;"价值"),MATCH(AV358,INDIRECT(AW358&amp;"价值标头"),0),FALSE)))</f>
        <v>T3部件</v>
      </c>
      <c r="AY358" s="508">
        <v>1</v>
      </c>
      <c r="AZ358" s="633">
        <v>6.0000000000000001E-3</v>
      </c>
      <c r="BA358" s="170" t="e">
        <f t="shared" ca="1" si="453"/>
        <v>#VALUE!</v>
      </c>
      <c r="BB358" s="508" t="e">
        <f t="shared" ca="1" si="454"/>
        <v>#VALUE!</v>
      </c>
      <c r="BD358" s="512">
        <v>7</v>
      </c>
      <c r="BE358" s="516" t="s">
        <v>2285</v>
      </c>
      <c r="BF358" s="529" t="s">
        <v>2452</v>
      </c>
      <c r="BG358" s="508" t="str">
        <f t="shared" ref="BG358:BG362" ca="1" si="458">IF(BF358="部件",VLOOKUP(BD358,INDIRECT(BF358&amp;"价值"),MATCH(LEFT(BE358,2)&amp;"部件",INDIRECT(BF358&amp;"价值标头"),0),FALSE),IF(BF358="加速道具",VLOOKUP(BE358,INDIRECT(BF358&amp;"价值"),MATCH("价格",INDIRECT(BF358&amp;"价值标头"),0),FALSE),VLOOKUP(BD358,INDIRECT(BF358&amp;"价值"),MATCH(BE358,INDIRECT(BF358&amp;"价值标头"),0),FALSE)))</f>
        <v>T3部件</v>
      </c>
      <c r="BH358" s="565">
        <v>1</v>
      </c>
      <c r="BI358" s="615">
        <v>6.4999999999999997E-3</v>
      </c>
      <c r="BJ358" s="170" t="e">
        <f t="shared" ca="1" si="432"/>
        <v>#VALUE!</v>
      </c>
      <c r="BK358" s="508" t="e">
        <f t="shared" ca="1" si="433"/>
        <v>#VALUE!</v>
      </c>
      <c r="BM358" s="512">
        <v>9</v>
      </c>
      <c r="BN358" s="527" t="s">
        <v>2260</v>
      </c>
      <c r="BO358" s="530" t="s">
        <v>2200</v>
      </c>
      <c r="BP358" s="508" t="str">
        <f t="shared" ca="1" si="442"/>
        <v>T2部件</v>
      </c>
      <c r="BQ358" s="632">
        <v>3</v>
      </c>
      <c r="BR358" s="615">
        <v>9.5999999999999992E-3</v>
      </c>
      <c r="BS358" s="170" t="e">
        <f t="shared" ca="1" si="443"/>
        <v>#VALUE!</v>
      </c>
      <c r="BT358" s="508" t="e">
        <f t="shared" ca="1" si="444"/>
        <v>#VALUE!</v>
      </c>
      <c r="BV358" s="381">
        <v>9</v>
      </c>
      <c r="BW358" s="527" t="s">
        <v>2260</v>
      </c>
      <c r="BX358" s="530" t="s">
        <v>2200</v>
      </c>
      <c r="BY358" s="523" t="str">
        <f t="shared" ca="1" si="436"/>
        <v>T2部件</v>
      </c>
      <c r="BZ358" s="665">
        <v>1</v>
      </c>
      <c r="CA358" s="634">
        <v>1.7000000000000001E-2</v>
      </c>
      <c r="CB358" s="170" t="e">
        <f t="shared" ca="1" si="437"/>
        <v>#VALUE!</v>
      </c>
      <c r="CC358" s="379" t="e">
        <f t="shared" ca="1" si="438"/>
        <v>#VALUE!</v>
      </c>
    </row>
    <row r="359" spans="2:81" x14ac:dyDescent="0.35">
      <c r="B359" s="512">
        <v>8</v>
      </c>
      <c r="C359" s="516" t="s">
        <v>2264</v>
      </c>
      <c r="D359" s="529" t="s">
        <v>2444</v>
      </c>
      <c r="E359" s="508" t="str">
        <f t="shared" ca="1" si="423"/>
        <v>T2部件</v>
      </c>
      <c r="F359" s="565">
        <v>1</v>
      </c>
      <c r="G359" s="565">
        <v>6.0000000000000001E-3</v>
      </c>
      <c r="H359" s="170" t="e">
        <f t="shared" ca="1" si="434"/>
        <v>#VALUE!</v>
      </c>
      <c r="I359" s="508" t="e">
        <f t="shared" ca="1" si="435"/>
        <v>#VALUE!</v>
      </c>
      <c r="K359" s="512">
        <v>8</v>
      </c>
      <c r="L359" s="516" t="s">
        <v>2264</v>
      </c>
      <c r="M359" s="529" t="s">
        <v>2444</v>
      </c>
      <c r="N359" s="508" t="str">
        <f t="shared" ca="1" si="426"/>
        <v>T2部件</v>
      </c>
      <c r="O359" s="565">
        <v>1</v>
      </c>
      <c r="P359" s="633">
        <v>6.0000000000000001E-3</v>
      </c>
      <c r="Q359" s="170" t="e">
        <f t="shared" ca="1" si="445"/>
        <v>#VALUE!</v>
      </c>
      <c r="R359" s="508" t="e">
        <f t="shared" ca="1" si="446"/>
        <v>#VALUE!</v>
      </c>
      <c r="T359" s="512">
        <v>8</v>
      </c>
      <c r="U359" s="516" t="s">
        <v>2264</v>
      </c>
      <c r="V359" s="529" t="s">
        <v>2444</v>
      </c>
      <c r="W359" s="508" t="str">
        <f t="shared" ca="1" si="428"/>
        <v>T2部件</v>
      </c>
      <c r="X359" s="565">
        <v>1</v>
      </c>
      <c r="Y359" s="594">
        <v>6.0000000000000001E-3</v>
      </c>
      <c r="Z359" s="170" t="e">
        <f t="shared" ca="1" si="447"/>
        <v>#VALUE!</v>
      </c>
      <c r="AA359" s="508" t="e">
        <f t="shared" ca="1" si="448"/>
        <v>#VALUE!</v>
      </c>
      <c r="AC359" s="512">
        <v>8</v>
      </c>
      <c r="AD359" s="516" t="s">
        <v>2241</v>
      </c>
      <c r="AE359" s="529" t="s">
        <v>2444</v>
      </c>
      <c r="AF359" s="508">
        <f t="shared" ca="1" si="439"/>
        <v>8.7750000000000004</v>
      </c>
      <c r="AG359" s="594">
        <v>1</v>
      </c>
      <c r="AH359" s="633">
        <v>5.4999999999999997E-3</v>
      </c>
      <c r="AI359" s="170">
        <f t="shared" ca="1" si="455"/>
        <v>4.0113960113960109E-2</v>
      </c>
      <c r="AJ359" s="508">
        <f t="shared" ca="1" si="456"/>
        <v>401</v>
      </c>
      <c r="AL359" s="512">
        <v>8</v>
      </c>
      <c r="AM359" s="516" t="s">
        <v>635</v>
      </c>
      <c r="AN359" s="512" t="s">
        <v>1211</v>
      </c>
      <c r="AO359" s="508">
        <f t="shared" ca="1" si="450"/>
        <v>100</v>
      </c>
      <c r="AP359" s="600">
        <v>1.5</v>
      </c>
      <c r="AQ359" s="508">
        <f>宝箱设定!$X148</f>
        <v>7.007999999999999E-2</v>
      </c>
      <c r="AR359" s="170">
        <f t="shared" ca="1" si="451"/>
        <v>4.5318400000000002E-2</v>
      </c>
      <c r="AS359" s="408">
        <f t="shared" ca="1" si="452"/>
        <v>453</v>
      </c>
      <c r="AU359" s="512">
        <v>7</v>
      </c>
      <c r="AV359" s="516" t="s">
        <v>2287</v>
      </c>
      <c r="AW359" s="529" t="s">
        <v>2452</v>
      </c>
      <c r="AX359" s="508" t="str">
        <f t="shared" ca="1" si="457"/>
        <v>T3部件</v>
      </c>
      <c r="AY359" s="508">
        <v>1</v>
      </c>
      <c r="AZ359" s="633">
        <v>6.0000000000000001E-3</v>
      </c>
      <c r="BA359" s="170" t="e">
        <f t="shared" ca="1" si="453"/>
        <v>#VALUE!</v>
      </c>
      <c r="BB359" s="508" t="e">
        <f t="shared" ca="1" si="454"/>
        <v>#VALUE!</v>
      </c>
      <c r="BD359" s="512">
        <v>7</v>
      </c>
      <c r="BE359" s="516" t="s">
        <v>2287</v>
      </c>
      <c r="BF359" s="529" t="s">
        <v>2452</v>
      </c>
      <c r="BG359" s="508" t="str">
        <f t="shared" ca="1" si="458"/>
        <v>T3部件</v>
      </c>
      <c r="BH359" s="565">
        <v>1</v>
      </c>
      <c r="BI359" s="615">
        <v>6.4999999999999997E-3</v>
      </c>
      <c r="BJ359" s="170" t="e">
        <f t="shared" ca="1" si="432"/>
        <v>#VALUE!</v>
      </c>
      <c r="BK359" s="508" t="e">
        <f t="shared" ca="1" si="433"/>
        <v>#VALUE!</v>
      </c>
      <c r="BM359" s="512">
        <v>9</v>
      </c>
      <c r="BN359" s="527" t="s">
        <v>2262</v>
      </c>
      <c r="BO359" s="530" t="s">
        <v>2200</v>
      </c>
      <c r="BP359" s="508" t="str">
        <f t="shared" ca="1" si="442"/>
        <v>T2部件</v>
      </c>
      <c r="BQ359" s="632">
        <v>3</v>
      </c>
      <c r="BR359" s="615">
        <v>9.5999999999999992E-3</v>
      </c>
      <c r="BS359" s="170" t="e">
        <f t="shared" ca="1" si="443"/>
        <v>#VALUE!</v>
      </c>
      <c r="BT359" s="508" t="e">
        <f t="shared" ca="1" si="444"/>
        <v>#VALUE!</v>
      </c>
      <c r="BV359" s="381">
        <v>9</v>
      </c>
      <c r="BW359" s="527" t="s">
        <v>2262</v>
      </c>
      <c r="BX359" s="530" t="s">
        <v>2200</v>
      </c>
      <c r="BY359" s="523" t="str">
        <f t="shared" ca="1" si="436"/>
        <v>T2部件</v>
      </c>
      <c r="BZ359" s="665">
        <v>1</v>
      </c>
      <c r="CA359" s="634">
        <v>1.7000000000000001E-2</v>
      </c>
      <c r="CB359" s="170" t="e">
        <f t="shared" ca="1" si="437"/>
        <v>#VALUE!</v>
      </c>
      <c r="CC359" s="379" t="e">
        <f t="shared" ca="1" si="438"/>
        <v>#VALUE!</v>
      </c>
    </row>
    <row r="360" spans="2:81" x14ac:dyDescent="0.35">
      <c r="B360" s="512">
        <v>8</v>
      </c>
      <c r="C360" s="516" t="s">
        <v>2266</v>
      </c>
      <c r="D360" s="529" t="s">
        <v>2444</v>
      </c>
      <c r="E360" s="508" t="str">
        <f t="shared" ca="1" si="423"/>
        <v>T2部件</v>
      </c>
      <c r="F360" s="565">
        <v>1</v>
      </c>
      <c r="G360" s="565">
        <v>6.0000000000000001E-3</v>
      </c>
      <c r="H360" s="170" t="e">
        <f t="shared" ca="1" si="434"/>
        <v>#VALUE!</v>
      </c>
      <c r="I360" s="508" t="e">
        <f t="shared" ca="1" si="435"/>
        <v>#VALUE!</v>
      </c>
      <c r="K360" s="512">
        <v>8</v>
      </c>
      <c r="L360" s="516" t="s">
        <v>2266</v>
      </c>
      <c r="M360" s="529" t="s">
        <v>2444</v>
      </c>
      <c r="N360" s="508" t="str">
        <f t="shared" ca="1" si="426"/>
        <v>T2部件</v>
      </c>
      <c r="O360" s="565">
        <v>1</v>
      </c>
      <c r="P360" s="633">
        <v>6.0000000000000001E-3</v>
      </c>
      <c r="Q360" s="170" t="e">
        <f t="shared" ca="1" si="445"/>
        <v>#VALUE!</v>
      </c>
      <c r="R360" s="508" t="e">
        <f t="shared" ca="1" si="446"/>
        <v>#VALUE!</v>
      </c>
      <c r="T360" s="512">
        <v>8</v>
      </c>
      <c r="U360" s="516" t="s">
        <v>2266</v>
      </c>
      <c r="V360" s="529" t="s">
        <v>2444</v>
      </c>
      <c r="W360" s="508" t="str">
        <f t="shared" ca="1" si="428"/>
        <v>T2部件</v>
      </c>
      <c r="X360" s="565">
        <v>1</v>
      </c>
      <c r="Y360" s="594">
        <v>6.0000000000000001E-3</v>
      </c>
      <c r="Z360" s="170" t="e">
        <f t="shared" ca="1" si="447"/>
        <v>#VALUE!</v>
      </c>
      <c r="AA360" s="508" t="e">
        <f t="shared" ca="1" si="448"/>
        <v>#VALUE!</v>
      </c>
      <c r="AC360" s="512">
        <v>8</v>
      </c>
      <c r="AD360" s="516" t="s">
        <v>2243</v>
      </c>
      <c r="AE360" s="529" t="s">
        <v>2444</v>
      </c>
      <c r="AF360" s="508">
        <f t="shared" ca="1" si="439"/>
        <v>8.7750000000000004</v>
      </c>
      <c r="AG360" s="594">
        <v>1</v>
      </c>
      <c r="AH360" s="633">
        <v>5.4999999999999997E-3</v>
      </c>
      <c r="AI360" s="170">
        <f t="shared" ca="1" si="455"/>
        <v>4.0113960113960109E-2</v>
      </c>
      <c r="AJ360" s="508">
        <f t="shared" ca="1" si="456"/>
        <v>401</v>
      </c>
      <c r="AL360" s="512">
        <v>8</v>
      </c>
      <c r="AM360" s="516" t="s">
        <v>717</v>
      </c>
      <c r="AN360" s="512" t="s">
        <v>1211</v>
      </c>
      <c r="AO360" s="508">
        <f t="shared" ca="1" si="450"/>
        <v>125</v>
      </c>
      <c r="AP360" s="508">
        <v>1</v>
      </c>
      <c r="AQ360" s="508">
        <f>宝箱设定!$X149</f>
        <v>7.007999999999999E-2</v>
      </c>
      <c r="AR360" s="170">
        <f t="shared" ca="1" si="451"/>
        <v>5.4382079999999992E-2</v>
      </c>
      <c r="AS360" s="279">
        <f t="shared" ca="1" si="452"/>
        <v>544</v>
      </c>
      <c r="AU360" s="512">
        <v>7</v>
      </c>
      <c r="AV360" s="516" t="s">
        <v>2289</v>
      </c>
      <c r="AW360" s="529" t="s">
        <v>2452</v>
      </c>
      <c r="AX360" s="508" t="str">
        <f t="shared" ca="1" si="457"/>
        <v>T3部件</v>
      </c>
      <c r="AY360" s="508">
        <v>1</v>
      </c>
      <c r="AZ360" s="633">
        <v>6.0000000000000001E-3</v>
      </c>
      <c r="BA360" s="170" t="e">
        <f t="shared" ca="1" si="453"/>
        <v>#VALUE!</v>
      </c>
      <c r="BB360" s="508" t="e">
        <f t="shared" ca="1" si="454"/>
        <v>#VALUE!</v>
      </c>
      <c r="BD360" s="512">
        <v>7</v>
      </c>
      <c r="BE360" s="516" t="s">
        <v>2289</v>
      </c>
      <c r="BF360" s="529" t="s">
        <v>2452</v>
      </c>
      <c r="BG360" s="508" t="str">
        <f t="shared" ca="1" si="458"/>
        <v>T3部件</v>
      </c>
      <c r="BH360" s="565">
        <v>1</v>
      </c>
      <c r="BI360" s="615">
        <v>6.4999999999999997E-3</v>
      </c>
      <c r="BJ360" s="170" t="e">
        <f t="shared" ca="1" si="432"/>
        <v>#VALUE!</v>
      </c>
      <c r="BK360" s="508" t="e">
        <f t="shared" ca="1" si="433"/>
        <v>#VALUE!</v>
      </c>
      <c r="BM360" s="512">
        <v>9</v>
      </c>
      <c r="BN360" s="527" t="s">
        <v>2264</v>
      </c>
      <c r="BO360" s="530" t="s">
        <v>2200</v>
      </c>
      <c r="BP360" s="508" t="str">
        <f t="shared" ca="1" si="442"/>
        <v>T2部件</v>
      </c>
      <c r="BQ360" s="632">
        <v>3</v>
      </c>
      <c r="BR360" s="615">
        <v>9.5999999999999992E-3</v>
      </c>
      <c r="BS360" s="170" t="e">
        <f t="shared" ca="1" si="443"/>
        <v>#VALUE!</v>
      </c>
      <c r="BT360" s="508" t="e">
        <f t="shared" ca="1" si="444"/>
        <v>#VALUE!</v>
      </c>
      <c r="BV360" s="396">
        <v>9</v>
      </c>
      <c r="BW360" s="527" t="s">
        <v>2264</v>
      </c>
      <c r="BX360" s="530" t="s">
        <v>2200</v>
      </c>
      <c r="BY360" s="523" t="str">
        <f t="shared" ca="1" si="436"/>
        <v>T2部件</v>
      </c>
      <c r="BZ360" s="665">
        <v>1</v>
      </c>
      <c r="CA360" s="634">
        <v>1.7000000000000001E-2</v>
      </c>
      <c r="CB360" s="170" t="e">
        <f t="shared" ca="1" si="437"/>
        <v>#VALUE!</v>
      </c>
      <c r="CC360" s="379" t="e">
        <f t="shared" ca="1" si="438"/>
        <v>#VALUE!</v>
      </c>
    </row>
    <row r="361" spans="2:81" x14ac:dyDescent="0.35">
      <c r="B361" s="512">
        <v>8</v>
      </c>
      <c r="C361" s="516" t="s">
        <v>2268</v>
      </c>
      <c r="D361" s="529" t="s">
        <v>2444</v>
      </c>
      <c r="E361" s="508" t="str">
        <f t="shared" ca="1" si="423"/>
        <v>T2部件</v>
      </c>
      <c r="F361" s="565">
        <v>1</v>
      </c>
      <c r="G361" s="565">
        <v>6.0000000000000001E-3</v>
      </c>
      <c r="H361" s="170" t="e">
        <f t="shared" ca="1" si="434"/>
        <v>#VALUE!</v>
      </c>
      <c r="I361" s="508" t="e">
        <f t="shared" ca="1" si="435"/>
        <v>#VALUE!</v>
      </c>
      <c r="K361" s="512">
        <v>8</v>
      </c>
      <c r="L361" s="516" t="s">
        <v>2268</v>
      </c>
      <c r="M361" s="529" t="s">
        <v>2444</v>
      </c>
      <c r="N361" s="508" t="str">
        <f t="shared" ca="1" si="426"/>
        <v>T2部件</v>
      </c>
      <c r="O361" s="565">
        <v>1</v>
      </c>
      <c r="P361" s="633">
        <v>6.0000000000000001E-3</v>
      </c>
      <c r="Q361" s="170" t="e">
        <f t="shared" ca="1" si="445"/>
        <v>#VALUE!</v>
      </c>
      <c r="R361" s="508" t="e">
        <f t="shared" ca="1" si="446"/>
        <v>#VALUE!</v>
      </c>
      <c r="T361" s="512">
        <v>8</v>
      </c>
      <c r="U361" s="516" t="s">
        <v>2268</v>
      </c>
      <c r="V361" s="529" t="s">
        <v>2444</v>
      </c>
      <c r="W361" s="508" t="str">
        <f t="shared" ca="1" si="428"/>
        <v>T2部件</v>
      </c>
      <c r="X361" s="565">
        <v>1</v>
      </c>
      <c r="Y361" s="594">
        <v>6.0000000000000001E-3</v>
      </c>
      <c r="Z361" s="170" t="e">
        <f t="shared" ca="1" si="447"/>
        <v>#VALUE!</v>
      </c>
      <c r="AA361" s="508" t="e">
        <f t="shared" ca="1" si="448"/>
        <v>#VALUE!</v>
      </c>
      <c r="AC361" s="512">
        <v>8</v>
      </c>
      <c r="AD361" s="516" t="s">
        <v>2245</v>
      </c>
      <c r="AE361" s="529" t="s">
        <v>2444</v>
      </c>
      <c r="AF361" s="508">
        <f t="shared" ca="1" si="439"/>
        <v>8.7750000000000004</v>
      </c>
      <c r="AG361" s="594">
        <v>1</v>
      </c>
      <c r="AH361" s="633">
        <v>5.4999999999999997E-3</v>
      </c>
      <c r="AI361" s="170">
        <f t="shared" ca="1" si="455"/>
        <v>4.0113960113960109E-2</v>
      </c>
      <c r="AJ361" s="508">
        <f t="shared" ca="1" si="456"/>
        <v>401</v>
      </c>
      <c r="AL361" s="512">
        <v>8</v>
      </c>
      <c r="AM361" s="516" t="s">
        <v>621</v>
      </c>
      <c r="AN361" s="512" t="s">
        <v>1211</v>
      </c>
      <c r="AO361" s="508">
        <f t="shared" ca="1" si="450"/>
        <v>155</v>
      </c>
      <c r="AP361" s="508">
        <v>1</v>
      </c>
      <c r="AQ361" s="508">
        <f>宝箱设定!$X150</f>
        <v>7.007999999999999E-2</v>
      </c>
      <c r="AR361" s="170">
        <f t="shared" ca="1" si="451"/>
        <v>4.3856516129032255E-2</v>
      </c>
      <c r="AS361" s="279">
        <f t="shared" ca="1" si="452"/>
        <v>439</v>
      </c>
      <c r="AU361" s="512">
        <v>7</v>
      </c>
      <c r="AV361" s="512" t="s">
        <v>2291</v>
      </c>
      <c r="AW361" s="529" t="s">
        <v>2452</v>
      </c>
      <c r="AX361" s="508" t="str">
        <f t="shared" ca="1" si="457"/>
        <v>T3部件</v>
      </c>
      <c r="AY361" s="508">
        <v>1</v>
      </c>
      <c r="AZ361" s="633">
        <v>6.0000000000000001E-3</v>
      </c>
      <c r="BA361" s="170" t="e">
        <f t="shared" ca="1" si="453"/>
        <v>#VALUE!</v>
      </c>
      <c r="BB361" s="508" t="e">
        <f t="shared" ca="1" si="454"/>
        <v>#VALUE!</v>
      </c>
      <c r="BD361" s="512">
        <v>7</v>
      </c>
      <c r="BE361" s="512" t="s">
        <v>2291</v>
      </c>
      <c r="BF361" s="529" t="s">
        <v>2452</v>
      </c>
      <c r="BG361" s="508" t="str">
        <f t="shared" ca="1" si="458"/>
        <v>T3部件</v>
      </c>
      <c r="BH361" s="565">
        <v>1</v>
      </c>
      <c r="BI361" s="615">
        <v>6.4999999999999997E-3</v>
      </c>
      <c r="BJ361" s="170" t="e">
        <f t="shared" ca="1" si="432"/>
        <v>#VALUE!</v>
      </c>
      <c r="BK361" s="508" t="e">
        <f t="shared" ca="1" si="433"/>
        <v>#VALUE!</v>
      </c>
      <c r="BM361" s="512">
        <v>9</v>
      </c>
      <c r="BN361" s="527" t="s">
        <v>2266</v>
      </c>
      <c r="BO361" s="530" t="s">
        <v>2200</v>
      </c>
      <c r="BP361" s="508" t="str">
        <f t="shared" ca="1" si="442"/>
        <v>T2部件</v>
      </c>
      <c r="BQ361" s="632">
        <v>3</v>
      </c>
      <c r="BR361" s="615">
        <v>9.5999999999999992E-3</v>
      </c>
      <c r="BS361" s="170" t="e">
        <f t="shared" ca="1" si="443"/>
        <v>#VALUE!</v>
      </c>
      <c r="BT361" s="508" t="e">
        <f t="shared" ca="1" si="444"/>
        <v>#VALUE!</v>
      </c>
      <c r="BV361" s="396">
        <v>9</v>
      </c>
      <c r="BW361" s="527" t="s">
        <v>2266</v>
      </c>
      <c r="BX361" s="530" t="s">
        <v>2200</v>
      </c>
      <c r="BY361" s="523" t="str">
        <f t="shared" ca="1" si="436"/>
        <v>T2部件</v>
      </c>
      <c r="BZ361" s="665">
        <v>1</v>
      </c>
      <c r="CA361" s="634">
        <v>1.7000000000000001E-2</v>
      </c>
      <c r="CB361" s="170" t="e">
        <f t="shared" ca="1" si="437"/>
        <v>#VALUE!</v>
      </c>
      <c r="CC361" s="379" t="e">
        <f t="shared" ca="1" si="438"/>
        <v>#VALUE!</v>
      </c>
    </row>
    <row r="362" spans="2:81" x14ac:dyDescent="0.35">
      <c r="B362" s="512">
        <v>8</v>
      </c>
      <c r="C362" s="516" t="s">
        <v>2270</v>
      </c>
      <c r="D362" s="529" t="s">
        <v>2444</v>
      </c>
      <c r="E362" s="508" t="str">
        <f t="shared" ref="E362:E391" ca="1" si="459">IF(D362="部件",VLOOKUP(B362,INDIRECT(D362&amp;"价值"),MATCH(LEFT(C362,2)&amp;"部件",INDIRECT(D362&amp;"价值标头"),0),FALSE),IF(D362="加速道具",VLOOKUP(C362,INDIRECT(D362&amp;"价值"),MATCH("价格",INDIRECT(D362&amp;"价值标头"),0),FALSE),VLOOKUP(B362,INDIRECT(D362&amp;"价值"),MATCH(C362,INDIRECT(D362&amp;"价值标头"),0),FALSE)))</f>
        <v>T2部件</v>
      </c>
      <c r="F362" s="565">
        <v>1</v>
      </c>
      <c r="G362" s="565">
        <v>6.0000000000000001E-3</v>
      </c>
      <c r="H362" s="170" t="e">
        <f t="shared" ca="1" si="434"/>
        <v>#VALUE!</v>
      </c>
      <c r="I362" s="508" t="e">
        <f t="shared" ca="1" si="435"/>
        <v>#VALUE!</v>
      </c>
      <c r="K362" s="512">
        <v>8</v>
      </c>
      <c r="L362" s="516" t="s">
        <v>2270</v>
      </c>
      <c r="M362" s="529" t="s">
        <v>2444</v>
      </c>
      <c r="N362" s="508" t="str">
        <f t="shared" ref="N362:N391" ca="1" si="460">IF(M362="部件",VLOOKUP(K362,INDIRECT(M362&amp;"价值"),MATCH(LEFT(L362,2)&amp;"部件",INDIRECT(M362&amp;"价值标头"),0),FALSE),IF(M362="加速道具",VLOOKUP(L362,INDIRECT(M362&amp;"价值"),MATCH("价格",INDIRECT(M362&amp;"价值标头"),0),FALSE),VLOOKUP(K362,INDIRECT(M362&amp;"价值"),MATCH(L362,INDIRECT(M362&amp;"价值标头"),0),FALSE)))</f>
        <v>T2部件</v>
      </c>
      <c r="O362" s="565">
        <v>1</v>
      </c>
      <c r="P362" s="633">
        <v>6.0000000000000001E-3</v>
      </c>
      <c r="Q362" s="170" t="e">
        <f t="shared" ca="1" si="445"/>
        <v>#VALUE!</v>
      </c>
      <c r="R362" s="508" t="e">
        <f t="shared" ca="1" si="446"/>
        <v>#VALUE!</v>
      </c>
      <c r="T362" s="512">
        <v>8</v>
      </c>
      <c r="U362" s="516" t="s">
        <v>2270</v>
      </c>
      <c r="V362" s="529" t="s">
        <v>2444</v>
      </c>
      <c r="W362" s="508" t="str">
        <f t="shared" ref="W362:W391" ca="1" si="461">IF(V362="部件",VLOOKUP(T362,INDIRECT(V362&amp;"价值"),MATCH(LEFT(U362,2)&amp;"部件",INDIRECT(V362&amp;"价值标头"),0),FALSE),IF(V362="加速道具",VLOOKUP(U362,INDIRECT(V362&amp;"价值"),MATCH("价格",INDIRECT(V362&amp;"价值标头"),0),FALSE),VLOOKUP(T362,INDIRECT(V362&amp;"价值"),MATCH(U362,INDIRECT(V362&amp;"价值标头"),0),FALSE)))</f>
        <v>T2部件</v>
      </c>
      <c r="X362" s="565">
        <v>1</v>
      </c>
      <c r="Y362" s="594">
        <v>6.0000000000000001E-3</v>
      </c>
      <c r="Z362" s="170" t="e">
        <f t="shared" ca="1" si="447"/>
        <v>#VALUE!</v>
      </c>
      <c r="AA362" s="508" t="e">
        <f t="shared" ca="1" si="448"/>
        <v>#VALUE!</v>
      </c>
      <c r="AC362" s="512">
        <v>8</v>
      </c>
      <c r="AD362" s="516" t="s">
        <v>2247</v>
      </c>
      <c r="AE362" s="529" t="s">
        <v>2444</v>
      </c>
      <c r="AF362" s="508">
        <f t="shared" ca="1" si="439"/>
        <v>8.7750000000000004</v>
      </c>
      <c r="AG362" s="594">
        <v>1</v>
      </c>
      <c r="AH362" s="633">
        <v>5.4999999999999997E-3</v>
      </c>
      <c r="AI362" s="170">
        <f t="shared" ca="1" si="455"/>
        <v>4.0113960113960109E-2</v>
      </c>
      <c r="AJ362" s="508">
        <f t="shared" ca="1" si="456"/>
        <v>401</v>
      </c>
      <c r="AL362" s="512">
        <v>8</v>
      </c>
      <c r="AM362" s="516" t="s">
        <v>2239</v>
      </c>
      <c r="AN362" s="529" t="s">
        <v>2444</v>
      </c>
      <c r="AO362" s="508">
        <f t="shared" ca="1" si="450"/>
        <v>8.7750000000000004</v>
      </c>
      <c r="AP362" s="394">
        <v>2</v>
      </c>
      <c r="AQ362" s="633">
        <v>6.0000000000000001E-3</v>
      </c>
      <c r="AR362" s="170">
        <f t="shared" ca="1" si="451"/>
        <v>3.316239316239316E-2</v>
      </c>
      <c r="AS362" s="279">
        <f t="shared" ca="1" si="452"/>
        <v>332</v>
      </c>
      <c r="AU362" s="512">
        <v>7</v>
      </c>
      <c r="AV362" s="512" t="s">
        <v>2293</v>
      </c>
      <c r="AW362" s="529" t="s">
        <v>2452</v>
      </c>
      <c r="AX362" s="508" t="str">
        <f t="shared" ca="1" si="457"/>
        <v>T3部件</v>
      </c>
      <c r="AY362" s="508">
        <v>1</v>
      </c>
      <c r="AZ362" s="633">
        <v>6.0000000000000001E-3</v>
      </c>
      <c r="BA362" s="170" t="e">
        <f t="shared" ca="1" si="453"/>
        <v>#VALUE!</v>
      </c>
      <c r="BB362" s="508" t="e">
        <f t="shared" ca="1" si="454"/>
        <v>#VALUE!</v>
      </c>
      <c r="BD362" s="512">
        <v>7</v>
      </c>
      <c r="BE362" s="512" t="s">
        <v>2293</v>
      </c>
      <c r="BF362" s="529" t="s">
        <v>2452</v>
      </c>
      <c r="BG362" s="508" t="str">
        <f t="shared" ca="1" si="458"/>
        <v>T3部件</v>
      </c>
      <c r="BH362" s="565">
        <v>1</v>
      </c>
      <c r="BI362" s="615">
        <v>6.4999999999999997E-3</v>
      </c>
      <c r="BJ362" s="170" t="e">
        <f t="shared" ca="1" si="432"/>
        <v>#VALUE!</v>
      </c>
      <c r="BK362" s="508" t="e">
        <f t="shared" ca="1" si="433"/>
        <v>#VALUE!</v>
      </c>
      <c r="BM362" s="512">
        <v>9</v>
      </c>
      <c r="BN362" s="527" t="s">
        <v>2268</v>
      </c>
      <c r="BO362" s="530" t="s">
        <v>2200</v>
      </c>
      <c r="BP362" s="508" t="str">
        <f t="shared" ca="1" si="442"/>
        <v>T2部件</v>
      </c>
      <c r="BQ362" s="632">
        <v>3</v>
      </c>
      <c r="BR362" s="615">
        <v>9.5999999999999992E-3</v>
      </c>
      <c r="BS362" s="170" t="e">
        <f t="shared" ca="1" si="443"/>
        <v>#VALUE!</v>
      </c>
      <c r="BT362" s="508" t="e">
        <f t="shared" ca="1" si="444"/>
        <v>#VALUE!</v>
      </c>
      <c r="BV362" s="396">
        <v>9</v>
      </c>
      <c r="BW362" s="527" t="s">
        <v>2268</v>
      </c>
      <c r="BX362" s="530" t="s">
        <v>2200</v>
      </c>
      <c r="BY362" s="523" t="str">
        <f t="shared" ca="1" si="436"/>
        <v>T2部件</v>
      </c>
      <c r="BZ362" s="665">
        <v>1</v>
      </c>
      <c r="CA362" s="634">
        <v>1.7000000000000001E-2</v>
      </c>
      <c r="CB362" s="170" t="e">
        <f t="shared" ca="1" si="437"/>
        <v>#VALUE!</v>
      </c>
      <c r="CC362" s="379" t="e">
        <f t="shared" ca="1" si="438"/>
        <v>#VALUE!</v>
      </c>
    </row>
    <row r="363" spans="2:81" x14ac:dyDescent="0.35">
      <c r="B363" s="512">
        <v>8</v>
      </c>
      <c r="C363" s="512" t="s">
        <v>2272</v>
      </c>
      <c r="D363" s="529" t="s">
        <v>2444</v>
      </c>
      <c r="E363" s="508" t="str">
        <f t="shared" ca="1" si="459"/>
        <v>T2部件</v>
      </c>
      <c r="F363" s="565">
        <v>1</v>
      </c>
      <c r="G363" s="565">
        <v>6.0000000000000001E-3</v>
      </c>
      <c r="H363" s="170" t="e">
        <f t="shared" ca="1" si="434"/>
        <v>#VALUE!</v>
      </c>
      <c r="I363" s="508" t="e">
        <f t="shared" ca="1" si="435"/>
        <v>#VALUE!</v>
      </c>
      <c r="K363" s="512">
        <v>8</v>
      </c>
      <c r="L363" s="512" t="s">
        <v>2272</v>
      </c>
      <c r="M363" s="529" t="s">
        <v>2444</v>
      </c>
      <c r="N363" s="508" t="str">
        <f t="shared" ca="1" si="460"/>
        <v>T2部件</v>
      </c>
      <c r="O363" s="565">
        <v>1</v>
      </c>
      <c r="P363" s="633">
        <v>6.0000000000000001E-3</v>
      </c>
      <c r="Q363" s="170" t="e">
        <f t="shared" ca="1" si="445"/>
        <v>#VALUE!</v>
      </c>
      <c r="R363" s="508" t="e">
        <f t="shared" ca="1" si="446"/>
        <v>#VALUE!</v>
      </c>
      <c r="T363" s="512">
        <v>8</v>
      </c>
      <c r="U363" s="512" t="s">
        <v>2272</v>
      </c>
      <c r="V363" s="529" t="s">
        <v>2444</v>
      </c>
      <c r="W363" s="508" t="str">
        <f t="shared" ca="1" si="461"/>
        <v>T2部件</v>
      </c>
      <c r="X363" s="565">
        <v>1</v>
      </c>
      <c r="Y363" s="594">
        <v>6.0000000000000001E-3</v>
      </c>
      <c r="Z363" s="170" t="e">
        <f t="shared" ca="1" si="447"/>
        <v>#VALUE!</v>
      </c>
      <c r="AA363" s="508" t="e">
        <f t="shared" ca="1" si="448"/>
        <v>#VALUE!</v>
      </c>
      <c r="AC363" s="512">
        <v>8</v>
      </c>
      <c r="AD363" s="516" t="s">
        <v>2249</v>
      </c>
      <c r="AE363" s="529" t="s">
        <v>2444</v>
      </c>
      <c r="AF363" s="508">
        <f t="shared" ca="1" si="439"/>
        <v>8.7750000000000004</v>
      </c>
      <c r="AG363" s="594">
        <v>1</v>
      </c>
      <c r="AH363" s="633">
        <v>5.4999999999999997E-3</v>
      </c>
      <c r="AI363" s="170">
        <f t="shared" ca="1" si="455"/>
        <v>4.0113960113960109E-2</v>
      </c>
      <c r="AJ363" s="508">
        <f t="shared" ca="1" si="456"/>
        <v>401</v>
      </c>
      <c r="AL363" s="512">
        <v>8</v>
      </c>
      <c r="AM363" s="516" t="s">
        <v>2242</v>
      </c>
      <c r="AN363" s="529" t="s">
        <v>2444</v>
      </c>
      <c r="AO363" s="508">
        <f t="shared" ca="1" si="450"/>
        <v>8.7750000000000004</v>
      </c>
      <c r="AP363" s="600">
        <v>2</v>
      </c>
      <c r="AQ363" s="633">
        <v>6.0000000000000001E-3</v>
      </c>
      <c r="AR363" s="170">
        <f t="shared" ca="1" si="451"/>
        <v>3.316239316239316E-2</v>
      </c>
      <c r="AS363" s="279">
        <f t="shared" ca="1" si="452"/>
        <v>332</v>
      </c>
      <c r="BM363" s="512">
        <v>9</v>
      </c>
      <c r="BN363" s="527" t="s">
        <v>2270</v>
      </c>
      <c r="BO363" s="530" t="s">
        <v>2200</v>
      </c>
      <c r="BP363" s="508" t="str">
        <f t="shared" ca="1" si="442"/>
        <v>T2部件</v>
      </c>
      <c r="BQ363" s="632">
        <v>3</v>
      </c>
      <c r="BR363" s="615">
        <v>9.5999999999999992E-3</v>
      </c>
      <c r="BS363" s="170" t="e">
        <f t="shared" ca="1" si="443"/>
        <v>#VALUE!</v>
      </c>
      <c r="BT363" s="508" t="e">
        <f t="shared" ca="1" si="444"/>
        <v>#VALUE!</v>
      </c>
      <c r="BV363" s="396">
        <v>9</v>
      </c>
      <c r="BW363" s="527" t="s">
        <v>2270</v>
      </c>
      <c r="BX363" s="530" t="s">
        <v>2200</v>
      </c>
      <c r="BY363" s="523" t="str">
        <f t="shared" ca="1" si="436"/>
        <v>T2部件</v>
      </c>
      <c r="BZ363" s="665">
        <v>1</v>
      </c>
      <c r="CA363" s="634">
        <v>1.7000000000000001E-2</v>
      </c>
      <c r="CB363" s="170" t="e">
        <f t="shared" ca="1" si="437"/>
        <v>#VALUE!</v>
      </c>
      <c r="CC363" s="379" t="e">
        <f t="shared" ca="1" si="438"/>
        <v>#VALUE!</v>
      </c>
    </row>
    <row r="364" spans="2:81" x14ac:dyDescent="0.35">
      <c r="B364" s="512">
        <v>8</v>
      </c>
      <c r="C364" s="512" t="s">
        <v>2274</v>
      </c>
      <c r="D364" s="529" t="s">
        <v>2444</v>
      </c>
      <c r="E364" s="508" t="str">
        <f t="shared" ca="1" si="459"/>
        <v>T2部件</v>
      </c>
      <c r="F364" s="565">
        <v>1</v>
      </c>
      <c r="G364" s="594">
        <v>6.0000000000000001E-3</v>
      </c>
      <c r="H364" s="170" t="e">
        <f t="shared" ca="1" si="434"/>
        <v>#VALUE!</v>
      </c>
      <c r="I364" s="508" t="e">
        <f t="shared" ca="1" si="435"/>
        <v>#VALUE!</v>
      </c>
      <c r="K364" s="512">
        <v>8</v>
      </c>
      <c r="L364" s="512" t="s">
        <v>2274</v>
      </c>
      <c r="M364" s="529" t="s">
        <v>2444</v>
      </c>
      <c r="N364" s="508" t="str">
        <f t="shared" ca="1" si="460"/>
        <v>T2部件</v>
      </c>
      <c r="O364" s="565">
        <v>1</v>
      </c>
      <c r="P364" s="633">
        <v>6.0000000000000001E-3</v>
      </c>
      <c r="Q364" s="170" t="e">
        <f t="shared" ca="1" si="445"/>
        <v>#VALUE!</v>
      </c>
      <c r="R364" s="508" t="e">
        <f t="shared" ca="1" si="446"/>
        <v>#VALUE!</v>
      </c>
      <c r="T364" s="512">
        <v>8</v>
      </c>
      <c r="U364" s="512" t="s">
        <v>2274</v>
      </c>
      <c r="V364" s="529" t="s">
        <v>2444</v>
      </c>
      <c r="W364" s="508" t="str">
        <f t="shared" ca="1" si="461"/>
        <v>T2部件</v>
      </c>
      <c r="X364" s="565">
        <v>1</v>
      </c>
      <c r="Y364" s="594">
        <v>6.0000000000000001E-3</v>
      </c>
      <c r="Z364" s="170" t="e">
        <f t="shared" ca="1" si="447"/>
        <v>#VALUE!</v>
      </c>
      <c r="AA364" s="508" t="e">
        <f t="shared" ca="1" si="448"/>
        <v>#VALUE!</v>
      </c>
      <c r="AC364" s="512">
        <v>8</v>
      </c>
      <c r="AD364" s="516" t="s">
        <v>2251</v>
      </c>
      <c r="AE364" s="529" t="s">
        <v>2444</v>
      </c>
      <c r="AF364" s="508">
        <f t="shared" ca="1" si="439"/>
        <v>8.7750000000000004</v>
      </c>
      <c r="AG364" s="594">
        <v>1</v>
      </c>
      <c r="AH364" s="633">
        <v>5.4999999999999997E-3</v>
      </c>
      <c r="AI364" s="170">
        <f t="shared" ca="1" si="455"/>
        <v>4.0113960113960109E-2</v>
      </c>
      <c r="AJ364" s="508">
        <f t="shared" ca="1" si="456"/>
        <v>401</v>
      </c>
      <c r="AL364" s="512">
        <v>8</v>
      </c>
      <c r="AM364" s="516" t="s">
        <v>2244</v>
      </c>
      <c r="AN364" s="529" t="s">
        <v>2444</v>
      </c>
      <c r="AO364" s="508">
        <f t="shared" ca="1" si="450"/>
        <v>8.7750000000000004</v>
      </c>
      <c r="AP364" s="600">
        <v>2</v>
      </c>
      <c r="AQ364" s="633">
        <v>6.0000000000000001E-3</v>
      </c>
      <c r="AR364" s="170">
        <f t="shared" ca="1" si="451"/>
        <v>3.316239316239316E-2</v>
      </c>
      <c r="AS364" s="279">
        <f t="shared" ca="1" si="452"/>
        <v>332</v>
      </c>
      <c r="BM364" s="512">
        <v>9</v>
      </c>
      <c r="BN364" s="525" t="s">
        <v>2272</v>
      </c>
      <c r="BO364" s="530" t="s">
        <v>2200</v>
      </c>
      <c r="BP364" s="508" t="str">
        <f t="shared" ca="1" si="442"/>
        <v>T2部件</v>
      </c>
      <c r="BQ364" s="632">
        <v>3</v>
      </c>
      <c r="BR364" s="615">
        <v>9.5999999999999992E-3</v>
      </c>
      <c r="BS364" s="170" t="e">
        <f t="shared" ca="1" si="443"/>
        <v>#VALUE!</v>
      </c>
      <c r="BT364" s="508" t="e">
        <f t="shared" ca="1" si="444"/>
        <v>#VALUE!</v>
      </c>
      <c r="BV364" s="396">
        <v>9</v>
      </c>
      <c r="BW364" s="525" t="s">
        <v>2272</v>
      </c>
      <c r="BX364" s="530" t="s">
        <v>2200</v>
      </c>
      <c r="BY364" s="523" t="str">
        <f t="shared" ca="1" si="436"/>
        <v>T2部件</v>
      </c>
      <c r="BZ364" s="665">
        <v>1</v>
      </c>
      <c r="CA364" s="634">
        <v>1.7000000000000001E-2</v>
      </c>
      <c r="CB364" s="170" t="e">
        <f t="shared" ca="1" si="437"/>
        <v>#VALUE!</v>
      </c>
      <c r="CC364" s="379" t="e">
        <f t="shared" ca="1" si="438"/>
        <v>#VALUE!</v>
      </c>
    </row>
    <row r="365" spans="2:81" x14ac:dyDescent="0.35">
      <c r="B365" s="512">
        <v>8</v>
      </c>
      <c r="C365" s="516" t="s">
        <v>2259</v>
      </c>
      <c r="D365" s="529" t="s">
        <v>2444</v>
      </c>
      <c r="E365" s="508" t="str">
        <f t="shared" ca="1" si="459"/>
        <v>T2部件</v>
      </c>
      <c r="F365" s="565">
        <v>1</v>
      </c>
      <c r="G365" s="594">
        <v>6.0000000000000001E-3</v>
      </c>
      <c r="H365" s="170" t="e">
        <f t="shared" ca="1" si="434"/>
        <v>#VALUE!</v>
      </c>
      <c r="I365" s="508" t="e">
        <f t="shared" ca="1" si="435"/>
        <v>#VALUE!</v>
      </c>
      <c r="K365" s="512">
        <v>8</v>
      </c>
      <c r="L365" s="516" t="s">
        <v>2259</v>
      </c>
      <c r="M365" s="529" t="s">
        <v>2444</v>
      </c>
      <c r="N365" s="508" t="str">
        <f t="shared" ca="1" si="460"/>
        <v>T2部件</v>
      </c>
      <c r="O365" s="565">
        <v>1</v>
      </c>
      <c r="P365" s="633">
        <v>6.0000000000000001E-3</v>
      </c>
      <c r="Q365" s="170" t="e">
        <f t="shared" ca="1" si="445"/>
        <v>#VALUE!</v>
      </c>
      <c r="R365" s="508" t="e">
        <f t="shared" ca="1" si="446"/>
        <v>#VALUE!</v>
      </c>
      <c r="T365" s="512">
        <v>8</v>
      </c>
      <c r="U365" s="516" t="s">
        <v>2259</v>
      </c>
      <c r="V365" s="529" t="s">
        <v>2444</v>
      </c>
      <c r="W365" s="508" t="str">
        <f t="shared" ca="1" si="461"/>
        <v>T2部件</v>
      </c>
      <c r="X365" s="565">
        <v>1</v>
      </c>
      <c r="Y365" s="594">
        <v>6.0000000000000001E-3</v>
      </c>
      <c r="Z365" s="170" t="e">
        <f t="shared" ca="1" si="447"/>
        <v>#VALUE!</v>
      </c>
      <c r="AA365" s="508" t="e">
        <f t="shared" ca="1" si="448"/>
        <v>#VALUE!</v>
      </c>
      <c r="AC365" s="512">
        <v>8</v>
      </c>
      <c r="AD365" s="516" t="s">
        <v>2253</v>
      </c>
      <c r="AE365" s="529" t="s">
        <v>2444</v>
      </c>
      <c r="AF365" s="508">
        <f t="shared" ca="1" si="439"/>
        <v>8.7750000000000004</v>
      </c>
      <c r="AG365" s="594">
        <v>1</v>
      </c>
      <c r="AH365" s="633">
        <v>5.4999999999999997E-3</v>
      </c>
      <c r="AI365" s="170">
        <f t="shared" ca="1" si="455"/>
        <v>4.0113960113960109E-2</v>
      </c>
      <c r="AJ365" s="508">
        <f t="shared" ca="1" si="456"/>
        <v>401</v>
      </c>
      <c r="AL365" s="512">
        <v>8</v>
      </c>
      <c r="AM365" s="516" t="s">
        <v>2246</v>
      </c>
      <c r="AN365" s="529" t="s">
        <v>2444</v>
      </c>
      <c r="AO365" s="508">
        <f t="shared" ca="1" si="450"/>
        <v>8.7750000000000004</v>
      </c>
      <c r="AP365" s="600">
        <v>2</v>
      </c>
      <c r="AQ365" s="633">
        <v>6.0000000000000001E-3</v>
      </c>
      <c r="AR365" s="170">
        <f t="shared" ca="1" si="451"/>
        <v>3.316239316239316E-2</v>
      </c>
      <c r="AS365" s="279">
        <f t="shared" ca="1" si="452"/>
        <v>332</v>
      </c>
      <c r="AU365" s="512" t="s">
        <v>597</v>
      </c>
      <c r="AV365" s="512" t="s">
        <v>1225</v>
      </c>
      <c r="AW365" s="513" t="s">
        <v>917</v>
      </c>
      <c r="AX365" s="166" t="s">
        <v>920</v>
      </c>
      <c r="AY365" s="518" t="s">
        <v>967</v>
      </c>
      <c r="AZ365" s="166" t="s">
        <v>854</v>
      </c>
      <c r="BA365" s="166" t="s">
        <v>926</v>
      </c>
      <c r="BB365" s="514" t="s">
        <v>927</v>
      </c>
      <c r="BC365" s="300" t="e">
        <f ca="1">SUM(BB366:BB436)</f>
        <v>#VALUE!</v>
      </c>
      <c r="BD365" s="512" t="s">
        <v>597</v>
      </c>
      <c r="BE365" s="512" t="s">
        <v>1225</v>
      </c>
      <c r="BF365" s="513" t="s">
        <v>917</v>
      </c>
      <c r="BG365" s="166" t="s">
        <v>920</v>
      </c>
      <c r="BH365" s="518" t="s">
        <v>967</v>
      </c>
      <c r="BI365" s="166" t="s">
        <v>854</v>
      </c>
      <c r="BJ365" s="166" t="s">
        <v>926</v>
      </c>
      <c r="BK365" s="281" t="s">
        <v>927</v>
      </c>
      <c r="BL365" s="300" t="e">
        <f ca="1">SUM(BK366:BK436)</f>
        <v>#VALUE!</v>
      </c>
      <c r="BM365" s="512">
        <v>9</v>
      </c>
      <c r="BN365" s="525" t="s">
        <v>2274</v>
      </c>
      <c r="BO365" s="530" t="s">
        <v>2200</v>
      </c>
      <c r="BP365" s="508" t="str">
        <f t="shared" ca="1" si="442"/>
        <v>T2部件</v>
      </c>
      <c r="BQ365" s="632">
        <v>3</v>
      </c>
      <c r="BR365" s="615">
        <v>9.5999999999999992E-3</v>
      </c>
      <c r="BS365" s="170" t="e">
        <f t="shared" ca="1" si="443"/>
        <v>#VALUE!</v>
      </c>
      <c r="BT365" s="508" t="e">
        <f t="shared" ca="1" si="444"/>
        <v>#VALUE!</v>
      </c>
      <c r="BV365" s="396">
        <v>9</v>
      </c>
      <c r="BW365" s="525" t="s">
        <v>2274</v>
      </c>
      <c r="BX365" s="530" t="s">
        <v>2200</v>
      </c>
      <c r="BY365" s="523" t="str">
        <f t="shared" ca="1" si="436"/>
        <v>T2部件</v>
      </c>
      <c r="BZ365" s="665">
        <v>1</v>
      </c>
      <c r="CA365" s="634">
        <v>1.7000000000000001E-2</v>
      </c>
      <c r="CB365" s="170" t="e">
        <f t="shared" ca="1" si="437"/>
        <v>#VALUE!</v>
      </c>
      <c r="CC365" s="379" t="e">
        <f t="shared" ca="1" si="438"/>
        <v>#VALUE!</v>
      </c>
    </row>
    <row r="366" spans="2:81" x14ac:dyDescent="0.35">
      <c r="B366" s="512">
        <v>8</v>
      </c>
      <c r="C366" s="516" t="s">
        <v>2261</v>
      </c>
      <c r="D366" s="529" t="s">
        <v>2444</v>
      </c>
      <c r="E366" s="508" t="str">
        <f t="shared" ca="1" si="459"/>
        <v>T2部件</v>
      </c>
      <c r="F366" s="565">
        <v>1</v>
      </c>
      <c r="G366" s="594">
        <v>6.0000000000000001E-3</v>
      </c>
      <c r="H366" s="170" t="e">
        <f t="shared" ca="1" si="434"/>
        <v>#VALUE!</v>
      </c>
      <c r="I366" s="508" t="e">
        <f t="shared" ca="1" si="435"/>
        <v>#VALUE!</v>
      </c>
      <c r="K366" s="512">
        <v>8</v>
      </c>
      <c r="L366" s="516" t="s">
        <v>2261</v>
      </c>
      <c r="M366" s="529" t="s">
        <v>2444</v>
      </c>
      <c r="N366" s="508" t="str">
        <f t="shared" ca="1" si="460"/>
        <v>T2部件</v>
      </c>
      <c r="O366" s="565">
        <v>1</v>
      </c>
      <c r="P366" s="633">
        <v>6.0000000000000001E-3</v>
      </c>
      <c r="Q366" s="170" t="e">
        <f t="shared" ca="1" si="445"/>
        <v>#VALUE!</v>
      </c>
      <c r="R366" s="508" t="e">
        <f t="shared" ca="1" si="446"/>
        <v>#VALUE!</v>
      </c>
      <c r="T366" s="512">
        <v>8</v>
      </c>
      <c r="U366" s="516" t="s">
        <v>2261</v>
      </c>
      <c r="V366" s="529" t="s">
        <v>2444</v>
      </c>
      <c r="W366" s="508" t="str">
        <f t="shared" ca="1" si="461"/>
        <v>T2部件</v>
      </c>
      <c r="X366" s="565">
        <v>1</v>
      </c>
      <c r="Y366" s="594">
        <v>6.0000000000000001E-3</v>
      </c>
      <c r="Z366" s="170" t="e">
        <f t="shared" ca="1" si="447"/>
        <v>#VALUE!</v>
      </c>
      <c r="AA366" s="508" t="e">
        <f t="shared" ca="1" si="448"/>
        <v>#VALUE!</v>
      </c>
      <c r="AC366" s="512">
        <v>8</v>
      </c>
      <c r="AD366" s="512" t="s">
        <v>2255</v>
      </c>
      <c r="AE366" s="529" t="s">
        <v>2444</v>
      </c>
      <c r="AF366" s="508">
        <f t="shared" ca="1" si="439"/>
        <v>8.7750000000000004</v>
      </c>
      <c r="AG366" s="594">
        <v>1</v>
      </c>
      <c r="AH366" s="633">
        <v>5.4999999999999997E-3</v>
      </c>
      <c r="AI366" s="170">
        <f t="shared" ca="1" si="455"/>
        <v>4.0113960113960109E-2</v>
      </c>
      <c r="AJ366" s="508">
        <f t="shared" ca="1" si="456"/>
        <v>401</v>
      </c>
      <c r="AL366" s="512">
        <v>8</v>
      </c>
      <c r="AM366" s="516" t="s">
        <v>2248</v>
      </c>
      <c r="AN366" s="529" t="s">
        <v>2444</v>
      </c>
      <c r="AO366" s="508">
        <f t="shared" ca="1" si="450"/>
        <v>8.7750000000000004</v>
      </c>
      <c r="AP366" s="600">
        <v>2</v>
      </c>
      <c r="AQ366" s="633">
        <v>6.0000000000000001E-3</v>
      </c>
      <c r="AR366" s="170">
        <f t="shared" ca="1" si="451"/>
        <v>3.316239316239316E-2</v>
      </c>
      <c r="AS366" s="279">
        <f t="shared" ca="1" si="452"/>
        <v>332</v>
      </c>
      <c r="AU366" s="512">
        <v>8</v>
      </c>
      <c r="AV366" s="516" t="s">
        <v>616</v>
      </c>
      <c r="AW366" s="512" t="s">
        <v>2394</v>
      </c>
      <c r="AX366" s="508">
        <f t="shared" ref="AX366:AX397" ca="1" si="462">IF(AW366="部件",VLOOKUP(AU366,INDIRECT(AW366&amp;"价值"),MATCH(LEFT(AV366,2)&amp;"部件",INDIRECT(AW366&amp;"价值标头"),0),FALSE),IF(AW366="加速道具",VLOOKUP(AV366,INDIRECT(AW366&amp;"价值"),MATCH("价格",INDIRECT(AW366&amp;"价值标头"),0),FALSE),VLOOKUP(AU366,INDIRECT(AW366&amp;"价值"),MATCH(AV366,INDIRECT(AW366&amp;"价值标头"),0),FALSE)))</f>
        <v>38.4</v>
      </c>
      <c r="AY366" s="508">
        <v>7</v>
      </c>
      <c r="AZ366" s="508">
        <f>宝箱设定!$H179</f>
        <v>4.8099999999999997E-2</v>
      </c>
      <c r="BA366" s="170">
        <f t="shared" ref="BA366:BA431" ca="1" si="463">AZ366*AV$4/AX366/AY366</f>
        <v>1.1631324404761903E-2</v>
      </c>
      <c r="BB366" s="508">
        <f t="shared" ref="BB366:BB436" ca="1" si="464">ROUND(BA366*10000,0)</f>
        <v>116</v>
      </c>
      <c r="BD366" s="512">
        <v>8</v>
      </c>
      <c r="BE366" s="516" t="s">
        <v>616</v>
      </c>
      <c r="BF366" s="512" t="s">
        <v>2394</v>
      </c>
      <c r="BG366" s="508">
        <f t="shared" ref="BG366:BG397" ca="1" si="465">IF(BF366="部件",VLOOKUP(BD366,INDIRECT(BF366&amp;"价值"),MATCH(LEFT(BE366,2)&amp;"部件",INDIRECT(BF366&amp;"价值标头"),0),FALSE),IF(BF366="加速道具",VLOOKUP(BE366,INDIRECT(BF366&amp;"价值"),MATCH("价格",INDIRECT(BF366&amp;"价值标头"),0),FALSE),VLOOKUP(BD366,INDIRECT(BF366&amp;"价值"),MATCH(BE366,INDIRECT(BF366&amp;"价值标头"),0),FALSE)))</f>
        <v>38.4</v>
      </c>
      <c r="BH366" s="508">
        <v>13.5</v>
      </c>
      <c r="BI366" s="508">
        <f>宝箱设定!$H179</f>
        <v>4.8099999999999997E-2</v>
      </c>
      <c r="BJ366" s="170">
        <f t="shared" ref="BJ366:BJ376" ca="1" si="466">BI366*BE$4/BG366/BH366</f>
        <v>1.3685860339506173E-2</v>
      </c>
      <c r="BK366" s="279">
        <f t="shared" ref="BK366:BK376" ca="1" si="467">ROUND(BJ366*10000,0)</f>
        <v>137</v>
      </c>
      <c r="BM366" s="512">
        <v>9</v>
      </c>
      <c r="BN366" s="527" t="s">
        <v>2259</v>
      </c>
      <c r="BO366" s="530" t="s">
        <v>2200</v>
      </c>
      <c r="BP366" s="508" t="str">
        <f t="shared" ca="1" si="442"/>
        <v>T2部件</v>
      </c>
      <c r="BQ366" s="632">
        <v>3</v>
      </c>
      <c r="BR366" s="615">
        <v>9.5999999999999992E-3</v>
      </c>
      <c r="BS366" s="170" t="e">
        <f t="shared" ca="1" si="443"/>
        <v>#VALUE!</v>
      </c>
      <c r="BT366" s="508" t="e">
        <f t="shared" ca="1" si="444"/>
        <v>#VALUE!</v>
      </c>
      <c r="BV366" s="396">
        <v>9</v>
      </c>
      <c r="BW366" s="527" t="s">
        <v>2259</v>
      </c>
      <c r="BX366" s="530" t="s">
        <v>2200</v>
      </c>
      <c r="BY366" s="523" t="str">
        <f t="shared" ca="1" si="436"/>
        <v>T2部件</v>
      </c>
      <c r="BZ366" s="665">
        <v>1</v>
      </c>
      <c r="CA366" s="634">
        <v>1.7000000000000001E-2</v>
      </c>
      <c r="CB366" s="170" t="e">
        <f t="shared" ca="1" si="437"/>
        <v>#VALUE!</v>
      </c>
      <c r="CC366" s="379" t="e">
        <f t="shared" ca="1" si="438"/>
        <v>#VALUE!</v>
      </c>
    </row>
    <row r="367" spans="2:81" x14ac:dyDescent="0.35">
      <c r="B367" s="512">
        <v>8</v>
      </c>
      <c r="C367" s="516" t="s">
        <v>2263</v>
      </c>
      <c r="D367" s="529" t="s">
        <v>2444</v>
      </c>
      <c r="E367" s="508" t="str">
        <f t="shared" ca="1" si="459"/>
        <v>T2部件</v>
      </c>
      <c r="F367" s="565">
        <v>1</v>
      </c>
      <c r="G367" s="594">
        <v>6.0000000000000001E-3</v>
      </c>
      <c r="H367" s="170" t="e">
        <f t="shared" ca="1" si="434"/>
        <v>#VALUE!</v>
      </c>
      <c r="I367" s="508" t="e">
        <f t="shared" ca="1" si="435"/>
        <v>#VALUE!</v>
      </c>
      <c r="K367" s="512">
        <v>8</v>
      </c>
      <c r="L367" s="516" t="s">
        <v>2263</v>
      </c>
      <c r="M367" s="529" t="s">
        <v>2444</v>
      </c>
      <c r="N367" s="508" t="str">
        <f t="shared" ca="1" si="460"/>
        <v>T2部件</v>
      </c>
      <c r="O367" s="565">
        <v>1</v>
      </c>
      <c r="P367" s="633">
        <v>6.0000000000000001E-3</v>
      </c>
      <c r="Q367" s="170" t="e">
        <f t="shared" ca="1" si="445"/>
        <v>#VALUE!</v>
      </c>
      <c r="R367" s="508" t="e">
        <f t="shared" ca="1" si="446"/>
        <v>#VALUE!</v>
      </c>
      <c r="T367" s="512">
        <v>8</v>
      </c>
      <c r="U367" s="516" t="s">
        <v>2263</v>
      </c>
      <c r="V367" s="529" t="s">
        <v>2444</v>
      </c>
      <c r="W367" s="508" t="str">
        <f t="shared" ca="1" si="461"/>
        <v>T2部件</v>
      </c>
      <c r="X367" s="565">
        <v>1</v>
      </c>
      <c r="Y367" s="594">
        <v>6.0000000000000001E-3</v>
      </c>
      <c r="Z367" s="170" t="e">
        <f t="shared" ca="1" si="447"/>
        <v>#VALUE!</v>
      </c>
      <c r="AA367" s="508" t="e">
        <f t="shared" ca="1" si="448"/>
        <v>#VALUE!</v>
      </c>
      <c r="AC367" s="512">
        <v>8</v>
      </c>
      <c r="AD367" s="512" t="s">
        <v>2257</v>
      </c>
      <c r="AE367" s="529" t="s">
        <v>2444</v>
      </c>
      <c r="AF367" s="508">
        <f t="shared" ca="1" si="439"/>
        <v>8.7750000000000004</v>
      </c>
      <c r="AG367" s="594">
        <v>1</v>
      </c>
      <c r="AH367" s="633">
        <v>5.4999999999999997E-3</v>
      </c>
      <c r="AI367" s="170">
        <f t="shared" ca="1" si="455"/>
        <v>4.0113960113960109E-2</v>
      </c>
      <c r="AJ367" s="508">
        <f t="shared" ca="1" si="456"/>
        <v>401</v>
      </c>
      <c r="AL367" s="512">
        <v>8</v>
      </c>
      <c r="AM367" s="516" t="s">
        <v>2250</v>
      </c>
      <c r="AN367" s="529" t="s">
        <v>2444</v>
      </c>
      <c r="AO367" s="508">
        <f t="shared" ca="1" si="450"/>
        <v>8.7750000000000004</v>
      </c>
      <c r="AP367" s="600">
        <v>2</v>
      </c>
      <c r="AQ367" s="633">
        <v>6.0000000000000001E-3</v>
      </c>
      <c r="AR367" s="170">
        <f t="shared" ca="1" si="451"/>
        <v>3.316239316239316E-2</v>
      </c>
      <c r="AS367" s="394">
        <f t="shared" ca="1" si="452"/>
        <v>332</v>
      </c>
      <c r="AU367" s="512">
        <v>8</v>
      </c>
      <c r="AV367" s="516" t="s">
        <v>624</v>
      </c>
      <c r="AW367" s="512" t="s">
        <v>2394</v>
      </c>
      <c r="AX367" s="508">
        <f t="shared" ca="1" si="462"/>
        <v>38.4</v>
      </c>
      <c r="AY367" s="600">
        <v>7</v>
      </c>
      <c r="AZ367" s="508">
        <f>宝箱设定!$H180</f>
        <v>4.8099999999999997E-2</v>
      </c>
      <c r="BA367" s="170">
        <f t="shared" ca="1" si="463"/>
        <v>1.1631324404761903E-2</v>
      </c>
      <c r="BB367" s="508">
        <f t="shared" ca="1" si="464"/>
        <v>116</v>
      </c>
      <c r="BD367" s="512">
        <v>8</v>
      </c>
      <c r="BE367" s="516" t="s">
        <v>624</v>
      </c>
      <c r="BF367" s="512" t="s">
        <v>2394</v>
      </c>
      <c r="BG367" s="508">
        <f t="shared" ca="1" si="465"/>
        <v>38.4</v>
      </c>
      <c r="BH367" s="632">
        <v>13.5</v>
      </c>
      <c r="BI367" s="508">
        <f>宝箱设定!$H180</f>
        <v>4.8099999999999997E-2</v>
      </c>
      <c r="BJ367" s="170">
        <f ca="1">BI367*BE$4/BG367/BH367</f>
        <v>1.3685860339506173E-2</v>
      </c>
      <c r="BK367" s="379">
        <f ca="1">ROUND(BJ367*10000,0)</f>
        <v>137</v>
      </c>
      <c r="BM367" s="512">
        <v>9</v>
      </c>
      <c r="BN367" s="527" t="s">
        <v>2261</v>
      </c>
      <c r="BO367" s="530" t="s">
        <v>2200</v>
      </c>
      <c r="BP367" s="508" t="str">
        <f t="shared" ca="1" si="442"/>
        <v>T2部件</v>
      </c>
      <c r="BQ367" s="632">
        <v>3</v>
      </c>
      <c r="BR367" s="615">
        <v>9.5999999999999992E-3</v>
      </c>
      <c r="BS367" s="170" t="e">
        <f t="shared" ca="1" si="443"/>
        <v>#VALUE!</v>
      </c>
      <c r="BT367" s="508" t="e">
        <f t="shared" ca="1" si="444"/>
        <v>#VALUE!</v>
      </c>
      <c r="BV367" s="396">
        <v>9</v>
      </c>
      <c r="BW367" s="527" t="s">
        <v>2261</v>
      </c>
      <c r="BX367" s="530" t="s">
        <v>2200</v>
      </c>
      <c r="BY367" s="523" t="str">
        <f t="shared" ca="1" si="436"/>
        <v>T2部件</v>
      </c>
      <c r="BZ367" s="665">
        <v>1</v>
      </c>
      <c r="CA367" s="634">
        <v>1.7000000000000001E-2</v>
      </c>
      <c r="CB367" s="170" t="e">
        <f t="shared" ca="1" si="437"/>
        <v>#VALUE!</v>
      </c>
      <c r="CC367" s="379" t="e">
        <f t="shared" ca="1" si="438"/>
        <v>#VALUE!</v>
      </c>
    </row>
    <row r="368" spans="2:81" x14ac:dyDescent="0.35">
      <c r="B368" s="512">
        <v>8</v>
      </c>
      <c r="C368" s="516" t="s">
        <v>2265</v>
      </c>
      <c r="D368" s="529" t="s">
        <v>2444</v>
      </c>
      <c r="E368" s="508" t="str">
        <f t="shared" ca="1" si="459"/>
        <v>T2部件</v>
      </c>
      <c r="F368" s="565">
        <v>1</v>
      </c>
      <c r="G368" s="594">
        <v>6.0000000000000001E-3</v>
      </c>
      <c r="H368" s="170" t="e">
        <f t="shared" ca="1" si="434"/>
        <v>#VALUE!</v>
      </c>
      <c r="I368" s="508" t="e">
        <f t="shared" ca="1" si="435"/>
        <v>#VALUE!</v>
      </c>
      <c r="K368" s="512">
        <v>8</v>
      </c>
      <c r="L368" s="516" t="s">
        <v>2265</v>
      </c>
      <c r="M368" s="529" t="s">
        <v>2444</v>
      </c>
      <c r="N368" s="508" t="str">
        <f t="shared" ca="1" si="460"/>
        <v>T2部件</v>
      </c>
      <c r="O368" s="565">
        <v>1</v>
      </c>
      <c r="P368" s="633">
        <v>6.0000000000000001E-3</v>
      </c>
      <c r="Q368" s="170" t="e">
        <f t="shared" ca="1" si="445"/>
        <v>#VALUE!</v>
      </c>
      <c r="R368" s="508" t="e">
        <f t="shared" ca="1" si="446"/>
        <v>#VALUE!</v>
      </c>
      <c r="T368" s="512">
        <v>8</v>
      </c>
      <c r="U368" s="516" t="s">
        <v>2265</v>
      </c>
      <c r="V368" s="529" t="s">
        <v>2444</v>
      </c>
      <c r="W368" s="508" t="str">
        <f t="shared" ca="1" si="461"/>
        <v>T2部件</v>
      </c>
      <c r="X368" s="565">
        <v>1</v>
      </c>
      <c r="Y368" s="594">
        <v>6.0000000000000001E-3</v>
      </c>
      <c r="Z368" s="170" t="e">
        <f t="shared" ca="1" si="447"/>
        <v>#VALUE!</v>
      </c>
      <c r="AA368" s="508" t="e">
        <f t="shared" ca="1" si="448"/>
        <v>#VALUE!</v>
      </c>
      <c r="AC368" s="512">
        <v>8</v>
      </c>
      <c r="AD368" s="516" t="s">
        <v>2258</v>
      </c>
      <c r="AE368" s="529" t="s">
        <v>2444</v>
      </c>
      <c r="AF368" s="508" t="str">
        <f t="shared" ca="1" si="439"/>
        <v>T2部件</v>
      </c>
      <c r="AG368" s="565">
        <v>1</v>
      </c>
      <c r="AH368" s="633">
        <v>6.4999999999999997E-3</v>
      </c>
      <c r="AI368" s="170" t="e">
        <f t="shared" ca="1" si="455"/>
        <v>#VALUE!</v>
      </c>
      <c r="AJ368" s="508" t="e">
        <f t="shared" ca="1" si="456"/>
        <v>#VALUE!</v>
      </c>
      <c r="AL368" s="512">
        <v>8</v>
      </c>
      <c r="AM368" s="516" t="s">
        <v>2252</v>
      </c>
      <c r="AN368" s="529" t="s">
        <v>2444</v>
      </c>
      <c r="AO368" s="508">
        <f t="shared" ca="1" si="450"/>
        <v>8.7750000000000004</v>
      </c>
      <c r="AP368" s="600">
        <v>2</v>
      </c>
      <c r="AQ368" s="633">
        <v>6.0000000000000001E-3</v>
      </c>
      <c r="AR368" s="170">
        <f t="shared" ref="AR368:AR419" ca="1" si="468">AQ368*AM$4/AO368/AP368</f>
        <v>3.316239316239316E-2</v>
      </c>
      <c r="AS368" s="508">
        <f t="shared" ref="AS368:AS419" ca="1" si="469">ROUND(AR368*10000,0)</f>
        <v>332</v>
      </c>
      <c r="AU368" s="512">
        <v>8</v>
      </c>
      <c r="AV368" s="516" t="s">
        <v>630</v>
      </c>
      <c r="AW368" s="512" t="s">
        <v>2394</v>
      </c>
      <c r="AX368" s="508">
        <f t="shared" ca="1" si="462"/>
        <v>38.4</v>
      </c>
      <c r="AY368" s="600">
        <v>7</v>
      </c>
      <c r="AZ368" s="508">
        <f>宝箱设定!$H181</f>
        <v>4.8099999999999997E-2</v>
      </c>
      <c r="BA368" s="170">
        <f t="shared" ca="1" si="463"/>
        <v>1.1631324404761903E-2</v>
      </c>
      <c r="BB368" s="508">
        <f t="shared" ca="1" si="464"/>
        <v>116</v>
      </c>
      <c r="BD368" s="512">
        <v>8</v>
      </c>
      <c r="BE368" s="516" t="s">
        <v>630</v>
      </c>
      <c r="BF368" s="512" t="s">
        <v>2394</v>
      </c>
      <c r="BG368" s="508">
        <f t="shared" ca="1" si="465"/>
        <v>38.4</v>
      </c>
      <c r="BH368" s="632">
        <v>13.5</v>
      </c>
      <c r="BI368" s="508">
        <f>宝箱设定!$H181</f>
        <v>4.8099999999999997E-2</v>
      </c>
      <c r="BJ368" s="170">
        <f ca="1">BI368*BE$4/BG368/BH368</f>
        <v>1.3685860339506173E-2</v>
      </c>
      <c r="BK368" s="379">
        <f ca="1">ROUND(BJ368*10000,0)</f>
        <v>137</v>
      </c>
      <c r="BM368" s="512">
        <v>9</v>
      </c>
      <c r="BN368" s="527" t="s">
        <v>2263</v>
      </c>
      <c r="BO368" s="530" t="s">
        <v>2200</v>
      </c>
      <c r="BP368" s="508" t="str">
        <f t="shared" ca="1" si="442"/>
        <v>T2部件</v>
      </c>
      <c r="BQ368" s="632">
        <v>3</v>
      </c>
      <c r="BR368" s="615">
        <v>9.5999999999999992E-3</v>
      </c>
      <c r="BS368" s="170" t="e">
        <f t="shared" ca="1" si="443"/>
        <v>#VALUE!</v>
      </c>
      <c r="BT368" s="508" t="e">
        <f t="shared" ca="1" si="444"/>
        <v>#VALUE!</v>
      </c>
      <c r="BV368" s="396">
        <v>9</v>
      </c>
      <c r="BW368" s="527" t="s">
        <v>2263</v>
      </c>
      <c r="BX368" s="530" t="s">
        <v>2200</v>
      </c>
      <c r="BY368" s="523" t="str">
        <f t="shared" ca="1" si="436"/>
        <v>T2部件</v>
      </c>
      <c r="BZ368" s="665">
        <v>1</v>
      </c>
      <c r="CA368" s="634">
        <v>1.7000000000000001E-2</v>
      </c>
      <c r="CB368" s="170" t="e">
        <f t="shared" ca="1" si="437"/>
        <v>#VALUE!</v>
      </c>
      <c r="CC368" s="379" t="e">
        <f t="shared" ca="1" si="438"/>
        <v>#VALUE!</v>
      </c>
    </row>
    <row r="369" spans="2:81" x14ac:dyDescent="0.35">
      <c r="B369" s="512">
        <v>8</v>
      </c>
      <c r="C369" s="516" t="s">
        <v>2267</v>
      </c>
      <c r="D369" s="529" t="s">
        <v>2444</v>
      </c>
      <c r="E369" s="508" t="str">
        <f t="shared" ca="1" si="459"/>
        <v>T2部件</v>
      </c>
      <c r="F369" s="565">
        <v>1</v>
      </c>
      <c r="G369" s="594">
        <v>6.0000000000000001E-3</v>
      </c>
      <c r="H369" s="170" t="e">
        <f t="shared" ca="1" si="434"/>
        <v>#VALUE!</v>
      </c>
      <c r="I369" s="508" t="e">
        <f t="shared" ca="1" si="435"/>
        <v>#VALUE!</v>
      </c>
      <c r="K369" s="512">
        <v>8</v>
      </c>
      <c r="L369" s="516" t="s">
        <v>2267</v>
      </c>
      <c r="M369" s="529" t="s">
        <v>2444</v>
      </c>
      <c r="N369" s="508" t="str">
        <f t="shared" ca="1" si="460"/>
        <v>T2部件</v>
      </c>
      <c r="O369" s="565">
        <v>1</v>
      </c>
      <c r="P369" s="633">
        <v>6.0000000000000001E-3</v>
      </c>
      <c r="Q369" s="170" t="e">
        <f t="shared" ca="1" si="445"/>
        <v>#VALUE!</v>
      </c>
      <c r="R369" s="508" t="e">
        <f t="shared" ca="1" si="446"/>
        <v>#VALUE!</v>
      </c>
      <c r="T369" s="512">
        <v>8</v>
      </c>
      <c r="U369" s="516" t="s">
        <v>2267</v>
      </c>
      <c r="V369" s="529" t="s">
        <v>2444</v>
      </c>
      <c r="W369" s="508" t="str">
        <f t="shared" ca="1" si="461"/>
        <v>T2部件</v>
      </c>
      <c r="X369" s="565">
        <v>1</v>
      </c>
      <c r="Y369" s="594">
        <v>6.0000000000000001E-3</v>
      </c>
      <c r="Z369" s="170" t="e">
        <f t="shared" ca="1" si="447"/>
        <v>#VALUE!</v>
      </c>
      <c r="AA369" s="508" t="e">
        <f t="shared" ca="1" si="448"/>
        <v>#VALUE!</v>
      </c>
      <c r="AC369" s="512">
        <v>8</v>
      </c>
      <c r="AD369" s="516" t="s">
        <v>2260</v>
      </c>
      <c r="AE369" s="529" t="s">
        <v>2444</v>
      </c>
      <c r="AF369" s="508" t="str">
        <f t="shared" ca="1" si="439"/>
        <v>T2部件</v>
      </c>
      <c r="AG369" s="508">
        <v>1</v>
      </c>
      <c r="AH369" s="633">
        <v>6.4999999999999997E-3</v>
      </c>
      <c r="AI369" s="170" t="e">
        <f t="shared" ca="1" si="455"/>
        <v>#VALUE!</v>
      </c>
      <c r="AJ369" s="508" t="e">
        <f t="shared" ca="1" si="456"/>
        <v>#VALUE!</v>
      </c>
      <c r="AL369" s="512">
        <v>8</v>
      </c>
      <c r="AM369" s="512" t="s">
        <v>2254</v>
      </c>
      <c r="AN369" s="529" t="s">
        <v>2444</v>
      </c>
      <c r="AO369" s="508">
        <f t="shared" ca="1" si="450"/>
        <v>8.7750000000000004</v>
      </c>
      <c r="AP369" s="600">
        <v>2</v>
      </c>
      <c r="AQ369" s="633">
        <v>6.0000000000000001E-3</v>
      </c>
      <c r="AR369" s="170">
        <f t="shared" ca="1" si="468"/>
        <v>3.316239316239316E-2</v>
      </c>
      <c r="AS369" s="508">
        <f t="shared" ca="1" si="469"/>
        <v>332</v>
      </c>
      <c r="AU369" s="512">
        <v>8</v>
      </c>
      <c r="AV369" s="516" t="s">
        <v>617</v>
      </c>
      <c r="AW369" s="512" t="s">
        <v>2394</v>
      </c>
      <c r="AX369" s="508">
        <f t="shared" ca="1" si="462"/>
        <v>68</v>
      </c>
      <c r="AY369" s="565">
        <v>4</v>
      </c>
      <c r="AZ369" s="508">
        <f>宝箱设定!$H182</f>
        <v>3.6999999999999998E-2</v>
      </c>
      <c r="BA369" s="170">
        <f t="shared" ca="1" si="463"/>
        <v>8.8419117647058811E-3</v>
      </c>
      <c r="BB369" s="508">
        <f t="shared" ca="1" si="464"/>
        <v>88</v>
      </c>
      <c r="BD369" s="512">
        <v>8</v>
      </c>
      <c r="BE369" s="516" t="s">
        <v>617</v>
      </c>
      <c r="BF369" s="512" t="s">
        <v>2394</v>
      </c>
      <c r="BG369" s="508">
        <f t="shared" ca="1" si="465"/>
        <v>68</v>
      </c>
      <c r="BH369" s="508">
        <v>7</v>
      </c>
      <c r="BI369" s="508">
        <f>宝箱设定!$H182</f>
        <v>3.6999999999999998E-2</v>
      </c>
      <c r="BJ369" s="170">
        <f ca="1">BI369*BE$4/BG369/BH369</f>
        <v>1.1465336134453779E-2</v>
      </c>
      <c r="BK369" s="379">
        <f ca="1">ROUND(BJ369*10000,0)</f>
        <v>115</v>
      </c>
      <c r="BM369" s="512">
        <v>9</v>
      </c>
      <c r="BN369" s="527" t="s">
        <v>2265</v>
      </c>
      <c r="BO369" s="530" t="s">
        <v>2200</v>
      </c>
      <c r="BP369" s="508" t="str">
        <f t="shared" ca="1" si="442"/>
        <v>T2部件</v>
      </c>
      <c r="BQ369" s="632">
        <v>3</v>
      </c>
      <c r="BR369" s="615">
        <v>9.5999999999999992E-3</v>
      </c>
      <c r="BS369" s="170" t="e">
        <f t="shared" ca="1" si="443"/>
        <v>#VALUE!</v>
      </c>
      <c r="BT369" s="508" t="e">
        <f t="shared" ca="1" si="444"/>
        <v>#VALUE!</v>
      </c>
      <c r="BV369" s="396">
        <v>9</v>
      </c>
      <c r="BW369" s="527" t="s">
        <v>2265</v>
      </c>
      <c r="BX369" s="530" t="s">
        <v>2200</v>
      </c>
      <c r="BY369" s="523" t="str">
        <f t="shared" ca="1" si="436"/>
        <v>T2部件</v>
      </c>
      <c r="BZ369" s="665">
        <v>1</v>
      </c>
      <c r="CA369" s="634">
        <v>1.7000000000000001E-2</v>
      </c>
      <c r="CB369" s="170" t="e">
        <f t="shared" ca="1" si="437"/>
        <v>#VALUE!</v>
      </c>
      <c r="CC369" s="379" t="e">
        <f t="shared" ca="1" si="438"/>
        <v>#VALUE!</v>
      </c>
    </row>
    <row r="370" spans="2:81" x14ac:dyDescent="0.35">
      <c r="B370" s="512">
        <v>8</v>
      </c>
      <c r="C370" s="516" t="s">
        <v>2269</v>
      </c>
      <c r="D370" s="529" t="s">
        <v>2444</v>
      </c>
      <c r="E370" s="508" t="str">
        <f t="shared" ca="1" si="459"/>
        <v>T2部件</v>
      </c>
      <c r="F370" s="565">
        <v>1</v>
      </c>
      <c r="G370" s="594">
        <v>6.0000000000000001E-3</v>
      </c>
      <c r="H370" s="170" t="e">
        <f t="shared" ca="1" si="434"/>
        <v>#VALUE!</v>
      </c>
      <c r="I370" s="508" t="e">
        <f t="shared" ca="1" si="435"/>
        <v>#VALUE!</v>
      </c>
      <c r="K370" s="512">
        <v>8</v>
      </c>
      <c r="L370" s="516" t="s">
        <v>2269</v>
      </c>
      <c r="M370" s="529" t="s">
        <v>2444</v>
      </c>
      <c r="N370" s="508" t="str">
        <f t="shared" ca="1" si="460"/>
        <v>T2部件</v>
      </c>
      <c r="O370" s="565">
        <v>1</v>
      </c>
      <c r="P370" s="633">
        <v>6.0000000000000001E-3</v>
      </c>
      <c r="Q370" s="170" t="e">
        <f t="shared" ca="1" si="445"/>
        <v>#VALUE!</v>
      </c>
      <c r="R370" s="508" t="e">
        <f t="shared" ca="1" si="446"/>
        <v>#VALUE!</v>
      </c>
      <c r="T370" s="512">
        <v>8</v>
      </c>
      <c r="U370" s="516" t="s">
        <v>2269</v>
      </c>
      <c r="V370" s="529" t="s">
        <v>2444</v>
      </c>
      <c r="W370" s="508" t="str">
        <f t="shared" ca="1" si="461"/>
        <v>T2部件</v>
      </c>
      <c r="X370" s="565">
        <v>1</v>
      </c>
      <c r="Y370" s="594">
        <v>6.0000000000000001E-3</v>
      </c>
      <c r="Z370" s="170" t="e">
        <f t="shared" ca="1" si="447"/>
        <v>#VALUE!</v>
      </c>
      <c r="AA370" s="508" t="e">
        <f t="shared" ca="1" si="448"/>
        <v>#VALUE!</v>
      </c>
      <c r="AC370" s="512">
        <v>8</v>
      </c>
      <c r="AD370" s="516" t="s">
        <v>2262</v>
      </c>
      <c r="AE370" s="529" t="s">
        <v>2444</v>
      </c>
      <c r="AF370" s="508" t="str">
        <f t="shared" ca="1" si="439"/>
        <v>T2部件</v>
      </c>
      <c r="AG370" s="508">
        <v>1</v>
      </c>
      <c r="AH370" s="633">
        <v>6.4999999999999997E-3</v>
      </c>
      <c r="AI370" s="170" t="e">
        <f t="shared" ca="1" si="455"/>
        <v>#VALUE!</v>
      </c>
      <c r="AJ370" s="508" t="e">
        <f t="shared" ca="1" si="456"/>
        <v>#VALUE!</v>
      </c>
      <c r="AL370" s="512">
        <v>8</v>
      </c>
      <c r="AM370" s="512" t="s">
        <v>2256</v>
      </c>
      <c r="AN370" s="529" t="s">
        <v>2444</v>
      </c>
      <c r="AO370" s="508">
        <f t="shared" ca="1" si="450"/>
        <v>8.7750000000000004</v>
      </c>
      <c r="AP370" s="600">
        <v>2</v>
      </c>
      <c r="AQ370" s="633">
        <v>6.0000000000000001E-3</v>
      </c>
      <c r="AR370" s="170">
        <f t="shared" ca="1" si="468"/>
        <v>3.316239316239316E-2</v>
      </c>
      <c r="AS370" s="508">
        <f t="shared" ca="1" si="469"/>
        <v>332</v>
      </c>
      <c r="AU370" s="512">
        <v>8</v>
      </c>
      <c r="AV370" s="516" t="s">
        <v>626</v>
      </c>
      <c r="AW370" s="512" t="s">
        <v>2394</v>
      </c>
      <c r="AX370" s="508">
        <f t="shared" ca="1" si="462"/>
        <v>68</v>
      </c>
      <c r="AY370" s="565">
        <v>4</v>
      </c>
      <c r="AZ370" s="508">
        <f>宝箱设定!$H183</f>
        <v>3.6999999999999998E-2</v>
      </c>
      <c r="BA370" s="170">
        <f t="shared" ca="1" si="463"/>
        <v>8.8419117647058811E-3</v>
      </c>
      <c r="BB370" s="508">
        <f t="shared" ca="1" si="464"/>
        <v>88</v>
      </c>
      <c r="BD370" s="512">
        <v>8</v>
      </c>
      <c r="BE370" s="516" t="s">
        <v>626</v>
      </c>
      <c r="BF370" s="512" t="s">
        <v>2394</v>
      </c>
      <c r="BG370" s="508">
        <f t="shared" ca="1" si="465"/>
        <v>68</v>
      </c>
      <c r="BH370" s="615">
        <v>7</v>
      </c>
      <c r="BI370" s="508">
        <f>宝箱设定!$H183</f>
        <v>3.6999999999999998E-2</v>
      </c>
      <c r="BJ370" s="170">
        <f t="shared" ca="1" si="466"/>
        <v>1.1465336134453779E-2</v>
      </c>
      <c r="BK370" s="279">
        <f t="shared" ca="1" si="467"/>
        <v>115</v>
      </c>
      <c r="BM370" s="512">
        <v>9</v>
      </c>
      <c r="BN370" s="527" t="s">
        <v>2267</v>
      </c>
      <c r="BO370" s="530" t="s">
        <v>2200</v>
      </c>
      <c r="BP370" s="508" t="str">
        <f t="shared" ca="1" si="442"/>
        <v>T2部件</v>
      </c>
      <c r="BQ370" s="632">
        <v>3</v>
      </c>
      <c r="BR370" s="615">
        <v>9.5999999999999992E-3</v>
      </c>
      <c r="BS370" s="170" t="e">
        <f t="shared" ca="1" si="443"/>
        <v>#VALUE!</v>
      </c>
      <c r="BT370" s="508" t="e">
        <f t="shared" ca="1" si="444"/>
        <v>#VALUE!</v>
      </c>
      <c r="BV370" s="396">
        <v>9</v>
      </c>
      <c r="BW370" s="527" t="s">
        <v>2267</v>
      </c>
      <c r="BX370" s="530" t="s">
        <v>2200</v>
      </c>
      <c r="BY370" s="523" t="str">
        <f t="shared" ca="1" si="436"/>
        <v>T2部件</v>
      </c>
      <c r="BZ370" s="665">
        <v>1</v>
      </c>
      <c r="CA370" s="634">
        <v>1.7000000000000001E-2</v>
      </c>
      <c r="CB370" s="170" t="e">
        <f t="shared" ca="1" si="437"/>
        <v>#VALUE!</v>
      </c>
      <c r="CC370" s="379" t="e">
        <f t="shared" ca="1" si="438"/>
        <v>#VALUE!</v>
      </c>
    </row>
    <row r="371" spans="2:81" x14ac:dyDescent="0.35">
      <c r="B371" s="512">
        <v>8</v>
      </c>
      <c r="C371" s="516" t="s">
        <v>2271</v>
      </c>
      <c r="D371" s="529" t="s">
        <v>2444</v>
      </c>
      <c r="E371" s="508" t="str">
        <f t="shared" ca="1" si="459"/>
        <v>T2部件</v>
      </c>
      <c r="F371" s="565">
        <v>1</v>
      </c>
      <c r="G371" s="594">
        <v>6.0000000000000001E-3</v>
      </c>
      <c r="H371" s="170" t="e">
        <f t="shared" ca="1" si="434"/>
        <v>#VALUE!</v>
      </c>
      <c r="I371" s="508" t="e">
        <f t="shared" ca="1" si="435"/>
        <v>#VALUE!</v>
      </c>
      <c r="K371" s="512">
        <v>8</v>
      </c>
      <c r="L371" s="516" t="s">
        <v>2271</v>
      </c>
      <c r="M371" s="529" t="s">
        <v>2444</v>
      </c>
      <c r="N371" s="508" t="str">
        <f t="shared" ca="1" si="460"/>
        <v>T2部件</v>
      </c>
      <c r="O371" s="565">
        <v>1</v>
      </c>
      <c r="P371" s="633">
        <v>6.0000000000000001E-3</v>
      </c>
      <c r="Q371" s="170" t="e">
        <f t="shared" ca="1" si="445"/>
        <v>#VALUE!</v>
      </c>
      <c r="R371" s="508" t="e">
        <f t="shared" ca="1" si="446"/>
        <v>#VALUE!</v>
      </c>
      <c r="T371" s="512">
        <v>8</v>
      </c>
      <c r="U371" s="516" t="s">
        <v>2271</v>
      </c>
      <c r="V371" s="529" t="s">
        <v>2444</v>
      </c>
      <c r="W371" s="508" t="str">
        <f t="shared" ca="1" si="461"/>
        <v>T2部件</v>
      </c>
      <c r="X371" s="565">
        <v>1</v>
      </c>
      <c r="Y371" s="594">
        <v>6.0000000000000001E-3</v>
      </c>
      <c r="Z371" s="170" t="e">
        <f t="shared" ca="1" si="447"/>
        <v>#VALUE!</v>
      </c>
      <c r="AA371" s="508" t="e">
        <f t="shared" ca="1" si="448"/>
        <v>#VALUE!</v>
      </c>
      <c r="AC371" s="512">
        <v>8</v>
      </c>
      <c r="AD371" s="516" t="s">
        <v>2264</v>
      </c>
      <c r="AE371" s="529" t="s">
        <v>2444</v>
      </c>
      <c r="AF371" s="508" t="str">
        <f t="shared" ca="1" si="439"/>
        <v>T2部件</v>
      </c>
      <c r="AG371" s="508">
        <v>1</v>
      </c>
      <c r="AH371" s="633">
        <v>6.4999999999999997E-3</v>
      </c>
      <c r="AI371" s="170" t="e">
        <f t="shared" ca="1" si="455"/>
        <v>#VALUE!</v>
      </c>
      <c r="AJ371" s="508" t="e">
        <f t="shared" ca="1" si="456"/>
        <v>#VALUE!</v>
      </c>
      <c r="AL371" s="512">
        <v>8</v>
      </c>
      <c r="AM371" s="516" t="s">
        <v>2241</v>
      </c>
      <c r="AN371" s="529" t="s">
        <v>2444</v>
      </c>
      <c r="AO371" s="508">
        <f t="shared" ca="1" si="450"/>
        <v>8.7750000000000004</v>
      </c>
      <c r="AP371" s="600">
        <v>2</v>
      </c>
      <c r="AQ371" s="633">
        <v>6.0000000000000001E-3</v>
      </c>
      <c r="AR371" s="170">
        <f t="shared" ca="1" si="468"/>
        <v>3.316239316239316E-2</v>
      </c>
      <c r="AS371" s="508">
        <f t="shared" ca="1" si="469"/>
        <v>332</v>
      </c>
      <c r="AU371" s="512">
        <v>8</v>
      </c>
      <c r="AV371" s="516" t="s">
        <v>631</v>
      </c>
      <c r="AW371" s="512" t="s">
        <v>2394</v>
      </c>
      <c r="AX371" s="508">
        <f t="shared" ca="1" si="462"/>
        <v>68</v>
      </c>
      <c r="AY371" s="565">
        <v>4</v>
      </c>
      <c r="AZ371" s="508">
        <f>宝箱设定!$H184</f>
        <v>3.6999999999999998E-2</v>
      </c>
      <c r="BA371" s="170">
        <f t="shared" ca="1" si="463"/>
        <v>8.8419117647058811E-3</v>
      </c>
      <c r="BB371" s="508">
        <f t="shared" ca="1" si="464"/>
        <v>88</v>
      </c>
      <c r="BD371" s="512">
        <v>8</v>
      </c>
      <c r="BE371" s="516" t="s">
        <v>631</v>
      </c>
      <c r="BF371" s="512" t="s">
        <v>2394</v>
      </c>
      <c r="BG371" s="508">
        <f t="shared" ca="1" si="465"/>
        <v>68</v>
      </c>
      <c r="BH371" s="615">
        <v>7</v>
      </c>
      <c r="BI371" s="508">
        <f>宝箱设定!$H184</f>
        <v>3.6999999999999998E-2</v>
      </c>
      <c r="BJ371" s="170">
        <f t="shared" ca="1" si="466"/>
        <v>1.1465336134453779E-2</v>
      </c>
      <c r="BK371" s="279">
        <f t="shared" ca="1" si="467"/>
        <v>115</v>
      </c>
      <c r="BM371" s="512">
        <v>9</v>
      </c>
      <c r="BN371" s="527" t="s">
        <v>2269</v>
      </c>
      <c r="BO371" s="530" t="s">
        <v>2200</v>
      </c>
      <c r="BP371" s="508" t="str">
        <f t="shared" ca="1" si="442"/>
        <v>T2部件</v>
      </c>
      <c r="BQ371" s="632">
        <v>3</v>
      </c>
      <c r="BR371" s="615">
        <v>9.5999999999999992E-3</v>
      </c>
      <c r="BS371" s="170" t="e">
        <f t="shared" ca="1" si="443"/>
        <v>#VALUE!</v>
      </c>
      <c r="BT371" s="508" t="e">
        <f t="shared" ca="1" si="444"/>
        <v>#VALUE!</v>
      </c>
      <c r="BV371" s="396">
        <v>9</v>
      </c>
      <c r="BW371" s="527" t="s">
        <v>2269</v>
      </c>
      <c r="BX371" s="530" t="s">
        <v>2200</v>
      </c>
      <c r="BY371" s="523" t="str">
        <f t="shared" ref="BY371:BY392" ca="1" si="470">IF(BX371="部件",VLOOKUP(BV371,INDIRECT(BX371&amp;"价值"),MATCH(LEFT(BW371,2)&amp;"部件",INDIRECT(BX371&amp;"价值标头"),0),FALSE),IF(BX371="加速道具",VLOOKUP(BW371,INDIRECT(BX371&amp;"价值"),MATCH("价格",INDIRECT(BX371&amp;"价值标头"),0),FALSE),VLOOKUP(BV371,INDIRECT(BX371&amp;"价值"),MATCH(BW371,INDIRECT(BX371&amp;"价值标头"),0),FALSE)))</f>
        <v>T2部件</v>
      </c>
      <c r="BZ371" s="665">
        <v>1</v>
      </c>
      <c r="CA371" s="634">
        <v>1.7000000000000001E-2</v>
      </c>
      <c r="CB371" s="170" t="e">
        <f t="shared" ca="1" si="437"/>
        <v>#VALUE!</v>
      </c>
      <c r="CC371" s="379" t="e">
        <f t="shared" ca="1" si="438"/>
        <v>#VALUE!</v>
      </c>
    </row>
    <row r="372" spans="2:81" x14ac:dyDescent="0.35">
      <c r="B372" s="512">
        <v>8</v>
      </c>
      <c r="C372" s="512" t="s">
        <v>2273</v>
      </c>
      <c r="D372" s="529" t="s">
        <v>2444</v>
      </c>
      <c r="E372" s="508" t="str">
        <f t="shared" ca="1" si="459"/>
        <v>T2部件</v>
      </c>
      <c r="F372" s="565">
        <v>1</v>
      </c>
      <c r="G372" s="594">
        <v>6.0000000000000001E-3</v>
      </c>
      <c r="H372" s="170" t="e">
        <f t="shared" ca="1" si="434"/>
        <v>#VALUE!</v>
      </c>
      <c r="I372" s="508" t="e">
        <f t="shared" ca="1" si="435"/>
        <v>#VALUE!</v>
      </c>
      <c r="K372" s="512">
        <v>8</v>
      </c>
      <c r="L372" s="512" t="s">
        <v>2273</v>
      </c>
      <c r="M372" s="529" t="s">
        <v>2444</v>
      </c>
      <c r="N372" s="508" t="str">
        <f t="shared" ca="1" si="460"/>
        <v>T2部件</v>
      </c>
      <c r="O372" s="565">
        <v>1</v>
      </c>
      <c r="P372" s="633">
        <v>6.0000000000000001E-3</v>
      </c>
      <c r="Q372" s="170" t="e">
        <f t="shared" ca="1" si="445"/>
        <v>#VALUE!</v>
      </c>
      <c r="R372" s="508" t="e">
        <f t="shared" ca="1" si="446"/>
        <v>#VALUE!</v>
      </c>
      <c r="T372" s="512">
        <v>8</v>
      </c>
      <c r="U372" s="512" t="s">
        <v>2273</v>
      </c>
      <c r="V372" s="529" t="s">
        <v>2444</v>
      </c>
      <c r="W372" s="508" t="str">
        <f t="shared" ca="1" si="461"/>
        <v>T2部件</v>
      </c>
      <c r="X372" s="565">
        <v>1</v>
      </c>
      <c r="Y372" s="594">
        <v>6.0000000000000001E-3</v>
      </c>
      <c r="Z372" s="170" t="e">
        <f t="shared" ca="1" si="447"/>
        <v>#VALUE!</v>
      </c>
      <c r="AA372" s="508" t="e">
        <f t="shared" ca="1" si="448"/>
        <v>#VALUE!</v>
      </c>
      <c r="AC372" s="512">
        <v>8</v>
      </c>
      <c r="AD372" s="516" t="s">
        <v>2266</v>
      </c>
      <c r="AE372" s="529" t="s">
        <v>2444</v>
      </c>
      <c r="AF372" s="508" t="str">
        <f t="shared" ca="1" si="439"/>
        <v>T2部件</v>
      </c>
      <c r="AG372" s="508">
        <v>1</v>
      </c>
      <c r="AH372" s="633">
        <v>6.4999999999999997E-3</v>
      </c>
      <c r="AI372" s="170" t="e">
        <f t="shared" ca="1" si="455"/>
        <v>#VALUE!</v>
      </c>
      <c r="AJ372" s="508" t="e">
        <f t="shared" ca="1" si="456"/>
        <v>#VALUE!</v>
      </c>
      <c r="AL372" s="512">
        <v>8</v>
      </c>
      <c r="AM372" s="516" t="s">
        <v>2243</v>
      </c>
      <c r="AN372" s="529" t="s">
        <v>2444</v>
      </c>
      <c r="AO372" s="508">
        <f t="shared" ca="1" si="450"/>
        <v>8.7750000000000004</v>
      </c>
      <c r="AP372" s="600">
        <v>2</v>
      </c>
      <c r="AQ372" s="633">
        <v>6.0000000000000001E-3</v>
      </c>
      <c r="AR372" s="170">
        <f t="shared" ca="1" si="468"/>
        <v>3.316239316239316E-2</v>
      </c>
      <c r="AS372" s="508">
        <f t="shared" ca="1" si="469"/>
        <v>332</v>
      </c>
      <c r="AU372" s="512">
        <v>8</v>
      </c>
      <c r="AV372" s="516" t="s">
        <v>618</v>
      </c>
      <c r="AW372" s="512" t="s">
        <v>2394</v>
      </c>
      <c r="AX372" s="508">
        <f t="shared" ca="1" si="462"/>
        <v>49.199999999999996</v>
      </c>
      <c r="AY372" s="565">
        <v>3</v>
      </c>
      <c r="AZ372" s="508">
        <f>宝箱设定!$H185</f>
        <v>3.6999999999999998E-2</v>
      </c>
      <c r="BA372" s="170">
        <f t="shared" ca="1" si="463"/>
        <v>1.6294037940379404E-2</v>
      </c>
      <c r="BB372" s="508">
        <f t="shared" ca="1" si="464"/>
        <v>163</v>
      </c>
      <c r="BD372" s="512">
        <v>8</v>
      </c>
      <c r="BE372" s="516" t="s">
        <v>618</v>
      </c>
      <c r="BF372" s="512" t="s">
        <v>2394</v>
      </c>
      <c r="BG372" s="508">
        <f t="shared" ca="1" si="465"/>
        <v>49.199999999999996</v>
      </c>
      <c r="BH372" s="565">
        <v>5</v>
      </c>
      <c r="BI372" s="508">
        <f>宝箱设定!$H185</f>
        <v>3.6999999999999998E-2</v>
      </c>
      <c r="BJ372" s="170">
        <f t="shared" ca="1" si="466"/>
        <v>2.2184959349593497E-2</v>
      </c>
      <c r="BK372" s="279">
        <f t="shared" ca="1" si="467"/>
        <v>222</v>
      </c>
      <c r="BM372" s="512">
        <v>9</v>
      </c>
      <c r="BN372" s="527" t="s">
        <v>2271</v>
      </c>
      <c r="BO372" s="530" t="s">
        <v>2200</v>
      </c>
      <c r="BP372" s="508" t="str">
        <f t="shared" ca="1" si="442"/>
        <v>T2部件</v>
      </c>
      <c r="BQ372" s="632">
        <v>3</v>
      </c>
      <c r="BR372" s="615">
        <v>9.5999999999999992E-3</v>
      </c>
      <c r="BS372" s="170" t="e">
        <f t="shared" ca="1" si="443"/>
        <v>#VALUE!</v>
      </c>
      <c r="BT372" s="508" t="e">
        <f t="shared" ca="1" si="444"/>
        <v>#VALUE!</v>
      </c>
      <c r="BV372" s="396">
        <v>9</v>
      </c>
      <c r="BW372" s="527" t="s">
        <v>2271</v>
      </c>
      <c r="BX372" s="530" t="s">
        <v>2200</v>
      </c>
      <c r="BY372" s="523" t="str">
        <f t="shared" ca="1" si="470"/>
        <v>T2部件</v>
      </c>
      <c r="BZ372" s="665">
        <v>1</v>
      </c>
      <c r="CA372" s="634">
        <v>1.7000000000000001E-2</v>
      </c>
      <c r="CB372" s="170" t="e">
        <f t="shared" ref="CB372:CB385" ca="1" si="471">CA372*BW$4/BY372/BZ372</f>
        <v>#VALUE!</v>
      </c>
      <c r="CC372" s="394" t="e">
        <f t="shared" ref="CC372:CC385" ca="1" si="472">ROUND(CB372*10000,0)</f>
        <v>#VALUE!</v>
      </c>
    </row>
    <row r="373" spans="2:81" x14ac:dyDescent="0.35">
      <c r="B373" s="512">
        <v>8</v>
      </c>
      <c r="C373" s="512" t="s">
        <v>2275</v>
      </c>
      <c r="D373" s="529" t="s">
        <v>2444</v>
      </c>
      <c r="E373" s="508" t="str">
        <f t="shared" ca="1" si="459"/>
        <v>T2部件</v>
      </c>
      <c r="F373" s="565">
        <v>1</v>
      </c>
      <c r="G373" s="594">
        <v>6.0000000000000001E-3</v>
      </c>
      <c r="H373" s="170" t="e">
        <f t="shared" ca="1" si="434"/>
        <v>#VALUE!</v>
      </c>
      <c r="I373" s="508" t="e">
        <f t="shared" ca="1" si="435"/>
        <v>#VALUE!</v>
      </c>
      <c r="K373" s="512">
        <v>8</v>
      </c>
      <c r="L373" s="512" t="s">
        <v>2275</v>
      </c>
      <c r="M373" s="529" t="s">
        <v>2444</v>
      </c>
      <c r="N373" s="508" t="str">
        <f t="shared" ca="1" si="460"/>
        <v>T2部件</v>
      </c>
      <c r="O373" s="565">
        <v>1</v>
      </c>
      <c r="P373" s="633">
        <v>6.0000000000000001E-3</v>
      </c>
      <c r="Q373" s="170" t="e">
        <f t="shared" ca="1" si="445"/>
        <v>#VALUE!</v>
      </c>
      <c r="R373" s="508" t="e">
        <f t="shared" ca="1" si="446"/>
        <v>#VALUE!</v>
      </c>
      <c r="T373" s="512">
        <v>8</v>
      </c>
      <c r="U373" s="512" t="s">
        <v>2275</v>
      </c>
      <c r="V373" s="529" t="s">
        <v>2444</v>
      </c>
      <c r="W373" s="508" t="str">
        <f t="shared" ca="1" si="461"/>
        <v>T2部件</v>
      </c>
      <c r="X373" s="565">
        <v>1</v>
      </c>
      <c r="Y373" s="594">
        <v>6.0000000000000001E-3</v>
      </c>
      <c r="Z373" s="170" t="e">
        <f t="shared" ca="1" si="447"/>
        <v>#VALUE!</v>
      </c>
      <c r="AA373" s="508" t="e">
        <f t="shared" ca="1" si="448"/>
        <v>#VALUE!</v>
      </c>
      <c r="AC373" s="512">
        <v>8</v>
      </c>
      <c r="AD373" s="516" t="s">
        <v>2268</v>
      </c>
      <c r="AE373" s="529" t="s">
        <v>2444</v>
      </c>
      <c r="AF373" s="508" t="str">
        <f t="shared" ca="1" si="439"/>
        <v>T2部件</v>
      </c>
      <c r="AG373" s="508">
        <v>1</v>
      </c>
      <c r="AH373" s="633">
        <v>6.4999999999999997E-3</v>
      </c>
      <c r="AI373" s="170" t="e">
        <f t="shared" ca="1" si="455"/>
        <v>#VALUE!</v>
      </c>
      <c r="AJ373" s="508" t="e">
        <f t="shared" ca="1" si="456"/>
        <v>#VALUE!</v>
      </c>
      <c r="AL373" s="512">
        <v>8</v>
      </c>
      <c r="AM373" s="516" t="s">
        <v>2245</v>
      </c>
      <c r="AN373" s="529" t="s">
        <v>2444</v>
      </c>
      <c r="AO373" s="508">
        <f t="shared" ca="1" si="450"/>
        <v>8.7750000000000004</v>
      </c>
      <c r="AP373" s="600">
        <v>2</v>
      </c>
      <c r="AQ373" s="633">
        <v>6.0000000000000001E-3</v>
      </c>
      <c r="AR373" s="170">
        <f t="shared" ca="1" si="468"/>
        <v>3.316239316239316E-2</v>
      </c>
      <c r="AS373" s="508">
        <f t="shared" ca="1" si="469"/>
        <v>332</v>
      </c>
      <c r="AU373" s="512">
        <v>8</v>
      </c>
      <c r="AV373" s="516" t="s">
        <v>627</v>
      </c>
      <c r="AW373" s="512" t="s">
        <v>2394</v>
      </c>
      <c r="AX373" s="508">
        <f t="shared" ca="1" si="462"/>
        <v>49.199999999999996</v>
      </c>
      <c r="AY373" s="565">
        <v>3</v>
      </c>
      <c r="AZ373" s="508">
        <f>宝箱设定!$H186</f>
        <v>3.6999999999999998E-2</v>
      </c>
      <c r="BA373" s="170">
        <f t="shared" ca="1" si="463"/>
        <v>1.6294037940379404E-2</v>
      </c>
      <c r="BB373" s="508">
        <f t="shared" ca="1" si="464"/>
        <v>163</v>
      </c>
      <c r="BD373" s="512">
        <v>8</v>
      </c>
      <c r="BE373" s="516" t="s">
        <v>627</v>
      </c>
      <c r="BF373" s="512" t="s">
        <v>2394</v>
      </c>
      <c r="BG373" s="508">
        <f t="shared" ca="1" si="465"/>
        <v>49.199999999999996</v>
      </c>
      <c r="BH373" s="615">
        <v>5</v>
      </c>
      <c r="BI373" s="508">
        <f>宝箱设定!$H186</f>
        <v>3.6999999999999998E-2</v>
      </c>
      <c r="BJ373" s="170">
        <f t="shared" ca="1" si="466"/>
        <v>2.2184959349593497E-2</v>
      </c>
      <c r="BK373" s="279">
        <f t="shared" ca="1" si="467"/>
        <v>222</v>
      </c>
      <c r="BM373" s="512">
        <v>9</v>
      </c>
      <c r="BN373" s="525" t="s">
        <v>2273</v>
      </c>
      <c r="BO373" s="530" t="s">
        <v>2200</v>
      </c>
      <c r="BP373" s="508" t="str">
        <f t="shared" ca="1" si="442"/>
        <v>T2部件</v>
      </c>
      <c r="BQ373" s="632">
        <v>3</v>
      </c>
      <c r="BR373" s="615">
        <v>9.5999999999999992E-3</v>
      </c>
      <c r="BS373" s="170" t="e">
        <f t="shared" ca="1" si="443"/>
        <v>#VALUE!</v>
      </c>
      <c r="BT373" s="508" t="e">
        <f t="shared" ca="1" si="444"/>
        <v>#VALUE!</v>
      </c>
      <c r="BV373" s="396">
        <v>9</v>
      </c>
      <c r="BW373" s="525" t="s">
        <v>2273</v>
      </c>
      <c r="BX373" s="530" t="s">
        <v>2200</v>
      </c>
      <c r="BY373" s="523" t="str">
        <f t="shared" ca="1" si="470"/>
        <v>T2部件</v>
      </c>
      <c r="BZ373" s="665">
        <v>1</v>
      </c>
      <c r="CA373" s="634">
        <v>1.7000000000000001E-2</v>
      </c>
      <c r="CB373" s="170" t="e">
        <f t="shared" ca="1" si="471"/>
        <v>#VALUE!</v>
      </c>
      <c r="CC373" s="394" t="e">
        <f t="shared" ca="1" si="472"/>
        <v>#VALUE!</v>
      </c>
    </row>
    <row r="374" spans="2:81" x14ac:dyDescent="0.35">
      <c r="B374" s="512">
        <v>8</v>
      </c>
      <c r="C374" s="516" t="s">
        <v>2276</v>
      </c>
      <c r="D374" s="529" t="s">
        <v>2444</v>
      </c>
      <c r="E374" s="508" t="str">
        <f t="shared" ca="1" si="459"/>
        <v>T3部件</v>
      </c>
      <c r="F374" s="565">
        <v>1</v>
      </c>
      <c r="G374" s="594">
        <v>6.0000000000000001E-3</v>
      </c>
      <c r="H374" s="170" t="e">
        <f t="shared" ca="1" si="434"/>
        <v>#VALUE!</v>
      </c>
      <c r="I374" s="508" t="e">
        <f t="shared" ca="1" si="435"/>
        <v>#VALUE!</v>
      </c>
      <c r="K374" s="512">
        <v>8</v>
      </c>
      <c r="L374" s="516" t="s">
        <v>2276</v>
      </c>
      <c r="M374" s="529" t="s">
        <v>2444</v>
      </c>
      <c r="N374" s="508" t="str">
        <f t="shared" ca="1" si="460"/>
        <v>T3部件</v>
      </c>
      <c r="O374" s="565">
        <v>1</v>
      </c>
      <c r="P374" s="633">
        <v>2E-3</v>
      </c>
      <c r="Q374" s="170" t="e">
        <f t="shared" ca="1" si="445"/>
        <v>#VALUE!</v>
      </c>
      <c r="R374" s="508" t="e">
        <f t="shared" ca="1" si="446"/>
        <v>#VALUE!</v>
      </c>
      <c r="T374" s="512">
        <v>8</v>
      </c>
      <c r="U374" s="516" t="s">
        <v>2276</v>
      </c>
      <c r="V374" s="529" t="s">
        <v>2444</v>
      </c>
      <c r="W374" s="508" t="str">
        <f t="shared" ca="1" si="461"/>
        <v>T3部件</v>
      </c>
      <c r="X374" s="565">
        <v>1</v>
      </c>
      <c r="Y374" s="594">
        <v>2E-3</v>
      </c>
      <c r="Z374" s="170" t="e">
        <f t="shared" ca="1" si="447"/>
        <v>#VALUE!</v>
      </c>
      <c r="AA374" s="508" t="e">
        <f t="shared" ca="1" si="448"/>
        <v>#VALUE!</v>
      </c>
      <c r="AC374" s="512">
        <v>8</v>
      </c>
      <c r="AD374" s="516" t="s">
        <v>2270</v>
      </c>
      <c r="AE374" s="529" t="s">
        <v>2444</v>
      </c>
      <c r="AF374" s="508" t="str">
        <f t="shared" ref="AF374:AF405" ca="1" si="473">IF(AE374="部件",VLOOKUP(AC374,INDIRECT(AE374&amp;"价值"),MATCH(LEFT(AD374,2)&amp;"部件",INDIRECT(AE374&amp;"价值标头"),0),FALSE),IF(AE374="加速道具",VLOOKUP(AD374,INDIRECT(AE374&amp;"价值"),MATCH("价格",INDIRECT(AE374&amp;"价值标头"),0),FALSE),VLOOKUP(AC374,INDIRECT(AE374&amp;"价值"),MATCH(AD374,INDIRECT(AE374&amp;"价值标头"),0),FALSE)))</f>
        <v>T2部件</v>
      </c>
      <c r="AG374" s="508">
        <v>1</v>
      </c>
      <c r="AH374" s="633">
        <v>6.4999999999999997E-3</v>
      </c>
      <c r="AI374" s="170" t="e">
        <f t="shared" ca="1" si="455"/>
        <v>#VALUE!</v>
      </c>
      <c r="AJ374" s="508" t="e">
        <f t="shared" ca="1" si="456"/>
        <v>#VALUE!</v>
      </c>
      <c r="AL374" s="512">
        <v>8</v>
      </c>
      <c r="AM374" s="516" t="s">
        <v>2247</v>
      </c>
      <c r="AN374" s="529" t="s">
        <v>2444</v>
      </c>
      <c r="AO374" s="508">
        <f t="shared" ca="1" si="450"/>
        <v>8.7750000000000004</v>
      </c>
      <c r="AP374" s="600">
        <v>2</v>
      </c>
      <c r="AQ374" s="633">
        <v>6.0000000000000001E-3</v>
      </c>
      <c r="AR374" s="170">
        <f t="shared" ca="1" si="468"/>
        <v>3.316239316239316E-2</v>
      </c>
      <c r="AS374" s="508">
        <f t="shared" ca="1" si="469"/>
        <v>332</v>
      </c>
      <c r="AU374" s="512">
        <v>8</v>
      </c>
      <c r="AV374" s="516" t="s">
        <v>628</v>
      </c>
      <c r="AW374" s="512" t="s">
        <v>2394</v>
      </c>
      <c r="AX374" s="508">
        <f t="shared" ca="1" si="462"/>
        <v>49.199999999999996</v>
      </c>
      <c r="AY374" s="565">
        <v>3</v>
      </c>
      <c r="AZ374" s="508">
        <f>宝箱设定!$H187</f>
        <v>3.6999999999999998E-2</v>
      </c>
      <c r="BA374" s="170">
        <f t="shared" ca="1" si="463"/>
        <v>1.6294037940379404E-2</v>
      </c>
      <c r="BB374" s="508">
        <f t="shared" ca="1" si="464"/>
        <v>163</v>
      </c>
      <c r="BD374" s="512">
        <v>8</v>
      </c>
      <c r="BE374" s="516" t="s">
        <v>628</v>
      </c>
      <c r="BF374" s="512" t="s">
        <v>2394</v>
      </c>
      <c r="BG374" s="508">
        <f t="shared" ca="1" si="465"/>
        <v>49.199999999999996</v>
      </c>
      <c r="BH374" s="615">
        <v>5</v>
      </c>
      <c r="BI374" s="508">
        <f>宝箱设定!$H187</f>
        <v>3.6999999999999998E-2</v>
      </c>
      <c r="BJ374" s="170">
        <f t="shared" ca="1" si="466"/>
        <v>2.2184959349593497E-2</v>
      </c>
      <c r="BK374" s="379">
        <f t="shared" ca="1" si="467"/>
        <v>222</v>
      </c>
      <c r="BM374" s="512">
        <v>9</v>
      </c>
      <c r="BN374" s="525" t="s">
        <v>2275</v>
      </c>
      <c r="BO374" s="530" t="s">
        <v>2200</v>
      </c>
      <c r="BP374" s="508" t="str">
        <f t="shared" ca="1" si="442"/>
        <v>T2部件</v>
      </c>
      <c r="BQ374" s="632">
        <v>3</v>
      </c>
      <c r="BR374" s="615">
        <v>9.5999999999999992E-3</v>
      </c>
      <c r="BS374" s="170" t="e">
        <f t="shared" ca="1" si="443"/>
        <v>#VALUE!</v>
      </c>
      <c r="BT374" s="508" t="e">
        <f t="shared" ca="1" si="444"/>
        <v>#VALUE!</v>
      </c>
      <c r="BV374" s="396">
        <v>9</v>
      </c>
      <c r="BW374" s="525" t="s">
        <v>2275</v>
      </c>
      <c r="BX374" s="530" t="s">
        <v>2200</v>
      </c>
      <c r="BY374" s="523" t="str">
        <f t="shared" ca="1" si="470"/>
        <v>T2部件</v>
      </c>
      <c r="BZ374" s="665">
        <v>1</v>
      </c>
      <c r="CA374" s="634">
        <v>1.7000000000000001E-2</v>
      </c>
      <c r="CB374" s="170" t="e">
        <f t="shared" ca="1" si="471"/>
        <v>#VALUE!</v>
      </c>
      <c r="CC374" s="394" t="e">
        <f t="shared" ca="1" si="472"/>
        <v>#VALUE!</v>
      </c>
    </row>
    <row r="375" spans="2:81" x14ac:dyDescent="0.35">
      <c r="B375" s="512">
        <v>8</v>
      </c>
      <c r="C375" s="516" t="s">
        <v>2278</v>
      </c>
      <c r="D375" s="529" t="s">
        <v>2444</v>
      </c>
      <c r="E375" s="508" t="str">
        <f t="shared" ca="1" si="459"/>
        <v>T3部件</v>
      </c>
      <c r="F375" s="565">
        <v>1</v>
      </c>
      <c r="G375" s="594">
        <v>6.0000000000000001E-3</v>
      </c>
      <c r="H375" s="170" t="e">
        <f t="shared" ca="1" si="434"/>
        <v>#VALUE!</v>
      </c>
      <c r="I375" s="508" t="e">
        <f t="shared" ca="1" si="435"/>
        <v>#VALUE!</v>
      </c>
      <c r="K375" s="512">
        <v>8</v>
      </c>
      <c r="L375" s="516" t="s">
        <v>2278</v>
      </c>
      <c r="M375" s="529" t="s">
        <v>2444</v>
      </c>
      <c r="N375" s="508" t="str">
        <f t="shared" ca="1" si="460"/>
        <v>T3部件</v>
      </c>
      <c r="O375" s="565">
        <v>1</v>
      </c>
      <c r="P375" s="633">
        <v>2E-3</v>
      </c>
      <c r="Q375" s="170" t="e">
        <f t="shared" ca="1" si="445"/>
        <v>#VALUE!</v>
      </c>
      <c r="R375" s="508" t="e">
        <f t="shared" ca="1" si="446"/>
        <v>#VALUE!</v>
      </c>
      <c r="T375" s="512">
        <v>8</v>
      </c>
      <c r="U375" s="516" t="s">
        <v>2278</v>
      </c>
      <c r="V375" s="529" t="s">
        <v>2444</v>
      </c>
      <c r="W375" s="508" t="str">
        <f t="shared" ca="1" si="461"/>
        <v>T3部件</v>
      </c>
      <c r="X375" s="565">
        <v>1</v>
      </c>
      <c r="Y375" s="594">
        <v>2E-3</v>
      </c>
      <c r="Z375" s="170" t="e">
        <f t="shared" ca="1" si="447"/>
        <v>#VALUE!</v>
      </c>
      <c r="AA375" s="508" t="e">
        <f t="shared" ca="1" si="448"/>
        <v>#VALUE!</v>
      </c>
      <c r="AC375" s="512">
        <v>8</v>
      </c>
      <c r="AD375" s="512" t="s">
        <v>2272</v>
      </c>
      <c r="AE375" s="529" t="s">
        <v>2444</v>
      </c>
      <c r="AF375" s="508" t="str">
        <f t="shared" ca="1" si="473"/>
        <v>T2部件</v>
      </c>
      <c r="AG375" s="508">
        <v>1</v>
      </c>
      <c r="AH375" s="633">
        <v>6.4999999999999997E-3</v>
      </c>
      <c r="AI375" s="170" t="e">
        <f t="shared" ca="1" si="455"/>
        <v>#VALUE!</v>
      </c>
      <c r="AJ375" s="508" t="e">
        <f t="shared" ca="1" si="456"/>
        <v>#VALUE!</v>
      </c>
      <c r="AL375" s="512">
        <v>8</v>
      </c>
      <c r="AM375" s="516" t="s">
        <v>2249</v>
      </c>
      <c r="AN375" s="529" t="s">
        <v>2444</v>
      </c>
      <c r="AO375" s="508">
        <f t="shared" ca="1" si="450"/>
        <v>8.7750000000000004</v>
      </c>
      <c r="AP375" s="600">
        <v>2</v>
      </c>
      <c r="AQ375" s="633">
        <v>6.0000000000000001E-3</v>
      </c>
      <c r="AR375" s="170">
        <f t="shared" ca="1" si="468"/>
        <v>3.316239316239316E-2</v>
      </c>
      <c r="AS375" s="508">
        <f t="shared" ca="1" si="469"/>
        <v>332</v>
      </c>
      <c r="AU375" s="512">
        <v>8</v>
      </c>
      <c r="AV375" s="516" t="s">
        <v>619</v>
      </c>
      <c r="AW375" s="512" t="s">
        <v>2394</v>
      </c>
      <c r="AX375" s="508">
        <f t="shared" ca="1" si="462"/>
        <v>66</v>
      </c>
      <c r="AY375" s="565">
        <v>2.5</v>
      </c>
      <c r="AZ375" s="508">
        <f>宝箱设定!$H188</f>
        <v>3.6999999999999998E-2</v>
      </c>
      <c r="BA375" s="170">
        <f t="shared" ca="1" si="463"/>
        <v>1.4575757575757575E-2</v>
      </c>
      <c r="BB375" s="508">
        <f t="shared" ca="1" si="464"/>
        <v>146</v>
      </c>
      <c r="BD375" s="512">
        <v>8</v>
      </c>
      <c r="BE375" s="516" t="s">
        <v>619</v>
      </c>
      <c r="BF375" s="512" t="s">
        <v>2394</v>
      </c>
      <c r="BG375" s="508">
        <f t="shared" ca="1" si="465"/>
        <v>66</v>
      </c>
      <c r="BH375" s="565">
        <v>4.5</v>
      </c>
      <c r="BI375" s="508">
        <f>宝箱设定!$H188</f>
        <v>3.6999999999999998E-2</v>
      </c>
      <c r="BJ375" s="170">
        <f t="shared" ca="1" si="466"/>
        <v>1.8375420875420875E-2</v>
      </c>
      <c r="BK375" s="379">
        <f t="shared" ca="1" si="467"/>
        <v>184</v>
      </c>
      <c r="BM375" s="512">
        <v>9</v>
      </c>
      <c r="BN375" s="527" t="s">
        <v>2276</v>
      </c>
      <c r="BO375" s="530" t="s">
        <v>2200</v>
      </c>
      <c r="BP375" s="508" t="str">
        <f t="shared" ref="BP375:BP401" ca="1" si="474">IF(BO375="部件",VLOOKUP(BM375,INDIRECT(BO375&amp;"价值"),MATCH(LEFT(BN375,2)&amp;"部件",INDIRECT(BO375&amp;"价值标头"),0),FALSE),IF(BO375="加速道具",VLOOKUP(BN375,INDIRECT(BO375&amp;"价值"),MATCH("价格",INDIRECT(BO375&amp;"价值标头"),0),FALSE),VLOOKUP(BM375,INDIRECT(BO375&amp;"价值"),MATCH(BN375,INDIRECT(BO375&amp;"价值标头"),0),FALSE)))</f>
        <v>T3部件</v>
      </c>
      <c r="BQ375" s="508">
        <v>1.5</v>
      </c>
      <c r="BR375" s="600">
        <v>1.0200000000000001E-2</v>
      </c>
      <c r="BS375" s="170" t="e">
        <f t="shared" ca="1" si="443"/>
        <v>#VALUE!</v>
      </c>
      <c r="BT375" s="508" t="e">
        <f t="shared" ca="1" si="444"/>
        <v>#VALUE!</v>
      </c>
      <c r="BV375" s="396">
        <v>9</v>
      </c>
      <c r="BW375" s="527" t="s">
        <v>2276</v>
      </c>
      <c r="BX375" s="530" t="s">
        <v>2200</v>
      </c>
      <c r="BY375" s="523" t="str">
        <f t="shared" ca="1" si="470"/>
        <v>T3部件</v>
      </c>
      <c r="BZ375" s="573">
        <v>1</v>
      </c>
      <c r="CA375" s="571">
        <v>2.1000000000000001E-2</v>
      </c>
      <c r="CB375" s="170" t="e">
        <f t="shared" ca="1" si="471"/>
        <v>#VALUE!</v>
      </c>
      <c r="CC375" s="394" t="e">
        <f t="shared" ca="1" si="472"/>
        <v>#VALUE!</v>
      </c>
    </row>
    <row r="376" spans="2:81" x14ac:dyDescent="0.35">
      <c r="B376" s="512">
        <v>8</v>
      </c>
      <c r="C376" s="516" t="s">
        <v>2280</v>
      </c>
      <c r="D376" s="529" t="s">
        <v>2444</v>
      </c>
      <c r="E376" s="508" t="str">
        <f t="shared" ca="1" si="459"/>
        <v>T3部件</v>
      </c>
      <c r="F376" s="512">
        <v>1</v>
      </c>
      <c r="G376" s="594">
        <v>6.0000000000000001E-3</v>
      </c>
      <c r="H376" s="170" t="e">
        <f t="shared" ca="1" si="434"/>
        <v>#VALUE!</v>
      </c>
      <c r="I376" s="508" t="e">
        <f t="shared" ca="1" si="435"/>
        <v>#VALUE!</v>
      </c>
      <c r="K376" s="512">
        <v>8</v>
      </c>
      <c r="L376" s="516" t="s">
        <v>2280</v>
      </c>
      <c r="M376" s="529" t="s">
        <v>2444</v>
      </c>
      <c r="N376" s="508" t="str">
        <f t="shared" ca="1" si="460"/>
        <v>T3部件</v>
      </c>
      <c r="O376" s="566">
        <v>1</v>
      </c>
      <c r="P376" s="633">
        <v>2E-3</v>
      </c>
      <c r="Q376" s="170" t="e">
        <f t="shared" ca="1" si="445"/>
        <v>#VALUE!</v>
      </c>
      <c r="R376" s="508" t="e">
        <f t="shared" ca="1" si="446"/>
        <v>#VALUE!</v>
      </c>
      <c r="T376" s="512">
        <v>8</v>
      </c>
      <c r="U376" s="516" t="s">
        <v>2280</v>
      </c>
      <c r="V376" s="529" t="s">
        <v>2444</v>
      </c>
      <c r="W376" s="508" t="str">
        <f t="shared" ca="1" si="461"/>
        <v>T3部件</v>
      </c>
      <c r="X376" s="566">
        <v>1</v>
      </c>
      <c r="Y376" s="594">
        <v>2E-3</v>
      </c>
      <c r="Z376" s="170" t="e">
        <f t="shared" ca="1" si="447"/>
        <v>#VALUE!</v>
      </c>
      <c r="AA376" s="508" t="e">
        <f t="shared" ca="1" si="448"/>
        <v>#VALUE!</v>
      </c>
      <c r="AC376" s="512">
        <v>8</v>
      </c>
      <c r="AD376" s="512" t="s">
        <v>2274</v>
      </c>
      <c r="AE376" s="529" t="s">
        <v>2444</v>
      </c>
      <c r="AF376" s="508" t="str">
        <f t="shared" ca="1" si="473"/>
        <v>T2部件</v>
      </c>
      <c r="AG376" s="508">
        <v>1</v>
      </c>
      <c r="AH376" s="633">
        <v>6.4999999999999997E-3</v>
      </c>
      <c r="AI376" s="170" t="e">
        <f t="shared" ca="1" si="455"/>
        <v>#VALUE!</v>
      </c>
      <c r="AJ376" s="508" t="e">
        <f t="shared" ca="1" si="456"/>
        <v>#VALUE!</v>
      </c>
      <c r="AL376" s="512">
        <v>8</v>
      </c>
      <c r="AM376" s="516" t="s">
        <v>2251</v>
      </c>
      <c r="AN376" s="529" t="s">
        <v>2444</v>
      </c>
      <c r="AO376" s="508">
        <f t="shared" ca="1" si="450"/>
        <v>8.7750000000000004</v>
      </c>
      <c r="AP376" s="600">
        <v>2</v>
      </c>
      <c r="AQ376" s="633">
        <v>6.0000000000000001E-3</v>
      </c>
      <c r="AR376" s="170">
        <f t="shared" ca="1" si="468"/>
        <v>3.316239316239316E-2</v>
      </c>
      <c r="AS376" s="508">
        <f t="shared" ca="1" si="469"/>
        <v>332</v>
      </c>
      <c r="AU376" s="512">
        <v>8</v>
      </c>
      <c r="AV376" s="516" t="s">
        <v>718</v>
      </c>
      <c r="AW376" s="512" t="s">
        <v>2394</v>
      </c>
      <c r="AX376" s="508">
        <f t="shared" ca="1" si="462"/>
        <v>66</v>
      </c>
      <c r="AY376" s="565">
        <v>2.5</v>
      </c>
      <c r="AZ376" s="508">
        <f>宝箱设定!$H189</f>
        <v>3.6999999999999998E-2</v>
      </c>
      <c r="BA376" s="170">
        <f t="shared" ca="1" si="463"/>
        <v>1.4575757575757575E-2</v>
      </c>
      <c r="BB376" s="508">
        <f t="shared" ca="1" si="464"/>
        <v>146</v>
      </c>
      <c r="BD376" s="512">
        <v>8</v>
      </c>
      <c r="BE376" s="516" t="s">
        <v>718</v>
      </c>
      <c r="BF376" s="512" t="s">
        <v>2394</v>
      </c>
      <c r="BG376" s="508">
        <f t="shared" ca="1" si="465"/>
        <v>66</v>
      </c>
      <c r="BH376" s="615">
        <v>4.5</v>
      </c>
      <c r="BI376" s="508">
        <f>宝箱设定!$H189</f>
        <v>3.6999999999999998E-2</v>
      </c>
      <c r="BJ376" s="170">
        <f t="shared" ca="1" si="466"/>
        <v>1.8375420875420875E-2</v>
      </c>
      <c r="BK376" s="379">
        <f t="shared" ca="1" si="467"/>
        <v>184</v>
      </c>
      <c r="BM376" s="512">
        <v>9</v>
      </c>
      <c r="BN376" s="527" t="s">
        <v>2278</v>
      </c>
      <c r="BO376" s="530" t="s">
        <v>2200</v>
      </c>
      <c r="BP376" s="508" t="str">
        <f t="shared" ca="1" si="474"/>
        <v>T3部件</v>
      </c>
      <c r="BQ376" s="605">
        <v>1.5</v>
      </c>
      <c r="BR376" s="615">
        <v>1.0200000000000001E-2</v>
      </c>
      <c r="BS376" s="170" t="e">
        <f t="shared" ca="1" si="443"/>
        <v>#VALUE!</v>
      </c>
      <c r="BT376" s="508" t="e">
        <f t="shared" ca="1" si="444"/>
        <v>#VALUE!</v>
      </c>
      <c r="BV376" s="396">
        <v>9</v>
      </c>
      <c r="BW376" s="527" t="s">
        <v>2278</v>
      </c>
      <c r="BX376" s="530" t="s">
        <v>2200</v>
      </c>
      <c r="BY376" s="523" t="str">
        <f t="shared" ca="1" si="470"/>
        <v>T3部件</v>
      </c>
      <c r="BZ376" s="573">
        <v>1</v>
      </c>
      <c r="CA376" s="662">
        <v>2.1000000000000001E-2</v>
      </c>
      <c r="CB376" s="170" t="e">
        <f t="shared" ca="1" si="471"/>
        <v>#VALUE!</v>
      </c>
      <c r="CC376" s="394" t="e">
        <f t="shared" ca="1" si="472"/>
        <v>#VALUE!</v>
      </c>
    </row>
    <row r="377" spans="2:81" x14ac:dyDescent="0.35">
      <c r="B377" s="512">
        <v>8</v>
      </c>
      <c r="C377" s="516" t="s">
        <v>2282</v>
      </c>
      <c r="D377" s="529" t="s">
        <v>2444</v>
      </c>
      <c r="E377" s="508" t="str">
        <f t="shared" ca="1" si="459"/>
        <v>T3部件</v>
      </c>
      <c r="F377" s="512">
        <v>1</v>
      </c>
      <c r="G377" s="594">
        <v>6.0000000000000001E-3</v>
      </c>
      <c r="H377" s="170" t="e">
        <f t="shared" ca="1" si="434"/>
        <v>#VALUE!</v>
      </c>
      <c r="I377" s="508" t="e">
        <f t="shared" ca="1" si="435"/>
        <v>#VALUE!</v>
      </c>
      <c r="K377" s="512">
        <v>8</v>
      </c>
      <c r="L377" s="516" t="s">
        <v>2282</v>
      </c>
      <c r="M377" s="529" t="s">
        <v>2444</v>
      </c>
      <c r="N377" s="508" t="str">
        <f t="shared" ca="1" si="460"/>
        <v>T3部件</v>
      </c>
      <c r="O377" s="566">
        <v>1</v>
      </c>
      <c r="P377" s="633">
        <v>2E-3</v>
      </c>
      <c r="Q377" s="170" t="e">
        <f t="shared" ca="1" si="445"/>
        <v>#VALUE!</v>
      </c>
      <c r="R377" s="508" t="e">
        <f t="shared" ca="1" si="446"/>
        <v>#VALUE!</v>
      </c>
      <c r="T377" s="512">
        <v>8</v>
      </c>
      <c r="U377" s="516" t="s">
        <v>2282</v>
      </c>
      <c r="V377" s="529" t="s">
        <v>2444</v>
      </c>
      <c r="W377" s="508" t="str">
        <f t="shared" ca="1" si="461"/>
        <v>T3部件</v>
      </c>
      <c r="X377" s="566">
        <v>1</v>
      </c>
      <c r="Y377" s="594">
        <v>2E-3</v>
      </c>
      <c r="Z377" s="170" t="e">
        <f t="shared" ca="1" si="447"/>
        <v>#VALUE!</v>
      </c>
      <c r="AA377" s="508" t="e">
        <f t="shared" ca="1" si="448"/>
        <v>#VALUE!</v>
      </c>
      <c r="AC377" s="512">
        <v>8</v>
      </c>
      <c r="AD377" s="516" t="s">
        <v>2259</v>
      </c>
      <c r="AE377" s="529" t="s">
        <v>2444</v>
      </c>
      <c r="AF377" s="508" t="str">
        <f t="shared" ca="1" si="473"/>
        <v>T2部件</v>
      </c>
      <c r="AG377" s="508">
        <v>1</v>
      </c>
      <c r="AH377" s="633">
        <v>6.4999999999999997E-3</v>
      </c>
      <c r="AI377" s="170" t="e">
        <f t="shared" ca="1" si="455"/>
        <v>#VALUE!</v>
      </c>
      <c r="AJ377" s="508" t="e">
        <f t="shared" ca="1" si="456"/>
        <v>#VALUE!</v>
      </c>
      <c r="AL377" s="512">
        <v>8</v>
      </c>
      <c r="AM377" s="516" t="s">
        <v>2253</v>
      </c>
      <c r="AN377" s="529" t="s">
        <v>2444</v>
      </c>
      <c r="AO377" s="508">
        <f t="shared" ca="1" si="450"/>
        <v>8.7750000000000004</v>
      </c>
      <c r="AP377" s="600">
        <v>2</v>
      </c>
      <c r="AQ377" s="633">
        <v>6.0000000000000001E-3</v>
      </c>
      <c r="AR377" s="170">
        <f t="shared" ca="1" si="468"/>
        <v>3.316239316239316E-2</v>
      </c>
      <c r="AS377" s="508">
        <f t="shared" ca="1" si="469"/>
        <v>332</v>
      </c>
      <c r="AU377" s="512">
        <v>8</v>
      </c>
      <c r="AV377" s="516" t="s">
        <v>632</v>
      </c>
      <c r="AW377" s="512" t="s">
        <v>2394</v>
      </c>
      <c r="AX377" s="508">
        <f t="shared" ca="1" si="462"/>
        <v>66</v>
      </c>
      <c r="AY377" s="565">
        <v>2.5</v>
      </c>
      <c r="AZ377" s="508">
        <f>宝箱设定!$H190</f>
        <v>3.6999999999999998E-2</v>
      </c>
      <c r="BA377" s="170">
        <f t="shared" ca="1" si="463"/>
        <v>1.4575757575757575E-2</v>
      </c>
      <c r="BB377" s="508">
        <f t="shared" ca="1" si="464"/>
        <v>146</v>
      </c>
      <c r="BD377" s="512">
        <v>8</v>
      </c>
      <c r="BE377" s="516" t="s">
        <v>632</v>
      </c>
      <c r="BF377" s="512" t="s">
        <v>2394</v>
      </c>
      <c r="BG377" s="508">
        <f t="shared" ca="1" si="465"/>
        <v>66</v>
      </c>
      <c r="BH377" s="615">
        <v>4.5</v>
      </c>
      <c r="BI377" s="508">
        <f>宝箱设定!$H190</f>
        <v>3.6999999999999998E-2</v>
      </c>
      <c r="BJ377" s="170">
        <f ca="1">BI377*BE$4/BG377/BH377</f>
        <v>1.8375420875420875E-2</v>
      </c>
      <c r="BK377" s="279">
        <f ca="1">ROUND(BJ377*10000,0)</f>
        <v>184</v>
      </c>
      <c r="BM377" s="512">
        <v>9</v>
      </c>
      <c r="BN377" s="527" t="s">
        <v>2280</v>
      </c>
      <c r="BO377" s="530" t="s">
        <v>2200</v>
      </c>
      <c r="BP377" s="508" t="str">
        <f t="shared" ca="1" si="474"/>
        <v>T3部件</v>
      </c>
      <c r="BQ377" s="605">
        <v>1.5</v>
      </c>
      <c r="BR377" s="615">
        <v>1.0200000000000001E-2</v>
      </c>
      <c r="BS377" s="170" t="e">
        <f t="shared" ca="1" si="443"/>
        <v>#VALUE!</v>
      </c>
      <c r="BT377" s="508" t="e">
        <f t="shared" ca="1" si="444"/>
        <v>#VALUE!</v>
      </c>
      <c r="BV377" s="396">
        <v>9</v>
      </c>
      <c r="BW377" s="527" t="s">
        <v>2280</v>
      </c>
      <c r="BX377" s="530" t="s">
        <v>2200</v>
      </c>
      <c r="BY377" s="523" t="str">
        <f t="shared" ca="1" si="470"/>
        <v>T3部件</v>
      </c>
      <c r="BZ377" s="573">
        <v>1</v>
      </c>
      <c r="CA377" s="662">
        <v>2.1000000000000001E-2</v>
      </c>
      <c r="CB377" s="170" t="e">
        <f t="shared" ca="1" si="471"/>
        <v>#VALUE!</v>
      </c>
      <c r="CC377" s="394" t="e">
        <f t="shared" ca="1" si="472"/>
        <v>#VALUE!</v>
      </c>
    </row>
    <row r="378" spans="2:81" x14ac:dyDescent="0.35">
      <c r="B378" s="512">
        <v>8</v>
      </c>
      <c r="C378" s="516" t="s">
        <v>2284</v>
      </c>
      <c r="D378" s="529" t="s">
        <v>2444</v>
      </c>
      <c r="E378" s="508" t="str">
        <f t="shared" ca="1" si="459"/>
        <v>T3部件</v>
      </c>
      <c r="F378" s="512">
        <v>1</v>
      </c>
      <c r="G378" s="594">
        <v>6.0000000000000001E-3</v>
      </c>
      <c r="H378" s="170" t="e">
        <f t="shared" ca="1" si="434"/>
        <v>#VALUE!</v>
      </c>
      <c r="I378" s="508" t="e">
        <f t="shared" ca="1" si="435"/>
        <v>#VALUE!</v>
      </c>
      <c r="K378" s="512">
        <v>8</v>
      </c>
      <c r="L378" s="516" t="s">
        <v>2284</v>
      </c>
      <c r="M378" s="529" t="s">
        <v>2444</v>
      </c>
      <c r="N378" s="508" t="str">
        <f t="shared" ca="1" si="460"/>
        <v>T3部件</v>
      </c>
      <c r="O378" s="566">
        <v>1</v>
      </c>
      <c r="P378" s="633">
        <v>2E-3</v>
      </c>
      <c r="Q378" s="170" t="e">
        <f t="shared" ca="1" si="445"/>
        <v>#VALUE!</v>
      </c>
      <c r="R378" s="508" t="e">
        <f t="shared" ca="1" si="446"/>
        <v>#VALUE!</v>
      </c>
      <c r="T378" s="512">
        <v>8</v>
      </c>
      <c r="U378" s="516" t="s">
        <v>2284</v>
      </c>
      <c r="V378" s="529" t="s">
        <v>2444</v>
      </c>
      <c r="W378" s="508" t="str">
        <f t="shared" ca="1" si="461"/>
        <v>T3部件</v>
      </c>
      <c r="X378" s="566">
        <v>1</v>
      </c>
      <c r="Y378" s="594">
        <v>2E-3</v>
      </c>
      <c r="Z378" s="170" t="e">
        <f t="shared" ca="1" si="447"/>
        <v>#VALUE!</v>
      </c>
      <c r="AA378" s="508" t="e">
        <f t="shared" ca="1" si="448"/>
        <v>#VALUE!</v>
      </c>
      <c r="AC378" s="512">
        <v>8</v>
      </c>
      <c r="AD378" s="516" t="s">
        <v>2261</v>
      </c>
      <c r="AE378" s="529" t="s">
        <v>2444</v>
      </c>
      <c r="AF378" s="508" t="str">
        <f t="shared" ca="1" si="473"/>
        <v>T2部件</v>
      </c>
      <c r="AG378" s="508">
        <v>1</v>
      </c>
      <c r="AH378" s="633">
        <v>6.4999999999999997E-3</v>
      </c>
      <c r="AI378" s="170" t="e">
        <f t="shared" ca="1" si="455"/>
        <v>#VALUE!</v>
      </c>
      <c r="AJ378" s="508" t="e">
        <f t="shared" ca="1" si="456"/>
        <v>#VALUE!</v>
      </c>
      <c r="AL378" s="512">
        <v>8</v>
      </c>
      <c r="AM378" s="512" t="s">
        <v>2255</v>
      </c>
      <c r="AN378" s="529" t="s">
        <v>2444</v>
      </c>
      <c r="AO378" s="508">
        <f t="shared" ca="1" si="450"/>
        <v>8.7750000000000004</v>
      </c>
      <c r="AP378" s="600">
        <v>2</v>
      </c>
      <c r="AQ378" s="633">
        <v>6.0000000000000001E-3</v>
      </c>
      <c r="AR378" s="170">
        <f t="shared" ca="1" si="468"/>
        <v>3.316239316239316E-2</v>
      </c>
      <c r="AS378" s="508">
        <f t="shared" ca="1" si="469"/>
        <v>332</v>
      </c>
      <c r="AU378" s="512">
        <v>8</v>
      </c>
      <c r="AV378" s="516" t="s">
        <v>620</v>
      </c>
      <c r="AW378" s="512" t="s">
        <v>2394</v>
      </c>
      <c r="AX378" s="508">
        <f t="shared" ca="1" si="462"/>
        <v>100</v>
      </c>
      <c r="AY378" s="565">
        <v>1.5</v>
      </c>
      <c r="AZ378" s="508">
        <f>宝箱设定!$H191</f>
        <v>3.6999999999999998E-2</v>
      </c>
      <c r="BA378" s="170">
        <f t="shared" ca="1" si="463"/>
        <v>1.6033333333333333E-2</v>
      </c>
      <c r="BB378" s="508">
        <f t="shared" ca="1" si="464"/>
        <v>160</v>
      </c>
      <c r="BD378" s="512">
        <v>8</v>
      </c>
      <c r="BE378" s="516" t="s">
        <v>620</v>
      </c>
      <c r="BF378" s="512" t="s">
        <v>2394</v>
      </c>
      <c r="BG378" s="508">
        <f t="shared" ca="1" si="465"/>
        <v>100</v>
      </c>
      <c r="BH378" s="565">
        <v>3</v>
      </c>
      <c r="BI378" s="508">
        <f>宝箱设定!$H191</f>
        <v>3.6999999999999998E-2</v>
      </c>
      <c r="BJ378" s="170">
        <f ca="1">BI378*BE$4/BG378/BH378</f>
        <v>1.8191666666666665E-2</v>
      </c>
      <c r="BK378" s="279">
        <f ca="1">ROUND(BJ378*10000,0)</f>
        <v>182</v>
      </c>
      <c r="BM378" s="512">
        <v>9</v>
      </c>
      <c r="BN378" s="527" t="s">
        <v>2282</v>
      </c>
      <c r="BO378" s="530" t="s">
        <v>2200</v>
      </c>
      <c r="BP378" s="508" t="str">
        <f t="shared" ca="1" si="474"/>
        <v>T3部件</v>
      </c>
      <c r="BQ378" s="605">
        <v>1.5</v>
      </c>
      <c r="BR378" s="615">
        <v>1.0200000000000001E-2</v>
      </c>
      <c r="BS378" s="170" t="e">
        <f t="shared" ca="1" si="443"/>
        <v>#VALUE!</v>
      </c>
      <c r="BT378" s="508" t="e">
        <f t="shared" ca="1" si="444"/>
        <v>#VALUE!</v>
      </c>
      <c r="BV378" s="396">
        <v>9</v>
      </c>
      <c r="BW378" s="527" t="s">
        <v>2282</v>
      </c>
      <c r="BX378" s="530" t="s">
        <v>2200</v>
      </c>
      <c r="BY378" s="523" t="str">
        <f t="shared" ca="1" si="470"/>
        <v>T3部件</v>
      </c>
      <c r="BZ378" s="573">
        <v>1</v>
      </c>
      <c r="CA378" s="662">
        <v>2.1000000000000001E-2</v>
      </c>
      <c r="CB378" s="170" t="e">
        <f t="shared" ca="1" si="471"/>
        <v>#VALUE!</v>
      </c>
      <c r="CC378" s="394" t="e">
        <f t="shared" ca="1" si="472"/>
        <v>#VALUE!</v>
      </c>
    </row>
    <row r="379" spans="2:81" x14ac:dyDescent="0.35">
      <c r="B379" s="512">
        <v>8</v>
      </c>
      <c r="C379" s="516" t="s">
        <v>2286</v>
      </c>
      <c r="D379" s="529" t="s">
        <v>2444</v>
      </c>
      <c r="E379" s="508" t="str">
        <f t="shared" ca="1" si="459"/>
        <v>T3部件</v>
      </c>
      <c r="F379" s="512">
        <v>1</v>
      </c>
      <c r="G379" s="594">
        <v>6.0000000000000001E-3</v>
      </c>
      <c r="H379" s="170" t="e">
        <f t="shared" ca="1" si="434"/>
        <v>#VALUE!</v>
      </c>
      <c r="I379" s="508" t="e">
        <f t="shared" ca="1" si="435"/>
        <v>#VALUE!</v>
      </c>
      <c r="K379" s="512">
        <v>8</v>
      </c>
      <c r="L379" s="516" t="s">
        <v>2286</v>
      </c>
      <c r="M379" s="529" t="s">
        <v>2444</v>
      </c>
      <c r="N379" s="508" t="str">
        <f t="shared" ca="1" si="460"/>
        <v>T3部件</v>
      </c>
      <c r="O379" s="566">
        <v>1</v>
      </c>
      <c r="P379" s="633">
        <v>2E-3</v>
      </c>
      <c r="Q379" s="170" t="e">
        <f t="shared" ca="1" si="445"/>
        <v>#VALUE!</v>
      </c>
      <c r="R379" s="508" t="e">
        <f t="shared" ca="1" si="446"/>
        <v>#VALUE!</v>
      </c>
      <c r="T379" s="512">
        <v>8</v>
      </c>
      <c r="U379" s="516" t="s">
        <v>2286</v>
      </c>
      <c r="V379" s="529" t="s">
        <v>2444</v>
      </c>
      <c r="W379" s="508" t="str">
        <f t="shared" ca="1" si="461"/>
        <v>T3部件</v>
      </c>
      <c r="X379" s="566">
        <v>1</v>
      </c>
      <c r="Y379" s="594">
        <v>2E-3</v>
      </c>
      <c r="Z379" s="170" t="e">
        <f t="shared" ca="1" si="447"/>
        <v>#VALUE!</v>
      </c>
      <c r="AA379" s="508" t="e">
        <f t="shared" ca="1" si="448"/>
        <v>#VALUE!</v>
      </c>
      <c r="AC379" s="512">
        <v>8</v>
      </c>
      <c r="AD379" s="516" t="s">
        <v>2263</v>
      </c>
      <c r="AE379" s="529" t="s">
        <v>2444</v>
      </c>
      <c r="AF379" s="508" t="str">
        <f t="shared" ca="1" si="473"/>
        <v>T2部件</v>
      </c>
      <c r="AG379" s="508">
        <v>1</v>
      </c>
      <c r="AH379" s="633">
        <v>6.4999999999999997E-3</v>
      </c>
      <c r="AI379" s="170" t="e">
        <f t="shared" ca="1" si="455"/>
        <v>#VALUE!</v>
      </c>
      <c r="AJ379" s="508" t="e">
        <f t="shared" ca="1" si="456"/>
        <v>#VALUE!</v>
      </c>
      <c r="AL379" s="512">
        <v>8</v>
      </c>
      <c r="AM379" s="512" t="s">
        <v>2257</v>
      </c>
      <c r="AN379" s="529" t="s">
        <v>2444</v>
      </c>
      <c r="AO379" s="508">
        <f t="shared" ca="1" si="450"/>
        <v>8.7750000000000004</v>
      </c>
      <c r="AP379" s="600">
        <v>2</v>
      </c>
      <c r="AQ379" s="633">
        <v>6.0000000000000001E-3</v>
      </c>
      <c r="AR379" s="170">
        <f t="shared" ca="1" si="468"/>
        <v>3.316239316239316E-2</v>
      </c>
      <c r="AS379" s="508">
        <f t="shared" ca="1" si="469"/>
        <v>332</v>
      </c>
      <c r="AU379" s="512">
        <v>8</v>
      </c>
      <c r="AV379" s="516" t="s">
        <v>719</v>
      </c>
      <c r="AW379" s="512" t="s">
        <v>2394</v>
      </c>
      <c r="AX379" s="508">
        <f t="shared" ca="1" si="462"/>
        <v>100</v>
      </c>
      <c r="AY379" s="565">
        <v>1.5</v>
      </c>
      <c r="AZ379" s="508">
        <f>宝箱设定!$H192</f>
        <v>3.6999999999999998E-2</v>
      </c>
      <c r="BA379" s="170">
        <f t="shared" ca="1" si="463"/>
        <v>1.6033333333333333E-2</v>
      </c>
      <c r="BB379" s="508">
        <f t="shared" ca="1" si="464"/>
        <v>160</v>
      </c>
      <c r="BD379" s="512">
        <v>8</v>
      </c>
      <c r="BE379" s="516" t="s">
        <v>719</v>
      </c>
      <c r="BF379" s="512" t="s">
        <v>2394</v>
      </c>
      <c r="BG379" s="508">
        <f t="shared" ca="1" si="465"/>
        <v>100</v>
      </c>
      <c r="BH379" s="615">
        <v>3</v>
      </c>
      <c r="BI379" s="508">
        <f>宝箱设定!$H192</f>
        <v>3.6999999999999998E-2</v>
      </c>
      <c r="BJ379" s="170">
        <f ca="1">BI379*BE$4/BG379/BH379</f>
        <v>1.8191666666666665E-2</v>
      </c>
      <c r="BK379" s="279">
        <f ca="1">ROUND(BJ379*10000,0)</f>
        <v>182</v>
      </c>
      <c r="BM379" s="512">
        <v>9</v>
      </c>
      <c r="BN379" s="527" t="s">
        <v>2284</v>
      </c>
      <c r="BO379" s="530" t="s">
        <v>2200</v>
      </c>
      <c r="BP379" s="508" t="str">
        <f t="shared" ca="1" si="474"/>
        <v>T3部件</v>
      </c>
      <c r="BQ379" s="605">
        <v>1.5</v>
      </c>
      <c r="BR379" s="615">
        <v>1.0200000000000001E-2</v>
      </c>
      <c r="BS379" s="170" t="e">
        <f t="shared" ca="1" si="443"/>
        <v>#VALUE!</v>
      </c>
      <c r="BT379" s="508" t="e">
        <f t="shared" ca="1" si="444"/>
        <v>#VALUE!</v>
      </c>
      <c r="BV379" s="396">
        <v>9</v>
      </c>
      <c r="BW379" s="527" t="s">
        <v>2284</v>
      </c>
      <c r="BX379" s="530" t="s">
        <v>2200</v>
      </c>
      <c r="BY379" s="523" t="str">
        <f t="shared" ca="1" si="470"/>
        <v>T3部件</v>
      </c>
      <c r="BZ379" s="573">
        <v>1</v>
      </c>
      <c r="CA379" s="662">
        <v>2.1000000000000001E-2</v>
      </c>
      <c r="CB379" s="170" t="e">
        <f t="shared" ca="1" si="471"/>
        <v>#VALUE!</v>
      </c>
      <c r="CC379" s="394" t="e">
        <f t="shared" ca="1" si="472"/>
        <v>#VALUE!</v>
      </c>
    </row>
    <row r="380" spans="2:81" x14ac:dyDescent="0.35">
      <c r="B380" s="512">
        <v>8</v>
      </c>
      <c r="C380" s="516" t="s">
        <v>2288</v>
      </c>
      <c r="D380" s="529" t="s">
        <v>2444</v>
      </c>
      <c r="E380" s="508" t="str">
        <f t="shared" ca="1" si="459"/>
        <v>T3部件</v>
      </c>
      <c r="F380" s="512">
        <v>1</v>
      </c>
      <c r="G380" s="594">
        <v>6.0000000000000001E-3</v>
      </c>
      <c r="H380" s="170" t="e">
        <f t="shared" ca="1" si="434"/>
        <v>#VALUE!</v>
      </c>
      <c r="I380" s="508" t="e">
        <f t="shared" ca="1" si="435"/>
        <v>#VALUE!</v>
      </c>
      <c r="K380" s="512">
        <v>8</v>
      </c>
      <c r="L380" s="516" t="s">
        <v>2288</v>
      </c>
      <c r="M380" s="529" t="s">
        <v>2444</v>
      </c>
      <c r="N380" s="508" t="str">
        <f t="shared" ca="1" si="460"/>
        <v>T3部件</v>
      </c>
      <c r="O380" s="566">
        <v>1</v>
      </c>
      <c r="P380" s="633">
        <v>2E-3</v>
      </c>
      <c r="Q380" s="170" t="e">
        <f t="shared" ca="1" si="445"/>
        <v>#VALUE!</v>
      </c>
      <c r="R380" s="508" t="e">
        <f t="shared" ca="1" si="446"/>
        <v>#VALUE!</v>
      </c>
      <c r="T380" s="512">
        <v>8</v>
      </c>
      <c r="U380" s="516" t="s">
        <v>2288</v>
      </c>
      <c r="V380" s="529" t="s">
        <v>2444</v>
      </c>
      <c r="W380" s="508" t="str">
        <f t="shared" ca="1" si="461"/>
        <v>T3部件</v>
      </c>
      <c r="X380" s="566">
        <v>1</v>
      </c>
      <c r="Y380" s="594">
        <v>2E-3</v>
      </c>
      <c r="Z380" s="170" t="e">
        <f t="shared" ca="1" si="447"/>
        <v>#VALUE!</v>
      </c>
      <c r="AA380" s="508" t="e">
        <f t="shared" ca="1" si="448"/>
        <v>#VALUE!</v>
      </c>
      <c r="AC380" s="512">
        <v>8</v>
      </c>
      <c r="AD380" s="516" t="s">
        <v>2265</v>
      </c>
      <c r="AE380" s="529" t="s">
        <v>2444</v>
      </c>
      <c r="AF380" s="508" t="str">
        <f t="shared" ca="1" si="473"/>
        <v>T2部件</v>
      </c>
      <c r="AG380" s="508">
        <v>1</v>
      </c>
      <c r="AH380" s="633">
        <v>6.4999999999999997E-3</v>
      </c>
      <c r="AI380" s="170" t="e">
        <f t="shared" ca="1" si="455"/>
        <v>#VALUE!</v>
      </c>
      <c r="AJ380" s="508" t="e">
        <f t="shared" ca="1" si="456"/>
        <v>#VALUE!</v>
      </c>
      <c r="AL380" s="512">
        <v>8</v>
      </c>
      <c r="AM380" s="516" t="s">
        <v>2258</v>
      </c>
      <c r="AN380" s="529" t="s">
        <v>2444</v>
      </c>
      <c r="AO380" s="508" t="str">
        <f t="shared" ca="1" si="450"/>
        <v>T2部件</v>
      </c>
      <c r="AP380" s="508">
        <v>1</v>
      </c>
      <c r="AQ380" s="633">
        <v>8.0000000000000002E-3</v>
      </c>
      <c r="AR380" s="170" t="e">
        <f t="shared" ca="1" si="468"/>
        <v>#VALUE!</v>
      </c>
      <c r="AS380" s="508" t="e">
        <f t="shared" ca="1" si="469"/>
        <v>#VALUE!</v>
      </c>
      <c r="AU380" s="512">
        <v>8</v>
      </c>
      <c r="AV380" s="516" t="s">
        <v>635</v>
      </c>
      <c r="AW380" s="512" t="s">
        <v>2394</v>
      </c>
      <c r="AX380" s="508">
        <f t="shared" ca="1" si="462"/>
        <v>100</v>
      </c>
      <c r="AY380" s="565">
        <v>1.5</v>
      </c>
      <c r="AZ380" s="508">
        <f>宝箱设定!$H193</f>
        <v>3.6999999999999998E-2</v>
      </c>
      <c r="BA380" s="170">
        <f t="shared" ca="1" si="463"/>
        <v>1.6033333333333333E-2</v>
      </c>
      <c r="BB380" s="508">
        <f t="shared" ca="1" si="464"/>
        <v>160</v>
      </c>
      <c r="BD380" s="512">
        <v>8</v>
      </c>
      <c r="BE380" s="516" t="s">
        <v>635</v>
      </c>
      <c r="BF380" s="512" t="s">
        <v>2394</v>
      </c>
      <c r="BG380" s="508">
        <f t="shared" ca="1" si="465"/>
        <v>100</v>
      </c>
      <c r="BH380" s="615">
        <v>3</v>
      </c>
      <c r="BI380" s="508">
        <f>宝箱设定!$H193</f>
        <v>3.6999999999999998E-2</v>
      </c>
      <c r="BJ380" s="170">
        <f ca="1">BI380*BE$4/BG380/BH380</f>
        <v>1.8191666666666665E-2</v>
      </c>
      <c r="BK380" s="279">
        <f ca="1">ROUND(BJ380*10000,0)</f>
        <v>182</v>
      </c>
      <c r="BM380" s="512">
        <v>9</v>
      </c>
      <c r="BN380" s="527" t="s">
        <v>2286</v>
      </c>
      <c r="BO380" s="530" t="s">
        <v>2200</v>
      </c>
      <c r="BP380" s="508" t="str">
        <f t="shared" ca="1" si="474"/>
        <v>T3部件</v>
      </c>
      <c r="BQ380" s="605">
        <v>1.5</v>
      </c>
      <c r="BR380" s="615">
        <v>1.0200000000000001E-2</v>
      </c>
      <c r="BS380" s="170" t="e">
        <f t="shared" ca="1" si="443"/>
        <v>#VALUE!</v>
      </c>
      <c r="BT380" s="508" t="e">
        <f t="shared" ca="1" si="444"/>
        <v>#VALUE!</v>
      </c>
      <c r="BV380" s="396">
        <v>9</v>
      </c>
      <c r="BW380" s="527" t="s">
        <v>2286</v>
      </c>
      <c r="BX380" s="530" t="s">
        <v>2200</v>
      </c>
      <c r="BY380" s="523" t="str">
        <f t="shared" ca="1" si="470"/>
        <v>T3部件</v>
      </c>
      <c r="BZ380" s="573">
        <v>1</v>
      </c>
      <c r="CA380" s="662">
        <v>2.1000000000000001E-2</v>
      </c>
      <c r="CB380" s="170" t="e">
        <f t="shared" ca="1" si="471"/>
        <v>#VALUE!</v>
      </c>
      <c r="CC380" s="394" t="e">
        <f t="shared" ca="1" si="472"/>
        <v>#VALUE!</v>
      </c>
    </row>
    <row r="381" spans="2:81" x14ac:dyDescent="0.35">
      <c r="B381" s="512">
        <v>8</v>
      </c>
      <c r="C381" s="512" t="s">
        <v>2290</v>
      </c>
      <c r="D381" s="529" t="s">
        <v>2444</v>
      </c>
      <c r="E381" s="508" t="str">
        <f t="shared" ca="1" si="459"/>
        <v>T3部件</v>
      </c>
      <c r="F381" s="512">
        <v>1</v>
      </c>
      <c r="G381" s="594">
        <v>6.0000000000000001E-3</v>
      </c>
      <c r="H381" s="170" t="e">
        <f t="shared" ca="1" si="434"/>
        <v>#VALUE!</v>
      </c>
      <c r="I381" s="508" t="e">
        <f t="shared" ca="1" si="435"/>
        <v>#VALUE!</v>
      </c>
      <c r="K381" s="512">
        <v>8</v>
      </c>
      <c r="L381" s="512" t="s">
        <v>2290</v>
      </c>
      <c r="M381" s="529" t="s">
        <v>2444</v>
      </c>
      <c r="N381" s="508" t="str">
        <f t="shared" ca="1" si="460"/>
        <v>T3部件</v>
      </c>
      <c r="O381" s="566">
        <v>1</v>
      </c>
      <c r="P381" s="633">
        <v>2E-3</v>
      </c>
      <c r="Q381" s="170" t="e">
        <f t="shared" ca="1" si="445"/>
        <v>#VALUE!</v>
      </c>
      <c r="R381" s="508" t="e">
        <f t="shared" ca="1" si="446"/>
        <v>#VALUE!</v>
      </c>
      <c r="T381" s="512">
        <v>8</v>
      </c>
      <c r="U381" s="512" t="s">
        <v>2290</v>
      </c>
      <c r="V381" s="529" t="s">
        <v>2444</v>
      </c>
      <c r="W381" s="508" t="str">
        <f t="shared" ca="1" si="461"/>
        <v>T3部件</v>
      </c>
      <c r="X381" s="566">
        <v>1</v>
      </c>
      <c r="Y381" s="594">
        <v>2E-3</v>
      </c>
      <c r="Z381" s="170" t="e">
        <f t="shared" ca="1" si="447"/>
        <v>#VALUE!</v>
      </c>
      <c r="AA381" s="508" t="e">
        <f t="shared" ca="1" si="448"/>
        <v>#VALUE!</v>
      </c>
      <c r="AC381" s="512">
        <v>8</v>
      </c>
      <c r="AD381" s="516" t="s">
        <v>2267</v>
      </c>
      <c r="AE381" s="529" t="s">
        <v>2444</v>
      </c>
      <c r="AF381" s="508" t="str">
        <f t="shared" ca="1" si="473"/>
        <v>T2部件</v>
      </c>
      <c r="AG381" s="508">
        <v>1</v>
      </c>
      <c r="AH381" s="633">
        <v>6.4999999999999997E-3</v>
      </c>
      <c r="AI381" s="170" t="e">
        <f t="shared" ca="1" si="455"/>
        <v>#VALUE!</v>
      </c>
      <c r="AJ381" s="508" t="e">
        <f t="shared" ca="1" si="456"/>
        <v>#VALUE!</v>
      </c>
      <c r="AL381" s="512">
        <v>8</v>
      </c>
      <c r="AM381" s="516" t="s">
        <v>2260</v>
      </c>
      <c r="AN381" s="529" t="s">
        <v>2444</v>
      </c>
      <c r="AO381" s="508" t="str">
        <f t="shared" ca="1" si="450"/>
        <v>T2部件</v>
      </c>
      <c r="AP381" s="600">
        <v>1</v>
      </c>
      <c r="AQ381" s="633">
        <v>8.0000000000000002E-3</v>
      </c>
      <c r="AR381" s="170" t="e">
        <f t="shared" ca="1" si="468"/>
        <v>#VALUE!</v>
      </c>
      <c r="AS381" s="508" t="e">
        <f t="shared" ca="1" si="469"/>
        <v>#VALUE!</v>
      </c>
      <c r="AU381" s="512">
        <v>8</v>
      </c>
      <c r="AV381" s="516" t="s">
        <v>717</v>
      </c>
      <c r="AW381" s="512" t="s">
        <v>2394</v>
      </c>
      <c r="AX381" s="508">
        <f t="shared" ca="1" si="462"/>
        <v>125</v>
      </c>
      <c r="AY381" s="565">
        <v>1</v>
      </c>
      <c r="AZ381" s="508">
        <f>宝箱设定!$H194</f>
        <v>3.6999999999999998E-2</v>
      </c>
      <c r="BA381" s="170">
        <f ca="1">AZ381*AV$4/AX381/AY381</f>
        <v>1.924E-2</v>
      </c>
      <c r="BB381" s="508">
        <f ca="1">ROUND(BA381*10000,0)</f>
        <v>192</v>
      </c>
      <c r="BD381" s="512">
        <v>8</v>
      </c>
      <c r="BE381" s="516" t="s">
        <v>717</v>
      </c>
      <c r="BF381" s="512" t="s">
        <v>2394</v>
      </c>
      <c r="BG381" s="508">
        <f t="shared" ca="1" si="465"/>
        <v>125</v>
      </c>
      <c r="BH381" s="508">
        <v>1.5</v>
      </c>
      <c r="BI381" s="508">
        <f>宝箱设定!$H194</f>
        <v>3.6999999999999998E-2</v>
      </c>
      <c r="BJ381" s="170">
        <f ca="1">BI381*BE$4/BG381/BH381</f>
        <v>2.9106666666666666E-2</v>
      </c>
      <c r="BK381" s="279">
        <f ca="1">ROUND(BJ381*10000,0)</f>
        <v>291</v>
      </c>
      <c r="BM381" s="512">
        <v>9</v>
      </c>
      <c r="BN381" s="527" t="s">
        <v>2288</v>
      </c>
      <c r="BO381" s="530" t="s">
        <v>2200</v>
      </c>
      <c r="BP381" s="508" t="str">
        <f t="shared" ca="1" si="474"/>
        <v>T3部件</v>
      </c>
      <c r="BQ381" s="605">
        <v>1.5</v>
      </c>
      <c r="BR381" s="615">
        <v>1.0200000000000001E-2</v>
      </c>
      <c r="BS381" s="170" t="e">
        <f t="shared" ca="1" si="443"/>
        <v>#VALUE!</v>
      </c>
      <c r="BT381" s="508" t="e">
        <f t="shared" ca="1" si="444"/>
        <v>#VALUE!</v>
      </c>
      <c r="BV381" s="396">
        <v>9</v>
      </c>
      <c r="BW381" s="527" t="s">
        <v>2288</v>
      </c>
      <c r="BX381" s="530" t="s">
        <v>2200</v>
      </c>
      <c r="BY381" s="523" t="str">
        <f t="shared" ca="1" si="470"/>
        <v>T3部件</v>
      </c>
      <c r="BZ381" s="573">
        <v>1</v>
      </c>
      <c r="CA381" s="662">
        <v>2.1000000000000001E-2</v>
      </c>
      <c r="CB381" s="170" t="e">
        <f t="shared" ca="1" si="471"/>
        <v>#VALUE!</v>
      </c>
      <c r="CC381" s="394" t="e">
        <f t="shared" ca="1" si="472"/>
        <v>#VALUE!</v>
      </c>
    </row>
    <row r="382" spans="2:81" x14ac:dyDescent="0.35">
      <c r="B382" s="512">
        <v>8</v>
      </c>
      <c r="C382" s="512" t="s">
        <v>2292</v>
      </c>
      <c r="D382" s="529" t="s">
        <v>2444</v>
      </c>
      <c r="E382" s="508" t="str">
        <f t="shared" ca="1" si="459"/>
        <v>T3部件</v>
      </c>
      <c r="F382" s="512">
        <v>1</v>
      </c>
      <c r="G382" s="594">
        <v>6.0000000000000001E-3</v>
      </c>
      <c r="H382" s="170" t="e">
        <f t="shared" ca="1" si="434"/>
        <v>#VALUE!</v>
      </c>
      <c r="I382" s="508" t="e">
        <f t="shared" ca="1" si="435"/>
        <v>#VALUE!</v>
      </c>
      <c r="K382" s="512">
        <v>8</v>
      </c>
      <c r="L382" s="512" t="s">
        <v>2292</v>
      </c>
      <c r="M382" s="529" t="s">
        <v>2444</v>
      </c>
      <c r="N382" s="508" t="str">
        <f t="shared" ca="1" si="460"/>
        <v>T3部件</v>
      </c>
      <c r="O382" s="566">
        <v>1</v>
      </c>
      <c r="P382" s="633">
        <v>2E-3</v>
      </c>
      <c r="Q382" s="170" t="e">
        <f t="shared" ca="1" si="445"/>
        <v>#VALUE!</v>
      </c>
      <c r="R382" s="508" t="e">
        <f t="shared" ca="1" si="446"/>
        <v>#VALUE!</v>
      </c>
      <c r="T382" s="512">
        <v>8</v>
      </c>
      <c r="U382" s="512" t="s">
        <v>2292</v>
      </c>
      <c r="V382" s="529" t="s">
        <v>2444</v>
      </c>
      <c r="W382" s="508" t="str">
        <f t="shared" ca="1" si="461"/>
        <v>T3部件</v>
      </c>
      <c r="X382" s="566">
        <v>1</v>
      </c>
      <c r="Y382" s="594">
        <v>2E-3</v>
      </c>
      <c r="Z382" s="170" t="e">
        <f t="shared" ca="1" si="447"/>
        <v>#VALUE!</v>
      </c>
      <c r="AA382" s="508" t="e">
        <f t="shared" ca="1" si="448"/>
        <v>#VALUE!</v>
      </c>
      <c r="AC382" s="512">
        <v>8</v>
      </c>
      <c r="AD382" s="516" t="s">
        <v>2269</v>
      </c>
      <c r="AE382" s="529" t="s">
        <v>2444</v>
      </c>
      <c r="AF382" s="508" t="str">
        <f t="shared" ca="1" si="473"/>
        <v>T2部件</v>
      </c>
      <c r="AG382" s="508">
        <v>1</v>
      </c>
      <c r="AH382" s="633">
        <v>6.4999999999999997E-3</v>
      </c>
      <c r="AI382" s="170" t="e">
        <f t="shared" ca="1" si="455"/>
        <v>#VALUE!</v>
      </c>
      <c r="AJ382" s="508" t="e">
        <f t="shared" ca="1" si="456"/>
        <v>#VALUE!</v>
      </c>
      <c r="AL382" s="512">
        <v>8</v>
      </c>
      <c r="AM382" s="516" t="s">
        <v>2262</v>
      </c>
      <c r="AN382" s="529" t="s">
        <v>2444</v>
      </c>
      <c r="AO382" s="508" t="str">
        <f t="shared" ca="1" si="450"/>
        <v>T2部件</v>
      </c>
      <c r="AP382" s="600">
        <v>1</v>
      </c>
      <c r="AQ382" s="633">
        <v>8.0000000000000002E-3</v>
      </c>
      <c r="AR382" s="170" t="e">
        <f t="shared" ca="1" si="468"/>
        <v>#VALUE!</v>
      </c>
      <c r="AS382" s="508" t="e">
        <f t="shared" ca="1" si="469"/>
        <v>#VALUE!</v>
      </c>
      <c r="AU382" s="512">
        <v>8</v>
      </c>
      <c r="AV382" s="516" t="s">
        <v>621</v>
      </c>
      <c r="AW382" s="512" t="s">
        <v>2394</v>
      </c>
      <c r="AX382" s="508">
        <f t="shared" ca="1" si="462"/>
        <v>155</v>
      </c>
      <c r="AY382" s="565">
        <v>1</v>
      </c>
      <c r="AZ382" s="508">
        <f>宝箱设定!$H195</f>
        <v>3.6999999999999998E-2</v>
      </c>
      <c r="BA382" s="170">
        <f ca="1">AZ382*AV$4/AX382/AY382</f>
        <v>1.5516129032258063E-2</v>
      </c>
      <c r="BB382" s="508">
        <f ca="1">ROUND(BA382*10000,0)</f>
        <v>155</v>
      </c>
      <c r="BD382" s="512">
        <v>8</v>
      </c>
      <c r="BE382" s="516" t="s">
        <v>621</v>
      </c>
      <c r="BF382" s="512" t="s">
        <v>2394</v>
      </c>
      <c r="BG382" s="508">
        <f t="shared" ca="1" si="465"/>
        <v>155</v>
      </c>
      <c r="BH382" s="615">
        <v>1.5</v>
      </c>
      <c r="BI382" s="508">
        <f>宝箱设定!$H195</f>
        <v>3.6999999999999998E-2</v>
      </c>
      <c r="BJ382" s="170">
        <f t="shared" ref="BJ382:BJ391" ca="1" si="475">BI382*BE$4/BG382/BH382</f>
        <v>2.3473118279569893E-2</v>
      </c>
      <c r="BK382" s="279">
        <f t="shared" ref="BK382:BK391" ca="1" si="476">ROUND(BJ382*10000,0)</f>
        <v>235</v>
      </c>
      <c r="BM382" s="512">
        <v>9</v>
      </c>
      <c r="BN382" s="525" t="s">
        <v>2290</v>
      </c>
      <c r="BO382" s="530" t="s">
        <v>2200</v>
      </c>
      <c r="BP382" s="508" t="str">
        <f t="shared" ca="1" si="474"/>
        <v>T3部件</v>
      </c>
      <c r="BQ382" s="605">
        <v>1.5</v>
      </c>
      <c r="BR382" s="615">
        <v>1.0200000000000001E-2</v>
      </c>
      <c r="BS382" s="170" t="e">
        <f t="shared" ca="1" si="443"/>
        <v>#VALUE!</v>
      </c>
      <c r="BT382" s="508" t="e">
        <f t="shared" ca="1" si="444"/>
        <v>#VALUE!</v>
      </c>
      <c r="BV382" s="396">
        <v>9</v>
      </c>
      <c r="BW382" s="525" t="s">
        <v>2290</v>
      </c>
      <c r="BX382" s="530" t="s">
        <v>2200</v>
      </c>
      <c r="BY382" s="523" t="str">
        <f t="shared" ca="1" si="470"/>
        <v>T3部件</v>
      </c>
      <c r="BZ382" s="573">
        <v>1</v>
      </c>
      <c r="CA382" s="662">
        <v>2.1000000000000001E-2</v>
      </c>
      <c r="CB382" s="170" t="e">
        <f t="shared" ca="1" si="471"/>
        <v>#VALUE!</v>
      </c>
      <c r="CC382" s="394" t="e">
        <f t="shared" ca="1" si="472"/>
        <v>#VALUE!</v>
      </c>
    </row>
    <row r="383" spans="2:81" x14ac:dyDescent="0.35">
      <c r="B383" s="512">
        <v>8</v>
      </c>
      <c r="C383" s="516" t="s">
        <v>2277</v>
      </c>
      <c r="D383" s="529" t="s">
        <v>2444</v>
      </c>
      <c r="E383" s="508" t="str">
        <f t="shared" ca="1" si="459"/>
        <v>T3部件</v>
      </c>
      <c r="F383" s="512">
        <v>1</v>
      </c>
      <c r="G383" s="594">
        <v>6.0000000000000001E-3</v>
      </c>
      <c r="H383" s="170" t="e">
        <f t="shared" ca="1" si="434"/>
        <v>#VALUE!</v>
      </c>
      <c r="I383" s="508" t="e">
        <f t="shared" ca="1" si="435"/>
        <v>#VALUE!</v>
      </c>
      <c r="K383" s="512">
        <v>8</v>
      </c>
      <c r="L383" s="516" t="s">
        <v>2277</v>
      </c>
      <c r="M383" s="529" t="s">
        <v>2444</v>
      </c>
      <c r="N383" s="508" t="str">
        <f t="shared" ca="1" si="460"/>
        <v>T3部件</v>
      </c>
      <c r="O383" s="566">
        <v>1</v>
      </c>
      <c r="P383" s="633">
        <v>2E-3</v>
      </c>
      <c r="Q383" s="170" t="e">
        <f t="shared" ca="1" si="445"/>
        <v>#VALUE!</v>
      </c>
      <c r="R383" s="508" t="e">
        <f t="shared" ca="1" si="446"/>
        <v>#VALUE!</v>
      </c>
      <c r="T383" s="512">
        <v>8</v>
      </c>
      <c r="U383" s="516" t="s">
        <v>2277</v>
      </c>
      <c r="V383" s="529" t="s">
        <v>2444</v>
      </c>
      <c r="W383" s="508" t="str">
        <f t="shared" ca="1" si="461"/>
        <v>T3部件</v>
      </c>
      <c r="X383" s="566">
        <v>1</v>
      </c>
      <c r="Y383" s="594">
        <v>2E-3</v>
      </c>
      <c r="Z383" s="170" t="e">
        <f t="shared" ca="1" si="447"/>
        <v>#VALUE!</v>
      </c>
      <c r="AA383" s="508" t="e">
        <f t="shared" ca="1" si="448"/>
        <v>#VALUE!</v>
      </c>
      <c r="AC383" s="512">
        <v>8</v>
      </c>
      <c r="AD383" s="516" t="s">
        <v>2271</v>
      </c>
      <c r="AE383" s="529" t="s">
        <v>2444</v>
      </c>
      <c r="AF383" s="508" t="str">
        <f t="shared" ca="1" si="473"/>
        <v>T2部件</v>
      </c>
      <c r="AG383" s="508">
        <v>1</v>
      </c>
      <c r="AH383" s="633">
        <v>6.4999999999999997E-3</v>
      </c>
      <c r="AI383" s="170" t="e">
        <f t="shared" ca="1" si="455"/>
        <v>#VALUE!</v>
      </c>
      <c r="AJ383" s="508" t="e">
        <f t="shared" ca="1" si="456"/>
        <v>#VALUE!</v>
      </c>
      <c r="AL383" s="512">
        <v>8</v>
      </c>
      <c r="AM383" s="516" t="s">
        <v>2264</v>
      </c>
      <c r="AN383" s="529" t="s">
        <v>2444</v>
      </c>
      <c r="AO383" s="508" t="str">
        <f t="shared" ca="1" si="450"/>
        <v>T2部件</v>
      </c>
      <c r="AP383" s="600">
        <v>1</v>
      </c>
      <c r="AQ383" s="633">
        <v>8.0000000000000002E-3</v>
      </c>
      <c r="AR383" s="170" t="e">
        <f t="shared" ca="1" si="468"/>
        <v>#VALUE!</v>
      </c>
      <c r="AS383" s="508" t="e">
        <f t="shared" ca="1" si="469"/>
        <v>#VALUE!</v>
      </c>
      <c r="AU383" s="512">
        <v>8</v>
      </c>
      <c r="AV383" s="516" t="s">
        <v>2239</v>
      </c>
      <c r="AW383" s="529" t="s">
        <v>2452</v>
      </c>
      <c r="AX383" s="508">
        <f t="shared" ca="1" si="462"/>
        <v>8.7750000000000004</v>
      </c>
      <c r="AY383" s="565">
        <v>1.5</v>
      </c>
      <c r="AZ383" s="565">
        <v>5.0000000000000001E-3</v>
      </c>
      <c r="BA383" s="170">
        <f t="shared" ca="1" si="463"/>
        <v>2.4691358024691357E-2</v>
      </c>
      <c r="BB383" s="508">
        <f t="shared" ca="1" si="464"/>
        <v>247</v>
      </c>
      <c r="BD383" s="512">
        <v>8</v>
      </c>
      <c r="BE383" s="516" t="s">
        <v>2239</v>
      </c>
      <c r="BF383" s="529" t="s">
        <v>2452</v>
      </c>
      <c r="BG383" s="508">
        <f t="shared" ca="1" si="465"/>
        <v>8.7750000000000004</v>
      </c>
      <c r="BH383" s="508">
        <v>5.5</v>
      </c>
      <c r="BI383" s="600">
        <v>5.3E-3</v>
      </c>
      <c r="BJ383" s="170">
        <f t="shared" ca="1" si="475"/>
        <v>1.6197876197876198E-2</v>
      </c>
      <c r="BK383" s="279">
        <f t="shared" ca="1" si="476"/>
        <v>162</v>
      </c>
      <c r="BM383" s="512">
        <v>9</v>
      </c>
      <c r="BN383" s="525" t="s">
        <v>2292</v>
      </c>
      <c r="BO383" s="530" t="s">
        <v>2200</v>
      </c>
      <c r="BP383" s="508" t="str">
        <f t="shared" ca="1" si="474"/>
        <v>T3部件</v>
      </c>
      <c r="BQ383" s="605">
        <v>1.5</v>
      </c>
      <c r="BR383" s="615">
        <v>1.0200000000000001E-2</v>
      </c>
      <c r="BS383" s="170" t="e">
        <f t="shared" ca="1" si="443"/>
        <v>#VALUE!</v>
      </c>
      <c r="BT383" s="508" t="e">
        <f t="shared" ca="1" si="444"/>
        <v>#VALUE!</v>
      </c>
      <c r="BV383" s="396">
        <v>9</v>
      </c>
      <c r="BW383" s="525" t="s">
        <v>2292</v>
      </c>
      <c r="BX383" s="530" t="s">
        <v>2200</v>
      </c>
      <c r="BY383" s="523" t="str">
        <f t="shared" ca="1" si="470"/>
        <v>T3部件</v>
      </c>
      <c r="BZ383" s="573">
        <v>1</v>
      </c>
      <c r="CA383" s="662">
        <v>2.1000000000000001E-2</v>
      </c>
      <c r="CB383" s="170" t="e">
        <f t="shared" ca="1" si="471"/>
        <v>#VALUE!</v>
      </c>
      <c r="CC383" s="394" t="e">
        <f t="shared" ca="1" si="472"/>
        <v>#VALUE!</v>
      </c>
    </row>
    <row r="384" spans="2:81" x14ac:dyDescent="0.35">
      <c r="B384" s="512">
        <v>8</v>
      </c>
      <c r="C384" s="516" t="s">
        <v>2279</v>
      </c>
      <c r="D384" s="529" t="s">
        <v>2444</v>
      </c>
      <c r="E384" s="508" t="str">
        <f t="shared" ca="1" si="459"/>
        <v>T3部件</v>
      </c>
      <c r="F384" s="512">
        <v>1</v>
      </c>
      <c r="G384" s="594">
        <v>6.0000000000000001E-3</v>
      </c>
      <c r="H384" s="170" t="e">
        <f t="shared" ca="1" si="434"/>
        <v>#VALUE!</v>
      </c>
      <c r="I384" s="508" t="e">
        <f t="shared" ca="1" si="435"/>
        <v>#VALUE!</v>
      </c>
      <c r="K384" s="512">
        <v>8</v>
      </c>
      <c r="L384" s="516" t="s">
        <v>2279</v>
      </c>
      <c r="M384" s="529" t="s">
        <v>2444</v>
      </c>
      <c r="N384" s="508" t="str">
        <f t="shared" ca="1" si="460"/>
        <v>T3部件</v>
      </c>
      <c r="O384" s="566">
        <v>1</v>
      </c>
      <c r="P384" s="633">
        <v>2E-3</v>
      </c>
      <c r="Q384" s="170" t="e">
        <f t="shared" ca="1" si="445"/>
        <v>#VALUE!</v>
      </c>
      <c r="R384" s="508" t="e">
        <f t="shared" ca="1" si="446"/>
        <v>#VALUE!</v>
      </c>
      <c r="T384" s="512">
        <v>8</v>
      </c>
      <c r="U384" s="516" t="s">
        <v>2279</v>
      </c>
      <c r="V384" s="529" t="s">
        <v>2444</v>
      </c>
      <c r="W384" s="508" t="str">
        <f t="shared" ca="1" si="461"/>
        <v>T3部件</v>
      </c>
      <c r="X384" s="566">
        <v>1</v>
      </c>
      <c r="Y384" s="594">
        <v>2E-3</v>
      </c>
      <c r="Z384" s="170" t="e">
        <f t="shared" ca="1" si="447"/>
        <v>#VALUE!</v>
      </c>
      <c r="AA384" s="508" t="e">
        <f t="shared" ca="1" si="448"/>
        <v>#VALUE!</v>
      </c>
      <c r="AC384" s="512">
        <v>8</v>
      </c>
      <c r="AD384" s="512" t="s">
        <v>2273</v>
      </c>
      <c r="AE384" s="529" t="s">
        <v>2444</v>
      </c>
      <c r="AF384" s="508" t="str">
        <f t="shared" ca="1" si="473"/>
        <v>T2部件</v>
      </c>
      <c r="AG384" s="508">
        <v>1</v>
      </c>
      <c r="AH384" s="633">
        <v>6.4999999999999997E-3</v>
      </c>
      <c r="AI384" s="170" t="e">
        <f t="shared" ca="1" si="455"/>
        <v>#VALUE!</v>
      </c>
      <c r="AJ384" s="508" t="e">
        <f t="shared" ca="1" si="456"/>
        <v>#VALUE!</v>
      </c>
      <c r="AL384" s="512">
        <v>8</v>
      </c>
      <c r="AM384" s="516" t="s">
        <v>2266</v>
      </c>
      <c r="AN384" s="529" t="s">
        <v>2444</v>
      </c>
      <c r="AO384" s="508" t="str">
        <f t="shared" ca="1" si="450"/>
        <v>T2部件</v>
      </c>
      <c r="AP384" s="600">
        <v>1</v>
      </c>
      <c r="AQ384" s="633">
        <v>8.0000000000000002E-3</v>
      </c>
      <c r="AR384" s="170" t="e">
        <f t="shared" ca="1" si="468"/>
        <v>#VALUE!</v>
      </c>
      <c r="AS384" s="508" t="e">
        <f t="shared" ca="1" si="469"/>
        <v>#VALUE!</v>
      </c>
      <c r="AU384" s="512">
        <v>8</v>
      </c>
      <c r="AV384" s="516" t="s">
        <v>2242</v>
      </c>
      <c r="AW384" s="529" t="s">
        <v>2452</v>
      </c>
      <c r="AX384" s="508">
        <f t="shared" ca="1" si="462"/>
        <v>8.7750000000000004</v>
      </c>
      <c r="AY384" s="625">
        <v>1.5</v>
      </c>
      <c r="AZ384" s="625">
        <v>5.0000000000000001E-3</v>
      </c>
      <c r="BA384" s="170">
        <f t="shared" ca="1" si="463"/>
        <v>2.4691358024691357E-2</v>
      </c>
      <c r="BB384" s="508">
        <f t="shared" ca="1" si="464"/>
        <v>247</v>
      </c>
      <c r="BD384" s="512">
        <v>8</v>
      </c>
      <c r="BE384" s="516" t="s">
        <v>2242</v>
      </c>
      <c r="BF384" s="529" t="s">
        <v>2452</v>
      </c>
      <c r="BG384" s="508">
        <f t="shared" ca="1" si="465"/>
        <v>8.7750000000000004</v>
      </c>
      <c r="BH384" s="615">
        <v>5.5</v>
      </c>
      <c r="BI384" s="600">
        <v>5.3E-3</v>
      </c>
      <c r="BJ384" s="170">
        <f t="shared" ca="1" si="475"/>
        <v>1.6197876197876198E-2</v>
      </c>
      <c r="BK384" s="279">
        <f t="shared" ca="1" si="476"/>
        <v>162</v>
      </c>
      <c r="BM384" s="512">
        <v>9</v>
      </c>
      <c r="BN384" s="527" t="s">
        <v>2277</v>
      </c>
      <c r="BO384" s="530" t="s">
        <v>2200</v>
      </c>
      <c r="BP384" s="508" t="str">
        <f t="shared" ca="1" si="474"/>
        <v>T3部件</v>
      </c>
      <c r="BQ384" s="605">
        <v>1.5</v>
      </c>
      <c r="BR384" s="615">
        <v>1.0200000000000001E-2</v>
      </c>
      <c r="BS384" s="170" t="e">
        <f t="shared" ca="1" si="443"/>
        <v>#VALUE!</v>
      </c>
      <c r="BT384" s="508" t="e">
        <f t="shared" ca="1" si="444"/>
        <v>#VALUE!</v>
      </c>
      <c r="BV384" s="396">
        <v>9</v>
      </c>
      <c r="BW384" s="527" t="s">
        <v>2277</v>
      </c>
      <c r="BX384" s="530" t="s">
        <v>2200</v>
      </c>
      <c r="BY384" s="523" t="str">
        <f t="shared" ca="1" si="470"/>
        <v>T3部件</v>
      </c>
      <c r="BZ384" s="573">
        <v>1</v>
      </c>
      <c r="CA384" s="662">
        <v>2.1000000000000001E-2</v>
      </c>
      <c r="CB384" s="170" t="e">
        <f t="shared" ca="1" si="471"/>
        <v>#VALUE!</v>
      </c>
      <c r="CC384" s="394" t="e">
        <f t="shared" ca="1" si="472"/>
        <v>#VALUE!</v>
      </c>
    </row>
    <row r="385" spans="2:82" x14ac:dyDescent="0.35">
      <c r="B385" s="512">
        <v>8</v>
      </c>
      <c r="C385" s="516" t="s">
        <v>2281</v>
      </c>
      <c r="D385" s="529" t="s">
        <v>2444</v>
      </c>
      <c r="E385" s="508" t="str">
        <f t="shared" ca="1" si="459"/>
        <v>T3部件</v>
      </c>
      <c r="F385" s="512">
        <v>1</v>
      </c>
      <c r="G385" s="594">
        <v>6.0000000000000001E-3</v>
      </c>
      <c r="H385" s="170" t="e">
        <f t="shared" ca="1" si="434"/>
        <v>#VALUE!</v>
      </c>
      <c r="I385" s="508" t="e">
        <f t="shared" ca="1" si="435"/>
        <v>#VALUE!</v>
      </c>
      <c r="K385" s="512">
        <v>8</v>
      </c>
      <c r="L385" s="516" t="s">
        <v>2281</v>
      </c>
      <c r="M385" s="529" t="s">
        <v>2444</v>
      </c>
      <c r="N385" s="508" t="str">
        <f t="shared" ca="1" si="460"/>
        <v>T3部件</v>
      </c>
      <c r="O385" s="566">
        <v>1</v>
      </c>
      <c r="P385" s="633">
        <v>2E-3</v>
      </c>
      <c r="Q385" s="170" t="e">
        <f t="shared" ca="1" si="445"/>
        <v>#VALUE!</v>
      </c>
      <c r="R385" s="508" t="e">
        <f t="shared" ca="1" si="446"/>
        <v>#VALUE!</v>
      </c>
      <c r="T385" s="512">
        <v>8</v>
      </c>
      <c r="U385" s="516" t="s">
        <v>2281</v>
      </c>
      <c r="V385" s="529" t="s">
        <v>2444</v>
      </c>
      <c r="W385" s="508" t="str">
        <f t="shared" ca="1" si="461"/>
        <v>T3部件</v>
      </c>
      <c r="X385" s="566">
        <v>1</v>
      </c>
      <c r="Y385" s="594">
        <v>2E-3</v>
      </c>
      <c r="Z385" s="170" t="e">
        <f t="shared" ca="1" si="447"/>
        <v>#VALUE!</v>
      </c>
      <c r="AA385" s="508" t="e">
        <f t="shared" ca="1" si="448"/>
        <v>#VALUE!</v>
      </c>
      <c r="AC385" s="512">
        <v>8</v>
      </c>
      <c r="AD385" s="512" t="s">
        <v>2275</v>
      </c>
      <c r="AE385" s="529" t="s">
        <v>2444</v>
      </c>
      <c r="AF385" s="508" t="str">
        <f t="shared" ca="1" si="473"/>
        <v>T2部件</v>
      </c>
      <c r="AG385" s="508">
        <v>1</v>
      </c>
      <c r="AH385" s="633">
        <v>6.4999999999999997E-3</v>
      </c>
      <c r="AI385" s="170" t="e">
        <f t="shared" ca="1" si="455"/>
        <v>#VALUE!</v>
      </c>
      <c r="AJ385" s="508" t="e">
        <f t="shared" ca="1" si="456"/>
        <v>#VALUE!</v>
      </c>
      <c r="AL385" s="512">
        <v>8</v>
      </c>
      <c r="AM385" s="516" t="s">
        <v>2268</v>
      </c>
      <c r="AN385" s="529" t="s">
        <v>2444</v>
      </c>
      <c r="AO385" s="508" t="str">
        <f t="shared" ca="1" si="450"/>
        <v>T2部件</v>
      </c>
      <c r="AP385" s="600">
        <v>1</v>
      </c>
      <c r="AQ385" s="633">
        <v>8.0000000000000002E-3</v>
      </c>
      <c r="AR385" s="170" t="e">
        <f t="shared" ca="1" si="468"/>
        <v>#VALUE!</v>
      </c>
      <c r="AS385" s="508" t="e">
        <f t="shared" ca="1" si="469"/>
        <v>#VALUE!</v>
      </c>
      <c r="AU385" s="512">
        <v>8</v>
      </c>
      <c r="AV385" s="516" t="s">
        <v>2244</v>
      </c>
      <c r="AW385" s="529" t="s">
        <v>2452</v>
      </c>
      <c r="AX385" s="508">
        <f t="shared" ca="1" si="462"/>
        <v>8.7750000000000004</v>
      </c>
      <c r="AY385" s="625">
        <v>1.5</v>
      </c>
      <c r="AZ385" s="625">
        <v>5.0000000000000001E-3</v>
      </c>
      <c r="BA385" s="170">
        <f t="shared" ca="1" si="463"/>
        <v>2.4691358024691357E-2</v>
      </c>
      <c r="BB385" s="508">
        <f t="shared" ca="1" si="464"/>
        <v>247</v>
      </c>
      <c r="BD385" s="512">
        <v>8</v>
      </c>
      <c r="BE385" s="516" t="s">
        <v>2244</v>
      </c>
      <c r="BF385" s="529" t="s">
        <v>2452</v>
      </c>
      <c r="BG385" s="508">
        <f t="shared" ca="1" si="465"/>
        <v>8.7750000000000004</v>
      </c>
      <c r="BH385" s="615">
        <v>5.5</v>
      </c>
      <c r="BI385" s="600">
        <v>5.3E-3</v>
      </c>
      <c r="BJ385" s="170">
        <f t="shared" ca="1" si="475"/>
        <v>1.6197876197876198E-2</v>
      </c>
      <c r="BK385" s="279">
        <f t="shared" ca="1" si="476"/>
        <v>162</v>
      </c>
      <c r="BM385" s="512">
        <v>9</v>
      </c>
      <c r="BN385" s="527" t="s">
        <v>2279</v>
      </c>
      <c r="BO385" s="530" t="s">
        <v>2200</v>
      </c>
      <c r="BP385" s="508" t="str">
        <f t="shared" ca="1" si="474"/>
        <v>T3部件</v>
      </c>
      <c r="BQ385" s="605">
        <v>1.5</v>
      </c>
      <c r="BR385" s="615">
        <v>1.0200000000000001E-2</v>
      </c>
      <c r="BS385" s="170" t="e">
        <f t="shared" ca="1" si="443"/>
        <v>#VALUE!</v>
      </c>
      <c r="BT385" s="508" t="e">
        <f t="shared" ca="1" si="444"/>
        <v>#VALUE!</v>
      </c>
      <c r="BV385" s="396">
        <v>9</v>
      </c>
      <c r="BW385" s="527" t="s">
        <v>2279</v>
      </c>
      <c r="BX385" s="530" t="s">
        <v>2200</v>
      </c>
      <c r="BY385" s="523" t="str">
        <f t="shared" ca="1" si="470"/>
        <v>T3部件</v>
      </c>
      <c r="BZ385" s="573">
        <v>1</v>
      </c>
      <c r="CA385" s="662">
        <v>2.1000000000000001E-2</v>
      </c>
      <c r="CB385" s="170" t="e">
        <f t="shared" ca="1" si="471"/>
        <v>#VALUE!</v>
      </c>
      <c r="CC385" s="394" t="e">
        <f t="shared" ca="1" si="472"/>
        <v>#VALUE!</v>
      </c>
    </row>
    <row r="386" spans="2:82" x14ac:dyDescent="0.35">
      <c r="B386" s="512">
        <v>8</v>
      </c>
      <c r="C386" s="516" t="s">
        <v>2283</v>
      </c>
      <c r="D386" s="529" t="s">
        <v>2444</v>
      </c>
      <c r="E386" s="508" t="str">
        <f t="shared" ca="1" si="459"/>
        <v>T3部件</v>
      </c>
      <c r="F386" s="512">
        <v>1</v>
      </c>
      <c r="G386" s="594">
        <v>6.0000000000000001E-3</v>
      </c>
      <c r="H386" s="170" t="e">
        <f t="shared" ca="1" si="434"/>
        <v>#VALUE!</v>
      </c>
      <c r="I386" s="508" t="e">
        <f t="shared" ca="1" si="435"/>
        <v>#VALUE!</v>
      </c>
      <c r="K386" s="512">
        <v>8</v>
      </c>
      <c r="L386" s="516" t="s">
        <v>2283</v>
      </c>
      <c r="M386" s="529" t="s">
        <v>2444</v>
      </c>
      <c r="N386" s="508" t="str">
        <f t="shared" ca="1" si="460"/>
        <v>T3部件</v>
      </c>
      <c r="O386" s="566">
        <v>1</v>
      </c>
      <c r="P386" s="633">
        <v>2E-3</v>
      </c>
      <c r="Q386" s="170" t="e">
        <f t="shared" ca="1" si="445"/>
        <v>#VALUE!</v>
      </c>
      <c r="R386" s="508" t="e">
        <f t="shared" ca="1" si="446"/>
        <v>#VALUE!</v>
      </c>
      <c r="T386" s="512">
        <v>8</v>
      </c>
      <c r="U386" s="516" t="s">
        <v>2283</v>
      </c>
      <c r="V386" s="529" t="s">
        <v>2444</v>
      </c>
      <c r="W386" s="508" t="str">
        <f t="shared" ca="1" si="461"/>
        <v>T3部件</v>
      </c>
      <c r="X386" s="566">
        <v>1</v>
      </c>
      <c r="Y386" s="594">
        <v>2E-3</v>
      </c>
      <c r="Z386" s="170" t="e">
        <f t="shared" ca="1" si="447"/>
        <v>#VALUE!</v>
      </c>
      <c r="AA386" s="508" t="e">
        <f t="shared" ca="1" si="448"/>
        <v>#VALUE!</v>
      </c>
      <c r="AC386" s="512">
        <v>8</v>
      </c>
      <c r="AD386" s="516" t="s">
        <v>2276</v>
      </c>
      <c r="AE386" s="529" t="s">
        <v>2444</v>
      </c>
      <c r="AF386" s="508" t="str">
        <f t="shared" ca="1" si="473"/>
        <v>T3部件</v>
      </c>
      <c r="AG386" s="508">
        <v>1</v>
      </c>
      <c r="AH386" s="633">
        <v>5.0000000000000001E-3</v>
      </c>
      <c r="AI386" s="170" t="e">
        <f t="shared" ca="1" si="455"/>
        <v>#VALUE!</v>
      </c>
      <c r="AJ386" s="508" t="e">
        <f t="shared" ca="1" si="456"/>
        <v>#VALUE!</v>
      </c>
      <c r="AL386" s="512">
        <v>8</v>
      </c>
      <c r="AM386" s="516" t="s">
        <v>2270</v>
      </c>
      <c r="AN386" s="529" t="s">
        <v>2444</v>
      </c>
      <c r="AO386" s="508" t="str">
        <f t="shared" ref="AO386:AO415" ca="1" si="477">IF(AN386="部件",VLOOKUP(AL386,INDIRECT(AN386&amp;"价值"),MATCH(LEFT(AM386,2)&amp;"部件",INDIRECT(AN386&amp;"价值标头"),0),FALSE),IF(AN386="加速道具",VLOOKUP(AM386,INDIRECT(AN386&amp;"价值"),MATCH("价格",INDIRECT(AN386&amp;"价值标头"),0),FALSE),VLOOKUP(AL386,INDIRECT(AN386&amp;"价值"),MATCH(AM386,INDIRECT(AN386&amp;"价值标头"),0),FALSE)))</f>
        <v>T2部件</v>
      </c>
      <c r="AP386" s="600">
        <v>1</v>
      </c>
      <c r="AQ386" s="633">
        <v>8.0000000000000002E-3</v>
      </c>
      <c r="AR386" s="170" t="e">
        <f t="shared" ca="1" si="468"/>
        <v>#VALUE!</v>
      </c>
      <c r="AS386" s="508" t="e">
        <f t="shared" ca="1" si="469"/>
        <v>#VALUE!</v>
      </c>
      <c r="AU386" s="512">
        <v>8</v>
      </c>
      <c r="AV386" s="516" t="s">
        <v>2246</v>
      </c>
      <c r="AW386" s="529" t="s">
        <v>2452</v>
      </c>
      <c r="AX386" s="508">
        <f t="shared" ca="1" si="462"/>
        <v>8.7750000000000004</v>
      </c>
      <c r="AY386" s="625">
        <v>1.5</v>
      </c>
      <c r="AZ386" s="625">
        <v>5.0000000000000001E-3</v>
      </c>
      <c r="BA386" s="170">
        <f t="shared" ca="1" si="463"/>
        <v>2.4691358024691357E-2</v>
      </c>
      <c r="BB386" s="508">
        <f t="shared" ca="1" si="464"/>
        <v>247</v>
      </c>
      <c r="BD386" s="512">
        <v>8</v>
      </c>
      <c r="BE386" s="516" t="s">
        <v>2246</v>
      </c>
      <c r="BF386" s="529" t="s">
        <v>2452</v>
      </c>
      <c r="BG386" s="508">
        <f t="shared" ca="1" si="465"/>
        <v>8.7750000000000004</v>
      </c>
      <c r="BH386" s="615">
        <v>5.5</v>
      </c>
      <c r="BI386" s="600">
        <v>5.3E-3</v>
      </c>
      <c r="BJ386" s="170">
        <f t="shared" ca="1" si="475"/>
        <v>1.6197876197876198E-2</v>
      </c>
      <c r="BK386" s="279">
        <f t="shared" ca="1" si="476"/>
        <v>162</v>
      </c>
      <c r="BM386" s="512">
        <v>9</v>
      </c>
      <c r="BN386" s="527" t="s">
        <v>2281</v>
      </c>
      <c r="BO386" s="530" t="s">
        <v>2200</v>
      </c>
      <c r="BP386" s="508" t="str">
        <f t="shared" ca="1" si="474"/>
        <v>T3部件</v>
      </c>
      <c r="BQ386" s="605">
        <v>1.5</v>
      </c>
      <c r="BR386" s="615">
        <v>1.0200000000000001E-2</v>
      </c>
      <c r="BS386" s="170" t="e">
        <f t="shared" ca="1" si="443"/>
        <v>#VALUE!</v>
      </c>
      <c r="BT386" s="508" t="e">
        <f t="shared" ca="1" si="444"/>
        <v>#VALUE!</v>
      </c>
      <c r="BV386" s="525">
        <v>9</v>
      </c>
      <c r="BW386" s="527" t="s">
        <v>2281</v>
      </c>
      <c r="BX386" s="530" t="s">
        <v>2200</v>
      </c>
      <c r="BY386" s="523" t="str">
        <f t="shared" ca="1" si="470"/>
        <v>T3部件</v>
      </c>
      <c r="BZ386" s="573">
        <v>1</v>
      </c>
      <c r="CA386" s="662">
        <v>2.1000000000000001E-2</v>
      </c>
      <c r="CB386" s="170" t="e">
        <f t="shared" ref="CB386:CB392" ca="1" si="478">CA386*BW$4/BY386/BZ386</f>
        <v>#VALUE!</v>
      </c>
      <c r="CC386" s="523" t="e">
        <f t="shared" ref="CC386:CC392" ca="1" si="479">ROUND(CB386*10000,0)</f>
        <v>#VALUE!</v>
      </c>
    </row>
    <row r="387" spans="2:82" x14ac:dyDescent="0.35">
      <c r="B387" s="512">
        <v>8</v>
      </c>
      <c r="C387" s="516" t="s">
        <v>2285</v>
      </c>
      <c r="D387" s="529" t="s">
        <v>2444</v>
      </c>
      <c r="E387" s="508" t="str">
        <f t="shared" ca="1" si="459"/>
        <v>T3部件</v>
      </c>
      <c r="F387" s="512">
        <v>1</v>
      </c>
      <c r="G387" s="594">
        <v>6.0000000000000001E-3</v>
      </c>
      <c r="H387" s="170" t="e">
        <f t="shared" ca="1" si="434"/>
        <v>#VALUE!</v>
      </c>
      <c r="I387" s="508" t="e">
        <f t="shared" ca="1" si="435"/>
        <v>#VALUE!</v>
      </c>
      <c r="K387" s="512">
        <v>8</v>
      </c>
      <c r="L387" s="516" t="s">
        <v>2285</v>
      </c>
      <c r="M387" s="529" t="s">
        <v>2444</v>
      </c>
      <c r="N387" s="508" t="str">
        <f t="shared" ca="1" si="460"/>
        <v>T3部件</v>
      </c>
      <c r="O387" s="566">
        <v>1</v>
      </c>
      <c r="P387" s="633">
        <v>2E-3</v>
      </c>
      <c r="Q387" s="170" t="e">
        <f t="shared" ca="1" si="445"/>
        <v>#VALUE!</v>
      </c>
      <c r="R387" s="508" t="e">
        <f t="shared" ca="1" si="446"/>
        <v>#VALUE!</v>
      </c>
      <c r="T387" s="512">
        <v>8</v>
      </c>
      <c r="U387" s="516" t="s">
        <v>2285</v>
      </c>
      <c r="V387" s="529" t="s">
        <v>2444</v>
      </c>
      <c r="W387" s="508" t="str">
        <f t="shared" ca="1" si="461"/>
        <v>T3部件</v>
      </c>
      <c r="X387" s="566">
        <v>1</v>
      </c>
      <c r="Y387" s="594">
        <v>2E-3</v>
      </c>
      <c r="Z387" s="170" t="e">
        <f t="shared" ca="1" si="447"/>
        <v>#VALUE!</v>
      </c>
      <c r="AA387" s="508" t="e">
        <f t="shared" ca="1" si="448"/>
        <v>#VALUE!</v>
      </c>
      <c r="AC387" s="512">
        <v>8</v>
      </c>
      <c r="AD387" s="516" t="s">
        <v>2278</v>
      </c>
      <c r="AE387" s="529" t="s">
        <v>2444</v>
      </c>
      <c r="AF387" s="508" t="str">
        <f t="shared" ca="1" si="473"/>
        <v>T3部件</v>
      </c>
      <c r="AG387" s="508">
        <v>1</v>
      </c>
      <c r="AH387" s="633">
        <v>5.0000000000000001E-3</v>
      </c>
      <c r="AI387" s="170" t="e">
        <f t="shared" ca="1" si="455"/>
        <v>#VALUE!</v>
      </c>
      <c r="AJ387" s="508" t="e">
        <f t="shared" ca="1" si="456"/>
        <v>#VALUE!</v>
      </c>
      <c r="AL387" s="512">
        <v>8</v>
      </c>
      <c r="AM387" s="512" t="s">
        <v>2272</v>
      </c>
      <c r="AN387" s="529" t="s">
        <v>2444</v>
      </c>
      <c r="AO387" s="508" t="str">
        <f t="shared" ca="1" si="477"/>
        <v>T2部件</v>
      </c>
      <c r="AP387" s="600">
        <v>1</v>
      </c>
      <c r="AQ387" s="633">
        <v>8.0000000000000002E-3</v>
      </c>
      <c r="AR387" s="170" t="e">
        <f t="shared" ca="1" si="468"/>
        <v>#VALUE!</v>
      </c>
      <c r="AS387" s="508" t="e">
        <f t="shared" ca="1" si="469"/>
        <v>#VALUE!</v>
      </c>
      <c r="AU387" s="512">
        <v>8</v>
      </c>
      <c r="AV387" s="516" t="s">
        <v>2248</v>
      </c>
      <c r="AW387" s="529" t="s">
        <v>2452</v>
      </c>
      <c r="AX387" s="508">
        <f t="shared" ca="1" si="462"/>
        <v>8.7750000000000004</v>
      </c>
      <c r="AY387" s="625">
        <v>1.5</v>
      </c>
      <c r="AZ387" s="625">
        <v>5.0000000000000001E-3</v>
      </c>
      <c r="BA387" s="170">
        <f t="shared" ca="1" si="463"/>
        <v>2.4691358024691357E-2</v>
      </c>
      <c r="BB387" s="508">
        <f t="shared" ca="1" si="464"/>
        <v>247</v>
      </c>
      <c r="BD387" s="512">
        <v>8</v>
      </c>
      <c r="BE387" s="516" t="s">
        <v>2248</v>
      </c>
      <c r="BF387" s="529" t="s">
        <v>2452</v>
      </c>
      <c r="BG387" s="508">
        <f t="shared" ca="1" si="465"/>
        <v>8.7750000000000004</v>
      </c>
      <c r="BH387" s="615">
        <v>5.5</v>
      </c>
      <c r="BI387" s="600">
        <v>5.3E-3</v>
      </c>
      <c r="BJ387" s="170">
        <f t="shared" ca="1" si="475"/>
        <v>1.6197876197876198E-2</v>
      </c>
      <c r="BK387" s="279">
        <f t="shared" ca="1" si="476"/>
        <v>162</v>
      </c>
      <c r="BM387" s="512">
        <v>9</v>
      </c>
      <c r="BN387" s="527" t="s">
        <v>2283</v>
      </c>
      <c r="BO387" s="530" t="s">
        <v>2200</v>
      </c>
      <c r="BP387" s="508" t="str">
        <f t="shared" ca="1" si="474"/>
        <v>T3部件</v>
      </c>
      <c r="BQ387" s="605">
        <v>1.5</v>
      </c>
      <c r="BR387" s="615">
        <v>1.0200000000000001E-2</v>
      </c>
      <c r="BS387" s="170" t="e">
        <f t="shared" ca="1" si="443"/>
        <v>#VALUE!</v>
      </c>
      <c r="BT387" s="508" t="e">
        <f t="shared" ca="1" si="444"/>
        <v>#VALUE!</v>
      </c>
      <c r="BV387" s="525">
        <v>9</v>
      </c>
      <c r="BW387" s="527" t="s">
        <v>2283</v>
      </c>
      <c r="BX387" s="530" t="s">
        <v>2200</v>
      </c>
      <c r="BY387" s="523" t="str">
        <f t="shared" ca="1" si="470"/>
        <v>T3部件</v>
      </c>
      <c r="BZ387" s="573">
        <v>1</v>
      </c>
      <c r="CA387" s="662">
        <v>2.1000000000000001E-2</v>
      </c>
      <c r="CB387" s="170" t="e">
        <f t="shared" ca="1" si="478"/>
        <v>#VALUE!</v>
      </c>
      <c r="CC387" s="523" t="e">
        <f t="shared" ca="1" si="479"/>
        <v>#VALUE!</v>
      </c>
    </row>
    <row r="388" spans="2:82" x14ac:dyDescent="0.35">
      <c r="B388" s="512">
        <v>8</v>
      </c>
      <c r="C388" s="516" t="s">
        <v>2287</v>
      </c>
      <c r="D388" s="529" t="s">
        <v>2444</v>
      </c>
      <c r="E388" s="508" t="str">
        <f t="shared" ca="1" si="459"/>
        <v>T3部件</v>
      </c>
      <c r="F388" s="512">
        <v>1</v>
      </c>
      <c r="G388" s="594">
        <v>6.0000000000000001E-3</v>
      </c>
      <c r="H388" s="170" t="e">
        <f t="shared" ca="1" si="434"/>
        <v>#VALUE!</v>
      </c>
      <c r="I388" s="508" t="e">
        <f t="shared" ca="1" si="435"/>
        <v>#VALUE!</v>
      </c>
      <c r="K388" s="512">
        <v>8</v>
      </c>
      <c r="L388" s="516" t="s">
        <v>2287</v>
      </c>
      <c r="M388" s="529" t="s">
        <v>2444</v>
      </c>
      <c r="N388" s="508" t="str">
        <f t="shared" ca="1" si="460"/>
        <v>T3部件</v>
      </c>
      <c r="O388" s="566">
        <v>1</v>
      </c>
      <c r="P388" s="633">
        <v>2E-3</v>
      </c>
      <c r="Q388" s="170" t="e">
        <f t="shared" ca="1" si="445"/>
        <v>#VALUE!</v>
      </c>
      <c r="R388" s="508" t="e">
        <f t="shared" ca="1" si="446"/>
        <v>#VALUE!</v>
      </c>
      <c r="T388" s="512">
        <v>8</v>
      </c>
      <c r="U388" s="516" t="s">
        <v>2287</v>
      </c>
      <c r="V388" s="529" t="s">
        <v>2444</v>
      </c>
      <c r="W388" s="508" t="str">
        <f t="shared" ca="1" si="461"/>
        <v>T3部件</v>
      </c>
      <c r="X388" s="566">
        <v>1</v>
      </c>
      <c r="Y388" s="594">
        <v>2E-3</v>
      </c>
      <c r="Z388" s="170" t="e">
        <f t="shared" ca="1" si="447"/>
        <v>#VALUE!</v>
      </c>
      <c r="AA388" s="508" t="e">
        <f t="shared" ca="1" si="448"/>
        <v>#VALUE!</v>
      </c>
      <c r="AC388" s="512">
        <v>8</v>
      </c>
      <c r="AD388" s="516" t="s">
        <v>2280</v>
      </c>
      <c r="AE388" s="529" t="s">
        <v>2444</v>
      </c>
      <c r="AF388" s="508" t="str">
        <f t="shared" ca="1" si="473"/>
        <v>T3部件</v>
      </c>
      <c r="AG388" s="508">
        <v>1</v>
      </c>
      <c r="AH388" s="633">
        <v>5.0000000000000001E-3</v>
      </c>
      <c r="AI388" s="170" t="e">
        <f t="shared" ca="1" si="455"/>
        <v>#VALUE!</v>
      </c>
      <c r="AJ388" s="508" t="e">
        <f t="shared" ca="1" si="456"/>
        <v>#VALUE!</v>
      </c>
      <c r="AL388" s="512">
        <v>8</v>
      </c>
      <c r="AM388" s="512" t="s">
        <v>2274</v>
      </c>
      <c r="AN388" s="529" t="s">
        <v>2444</v>
      </c>
      <c r="AO388" s="508" t="str">
        <f t="shared" ca="1" si="477"/>
        <v>T2部件</v>
      </c>
      <c r="AP388" s="600">
        <v>1</v>
      </c>
      <c r="AQ388" s="633">
        <v>8.0000000000000002E-3</v>
      </c>
      <c r="AR388" s="170" t="e">
        <f t="shared" ca="1" si="468"/>
        <v>#VALUE!</v>
      </c>
      <c r="AS388" s="508" t="e">
        <f t="shared" ca="1" si="469"/>
        <v>#VALUE!</v>
      </c>
      <c r="AU388" s="512">
        <v>8</v>
      </c>
      <c r="AV388" s="516" t="s">
        <v>2250</v>
      </c>
      <c r="AW388" s="529" t="s">
        <v>2452</v>
      </c>
      <c r="AX388" s="508">
        <f t="shared" ca="1" si="462"/>
        <v>8.7750000000000004</v>
      </c>
      <c r="AY388" s="625">
        <v>1.5</v>
      </c>
      <c r="AZ388" s="625">
        <v>5.0000000000000001E-3</v>
      </c>
      <c r="BA388" s="170">
        <f t="shared" ca="1" si="463"/>
        <v>2.4691358024691357E-2</v>
      </c>
      <c r="BB388" s="508">
        <f t="shared" ca="1" si="464"/>
        <v>247</v>
      </c>
      <c r="BD388" s="512">
        <v>8</v>
      </c>
      <c r="BE388" s="516" t="s">
        <v>2250</v>
      </c>
      <c r="BF388" s="529" t="s">
        <v>2452</v>
      </c>
      <c r="BG388" s="508">
        <f t="shared" ca="1" si="465"/>
        <v>8.7750000000000004</v>
      </c>
      <c r="BH388" s="615">
        <v>5.5</v>
      </c>
      <c r="BI388" s="600">
        <v>5.3E-3</v>
      </c>
      <c r="BJ388" s="170">
        <f t="shared" ca="1" si="475"/>
        <v>1.6197876197876198E-2</v>
      </c>
      <c r="BK388" s="279">
        <f t="shared" ca="1" si="476"/>
        <v>162</v>
      </c>
      <c r="BM388" s="512">
        <v>9</v>
      </c>
      <c r="BN388" s="527" t="s">
        <v>2285</v>
      </c>
      <c r="BO388" s="530" t="s">
        <v>2200</v>
      </c>
      <c r="BP388" s="508" t="str">
        <f t="shared" ca="1" si="474"/>
        <v>T3部件</v>
      </c>
      <c r="BQ388" s="605">
        <v>1.5</v>
      </c>
      <c r="BR388" s="615">
        <v>1.0200000000000001E-2</v>
      </c>
      <c r="BS388" s="170" t="e">
        <f t="shared" ca="1" si="443"/>
        <v>#VALUE!</v>
      </c>
      <c r="BT388" s="508" t="e">
        <f t="shared" ca="1" si="444"/>
        <v>#VALUE!</v>
      </c>
      <c r="BV388" s="525">
        <v>9</v>
      </c>
      <c r="BW388" s="527" t="s">
        <v>2285</v>
      </c>
      <c r="BX388" s="530" t="s">
        <v>2200</v>
      </c>
      <c r="BY388" s="523" t="str">
        <f t="shared" ca="1" si="470"/>
        <v>T3部件</v>
      </c>
      <c r="BZ388" s="573">
        <v>1</v>
      </c>
      <c r="CA388" s="662">
        <v>2.1000000000000001E-2</v>
      </c>
      <c r="CB388" s="170" t="e">
        <f t="shared" ca="1" si="478"/>
        <v>#VALUE!</v>
      </c>
      <c r="CC388" s="523" t="e">
        <f t="shared" ca="1" si="479"/>
        <v>#VALUE!</v>
      </c>
    </row>
    <row r="389" spans="2:82" x14ac:dyDescent="0.35">
      <c r="B389" s="512">
        <v>8</v>
      </c>
      <c r="C389" s="516" t="s">
        <v>2289</v>
      </c>
      <c r="D389" s="529" t="s">
        <v>2444</v>
      </c>
      <c r="E389" s="508" t="str">
        <f t="shared" ca="1" si="459"/>
        <v>T3部件</v>
      </c>
      <c r="F389" s="512">
        <v>1</v>
      </c>
      <c r="G389" s="594">
        <v>6.0000000000000001E-3</v>
      </c>
      <c r="H389" s="170" t="e">
        <f t="shared" ca="1" si="434"/>
        <v>#VALUE!</v>
      </c>
      <c r="I389" s="508" t="e">
        <f t="shared" ca="1" si="435"/>
        <v>#VALUE!</v>
      </c>
      <c r="K389" s="512">
        <v>8</v>
      </c>
      <c r="L389" s="516" t="s">
        <v>2289</v>
      </c>
      <c r="M389" s="529" t="s">
        <v>2444</v>
      </c>
      <c r="N389" s="508" t="str">
        <f t="shared" ca="1" si="460"/>
        <v>T3部件</v>
      </c>
      <c r="O389" s="566">
        <v>1</v>
      </c>
      <c r="P389" s="633">
        <v>2E-3</v>
      </c>
      <c r="Q389" s="170" t="e">
        <f t="shared" ca="1" si="445"/>
        <v>#VALUE!</v>
      </c>
      <c r="R389" s="508" t="e">
        <f t="shared" ca="1" si="446"/>
        <v>#VALUE!</v>
      </c>
      <c r="T389" s="512">
        <v>8</v>
      </c>
      <c r="U389" s="516" t="s">
        <v>2289</v>
      </c>
      <c r="V389" s="529" t="s">
        <v>2444</v>
      </c>
      <c r="W389" s="508" t="str">
        <f t="shared" ca="1" si="461"/>
        <v>T3部件</v>
      </c>
      <c r="X389" s="566">
        <v>1</v>
      </c>
      <c r="Y389" s="594">
        <v>2E-3</v>
      </c>
      <c r="Z389" s="170" t="e">
        <f t="shared" ca="1" si="447"/>
        <v>#VALUE!</v>
      </c>
      <c r="AA389" s="508" t="e">
        <f t="shared" ca="1" si="448"/>
        <v>#VALUE!</v>
      </c>
      <c r="AC389" s="512">
        <v>8</v>
      </c>
      <c r="AD389" s="516" t="s">
        <v>2282</v>
      </c>
      <c r="AE389" s="529" t="s">
        <v>2444</v>
      </c>
      <c r="AF389" s="508" t="str">
        <f t="shared" ca="1" si="473"/>
        <v>T3部件</v>
      </c>
      <c r="AG389" s="508">
        <v>1</v>
      </c>
      <c r="AH389" s="633">
        <v>5.0000000000000001E-3</v>
      </c>
      <c r="AI389" s="170" t="e">
        <f t="shared" ca="1" si="455"/>
        <v>#VALUE!</v>
      </c>
      <c r="AJ389" s="508" t="e">
        <f t="shared" ca="1" si="456"/>
        <v>#VALUE!</v>
      </c>
      <c r="AL389" s="512">
        <v>8</v>
      </c>
      <c r="AM389" s="516" t="s">
        <v>2259</v>
      </c>
      <c r="AN389" s="529" t="s">
        <v>2444</v>
      </c>
      <c r="AO389" s="508" t="str">
        <f t="shared" ca="1" si="477"/>
        <v>T2部件</v>
      </c>
      <c r="AP389" s="600">
        <v>1</v>
      </c>
      <c r="AQ389" s="633">
        <v>8.0000000000000002E-3</v>
      </c>
      <c r="AR389" s="170" t="e">
        <f t="shared" ca="1" si="468"/>
        <v>#VALUE!</v>
      </c>
      <c r="AS389" s="508" t="e">
        <f t="shared" ca="1" si="469"/>
        <v>#VALUE!</v>
      </c>
      <c r="AU389" s="512">
        <v>8</v>
      </c>
      <c r="AV389" s="516" t="s">
        <v>2252</v>
      </c>
      <c r="AW389" s="529" t="s">
        <v>2452</v>
      </c>
      <c r="AX389" s="508">
        <f t="shared" ca="1" si="462"/>
        <v>8.7750000000000004</v>
      </c>
      <c r="AY389" s="625">
        <v>1.5</v>
      </c>
      <c r="AZ389" s="625">
        <v>5.0000000000000001E-3</v>
      </c>
      <c r="BA389" s="170">
        <f t="shared" ca="1" si="463"/>
        <v>2.4691358024691357E-2</v>
      </c>
      <c r="BB389" s="508">
        <f t="shared" ca="1" si="464"/>
        <v>247</v>
      </c>
      <c r="BD389" s="512">
        <v>8</v>
      </c>
      <c r="BE389" s="516" t="s">
        <v>2252</v>
      </c>
      <c r="BF389" s="529" t="s">
        <v>2452</v>
      </c>
      <c r="BG389" s="508">
        <f t="shared" ca="1" si="465"/>
        <v>8.7750000000000004</v>
      </c>
      <c r="BH389" s="615">
        <v>5.5</v>
      </c>
      <c r="BI389" s="600">
        <v>5.3E-3</v>
      </c>
      <c r="BJ389" s="170">
        <f t="shared" ca="1" si="475"/>
        <v>1.6197876197876198E-2</v>
      </c>
      <c r="BK389" s="279">
        <f t="shared" ca="1" si="476"/>
        <v>162</v>
      </c>
      <c r="BM389" s="512">
        <v>9</v>
      </c>
      <c r="BN389" s="527" t="s">
        <v>2287</v>
      </c>
      <c r="BO389" s="530" t="s">
        <v>2200</v>
      </c>
      <c r="BP389" s="508" t="str">
        <f t="shared" ca="1" si="474"/>
        <v>T3部件</v>
      </c>
      <c r="BQ389" s="605">
        <v>1.5</v>
      </c>
      <c r="BR389" s="615">
        <v>1.0200000000000001E-2</v>
      </c>
      <c r="BS389" s="170" t="e">
        <f t="shared" ca="1" si="443"/>
        <v>#VALUE!</v>
      </c>
      <c r="BT389" s="508" t="e">
        <f t="shared" ca="1" si="444"/>
        <v>#VALUE!</v>
      </c>
      <c r="BV389" s="525">
        <v>9</v>
      </c>
      <c r="BW389" s="527" t="s">
        <v>2287</v>
      </c>
      <c r="BX389" s="530" t="s">
        <v>2200</v>
      </c>
      <c r="BY389" s="523" t="str">
        <f t="shared" ca="1" si="470"/>
        <v>T3部件</v>
      </c>
      <c r="BZ389" s="573">
        <v>1</v>
      </c>
      <c r="CA389" s="662">
        <v>2.1000000000000001E-2</v>
      </c>
      <c r="CB389" s="170" t="e">
        <f t="shared" ca="1" si="478"/>
        <v>#VALUE!</v>
      </c>
      <c r="CC389" s="523" t="e">
        <f t="shared" ca="1" si="479"/>
        <v>#VALUE!</v>
      </c>
    </row>
    <row r="390" spans="2:82" x14ac:dyDescent="0.35">
      <c r="B390" s="512">
        <v>8</v>
      </c>
      <c r="C390" s="512" t="s">
        <v>2291</v>
      </c>
      <c r="D390" s="529" t="s">
        <v>2444</v>
      </c>
      <c r="E390" s="508" t="str">
        <f t="shared" ca="1" si="459"/>
        <v>T3部件</v>
      </c>
      <c r="F390" s="512">
        <v>1</v>
      </c>
      <c r="G390" s="594">
        <v>6.0000000000000001E-3</v>
      </c>
      <c r="H390" s="170" t="e">
        <f t="shared" ca="1" si="434"/>
        <v>#VALUE!</v>
      </c>
      <c r="I390" s="508" t="e">
        <f t="shared" ca="1" si="435"/>
        <v>#VALUE!</v>
      </c>
      <c r="K390" s="512">
        <v>8</v>
      </c>
      <c r="L390" s="512" t="s">
        <v>2291</v>
      </c>
      <c r="M390" s="529" t="s">
        <v>2444</v>
      </c>
      <c r="N390" s="508" t="str">
        <f t="shared" ca="1" si="460"/>
        <v>T3部件</v>
      </c>
      <c r="O390" s="566">
        <v>1</v>
      </c>
      <c r="P390" s="633">
        <v>2E-3</v>
      </c>
      <c r="Q390" s="170" t="e">
        <f t="shared" ca="1" si="445"/>
        <v>#VALUE!</v>
      </c>
      <c r="R390" s="508" t="e">
        <f t="shared" ca="1" si="446"/>
        <v>#VALUE!</v>
      </c>
      <c r="T390" s="512">
        <v>8</v>
      </c>
      <c r="U390" s="512" t="s">
        <v>2291</v>
      </c>
      <c r="V390" s="529" t="s">
        <v>2444</v>
      </c>
      <c r="W390" s="508" t="str">
        <f t="shared" ca="1" si="461"/>
        <v>T3部件</v>
      </c>
      <c r="X390" s="566">
        <v>1</v>
      </c>
      <c r="Y390" s="594">
        <v>2E-3</v>
      </c>
      <c r="Z390" s="170" t="e">
        <f t="shared" ca="1" si="447"/>
        <v>#VALUE!</v>
      </c>
      <c r="AA390" s="508" t="e">
        <f t="shared" ca="1" si="448"/>
        <v>#VALUE!</v>
      </c>
      <c r="AC390" s="512">
        <v>8</v>
      </c>
      <c r="AD390" s="516" t="s">
        <v>2284</v>
      </c>
      <c r="AE390" s="529" t="s">
        <v>2444</v>
      </c>
      <c r="AF390" s="508" t="str">
        <f t="shared" ca="1" si="473"/>
        <v>T3部件</v>
      </c>
      <c r="AG390" s="508">
        <v>1</v>
      </c>
      <c r="AH390" s="633">
        <v>5.0000000000000001E-3</v>
      </c>
      <c r="AI390" s="170" t="e">
        <f t="shared" ca="1" si="455"/>
        <v>#VALUE!</v>
      </c>
      <c r="AJ390" s="508" t="e">
        <f t="shared" ca="1" si="456"/>
        <v>#VALUE!</v>
      </c>
      <c r="AL390" s="512">
        <v>8</v>
      </c>
      <c r="AM390" s="516" t="s">
        <v>2261</v>
      </c>
      <c r="AN390" s="529" t="s">
        <v>2444</v>
      </c>
      <c r="AO390" s="508" t="str">
        <f t="shared" ca="1" si="477"/>
        <v>T2部件</v>
      </c>
      <c r="AP390" s="600">
        <v>1</v>
      </c>
      <c r="AQ390" s="633">
        <v>8.0000000000000002E-3</v>
      </c>
      <c r="AR390" s="170" t="e">
        <f t="shared" ca="1" si="468"/>
        <v>#VALUE!</v>
      </c>
      <c r="AS390" s="508" t="e">
        <f t="shared" ca="1" si="469"/>
        <v>#VALUE!</v>
      </c>
      <c r="AU390" s="512">
        <v>8</v>
      </c>
      <c r="AV390" s="512" t="s">
        <v>2254</v>
      </c>
      <c r="AW390" s="529" t="s">
        <v>2452</v>
      </c>
      <c r="AX390" s="508">
        <f t="shared" ca="1" si="462"/>
        <v>8.7750000000000004</v>
      </c>
      <c r="AY390" s="625">
        <v>1.5</v>
      </c>
      <c r="AZ390" s="625">
        <v>5.0000000000000001E-3</v>
      </c>
      <c r="BA390" s="170">
        <f t="shared" ca="1" si="463"/>
        <v>2.4691358024691357E-2</v>
      </c>
      <c r="BB390" s="508">
        <f t="shared" ca="1" si="464"/>
        <v>247</v>
      </c>
      <c r="BD390" s="512">
        <v>8</v>
      </c>
      <c r="BE390" s="512" t="s">
        <v>2254</v>
      </c>
      <c r="BF390" s="529" t="s">
        <v>2452</v>
      </c>
      <c r="BG390" s="508">
        <f t="shared" ca="1" si="465"/>
        <v>8.7750000000000004</v>
      </c>
      <c r="BH390" s="615">
        <v>5.5</v>
      </c>
      <c r="BI390" s="600">
        <v>5.3E-3</v>
      </c>
      <c r="BJ390" s="170">
        <f t="shared" ca="1" si="475"/>
        <v>1.6197876197876198E-2</v>
      </c>
      <c r="BK390" s="279">
        <f t="shared" ca="1" si="476"/>
        <v>162</v>
      </c>
      <c r="BM390" s="512">
        <v>9</v>
      </c>
      <c r="BN390" s="527" t="s">
        <v>2289</v>
      </c>
      <c r="BO390" s="530" t="s">
        <v>2200</v>
      </c>
      <c r="BP390" s="508" t="str">
        <f t="shared" ca="1" si="474"/>
        <v>T3部件</v>
      </c>
      <c r="BQ390" s="605">
        <v>1.5</v>
      </c>
      <c r="BR390" s="615">
        <v>1.0200000000000001E-2</v>
      </c>
      <c r="BS390" s="170" t="e">
        <f t="shared" ca="1" si="443"/>
        <v>#VALUE!</v>
      </c>
      <c r="BT390" s="508" t="e">
        <f t="shared" ca="1" si="444"/>
        <v>#VALUE!</v>
      </c>
      <c r="BV390" s="525">
        <v>9</v>
      </c>
      <c r="BW390" s="527" t="s">
        <v>2289</v>
      </c>
      <c r="BX390" s="530" t="s">
        <v>2200</v>
      </c>
      <c r="BY390" s="523" t="str">
        <f t="shared" ca="1" si="470"/>
        <v>T3部件</v>
      </c>
      <c r="BZ390" s="573">
        <v>1</v>
      </c>
      <c r="CA390" s="662">
        <v>2.1000000000000001E-2</v>
      </c>
      <c r="CB390" s="170" t="e">
        <f t="shared" ca="1" si="478"/>
        <v>#VALUE!</v>
      </c>
      <c r="CC390" s="523" t="e">
        <f t="shared" ca="1" si="479"/>
        <v>#VALUE!</v>
      </c>
    </row>
    <row r="391" spans="2:82" x14ac:dyDescent="0.35">
      <c r="B391" s="512">
        <v>8</v>
      </c>
      <c r="C391" s="512" t="s">
        <v>2293</v>
      </c>
      <c r="D391" s="529" t="s">
        <v>2444</v>
      </c>
      <c r="E391" s="508" t="str">
        <f t="shared" ca="1" si="459"/>
        <v>T3部件</v>
      </c>
      <c r="F391" s="512">
        <v>1</v>
      </c>
      <c r="G391" s="594">
        <v>6.0000000000000001E-3</v>
      </c>
      <c r="H391" s="170" t="e">
        <f t="shared" ca="1" si="434"/>
        <v>#VALUE!</v>
      </c>
      <c r="I391" s="508" t="e">
        <f t="shared" ca="1" si="435"/>
        <v>#VALUE!</v>
      </c>
      <c r="K391" s="512">
        <v>8</v>
      </c>
      <c r="L391" s="512" t="s">
        <v>2293</v>
      </c>
      <c r="M391" s="529" t="s">
        <v>2444</v>
      </c>
      <c r="N391" s="508" t="str">
        <f t="shared" ca="1" si="460"/>
        <v>T3部件</v>
      </c>
      <c r="O391" s="566">
        <v>1</v>
      </c>
      <c r="P391" s="633">
        <v>2E-3</v>
      </c>
      <c r="Q391" s="170" t="e">
        <f t="shared" ca="1" si="445"/>
        <v>#VALUE!</v>
      </c>
      <c r="R391" s="508" t="e">
        <f t="shared" ca="1" si="446"/>
        <v>#VALUE!</v>
      </c>
      <c r="T391" s="512">
        <v>8</v>
      </c>
      <c r="U391" s="512" t="s">
        <v>2293</v>
      </c>
      <c r="V391" s="529" t="s">
        <v>2444</v>
      </c>
      <c r="W391" s="508" t="str">
        <f t="shared" ca="1" si="461"/>
        <v>T3部件</v>
      </c>
      <c r="X391" s="566">
        <v>1</v>
      </c>
      <c r="Y391" s="594">
        <v>2E-3</v>
      </c>
      <c r="Z391" s="170" t="e">
        <f t="shared" ca="1" si="447"/>
        <v>#VALUE!</v>
      </c>
      <c r="AA391" s="508" t="e">
        <f t="shared" ca="1" si="448"/>
        <v>#VALUE!</v>
      </c>
      <c r="AC391" s="512">
        <v>8</v>
      </c>
      <c r="AD391" s="516" t="s">
        <v>2286</v>
      </c>
      <c r="AE391" s="529" t="s">
        <v>2444</v>
      </c>
      <c r="AF391" s="508" t="str">
        <f t="shared" ca="1" si="473"/>
        <v>T3部件</v>
      </c>
      <c r="AG391" s="508">
        <v>1</v>
      </c>
      <c r="AH391" s="633">
        <v>5.0000000000000001E-3</v>
      </c>
      <c r="AI391" s="170" t="e">
        <f t="shared" ca="1" si="455"/>
        <v>#VALUE!</v>
      </c>
      <c r="AJ391" s="508" t="e">
        <f t="shared" ca="1" si="456"/>
        <v>#VALUE!</v>
      </c>
      <c r="AL391" s="512">
        <v>8</v>
      </c>
      <c r="AM391" s="516" t="s">
        <v>2263</v>
      </c>
      <c r="AN391" s="529" t="s">
        <v>2444</v>
      </c>
      <c r="AO391" s="508" t="str">
        <f t="shared" ca="1" si="477"/>
        <v>T2部件</v>
      </c>
      <c r="AP391" s="600">
        <v>1</v>
      </c>
      <c r="AQ391" s="633">
        <v>8.0000000000000002E-3</v>
      </c>
      <c r="AR391" s="170" t="e">
        <f t="shared" ca="1" si="468"/>
        <v>#VALUE!</v>
      </c>
      <c r="AS391" s="508" t="e">
        <f t="shared" ca="1" si="469"/>
        <v>#VALUE!</v>
      </c>
      <c r="AU391" s="512">
        <v>8</v>
      </c>
      <c r="AV391" s="512" t="s">
        <v>2256</v>
      </c>
      <c r="AW391" s="529" t="s">
        <v>2452</v>
      </c>
      <c r="AX391" s="508">
        <f t="shared" ca="1" si="462"/>
        <v>8.7750000000000004</v>
      </c>
      <c r="AY391" s="625">
        <v>1.5</v>
      </c>
      <c r="AZ391" s="625">
        <v>5.0000000000000001E-3</v>
      </c>
      <c r="BA391" s="170">
        <f t="shared" ca="1" si="463"/>
        <v>2.4691358024691357E-2</v>
      </c>
      <c r="BB391" s="508">
        <f t="shared" ca="1" si="464"/>
        <v>247</v>
      </c>
      <c r="BD391" s="512">
        <v>8</v>
      </c>
      <c r="BE391" s="512" t="s">
        <v>2256</v>
      </c>
      <c r="BF391" s="529" t="s">
        <v>2452</v>
      </c>
      <c r="BG391" s="508">
        <f t="shared" ca="1" si="465"/>
        <v>8.7750000000000004</v>
      </c>
      <c r="BH391" s="615">
        <v>5.5</v>
      </c>
      <c r="BI391" s="600">
        <v>5.3E-3</v>
      </c>
      <c r="BJ391" s="170">
        <f t="shared" ca="1" si="475"/>
        <v>1.6197876197876198E-2</v>
      </c>
      <c r="BK391" s="279">
        <f t="shared" ca="1" si="476"/>
        <v>162</v>
      </c>
      <c r="BM391" s="512">
        <v>9</v>
      </c>
      <c r="BN391" s="525" t="s">
        <v>2291</v>
      </c>
      <c r="BO391" s="530" t="s">
        <v>2200</v>
      </c>
      <c r="BP391" s="508" t="str">
        <f t="shared" ca="1" si="474"/>
        <v>T3部件</v>
      </c>
      <c r="BQ391" s="605">
        <v>1.5</v>
      </c>
      <c r="BR391" s="615">
        <v>1.0200000000000001E-2</v>
      </c>
      <c r="BS391" s="170" t="e">
        <f t="shared" ca="1" si="443"/>
        <v>#VALUE!</v>
      </c>
      <c r="BT391" s="508" t="e">
        <f t="shared" ca="1" si="444"/>
        <v>#VALUE!</v>
      </c>
      <c r="BV391" s="525">
        <v>9</v>
      </c>
      <c r="BW391" s="525" t="s">
        <v>2291</v>
      </c>
      <c r="BX391" s="530" t="s">
        <v>2200</v>
      </c>
      <c r="BY391" s="523" t="str">
        <f t="shared" ca="1" si="470"/>
        <v>T3部件</v>
      </c>
      <c r="BZ391" s="573">
        <v>1</v>
      </c>
      <c r="CA391" s="662">
        <v>2.1000000000000001E-2</v>
      </c>
      <c r="CB391" s="170" t="e">
        <f t="shared" ca="1" si="478"/>
        <v>#VALUE!</v>
      </c>
      <c r="CC391" s="523" t="e">
        <f t="shared" ca="1" si="479"/>
        <v>#VALUE!</v>
      </c>
    </row>
    <row r="392" spans="2:82" x14ac:dyDescent="0.35">
      <c r="AC392" s="512">
        <v>8</v>
      </c>
      <c r="AD392" s="516" t="s">
        <v>2288</v>
      </c>
      <c r="AE392" s="529" t="s">
        <v>2444</v>
      </c>
      <c r="AF392" s="508" t="str">
        <f t="shared" ca="1" si="473"/>
        <v>T3部件</v>
      </c>
      <c r="AG392" s="508">
        <v>1</v>
      </c>
      <c r="AH392" s="633">
        <v>5.0000000000000001E-3</v>
      </c>
      <c r="AI392" s="170" t="e">
        <f t="shared" ca="1" si="455"/>
        <v>#VALUE!</v>
      </c>
      <c r="AJ392" s="508" t="e">
        <f t="shared" ca="1" si="456"/>
        <v>#VALUE!</v>
      </c>
      <c r="AL392" s="512">
        <v>8</v>
      </c>
      <c r="AM392" s="516" t="s">
        <v>2265</v>
      </c>
      <c r="AN392" s="529" t="s">
        <v>2444</v>
      </c>
      <c r="AO392" s="508" t="str">
        <f t="shared" ca="1" si="477"/>
        <v>T2部件</v>
      </c>
      <c r="AP392" s="600">
        <v>1</v>
      </c>
      <c r="AQ392" s="633">
        <v>8.0000000000000002E-3</v>
      </c>
      <c r="AR392" s="170" t="e">
        <f t="shared" ca="1" si="468"/>
        <v>#VALUE!</v>
      </c>
      <c r="AS392" s="508" t="e">
        <f t="shared" ca="1" si="469"/>
        <v>#VALUE!</v>
      </c>
      <c r="AU392" s="512">
        <v>8</v>
      </c>
      <c r="AV392" s="516" t="s">
        <v>2241</v>
      </c>
      <c r="AW392" s="529" t="s">
        <v>2452</v>
      </c>
      <c r="AX392" s="508">
        <f t="shared" ca="1" si="462"/>
        <v>8.7750000000000004</v>
      </c>
      <c r="AY392" s="625">
        <v>1.5</v>
      </c>
      <c r="AZ392" s="625">
        <v>5.0000000000000001E-3</v>
      </c>
      <c r="BA392" s="170">
        <f t="shared" ca="1" si="463"/>
        <v>2.4691358024691357E-2</v>
      </c>
      <c r="BB392" s="508">
        <f t="shared" ca="1" si="464"/>
        <v>247</v>
      </c>
      <c r="BD392" s="512">
        <v>8</v>
      </c>
      <c r="BE392" s="516" t="s">
        <v>2241</v>
      </c>
      <c r="BF392" s="529" t="s">
        <v>2452</v>
      </c>
      <c r="BG392" s="508">
        <f t="shared" ca="1" si="465"/>
        <v>8.7750000000000004</v>
      </c>
      <c r="BH392" s="615">
        <v>5.5</v>
      </c>
      <c r="BI392" s="600">
        <v>5.3E-3</v>
      </c>
      <c r="BJ392" s="170">
        <f ca="1">BI392*BE$4/BG392/BH392</f>
        <v>1.6197876197876198E-2</v>
      </c>
      <c r="BK392" s="394">
        <f ca="1">ROUND(BJ392*10000,0)</f>
        <v>162</v>
      </c>
      <c r="BM392" s="512">
        <v>9</v>
      </c>
      <c r="BN392" s="525" t="s">
        <v>2293</v>
      </c>
      <c r="BO392" s="530" t="s">
        <v>2200</v>
      </c>
      <c r="BP392" s="508" t="str">
        <f t="shared" ca="1" si="474"/>
        <v>T3部件</v>
      </c>
      <c r="BQ392" s="605">
        <v>1.5</v>
      </c>
      <c r="BR392" s="615">
        <v>1.0200000000000001E-2</v>
      </c>
      <c r="BS392" s="170" t="e">
        <f t="shared" ca="1" si="443"/>
        <v>#VALUE!</v>
      </c>
      <c r="BT392" s="508" t="e">
        <f t="shared" ca="1" si="444"/>
        <v>#VALUE!</v>
      </c>
      <c r="BV392" s="525">
        <v>9</v>
      </c>
      <c r="BW392" s="525" t="s">
        <v>2293</v>
      </c>
      <c r="BX392" s="530" t="s">
        <v>2200</v>
      </c>
      <c r="BY392" s="523" t="str">
        <f t="shared" ca="1" si="470"/>
        <v>T3部件</v>
      </c>
      <c r="BZ392" s="573">
        <v>1</v>
      </c>
      <c r="CA392" s="662">
        <v>2.1000000000000001E-2</v>
      </c>
      <c r="CB392" s="170" t="e">
        <f t="shared" ca="1" si="478"/>
        <v>#VALUE!</v>
      </c>
      <c r="CC392" s="523" t="e">
        <f t="shared" ca="1" si="479"/>
        <v>#VALUE!</v>
      </c>
    </row>
    <row r="393" spans="2:82" x14ac:dyDescent="0.35">
      <c r="AC393" s="512">
        <v>8</v>
      </c>
      <c r="AD393" s="512" t="s">
        <v>2290</v>
      </c>
      <c r="AE393" s="529" t="s">
        <v>2444</v>
      </c>
      <c r="AF393" s="508" t="str">
        <f t="shared" ca="1" si="473"/>
        <v>T3部件</v>
      </c>
      <c r="AG393" s="508">
        <v>1</v>
      </c>
      <c r="AH393" s="633">
        <v>5.0000000000000001E-3</v>
      </c>
      <c r="AI393" s="170" t="e">
        <f t="shared" ca="1" si="455"/>
        <v>#VALUE!</v>
      </c>
      <c r="AJ393" s="508" t="e">
        <f t="shared" ca="1" si="456"/>
        <v>#VALUE!</v>
      </c>
      <c r="AL393" s="512">
        <v>8</v>
      </c>
      <c r="AM393" s="516" t="s">
        <v>2267</v>
      </c>
      <c r="AN393" s="529" t="s">
        <v>2444</v>
      </c>
      <c r="AO393" s="508" t="str">
        <f t="shared" ca="1" si="477"/>
        <v>T2部件</v>
      </c>
      <c r="AP393" s="600">
        <v>1</v>
      </c>
      <c r="AQ393" s="633">
        <v>8.0000000000000002E-3</v>
      </c>
      <c r="AR393" s="170" t="e">
        <f t="shared" ca="1" si="468"/>
        <v>#VALUE!</v>
      </c>
      <c r="AS393" s="508" t="e">
        <f t="shared" ca="1" si="469"/>
        <v>#VALUE!</v>
      </c>
      <c r="AU393" s="512">
        <v>8</v>
      </c>
      <c r="AV393" s="516" t="s">
        <v>2243</v>
      </c>
      <c r="AW393" s="529" t="s">
        <v>2452</v>
      </c>
      <c r="AX393" s="508">
        <f t="shared" ca="1" si="462"/>
        <v>8.7750000000000004</v>
      </c>
      <c r="AY393" s="625">
        <v>1.5</v>
      </c>
      <c r="AZ393" s="625">
        <v>5.0000000000000001E-3</v>
      </c>
      <c r="BA393" s="170">
        <f t="shared" ca="1" si="463"/>
        <v>2.4691358024691357E-2</v>
      </c>
      <c r="BB393" s="508">
        <f t="shared" ca="1" si="464"/>
        <v>247</v>
      </c>
      <c r="BD393" s="512">
        <v>8</v>
      </c>
      <c r="BE393" s="516" t="s">
        <v>2243</v>
      </c>
      <c r="BF393" s="529" t="s">
        <v>2452</v>
      </c>
      <c r="BG393" s="508">
        <f t="shared" ca="1" si="465"/>
        <v>8.7750000000000004</v>
      </c>
      <c r="BH393" s="615">
        <v>5.5</v>
      </c>
      <c r="BI393" s="600">
        <v>5.3E-3</v>
      </c>
      <c r="BJ393" s="170">
        <f ca="1">BI393*BE$4/BG393/BH393</f>
        <v>1.6197876197876198E-2</v>
      </c>
      <c r="BK393" s="394">
        <f ca="1">ROUND(BJ393*10000,0)</f>
        <v>162</v>
      </c>
      <c r="BM393" s="512">
        <v>9</v>
      </c>
      <c r="BN393" s="527" t="s">
        <v>2294</v>
      </c>
      <c r="BO393" s="530" t="s">
        <v>2200</v>
      </c>
      <c r="BP393" s="508" t="e">
        <f t="shared" ca="1" si="474"/>
        <v>#N/A</v>
      </c>
      <c r="BQ393" s="508">
        <v>1</v>
      </c>
      <c r="BR393" s="600">
        <v>1.11E-2</v>
      </c>
      <c r="BS393" s="170" t="e">
        <f t="shared" ca="1" si="443"/>
        <v>#N/A</v>
      </c>
      <c r="BT393" s="508" t="e">
        <f t="shared" ca="1" si="444"/>
        <v>#N/A</v>
      </c>
    </row>
    <row r="394" spans="2:82" x14ac:dyDescent="0.35">
      <c r="B394" s="381" t="s">
        <v>597</v>
      </c>
      <c r="C394" s="381" t="s">
        <v>1225</v>
      </c>
      <c r="D394" s="382" t="s">
        <v>917</v>
      </c>
      <c r="E394" s="166" t="s">
        <v>920</v>
      </c>
      <c r="F394" s="386" t="s">
        <v>967</v>
      </c>
      <c r="G394" s="166" t="s">
        <v>854</v>
      </c>
      <c r="H394" s="166" t="s">
        <v>926</v>
      </c>
      <c r="I394" s="383" t="s">
        <v>927</v>
      </c>
      <c r="J394" s="300" t="e">
        <f ca="1">SUM(I395:I464)</f>
        <v>#VALUE!</v>
      </c>
      <c r="K394" s="381" t="s">
        <v>597</v>
      </c>
      <c r="L394" s="381" t="s">
        <v>1225</v>
      </c>
      <c r="M394" s="382" t="s">
        <v>917</v>
      </c>
      <c r="N394" s="166" t="s">
        <v>920</v>
      </c>
      <c r="O394" s="386" t="s">
        <v>967</v>
      </c>
      <c r="P394" s="166" t="s">
        <v>854</v>
      </c>
      <c r="Q394" s="166" t="s">
        <v>926</v>
      </c>
      <c r="R394" s="383" t="s">
        <v>927</v>
      </c>
      <c r="S394" s="300" t="e">
        <f ca="1">SUM(R395:R464)</f>
        <v>#VALUE!</v>
      </c>
      <c r="T394" s="512" t="s">
        <v>597</v>
      </c>
      <c r="U394" s="512" t="s">
        <v>1225</v>
      </c>
      <c r="V394" s="513" t="s">
        <v>917</v>
      </c>
      <c r="W394" s="166" t="s">
        <v>920</v>
      </c>
      <c r="X394" s="518" t="s">
        <v>967</v>
      </c>
      <c r="Y394" s="166" t="s">
        <v>854</v>
      </c>
      <c r="Z394" s="166" t="s">
        <v>926</v>
      </c>
      <c r="AA394" s="383" t="s">
        <v>927</v>
      </c>
      <c r="AB394" s="300" t="e">
        <f ca="1">SUM(AA395:AA464)</f>
        <v>#VALUE!</v>
      </c>
      <c r="AC394" s="512">
        <v>8</v>
      </c>
      <c r="AD394" s="512" t="s">
        <v>2292</v>
      </c>
      <c r="AE394" s="529" t="s">
        <v>2444</v>
      </c>
      <c r="AF394" s="508" t="str">
        <f t="shared" ca="1" si="473"/>
        <v>T3部件</v>
      </c>
      <c r="AG394" s="508">
        <v>1</v>
      </c>
      <c r="AH394" s="633">
        <v>5.0000000000000001E-3</v>
      </c>
      <c r="AI394" s="170" t="e">
        <f t="shared" ca="1" si="455"/>
        <v>#VALUE!</v>
      </c>
      <c r="AJ394" s="508" t="e">
        <f t="shared" ca="1" si="456"/>
        <v>#VALUE!</v>
      </c>
      <c r="AL394" s="512">
        <v>8</v>
      </c>
      <c r="AM394" s="516" t="s">
        <v>2269</v>
      </c>
      <c r="AN394" s="529" t="s">
        <v>2444</v>
      </c>
      <c r="AO394" s="508" t="str">
        <f t="shared" ca="1" si="477"/>
        <v>T2部件</v>
      </c>
      <c r="AP394" s="600">
        <v>1</v>
      </c>
      <c r="AQ394" s="633">
        <v>8.0000000000000002E-3</v>
      </c>
      <c r="AR394" s="170" t="e">
        <f t="shared" ca="1" si="468"/>
        <v>#VALUE!</v>
      </c>
      <c r="AS394" s="508" t="e">
        <f t="shared" ca="1" si="469"/>
        <v>#VALUE!</v>
      </c>
      <c r="AU394" s="512">
        <v>8</v>
      </c>
      <c r="AV394" s="516" t="s">
        <v>2245</v>
      </c>
      <c r="AW394" s="529" t="s">
        <v>2452</v>
      </c>
      <c r="AX394" s="508">
        <f t="shared" ca="1" si="462"/>
        <v>8.7750000000000004</v>
      </c>
      <c r="AY394" s="625">
        <v>1.5</v>
      </c>
      <c r="AZ394" s="625">
        <v>5.0000000000000001E-3</v>
      </c>
      <c r="BA394" s="170">
        <f t="shared" ca="1" si="463"/>
        <v>2.4691358024691357E-2</v>
      </c>
      <c r="BB394" s="508">
        <f t="shared" ca="1" si="464"/>
        <v>247</v>
      </c>
      <c r="BD394" s="512">
        <v>8</v>
      </c>
      <c r="BE394" s="516" t="s">
        <v>2245</v>
      </c>
      <c r="BF394" s="529" t="s">
        <v>2452</v>
      </c>
      <c r="BG394" s="508">
        <f t="shared" ca="1" si="465"/>
        <v>8.7750000000000004</v>
      </c>
      <c r="BH394" s="615">
        <v>5.5</v>
      </c>
      <c r="BI394" s="600">
        <v>5.1999999999999998E-3</v>
      </c>
      <c r="BJ394" s="170">
        <f ca="1">BI394*BE$4/BG394/BH394</f>
        <v>1.5892255892255892E-2</v>
      </c>
      <c r="BK394" s="394">
        <f ca="1">ROUND(BJ394*10000,0)</f>
        <v>159</v>
      </c>
      <c r="BM394" s="512">
        <v>9</v>
      </c>
      <c r="BN394" s="527" t="s">
        <v>2296</v>
      </c>
      <c r="BO394" s="530" t="s">
        <v>2200</v>
      </c>
      <c r="BP394" s="508" t="e">
        <f t="shared" ca="1" si="474"/>
        <v>#N/A</v>
      </c>
      <c r="BQ394" s="508">
        <v>1</v>
      </c>
      <c r="BR394" s="600">
        <v>1.11E-2</v>
      </c>
      <c r="BS394" s="170" t="e">
        <f t="shared" ca="1" si="443"/>
        <v>#N/A</v>
      </c>
      <c r="BT394" s="508" t="e">
        <f t="shared" ca="1" si="444"/>
        <v>#N/A</v>
      </c>
    </row>
    <row r="395" spans="2:82" x14ac:dyDescent="0.35">
      <c r="B395" s="381">
        <v>9</v>
      </c>
      <c r="C395" s="397" t="s">
        <v>620</v>
      </c>
      <c r="D395" s="381" t="s">
        <v>1211</v>
      </c>
      <c r="E395" s="508">
        <f t="shared" ref="E395:E426" ca="1" si="480">IF(D395="部件",VLOOKUP(B395,INDIRECT(D395&amp;"价值"),MATCH(LEFT(C395,2)&amp;"部件",INDIRECT(D395&amp;"价值标头"),0),FALSE),IF(D395="加速道具",VLOOKUP(C395,INDIRECT(D395&amp;"价值"),MATCH("价格",INDIRECT(D395&amp;"价值标头"),0),FALSE),VLOOKUP(B395,INDIRECT(D395&amp;"价值"),MATCH(C395,INDIRECT(D395&amp;"价值标头"),0),FALSE)))</f>
        <v>96</v>
      </c>
      <c r="F395" s="379">
        <v>1.5</v>
      </c>
      <c r="G395" s="394">
        <f>宝箱设定!$X154</f>
        <v>7.2999999999999995E-2</v>
      </c>
      <c r="H395" s="170">
        <f t="shared" ref="H395:H464" ca="1" si="481">G395*$C$4/E395/F395</f>
        <v>2.9782986111111107E-2</v>
      </c>
      <c r="I395" s="379">
        <f t="shared" ref="I395:I464" ca="1" si="482">ROUND(H395*10000,0)</f>
        <v>298</v>
      </c>
      <c r="K395" s="512">
        <v>9</v>
      </c>
      <c r="L395" s="516" t="s">
        <v>620</v>
      </c>
      <c r="M395" s="512" t="s">
        <v>1211</v>
      </c>
      <c r="N395" s="508">
        <f t="shared" ref="N395:N426" ca="1" si="483">IF(M395="部件",VLOOKUP(K395,INDIRECT(M395&amp;"价值"),MATCH(LEFT(L395,2)&amp;"部件",INDIRECT(M395&amp;"价值标头"),0),FALSE),IF(M395="加速道具",VLOOKUP(L395,INDIRECT(M395&amp;"价值"),MATCH("价格",INDIRECT(M395&amp;"价值标头"),0),FALSE),VLOOKUP(K395,INDIRECT(M395&amp;"价值"),MATCH(L395,INDIRECT(M395&amp;"价值标头"),0),FALSE)))</f>
        <v>96</v>
      </c>
      <c r="O395" s="565">
        <v>1</v>
      </c>
      <c r="P395" s="508">
        <f>宝箱设定!$X154</f>
        <v>7.2999999999999995E-2</v>
      </c>
      <c r="Q395" s="170">
        <f ca="1">P395*L$4/N395/O395</f>
        <v>3.5739583333333332E-2</v>
      </c>
      <c r="R395" s="379">
        <f t="shared" ref="R395:R401" ca="1" si="484">ROUND(Q395*10000,0)</f>
        <v>357</v>
      </c>
      <c r="T395" s="512">
        <v>9</v>
      </c>
      <c r="U395" s="516" t="s">
        <v>620</v>
      </c>
      <c r="V395" s="512" t="s">
        <v>1211</v>
      </c>
      <c r="W395" s="508">
        <f t="shared" ref="W395:W426" ca="1" si="485">IF(V395="部件",VLOOKUP(T395,INDIRECT(V395&amp;"价值"),MATCH(LEFT(U395,2)&amp;"部件",INDIRECT(V395&amp;"价值标头"),0),FALSE),IF(V395="加速道具",VLOOKUP(U395,INDIRECT(V395&amp;"价值"),MATCH("价格",INDIRECT(V395&amp;"价值标头"),0),FALSE),VLOOKUP(T395,INDIRECT(V395&amp;"价值"),MATCH(U395,INDIRECT(V395&amp;"价值标头"),0),FALSE)))</f>
        <v>96</v>
      </c>
      <c r="X395" s="565">
        <v>1</v>
      </c>
      <c r="Y395" s="508">
        <f>宝箱设定!$X154</f>
        <v>7.2999999999999995E-2</v>
      </c>
      <c r="Z395" s="170">
        <f ca="1">Y395*U$4/W395/X395</f>
        <v>3.6119791666666665E-2</v>
      </c>
      <c r="AA395" s="379">
        <f ca="1">ROUND(Z395*10000,0)</f>
        <v>361</v>
      </c>
      <c r="AC395" s="512">
        <v>8</v>
      </c>
      <c r="AD395" s="516" t="s">
        <v>2277</v>
      </c>
      <c r="AE395" s="529" t="s">
        <v>2444</v>
      </c>
      <c r="AF395" s="508" t="str">
        <f t="shared" ca="1" si="473"/>
        <v>T3部件</v>
      </c>
      <c r="AG395" s="508">
        <v>1</v>
      </c>
      <c r="AH395" s="633">
        <v>5.0000000000000001E-3</v>
      </c>
      <c r="AI395" s="170" t="e">
        <f t="shared" ca="1" si="455"/>
        <v>#VALUE!</v>
      </c>
      <c r="AJ395" s="508" t="e">
        <f t="shared" ca="1" si="456"/>
        <v>#VALUE!</v>
      </c>
      <c r="AL395" s="512">
        <v>8</v>
      </c>
      <c r="AM395" s="516" t="s">
        <v>2271</v>
      </c>
      <c r="AN395" s="529" t="s">
        <v>2444</v>
      </c>
      <c r="AO395" s="508" t="str">
        <f t="shared" ca="1" si="477"/>
        <v>T2部件</v>
      </c>
      <c r="AP395" s="600">
        <v>1</v>
      </c>
      <c r="AQ395" s="633">
        <v>8.0000000000000002E-3</v>
      </c>
      <c r="AR395" s="170" t="e">
        <f t="shared" ca="1" si="468"/>
        <v>#VALUE!</v>
      </c>
      <c r="AS395" s="508" t="e">
        <f t="shared" ca="1" si="469"/>
        <v>#VALUE!</v>
      </c>
      <c r="AU395" s="512">
        <v>8</v>
      </c>
      <c r="AV395" s="516" t="s">
        <v>2247</v>
      </c>
      <c r="AW395" s="529" t="s">
        <v>2452</v>
      </c>
      <c r="AX395" s="508">
        <f t="shared" ca="1" si="462"/>
        <v>8.7750000000000004</v>
      </c>
      <c r="AY395" s="625">
        <v>1.5</v>
      </c>
      <c r="AZ395" s="625">
        <v>5.0000000000000001E-3</v>
      </c>
      <c r="BA395" s="170">
        <f t="shared" ca="1" si="463"/>
        <v>2.4691358024691357E-2</v>
      </c>
      <c r="BB395" s="508">
        <f t="shared" ca="1" si="464"/>
        <v>247</v>
      </c>
      <c r="BD395" s="512">
        <v>8</v>
      </c>
      <c r="BE395" s="516" t="s">
        <v>2247</v>
      </c>
      <c r="BF395" s="529" t="s">
        <v>2452</v>
      </c>
      <c r="BG395" s="508">
        <f t="shared" ca="1" si="465"/>
        <v>8.7750000000000004</v>
      </c>
      <c r="BH395" s="615">
        <v>5.5</v>
      </c>
      <c r="BI395" s="600">
        <v>5.1999999999999998E-3</v>
      </c>
      <c r="BJ395" s="170">
        <f t="shared" ref="BJ395:BJ404" ca="1" si="486">BI395*BE$4/BG395/BH395</f>
        <v>1.5892255892255892E-2</v>
      </c>
      <c r="BK395" s="394">
        <f t="shared" ref="BK395:BK404" ca="1" si="487">ROUND(BJ395*10000,0)</f>
        <v>159</v>
      </c>
      <c r="BM395" s="512">
        <v>9</v>
      </c>
      <c r="BN395" s="527" t="s">
        <v>2298</v>
      </c>
      <c r="BO395" s="530" t="s">
        <v>2200</v>
      </c>
      <c r="BP395" s="508" t="e">
        <f t="shared" ca="1" si="474"/>
        <v>#N/A</v>
      </c>
      <c r="BQ395" s="508">
        <v>1</v>
      </c>
      <c r="BR395" s="600">
        <v>1.11E-2</v>
      </c>
      <c r="BS395" s="170" t="e">
        <f t="shared" ca="1" si="443"/>
        <v>#N/A</v>
      </c>
      <c r="BT395" s="508" t="e">
        <f t="shared" ca="1" si="444"/>
        <v>#N/A</v>
      </c>
      <c r="BV395" s="381" t="s">
        <v>597</v>
      </c>
      <c r="BW395" s="381" t="s">
        <v>1225</v>
      </c>
      <c r="BX395" s="382" t="s">
        <v>917</v>
      </c>
      <c r="BY395" s="166" t="s">
        <v>920</v>
      </c>
      <c r="BZ395" s="386" t="s">
        <v>967</v>
      </c>
      <c r="CA395" s="166" t="s">
        <v>854</v>
      </c>
      <c r="CB395" s="166" t="s">
        <v>926</v>
      </c>
      <c r="CC395" s="383" t="s">
        <v>927</v>
      </c>
      <c r="CD395" s="300" t="e">
        <f ca="1">SUM(CC396:CC449)</f>
        <v>#VALUE!</v>
      </c>
    </row>
    <row r="396" spans="2:82" x14ac:dyDescent="0.35">
      <c r="B396" s="381">
        <v>9</v>
      </c>
      <c r="C396" s="397" t="s">
        <v>719</v>
      </c>
      <c r="D396" s="381" t="s">
        <v>1211</v>
      </c>
      <c r="E396" s="508">
        <f t="shared" ca="1" si="480"/>
        <v>96</v>
      </c>
      <c r="F396" s="594">
        <v>1.5</v>
      </c>
      <c r="G396" s="508">
        <f>宝箱设定!$X155</f>
        <v>7.2999999999999995E-2</v>
      </c>
      <c r="H396" s="170">
        <f t="shared" ca="1" si="481"/>
        <v>2.9782986111111107E-2</v>
      </c>
      <c r="I396" s="379">
        <f t="shared" ca="1" si="482"/>
        <v>298</v>
      </c>
      <c r="K396" s="512">
        <v>9</v>
      </c>
      <c r="L396" s="516" t="s">
        <v>719</v>
      </c>
      <c r="M396" s="512" t="s">
        <v>1211</v>
      </c>
      <c r="N396" s="508">
        <f t="shared" ca="1" si="483"/>
        <v>96</v>
      </c>
      <c r="O396" s="565">
        <v>1</v>
      </c>
      <c r="P396" s="508">
        <f>宝箱设定!$X155</f>
        <v>7.2999999999999995E-2</v>
      </c>
      <c r="Q396" s="170">
        <f ca="1">P396*L$4/N396/O396</f>
        <v>3.5739583333333332E-2</v>
      </c>
      <c r="R396" s="379">
        <f t="shared" ca="1" si="484"/>
        <v>357</v>
      </c>
      <c r="T396" s="512">
        <v>9</v>
      </c>
      <c r="U396" s="516" t="s">
        <v>719</v>
      </c>
      <c r="V396" s="512" t="s">
        <v>1211</v>
      </c>
      <c r="W396" s="508">
        <f t="shared" ca="1" si="485"/>
        <v>96</v>
      </c>
      <c r="X396" s="565">
        <v>1</v>
      </c>
      <c r="Y396" s="508">
        <f>宝箱设定!$X155</f>
        <v>7.2999999999999995E-2</v>
      </c>
      <c r="Z396" s="170">
        <f ca="1">Y396*U$4/W396/X396</f>
        <v>3.6119791666666665E-2</v>
      </c>
      <c r="AA396" s="379">
        <f ca="1">ROUND(Z396*10000,0)</f>
        <v>361</v>
      </c>
      <c r="AC396" s="512">
        <v>8</v>
      </c>
      <c r="AD396" s="516" t="s">
        <v>2279</v>
      </c>
      <c r="AE396" s="529" t="s">
        <v>2444</v>
      </c>
      <c r="AF396" s="508" t="str">
        <f t="shared" ca="1" si="473"/>
        <v>T3部件</v>
      </c>
      <c r="AG396" s="508">
        <v>1</v>
      </c>
      <c r="AH396" s="633">
        <v>5.0000000000000001E-3</v>
      </c>
      <c r="AI396" s="170" t="e">
        <f t="shared" ca="1" si="455"/>
        <v>#VALUE!</v>
      </c>
      <c r="AJ396" s="508" t="e">
        <f t="shared" ca="1" si="456"/>
        <v>#VALUE!</v>
      </c>
      <c r="AL396" s="512">
        <v>8</v>
      </c>
      <c r="AM396" s="512" t="s">
        <v>2273</v>
      </c>
      <c r="AN396" s="529" t="s">
        <v>2444</v>
      </c>
      <c r="AO396" s="508" t="str">
        <f t="shared" ca="1" si="477"/>
        <v>T2部件</v>
      </c>
      <c r="AP396" s="600">
        <v>1</v>
      </c>
      <c r="AQ396" s="633">
        <v>8.0000000000000002E-3</v>
      </c>
      <c r="AR396" s="170" t="e">
        <f t="shared" ca="1" si="468"/>
        <v>#VALUE!</v>
      </c>
      <c r="AS396" s="508" t="e">
        <f t="shared" ca="1" si="469"/>
        <v>#VALUE!</v>
      </c>
      <c r="AU396" s="512">
        <v>8</v>
      </c>
      <c r="AV396" s="516" t="s">
        <v>2249</v>
      </c>
      <c r="AW396" s="529" t="s">
        <v>2452</v>
      </c>
      <c r="AX396" s="508">
        <f t="shared" ca="1" si="462"/>
        <v>8.7750000000000004</v>
      </c>
      <c r="AY396" s="625">
        <v>1.5</v>
      </c>
      <c r="AZ396" s="625">
        <v>5.0000000000000001E-3</v>
      </c>
      <c r="BA396" s="170">
        <f t="shared" ca="1" si="463"/>
        <v>2.4691358024691357E-2</v>
      </c>
      <c r="BB396" s="508">
        <f t="shared" ca="1" si="464"/>
        <v>247</v>
      </c>
      <c r="BD396" s="512">
        <v>8</v>
      </c>
      <c r="BE396" s="516" t="s">
        <v>2249</v>
      </c>
      <c r="BF396" s="529" t="s">
        <v>2452</v>
      </c>
      <c r="BG396" s="508">
        <f t="shared" ca="1" si="465"/>
        <v>8.7750000000000004</v>
      </c>
      <c r="BH396" s="615">
        <v>5.5</v>
      </c>
      <c r="BI396" s="600">
        <v>5.1999999999999998E-3</v>
      </c>
      <c r="BJ396" s="170">
        <f t="shared" ca="1" si="486"/>
        <v>1.5892255892255892E-2</v>
      </c>
      <c r="BK396" s="394">
        <f t="shared" ca="1" si="487"/>
        <v>159</v>
      </c>
      <c r="BM396" s="512">
        <v>9</v>
      </c>
      <c r="BN396" s="527" t="s">
        <v>2300</v>
      </c>
      <c r="BO396" s="530" t="s">
        <v>2200</v>
      </c>
      <c r="BP396" s="508" t="e">
        <f t="shared" ca="1" si="474"/>
        <v>#N/A</v>
      </c>
      <c r="BQ396" s="508">
        <v>1</v>
      </c>
      <c r="BR396" s="600">
        <v>1.11E-2</v>
      </c>
      <c r="BS396" s="170" t="e">
        <f t="shared" ca="1" si="443"/>
        <v>#N/A</v>
      </c>
      <c r="BT396" s="508" t="e">
        <f t="shared" ca="1" si="444"/>
        <v>#N/A</v>
      </c>
      <c r="BV396" s="381">
        <v>10</v>
      </c>
      <c r="BW396" s="527" t="s">
        <v>2239</v>
      </c>
      <c r="BX396" s="530" t="s">
        <v>2200</v>
      </c>
      <c r="BY396" s="523">
        <f t="shared" ref="BY396:BY427" ca="1" si="488">IF(BX396="部件",VLOOKUP(BV396,INDIRECT(BX396&amp;"价值"),MATCH(LEFT(BW396,2)&amp;"部件",INDIRECT(BX396&amp;"价值标头"),0),FALSE),IF(BX396="加速道具",VLOOKUP(BW396,INDIRECT(BX396&amp;"价值"),MATCH("价格",INDIRECT(BX396&amp;"价值标头"),0),FALSE),VLOOKUP(BV396,INDIRECT(BX396&amp;"价值"),MATCH(BW396,INDIRECT(BX396&amp;"价值标头"),0),FALSE)))</f>
        <v>7.4250000000000007</v>
      </c>
      <c r="BZ396" s="665">
        <v>1.5</v>
      </c>
      <c r="CA396" s="662">
        <v>5.4999999999999997E-3</v>
      </c>
      <c r="CB396" s="170">
        <f t="shared" ref="CB396:CB416" ca="1" si="489">CA396*BW$4/BY396/BZ396</f>
        <v>2.4691358024691353E-2</v>
      </c>
      <c r="CC396" s="379">
        <f t="shared" ref="CC396:CC416" ca="1" si="490">ROUND(CB396*10000,0)</f>
        <v>247</v>
      </c>
    </row>
    <row r="397" spans="2:82" x14ac:dyDescent="0.35">
      <c r="B397" s="381">
        <v>9</v>
      </c>
      <c r="C397" s="397" t="s">
        <v>635</v>
      </c>
      <c r="D397" s="381" t="s">
        <v>1211</v>
      </c>
      <c r="E397" s="508">
        <f t="shared" ca="1" si="480"/>
        <v>96</v>
      </c>
      <c r="F397" s="594">
        <v>1.5</v>
      </c>
      <c r="G397" s="508">
        <f>宝箱设定!$X156</f>
        <v>7.2999999999999995E-2</v>
      </c>
      <c r="H397" s="170">
        <f t="shared" ca="1" si="481"/>
        <v>2.9782986111111107E-2</v>
      </c>
      <c r="I397" s="379">
        <f t="shared" ca="1" si="482"/>
        <v>298</v>
      </c>
      <c r="K397" s="512">
        <v>9</v>
      </c>
      <c r="L397" s="516" t="s">
        <v>635</v>
      </c>
      <c r="M397" s="512" t="s">
        <v>1211</v>
      </c>
      <c r="N397" s="508">
        <f t="shared" ca="1" si="483"/>
        <v>96</v>
      </c>
      <c r="O397" s="565">
        <v>1</v>
      </c>
      <c r="P397" s="508">
        <f>宝箱设定!$X156</f>
        <v>7.2999999999999995E-2</v>
      </c>
      <c r="Q397" s="170">
        <f ca="1">P397*L$4/N397/O397</f>
        <v>3.5739583333333332E-2</v>
      </c>
      <c r="R397" s="379">
        <f t="shared" ca="1" si="484"/>
        <v>357</v>
      </c>
      <c r="T397" s="512">
        <v>9</v>
      </c>
      <c r="U397" s="516" t="s">
        <v>635</v>
      </c>
      <c r="V397" s="512" t="s">
        <v>1211</v>
      </c>
      <c r="W397" s="508">
        <f t="shared" ca="1" si="485"/>
        <v>96</v>
      </c>
      <c r="X397" s="565">
        <v>1</v>
      </c>
      <c r="Y397" s="508">
        <f>宝箱设定!$X156</f>
        <v>7.2999999999999995E-2</v>
      </c>
      <c r="Z397" s="170">
        <f ca="1">Y397*U$4/W397/X397</f>
        <v>3.6119791666666665E-2</v>
      </c>
      <c r="AA397" s="379">
        <f ca="1">ROUND(Z397*10000,0)</f>
        <v>361</v>
      </c>
      <c r="AC397" s="512">
        <v>8</v>
      </c>
      <c r="AD397" s="516" t="s">
        <v>2281</v>
      </c>
      <c r="AE397" s="529" t="s">
        <v>2444</v>
      </c>
      <c r="AF397" s="508" t="str">
        <f t="shared" ca="1" si="473"/>
        <v>T3部件</v>
      </c>
      <c r="AG397" s="508">
        <v>1</v>
      </c>
      <c r="AH397" s="633">
        <v>5.0000000000000001E-3</v>
      </c>
      <c r="AI397" s="170" t="e">
        <f t="shared" ca="1" si="455"/>
        <v>#VALUE!</v>
      </c>
      <c r="AJ397" s="508" t="e">
        <f t="shared" ca="1" si="456"/>
        <v>#VALUE!</v>
      </c>
      <c r="AL397" s="512">
        <v>8</v>
      </c>
      <c r="AM397" s="512" t="s">
        <v>2275</v>
      </c>
      <c r="AN397" s="529" t="s">
        <v>2444</v>
      </c>
      <c r="AO397" s="508" t="str">
        <f t="shared" ca="1" si="477"/>
        <v>T2部件</v>
      </c>
      <c r="AP397" s="600">
        <v>1</v>
      </c>
      <c r="AQ397" s="633">
        <v>8.0000000000000002E-3</v>
      </c>
      <c r="AR397" s="170" t="e">
        <f t="shared" ca="1" si="468"/>
        <v>#VALUE!</v>
      </c>
      <c r="AS397" s="508" t="e">
        <f t="shared" ca="1" si="469"/>
        <v>#VALUE!</v>
      </c>
      <c r="AU397" s="512">
        <v>8</v>
      </c>
      <c r="AV397" s="516" t="s">
        <v>2251</v>
      </c>
      <c r="AW397" s="529" t="s">
        <v>2452</v>
      </c>
      <c r="AX397" s="508">
        <f t="shared" ca="1" si="462"/>
        <v>8.7750000000000004</v>
      </c>
      <c r="AY397" s="625">
        <v>1.5</v>
      </c>
      <c r="AZ397" s="625">
        <v>5.0000000000000001E-3</v>
      </c>
      <c r="BA397" s="170">
        <f t="shared" ca="1" si="463"/>
        <v>2.4691358024691357E-2</v>
      </c>
      <c r="BB397" s="508">
        <f t="shared" ca="1" si="464"/>
        <v>247</v>
      </c>
      <c r="BD397" s="512">
        <v>8</v>
      </c>
      <c r="BE397" s="516" t="s">
        <v>2251</v>
      </c>
      <c r="BF397" s="529" t="s">
        <v>2452</v>
      </c>
      <c r="BG397" s="508">
        <f t="shared" ca="1" si="465"/>
        <v>8.7750000000000004</v>
      </c>
      <c r="BH397" s="615">
        <v>5.5</v>
      </c>
      <c r="BI397" s="600">
        <v>5.1999999999999998E-3</v>
      </c>
      <c r="BJ397" s="170">
        <f t="shared" ca="1" si="486"/>
        <v>1.5892255892255892E-2</v>
      </c>
      <c r="BK397" s="394">
        <f t="shared" ca="1" si="487"/>
        <v>159</v>
      </c>
      <c r="BM397" s="512">
        <v>9</v>
      </c>
      <c r="BN397" s="527" t="s">
        <v>2302</v>
      </c>
      <c r="BO397" s="530" t="s">
        <v>2200</v>
      </c>
      <c r="BP397" s="508" t="e">
        <f t="shared" ca="1" si="474"/>
        <v>#N/A</v>
      </c>
      <c r="BQ397" s="508">
        <v>1</v>
      </c>
      <c r="BR397" s="600">
        <v>1.11E-2</v>
      </c>
      <c r="BS397" s="170" t="e">
        <f t="shared" ref="BS397:BS401" ca="1" si="491">BR397*BN$4/BP397/BQ397</f>
        <v>#N/A</v>
      </c>
      <c r="BT397" s="523" t="e">
        <f t="shared" ref="BT397:BT401" ca="1" si="492">ROUND(BS397*10000,0)</f>
        <v>#N/A</v>
      </c>
      <c r="BV397" s="381">
        <v>10</v>
      </c>
      <c r="BW397" s="527" t="s">
        <v>2242</v>
      </c>
      <c r="BX397" s="530" t="s">
        <v>2200</v>
      </c>
      <c r="BY397" s="523">
        <f t="shared" ca="1" si="488"/>
        <v>7.4250000000000007</v>
      </c>
      <c r="BZ397" s="665">
        <v>1.5</v>
      </c>
      <c r="CA397" s="662">
        <v>5.4999999999999997E-3</v>
      </c>
      <c r="CB397" s="170">
        <f t="shared" ca="1" si="489"/>
        <v>2.4691358024691353E-2</v>
      </c>
      <c r="CC397" s="379">
        <f t="shared" ca="1" si="490"/>
        <v>247</v>
      </c>
    </row>
    <row r="398" spans="2:82" x14ac:dyDescent="0.35">
      <c r="B398" s="381">
        <v>9</v>
      </c>
      <c r="C398" s="384" t="s">
        <v>717</v>
      </c>
      <c r="D398" s="381" t="s">
        <v>1211</v>
      </c>
      <c r="E398" s="508">
        <f t="shared" ca="1" si="480"/>
        <v>120</v>
      </c>
      <c r="F398" s="594">
        <v>1.5</v>
      </c>
      <c r="G398" s="508">
        <f>宝箱设定!$X157</f>
        <v>7.2999999999999995E-2</v>
      </c>
      <c r="H398" s="170">
        <f t="shared" ca="1" si="481"/>
        <v>2.3826388888888887E-2</v>
      </c>
      <c r="I398" s="379">
        <f t="shared" ca="1" si="482"/>
        <v>238</v>
      </c>
      <c r="K398" s="512">
        <v>9</v>
      </c>
      <c r="L398" s="516" t="s">
        <v>717</v>
      </c>
      <c r="M398" s="512" t="s">
        <v>1211</v>
      </c>
      <c r="N398" s="508">
        <f t="shared" ca="1" si="483"/>
        <v>120</v>
      </c>
      <c r="O398" s="565">
        <v>1</v>
      </c>
      <c r="P398" s="508">
        <f>宝箱设定!$X157</f>
        <v>7.2999999999999995E-2</v>
      </c>
      <c r="Q398" s="170">
        <f t="shared" ref="Q398:Q403" ca="1" si="493">P398*L$4/N398/O398</f>
        <v>2.8591666666666665E-2</v>
      </c>
      <c r="R398" s="408">
        <f t="shared" ca="1" si="484"/>
        <v>286</v>
      </c>
      <c r="T398" s="512">
        <v>9</v>
      </c>
      <c r="U398" s="516" t="s">
        <v>717</v>
      </c>
      <c r="V398" s="512" t="s">
        <v>1211</v>
      </c>
      <c r="W398" s="508">
        <f t="shared" ca="1" si="485"/>
        <v>120</v>
      </c>
      <c r="X398" s="565">
        <v>1</v>
      </c>
      <c r="Y398" s="508">
        <f>宝箱设定!$X157</f>
        <v>7.2999999999999995E-2</v>
      </c>
      <c r="Z398" s="170">
        <f t="shared" ref="Z398:Z403" ca="1" si="494">Y398*U$4/W398/X398</f>
        <v>2.8895833333333332E-2</v>
      </c>
      <c r="AA398" s="408">
        <f t="shared" ref="AA398:AA403" ca="1" si="495">ROUND(Z398*10000,0)</f>
        <v>289</v>
      </c>
      <c r="AC398" s="512">
        <v>8</v>
      </c>
      <c r="AD398" s="516" t="s">
        <v>2283</v>
      </c>
      <c r="AE398" s="529" t="s">
        <v>2444</v>
      </c>
      <c r="AF398" s="508" t="str">
        <f t="shared" ca="1" si="473"/>
        <v>T3部件</v>
      </c>
      <c r="AG398" s="508">
        <v>1</v>
      </c>
      <c r="AH398" s="633">
        <v>5.0000000000000001E-3</v>
      </c>
      <c r="AI398" s="170" t="e">
        <f t="shared" ca="1" si="455"/>
        <v>#VALUE!</v>
      </c>
      <c r="AJ398" s="508" t="e">
        <f t="shared" ca="1" si="456"/>
        <v>#VALUE!</v>
      </c>
      <c r="AL398" s="512">
        <v>8</v>
      </c>
      <c r="AM398" s="516" t="s">
        <v>2276</v>
      </c>
      <c r="AN398" s="529" t="s">
        <v>2444</v>
      </c>
      <c r="AO398" s="508" t="str">
        <f t="shared" ca="1" si="477"/>
        <v>T3部件</v>
      </c>
      <c r="AP398" s="508">
        <v>1</v>
      </c>
      <c r="AQ398" s="633">
        <v>3.0000000000000001E-3</v>
      </c>
      <c r="AR398" s="170" t="e">
        <f t="shared" ca="1" si="468"/>
        <v>#VALUE!</v>
      </c>
      <c r="AS398" s="508" t="e">
        <f t="shared" ca="1" si="469"/>
        <v>#VALUE!</v>
      </c>
      <c r="AU398" s="512">
        <v>8</v>
      </c>
      <c r="AV398" s="516" t="s">
        <v>2253</v>
      </c>
      <c r="AW398" s="529" t="s">
        <v>2452</v>
      </c>
      <c r="AX398" s="508">
        <f t="shared" ref="AX398:AX429" ca="1" si="496">IF(AW398="部件",VLOOKUP(AU398,INDIRECT(AW398&amp;"价值"),MATCH(LEFT(AV398,2)&amp;"部件",INDIRECT(AW398&amp;"价值标头"),0),FALSE),IF(AW398="加速道具",VLOOKUP(AV398,INDIRECT(AW398&amp;"价值"),MATCH("价格",INDIRECT(AW398&amp;"价值标头"),0),FALSE),VLOOKUP(AU398,INDIRECT(AW398&amp;"价值"),MATCH(AV398,INDIRECT(AW398&amp;"价值标头"),0),FALSE)))</f>
        <v>8.7750000000000004</v>
      </c>
      <c r="AY398" s="625">
        <v>1.5</v>
      </c>
      <c r="AZ398" s="625">
        <v>5.0000000000000001E-3</v>
      </c>
      <c r="BA398" s="170">
        <f t="shared" ca="1" si="463"/>
        <v>2.4691358024691357E-2</v>
      </c>
      <c r="BB398" s="508">
        <f t="shared" ca="1" si="464"/>
        <v>247</v>
      </c>
      <c r="BD398" s="512">
        <v>8</v>
      </c>
      <c r="BE398" s="516" t="s">
        <v>2253</v>
      </c>
      <c r="BF398" s="529" t="s">
        <v>2452</v>
      </c>
      <c r="BG398" s="508">
        <f t="shared" ref="BG398:BG429" ca="1" si="497">IF(BF398="部件",VLOOKUP(BD398,INDIRECT(BF398&amp;"价值"),MATCH(LEFT(BE398,2)&amp;"部件",INDIRECT(BF398&amp;"价值标头"),0),FALSE),IF(BF398="加速道具",VLOOKUP(BE398,INDIRECT(BF398&amp;"价值"),MATCH("价格",INDIRECT(BF398&amp;"价值标头"),0),FALSE),VLOOKUP(BD398,INDIRECT(BF398&amp;"价值"),MATCH(BE398,INDIRECT(BF398&amp;"价值标头"),0),FALSE)))</f>
        <v>8.7750000000000004</v>
      </c>
      <c r="BH398" s="615">
        <v>5.5</v>
      </c>
      <c r="BI398" s="600">
        <v>5.1999999999999998E-3</v>
      </c>
      <c r="BJ398" s="170">
        <f t="shared" ca="1" si="486"/>
        <v>1.5892255892255892E-2</v>
      </c>
      <c r="BK398" s="394">
        <f t="shared" ca="1" si="487"/>
        <v>159</v>
      </c>
      <c r="BM398" s="512">
        <v>9</v>
      </c>
      <c r="BN398" s="527" t="s">
        <v>2304</v>
      </c>
      <c r="BO398" s="530" t="s">
        <v>2200</v>
      </c>
      <c r="BP398" s="508" t="e">
        <f t="shared" ca="1" si="474"/>
        <v>#N/A</v>
      </c>
      <c r="BQ398" s="508">
        <v>1</v>
      </c>
      <c r="BR398" s="600">
        <v>1.11E-2</v>
      </c>
      <c r="BS398" s="170" t="e">
        <f t="shared" ca="1" si="491"/>
        <v>#N/A</v>
      </c>
      <c r="BT398" s="523" t="e">
        <f t="shared" ca="1" si="492"/>
        <v>#N/A</v>
      </c>
      <c r="BV398" s="381">
        <v>10</v>
      </c>
      <c r="BW398" s="527" t="s">
        <v>2244</v>
      </c>
      <c r="BX398" s="530" t="s">
        <v>2200</v>
      </c>
      <c r="BY398" s="523">
        <f t="shared" ca="1" si="488"/>
        <v>7.4250000000000007</v>
      </c>
      <c r="BZ398" s="665">
        <v>1.5</v>
      </c>
      <c r="CA398" s="662">
        <v>5.4999999999999997E-3</v>
      </c>
      <c r="CB398" s="170">
        <f t="shared" ca="1" si="489"/>
        <v>2.4691358024691353E-2</v>
      </c>
      <c r="CC398" s="379">
        <f t="shared" ca="1" si="490"/>
        <v>247</v>
      </c>
    </row>
    <row r="399" spans="2:82" x14ac:dyDescent="0.35">
      <c r="B399" s="381">
        <v>9</v>
      </c>
      <c r="C399" s="384" t="s">
        <v>720</v>
      </c>
      <c r="D399" s="381" t="s">
        <v>1211</v>
      </c>
      <c r="E399" s="508">
        <f t="shared" ca="1" si="480"/>
        <v>120</v>
      </c>
      <c r="F399" s="594">
        <v>1.5</v>
      </c>
      <c r="G399" s="508">
        <f>宝箱设定!$X158</f>
        <v>7.2999999999999995E-2</v>
      </c>
      <c r="H399" s="170">
        <f t="shared" ca="1" si="481"/>
        <v>2.3826388888888887E-2</v>
      </c>
      <c r="I399" s="379">
        <f t="shared" ca="1" si="482"/>
        <v>238</v>
      </c>
      <c r="K399" s="512">
        <v>9</v>
      </c>
      <c r="L399" s="516" t="s">
        <v>720</v>
      </c>
      <c r="M399" s="512" t="s">
        <v>1211</v>
      </c>
      <c r="N399" s="508">
        <f t="shared" ca="1" si="483"/>
        <v>120</v>
      </c>
      <c r="O399" s="565">
        <v>1</v>
      </c>
      <c r="P399" s="508">
        <f>宝箱设定!$X158</f>
        <v>7.2999999999999995E-2</v>
      </c>
      <c r="Q399" s="170">
        <f t="shared" ca="1" si="493"/>
        <v>2.8591666666666665E-2</v>
      </c>
      <c r="R399" s="408">
        <f t="shared" ca="1" si="484"/>
        <v>286</v>
      </c>
      <c r="T399" s="512">
        <v>9</v>
      </c>
      <c r="U399" s="516" t="s">
        <v>720</v>
      </c>
      <c r="V399" s="512" t="s">
        <v>1211</v>
      </c>
      <c r="W399" s="508">
        <f t="shared" ca="1" si="485"/>
        <v>120</v>
      </c>
      <c r="X399" s="565">
        <v>1</v>
      </c>
      <c r="Y399" s="508">
        <f>宝箱设定!$X158</f>
        <v>7.2999999999999995E-2</v>
      </c>
      <c r="Z399" s="170">
        <f t="shared" ca="1" si="494"/>
        <v>2.8895833333333332E-2</v>
      </c>
      <c r="AA399" s="408">
        <f t="shared" ca="1" si="495"/>
        <v>289</v>
      </c>
      <c r="AC399" s="512">
        <v>8</v>
      </c>
      <c r="AD399" s="516" t="s">
        <v>2285</v>
      </c>
      <c r="AE399" s="529" t="s">
        <v>2444</v>
      </c>
      <c r="AF399" s="508" t="str">
        <f t="shared" ca="1" si="473"/>
        <v>T3部件</v>
      </c>
      <c r="AG399" s="508">
        <v>1</v>
      </c>
      <c r="AH399" s="633">
        <v>5.0000000000000001E-3</v>
      </c>
      <c r="AI399" s="170" t="e">
        <f t="shared" ca="1" si="455"/>
        <v>#VALUE!</v>
      </c>
      <c r="AJ399" s="508" t="e">
        <f t="shared" ca="1" si="456"/>
        <v>#VALUE!</v>
      </c>
      <c r="AL399" s="512">
        <v>8</v>
      </c>
      <c r="AM399" s="516" t="s">
        <v>2278</v>
      </c>
      <c r="AN399" s="529" t="s">
        <v>2444</v>
      </c>
      <c r="AO399" s="508" t="str">
        <f t="shared" ca="1" si="477"/>
        <v>T3部件</v>
      </c>
      <c r="AP399" s="508">
        <v>1</v>
      </c>
      <c r="AQ399" s="633">
        <v>3.0000000000000001E-3</v>
      </c>
      <c r="AR399" s="170" t="e">
        <f t="shared" ca="1" si="468"/>
        <v>#VALUE!</v>
      </c>
      <c r="AS399" s="508" t="e">
        <f t="shared" ca="1" si="469"/>
        <v>#VALUE!</v>
      </c>
      <c r="AU399" s="512">
        <v>8</v>
      </c>
      <c r="AV399" s="512" t="s">
        <v>2255</v>
      </c>
      <c r="AW399" s="529" t="s">
        <v>2452</v>
      </c>
      <c r="AX399" s="508">
        <f t="shared" ca="1" si="496"/>
        <v>8.7750000000000004</v>
      </c>
      <c r="AY399" s="625">
        <v>1.5</v>
      </c>
      <c r="AZ399" s="625">
        <v>5.0000000000000001E-3</v>
      </c>
      <c r="BA399" s="170">
        <f t="shared" ca="1" si="463"/>
        <v>2.4691358024691357E-2</v>
      </c>
      <c r="BB399" s="508">
        <f t="shared" ca="1" si="464"/>
        <v>247</v>
      </c>
      <c r="BD399" s="512">
        <v>8</v>
      </c>
      <c r="BE399" s="512" t="s">
        <v>2255</v>
      </c>
      <c r="BF399" s="529" t="s">
        <v>2452</v>
      </c>
      <c r="BG399" s="508">
        <f t="shared" ca="1" si="497"/>
        <v>8.7750000000000004</v>
      </c>
      <c r="BH399" s="615">
        <v>5.5</v>
      </c>
      <c r="BI399" s="600">
        <v>5.1999999999999998E-3</v>
      </c>
      <c r="BJ399" s="170">
        <f t="shared" ca="1" si="486"/>
        <v>1.5892255892255892E-2</v>
      </c>
      <c r="BK399" s="394">
        <f t="shared" ca="1" si="487"/>
        <v>159</v>
      </c>
      <c r="BM399" s="512">
        <v>9</v>
      </c>
      <c r="BN399" s="527" t="s">
        <v>2306</v>
      </c>
      <c r="BO399" s="530" t="s">
        <v>2200</v>
      </c>
      <c r="BP399" s="508" t="e">
        <f t="shared" ca="1" si="474"/>
        <v>#N/A</v>
      </c>
      <c r="BQ399" s="508">
        <v>1</v>
      </c>
      <c r="BR399" s="600">
        <v>1.11E-2</v>
      </c>
      <c r="BS399" s="170" t="e">
        <f t="shared" ca="1" si="491"/>
        <v>#N/A</v>
      </c>
      <c r="BT399" s="523" t="e">
        <f t="shared" ca="1" si="492"/>
        <v>#N/A</v>
      </c>
      <c r="BV399" s="381">
        <v>10</v>
      </c>
      <c r="BW399" s="527" t="s">
        <v>2246</v>
      </c>
      <c r="BX399" s="530" t="s">
        <v>2200</v>
      </c>
      <c r="BY399" s="523">
        <f t="shared" ca="1" si="488"/>
        <v>7.4250000000000007</v>
      </c>
      <c r="BZ399" s="665">
        <v>1.5</v>
      </c>
      <c r="CA399" s="662">
        <v>5.4999999999999997E-3</v>
      </c>
      <c r="CB399" s="170">
        <f t="shared" ca="1" si="489"/>
        <v>2.4691358024691353E-2</v>
      </c>
      <c r="CC399" s="379">
        <f t="shared" ca="1" si="490"/>
        <v>247</v>
      </c>
    </row>
    <row r="400" spans="2:82" x14ac:dyDescent="0.35">
      <c r="B400" s="381">
        <v>9</v>
      </c>
      <c r="C400" s="384" t="s">
        <v>621</v>
      </c>
      <c r="D400" s="381" t="s">
        <v>1211</v>
      </c>
      <c r="E400" s="508">
        <f t="shared" ca="1" si="480"/>
        <v>148.79999999999998</v>
      </c>
      <c r="F400" s="625">
        <v>1</v>
      </c>
      <c r="G400" s="508">
        <f>宝箱设定!$X159</f>
        <v>7.2999999999999995E-2</v>
      </c>
      <c r="H400" s="170">
        <f t="shared" ca="1" si="481"/>
        <v>2.8822244623655912E-2</v>
      </c>
      <c r="I400" s="379">
        <f t="shared" ca="1" si="482"/>
        <v>288</v>
      </c>
      <c r="K400" s="512">
        <v>9</v>
      </c>
      <c r="L400" s="516" t="s">
        <v>621</v>
      </c>
      <c r="M400" s="512" t="s">
        <v>1211</v>
      </c>
      <c r="N400" s="508">
        <f t="shared" ca="1" si="483"/>
        <v>148.79999999999998</v>
      </c>
      <c r="O400" s="565">
        <v>1</v>
      </c>
      <c r="P400" s="508">
        <f>宝箱设定!$X159</f>
        <v>7.2999999999999995E-2</v>
      </c>
      <c r="Q400" s="170">
        <f t="shared" ca="1" si="493"/>
        <v>2.305779569892473E-2</v>
      </c>
      <c r="R400" s="408">
        <f t="shared" ca="1" si="484"/>
        <v>231</v>
      </c>
      <c r="T400" s="512">
        <v>9</v>
      </c>
      <c r="U400" s="516" t="s">
        <v>621</v>
      </c>
      <c r="V400" s="512" t="s">
        <v>1211</v>
      </c>
      <c r="W400" s="508">
        <f t="shared" ca="1" si="485"/>
        <v>148.79999999999998</v>
      </c>
      <c r="X400" s="565">
        <v>1</v>
      </c>
      <c r="Y400" s="508">
        <f>宝箱设定!$X159</f>
        <v>7.2999999999999995E-2</v>
      </c>
      <c r="Z400" s="170">
        <f t="shared" ca="1" si="494"/>
        <v>2.3303091397849463E-2</v>
      </c>
      <c r="AA400" s="408">
        <f t="shared" ca="1" si="495"/>
        <v>233</v>
      </c>
      <c r="AC400" s="512">
        <v>8</v>
      </c>
      <c r="AD400" s="516" t="s">
        <v>2287</v>
      </c>
      <c r="AE400" s="529" t="s">
        <v>2444</v>
      </c>
      <c r="AF400" s="508" t="str">
        <f t="shared" ca="1" si="473"/>
        <v>T3部件</v>
      </c>
      <c r="AG400" s="508">
        <v>1</v>
      </c>
      <c r="AH400" s="633">
        <v>5.0000000000000001E-3</v>
      </c>
      <c r="AI400" s="170" t="e">
        <f t="shared" ca="1" si="455"/>
        <v>#VALUE!</v>
      </c>
      <c r="AJ400" s="508" t="e">
        <f t="shared" ca="1" si="456"/>
        <v>#VALUE!</v>
      </c>
      <c r="AL400" s="512">
        <v>8</v>
      </c>
      <c r="AM400" s="516" t="s">
        <v>2280</v>
      </c>
      <c r="AN400" s="529" t="s">
        <v>2444</v>
      </c>
      <c r="AO400" s="508" t="str">
        <f t="shared" ca="1" si="477"/>
        <v>T3部件</v>
      </c>
      <c r="AP400" s="508">
        <v>1</v>
      </c>
      <c r="AQ400" s="633">
        <v>3.0000000000000001E-3</v>
      </c>
      <c r="AR400" s="170" t="e">
        <f t="shared" ca="1" si="468"/>
        <v>#VALUE!</v>
      </c>
      <c r="AS400" s="508" t="e">
        <f t="shared" ca="1" si="469"/>
        <v>#VALUE!</v>
      </c>
      <c r="AU400" s="512">
        <v>8</v>
      </c>
      <c r="AV400" s="512" t="s">
        <v>2257</v>
      </c>
      <c r="AW400" s="529" t="s">
        <v>2452</v>
      </c>
      <c r="AX400" s="508">
        <f t="shared" ca="1" si="496"/>
        <v>8.7750000000000004</v>
      </c>
      <c r="AY400" s="625">
        <v>1.5</v>
      </c>
      <c r="AZ400" s="625">
        <v>5.0000000000000001E-3</v>
      </c>
      <c r="BA400" s="170">
        <f t="shared" ca="1" si="463"/>
        <v>2.4691358024691357E-2</v>
      </c>
      <c r="BB400" s="508">
        <f t="shared" ca="1" si="464"/>
        <v>247</v>
      </c>
      <c r="BD400" s="512">
        <v>8</v>
      </c>
      <c r="BE400" s="512" t="s">
        <v>2257</v>
      </c>
      <c r="BF400" s="529" t="s">
        <v>2452</v>
      </c>
      <c r="BG400" s="508">
        <f t="shared" ca="1" si="497"/>
        <v>8.7750000000000004</v>
      </c>
      <c r="BH400" s="615">
        <v>5.5</v>
      </c>
      <c r="BI400" s="600">
        <v>5.1999999999999998E-3</v>
      </c>
      <c r="BJ400" s="170">
        <f t="shared" ca="1" si="486"/>
        <v>1.5892255892255892E-2</v>
      </c>
      <c r="BK400" s="394">
        <f t="shared" ca="1" si="487"/>
        <v>159</v>
      </c>
      <c r="BM400" s="512">
        <v>9</v>
      </c>
      <c r="BN400" s="525" t="s">
        <v>2308</v>
      </c>
      <c r="BO400" s="530" t="s">
        <v>2200</v>
      </c>
      <c r="BP400" s="508" t="e">
        <f t="shared" ca="1" si="474"/>
        <v>#N/A</v>
      </c>
      <c r="BQ400" s="508">
        <v>1</v>
      </c>
      <c r="BR400" s="600">
        <v>1.11E-2</v>
      </c>
      <c r="BS400" s="170" t="e">
        <f t="shared" ca="1" si="491"/>
        <v>#N/A</v>
      </c>
      <c r="BT400" s="523" t="e">
        <f t="shared" ca="1" si="492"/>
        <v>#N/A</v>
      </c>
      <c r="BV400" s="381">
        <v>10</v>
      </c>
      <c r="BW400" s="527" t="s">
        <v>2248</v>
      </c>
      <c r="BX400" s="530" t="s">
        <v>2200</v>
      </c>
      <c r="BY400" s="523">
        <f t="shared" ca="1" si="488"/>
        <v>7.4250000000000007</v>
      </c>
      <c r="BZ400" s="665">
        <v>1.5</v>
      </c>
      <c r="CA400" s="662">
        <v>5.4999999999999997E-3</v>
      </c>
      <c r="CB400" s="170">
        <f t="shared" ca="1" si="489"/>
        <v>2.4691358024691353E-2</v>
      </c>
      <c r="CC400" s="379">
        <f t="shared" ca="1" si="490"/>
        <v>247</v>
      </c>
    </row>
    <row r="401" spans="2:81" x14ac:dyDescent="0.35">
      <c r="B401" s="381">
        <v>9</v>
      </c>
      <c r="C401" s="384" t="s">
        <v>634</v>
      </c>
      <c r="D401" s="381" t="s">
        <v>1211</v>
      </c>
      <c r="E401" s="508">
        <f t="shared" ca="1" si="480"/>
        <v>148.79999999999998</v>
      </c>
      <c r="F401" s="594">
        <v>1</v>
      </c>
      <c r="G401" s="508">
        <f>宝箱设定!$X160</f>
        <v>7.2999999999999995E-2</v>
      </c>
      <c r="H401" s="170">
        <f t="shared" ca="1" si="481"/>
        <v>2.8822244623655912E-2</v>
      </c>
      <c r="I401" s="379">
        <f t="shared" ca="1" si="482"/>
        <v>288</v>
      </c>
      <c r="K401" s="512">
        <v>9</v>
      </c>
      <c r="L401" s="516" t="s">
        <v>634</v>
      </c>
      <c r="M401" s="512" t="s">
        <v>1211</v>
      </c>
      <c r="N401" s="508">
        <f t="shared" ca="1" si="483"/>
        <v>148.79999999999998</v>
      </c>
      <c r="O401" s="565">
        <v>1</v>
      </c>
      <c r="P401" s="508">
        <f>宝箱设定!$X160</f>
        <v>7.2999999999999995E-2</v>
      </c>
      <c r="Q401" s="170">
        <f t="shared" ca="1" si="493"/>
        <v>2.305779569892473E-2</v>
      </c>
      <c r="R401" s="408">
        <f t="shared" ca="1" si="484"/>
        <v>231</v>
      </c>
      <c r="T401" s="512">
        <v>9</v>
      </c>
      <c r="U401" s="516" t="s">
        <v>634</v>
      </c>
      <c r="V401" s="512" t="s">
        <v>1211</v>
      </c>
      <c r="W401" s="508">
        <f t="shared" ca="1" si="485"/>
        <v>148.79999999999998</v>
      </c>
      <c r="X401" s="565">
        <v>1</v>
      </c>
      <c r="Y401" s="508">
        <f>宝箱设定!$X160</f>
        <v>7.2999999999999995E-2</v>
      </c>
      <c r="Z401" s="170">
        <f t="shared" ca="1" si="494"/>
        <v>2.3303091397849463E-2</v>
      </c>
      <c r="AA401" s="408">
        <f t="shared" ca="1" si="495"/>
        <v>233</v>
      </c>
      <c r="AC401" s="512">
        <v>8</v>
      </c>
      <c r="AD401" s="516" t="s">
        <v>2289</v>
      </c>
      <c r="AE401" s="529" t="s">
        <v>2444</v>
      </c>
      <c r="AF401" s="508" t="str">
        <f t="shared" ca="1" si="473"/>
        <v>T3部件</v>
      </c>
      <c r="AG401" s="508">
        <v>1</v>
      </c>
      <c r="AH401" s="633">
        <v>5.0000000000000001E-3</v>
      </c>
      <c r="AI401" s="170" t="e">
        <f t="shared" ca="1" si="455"/>
        <v>#VALUE!</v>
      </c>
      <c r="AJ401" s="508" t="e">
        <f t="shared" ca="1" si="456"/>
        <v>#VALUE!</v>
      </c>
      <c r="AL401" s="512">
        <v>8</v>
      </c>
      <c r="AM401" s="516" t="s">
        <v>2282</v>
      </c>
      <c r="AN401" s="529" t="s">
        <v>2444</v>
      </c>
      <c r="AO401" s="508" t="str">
        <f t="shared" ca="1" si="477"/>
        <v>T3部件</v>
      </c>
      <c r="AP401" s="508">
        <v>1</v>
      </c>
      <c r="AQ401" s="633">
        <v>3.0000000000000001E-3</v>
      </c>
      <c r="AR401" s="170" t="e">
        <f t="shared" ca="1" si="468"/>
        <v>#VALUE!</v>
      </c>
      <c r="AS401" s="508" t="e">
        <f t="shared" ca="1" si="469"/>
        <v>#VALUE!</v>
      </c>
      <c r="AU401" s="512">
        <v>8</v>
      </c>
      <c r="AV401" s="516" t="s">
        <v>2258</v>
      </c>
      <c r="AW401" s="529" t="s">
        <v>2452</v>
      </c>
      <c r="AX401" s="508" t="str">
        <f t="shared" ca="1" si="496"/>
        <v>T2部件</v>
      </c>
      <c r="AY401" s="565">
        <v>1.5</v>
      </c>
      <c r="AZ401" s="565">
        <v>6.7999999999999996E-3</v>
      </c>
      <c r="BA401" s="170" t="e">
        <f t="shared" ca="1" si="463"/>
        <v>#VALUE!</v>
      </c>
      <c r="BB401" s="508" t="e">
        <f t="shared" ca="1" si="464"/>
        <v>#VALUE!</v>
      </c>
      <c r="BD401" s="512">
        <v>8</v>
      </c>
      <c r="BE401" s="516" t="s">
        <v>2258</v>
      </c>
      <c r="BF401" s="529" t="s">
        <v>2452</v>
      </c>
      <c r="BG401" s="508" t="str">
        <f t="shared" ca="1" si="497"/>
        <v>T2部件</v>
      </c>
      <c r="BH401" s="508">
        <v>2</v>
      </c>
      <c r="BI401" s="600">
        <v>6.4999999999999997E-3</v>
      </c>
      <c r="BJ401" s="170" t="e">
        <f t="shared" ca="1" si="486"/>
        <v>#VALUE!</v>
      </c>
      <c r="BK401" s="394" t="e">
        <f t="shared" ca="1" si="487"/>
        <v>#VALUE!</v>
      </c>
      <c r="BM401" s="512">
        <v>9</v>
      </c>
      <c r="BN401" s="525" t="s">
        <v>2310</v>
      </c>
      <c r="BO401" s="530" t="s">
        <v>2200</v>
      </c>
      <c r="BP401" s="508" t="e">
        <f t="shared" ca="1" si="474"/>
        <v>#N/A</v>
      </c>
      <c r="BQ401" s="508">
        <v>1</v>
      </c>
      <c r="BR401" s="600">
        <v>1.09E-2</v>
      </c>
      <c r="BS401" s="170" t="e">
        <f t="shared" ca="1" si="491"/>
        <v>#N/A</v>
      </c>
      <c r="BT401" s="523" t="e">
        <f t="shared" ca="1" si="492"/>
        <v>#N/A</v>
      </c>
      <c r="BV401" s="381">
        <v>10</v>
      </c>
      <c r="BW401" s="527" t="s">
        <v>2250</v>
      </c>
      <c r="BX401" s="530" t="s">
        <v>2200</v>
      </c>
      <c r="BY401" s="523">
        <f t="shared" ca="1" si="488"/>
        <v>7.4250000000000007</v>
      </c>
      <c r="BZ401" s="665">
        <v>1.5</v>
      </c>
      <c r="CA401" s="662">
        <v>5.4999999999999997E-3</v>
      </c>
      <c r="CB401" s="170">
        <f t="shared" ca="1" si="489"/>
        <v>2.4691358024691353E-2</v>
      </c>
      <c r="CC401" s="379">
        <f t="shared" ca="1" si="490"/>
        <v>247</v>
      </c>
    </row>
    <row r="402" spans="2:81" x14ac:dyDescent="0.35">
      <c r="B402" s="381">
        <v>9</v>
      </c>
      <c r="C402" s="516" t="s">
        <v>2239</v>
      </c>
      <c r="D402" s="529" t="s">
        <v>2444</v>
      </c>
      <c r="E402" s="508">
        <f t="shared" ca="1" si="480"/>
        <v>8.1</v>
      </c>
      <c r="F402" s="594">
        <v>3</v>
      </c>
      <c r="G402" s="565">
        <v>8.0000000000000002E-3</v>
      </c>
      <c r="H402" s="170">
        <f t="shared" ca="1" si="481"/>
        <v>1.9341563786008233E-2</v>
      </c>
      <c r="I402" s="379">
        <f t="shared" ca="1" si="482"/>
        <v>193</v>
      </c>
      <c r="K402" s="512">
        <v>9</v>
      </c>
      <c r="L402" s="516" t="s">
        <v>2239</v>
      </c>
      <c r="M402" s="529" t="s">
        <v>2444</v>
      </c>
      <c r="N402" s="508">
        <f t="shared" ca="1" si="483"/>
        <v>8.1</v>
      </c>
      <c r="O402" s="565">
        <v>1</v>
      </c>
      <c r="P402" s="633">
        <v>9.5999999999999992E-3</v>
      </c>
      <c r="Q402" s="170">
        <f t="shared" ca="1" si="493"/>
        <v>5.57037037037037E-2</v>
      </c>
      <c r="R402" s="379">
        <f t="shared" ref="R402:R412" ca="1" si="498">ROUND(Q402*10000,0)</f>
        <v>557</v>
      </c>
      <c r="T402" s="512">
        <v>9</v>
      </c>
      <c r="U402" s="516" t="s">
        <v>2239</v>
      </c>
      <c r="V402" s="529" t="s">
        <v>2444</v>
      </c>
      <c r="W402" s="508">
        <f t="shared" ca="1" si="485"/>
        <v>8.1</v>
      </c>
      <c r="X402" s="565">
        <v>1</v>
      </c>
      <c r="Y402" s="594">
        <v>9.5999999999999992E-3</v>
      </c>
      <c r="Z402" s="170">
        <f t="shared" ca="1" si="494"/>
        <v>5.6296296296296296E-2</v>
      </c>
      <c r="AA402" s="408">
        <f t="shared" ca="1" si="495"/>
        <v>563</v>
      </c>
      <c r="AC402" s="512">
        <v>8</v>
      </c>
      <c r="AD402" s="512" t="s">
        <v>2291</v>
      </c>
      <c r="AE402" s="529" t="s">
        <v>2444</v>
      </c>
      <c r="AF402" s="508" t="str">
        <f t="shared" ca="1" si="473"/>
        <v>T3部件</v>
      </c>
      <c r="AG402" s="508">
        <v>1</v>
      </c>
      <c r="AH402" s="633">
        <v>5.0000000000000001E-3</v>
      </c>
      <c r="AI402" s="170" t="e">
        <f t="shared" ca="1" si="455"/>
        <v>#VALUE!</v>
      </c>
      <c r="AJ402" s="508" t="e">
        <f t="shared" ca="1" si="456"/>
        <v>#VALUE!</v>
      </c>
      <c r="AL402" s="512">
        <v>8</v>
      </c>
      <c r="AM402" s="516" t="s">
        <v>2284</v>
      </c>
      <c r="AN402" s="529" t="s">
        <v>2444</v>
      </c>
      <c r="AO402" s="508" t="str">
        <f t="shared" ca="1" si="477"/>
        <v>T3部件</v>
      </c>
      <c r="AP402" s="508">
        <v>1</v>
      </c>
      <c r="AQ402" s="633">
        <v>3.0000000000000001E-3</v>
      </c>
      <c r="AR402" s="170" t="e">
        <f t="shared" ca="1" si="468"/>
        <v>#VALUE!</v>
      </c>
      <c r="AS402" s="508" t="e">
        <f t="shared" ca="1" si="469"/>
        <v>#VALUE!</v>
      </c>
      <c r="AU402" s="512">
        <v>8</v>
      </c>
      <c r="AV402" s="516" t="s">
        <v>2260</v>
      </c>
      <c r="AW402" s="529" t="s">
        <v>2452</v>
      </c>
      <c r="AX402" s="508" t="str">
        <f t="shared" ca="1" si="496"/>
        <v>T2部件</v>
      </c>
      <c r="AY402" s="615">
        <v>1.5</v>
      </c>
      <c r="AZ402" s="625">
        <v>6.7999999999999996E-3</v>
      </c>
      <c r="BA402" s="170" t="e">
        <f t="shared" ca="1" si="463"/>
        <v>#VALUE!</v>
      </c>
      <c r="BB402" s="508" t="e">
        <f t="shared" ca="1" si="464"/>
        <v>#VALUE!</v>
      </c>
      <c r="BD402" s="512">
        <v>8</v>
      </c>
      <c r="BE402" s="516" t="s">
        <v>2260</v>
      </c>
      <c r="BF402" s="529" t="s">
        <v>2452</v>
      </c>
      <c r="BG402" s="508" t="str">
        <f t="shared" ca="1" si="497"/>
        <v>T2部件</v>
      </c>
      <c r="BH402" s="565">
        <v>2</v>
      </c>
      <c r="BI402" s="600">
        <v>6.4999999999999997E-3</v>
      </c>
      <c r="BJ402" s="170" t="e">
        <f t="shared" ca="1" si="486"/>
        <v>#VALUE!</v>
      </c>
      <c r="BK402" s="394" t="e">
        <f t="shared" ca="1" si="487"/>
        <v>#VALUE!</v>
      </c>
      <c r="BV402" s="381">
        <v>10</v>
      </c>
      <c r="BW402" s="527" t="s">
        <v>2252</v>
      </c>
      <c r="BX402" s="530" t="s">
        <v>2200</v>
      </c>
      <c r="BY402" s="523">
        <f t="shared" ca="1" si="488"/>
        <v>7.4250000000000007</v>
      </c>
      <c r="BZ402" s="665">
        <v>1.5</v>
      </c>
      <c r="CA402" s="662">
        <v>5.4999999999999997E-3</v>
      </c>
      <c r="CB402" s="170">
        <f t="shared" ca="1" si="489"/>
        <v>2.4691358024691353E-2</v>
      </c>
      <c r="CC402" s="379">
        <f t="shared" ca="1" si="490"/>
        <v>247</v>
      </c>
    </row>
    <row r="403" spans="2:81" x14ac:dyDescent="0.35">
      <c r="B403" s="381">
        <v>9</v>
      </c>
      <c r="C403" s="516" t="s">
        <v>2242</v>
      </c>
      <c r="D403" s="529" t="s">
        <v>2444</v>
      </c>
      <c r="E403" s="508">
        <f t="shared" ca="1" si="480"/>
        <v>8.1</v>
      </c>
      <c r="F403" s="625">
        <v>3</v>
      </c>
      <c r="G403" s="594">
        <v>8.0000000000000002E-3</v>
      </c>
      <c r="H403" s="170">
        <f t="shared" ca="1" si="481"/>
        <v>1.9341563786008233E-2</v>
      </c>
      <c r="I403" s="379">
        <f t="shared" ca="1" si="482"/>
        <v>193</v>
      </c>
      <c r="K403" s="512">
        <v>9</v>
      </c>
      <c r="L403" s="516" t="s">
        <v>2242</v>
      </c>
      <c r="M403" s="529" t="s">
        <v>2444</v>
      </c>
      <c r="N403" s="508">
        <f t="shared" ca="1" si="483"/>
        <v>8.1</v>
      </c>
      <c r="O403" s="565">
        <v>1</v>
      </c>
      <c r="P403" s="633">
        <v>9.5999999999999992E-3</v>
      </c>
      <c r="Q403" s="170">
        <f t="shared" ca="1" si="493"/>
        <v>5.57037037037037E-2</v>
      </c>
      <c r="R403" s="379">
        <f t="shared" ca="1" si="498"/>
        <v>557</v>
      </c>
      <c r="T403" s="512">
        <v>9</v>
      </c>
      <c r="U403" s="516" t="s">
        <v>2242</v>
      </c>
      <c r="V403" s="529" t="s">
        <v>2444</v>
      </c>
      <c r="W403" s="508">
        <f t="shared" ca="1" si="485"/>
        <v>8.1</v>
      </c>
      <c r="X403" s="565">
        <v>1</v>
      </c>
      <c r="Y403" s="594">
        <v>9.5999999999999992E-3</v>
      </c>
      <c r="Z403" s="170">
        <f t="shared" ca="1" si="494"/>
        <v>5.6296296296296296E-2</v>
      </c>
      <c r="AA403" s="379">
        <f t="shared" ca="1" si="495"/>
        <v>563</v>
      </c>
      <c r="AC403" s="512">
        <v>8</v>
      </c>
      <c r="AD403" s="512" t="s">
        <v>2293</v>
      </c>
      <c r="AE403" s="529" t="s">
        <v>2444</v>
      </c>
      <c r="AF403" s="508" t="str">
        <f t="shared" ca="1" si="473"/>
        <v>T3部件</v>
      </c>
      <c r="AG403" s="508">
        <v>1</v>
      </c>
      <c r="AH403" s="633">
        <v>5.0000000000000001E-3</v>
      </c>
      <c r="AI403" s="170" t="e">
        <f t="shared" ca="1" si="455"/>
        <v>#VALUE!</v>
      </c>
      <c r="AJ403" s="508" t="e">
        <f t="shared" ca="1" si="456"/>
        <v>#VALUE!</v>
      </c>
      <c r="AL403" s="512">
        <v>8</v>
      </c>
      <c r="AM403" s="516" t="s">
        <v>2286</v>
      </c>
      <c r="AN403" s="529" t="s">
        <v>2444</v>
      </c>
      <c r="AO403" s="508" t="str">
        <f t="shared" ca="1" si="477"/>
        <v>T3部件</v>
      </c>
      <c r="AP403" s="508">
        <v>1</v>
      </c>
      <c r="AQ403" s="633">
        <v>3.0000000000000001E-3</v>
      </c>
      <c r="AR403" s="170" t="e">
        <f t="shared" ca="1" si="468"/>
        <v>#VALUE!</v>
      </c>
      <c r="AS403" s="508" t="e">
        <f t="shared" ca="1" si="469"/>
        <v>#VALUE!</v>
      </c>
      <c r="AU403" s="512">
        <v>8</v>
      </c>
      <c r="AV403" s="516" t="s">
        <v>2262</v>
      </c>
      <c r="AW403" s="529" t="s">
        <v>2452</v>
      </c>
      <c r="AX403" s="508" t="str">
        <f t="shared" ca="1" si="496"/>
        <v>T2部件</v>
      </c>
      <c r="AY403" s="615">
        <v>1.5</v>
      </c>
      <c r="AZ403" s="625">
        <v>6.7999999999999996E-3</v>
      </c>
      <c r="BA403" s="170" t="e">
        <f t="shared" ca="1" si="463"/>
        <v>#VALUE!</v>
      </c>
      <c r="BB403" s="508" t="e">
        <f t="shared" ca="1" si="464"/>
        <v>#VALUE!</v>
      </c>
      <c r="BD403" s="512">
        <v>8</v>
      </c>
      <c r="BE403" s="516" t="s">
        <v>2262</v>
      </c>
      <c r="BF403" s="529" t="s">
        <v>2452</v>
      </c>
      <c r="BG403" s="508" t="str">
        <f t="shared" ca="1" si="497"/>
        <v>T2部件</v>
      </c>
      <c r="BH403" s="565">
        <v>2</v>
      </c>
      <c r="BI403" s="600">
        <v>6.4999999999999997E-3</v>
      </c>
      <c r="BJ403" s="170" t="e">
        <f t="shared" ca="1" si="486"/>
        <v>#VALUE!</v>
      </c>
      <c r="BK403" s="394" t="e">
        <f t="shared" ca="1" si="487"/>
        <v>#VALUE!</v>
      </c>
      <c r="BV403" s="381">
        <v>10</v>
      </c>
      <c r="BW403" s="525" t="s">
        <v>2254</v>
      </c>
      <c r="BX403" s="530" t="s">
        <v>2200</v>
      </c>
      <c r="BY403" s="523">
        <f t="shared" ca="1" si="488"/>
        <v>7.4250000000000007</v>
      </c>
      <c r="BZ403" s="665">
        <v>1.5</v>
      </c>
      <c r="CA403" s="662">
        <v>5.4999999999999997E-3</v>
      </c>
      <c r="CB403" s="170">
        <f t="shared" ca="1" si="489"/>
        <v>2.4691358024691353E-2</v>
      </c>
      <c r="CC403" s="379">
        <f t="shared" ca="1" si="490"/>
        <v>247</v>
      </c>
    </row>
    <row r="404" spans="2:81" x14ac:dyDescent="0.35">
      <c r="B404" s="381">
        <v>9</v>
      </c>
      <c r="C404" s="516" t="s">
        <v>2244</v>
      </c>
      <c r="D404" s="529" t="s">
        <v>2444</v>
      </c>
      <c r="E404" s="508">
        <f t="shared" ca="1" si="480"/>
        <v>8.1</v>
      </c>
      <c r="F404" s="625">
        <v>3</v>
      </c>
      <c r="G404" s="594">
        <v>8.0000000000000002E-3</v>
      </c>
      <c r="H404" s="170">
        <f t="shared" ca="1" si="481"/>
        <v>1.9341563786008233E-2</v>
      </c>
      <c r="I404" s="379">
        <f t="shared" ca="1" si="482"/>
        <v>193</v>
      </c>
      <c r="K404" s="512">
        <v>9</v>
      </c>
      <c r="L404" s="516" t="s">
        <v>2244</v>
      </c>
      <c r="M404" s="529" t="s">
        <v>2444</v>
      </c>
      <c r="N404" s="508">
        <f t="shared" ca="1" si="483"/>
        <v>8.1</v>
      </c>
      <c r="O404" s="565">
        <v>1</v>
      </c>
      <c r="P404" s="633">
        <v>9.5999999999999992E-3</v>
      </c>
      <c r="Q404" s="170">
        <f t="shared" ref="Q404:Q412" ca="1" si="499">P404*L$4/N404/O404</f>
        <v>5.57037037037037E-2</v>
      </c>
      <c r="R404" s="379">
        <f t="shared" ca="1" si="498"/>
        <v>557</v>
      </c>
      <c r="T404" s="512">
        <v>9</v>
      </c>
      <c r="U404" s="516" t="s">
        <v>2244</v>
      </c>
      <c r="V404" s="529" t="s">
        <v>2444</v>
      </c>
      <c r="W404" s="508">
        <f t="shared" ca="1" si="485"/>
        <v>8.1</v>
      </c>
      <c r="X404" s="565">
        <v>1</v>
      </c>
      <c r="Y404" s="594">
        <v>9.5999999999999992E-3</v>
      </c>
      <c r="Z404" s="170">
        <f t="shared" ref="Z404:Z412" ca="1" si="500">Y404*U$4/W404/X404</f>
        <v>5.6296296296296296E-2</v>
      </c>
      <c r="AA404" s="379">
        <f t="shared" ref="AA404:AA412" ca="1" si="501">ROUND(Z404*10000,0)</f>
        <v>563</v>
      </c>
      <c r="AC404" s="595">
        <v>8</v>
      </c>
      <c r="AD404" s="601" t="s">
        <v>2878</v>
      </c>
      <c r="AE404" s="601" t="s">
        <v>2879</v>
      </c>
      <c r="AF404" s="594">
        <f t="shared" ca="1" si="473"/>
        <v>35</v>
      </c>
      <c r="AG404" s="594">
        <v>1</v>
      </c>
      <c r="AH404" s="633">
        <v>1.7999999999999999E-2</v>
      </c>
      <c r="AI404" s="170">
        <f ca="1">AH404*AD$4/AF404/AG404</f>
        <v>3.2914285714285708E-2</v>
      </c>
      <c r="AJ404" s="594">
        <f ca="1">ROUND(AI404*10000,0)</f>
        <v>329</v>
      </c>
      <c r="AL404" s="512">
        <v>8</v>
      </c>
      <c r="AM404" s="516" t="s">
        <v>2288</v>
      </c>
      <c r="AN404" s="529" t="s">
        <v>2444</v>
      </c>
      <c r="AO404" s="508" t="str">
        <f t="shared" ca="1" si="477"/>
        <v>T3部件</v>
      </c>
      <c r="AP404" s="508">
        <v>1</v>
      </c>
      <c r="AQ404" s="633">
        <v>3.0000000000000001E-3</v>
      </c>
      <c r="AR404" s="170" t="e">
        <f t="shared" ca="1" si="468"/>
        <v>#VALUE!</v>
      </c>
      <c r="AS404" s="508" t="e">
        <f t="shared" ca="1" si="469"/>
        <v>#VALUE!</v>
      </c>
      <c r="AU404" s="512">
        <v>8</v>
      </c>
      <c r="AV404" s="516" t="s">
        <v>2264</v>
      </c>
      <c r="AW404" s="529" t="s">
        <v>2452</v>
      </c>
      <c r="AX404" s="508" t="str">
        <f t="shared" ca="1" si="496"/>
        <v>T2部件</v>
      </c>
      <c r="AY404" s="615">
        <v>1.5</v>
      </c>
      <c r="AZ404" s="625">
        <v>6.7999999999999996E-3</v>
      </c>
      <c r="BA404" s="170" t="e">
        <f t="shared" ca="1" si="463"/>
        <v>#VALUE!</v>
      </c>
      <c r="BB404" s="508" t="e">
        <f t="shared" ca="1" si="464"/>
        <v>#VALUE!</v>
      </c>
      <c r="BD404" s="512">
        <v>8</v>
      </c>
      <c r="BE404" s="516" t="s">
        <v>2264</v>
      </c>
      <c r="BF404" s="529" t="s">
        <v>2452</v>
      </c>
      <c r="BG404" s="508" t="str">
        <f t="shared" ca="1" si="497"/>
        <v>T2部件</v>
      </c>
      <c r="BH404" s="565">
        <v>2</v>
      </c>
      <c r="BI404" s="600">
        <v>6.4999999999999997E-3</v>
      </c>
      <c r="BJ404" s="170" t="e">
        <f t="shared" ca="1" si="486"/>
        <v>#VALUE!</v>
      </c>
      <c r="BK404" s="394" t="e">
        <f t="shared" ca="1" si="487"/>
        <v>#VALUE!</v>
      </c>
      <c r="BM404" s="512" t="s">
        <v>597</v>
      </c>
      <c r="BN404" s="525" t="s">
        <v>1225</v>
      </c>
      <c r="BO404" s="526" t="s">
        <v>917</v>
      </c>
      <c r="BP404" s="166" t="s">
        <v>920</v>
      </c>
      <c r="BQ404" s="518" t="s">
        <v>967</v>
      </c>
      <c r="BR404" s="166" t="s">
        <v>854</v>
      </c>
      <c r="BS404" s="166" t="s">
        <v>926</v>
      </c>
      <c r="BT404" s="514" t="s">
        <v>927</v>
      </c>
      <c r="BU404" s="300" t="e">
        <f ca="1">SUM(BT405:BT476)</f>
        <v>#VALUE!</v>
      </c>
      <c r="BV404" s="381">
        <v>10</v>
      </c>
      <c r="BW404" s="525" t="s">
        <v>2256</v>
      </c>
      <c r="BX404" s="530" t="s">
        <v>2200</v>
      </c>
      <c r="BY404" s="523">
        <f t="shared" ca="1" si="488"/>
        <v>7.4250000000000007</v>
      </c>
      <c r="BZ404" s="665">
        <v>1.5</v>
      </c>
      <c r="CA404" s="662">
        <v>5.4999999999999997E-3</v>
      </c>
      <c r="CB404" s="170">
        <f t="shared" ca="1" si="489"/>
        <v>2.4691358024691353E-2</v>
      </c>
      <c r="CC404" s="379">
        <f t="shared" ca="1" si="490"/>
        <v>247</v>
      </c>
    </row>
    <row r="405" spans="2:81" x14ac:dyDescent="0.35">
      <c r="B405" s="381">
        <v>9</v>
      </c>
      <c r="C405" s="516" t="s">
        <v>2246</v>
      </c>
      <c r="D405" s="529" t="s">
        <v>2444</v>
      </c>
      <c r="E405" s="508">
        <f t="shared" ca="1" si="480"/>
        <v>8.1</v>
      </c>
      <c r="F405" s="625">
        <v>3</v>
      </c>
      <c r="G405" s="594">
        <v>8.0000000000000002E-3</v>
      </c>
      <c r="H405" s="170">
        <f t="shared" ca="1" si="481"/>
        <v>1.9341563786008233E-2</v>
      </c>
      <c r="I405" s="379">
        <f t="shared" ca="1" si="482"/>
        <v>193</v>
      </c>
      <c r="K405" s="512">
        <v>9</v>
      </c>
      <c r="L405" s="516" t="s">
        <v>2246</v>
      </c>
      <c r="M405" s="529" t="s">
        <v>2444</v>
      </c>
      <c r="N405" s="508">
        <f t="shared" ca="1" si="483"/>
        <v>8.1</v>
      </c>
      <c r="O405" s="565">
        <v>1</v>
      </c>
      <c r="P405" s="633">
        <v>9.5999999999999992E-3</v>
      </c>
      <c r="Q405" s="170">
        <f t="shared" ca="1" si="499"/>
        <v>5.57037037037037E-2</v>
      </c>
      <c r="R405" s="379">
        <f t="shared" ca="1" si="498"/>
        <v>557</v>
      </c>
      <c r="T405" s="512">
        <v>9</v>
      </c>
      <c r="U405" s="516" t="s">
        <v>2246</v>
      </c>
      <c r="V405" s="529" t="s">
        <v>2444</v>
      </c>
      <c r="W405" s="508">
        <f t="shared" ca="1" si="485"/>
        <v>8.1</v>
      </c>
      <c r="X405" s="565">
        <v>1</v>
      </c>
      <c r="Y405" s="594">
        <v>9.5999999999999992E-3</v>
      </c>
      <c r="Z405" s="170">
        <f t="shared" ca="1" si="500"/>
        <v>5.6296296296296296E-2</v>
      </c>
      <c r="AA405" s="379">
        <f t="shared" ca="1" si="501"/>
        <v>563</v>
      </c>
      <c r="AC405" s="595">
        <v>8</v>
      </c>
      <c r="AD405" s="601" t="s">
        <v>2880</v>
      </c>
      <c r="AE405" s="601" t="s">
        <v>2879</v>
      </c>
      <c r="AF405" s="594">
        <f t="shared" ca="1" si="473"/>
        <v>60</v>
      </c>
      <c r="AG405" s="594">
        <v>1</v>
      </c>
      <c r="AH405" s="633">
        <v>1.9E-2</v>
      </c>
      <c r="AI405" s="170">
        <f ca="1">AH405*AD$4/AF405/AG405</f>
        <v>2.0266666666666665E-2</v>
      </c>
      <c r="AJ405" s="594">
        <f ca="1">ROUND(AI405*10000,0)</f>
        <v>203</v>
      </c>
      <c r="AL405" s="512">
        <v>8</v>
      </c>
      <c r="AM405" s="512" t="s">
        <v>2290</v>
      </c>
      <c r="AN405" s="529" t="s">
        <v>2444</v>
      </c>
      <c r="AO405" s="508" t="str">
        <f t="shared" ca="1" si="477"/>
        <v>T3部件</v>
      </c>
      <c r="AP405" s="508">
        <v>1</v>
      </c>
      <c r="AQ405" s="633">
        <v>3.0000000000000001E-3</v>
      </c>
      <c r="AR405" s="170" t="e">
        <f t="shared" ca="1" si="468"/>
        <v>#VALUE!</v>
      </c>
      <c r="AS405" s="508" t="e">
        <f t="shared" ca="1" si="469"/>
        <v>#VALUE!</v>
      </c>
      <c r="AU405" s="512">
        <v>8</v>
      </c>
      <c r="AV405" s="516" t="s">
        <v>2266</v>
      </c>
      <c r="AW405" s="529" t="s">
        <v>2452</v>
      </c>
      <c r="AX405" s="508" t="str">
        <f t="shared" ca="1" si="496"/>
        <v>T2部件</v>
      </c>
      <c r="AY405" s="615">
        <v>1.5</v>
      </c>
      <c r="AZ405" s="625">
        <v>6.7999999999999996E-3</v>
      </c>
      <c r="BA405" s="170" t="e">
        <f t="shared" ca="1" si="463"/>
        <v>#VALUE!</v>
      </c>
      <c r="BB405" s="508" t="e">
        <f t="shared" ca="1" si="464"/>
        <v>#VALUE!</v>
      </c>
      <c r="BD405" s="512">
        <v>8</v>
      </c>
      <c r="BE405" s="516" t="s">
        <v>2266</v>
      </c>
      <c r="BF405" s="529" t="s">
        <v>2452</v>
      </c>
      <c r="BG405" s="508" t="str">
        <f t="shared" ca="1" si="497"/>
        <v>T2部件</v>
      </c>
      <c r="BH405" s="565">
        <v>2</v>
      </c>
      <c r="BI405" s="600">
        <v>6.4999999999999997E-3</v>
      </c>
      <c r="BJ405" s="170" t="e">
        <f t="shared" ref="BJ405:BJ436" ca="1" si="502">BI405*BE$4/BG405/BH405</f>
        <v>#VALUE!</v>
      </c>
      <c r="BK405" s="508" t="e">
        <f t="shared" ref="BK405:BK436" ca="1" si="503">ROUND(BJ405*10000,0)</f>
        <v>#VALUE!</v>
      </c>
      <c r="BM405" s="512">
        <v>10</v>
      </c>
      <c r="BN405" s="527" t="s">
        <v>620</v>
      </c>
      <c r="BO405" s="295" t="s">
        <v>918</v>
      </c>
      <c r="BP405" s="508">
        <f t="shared" ref="BP405:BP436" ca="1" si="504">IF(BO405="部件",VLOOKUP(BM405,INDIRECT(BO405&amp;"价值"),MATCH(LEFT(BN405,2)&amp;"部件",INDIRECT(BO405&amp;"价值标头"),0),FALSE),IF(BO405="加速道具",VLOOKUP(BN405,INDIRECT(BO405&amp;"价值"),MATCH("价格",INDIRECT(BO405&amp;"价值标头"),0),FALSE),VLOOKUP(BM405,INDIRECT(BO405&amp;"价值"),MATCH(BN405,INDIRECT(BO405&amp;"价值标头"),0),FALSE)))</f>
        <v>4600</v>
      </c>
      <c r="BQ405" s="508">
        <v>1</v>
      </c>
      <c r="BR405" s="523">
        <f>宝箱设定!$P209</f>
        <v>4.9333333333333326E-2</v>
      </c>
      <c r="BS405" s="170">
        <f t="shared" ref="BS405:BS460" ca="1" si="505">BR405*BN$4/BP405/BQ405</f>
        <v>3.5391304347826081E-3</v>
      </c>
      <c r="BT405" s="508">
        <f t="shared" ref="BT405:BT460" ca="1" si="506">ROUND(BS405*10000,0)</f>
        <v>35</v>
      </c>
      <c r="BV405" s="381">
        <v>10</v>
      </c>
      <c r="BW405" s="527" t="s">
        <v>2241</v>
      </c>
      <c r="BX405" s="530" t="s">
        <v>2200</v>
      </c>
      <c r="BY405" s="523">
        <f t="shared" ca="1" si="488"/>
        <v>7.4250000000000007</v>
      </c>
      <c r="BZ405" s="665">
        <v>1.5</v>
      </c>
      <c r="CA405" s="662">
        <v>5.4999999999999997E-3</v>
      </c>
      <c r="CB405" s="170">
        <f t="shared" ca="1" si="489"/>
        <v>2.4691358024691353E-2</v>
      </c>
      <c r="CC405" s="379">
        <f t="shared" ca="1" si="490"/>
        <v>247</v>
      </c>
    </row>
    <row r="406" spans="2:81" x14ac:dyDescent="0.35">
      <c r="B406" s="381">
        <v>9</v>
      </c>
      <c r="C406" s="516" t="s">
        <v>2248</v>
      </c>
      <c r="D406" s="529" t="s">
        <v>2444</v>
      </c>
      <c r="E406" s="508">
        <f t="shared" ca="1" si="480"/>
        <v>8.1</v>
      </c>
      <c r="F406" s="625">
        <v>3</v>
      </c>
      <c r="G406" s="594">
        <v>8.0000000000000002E-3</v>
      </c>
      <c r="H406" s="170">
        <f t="shared" ca="1" si="481"/>
        <v>1.9341563786008233E-2</v>
      </c>
      <c r="I406" s="379">
        <f t="shared" ca="1" si="482"/>
        <v>193</v>
      </c>
      <c r="K406" s="512">
        <v>9</v>
      </c>
      <c r="L406" s="516" t="s">
        <v>2248</v>
      </c>
      <c r="M406" s="529" t="s">
        <v>2444</v>
      </c>
      <c r="N406" s="508">
        <f t="shared" ca="1" si="483"/>
        <v>8.1</v>
      </c>
      <c r="O406" s="565">
        <v>1</v>
      </c>
      <c r="P406" s="633">
        <v>9.5999999999999992E-3</v>
      </c>
      <c r="Q406" s="170">
        <f t="shared" ca="1" si="499"/>
        <v>5.57037037037037E-2</v>
      </c>
      <c r="R406" s="379">
        <f t="shared" ca="1" si="498"/>
        <v>557</v>
      </c>
      <c r="T406" s="512">
        <v>9</v>
      </c>
      <c r="U406" s="516" t="s">
        <v>2248</v>
      </c>
      <c r="V406" s="529" t="s">
        <v>2444</v>
      </c>
      <c r="W406" s="508">
        <f t="shared" ca="1" si="485"/>
        <v>8.1</v>
      </c>
      <c r="X406" s="565">
        <v>1</v>
      </c>
      <c r="Y406" s="594">
        <v>9.5999999999999992E-3</v>
      </c>
      <c r="Z406" s="170">
        <f t="shared" ca="1" si="500"/>
        <v>5.6296296296296296E-2</v>
      </c>
      <c r="AA406" s="379">
        <f t="shared" ca="1" si="501"/>
        <v>563</v>
      </c>
      <c r="AL406" s="512">
        <v>8</v>
      </c>
      <c r="AM406" s="512" t="s">
        <v>2292</v>
      </c>
      <c r="AN406" s="529" t="s">
        <v>2444</v>
      </c>
      <c r="AO406" s="508" t="str">
        <f t="shared" ca="1" si="477"/>
        <v>T3部件</v>
      </c>
      <c r="AP406" s="508">
        <v>1</v>
      </c>
      <c r="AQ406" s="633">
        <v>3.0000000000000001E-3</v>
      </c>
      <c r="AR406" s="170" t="e">
        <f t="shared" ca="1" si="468"/>
        <v>#VALUE!</v>
      </c>
      <c r="AS406" s="508" t="e">
        <f t="shared" ca="1" si="469"/>
        <v>#VALUE!</v>
      </c>
      <c r="AU406" s="512">
        <v>8</v>
      </c>
      <c r="AV406" s="516" t="s">
        <v>2268</v>
      </c>
      <c r="AW406" s="529" t="s">
        <v>2452</v>
      </c>
      <c r="AX406" s="508" t="str">
        <f t="shared" ca="1" si="496"/>
        <v>T2部件</v>
      </c>
      <c r="AY406" s="615">
        <v>1.5</v>
      </c>
      <c r="AZ406" s="625">
        <v>6.7999999999999996E-3</v>
      </c>
      <c r="BA406" s="170" t="e">
        <f t="shared" ca="1" si="463"/>
        <v>#VALUE!</v>
      </c>
      <c r="BB406" s="508" t="e">
        <f t="shared" ca="1" si="464"/>
        <v>#VALUE!</v>
      </c>
      <c r="BD406" s="512">
        <v>8</v>
      </c>
      <c r="BE406" s="516" t="s">
        <v>2268</v>
      </c>
      <c r="BF406" s="529" t="s">
        <v>2452</v>
      </c>
      <c r="BG406" s="508" t="str">
        <f t="shared" ca="1" si="497"/>
        <v>T2部件</v>
      </c>
      <c r="BH406" s="565">
        <v>2</v>
      </c>
      <c r="BI406" s="600">
        <v>6.4999999999999997E-3</v>
      </c>
      <c r="BJ406" s="170" t="e">
        <f t="shared" ca="1" si="502"/>
        <v>#VALUE!</v>
      </c>
      <c r="BK406" s="508" t="e">
        <f t="shared" ca="1" si="503"/>
        <v>#VALUE!</v>
      </c>
      <c r="BM406" s="512">
        <v>10</v>
      </c>
      <c r="BN406" s="527" t="s">
        <v>719</v>
      </c>
      <c r="BO406" s="295" t="s">
        <v>918</v>
      </c>
      <c r="BP406" s="508">
        <f t="shared" ca="1" si="504"/>
        <v>4600</v>
      </c>
      <c r="BQ406" s="508">
        <v>1</v>
      </c>
      <c r="BR406" s="523">
        <f>宝箱设定!$P210</f>
        <v>4.9333333333333326E-2</v>
      </c>
      <c r="BS406" s="170">
        <f t="shared" ca="1" si="505"/>
        <v>3.5391304347826081E-3</v>
      </c>
      <c r="BT406" s="508">
        <f t="shared" ca="1" si="506"/>
        <v>35</v>
      </c>
      <c r="BV406" s="381">
        <v>10</v>
      </c>
      <c r="BW406" s="527" t="s">
        <v>2243</v>
      </c>
      <c r="BX406" s="530" t="s">
        <v>2200</v>
      </c>
      <c r="BY406" s="523">
        <f t="shared" ca="1" si="488"/>
        <v>7.4250000000000007</v>
      </c>
      <c r="BZ406" s="665">
        <v>1.5</v>
      </c>
      <c r="CA406" s="662">
        <v>5.4999999999999997E-3</v>
      </c>
      <c r="CB406" s="170">
        <f t="shared" ca="1" si="489"/>
        <v>2.4691358024691353E-2</v>
      </c>
      <c r="CC406" s="379">
        <f t="shared" ca="1" si="490"/>
        <v>247</v>
      </c>
    </row>
    <row r="407" spans="2:81" x14ac:dyDescent="0.35">
      <c r="B407" s="381">
        <v>9</v>
      </c>
      <c r="C407" s="516" t="s">
        <v>2250</v>
      </c>
      <c r="D407" s="529" t="s">
        <v>2444</v>
      </c>
      <c r="E407" s="508">
        <f t="shared" ca="1" si="480"/>
        <v>8.1</v>
      </c>
      <c r="F407" s="625">
        <v>3</v>
      </c>
      <c r="G407" s="594">
        <v>8.0000000000000002E-3</v>
      </c>
      <c r="H407" s="170">
        <f t="shared" ca="1" si="481"/>
        <v>1.9341563786008233E-2</v>
      </c>
      <c r="I407" s="379">
        <f t="shared" ca="1" si="482"/>
        <v>193</v>
      </c>
      <c r="K407" s="512">
        <v>9</v>
      </c>
      <c r="L407" s="516" t="s">
        <v>2250</v>
      </c>
      <c r="M407" s="529" t="s">
        <v>2444</v>
      </c>
      <c r="N407" s="508">
        <f t="shared" ca="1" si="483"/>
        <v>8.1</v>
      </c>
      <c r="O407" s="565">
        <v>1</v>
      </c>
      <c r="P407" s="633">
        <v>9.5999999999999992E-3</v>
      </c>
      <c r="Q407" s="170">
        <f t="shared" ca="1" si="499"/>
        <v>5.57037037037037E-2</v>
      </c>
      <c r="R407" s="379">
        <f t="shared" ca="1" si="498"/>
        <v>557</v>
      </c>
      <c r="T407" s="512">
        <v>9</v>
      </c>
      <c r="U407" s="516" t="s">
        <v>2250</v>
      </c>
      <c r="V407" s="529" t="s">
        <v>2444</v>
      </c>
      <c r="W407" s="508">
        <f t="shared" ca="1" si="485"/>
        <v>8.1</v>
      </c>
      <c r="X407" s="565">
        <v>1</v>
      </c>
      <c r="Y407" s="594">
        <v>9.5999999999999992E-3</v>
      </c>
      <c r="Z407" s="170">
        <f t="shared" ca="1" si="500"/>
        <v>5.6296296296296296E-2</v>
      </c>
      <c r="AA407" s="379">
        <f t="shared" ca="1" si="501"/>
        <v>563</v>
      </c>
      <c r="AL407" s="512">
        <v>8</v>
      </c>
      <c r="AM407" s="516" t="s">
        <v>2277</v>
      </c>
      <c r="AN407" s="529" t="s">
        <v>2444</v>
      </c>
      <c r="AO407" s="508" t="str">
        <f t="shared" ca="1" si="477"/>
        <v>T3部件</v>
      </c>
      <c r="AP407" s="508">
        <v>1</v>
      </c>
      <c r="AQ407" s="633">
        <v>3.0000000000000001E-3</v>
      </c>
      <c r="AR407" s="170" t="e">
        <f t="shared" ca="1" si="468"/>
        <v>#VALUE!</v>
      </c>
      <c r="AS407" s="508" t="e">
        <f t="shared" ca="1" si="469"/>
        <v>#VALUE!</v>
      </c>
      <c r="AU407" s="512">
        <v>8</v>
      </c>
      <c r="AV407" s="516" t="s">
        <v>2270</v>
      </c>
      <c r="AW407" s="529" t="s">
        <v>2452</v>
      </c>
      <c r="AX407" s="508" t="str">
        <f t="shared" ca="1" si="496"/>
        <v>T2部件</v>
      </c>
      <c r="AY407" s="615">
        <v>1.5</v>
      </c>
      <c r="AZ407" s="625">
        <v>6.7999999999999996E-3</v>
      </c>
      <c r="BA407" s="170" t="e">
        <f t="shared" ca="1" si="463"/>
        <v>#VALUE!</v>
      </c>
      <c r="BB407" s="508" t="e">
        <f t="shared" ca="1" si="464"/>
        <v>#VALUE!</v>
      </c>
      <c r="BD407" s="512">
        <v>8</v>
      </c>
      <c r="BE407" s="516" t="s">
        <v>2270</v>
      </c>
      <c r="BF407" s="529" t="s">
        <v>2452</v>
      </c>
      <c r="BG407" s="508" t="str">
        <f t="shared" ca="1" si="497"/>
        <v>T2部件</v>
      </c>
      <c r="BH407" s="565">
        <v>2</v>
      </c>
      <c r="BI407" s="600">
        <v>6.4999999999999997E-3</v>
      </c>
      <c r="BJ407" s="170" t="e">
        <f t="shared" ca="1" si="502"/>
        <v>#VALUE!</v>
      </c>
      <c r="BK407" s="508" t="e">
        <f t="shared" ca="1" si="503"/>
        <v>#VALUE!</v>
      </c>
      <c r="BM407" s="512">
        <v>10</v>
      </c>
      <c r="BN407" s="527" t="s">
        <v>635</v>
      </c>
      <c r="BO407" s="295" t="s">
        <v>918</v>
      </c>
      <c r="BP407" s="508">
        <f t="shared" ca="1" si="504"/>
        <v>4600</v>
      </c>
      <c r="BQ407" s="508">
        <v>1</v>
      </c>
      <c r="BR407" s="523">
        <f>宝箱设定!$P211</f>
        <v>4.9333333333333326E-2</v>
      </c>
      <c r="BS407" s="170">
        <f t="shared" ca="1" si="505"/>
        <v>3.5391304347826081E-3</v>
      </c>
      <c r="BT407" s="508">
        <f t="shared" ca="1" si="506"/>
        <v>35</v>
      </c>
      <c r="BV407" s="381">
        <v>10</v>
      </c>
      <c r="BW407" s="527" t="s">
        <v>2245</v>
      </c>
      <c r="BX407" s="530" t="s">
        <v>2200</v>
      </c>
      <c r="BY407" s="523">
        <f t="shared" ca="1" si="488"/>
        <v>7.4250000000000007</v>
      </c>
      <c r="BZ407" s="665">
        <v>1.5</v>
      </c>
      <c r="CA407" s="662">
        <v>5.4999999999999997E-3</v>
      </c>
      <c r="CB407" s="170">
        <f t="shared" ca="1" si="489"/>
        <v>2.4691358024691353E-2</v>
      </c>
      <c r="CC407" s="379">
        <f t="shared" ca="1" si="490"/>
        <v>247</v>
      </c>
    </row>
    <row r="408" spans="2:81" x14ac:dyDescent="0.35">
      <c r="B408" s="512">
        <v>9</v>
      </c>
      <c r="C408" s="516" t="s">
        <v>2252</v>
      </c>
      <c r="D408" s="529" t="s">
        <v>2444</v>
      </c>
      <c r="E408" s="508">
        <f t="shared" ca="1" si="480"/>
        <v>8.1</v>
      </c>
      <c r="F408" s="625">
        <v>3</v>
      </c>
      <c r="G408" s="594">
        <v>8.0000000000000002E-3</v>
      </c>
      <c r="H408" s="170">
        <f t="shared" ca="1" si="481"/>
        <v>1.9341563786008233E-2</v>
      </c>
      <c r="I408" s="508">
        <f t="shared" ca="1" si="482"/>
        <v>193</v>
      </c>
      <c r="K408" s="512">
        <v>9</v>
      </c>
      <c r="L408" s="516" t="s">
        <v>2252</v>
      </c>
      <c r="M408" s="529" t="s">
        <v>2444</v>
      </c>
      <c r="N408" s="508">
        <f t="shared" ca="1" si="483"/>
        <v>8.1</v>
      </c>
      <c r="O408" s="565">
        <v>1</v>
      </c>
      <c r="P408" s="633">
        <v>9.5999999999999992E-3</v>
      </c>
      <c r="Q408" s="170">
        <f t="shared" ca="1" si="499"/>
        <v>5.57037037037037E-2</v>
      </c>
      <c r="R408" s="379">
        <f t="shared" ca="1" si="498"/>
        <v>557</v>
      </c>
      <c r="T408" s="512">
        <v>9</v>
      </c>
      <c r="U408" s="516" t="s">
        <v>2252</v>
      </c>
      <c r="V408" s="529" t="s">
        <v>2444</v>
      </c>
      <c r="W408" s="508">
        <f t="shared" ca="1" si="485"/>
        <v>8.1</v>
      </c>
      <c r="X408" s="565">
        <v>1</v>
      </c>
      <c r="Y408" s="594">
        <v>9.5999999999999992E-3</v>
      </c>
      <c r="Z408" s="170">
        <f t="shared" ca="1" si="500"/>
        <v>5.6296296296296296E-2</v>
      </c>
      <c r="AA408" s="379">
        <f t="shared" ca="1" si="501"/>
        <v>563</v>
      </c>
      <c r="AC408" s="512" t="s">
        <v>597</v>
      </c>
      <c r="AD408" s="512" t="s">
        <v>1225</v>
      </c>
      <c r="AE408" s="513" t="s">
        <v>917</v>
      </c>
      <c r="AF408" s="166" t="s">
        <v>920</v>
      </c>
      <c r="AG408" s="398" t="s">
        <v>967</v>
      </c>
      <c r="AH408" s="166" t="s">
        <v>854</v>
      </c>
      <c r="AI408" s="166" t="s">
        <v>926</v>
      </c>
      <c r="AJ408" s="383" t="s">
        <v>927</v>
      </c>
      <c r="AK408" s="300" t="e">
        <f ca="1">SUM(AJ409:AJ480)</f>
        <v>#VALUE!</v>
      </c>
      <c r="AL408" s="512">
        <v>8</v>
      </c>
      <c r="AM408" s="516" t="s">
        <v>2279</v>
      </c>
      <c r="AN408" s="529" t="s">
        <v>2444</v>
      </c>
      <c r="AO408" s="508" t="str">
        <f t="shared" ca="1" si="477"/>
        <v>T3部件</v>
      </c>
      <c r="AP408" s="508">
        <v>1</v>
      </c>
      <c r="AQ408" s="633">
        <v>3.0000000000000001E-3</v>
      </c>
      <c r="AR408" s="170" t="e">
        <f t="shared" ca="1" si="468"/>
        <v>#VALUE!</v>
      </c>
      <c r="AS408" s="508" t="e">
        <f t="shared" ca="1" si="469"/>
        <v>#VALUE!</v>
      </c>
      <c r="AU408" s="512">
        <v>8</v>
      </c>
      <c r="AV408" s="512" t="s">
        <v>2272</v>
      </c>
      <c r="AW408" s="529" t="s">
        <v>2452</v>
      </c>
      <c r="AX408" s="508" t="str">
        <f t="shared" ca="1" si="496"/>
        <v>T2部件</v>
      </c>
      <c r="AY408" s="615">
        <v>1.5</v>
      </c>
      <c r="AZ408" s="625">
        <v>6.7999999999999996E-3</v>
      </c>
      <c r="BA408" s="170" t="e">
        <f t="shared" ca="1" si="463"/>
        <v>#VALUE!</v>
      </c>
      <c r="BB408" s="508" t="e">
        <f t="shared" ca="1" si="464"/>
        <v>#VALUE!</v>
      </c>
      <c r="BD408" s="512">
        <v>8</v>
      </c>
      <c r="BE408" s="512" t="s">
        <v>2272</v>
      </c>
      <c r="BF408" s="529" t="s">
        <v>2452</v>
      </c>
      <c r="BG408" s="508" t="str">
        <f t="shared" ca="1" si="497"/>
        <v>T2部件</v>
      </c>
      <c r="BH408" s="565">
        <v>2</v>
      </c>
      <c r="BI408" s="600">
        <v>6.4999999999999997E-3</v>
      </c>
      <c r="BJ408" s="170" t="e">
        <f t="shared" ca="1" si="502"/>
        <v>#VALUE!</v>
      </c>
      <c r="BK408" s="508" t="e">
        <f t="shared" ca="1" si="503"/>
        <v>#VALUE!</v>
      </c>
      <c r="BM408" s="512">
        <v>10</v>
      </c>
      <c r="BN408" s="527" t="s">
        <v>720</v>
      </c>
      <c r="BO408" s="295" t="s">
        <v>918</v>
      </c>
      <c r="BP408" s="508">
        <f t="shared" ca="1" si="504"/>
        <v>5750</v>
      </c>
      <c r="BQ408" s="508">
        <v>1</v>
      </c>
      <c r="BR408" s="523">
        <f>宝箱设定!$P212</f>
        <v>4.9333333333333326E-2</v>
      </c>
      <c r="BS408" s="170">
        <f t="shared" ca="1" si="505"/>
        <v>2.8313043478260867E-3</v>
      </c>
      <c r="BT408" s="508">
        <f t="shared" ca="1" si="506"/>
        <v>28</v>
      </c>
      <c r="BV408" s="381">
        <v>10</v>
      </c>
      <c r="BW408" s="527" t="s">
        <v>2247</v>
      </c>
      <c r="BX408" s="530" t="s">
        <v>2200</v>
      </c>
      <c r="BY408" s="523">
        <f t="shared" ca="1" si="488"/>
        <v>7.4250000000000007</v>
      </c>
      <c r="BZ408" s="665">
        <v>1.5</v>
      </c>
      <c r="CA408" s="662">
        <v>5.4999999999999997E-3</v>
      </c>
      <c r="CB408" s="170">
        <f t="shared" ca="1" si="489"/>
        <v>2.4691358024691353E-2</v>
      </c>
      <c r="CC408" s="379">
        <f t="shared" ca="1" si="490"/>
        <v>247</v>
      </c>
    </row>
    <row r="409" spans="2:81" x14ac:dyDescent="0.35">
      <c r="B409" s="512">
        <v>9</v>
      </c>
      <c r="C409" s="512" t="s">
        <v>2254</v>
      </c>
      <c r="D409" s="529" t="s">
        <v>2444</v>
      </c>
      <c r="E409" s="508">
        <f t="shared" ca="1" si="480"/>
        <v>8.1</v>
      </c>
      <c r="F409" s="625">
        <v>3</v>
      </c>
      <c r="G409" s="594">
        <v>8.0000000000000002E-3</v>
      </c>
      <c r="H409" s="170">
        <f t="shared" ca="1" si="481"/>
        <v>1.9341563786008233E-2</v>
      </c>
      <c r="I409" s="508">
        <f t="shared" ca="1" si="482"/>
        <v>193</v>
      </c>
      <c r="K409" s="512">
        <v>9</v>
      </c>
      <c r="L409" s="512" t="s">
        <v>2254</v>
      </c>
      <c r="M409" s="529" t="s">
        <v>2444</v>
      </c>
      <c r="N409" s="508">
        <f t="shared" ca="1" si="483"/>
        <v>8.1</v>
      </c>
      <c r="O409" s="565">
        <v>1</v>
      </c>
      <c r="P409" s="633">
        <v>9.5999999999999992E-3</v>
      </c>
      <c r="Q409" s="170">
        <f t="shared" ca="1" si="499"/>
        <v>5.57037037037037E-2</v>
      </c>
      <c r="R409" s="379">
        <f t="shared" ca="1" si="498"/>
        <v>557</v>
      </c>
      <c r="T409" s="512">
        <v>9</v>
      </c>
      <c r="U409" s="512" t="s">
        <v>2254</v>
      </c>
      <c r="V409" s="529" t="s">
        <v>2444</v>
      </c>
      <c r="W409" s="508">
        <f t="shared" ca="1" si="485"/>
        <v>8.1</v>
      </c>
      <c r="X409" s="565">
        <v>1</v>
      </c>
      <c r="Y409" s="594">
        <v>9.5999999999999992E-3</v>
      </c>
      <c r="Z409" s="170">
        <f t="shared" ca="1" si="500"/>
        <v>5.6296296296296296E-2</v>
      </c>
      <c r="AA409" s="379">
        <f t="shared" ca="1" si="501"/>
        <v>563</v>
      </c>
      <c r="AC409" s="512">
        <v>9</v>
      </c>
      <c r="AD409" s="516" t="s">
        <v>620</v>
      </c>
      <c r="AE409" s="512" t="s">
        <v>1211</v>
      </c>
      <c r="AF409" s="508">
        <f t="shared" ref="AF409:AF440" ca="1" si="507">IF(AE409="部件",VLOOKUP(AC409,INDIRECT(AE409&amp;"价值"),MATCH(LEFT(AD409,2)&amp;"部件",INDIRECT(AE409&amp;"价值标头"),0),FALSE),IF(AE409="加速道具",VLOOKUP(AD409,INDIRECT(AE409&amp;"价值"),MATCH("价格",INDIRECT(AE409&amp;"价值标头"),0),FALSE),VLOOKUP(AC409,INDIRECT(AE409&amp;"价值"),MATCH(AD409,INDIRECT(AE409&amp;"价值标头"),0),FALSE)))</f>
        <v>96</v>
      </c>
      <c r="AG409" s="394">
        <v>1</v>
      </c>
      <c r="AH409" s="508">
        <f>宝箱设定!$X154</f>
        <v>7.2999999999999995E-2</v>
      </c>
      <c r="AI409" s="170">
        <f ca="1">AH409*AD$4/AF409/AG409</f>
        <v>4.8666666666666664E-2</v>
      </c>
      <c r="AJ409" s="379">
        <f ca="1">ROUND(AI409*10000,0)</f>
        <v>487</v>
      </c>
      <c r="AL409" s="512">
        <v>8</v>
      </c>
      <c r="AM409" s="516" t="s">
        <v>2281</v>
      </c>
      <c r="AN409" s="529" t="s">
        <v>2444</v>
      </c>
      <c r="AO409" s="508" t="str">
        <f t="shared" ca="1" si="477"/>
        <v>T3部件</v>
      </c>
      <c r="AP409" s="508">
        <v>1</v>
      </c>
      <c r="AQ409" s="633">
        <v>3.0000000000000001E-3</v>
      </c>
      <c r="AR409" s="170" t="e">
        <f t="shared" ca="1" si="468"/>
        <v>#VALUE!</v>
      </c>
      <c r="AS409" s="508" t="e">
        <f t="shared" ca="1" si="469"/>
        <v>#VALUE!</v>
      </c>
      <c r="AU409" s="512">
        <v>8</v>
      </c>
      <c r="AV409" s="512" t="s">
        <v>2274</v>
      </c>
      <c r="AW409" s="529" t="s">
        <v>2452</v>
      </c>
      <c r="AX409" s="508" t="str">
        <f t="shared" ca="1" si="496"/>
        <v>T2部件</v>
      </c>
      <c r="AY409" s="615">
        <v>1.5</v>
      </c>
      <c r="AZ409" s="625">
        <v>6.7999999999999996E-3</v>
      </c>
      <c r="BA409" s="170" t="e">
        <f t="shared" ca="1" si="463"/>
        <v>#VALUE!</v>
      </c>
      <c r="BB409" s="508" t="e">
        <f t="shared" ca="1" si="464"/>
        <v>#VALUE!</v>
      </c>
      <c r="BD409" s="512">
        <v>8</v>
      </c>
      <c r="BE409" s="512" t="s">
        <v>2274</v>
      </c>
      <c r="BF409" s="529" t="s">
        <v>2452</v>
      </c>
      <c r="BG409" s="508" t="str">
        <f t="shared" ca="1" si="497"/>
        <v>T2部件</v>
      </c>
      <c r="BH409" s="565">
        <v>2</v>
      </c>
      <c r="BI409" s="600">
        <v>6.4999999999999997E-3</v>
      </c>
      <c r="BJ409" s="170" t="e">
        <f t="shared" ca="1" si="502"/>
        <v>#VALUE!</v>
      </c>
      <c r="BK409" s="508" t="e">
        <f t="shared" ca="1" si="503"/>
        <v>#VALUE!</v>
      </c>
      <c r="BM409" s="512">
        <v>10</v>
      </c>
      <c r="BN409" s="527" t="s">
        <v>629</v>
      </c>
      <c r="BO409" s="295" t="s">
        <v>918</v>
      </c>
      <c r="BP409" s="508">
        <f t="shared" ca="1" si="504"/>
        <v>5750</v>
      </c>
      <c r="BQ409" s="508">
        <v>1</v>
      </c>
      <c r="BR409" s="523">
        <f>宝箱设定!$P213</f>
        <v>4.9333333333333326E-2</v>
      </c>
      <c r="BS409" s="170">
        <f t="shared" ca="1" si="505"/>
        <v>2.8313043478260867E-3</v>
      </c>
      <c r="BT409" s="508">
        <f t="shared" ca="1" si="506"/>
        <v>28</v>
      </c>
      <c r="BV409" s="381">
        <v>10</v>
      </c>
      <c r="BW409" s="527" t="s">
        <v>2249</v>
      </c>
      <c r="BX409" s="530" t="s">
        <v>2200</v>
      </c>
      <c r="BY409" s="523">
        <f t="shared" ca="1" si="488"/>
        <v>7.4250000000000007</v>
      </c>
      <c r="BZ409" s="665">
        <v>1.5</v>
      </c>
      <c r="CA409" s="662">
        <v>5.4999999999999997E-3</v>
      </c>
      <c r="CB409" s="170">
        <f t="shared" ca="1" si="489"/>
        <v>2.4691358024691353E-2</v>
      </c>
      <c r="CC409" s="379">
        <f t="shared" ca="1" si="490"/>
        <v>247</v>
      </c>
    </row>
    <row r="410" spans="2:81" x14ac:dyDescent="0.35">
      <c r="B410" s="512">
        <v>9</v>
      </c>
      <c r="C410" s="512" t="s">
        <v>2256</v>
      </c>
      <c r="D410" s="529" t="s">
        <v>2444</v>
      </c>
      <c r="E410" s="508">
        <f t="shared" ca="1" si="480"/>
        <v>8.1</v>
      </c>
      <c r="F410" s="625">
        <v>3</v>
      </c>
      <c r="G410" s="594">
        <v>8.0000000000000002E-3</v>
      </c>
      <c r="H410" s="170">
        <f t="shared" ca="1" si="481"/>
        <v>1.9341563786008233E-2</v>
      </c>
      <c r="I410" s="508">
        <f t="shared" ca="1" si="482"/>
        <v>193</v>
      </c>
      <c r="K410" s="512">
        <v>9</v>
      </c>
      <c r="L410" s="512" t="s">
        <v>2256</v>
      </c>
      <c r="M410" s="529" t="s">
        <v>2444</v>
      </c>
      <c r="N410" s="508">
        <f t="shared" ca="1" si="483"/>
        <v>8.1</v>
      </c>
      <c r="O410" s="565">
        <v>1</v>
      </c>
      <c r="P410" s="633">
        <v>9.5999999999999992E-3</v>
      </c>
      <c r="Q410" s="170">
        <f t="shared" ca="1" si="499"/>
        <v>5.57037037037037E-2</v>
      </c>
      <c r="R410" s="394">
        <f t="shared" ca="1" si="498"/>
        <v>557</v>
      </c>
      <c r="T410" s="512">
        <v>9</v>
      </c>
      <c r="U410" s="512" t="s">
        <v>2256</v>
      </c>
      <c r="V410" s="529" t="s">
        <v>2444</v>
      </c>
      <c r="W410" s="508">
        <f t="shared" ca="1" si="485"/>
        <v>8.1</v>
      </c>
      <c r="X410" s="565">
        <v>1</v>
      </c>
      <c r="Y410" s="594">
        <v>9.5999999999999992E-3</v>
      </c>
      <c r="Z410" s="170">
        <f t="shared" ca="1" si="500"/>
        <v>5.6296296296296296E-2</v>
      </c>
      <c r="AA410" s="394">
        <f t="shared" ca="1" si="501"/>
        <v>563</v>
      </c>
      <c r="AC410" s="512">
        <v>9</v>
      </c>
      <c r="AD410" s="516" t="s">
        <v>719</v>
      </c>
      <c r="AE410" s="512" t="s">
        <v>1211</v>
      </c>
      <c r="AF410" s="508">
        <f t="shared" ca="1" si="507"/>
        <v>96</v>
      </c>
      <c r="AG410" s="565">
        <v>1</v>
      </c>
      <c r="AH410" s="508">
        <f>宝箱设定!$X155</f>
        <v>7.2999999999999995E-2</v>
      </c>
      <c r="AI410" s="170">
        <f ca="1">AH410*AD$4/AF410/AG410</f>
        <v>4.8666666666666664E-2</v>
      </c>
      <c r="AJ410" s="379">
        <f ca="1">ROUND(AI410*10000,0)</f>
        <v>487</v>
      </c>
      <c r="AL410" s="512">
        <v>8</v>
      </c>
      <c r="AM410" s="516" t="s">
        <v>2283</v>
      </c>
      <c r="AN410" s="529" t="s">
        <v>2444</v>
      </c>
      <c r="AO410" s="508" t="str">
        <f t="shared" ca="1" si="477"/>
        <v>T3部件</v>
      </c>
      <c r="AP410" s="508">
        <v>1</v>
      </c>
      <c r="AQ410" s="633">
        <v>3.0000000000000001E-3</v>
      </c>
      <c r="AR410" s="170" t="e">
        <f t="shared" ca="1" si="468"/>
        <v>#VALUE!</v>
      </c>
      <c r="AS410" s="508" t="e">
        <f t="shared" ca="1" si="469"/>
        <v>#VALUE!</v>
      </c>
      <c r="AU410" s="512">
        <v>8</v>
      </c>
      <c r="AV410" s="516" t="s">
        <v>2259</v>
      </c>
      <c r="AW410" s="529" t="s">
        <v>2452</v>
      </c>
      <c r="AX410" s="508" t="str">
        <f t="shared" ca="1" si="496"/>
        <v>T2部件</v>
      </c>
      <c r="AY410" s="615">
        <v>1.5</v>
      </c>
      <c r="AZ410" s="625">
        <v>6.7999999999999996E-3</v>
      </c>
      <c r="BA410" s="170" t="e">
        <f t="shared" ca="1" si="463"/>
        <v>#VALUE!</v>
      </c>
      <c r="BB410" s="508" t="e">
        <f t="shared" ca="1" si="464"/>
        <v>#VALUE!</v>
      </c>
      <c r="BD410" s="512">
        <v>8</v>
      </c>
      <c r="BE410" s="516" t="s">
        <v>2259</v>
      </c>
      <c r="BF410" s="529" t="s">
        <v>2452</v>
      </c>
      <c r="BG410" s="508" t="str">
        <f t="shared" ca="1" si="497"/>
        <v>T2部件</v>
      </c>
      <c r="BH410" s="565">
        <v>2</v>
      </c>
      <c r="BI410" s="600">
        <v>6.4999999999999997E-3</v>
      </c>
      <c r="BJ410" s="170" t="e">
        <f t="shared" ca="1" si="502"/>
        <v>#VALUE!</v>
      </c>
      <c r="BK410" s="508" t="e">
        <f t="shared" ca="1" si="503"/>
        <v>#VALUE!</v>
      </c>
      <c r="BM410" s="512">
        <v>10</v>
      </c>
      <c r="BN410" s="527" t="s">
        <v>717</v>
      </c>
      <c r="BO410" s="295" t="s">
        <v>918</v>
      </c>
      <c r="BP410" s="508">
        <f t="shared" ca="1" si="504"/>
        <v>5750</v>
      </c>
      <c r="BQ410" s="508">
        <v>1</v>
      </c>
      <c r="BR410" s="523">
        <f>宝箱设定!$P214</f>
        <v>4.9333333333333326E-2</v>
      </c>
      <c r="BS410" s="170">
        <f t="shared" ca="1" si="505"/>
        <v>2.8313043478260867E-3</v>
      </c>
      <c r="BT410" s="508">
        <f t="shared" ca="1" si="506"/>
        <v>28</v>
      </c>
      <c r="BV410" s="381">
        <v>10</v>
      </c>
      <c r="BW410" s="527" t="s">
        <v>2251</v>
      </c>
      <c r="BX410" s="530" t="s">
        <v>2200</v>
      </c>
      <c r="BY410" s="523">
        <f t="shared" ca="1" si="488"/>
        <v>7.4250000000000007</v>
      </c>
      <c r="BZ410" s="665">
        <v>1.5</v>
      </c>
      <c r="CA410" s="662">
        <v>5.4999999999999997E-3</v>
      </c>
      <c r="CB410" s="170">
        <f t="shared" ca="1" si="489"/>
        <v>2.4691358024691353E-2</v>
      </c>
      <c r="CC410" s="379">
        <f t="shared" ca="1" si="490"/>
        <v>247</v>
      </c>
    </row>
    <row r="411" spans="2:81" x14ac:dyDescent="0.35">
      <c r="B411" s="512">
        <v>9</v>
      </c>
      <c r="C411" s="516" t="s">
        <v>2241</v>
      </c>
      <c r="D411" s="529" t="s">
        <v>2444</v>
      </c>
      <c r="E411" s="508">
        <f t="shared" ca="1" si="480"/>
        <v>8.1</v>
      </c>
      <c r="F411" s="625">
        <v>3</v>
      </c>
      <c r="G411" s="594">
        <v>8.0000000000000002E-3</v>
      </c>
      <c r="H411" s="170">
        <f t="shared" ca="1" si="481"/>
        <v>1.9341563786008233E-2</v>
      </c>
      <c r="I411" s="508">
        <f t="shared" ca="1" si="482"/>
        <v>193</v>
      </c>
      <c r="K411" s="512">
        <v>9</v>
      </c>
      <c r="L411" s="516" t="s">
        <v>2241</v>
      </c>
      <c r="M411" s="529" t="s">
        <v>2444</v>
      </c>
      <c r="N411" s="508">
        <f t="shared" ca="1" si="483"/>
        <v>8.1</v>
      </c>
      <c r="O411" s="565">
        <v>1</v>
      </c>
      <c r="P411" s="633">
        <v>9.5999999999999992E-3</v>
      </c>
      <c r="Q411" s="170">
        <f t="shared" ca="1" si="499"/>
        <v>5.57037037037037E-2</v>
      </c>
      <c r="R411" s="394">
        <f t="shared" ca="1" si="498"/>
        <v>557</v>
      </c>
      <c r="T411" s="512">
        <v>9</v>
      </c>
      <c r="U411" s="516" t="s">
        <v>2241</v>
      </c>
      <c r="V411" s="529" t="s">
        <v>2444</v>
      </c>
      <c r="W411" s="508">
        <f t="shared" ca="1" si="485"/>
        <v>8.1</v>
      </c>
      <c r="X411" s="565">
        <v>1</v>
      </c>
      <c r="Y411" s="594">
        <v>9.5999999999999992E-3</v>
      </c>
      <c r="Z411" s="170">
        <f t="shared" ca="1" si="500"/>
        <v>5.6296296296296296E-2</v>
      </c>
      <c r="AA411" s="394">
        <f t="shared" ca="1" si="501"/>
        <v>563</v>
      </c>
      <c r="AC411" s="512">
        <v>9</v>
      </c>
      <c r="AD411" s="516" t="s">
        <v>635</v>
      </c>
      <c r="AE411" s="512" t="s">
        <v>1211</v>
      </c>
      <c r="AF411" s="508">
        <f t="shared" ca="1" si="507"/>
        <v>96</v>
      </c>
      <c r="AG411" s="565">
        <v>1</v>
      </c>
      <c r="AH411" s="508">
        <f>宝箱设定!$X156</f>
        <v>7.2999999999999995E-2</v>
      </c>
      <c r="AI411" s="170">
        <f ca="1">AH411*AD$4/AF411/AG411</f>
        <v>4.8666666666666664E-2</v>
      </c>
      <c r="AJ411" s="379">
        <f ca="1">ROUND(AI411*10000,0)</f>
        <v>487</v>
      </c>
      <c r="AL411" s="512">
        <v>8</v>
      </c>
      <c r="AM411" s="516" t="s">
        <v>2285</v>
      </c>
      <c r="AN411" s="529" t="s">
        <v>2444</v>
      </c>
      <c r="AO411" s="508" t="str">
        <f t="shared" ca="1" si="477"/>
        <v>T3部件</v>
      </c>
      <c r="AP411" s="508">
        <v>1</v>
      </c>
      <c r="AQ411" s="633">
        <v>3.0000000000000001E-3</v>
      </c>
      <c r="AR411" s="170" t="e">
        <f t="shared" ca="1" si="468"/>
        <v>#VALUE!</v>
      </c>
      <c r="AS411" s="508" t="e">
        <f t="shared" ca="1" si="469"/>
        <v>#VALUE!</v>
      </c>
      <c r="AU411" s="512">
        <v>8</v>
      </c>
      <c r="AV411" s="516" t="s">
        <v>2261</v>
      </c>
      <c r="AW411" s="529" t="s">
        <v>2452</v>
      </c>
      <c r="AX411" s="508" t="str">
        <f t="shared" ca="1" si="496"/>
        <v>T2部件</v>
      </c>
      <c r="AY411" s="615">
        <v>1.5</v>
      </c>
      <c r="AZ411" s="625">
        <v>6.7999999999999996E-3</v>
      </c>
      <c r="BA411" s="170" t="e">
        <f t="shared" ca="1" si="463"/>
        <v>#VALUE!</v>
      </c>
      <c r="BB411" s="508" t="e">
        <f t="shared" ca="1" si="464"/>
        <v>#VALUE!</v>
      </c>
      <c r="BD411" s="512">
        <v>8</v>
      </c>
      <c r="BE411" s="516" t="s">
        <v>2261</v>
      </c>
      <c r="BF411" s="529" t="s">
        <v>2452</v>
      </c>
      <c r="BG411" s="508" t="str">
        <f t="shared" ca="1" si="497"/>
        <v>T2部件</v>
      </c>
      <c r="BH411" s="565">
        <v>2</v>
      </c>
      <c r="BI411" s="600">
        <v>6.4999999999999997E-3</v>
      </c>
      <c r="BJ411" s="170" t="e">
        <f t="shared" ca="1" si="502"/>
        <v>#VALUE!</v>
      </c>
      <c r="BK411" s="508" t="e">
        <f t="shared" ca="1" si="503"/>
        <v>#VALUE!</v>
      </c>
      <c r="BM411" s="512">
        <v>10</v>
      </c>
      <c r="BN411" s="527" t="s">
        <v>621</v>
      </c>
      <c r="BO411" s="295" t="s">
        <v>918</v>
      </c>
      <c r="BP411" s="508">
        <f t="shared" ca="1" si="504"/>
        <v>7130</v>
      </c>
      <c r="BQ411" s="508">
        <v>1</v>
      </c>
      <c r="BR411" s="523">
        <f>宝箱设定!$P215</f>
        <v>4.9333333333333326E-2</v>
      </c>
      <c r="BS411" s="170">
        <f t="shared" ca="1" si="505"/>
        <v>2.2833099579242632E-3</v>
      </c>
      <c r="BT411" s="508">
        <f t="shared" ca="1" si="506"/>
        <v>23</v>
      </c>
      <c r="BV411" s="381">
        <v>10</v>
      </c>
      <c r="BW411" s="527" t="s">
        <v>2253</v>
      </c>
      <c r="BX411" s="530" t="s">
        <v>2200</v>
      </c>
      <c r="BY411" s="523">
        <f t="shared" ca="1" si="488"/>
        <v>7.4250000000000007</v>
      </c>
      <c r="BZ411" s="665">
        <v>1.5</v>
      </c>
      <c r="CA411" s="662">
        <v>5.4999999999999997E-3</v>
      </c>
      <c r="CB411" s="170">
        <f t="shared" ca="1" si="489"/>
        <v>2.4691358024691353E-2</v>
      </c>
      <c r="CC411" s="379">
        <f t="shared" ca="1" si="490"/>
        <v>247</v>
      </c>
    </row>
    <row r="412" spans="2:81" x14ac:dyDescent="0.35">
      <c r="B412" s="512">
        <v>9</v>
      </c>
      <c r="C412" s="516" t="s">
        <v>2243</v>
      </c>
      <c r="D412" s="529" t="s">
        <v>2444</v>
      </c>
      <c r="E412" s="508">
        <f t="shared" ca="1" si="480"/>
        <v>8.1</v>
      </c>
      <c r="F412" s="625">
        <v>3</v>
      </c>
      <c r="G412" s="594">
        <v>8.0000000000000002E-3</v>
      </c>
      <c r="H412" s="170">
        <f t="shared" ca="1" si="481"/>
        <v>1.9341563786008233E-2</v>
      </c>
      <c r="I412" s="508">
        <f t="shared" ca="1" si="482"/>
        <v>193</v>
      </c>
      <c r="K412" s="512">
        <v>9</v>
      </c>
      <c r="L412" s="516" t="s">
        <v>2243</v>
      </c>
      <c r="M412" s="529" t="s">
        <v>2444</v>
      </c>
      <c r="N412" s="508">
        <f t="shared" ca="1" si="483"/>
        <v>8.1</v>
      </c>
      <c r="O412" s="565">
        <v>1</v>
      </c>
      <c r="P412" s="633">
        <v>9.5999999999999992E-3</v>
      </c>
      <c r="Q412" s="170">
        <f t="shared" ca="1" si="499"/>
        <v>5.57037037037037E-2</v>
      </c>
      <c r="R412" s="394">
        <f t="shared" ca="1" si="498"/>
        <v>557</v>
      </c>
      <c r="T412" s="512">
        <v>9</v>
      </c>
      <c r="U412" s="516" t="s">
        <v>2243</v>
      </c>
      <c r="V412" s="529" t="s">
        <v>2444</v>
      </c>
      <c r="W412" s="508">
        <f t="shared" ca="1" si="485"/>
        <v>8.1</v>
      </c>
      <c r="X412" s="565">
        <v>1</v>
      </c>
      <c r="Y412" s="594">
        <v>9.5999999999999992E-3</v>
      </c>
      <c r="Z412" s="170">
        <f t="shared" ca="1" si="500"/>
        <v>5.6296296296296296E-2</v>
      </c>
      <c r="AA412" s="394">
        <f t="shared" ca="1" si="501"/>
        <v>563</v>
      </c>
      <c r="AC412" s="512">
        <v>9</v>
      </c>
      <c r="AD412" s="516" t="s">
        <v>717</v>
      </c>
      <c r="AE412" s="512" t="s">
        <v>1211</v>
      </c>
      <c r="AF412" s="508">
        <f t="shared" ca="1" si="507"/>
        <v>120</v>
      </c>
      <c r="AG412" s="408">
        <v>1</v>
      </c>
      <c r="AH412" s="508">
        <f>宝箱设定!$X157</f>
        <v>7.2999999999999995E-2</v>
      </c>
      <c r="AI412" s="170">
        <f t="shared" ref="AI412:AI417" ca="1" si="508">AH412*AD$4/AF412/AG412</f>
        <v>3.8933333333333334E-2</v>
      </c>
      <c r="AJ412" s="408">
        <f t="shared" ref="AJ412:AJ417" ca="1" si="509">ROUND(AI412*10000,0)</f>
        <v>389</v>
      </c>
      <c r="AL412" s="512">
        <v>8</v>
      </c>
      <c r="AM412" s="516" t="s">
        <v>2287</v>
      </c>
      <c r="AN412" s="529" t="s">
        <v>2444</v>
      </c>
      <c r="AO412" s="508" t="str">
        <f t="shared" ca="1" si="477"/>
        <v>T3部件</v>
      </c>
      <c r="AP412" s="508">
        <v>1</v>
      </c>
      <c r="AQ412" s="633">
        <v>3.0000000000000001E-3</v>
      </c>
      <c r="AR412" s="170" t="e">
        <f t="shared" ca="1" si="468"/>
        <v>#VALUE!</v>
      </c>
      <c r="AS412" s="508" t="e">
        <f t="shared" ca="1" si="469"/>
        <v>#VALUE!</v>
      </c>
      <c r="AU412" s="512">
        <v>8</v>
      </c>
      <c r="AV412" s="516" t="s">
        <v>2263</v>
      </c>
      <c r="AW412" s="529" t="s">
        <v>2452</v>
      </c>
      <c r="AX412" s="508" t="str">
        <f t="shared" ca="1" si="496"/>
        <v>T2部件</v>
      </c>
      <c r="AY412" s="615">
        <v>1.5</v>
      </c>
      <c r="AZ412" s="625">
        <v>6.7000000000000002E-3</v>
      </c>
      <c r="BA412" s="170" t="e">
        <f t="shared" ca="1" si="463"/>
        <v>#VALUE!</v>
      </c>
      <c r="BB412" s="508" t="e">
        <f t="shared" ca="1" si="464"/>
        <v>#VALUE!</v>
      </c>
      <c r="BD412" s="512">
        <v>8</v>
      </c>
      <c r="BE412" s="516" t="s">
        <v>2263</v>
      </c>
      <c r="BF412" s="529" t="s">
        <v>2452</v>
      </c>
      <c r="BG412" s="508" t="str">
        <f t="shared" ca="1" si="497"/>
        <v>T2部件</v>
      </c>
      <c r="BH412" s="565">
        <v>2</v>
      </c>
      <c r="BI412" s="600">
        <v>6.4999999999999997E-3</v>
      </c>
      <c r="BJ412" s="170" t="e">
        <f t="shared" ca="1" si="502"/>
        <v>#VALUE!</v>
      </c>
      <c r="BK412" s="508" t="e">
        <f t="shared" ca="1" si="503"/>
        <v>#VALUE!</v>
      </c>
      <c r="BM412" s="512">
        <v>10</v>
      </c>
      <c r="BN412" s="527" t="s">
        <v>634</v>
      </c>
      <c r="BO412" s="295" t="s">
        <v>918</v>
      </c>
      <c r="BP412" s="508">
        <f t="shared" ca="1" si="504"/>
        <v>7130</v>
      </c>
      <c r="BQ412" s="508">
        <v>1</v>
      </c>
      <c r="BR412" s="523">
        <f>宝箱设定!$P216</f>
        <v>4.9333333333333326E-2</v>
      </c>
      <c r="BS412" s="170">
        <f t="shared" ca="1" si="505"/>
        <v>2.2833099579242632E-3</v>
      </c>
      <c r="BT412" s="508">
        <f t="shared" ca="1" si="506"/>
        <v>23</v>
      </c>
      <c r="BV412" s="381">
        <v>10</v>
      </c>
      <c r="BW412" s="525" t="s">
        <v>2255</v>
      </c>
      <c r="BX412" s="530" t="s">
        <v>2200</v>
      </c>
      <c r="BY412" s="523">
        <f t="shared" ca="1" si="488"/>
        <v>7.4250000000000007</v>
      </c>
      <c r="BZ412" s="665">
        <v>1.5</v>
      </c>
      <c r="CA412" s="662">
        <v>5.4999999999999997E-3</v>
      </c>
      <c r="CB412" s="170">
        <f t="shared" ca="1" si="489"/>
        <v>2.4691358024691353E-2</v>
      </c>
      <c r="CC412" s="379">
        <f t="shared" ca="1" si="490"/>
        <v>247</v>
      </c>
    </row>
    <row r="413" spans="2:81" x14ac:dyDescent="0.35">
      <c r="B413" s="512">
        <v>9</v>
      </c>
      <c r="C413" s="516" t="s">
        <v>2245</v>
      </c>
      <c r="D413" s="529" t="s">
        <v>2444</v>
      </c>
      <c r="E413" s="508">
        <f t="shared" ca="1" si="480"/>
        <v>8.1</v>
      </c>
      <c r="F413" s="625">
        <v>3</v>
      </c>
      <c r="G413" s="594">
        <v>8.0000000000000002E-3</v>
      </c>
      <c r="H413" s="170">
        <f t="shared" ca="1" si="481"/>
        <v>1.9341563786008233E-2</v>
      </c>
      <c r="I413" s="508">
        <f t="shared" ca="1" si="482"/>
        <v>193</v>
      </c>
      <c r="K413" s="512">
        <v>9</v>
      </c>
      <c r="L413" s="516" t="s">
        <v>2245</v>
      </c>
      <c r="M413" s="529" t="s">
        <v>2444</v>
      </c>
      <c r="N413" s="508">
        <f t="shared" ca="1" si="483"/>
        <v>8.1</v>
      </c>
      <c r="O413" s="565">
        <v>1</v>
      </c>
      <c r="P413" s="633">
        <v>9.5999999999999992E-3</v>
      </c>
      <c r="Q413" s="170">
        <f t="shared" ref="Q413:Q464" ca="1" si="510">P413*L$4/N413/O413</f>
        <v>5.57037037037037E-2</v>
      </c>
      <c r="R413" s="508">
        <f t="shared" ref="R413:R464" ca="1" si="511">ROUND(Q413*10000,0)</f>
        <v>557</v>
      </c>
      <c r="T413" s="512">
        <v>9</v>
      </c>
      <c r="U413" s="516" t="s">
        <v>2245</v>
      </c>
      <c r="V413" s="529" t="s">
        <v>2444</v>
      </c>
      <c r="W413" s="508">
        <f t="shared" ca="1" si="485"/>
        <v>8.1</v>
      </c>
      <c r="X413" s="565">
        <v>1</v>
      </c>
      <c r="Y413" s="594">
        <v>9.5999999999999992E-3</v>
      </c>
      <c r="Z413" s="170">
        <f t="shared" ref="Z413:Z464" ca="1" si="512">Y413*U$4/W413/X413</f>
        <v>5.6296296296296296E-2</v>
      </c>
      <c r="AA413" s="508">
        <f t="shared" ref="AA413:AA464" ca="1" si="513">ROUND(Z413*10000,0)</f>
        <v>563</v>
      </c>
      <c r="AC413" s="512">
        <v>9</v>
      </c>
      <c r="AD413" s="516" t="s">
        <v>720</v>
      </c>
      <c r="AE413" s="512" t="s">
        <v>1211</v>
      </c>
      <c r="AF413" s="508">
        <f t="shared" ca="1" si="507"/>
        <v>120</v>
      </c>
      <c r="AG413" s="408">
        <v>1</v>
      </c>
      <c r="AH413" s="508">
        <f>宝箱设定!$X158</f>
        <v>7.2999999999999995E-2</v>
      </c>
      <c r="AI413" s="170">
        <f t="shared" ca="1" si="508"/>
        <v>3.8933333333333334E-2</v>
      </c>
      <c r="AJ413" s="408">
        <f t="shared" ca="1" si="509"/>
        <v>389</v>
      </c>
      <c r="AL413" s="512">
        <v>8</v>
      </c>
      <c r="AM413" s="516" t="s">
        <v>2289</v>
      </c>
      <c r="AN413" s="529" t="s">
        <v>2444</v>
      </c>
      <c r="AO413" s="508" t="str">
        <f t="shared" ca="1" si="477"/>
        <v>T3部件</v>
      </c>
      <c r="AP413" s="508">
        <v>1</v>
      </c>
      <c r="AQ413" s="633">
        <v>3.0000000000000001E-3</v>
      </c>
      <c r="AR413" s="170" t="e">
        <f t="shared" ca="1" si="468"/>
        <v>#VALUE!</v>
      </c>
      <c r="AS413" s="508" t="e">
        <f t="shared" ca="1" si="469"/>
        <v>#VALUE!</v>
      </c>
      <c r="AU413" s="512">
        <v>8</v>
      </c>
      <c r="AV413" s="516" t="s">
        <v>2265</v>
      </c>
      <c r="AW413" s="529" t="s">
        <v>2452</v>
      </c>
      <c r="AX413" s="508" t="str">
        <f t="shared" ca="1" si="496"/>
        <v>T2部件</v>
      </c>
      <c r="AY413" s="615">
        <v>1.5</v>
      </c>
      <c r="AZ413" s="625">
        <v>6.7000000000000002E-3</v>
      </c>
      <c r="BA413" s="170" t="e">
        <f t="shared" ca="1" si="463"/>
        <v>#VALUE!</v>
      </c>
      <c r="BB413" s="508" t="e">
        <f t="shared" ca="1" si="464"/>
        <v>#VALUE!</v>
      </c>
      <c r="BD413" s="512">
        <v>8</v>
      </c>
      <c r="BE413" s="516" t="s">
        <v>2265</v>
      </c>
      <c r="BF413" s="529" t="s">
        <v>2452</v>
      </c>
      <c r="BG413" s="508" t="str">
        <f t="shared" ca="1" si="497"/>
        <v>T2部件</v>
      </c>
      <c r="BH413" s="565">
        <v>2</v>
      </c>
      <c r="BI413" s="600">
        <v>6.4999999999999997E-3</v>
      </c>
      <c r="BJ413" s="170" t="e">
        <f t="shared" ca="1" si="502"/>
        <v>#VALUE!</v>
      </c>
      <c r="BK413" s="508" t="e">
        <f t="shared" ca="1" si="503"/>
        <v>#VALUE!</v>
      </c>
      <c r="BM413" s="512">
        <v>10</v>
      </c>
      <c r="BN413" s="527" t="s">
        <v>722</v>
      </c>
      <c r="BO413" s="295" t="s">
        <v>918</v>
      </c>
      <c r="BP413" s="508">
        <f t="shared" ca="1" si="504"/>
        <v>7130</v>
      </c>
      <c r="BQ413" s="508">
        <v>1</v>
      </c>
      <c r="BR413" s="523">
        <f>宝箱设定!$P217</f>
        <v>4.9333333333333326E-2</v>
      </c>
      <c r="BS413" s="170">
        <f t="shared" ca="1" si="505"/>
        <v>2.2833099579242632E-3</v>
      </c>
      <c r="BT413" s="508">
        <f t="shared" ca="1" si="506"/>
        <v>23</v>
      </c>
      <c r="BV413" s="381">
        <v>10</v>
      </c>
      <c r="BW413" s="525" t="s">
        <v>2257</v>
      </c>
      <c r="BX413" s="530" t="s">
        <v>2200</v>
      </c>
      <c r="BY413" s="523">
        <f t="shared" ca="1" si="488"/>
        <v>7.4250000000000007</v>
      </c>
      <c r="BZ413" s="665">
        <v>1.5</v>
      </c>
      <c r="CA413" s="662">
        <v>5.4999999999999997E-3</v>
      </c>
      <c r="CB413" s="170">
        <f t="shared" ca="1" si="489"/>
        <v>2.4691358024691353E-2</v>
      </c>
      <c r="CC413" s="379">
        <f t="shared" ca="1" si="490"/>
        <v>247</v>
      </c>
    </row>
    <row r="414" spans="2:81" x14ac:dyDescent="0.35">
      <c r="B414" s="512">
        <v>9</v>
      </c>
      <c r="C414" s="516" t="s">
        <v>2247</v>
      </c>
      <c r="D414" s="529" t="s">
        <v>2444</v>
      </c>
      <c r="E414" s="508">
        <f t="shared" ca="1" si="480"/>
        <v>8.1</v>
      </c>
      <c r="F414" s="625">
        <v>3</v>
      </c>
      <c r="G414" s="594">
        <v>8.0000000000000002E-3</v>
      </c>
      <c r="H414" s="170">
        <f t="shared" ca="1" si="481"/>
        <v>1.9341563786008233E-2</v>
      </c>
      <c r="I414" s="508">
        <f t="shared" ca="1" si="482"/>
        <v>193</v>
      </c>
      <c r="K414" s="512">
        <v>9</v>
      </c>
      <c r="L414" s="516" t="s">
        <v>2247</v>
      </c>
      <c r="M414" s="529" t="s">
        <v>2444</v>
      </c>
      <c r="N414" s="508">
        <f t="shared" ca="1" si="483"/>
        <v>8.1</v>
      </c>
      <c r="O414" s="565">
        <v>1</v>
      </c>
      <c r="P414" s="633">
        <v>9.5999999999999992E-3</v>
      </c>
      <c r="Q414" s="170">
        <f t="shared" ca="1" si="510"/>
        <v>5.57037037037037E-2</v>
      </c>
      <c r="R414" s="508">
        <f t="shared" ca="1" si="511"/>
        <v>557</v>
      </c>
      <c r="T414" s="512">
        <v>9</v>
      </c>
      <c r="U414" s="516" t="s">
        <v>2247</v>
      </c>
      <c r="V414" s="529" t="s">
        <v>2444</v>
      </c>
      <c r="W414" s="508">
        <f t="shared" ca="1" si="485"/>
        <v>8.1</v>
      </c>
      <c r="X414" s="565">
        <v>1</v>
      </c>
      <c r="Y414" s="594">
        <v>9.5999999999999992E-3</v>
      </c>
      <c r="Z414" s="170">
        <f t="shared" ca="1" si="512"/>
        <v>5.6296296296296296E-2</v>
      </c>
      <c r="AA414" s="508">
        <f t="shared" ca="1" si="513"/>
        <v>563</v>
      </c>
      <c r="AC414" s="512">
        <v>9</v>
      </c>
      <c r="AD414" s="516" t="s">
        <v>621</v>
      </c>
      <c r="AE414" s="512" t="s">
        <v>1211</v>
      </c>
      <c r="AF414" s="508">
        <f t="shared" ca="1" si="507"/>
        <v>148.79999999999998</v>
      </c>
      <c r="AG414" s="408">
        <v>1</v>
      </c>
      <c r="AH414" s="508">
        <f>宝箱设定!$X159</f>
        <v>7.2999999999999995E-2</v>
      </c>
      <c r="AI414" s="170">
        <f t="shared" ca="1" si="508"/>
        <v>3.1397849462365596E-2</v>
      </c>
      <c r="AJ414" s="408">
        <f t="shared" ca="1" si="509"/>
        <v>314</v>
      </c>
      <c r="AL414" s="512">
        <v>8</v>
      </c>
      <c r="AM414" s="512" t="s">
        <v>2291</v>
      </c>
      <c r="AN414" s="529" t="s">
        <v>2444</v>
      </c>
      <c r="AO414" s="508" t="str">
        <f t="shared" ca="1" si="477"/>
        <v>T3部件</v>
      </c>
      <c r="AP414" s="508">
        <v>1</v>
      </c>
      <c r="AQ414" s="633">
        <v>3.0000000000000001E-3</v>
      </c>
      <c r="AR414" s="170" t="e">
        <f t="shared" ca="1" si="468"/>
        <v>#VALUE!</v>
      </c>
      <c r="AS414" s="508" t="e">
        <f t="shared" ca="1" si="469"/>
        <v>#VALUE!</v>
      </c>
      <c r="AU414" s="512">
        <v>8</v>
      </c>
      <c r="AV414" s="516" t="s">
        <v>2267</v>
      </c>
      <c r="AW414" s="529" t="s">
        <v>2452</v>
      </c>
      <c r="AX414" s="508" t="str">
        <f t="shared" ca="1" si="496"/>
        <v>T2部件</v>
      </c>
      <c r="AY414" s="615">
        <v>1.5</v>
      </c>
      <c r="AZ414" s="625">
        <v>6.7000000000000002E-3</v>
      </c>
      <c r="BA414" s="170" t="e">
        <f t="shared" ca="1" si="463"/>
        <v>#VALUE!</v>
      </c>
      <c r="BB414" s="508" t="e">
        <f t="shared" ca="1" si="464"/>
        <v>#VALUE!</v>
      </c>
      <c r="BD414" s="512">
        <v>8</v>
      </c>
      <c r="BE414" s="516" t="s">
        <v>2267</v>
      </c>
      <c r="BF414" s="529" t="s">
        <v>2452</v>
      </c>
      <c r="BG414" s="508" t="str">
        <f t="shared" ca="1" si="497"/>
        <v>T2部件</v>
      </c>
      <c r="BH414" s="565">
        <v>2</v>
      </c>
      <c r="BI414" s="600">
        <v>6.4999999999999997E-3</v>
      </c>
      <c r="BJ414" s="170" t="e">
        <f t="shared" ca="1" si="502"/>
        <v>#VALUE!</v>
      </c>
      <c r="BK414" s="508" t="e">
        <f t="shared" ca="1" si="503"/>
        <v>#VALUE!</v>
      </c>
      <c r="BM414" s="512">
        <v>10</v>
      </c>
      <c r="BN414" s="527" t="s">
        <v>620</v>
      </c>
      <c r="BO414" s="525" t="s">
        <v>1211</v>
      </c>
      <c r="BP414" s="508">
        <f t="shared" ca="1" si="504"/>
        <v>92</v>
      </c>
      <c r="BQ414" s="508">
        <v>3</v>
      </c>
      <c r="BR414" s="523">
        <f>宝箱设定!$P218</f>
        <v>2.4666666666666663E-2</v>
      </c>
      <c r="BS414" s="170">
        <f t="shared" ca="1" si="505"/>
        <v>2.94927536231884E-2</v>
      </c>
      <c r="BT414" s="508">
        <f t="shared" ca="1" si="506"/>
        <v>295</v>
      </c>
      <c r="BV414" s="381">
        <v>10</v>
      </c>
      <c r="BW414" s="527" t="s">
        <v>2258</v>
      </c>
      <c r="BX414" s="530" t="s">
        <v>2200</v>
      </c>
      <c r="BY414" s="523" t="str">
        <f t="shared" ca="1" si="488"/>
        <v>T2部件</v>
      </c>
      <c r="BZ414" s="665">
        <v>1</v>
      </c>
      <c r="CA414" s="662">
        <v>1.7500000000000002E-2</v>
      </c>
      <c r="CB414" s="170" t="e">
        <f t="shared" ca="1" si="489"/>
        <v>#VALUE!</v>
      </c>
      <c r="CC414" s="379" t="e">
        <f t="shared" ca="1" si="490"/>
        <v>#VALUE!</v>
      </c>
    </row>
    <row r="415" spans="2:81" x14ac:dyDescent="0.35">
      <c r="B415" s="512">
        <v>9</v>
      </c>
      <c r="C415" s="516" t="s">
        <v>2249</v>
      </c>
      <c r="D415" s="529" t="s">
        <v>2444</v>
      </c>
      <c r="E415" s="508">
        <f t="shared" ca="1" si="480"/>
        <v>8.1</v>
      </c>
      <c r="F415" s="625">
        <v>3</v>
      </c>
      <c r="G415" s="594">
        <v>8.0000000000000002E-3</v>
      </c>
      <c r="H415" s="170">
        <f t="shared" ca="1" si="481"/>
        <v>1.9341563786008233E-2</v>
      </c>
      <c r="I415" s="508">
        <f t="shared" ca="1" si="482"/>
        <v>193</v>
      </c>
      <c r="K415" s="512">
        <v>9</v>
      </c>
      <c r="L415" s="516" t="s">
        <v>2249</v>
      </c>
      <c r="M415" s="529" t="s">
        <v>2444</v>
      </c>
      <c r="N415" s="508">
        <f t="shared" ca="1" si="483"/>
        <v>8.1</v>
      </c>
      <c r="O415" s="565">
        <v>1</v>
      </c>
      <c r="P415" s="633">
        <v>9.5999999999999992E-3</v>
      </c>
      <c r="Q415" s="170">
        <f t="shared" ca="1" si="510"/>
        <v>5.57037037037037E-2</v>
      </c>
      <c r="R415" s="508">
        <f t="shared" ca="1" si="511"/>
        <v>557</v>
      </c>
      <c r="T415" s="512">
        <v>9</v>
      </c>
      <c r="U415" s="516" t="s">
        <v>2249</v>
      </c>
      <c r="V415" s="529" t="s">
        <v>2444</v>
      </c>
      <c r="W415" s="508">
        <f t="shared" ca="1" si="485"/>
        <v>8.1</v>
      </c>
      <c r="X415" s="565">
        <v>1</v>
      </c>
      <c r="Y415" s="594">
        <v>9.5999999999999992E-3</v>
      </c>
      <c r="Z415" s="170">
        <f t="shared" ca="1" si="512"/>
        <v>5.6296296296296296E-2</v>
      </c>
      <c r="AA415" s="508">
        <f t="shared" ca="1" si="513"/>
        <v>563</v>
      </c>
      <c r="AC415" s="512">
        <v>9</v>
      </c>
      <c r="AD415" s="516" t="s">
        <v>634</v>
      </c>
      <c r="AE415" s="512" t="s">
        <v>1211</v>
      </c>
      <c r="AF415" s="508">
        <f t="shared" ca="1" si="507"/>
        <v>148.79999999999998</v>
      </c>
      <c r="AG415" s="394">
        <v>1</v>
      </c>
      <c r="AH415" s="508">
        <f>宝箱设定!$X160</f>
        <v>7.2999999999999995E-2</v>
      </c>
      <c r="AI415" s="170">
        <f t="shared" ca="1" si="508"/>
        <v>3.1397849462365596E-2</v>
      </c>
      <c r="AJ415" s="379">
        <f t="shared" ca="1" si="509"/>
        <v>314</v>
      </c>
      <c r="AL415" s="512">
        <v>8</v>
      </c>
      <c r="AM415" s="512" t="s">
        <v>2293</v>
      </c>
      <c r="AN415" s="529" t="s">
        <v>2444</v>
      </c>
      <c r="AO415" s="508" t="str">
        <f t="shared" ca="1" si="477"/>
        <v>T3部件</v>
      </c>
      <c r="AP415" s="508">
        <v>1</v>
      </c>
      <c r="AQ415" s="633">
        <v>3.0000000000000001E-3</v>
      </c>
      <c r="AR415" s="170" t="e">
        <f t="shared" ca="1" si="468"/>
        <v>#VALUE!</v>
      </c>
      <c r="AS415" s="508" t="e">
        <f t="shared" ca="1" si="469"/>
        <v>#VALUE!</v>
      </c>
      <c r="AU415" s="512">
        <v>8</v>
      </c>
      <c r="AV415" s="516" t="s">
        <v>2269</v>
      </c>
      <c r="AW415" s="529" t="s">
        <v>2452</v>
      </c>
      <c r="AX415" s="508" t="str">
        <f t="shared" ca="1" si="496"/>
        <v>T2部件</v>
      </c>
      <c r="AY415" s="615">
        <v>1.5</v>
      </c>
      <c r="AZ415" s="625">
        <v>6.7000000000000002E-3</v>
      </c>
      <c r="BA415" s="170" t="e">
        <f t="shared" ca="1" si="463"/>
        <v>#VALUE!</v>
      </c>
      <c r="BB415" s="508" t="e">
        <f t="shared" ca="1" si="464"/>
        <v>#VALUE!</v>
      </c>
      <c r="BD415" s="512">
        <v>8</v>
      </c>
      <c r="BE415" s="516" t="s">
        <v>2269</v>
      </c>
      <c r="BF415" s="529" t="s">
        <v>2452</v>
      </c>
      <c r="BG415" s="508" t="str">
        <f t="shared" ca="1" si="497"/>
        <v>T2部件</v>
      </c>
      <c r="BH415" s="565">
        <v>2</v>
      </c>
      <c r="BI415" s="600">
        <v>6.4999999999999997E-3</v>
      </c>
      <c r="BJ415" s="170" t="e">
        <f t="shared" ca="1" si="502"/>
        <v>#VALUE!</v>
      </c>
      <c r="BK415" s="508" t="e">
        <f t="shared" ca="1" si="503"/>
        <v>#VALUE!</v>
      </c>
      <c r="BM415" s="512">
        <v>10</v>
      </c>
      <c r="BN415" s="527" t="s">
        <v>719</v>
      </c>
      <c r="BO415" s="525" t="s">
        <v>1211</v>
      </c>
      <c r="BP415" s="508">
        <f t="shared" ca="1" si="504"/>
        <v>92</v>
      </c>
      <c r="BQ415" s="632">
        <v>3</v>
      </c>
      <c r="BR415" s="523">
        <f>宝箱设定!$P219</f>
        <v>2.4666666666666663E-2</v>
      </c>
      <c r="BS415" s="170">
        <f t="shared" ca="1" si="505"/>
        <v>2.94927536231884E-2</v>
      </c>
      <c r="BT415" s="508">
        <f t="shared" ca="1" si="506"/>
        <v>295</v>
      </c>
      <c r="BV415" s="381">
        <v>10</v>
      </c>
      <c r="BW415" s="527" t="s">
        <v>2260</v>
      </c>
      <c r="BX415" s="530" t="s">
        <v>2200</v>
      </c>
      <c r="BY415" s="523" t="str">
        <f t="shared" ca="1" si="488"/>
        <v>T2部件</v>
      </c>
      <c r="BZ415" s="665">
        <v>1</v>
      </c>
      <c r="CA415" s="662">
        <v>1.7500000000000002E-2</v>
      </c>
      <c r="CB415" s="170" t="e">
        <f t="shared" ca="1" si="489"/>
        <v>#VALUE!</v>
      </c>
      <c r="CC415" s="379" t="e">
        <f t="shared" ca="1" si="490"/>
        <v>#VALUE!</v>
      </c>
    </row>
    <row r="416" spans="2:81" x14ac:dyDescent="0.35">
      <c r="B416" s="512">
        <v>9</v>
      </c>
      <c r="C416" s="516" t="s">
        <v>2251</v>
      </c>
      <c r="D416" s="529" t="s">
        <v>2444</v>
      </c>
      <c r="E416" s="508">
        <f t="shared" ca="1" si="480"/>
        <v>8.1</v>
      </c>
      <c r="F416" s="625">
        <v>3</v>
      </c>
      <c r="G416" s="594">
        <v>8.0000000000000002E-3</v>
      </c>
      <c r="H416" s="170">
        <f t="shared" ca="1" si="481"/>
        <v>1.9341563786008233E-2</v>
      </c>
      <c r="I416" s="508">
        <f t="shared" ca="1" si="482"/>
        <v>193</v>
      </c>
      <c r="K416" s="512">
        <v>9</v>
      </c>
      <c r="L416" s="516" t="s">
        <v>2251</v>
      </c>
      <c r="M416" s="529" t="s">
        <v>2444</v>
      </c>
      <c r="N416" s="508">
        <f t="shared" ca="1" si="483"/>
        <v>8.1</v>
      </c>
      <c r="O416" s="565">
        <v>1</v>
      </c>
      <c r="P416" s="633">
        <v>9.5999999999999992E-3</v>
      </c>
      <c r="Q416" s="170">
        <f t="shared" ca="1" si="510"/>
        <v>5.57037037037037E-2</v>
      </c>
      <c r="R416" s="508">
        <f t="shared" ca="1" si="511"/>
        <v>557</v>
      </c>
      <c r="T416" s="512">
        <v>9</v>
      </c>
      <c r="U416" s="516" t="s">
        <v>2251</v>
      </c>
      <c r="V416" s="529" t="s">
        <v>2444</v>
      </c>
      <c r="W416" s="508">
        <f t="shared" ca="1" si="485"/>
        <v>8.1</v>
      </c>
      <c r="X416" s="565">
        <v>1</v>
      </c>
      <c r="Y416" s="594">
        <v>9.5999999999999992E-3</v>
      </c>
      <c r="Z416" s="170">
        <f t="shared" ca="1" si="512"/>
        <v>5.6296296296296296E-2</v>
      </c>
      <c r="AA416" s="508">
        <f t="shared" ca="1" si="513"/>
        <v>563</v>
      </c>
      <c r="AC416" s="512">
        <v>9</v>
      </c>
      <c r="AD416" s="516" t="s">
        <v>2239</v>
      </c>
      <c r="AE416" s="529" t="s">
        <v>2444</v>
      </c>
      <c r="AF416" s="508">
        <f t="shared" ca="1" si="507"/>
        <v>8.1</v>
      </c>
      <c r="AG416" s="394">
        <v>1</v>
      </c>
      <c r="AH416" s="633">
        <v>5.4999999999999997E-3</v>
      </c>
      <c r="AI416" s="170">
        <f t="shared" ca="1" si="508"/>
        <v>4.3456790123456789E-2</v>
      </c>
      <c r="AJ416" s="379">
        <f t="shared" ca="1" si="509"/>
        <v>435</v>
      </c>
      <c r="AL416" s="595">
        <v>8</v>
      </c>
      <c r="AM416" s="601" t="s">
        <v>2878</v>
      </c>
      <c r="AN416" s="601" t="s">
        <v>2879</v>
      </c>
      <c r="AO416" s="594">
        <f t="shared" ref="AO416:AO419" ca="1" si="514">IF(AN416="部件",VLOOKUP(AL416,INDIRECT(AN416&amp;"价值"),MATCH(LEFT(AM416,2)&amp;"部件",INDIRECT(AN416&amp;"价值标头"),0),FALSE),IF(AN416="加速道具",VLOOKUP(AM416,INDIRECT(AN416&amp;"价值"),MATCH("价格",INDIRECT(AN416&amp;"价值标头"),0),FALSE),VLOOKUP(AL416,INDIRECT(AN416&amp;"价值"),MATCH(AM416,INDIRECT(AN416&amp;"价值标头"),0),FALSE)))</f>
        <v>35</v>
      </c>
      <c r="AP416" s="600">
        <v>1</v>
      </c>
      <c r="AQ416" s="633">
        <v>8.0000000000000002E-3</v>
      </c>
      <c r="AR416" s="170">
        <f t="shared" ca="1" si="468"/>
        <v>2.2171428571428571E-2</v>
      </c>
      <c r="AS416" s="594">
        <f t="shared" ca="1" si="469"/>
        <v>222</v>
      </c>
      <c r="AU416" s="512">
        <v>8</v>
      </c>
      <c r="AV416" s="516" t="s">
        <v>2271</v>
      </c>
      <c r="AW416" s="529" t="s">
        <v>2452</v>
      </c>
      <c r="AX416" s="508" t="str">
        <f t="shared" ca="1" si="496"/>
        <v>T2部件</v>
      </c>
      <c r="AY416" s="615">
        <v>1.5</v>
      </c>
      <c r="AZ416" s="625">
        <v>6.7000000000000002E-3</v>
      </c>
      <c r="BA416" s="170" t="e">
        <f t="shared" ca="1" si="463"/>
        <v>#VALUE!</v>
      </c>
      <c r="BB416" s="508" t="e">
        <f t="shared" ca="1" si="464"/>
        <v>#VALUE!</v>
      </c>
      <c r="BD416" s="512">
        <v>8</v>
      </c>
      <c r="BE416" s="516" t="s">
        <v>2271</v>
      </c>
      <c r="BF416" s="529" t="s">
        <v>2452</v>
      </c>
      <c r="BG416" s="508" t="str">
        <f t="shared" ca="1" si="497"/>
        <v>T2部件</v>
      </c>
      <c r="BH416" s="565">
        <v>2</v>
      </c>
      <c r="BI416" s="600">
        <v>6.4999999999999997E-3</v>
      </c>
      <c r="BJ416" s="170" t="e">
        <f t="shared" ca="1" si="502"/>
        <v>#VALUE!</v>
      </c>
      <c r="BK416" s="508" t="e">
        <f t="shared" ca="1" si="503"/>
        <v>#VALUE!</v>
      </c>
      <c r="BM416" s="512">
        <v>10</v>
      </c>
      <c r="BN416" s="527" t="s">
        <v>635</v>
      </c>
      <c r="BO416" s="525" t="s">
        <v>1211</v>
      </c>
      <c r="BP416" s="508">
        <f t="shared" ca="1" si="504"/>
        <v>92</v>
      </c>
      <c r="BQ416" s="632">
        <v>3</v>
      </c>
      <c r="BR416" s="523">
        <f>宝箱设定!$P220</f>
        <v>2.4666666666666663E-2</v>
      </c>
      <c r="BS416" s="170">
        <f t="shared" ca="1" si="505"/>
        <v>2.94927536231884E-2</v>
      </c>
      <c r="BT416" s="508">
        <f t="shared" ca="1" si="506"/>
        <v>295</v>
      </c>
      <c r="BV416" s="381">
        <v>10</v>
      </c>
      <c r="BW416" s="527" t="s">
        <v>2262</v>
      </c>
      <c r="BX416" s="530" t="s">
        <v>2200</v>
      </c>
      <c r="BY416" s="523" t="str">
        <f t="shared" ca="1" si="488"/>
        <v>T2部件</v>
      </c>
      <c r="BZ416" s="665">
        <v>1</v>
      </c>
      <c r="CA416" s="662">
        <v>1.7500000000000002E-2</v>
      </c>
      <c r="CB416" s="170" t="e">
        <f t="shared" ca="1" si="489"/>
        <v>#VALUE!</v>
      </c>
      <c r="CC416" s="379" t="e">
        <f t="shared" ca="1" si="490"/>
        <v>#VALUE!</v>
      </c>
    </row>
    <row r="417" spans="2:81" x14ac:dyDescent="0.35">
      <c r="B417" s="512">
        <v>9</v>
      </c>
      <c r="C417" s="516" t="s">
        <v>2253</v>
      </c>
      <c r="D417" s="529" t="s">
        <v>2444</v>
      </c>
      <c r="E417" s="508">
        <f t="shared" ca="1" si="480"/>
        <v>8.1</v>
      </c>
      <c r="F417" s="625">
        <v>3</v>
      </c>
      <c r="G417" s="594">
        <v>8.0000000000000002E-3</v>
      </c>
      <c r="H417" s="170">
        <f t="shared" ca="1" si="481"/>
        <v>1.9341563786008233E-2</v>
      </c>
      <c r="I417" s="508">
        <f t="shared" ca="1" si="482"/>
        <v>193</v>
      </c>
      <c r="K417" s="512">
        <v>9</v>
      </c>
      <c r="L417" s="516" t="s">
        <v>2253</v>
      </c>
      <c r="M417" s="529" t="s">
        <v>2444</v>
      </c>
      <c r="N417" s="508">
        <f t="shared" ca="1" si="483"/>
        <v>8.1</v>
      </c>
      <c r="O417" s="565">
        <v>1</v>
      </c>
      <c r="P417" s="633">
        <v>9.5999999999999992E-3</v>
      </c>
      <c r="Q417" s="170">
        <f t="shared" ca="1" si="510"/>
        <v>5.57037037037037E-2</v>
      </c>
      <c r="R417" s="508">
        <f t="shared" ca="1" si="511"/>
        <v>557</v>
      </c>
      <c r="T417" s="512">
        <v>9</v>
      </c>
      <c r="U417" s="516" t="s">
        <v>2253</v>
      </c>
      <c r="V417" s="529" t="s">
        <v>2444</v>
      </c>
      <c r="W417" s="508">
        <f t="shared" ca="1" si="485"/>
        <v>8.1</v>
      </c>
      <c r="X417" s="565">
        <v>1</v>
      </c>
      <c r="Y417" s="594">
        <v>9.5999999999999992E-3</v>
      </c>
      <c r="Z417" s="170">
        <f t="shared" ca="1" si="512"/>
        <v>5.6296296296296296E-2</v>
      </c>
      <c r="AA417" s="508">
        <f t="shared" ca="1" si="513"/>
        <v>563</v>
      </c>
      <c r="AC417" s="512">
        <v>9</v>
      </c>
      <c r="AD417" s="516" t="s">
        <v>2242</v>
      </c>
      <c r="AE417" s="529" t="s">
        <v>2444</v>
      </c>
      <c r="AF417" s="508">
        <f t="shared" ca="1" si="507"/>
        <v>8.1</v>
      </c>
      <c r="AG417" s="594">
        <v>1</v>
      </c>
      <c r="AH417" s="633">
        <v>5.4999999999999997E-3</v>
      </c>
      <c r="AI417" s="170">
        <f t="shared" ca="1" si="508"/>
        <v>4.3456790123456789E-2</v>
      </c>
      <c r="AJ417" s="379">
        <f t="shared" ca="1" si="509"/>
        <v>435</v>
      </c>
      <c r="AL417" s="595">
        <v>8</v>
      </c>
      <c r="AM417" s="601" t="s">
        <v>2880</v>
      </c>
      <c r="AN417" s="601" t="s">
        <v>2879</v>
      </c>
      <c r="AO417" s="594">
        <f t="shared" ca="1" si="514"/>
        <v>60</v>
      </c>
      <c r="AP417" s="600">
        <v>1</v>
      </c>
      <c r="AQ417" s="633">
        <v>8.9999999999999993E-3</v>
      </c>
      <c r="AR417" s="170">
        <f t="shared" ca="1" si="468"/>
        <v>1.4549999999999999E-2</v>
      </c>
      <c r="AS417" s="594">
        <f t="shared" ca="1" si="469"/>
        <v>146</v>
      </c>
      <c r="AU417" s="512">
        <v>8</v>
      </c>
      <c r="AV417" s="512" t="s">
        <v>2273</v>
      </c>
      <c r="AW417" s="529" t="s">
        <v>2452</v>
      </c>
      <c r="AX417" s="508" t="str">
        <f t="shared" ca="1" si="496"/>
        <v>T2部件</v>
      </c>
      <c r="AY417" s="615">
        <v>1.5</v>
      </c>
      <c r="AZ417" s="625">
        <v>6.7000000000000002E-3</v>
      </c>
      <c r="BA417" s="170" t="e">
        <f t="shared" ca="1" si="463"/>
        <v>#VALUE!</v>
      </c>
      <c r="BB417" s="508" t="e">
        <f t="shared" ca="1" si="464"/>
        <v>#VALUE!</v>
      </c>
      <c r="BD417" s="512">
        <v>8</v>
      </c>
      <c r="BE417" s="512" t="s">
        <v>2273</v>
      </c>
      <c r="BF417" s="529" t="s">
        <v>2452</v>
      </c>
      <c r="BG417" s="508" t="str">
        <f t="shared" ca="1" si="497"/>
        <v>T2部件</v>
      </c>
      <c r="BH417" s="565">
        <v>2</v>
      </c>
      <c r="BI417" s="600">
        <v>6.4999999999999997E-3</v>
      </c>
      <c r="BJ417" s="170" t="e">
        <f t="shared" ca="1" si="502"/>
        <v>#VALUE!</v>
      </c>
      <c r="BK417" s="508" t="e">
        <f t="shared" ca="1" si="503"/>
        <v>#VALUE!</v>
      </c>
      <c r="BM417" s="512">
        <v>10</v>
      </c>
      <c r="BN417" s="527" t="s">
        <v>720</v>
      </c>
      <c r="BO417" s="525" t="s">
        <v>1211</v>
      </c>
      <c r="BP417" s="508">
        <f t="shared" ca="1" si="504"/>
        <v>115</v>
      </c>
      <c r="BQ417" s="508">
        <v>2</v>
      </c>
      <c r="BR417" s="523">
        <f>宝箱设定!$P221</f>
        <v>2.4666666666666663E-2</v>
      </c>
      <c r="BS417" s="170">
        <f t="shared" ca="1" si="505"/>
        <v>3.5391304347826079E-2</v>
      </c>
      <c r="BT417" s="508">
        <f t="shared" ca="1" si="506"/>
        <v>354</v>
      </c>
      <c r="BV417" s="396">
        <v>10</v>
      </c>
      <c r="BW417" s="527" t="s">
        <v>2264</v>
      </c>
      <c r="BX417" s="530" t="s">
        <v>2200</v>
      </c>
      <c r="BY417" s="523" t="str">
        <f t="shared" ca="1" si="488"/>
        <v>T2部件</v>
      </c>
      <c r="BZ417" s="665">
        <v>1</v>
      </c>
      <c r="CA417" s="662">
        <v>1.7500000000000002E-2</v>
      </c>
      <c r="CB417" s="170" t="e">
        <f t="shared" ref="CB417:CB442" ca="1" si="515">CA417*BW$4/BY417/BZ417</f>
        <v>#VALUE!</v>
      </c>
      <c r="CC417" s="394" t="e">
        <f t="shared" ref="CC417:CC442" ca="1" si="516">ROUND(CB417*10000,0)</f>
        <v>#VALUE!</v>
      </c>
    </row>
    <row r="418" spans="2:81" x14ac:dyDescent="0.35">
      <c r="B418" s="512">
        <v>9</v>
      </c>
      <c r="C418" s="512" t="s">
        <v>2255</v>
      </c>
      <c r="D418" s="529" t="s">
        <v>2444</v>
      </c>
      <c r="E418" s="508">
        <f t="shared" ca="1" si="480"/>
        <v>8.1</v>
      </c>
      <c r="F418" s="625">
        <v>3</v>
      </c>
      <c r="G418" s="594">
        <v>8.0000000000000002E-3</v>
      </c>
      <c r="H418" s="170">
        <f t="shared" ca="1" si="481"/>
        <v>1.9341563786008233E-2</v>
      </c>
      <c r="I418" s="508">
        <f t="shared" ca="1" si="482"/>
        <v>193</v>
      </c>
      <c r="K418" s="512">
        <v>9</v>
      </c>
      <c r="L418" s="512" t="s">
        <v>2255</v>
      </c>
      <c r="M418" s="529" t="s">
        <v>2444</v>
      </c>
      <c r="N418" s="508">
        <f t="shared" ca="1" si="483"/>
        <v>8.1</v>
      </c>
      <c r="O418" s="565">
        <v>1</v>
      </c>
      <c r="P418" s="633">
        <v>9.7000000000000003E-3</v>
      </c>
      <c r="Q418" s="170">
        <f t="shared" ca="1" si="510"/>
        <v>5.6283950617283959E-2</v>
      </c>
      <c r="R418" s="508">
        <f t="shared" ca="1" si="511"/>
        <v>563</v>
      </c>
      <c r="T418" s="512">
        <v>9</v>
      </c>
      <c r="U418" s="512" t="s">
        <v>2255</v>
      </c>
      <c r="V418" s="529" t="s">
        <v>2444</v>
      </c>
      <c r="W418" s="508">
        <f t="shared" ca="1" si="485"/>
        <v>8.1</v>
      </c>
      <c r="X418" s="565">
        <v>1</v>
      </c>
      <c r="Y418" s="625">
        <v>9.7000000000000003E-3</v>
      </c>
      <c r="Z418" s="170">
        <f t="shared" ca="1" si="512"/>
        <v>5.688271604938272E-2</v>
      </c>
      <c r="AA418" s="508">
        <f t="shared" ca="1" si="513"/>
        <v>569</v>
      </c>
      <c r="AC418" s="512">
        <v>9</v>
      </c>
      <c r="AD418" s="516" t="s">
        <v>2244</v>
      </c>
      <c r="AE418" s="529" t="s">
        <v>2444</v>
      </c>
      <c r="AF418" s="508">
        <f t="shared" ca="1" si="507"/>
        <v>8.1</v>
      </c>
      <c r="AG418" s="594">
        <v>1</v>
      </c>
      <c r="AH418" s="633">
        <v>5.4999999999999997E-3</v>
      </c>
      <c r="AI418" s="170">
        <f t="shared" ref="AI418:AI426" ca="1" si="517">AH418*AD$4/AF418/AG418</f>
        <v>4.3456790123456789E-2</v>
      </c>
      <c r="AJ418" s="379">
        <f t="shared" ref="AJ418:AJ426" ca="1" si="518">ROUND(AI418*10000,0)</f>
        <v>435</v>
      </c>
      <c r="AL418" s="595">
        <v>8</v>
      </c>
      <c r="AM418" s="601" t="s">
        <v>2881</v>
      </c>
      <c r="AN418" s="601" t="s">
        <v>2879</v>
      </c>
      <c r="AO418" s="594">
        <f t="shared" ca="1" si="514"/>
        <v>70</v>
      </c>
      <c r="AP418" s="600">
        <v>1</v>
      </c>
      <c r="AQ418" s="633">
        <v>0.01</v>
      </c>
      <c r="AR418" s="170">
        <f t="shared" ca="1" si="468"/>
        <v>1.3857142857142856E-2</v>
      </c>
      <c r="AS418" s="594">
        <f t="shared" ca="1" si="469"/>
        <v>139</v>
      </c>
      <c r="AU418" s="512">
        <v>8</v>
      </c>
      <c r="AV418" s="512" t="s">
        <v>2275</v>
      </c>
      <c r="AW418" s="529" t="s">
        <v>2452</v>
      </c>
      <c r="AX418" s="508" t="str">
        <f t="shared" ca="1" si="496"/>
        <v>T2部件</v>
      </c>
      <c r="AY418" s="615">
        <v>1.5</v>
      </c>
      <c r="AZ418" s="625">
        <v>6.7000000000000002E-3</v>
      </c>
      <c r="BA418" s="170" t="e">
        <f t="shared" ca="1" si="463"/>
        <v>#VALUE!</v>
      </c>
      <c r="BB418" s="508" t="e">
        <f t="shared" ca="1" si="464"/>
        <v>#VALUE!</v>
      </c>
      <c r="BD418" s="512">
        <v>8</v>
      </c>
      <c r="BE418" s="512" t="s">
        <v>2275</v>
      </c>
      <c r="BF418" s="529" t="s">
        <v>2452</v>
      </c>
      <c r="BG418" s="508" t="str">
        <f t="shared" ca="1" si="497"/>
        <v>T2部件</v>
      </c>
      <c r="BH418" s="565">
        <v>2</v>
      </c>
      <c r="BI418" s="600">
        <v>6.4999999999999997E-3</v>
      </c>
      <c r="BJ418" s="170" t="e">
        <f t="shared" ca="1" si="502"/>
        <v>#VALUE!</v>
      </c>
      <c r="BK418" s="508" t="e">
        <f t="shared" ca="1" si="503"/>
        <v>#VALUE!</v>
      </c>
      <c r="BM418" s="512">
        <v>10</v>
      </c>
      <c r="BN418" s="527" t="s">
        <v>629</v>
      </c>
      <c r="BO418" s="525" t="s">
        <v>1211</v>
      </c>
      <c r="BP418" s="508">
        <f t="shared" ca="1" si="504"/>
        <v>115</v>
      </c>
      <c r="BQ418" s="632">
        <v>2</v>
      </c>
      <c r="BR418" s="523">
        <f>宝箱设定!$P222</f>
        <v>2.4666666666666663E-2</v>
      </c>
      <c r="BS418" s="170">
        <f t="shared" ca="1" si="505"/>
        <v>3.5391304347826079E-2</v>
      </c>
      <c r="BT418" s="508">
        <f t="shared" ca="1" si="506"/>
        <v>354</v>
      </c>
      <c r="BV418" s="396">
        <v>10</v>
      </c>
      <c r="BW418" s="527" t="s">
        <v>2266</v>
      </c>
      <c r="BX418" s="530" t="s">
        <v>2200</v>
      </c>
      <c r="BY418" s="523" t="str">
        <f t="shared" ca="1" si="488"/>
        <v>T2部件</v>
      </c>
      <c r="BZ418" s="665">
        <v>1</v>
      </c>
      <c r="CA418" s="662">
        <v>1.7500000000000002E-2</v>
      </c>
      <c r="CB418" s="170" t="e">
        <f t="shared" ca="1" si="515"/>
        <v>#VALUE!</v>
      </c>
      <c r="CC418" s="394" t="e">
        <f t="shared" ca="1" si="516"/>
        <v>#VALUE!</v>
      </c>
    </row>
    <row r="419" spans="2:81" x14ac:dyDescent="0.35">
      <c r="B419" s="512">
        <v>9</v>
      </c>
      <c r="C419" s="512" t="s">
        <v>2257</v>
      </c>
      <c r="D419" s="529" t="s">
        <v>2444</v>
      </c>
      <c r="E419" s="508">
        <f t="shared" ca="1" si="480"/>
        <v>8.1</v>
      </c>
      <c r="F419" s="625">
        <v>3</v>
      </c>
      <c r="G419" s="594">
        <v>8.0000000000000002E-3</v>
      </c>
      <c r="H419" s="170">
        <f t="shared" ca="1" si="481"/>
        <v>1.9341563786008233E-2</v>
      </c>
      <c r="I419" s="508">
        <f t="shared" ca="1" si="482"/>
        <v>193</v>
      </c>
      <c r="K419" s="512">
        <v>9</v>
      </c>
      <c r="L419" s="512" t="s">
        <v>2257</v>
      </c>
      <c r="M419" s="529" t="s">
        <v>2444</v>
      </c>
      <c r="N419" s="508">
        <f t="shared" ca="1" si="483"/>
        <v>8.1</v>
      </c>
      <c r="O419" s="565">
        <v>1</v>
      </c>
      <c r="P419" s="633">
        <v>9.7000000000000003E-3</v>
      </c>
      <c r="Q419" s="170">
        <f t="shared" ca="1" si="510"/>
        <v>5.6283950617283959E-2</v>
      </c>
      <c r="R419" s="508">
        <f t="shared" ca="1" si="511"/>
        <v>563</v>
      </c>
      <c r="T419" s="512">
        <v>9</v>
      </c>
      <c r="U419" s="512" t="s">
        <v>2257</v>
      </c>
      <c r="V419" s="529" t="s">
        <v>2444</v>
      </c>
      <c r="W419" s="508">
        <f t="shared" ca="1" si="485"/>
        <v>8.1</v>
      </c>
      <c r="X419" s="565">
        <v>1</v>
      </c>
      <c r="Y419" s="625">
        <v>9.7000000000000003E-3</v>
      </c>
      <c r="Z419" s="170">
        <f t="shared" ca="1" si="512"/>
        <v>5.688271604938272E-2</v>
      </c>
      <c r="AA419" s="508">
        <f t="shared" ca="1" si="513"/>
        <v>569</v>
      </c>
      <c r="AC419" s="512">
        <v>9</v>
      </c>
      <c r="AD419" s="516" t="s">
        <v>2246</v>
      </c>
      <c r="AE419" s="529" t="s">
        <v>2444</v>
      </c>
      <c r="AF419" s="508">
        <f t="shared" ca="1" si="507"/>
        <v>8.1</v>
      </c>
      <c r="AG419" s="594">
        <v>1</v>
      </c>
      <c r="AH419" s="633">
        <v>5.4999999999999997E-3</v>
      </c>
      <c r="AI419" s="170">
        <f t="shared" ca="1" si="517"/>
        <v>4.3456790123456789E-2</v>
      </c>
      <c r="AJ419" s="379">
        <f t="shared" ca="1" si="518"/>
        <v>435</v>
      </c>
      <c r="AL419" s="595">
        <v>8</v>
      </c>
      <c r="AM419" s="601" t="s">
        <v>2882</v>
      </c>
      <c r="AN419" s="601" t="s">
        <v>2879</v>
      </c>
      <c r="AO419" s="594">
        <f t="shared" ca="1" si="514"/>
        <v>125</v>
      </c>
      <c r="AP419" s="600">
        <v>1</v>
      </c>
      <c r="AQ419" s="633">
        <v>0.01</v>
      </c>
      <c r="AR419" s="170">
        <f t="shared" ca="1" si="468"/>
        <v>7.7599999999999995E-3</v>
      </c>
      <c r="AS419" s="594">
        <f t="shared" ca="1" si="469"/>
        <v>78</v>
      </c>
      <c r="AU419" s="512">
        <v>8</v>
      </c>
      <c r="AV419" s="516" t="s">
        <v>2276</v>
      </c>
      <c r="AW419" s="529" t="s">
        <v>2452</v>
      </c>
      <c r="AX419" s="508" t="str">
        <f t="shared" ca="1" si="496"/>
        <v>T3部件</v>
      </c>
      <c r="AY419" s="565">
        <v>1</v>
      </c>
      <c r="AZ419" s="625">
        <v>7.0000000000000001E-3</v>
      </c>
      <c r="BA419" s="170" t="e">
        <f t="shared" ca="1" si="463"/>
        <v>#VALUE!</v>
      </c>
      <c r="BB419" s="508" t="e">
        <f t="shared" ca="1" si="464"/>
        <v>#VALUE!</v>
      </c>
      <c r="BD419" s="512">
        <v>8</v>
      </c>
      <c r="BE419" s="516" t="s">
        <v>2276</v>
      </c>
      <c r="BF419" s="529" t="s">
        <v>2452</v>
      </c>
      <c r="BG419" s="508" t="str">
        <f t="shared" ca="1" si="497"/>
        <v>T3部件</v>
      </c>
      <c r="BH419" s="508">
        <v>1</v>
      </c>
      <c r="BI419" s="600">
        <v>7.0000000000000001E-3</v>
      </c>
      <c r="BJ419" s="170" t="e">
        <f t="shared" ca="1" si="502"/>
        <v>#VALUE!</v>
      </c>
      <c r="BK419" s="508" t="e">
        <f t="shared" ca="1" si="503"/>
        <v>#VALUE!</v>
      </c>
      <c r="BM419" s="512">
        <v>10</v>
      </c>
      <c r="BN419" s="527" t="s">
        <v>717</v>
      </c>
      <c r="BO419" s="525" t="s">
        <v>1211</v>
      </c>
      <c r="BP419" s="508">
        <f t="shared" ca="1" si="504"/>
        <v>115</v>
      </c>
      <c r="BQ419" s="632">
        <v>2</v>
      </c>
      <c r="BR419" s="523">
        <f>宝箱设定!$P223</f>
        <v>2.4666666666666663E-2</v>
      </c>
      <c r="BS419" s="170">
        <f t="shared" ca="1" si="505"/>
        <v>3.5391304347826079E-2</v>
      </c>
      <c r="BT419" s="508">
        <f t="shared" ca="1" si="506"/>
        <v>354</v>
      </c>
      <c r="BV419" s="396">
        <v>10</v>
      </c>
      <c r="BW419" s="527" t="s">
        <v>2268</v>
      </c>
      <c r="BX419" s="530" t="s">
        <v>2200</v>
      </c>
      <c r="BY419" s="523" t="str">
        <f t="shared" ca="1" si="488"/>
        <v>T2部件</v>
      </c>
      <c r="BZ419" s="665">
        <v>1</v>
      </c>
      <c r="CA419" s="662">
        <v>1.7500000000000002E-2</v>
      </c>
      <c r="CB419" s="170" t="e">
        <f t="shared" ca="1" si="515"/>
        <v>#VALUE!</v>
      </c>
      <c r="CC419" s="394" t="e">
        <f t="shared" ca="1" si="516"/>
        <v>#VALUE!</v>
      </c>
    </row>
    <row r="420" spans="2:81" x14ac:dyDescent="0.35">
      <c r="B420" s="512">
        <v>9</v>
      </c>
      <c r="C420" s="516" t="s">
        <v>2258</v>
      </c>
      <c r="D420" s="529" t="s">
        <v>2444</v>
      </c>
      <c r="E420" s="508" t="str">
        <f t="shared" ca="1" si="480"/>
        <v>T2部件</v>
      </c>
      <c r="F420" s="594">
        <v>1.5</v>
      </c>
      <c r="G420" s="565">
        <v>8.6E-3</v>
      </c>
      <c r="H420" s="170" t="e">
        <f t="shared" ca="1" si="481"/>
        <v>#VALUE!</v>
      </c>
      <c r="I420" s="508" t="e">
        <f t="shared" ca="1" si="482"/>
        <v>#VALUE!</v>
      </c>
      <c r="K420" s="512">
        <v>9</v>
      </c>
      <c r="L420" s="516" t="s">
        <v>2258</v>
      </c>
      <c r="M420" s="529" t="s">
        <v>2444</v>
      </c>
      <c r="N420" s="508" t="str">
        <f t="shared" ca="1" si="483"/>
        <v>T2部件</v>
      </c>
      <c r="O420" s="565">
        <v>1</v>
      </c>
      <c r="P420" s="633">
        <v>8.5000000000000006E-3</v>
      </c>
      <c r="Q420" s="170" t="e">
        <f t="shared" ca="1" si="510"/>
        <v>#VALUE!</v>
      </c>
      <c r="R420" s="508" t="e">
        <f t="shared" ca="1" si="511"/>
        <v>#VALUE!</v>
      </c>
      <c r="T420" s="512">
        <v>9</v>
      </c>
      <c r="U420" s="516" t="s">
        <v>2258</v>
      </c>
      <c r="V420" s="529" t="s">
        <v>2444</v>
      </c>
      <c r="W420" s="508" t="str">
        <f t="shared" ca="1" si="485"/>
        <v>T2部件</v>
      </c>
      <c r="X420" s="565">
        <v>1</v>
      </c>
      <c r="Y420" s="594">
        <v>8.5000000000000006E-3</v>
      </c>
      <c r="Z420" s="170" t="e">
        <f t="shared" ca="1" si="512"/>
        <v>#VALUE!</v>
      </c>
      <c r="AA420" s="508" t="e">
        <f t="shared" ca="1" si="513"/>
        <v>#VALUE!</v>
      </c>
      <c r="AC420" s="512">
        <v>9</v>
      </c>
      <c r="AD420" s="516" t="s">
        <v>2248</v>
      </c>
      <c r="AE420" s="529" t="s">
        <v>2444</v>
      </c>
      <c r="AF420" s="508">
        <f t="shared" ca="1" si="507"/>
        <v>8.1</v>
      </c>
      <c r="AG420" s="594">
        <v>1</v>
      </c>
      <c r="AH420" s="633">
        <v>5.4999999999999997E-3</v>
      </c>
      <c r="AI420" s="170">
        <f t="shared" ca="1" si="517"/>
        <v>4.3456790123456789E-2</v>
      </c>
      <c r="AJ420" s="379">
        <f t="shared" ca="1" si="518"/>
        <v>435</v>
      </c>
      <c r="AL420" s="276"/>
      <c r="AM420" s="604"/>
      <c r="AN420" s="604"/>
      <c r="AO420" s="157"/>
      <c r="AP420" s="157"/>
      <c r="AQ420" s="157"/>
      <c r="AR420" s="538"/>
      <c r="AS420" s="157"/>
      <c r="AU420" s="512">
        <v>8</v>
      </c>
      <c r="AV420" s="516" t="s">
        <v>2278</v>
      </c>
      <c r="AW420" s="529" t="s">
        <v>2452</v>
      </c>
      <c r="AX420" s="508" t="str">
        <f t="shared" ca="1" si="496"/>
        <v>T3部件</v>
      </c>
      <c r="AY420" s="565">
        <v>1</v>
      </c>
      <c r="AZ420" s="625">
        <v>7.0000000000000001E-3</v>
      </c>
      <c r="BA420" s="170" t="e">
        <f t="shared" ca="1" si="463"/>
        <v>#VALUE!</v>
      </c>
      <c r="BB420" s="508" t="e">
        <f t="shared" ca="1" si="464"/>
        <v>#VALUE!</v>
      </c>
      <c r="BD420" s="512">
        <v>8</v>
      </c>
      <c r="BE420" s="516" t="s">
        <v>2278</v>
      </c>
      <c r="BF420" s="529" t="s">
        <v>2452</v>
      </c>
      <c r="BG420" s="508" t="str">
        <f t="shared" ca="1" si="497"/>
        <v>T3部件</v>
      </c>
      <c r="BH420" s="565">
        <v>1</v>
      </c>
      <c r="BI420" s="600">
        <v>7.0000000000000001E-3</v>
      </c>
      <c r="BJ420" s="170" t="e">
        <f t="shared" ca="1" si="502"/>
        <v>#VALUE!</v>
      </c>
      <c r="BK420" s="508" t="e">
        <f t="shared" ca="1" si="503"/>
        <v>#VALUE!</v>
      </c>
      <c r="BM420" s="512">
        <v>10</v>
      </c>
      <c r="BN420" s="527" t="s">
        <v>621</v>
      </c>
      <c r="BO420" s="525" t="s">
        <v>1211</v>
      </c>
      <c r="BP420" s="508">
        <f t="shared" ca="1" si="504"/>
        <v>142.6</v>
      </c>
      <c r="BQ420" s="508">
        <v>1.5</v>
      </c>
      <c r="BR420" s="523">
        <f>宝箱设定!$P224</f>
        <v>2.4666666666666663E-2</v>
      </c>
      <c r="BS420" s="170">
        <f t="shared" ca="1" si="505"/>
        <v>3.805516596540439E-2</v>
      </c>
      <c r="BT420" s="508">
        <f t="shared" ca="1" si="506"/>
        <v>381</v>
      </c>
      <c r="BV420" s="396">
        <v>10</v>
      </c>
      <c r="BW420" s="527" t="s">
        <v>2270</v>
      </c>
      <c r="BX420" s="530" t="s">
        <v>2200</v>
      </c>
      <c r="BY420" s="523" t="str">
        <f t="shared" ca="1" si="488"/>
        <v>T2部件</v>
      </c>
      <c r="BZ420" s="665">
        <v>1</v>
      </c>
      <c r="CA420" s="662">
        <v>1.7500000000000002E-2</v>
      </c>
      <c r="CB420" s="170" t="e">
        <f t="shared" ca="1" si="515"/>
        <v>#VALUE!</v>
      </c>
      <c r="CC420" s="394" t="e">
        <f t="shared" ca="1" si="516"/>
        <v>#VALUE!</v>
      </c>
    </row>
    <row r="421" spans="2:81" x14ac:dyDescent="0.35">
      <c r="B421" s="512">
        <v>9</v>
      </c>
      <c r="C421" s="516" t="s">
        <v>2260</v>
      </c>
      <c r="D421" s="529" t="s">
        <v>2444</v>
      </c>
      <c r="E421" s="508" t="str">
        <f t="shared" ca="1" si="480"/>
        <v>T2部件</v>
      </c>
      <c r="F421" s="594">
        <v>1.5</v>
      </c>
      <c r="G421" s="594">
        <v>8.6E-3</v>
      </c>
      <c r="H421" s="170" t="e">
        <f t="shared" ca="1" si="481"/>
        <v>#VALUE!</v>
      </c>
      <c r="I421" s="508" t="e">
        <f t="shared" ca="1" si="482"/>
        <v>#VALUE!</v>
      </c>
      <c r="K421" s="512">
        <v>9</v>
      </c>
      <c r="L421" s="516" t="s">
        <v>2260</v>
      </c>
      <c r="M421" s="529" t="s">
        <v>2444</v>
      </c>
      <c r="N421" s="508" t="str">
        <f t="shared" ca="1" si="483"/>
        <v>T2部件</v>
      </c>
      <c r="O421" s="565">
        <v>1</v>
      </c>
      <c r="P421" s="633">
        <v>8.5000000000000006E-3</v>
      </c>
      <c r="Q421" s="170" t="e">
        <f t="shared" ca="1" si="510"/>
        <v>#VALUE!</v>
      </c>
      <c r="R421" s="508" t="e">
        <f t="shared" ca="1" si="511"/>
        <v>#VALUE!</v>
      </c>
      <c r="T421" s="512">
        <v>9</v>
      </c>
      <c r="U421" s="516" t="s">
        <v>2260</v>
      </c>
      <c r="V421" s="529" t="s">
        <v>2444</v>
      </c>
      <c r="W421" s="508" t="str">
        <f t="shared" ca="1" si="485"/>
        <v>T2部件</v>
      </c>
      <c r="X421" s="565">
        <v>1</v>
      </c>
      <c r="Y421" s="625">
        <v>8.5000000000000006E-3</v>
      </c>
      <c r="Z421" s="170" t="e">
        <f t="shared" ca="1" si="512"/>
        <v>#VALUE!</v>
      </c>
      <c r="AA421" s="508" t="e">
        <f t="shared" ca="1" si="513"/>
        <v>#VALUE!</v>
      </c>
      <c r="AC421" s="512">
        <v>9</v>
      </c>
      <c r="AD421" s="516" t="s">
        <v>2250</v>
      </c>
      <c r="AE421" s="529" t="s">
        <v>2444</v>
      </c>
      <c r="AF421" s="508">
        <f t="shared" ca="1" si="507"/>
        <v>8.1</v>
      </c>
      <c r="AG421" s="594">
        <v>1</v>
      </c>
      <c r="AH421" s="633">
        <v>5.4999999999999997E-3</v>
      </c>
      <c r="AI421" s="170">
        <f t="shared" ca="1" si="517"/>
        <v>4.3456790123456789E-2</v>
      </c>
      <c r="AJ421" s="379">
        <f t="shared" ca="1" si="518"/>
        <v>435</v>
      </c>
      <c r="AU421" s="512">
        <v>8</v>
      </c>
      <c r="AV421" s="516" t="s">
        <v>2280</v>
      </c>
      <c r="AW421" s="529" t="s">
        <v>2452</v>
      </c>
      <c r="AX421" s="508" t="str">
        <f t="shared" ca="1" si="496"/>
        <v>T3部件</v>
      </c>
      <c r="AY421" s="565">
        <v>1</v>
      </c>
      <c r="AZ421" s="625">
        <v>7.0000000000000001E-3</v>
      </c>
      <c r="BA421" s="170" t="e">
        <f t="shared" ca="1" si="463"/>
        <v>#VALUE!</v>
      </c>
      <c r="BB421" s="508" t="e">
        <f t="shared" ca="1" si="464"/>
        <v>#VALUE!</v>
      </c>
      <c r="BD421" s="512">
        <v>8</v>
      </c>
      <c r="BE421" s="516" t="s">
        <v>2280</v>
      </c>
      <c r="BF421" s="529" t="s">
        <v>2452</v>
      </c>
      <c r="BG421" s="508" t="str">
        <f t="shared" ca="1" si="497"/>
        <v>T3部件</v>
      </c>
      <c r="BH421" s="565">
        <v>1</v>
      </c>
      <c r="BI421" s="600">
        <v>7.0000000000000001E-3</v>
      </c>
      <c r="BJ421" s="170" t="e">
        <f t="shared" ca="1" si="502"/>
        <v>#VALUE!</v>
      </c>
      <c r="BK421" s="508" t="e">
        <f t="shared" ca="1" si="503"/>
        <v>#VALUE!</v>
      </c>
      <c r="BM421" s="512">
        <v>10</v>
      </c>
      <c r="BN421" s="527" t="s">
        <v>634</v>
      </c>
      <c r="BO421" s="525" t="s">
        <v>1211</v>
      </c>
      <c r="BP421" s="508">
        <f t="shared" ca="1" si="504"/>
        <v>142.6</v>
      </c>
      <c r="BQ421" s="615">
        <v>1.5</v>
      </c>
      <c r="BR421" s="523">
        <f>宝箱设定!$P225</f>
        <v>2.4666666666666663E-2</v>
      </c>
      <c r="BS421" s="170">
        <f t="shared" ca="1" si="505"/>
        <v>3.805516596540439E-2</v>
      </c>
      <c r="BT421" s="508">
        <f t="shared" ca="1" si="506"/>
        <v>381</v>
      </c>
      <c r="BV421" s="396">
        <v>10</v>
      </c>
      <c r="BW421" s="525" t="s">
        <v>2272</v>
      </c>
      <c r="BX421" s="530" t="s">
        <v>2200</v>
      </c>
      <c r="BY421" s="523" t="str">
        <f t="shared" ca="1" si="488"/>
        <v>T2部件</v>
      </c>
      <c r="BZ421" s="665">
        <v>1</v>
      </c>
      <c r="CA421" s="662">
        <v>1.7500000000000002E-2</v>
      </c>
      <c r="CB421" s="170" t="e">
        <f t="shared" ca="1" si="515"/>
        <v>#VALUE!</v>
      </c>
      <c r="CC421" s="394" t="e">
        <f t="shared" ca="1" si="516"/>
        <v>#VALUE!</v>
      </c>
    </row>
    <row r="422" spans="2:81" x14ac:dyDescent="0.35">
      <c r="B422" s="512">
        <v>9</v>
      </c>
      <c r="C422" s="516" t="s">
        <v>2262</v>
      </c>
      <c r="D422" s="529" t="s">
        <v>2444</v>
      </c>
      <c r="E422" s="508" t="str">
        <f t="shared" ca="1" si="480"/>
        <v>T2部件</v>
      </c>
      <c r="F422" s="594">
        <v>1.5</v>
      </c>
      <c r="G422" s="594">
        <v>8.6E-3</v>
      </c>
      <c r="H422" s="170" t="e">
        <f t="shared" ca="1" si="481"/>
        <v>#VALUE!</v>
      </c>
      <c r="I422" s="508" t="e">
        <f t="shared" ca="1" si="482"/>
        <v>#VALUE!</v>
      </c>
      <c r="K422" s="512">
        <v>9</v>
      </c>
      <c r="L422" s="516" t="s">
        <v>2262</v>
      </c>
      <c r="M422" s="529" t="s">
        <v>2444</v>
      </c>
      <c r="N422" s="508" t="str">
        <f t="shared" ca="1" si="483"/>
        <v>T2部件</v>
      </c>
      <c r="O422" s="565">
        <v>1</v>
      </c>
      <c r="P422" s="633">
        <v>8.5000000000000006E-3</v>
      </c>
      <c r="Q422" s="170" t="e">
        <f t="shared" ca="1" si="510"/>
        <v>#VALUE!</v>
      </c>
      <c r="R422" s="508" t="e">
        <f t="shared" ca="1" si="511"/>
        <v>#VALUE!</v>
      </c>
      <c r="T422" s="512">
        <v>9</v>
      </c>
      <c r="U422" s="516" t="s">
        <v>2262</v>
      </c>
      <c r="V422" s="529" t="s">
        <v>2444</v>
      </c>
      <c r="W422" s="508" t="str">
        <f t="shared" ca="1" si="485"/>
        <v>T2部件</v>
      </c>
      <c r="X422" s="565">
        <v>1</v>
      </c>
      <c r="Y422" s="625">
        <v>8.5000000000000006E-3</v>
      </c>
      <c r="Z422" s="170" t="e">
        <f t="shared" ca="1" si="512"/>
        <v>#VALUE!</v>
      </c>
      <c r="AA422" s="508" t="e">
        <f t="shared" ca="1" si="513"/>
        <v>#VALUE!</v>
      </c>
      <c r="AC422" s="512">
        <v>9</v>
      </c>
      <c r="AD422" s="516" t="s">
        <v>2252</v>
      </c>
      <c r="AE422" s="529" t="s">
        <v>2444</v>
      </c>
      <c r="AF422" s="508">
        <f t="shared" ca="1" si="507"/>
        <v>8.1</v>
      </c>
      <c r="AG422" s="594">
        <v>1</v>
      </c>
      <c r="AH422" s="633">
        <v>5.4999999999999997E-3</v>
      </c>
      <c r="AI422" s="170">
        <f t="shared" ca="1" si="517"/>
        <v>4.3456790123456789E-2</v>
      </c>
      <c r="AJ422" s="379">
        <f t="shared" ca="1" si="518"/>
        <v>435</v>
      </c>
      <c r="AL422" s="512" t="s">
        <v>597</v>
      </c>
      <c r="AM422" s="512" t="s">
        <v>1225</v>
      </c>
      <c r="AN422" s="513" t="s">
        <v>917</v>
      </c>
      <c r="AO422" s="166" t="s">
        <v>920</v>
      </c>
      <c r="AP422" s="386" t="s">
        <v>967</v>
      </c>
      <c r="AQ422" s="166" t="s">
        <v>854</v>
      </c>
      <c r="AR422" s="166" t="s">
        <v>926</v>
      </c>
      <c r="AS422" s="383" t="s">
        <v>927</v>
      </c>
      <c r="AT422" s="300" t="e">
        <f ca="1">SUM(AS423:AS496)</f>
        <v>#VALUE!</v>
      </c>
      <c r="AU422" s="512">
        <v>8</v>
      </c>
      <c r="AV422" s="516" t="s">
        <v>2282</v>
      </c>
      <c r="AW422" s="529" t="s">
        <v>2452</v>
      </c>
      <c r="AX422" s="508" t="str">
        <f t="shared" ca="1" si="496"/>
        <v>T3部件</v>
      </c>
      <c r="AY422" s="565">
        <v>1</v>
      </c>
      <c r="AZ422" s="625">
        <v>7.0000000000000001E-3</v>
      </c>
      <c r="BA422" s="170" t="e">
        <f t="shared" ca="1" si="463"/>
        <v>#VALUE!</v>
      </c>
      <c r="BB422" s="508" t="e">
        <f t="shared" ca="1" si="464"/>
        <v>#VALUE!</v>
      </c>
      <c r="BD422" s="512">
        <v>8</v>
      </c>
      <c r="BE422" s="516" t="s">
        <v>2282</v>
      </c>
      <c r="BF422" s="529" t="s">
        <v>2452</v>
      </c>
      <c r="BG422" s="508" t="str">
        <f t="shared" ca="1" si="497"/>
        <v>T3部件</v>
      </c>
      <c r="BH422" s="565">
        <v>1</v>
      </c>
      <c r="BI422" s="600">
        <v>7.0000000000000001E-3</v>
      </c>
      <c r="BJ422" s="170" t="e">
        <f t="shared" ca="1" si="502"/>
        <v>#VALUE!</v>
      </c>
      <c r="BK422" s="508" t="e">
        <f t="shared" ca="1" si="503"/>
        <v>#VALUE!</v>
      </c>
      <c r="BM422" s="512">
        <v>10</v>
      </c>
      <c r="BN422" s="527" t="s">
        <v>722</v>
      </c>
      <c r="BO422" s="525" t="s">
        <v>1211</v>
      </c>
      <c r="BP422" s="508">
        <f t="shared" ca="1" si="504"/>
        <v>142.6</v>
      </c>
      <c r="BQ422" s="615">
        <v>1.5</v>
      </c>
      <c r="BR422" s="523">
        <f>宝箱设定!$P226</f>
        <v>2.4666666666666663E-2</v>
      </c>
      <c r="BS422" s="170">
        <f t="shared" ca="1" si="505"/>
        <v>3.805516596540439E-2</v>
      </c>
      <c r="BT422" s="508">
        <f t="shared" ca="1" si="506"/>
        <v>381</v>
      </c>
      <c r="BV422" s="396">
        <v>10</v>
      </c>
      <c r="BW422" s="525" t="s">
        <v>2274</v>
      </c>
      <c r="BX422" s="530" t="s">
        <v>2200</v>
      </c>
      <c r="BY422" s="523" t="str">
        <f t="shared" ca="1" si="488"/>
        <v>T2部件</v>
      </c>
      <c r="BZ422" s="665">
        <v>1</v>
      </c>
      <c r="CA422" s="662">
        <v>1.7500000000000002E-2</v>
      </c>
      <c r="CB422" s="170" t="e">
        <f t="shared" ca="1" si="515"/>
        <v>#VALUE!</v>
      </c>
      <c r="CC422" s="394" t="e">
        <f t="shared" ca="1" si="516"/>
        <v>#VALUE!</v>
      </c>
    </row>
    <row r="423" spans="2:81" x14ac:dyDescent="0.35">
      <c r="B423" s="512">
        <v>9</v>
      </c>
      <c r="C423" s="516" t="s">
        <v>2264</v>
      </c>
      <c r="D423" s="529" t="s">
        <v>2444</v>
      </c>
      <c r="E423" s="508" t="str">
        <f t="shared" ca="1" si="480"/>
        <v>T2部件</v>
      </c>
      <c r="F423" s="594">
        <v>1.5</v>
      </c>
      <c r="G423" s="565">
        <v>8.5000000000000006E-3</v>
      </c>
      <c r="H423" s="170" t="e">
        <f t="shared" ca="1" si="481"/>
        <v>#VALUE!</v>
      </c>
      <c r="I423" s="508" t="e">
        <f t="shared" ca="1" si="482"/>
        <v>#VALUE!</v>
      </c>
      <c r="K423" s="512">
        <v>9</v>
      </c>
      <c r="L423" s="516" t="s">
        <v>2264</v>
      </c>
      <c r="M423" s="529" t="s">
        <v>2444</v>
      </c>
      <c r="N423" s="508" t="str">
        <f t="shared" ca="1" si="483"/>
        <v>T2部件</v>
      </c>
      <c r="O423" s="565">
        <v>1</v>
      </c>
      <c r="P423" s="633">
        <v>8.5000000000000006E-3</v>
      </c>
      <c r="Q423" s="170" t="e">
        <f t="shared" ca="1" si="510"/>
        <v>#VALUE!</v>
      </c>
      <c r="R423" s="508" t="e">
        <f t="shared" ca="1" si="511"/>
        <v>#VALUE!</v>
      </c>
      <c r="T423" s="512">
        <v>9</v>
      </c>
      <c r="U423" s="516" t="s">
        <v>2264</v>
      </c>
      <c r="V423" s="529" t="s">
        <v>2444</v>
      </c>
      <c r="W423" s="508" t="str">
        <f t="shared" ca="1" si="485"/>
        <v>T2部件</v>
      </c>
      <c r="X423" s="565">
        <v>1</v>
      </c>
      <c r="Y423" s="625">
        <v>8.5000000000000006E-3</v>
      </c>
      <c r="Z423" s="170" t="e">
        <f t="shared" ca="1" si="512"/>
        <v>#VALUE!</v>
      </c>
      <c r="AA423" s="508" t="e">
        <f t="shared" ca="1" si="513"/>
        <v>#VALUE!</v>
      </c>
      <c r="AC423" s="512">
        <v>9</v>
      </c>
      <c r="AD423" s="512" t="s">
        <v>2254</v>
      </c>
      <c r="AE423" s="529" t="s">
        <v>2444</v>
      </c>
      <c r="AF423" s="508">
        <f t="shared" ca="1" si="507"/>
        <v>8.1</v>
      </c>
      <c r="AG423" s="594">
        <v>1</v>
      </c>
      <c r="AH423" s="633">
        <v>5.4999999999999997E-3</v>
      </c>
      <c r="AI423" s="170">
        <f t="shared" ca="1" si="517"/>
        <v>4.3456790123456789E-2</v>
      </c>
      <c r="AJ423" s="379">
        <f t="shared" ca="1" si="518"/>
        <v>435</v>
      </c>
      <c r="AL423" s="512">
        <v>9</v>
      </c>
      <c r="AM423" s="516" t="s">
        <v>620</v>
      </c>
      <c r="AN423" s="512" t="s">
        <v>1211</v>
      </c>
      <c r="AO423" s="508">
        <f t="shared" ref="AO423:AO454" ca="1" si="519">IF(AN423="部件",VLOOKUP(AL423,INDIRECT(AN423&amp;"价值"),MATCH(LEFT(AM423,2)&amp;"部件",INDIRECT(AN423&amp;"价值标头"),0),FALSE),IF(AN423="加速道具",VLOOKUP(AM423,INDIRECT(AN423&amp;"价值"),MATCH("价格",INDIRECT(AN423&amp;"价值标头"),0),FALSE),VLOOKUP(AL423,INDIRECT(AN423&amp;"价值"),MATCH(AM423,INDIRECT(AN423&amp;"价值标头"),0),FALSE)))</f>
        <v>96</v>
      </c>
      <c r="AP423" s="408">
        <v>1.5</v>
      </c>
      <c r="AQ423" s="508">
        <f>宝箱设定!$X154</f>
        <v>7.2999999999999995E-2</v>
      </c>
      <c r="AR423" s="170">
        <f t="shared" ref="AR423:AR440" ca="1" si="520">AQ423*AM$4/AO423/AP423</f>
        <v>4.9173611111111105E-2</v>
      </c>
      <c r="AS423" s="379">
        <f t="shared" ref="AS423:AS440" ca="1" si="521">ROUND(AR423*10000,0)</f>
        <v>492</v>
      </c>
      <c r="AU423" s="512">
        <v>8</v>
      </c>
      <c r="AV423" s="516" t="s">
        <v>2284</v>
      </c>
      <c r="AW423" s="529" t="s">
        <v>2452</v>
      </c>
      <c r="AX423" s="508" t="str">
        <f t="shared" ca="1" si="496"/>
        <v>T3部件</v>
      </c>
      <c r="AY423" s="565">
        <v>1</v>
      </c>
      <c r="AZ423" s="625">
        <v>7.0000000000000001E-3</v>
      </c>
      <c r="BA423" s="170" t="e">
        <f t="shared" ca="1" si="463"/>
        <v>#VALUE!</v>
      </c>
      <c r="BB423" s="508" t="e">
        <f t="shared" ca="1" si="464"/>
        <v>#VALUE!</v>
      </c>
      <c r="BD423" s="512">
        <v>8</v>
      </c>
      <c r="BE423" s="516" t="s">
        <v>2284</v>
      </c>
      <c r="BF423" s="529" t="s">
        <v>2452</v>
      </c>
      <c r="BG423" s="508" t="str">
        <f t="shared" ca="1" si="497"/>
        <v>T3部件</v>
      </c>
      <c r="BH423" s="565">
        <v>1</v>
      </c>
      <c r="BI423" s="600">
        <v>7.0000000000000001E-3</v>
      </c>
      <c r="BJ423" s="170" t="e">
        <f t="shared" ca="1" si="502"/>
        <v>#VALUE!</v>
      </c>
      <c r="BK423" s="508" t="e">
        <f t="shared" ca="1" si="503"/>
        <v>#VALUE!</v>
      </c>
      <c r="BM423" s="512">
        <v>10</v>
      </c>
      <c r="BN423" s="527" t="s">
        <v>2258</v>
      </c>
      <c r="BO423" s="530" t="s">
        <v>2200</v>
      </c>
      <c r="BP423" s="508" t="str">
        <f t="shared" ca="1" si="504"/>
        <v>T2部件</v>
      </c>
      <c r="BQ423" s="508">
        <v>3</v>
      </c>
      <c r="BR423" s="605">
        <v>7.3000000000000001E-3</v>
      </c>
      <c r="BS423" s="170" t="e">
        <f t="shared" ca="1" si="505"/>
        <v>#VALUE!</v>
      </c>
      <c r="BT423" s="508" t="e">
        <f t="shared" ca="1" si="506"/>
        <v>#VALUE!</v>
      </c>
      <c r="BV423" s="396">
        <v>10</v>
      </c>
      <c r="BW423" s="527" t="s">
        <v>2259</v>
      </c>
      <c r="BX423" s="530" t="s">
        <v>2200</v>
      </c>
      <c r="BY423" s="523" t="str">
        <f t="shared" ca="1" si="488"/>
        <v>T2部件</v>
      </c>
      <c r="BZ423" s="665">
        <v>1</v>
      </c>
      <c r="CA423" s="662">
        <v>1.7500000000000002E-2</v>
      </c>
      <c r="CB423" s="170" t="e">
        <f t="shared" ca="1" si="515"/>
        <v>#VALUE!</v>
      </c>
      <c r="CC423" s="394" t="e">
        <f t="shared" ca="1" si="516"/>
        <v>#VALUE!</v>
      </c>
    </row>
    <row r="424" spans="2:81" x14ac:dyDescent="0.35">
      <c r="B424" s="512">
        <v>9</v>
      </c>
      <c r="C424" s="516" t="s">
        <v>2266</v>
      </c>
      <c r="D424" s="529" t="s">
        <v>2444</v>
      </c>
      <c r="E424" s="508" t="str">
        <f t="shared" ca="1" si="480"/>
        <v>T2部件</v>
      </c>
      <c r="F424" s="594">
        <v>1.5</v>
      </c>
      <c r="G424" s="594">
        <v>8.5000000000000006E-3</v>
      </c>
      <c r="H424" s="170" t="e">
        <f t="shared" ca="1" si="481"/>
        <v>#VALUE!</v>
      </c>
      <c r="I424" s="508" t="e">
        <f t="shared" ca="1" si="482"/>
        <v>#VALUE!</v>
      </c>
      <c r="K424" s="512">
        <v>9</v>
      </c>
      <c r="L424" s="516" t="s">
        <v>2266</v>
      </c>
      <c r="M424" s="529" t="s">
        <v>2444</v>
      </c>
      <c r="N424" s="508" t="str">
        <f t="shared" ca="1" si="483"/>
        <v>T2部件</v>
      </c>
      <c r="O424" s="565">
        <v>1</v>
      </c>
      <c r="P424" s="633">
        <v>8.5000000000000006E-3</v>
      </c>
      <c r="Q424" s="170" t="e">
        <f t="shared" ca="1" si="510"/>
        <v>#VALUE!</v>
      </c>
      <c r="R424" s="508" t="e">
        <f t="shared" ca="1" si="511"/>
        <v>#VALUE!</v>
      </c>
      <c r="T424" s="512">
        <v>9</v>
      </c>
      <c r="U424" s="516" t="s">
        <v>2266</v>
      </c>
      <c r="V424" s="529" t="s">
        <v>2444</v>
      </c>
      <c r="W424" s="508" t="str">
        <f t="shared" ca="1" si="485"/>
        <v>T2部件</v>
      </c>
      <c r="X424" s="565">
        <v>1</v>
      </c>
      <c r="Y424" s="625">
        <v>8.5000000000000006E-3</v>
      </c>
      <c r="Z424" s="170" t="e">
        <f t="shared" ca="1" si="512"/>
        <v>#VALUE!</v>
      </c>
      <c r="AA424" s="508" t="e">
        <f t="shared" ca="1" si="513"/>
        <v>#VALUE!</v>
      </c>
      <c r="AC424" s="512">
        <v>9</v>
      </c>
      <c r="AD424" s="512" t="s">
        <v>2256</v>
      </c>
      <c r="AE424" s="529" t="s">
        <v>2444</v>
      </c>
      <c r="AF424" s="508">
        <f t="shared" ca="1" si="507"/>
        <v>8.1</v>
      </c>
      <c r="AG424" s="594">
        <v>1</v>
      </c>
      <c r="AH424" s="633">
        <v>5.4999999999999997E-3</v>
      </c>
      <c r="AI424" s="170">
        <f t="shared" ca="1" si="517"/>
        <v>4.3456790123456789E-2</v>
      </c>
      <c r="AJ424" s="394">
        <f t="shared" ca="1" si="518"/>
        <v>435</v>
      </c>
      <c r="AL424" s="512">
        <v>9</v>
      </c>
      <c r="AM424" s="516" t="s">
        <v>719</v>
      </c>
      <c r="AN424" s="512" t="s">
        <v>1211</v>
      </c>
      <c r="AO424" s="508">
        <f t="shared" ca="1" si="519"/>
        <v>96</v>
      </c>
      <c r="AP424" s="600">
        <v>1.5</v>
      </c>
      <c r="AQ424" s="508">
        <f>宝箱设定!$X155</f>
        <v>7.2999999999999995E-2</v>
      </c>
      <c r="AR424" s="170">
        <f t="shared" ca="1" si="520"/>
        <v>4.9173611111111105E-2</v>
      </c>
      <c r="AS424" s="379">
        <f t="shared" ca="1" si="521"/>
        <v>492</v>
      </c>
      <c r="AU424" s="512">
        <v>8</v>
      </c>
      <c r="AV424" s="516" t="s">
        <v>2286</v>
      </c>
      <c r="AW424" s="529" t="s">
        <v>2452</v>
      </c>
      <c r="AX424" s="508" t="str">
        <f t="shared" ca="1" si="496"/>
        <v>T3部件</v>
      </c>
      <c r="AY424" s="565">
        <v>1</v>
      </c>
      <c r="AZ424" s="625">
        <v>7.0000000000000001E-3</v>
      </c>
      <c r="BA424" s="170" t="e">
        <f t="shared" ca="1" si="463"/>
        <v>#VALUE!</v>
      </c>
      <c r="BB424" s="508" t="e">
        <f t="shared" ca="1" si="464"/>
        <v>#VALUE!</v>
      </c>
      <c r="BD424" s="512">
        <v>8</v>
      </c>
      <c r="BE424" s="516" t="s">
        <v>2286</v>
      </c>
      <c r="BF424" s="529" t="s">
        <v>2452</v>
      </c>
      <c r="BG424" s="508" t="str">
        <f t="shared" ca="1" si="497"/>
        <v>T3部件</v>
      </c>
      <c r="BH424" s="565">
        <v>1</v>
      </c>
      <c r="BI424" s="600">
        <v>7.0000000000000001E-3</v>
      </c>
      <c r="BJ424" s="170" t="e">
        <f t="shared" ca="1" si="502"/>
        <v>#VALUE!</v>
      </c>
      <c r="BK424" s="508" t="e">
        <f t="shared" ca="1" si="503"/>
        <v>#VALUE!</v>
      </c>
      <c r="BM424" s="512">
        <v>10</v>
      </c>
      <c r="BN424" s="527" t="s">
        <v>2260</v>
      </c>
      <c r="BO424" s="530" t="s">
        <v>2200</v>
      </c>
      <c r="BP424" s="508" t="str">
        <f t="shared" ca="1" si="504"/>
        <v>T2部件</v>
      </c>
      <c r="BQ424" s="632">
        <v>3</v>
      </c>
      <c r="BR424" s="615">
        <v>7.3000000000000001E-3</v>
      </c>
      <c r="BS424" s="170" t="e">
        <f t="shared" ca="1" si="505"/>
        <v>#VALUE!</v>
      </c>
      <c r="BT424" s="508" t="e">
        <f t="shared" ca="1" si="506"/>
        <v>#VALUE!</v>
      </c>
      <c r="BV424" s="396">
        <v>10</v>
      </c>
      <c r="BW424" s="527" t="s">
        <v>2261</v>
      </c>
      <c r="BX424" s="530" t="s">
        <v>2200</v>
      </c>
      <c r="BY424" s="523" t="str">
        <f t="shared" ca="1" si="488"/>
        <v>T2部件</v>
      </c>
      <c r="BZ424" s="665">
        <v>1</v>
      </c>
      <c r="CA424" s="662">
        <v>1.7500000000000002E-2</v>
      </c>
      <c r="CB424" s="170" t="e">
        <f t="shared" ca="1" si="515"/>
        <v>#VALUE!</v>
      </c>
      <c r="CC424" s="394" t="e">
        <f t="shared" ca="1" si="516"/>
        <v>#VALUE!</v>
      </c>
    </row>
    <row r="425" spans="2:81" x14ac:dyDescent="0.35">
      <c r="B425" s="512">
        <v>9</v>
      </c>
      <c r="C425" s="516" t="s">
        <v>2268</v>
      </c>
      <c r="D425" s="529" t="s">
        <v>2444</v>
      </c>
      <c r="E425" s="508" t="str">
        <f t="shared" ca="1" si="480"/>
        <v>T2部件</v>
      </c>
      <c r="F425" s="594">
        <v>1.5</v>
      </c>
      <c r="G425" s="594">
        <v>8.5000000000000006E-3</v>
      </c>
      <c r="H425" s="170" t="e">
        <f t="shared" ca="1" si="481"/>
        <v>#VALUE!</v>
      </c>
      <c r="I425" s="508" t="e">
        <f t="shared" ca="1" si="482"/>
        <v>#VALUE!</v>
      </c>
      <c r="K425" s="512">
        <v>9</v>
      </c>
      <c r="L425" s="516" t="s">
        <v>2268</v>
      </c>
      <c r="M425" s="529" t="s">
        <v>2444</v>
      </c>
      <c r="N425" s="508" t="str">
        <f t="shared" ca="1" si="483"/>
        <v>T2部件</v>
      </c>
      <c r="O425" s="565">
        <v>1</v>
      </c>
      <c r="P425" s="633">
        <v>8.5000000000000006E-3</v>
      </c>
      <c r="Q425" s="170" t="e">
        <f t="shared" ca="1" si="510"/>
        <v>#VALUE!</v>
      </c>
      <c r="R425" s="508" t="e">
        <f t="shared" ca="1" si="511"/>
        <v>#VALUE!</v>
      </c>
      <c r="T425" s="512">
        <v>9</v>
      </c>
      <c r="U425" s="516" t="s">
        <v>2268</v>
      </c>
      <c r="V425" s="529" t="s">
        <v>2444</v>
      </c>
      <c r="W425" s="508" t="str">
        <f t="shared" ca="1" si="485"/>
        <v>T2部件</v>
      </c>
      <c r="X425" s="565">
        <v>1</v>
      </c>
      <c r="Y425" s="625">
        <v>8.5000000000000006E-3</v>
      </c>
      <c r="Z425" s="170" t="e">
        <f t="shared" ca="1" si="512"/>
        <v>#VALUE!</v>
      </c>
      <c r="AA425" s="508" t="e">
        <f t="shared" ca="1" si="513"/>
        <v>#VALUE!</v>
      </c>
      <c r="AC425" s="512">
        <v>9</v>
      </c>
      <c r="AD425" s="516" t="s">
        <v>2241</v>
      </c>
      <c r="AE425" s="529" t="s">
        <v>2444</v>
      </c>
      <c r="AF425" s="508">
        <f t="shared" ca="1" si="507"/>
        <v>8.1</v>
      </c>
      <c r="AG425" s="594">
        <v>1</v>
      </c>
      <c r="AH425" s="633">
        <v>5.4999999999999997E-3</v>
      </c>
      <c r="AI425" s="170">
        <f t="shared" ca="1" si="517"/>
        <v>4.3456790123456789E-2</v>
      </c>
      <c r="AJ425" s="394">
        <f t="shared" ca="1" si="518"/>
        <v>435</v>
      </c>
      <c r="AL425" s="512">
        <v>9</v>
      </c>
      <c r="AM425" s="516" t="s">
        <v>635</v>
      </c>
      <c r="AN425" s="512" t="s">
        <v>1211</v>
      </c>
      <c r="AO425" s="508">
        <f t="shared" ca="1" si="519"/>
        <v>96</v>
      </c>
      <c r="AP425" s="600">
        <v>1.5</v>
      </c>
      <c r="AQ425" s="508">
        <f>宝箱设定!$X156</f>
        <v>7.2999999999999995E-2</v>
      </c>
      <c r="AR425" s="170">
        <f t="shared" ca="1" si="520"/>
        <v>4.9173611111111105E-2</v>
      </c>
      <c r="AS425" s="379">
        <f t="shared" ca="1" si="521"/>
        <v>492</v>
      </c>
      <c r="AU425" s="512">
        <v>8</v>
      </c>
      <c r="AV425" s="516" t="s">
        <v>2288</v>
      </c>
      <c r="AW425" s="529" t="s">
        <v>2452</v>
      </c>
      <c r="AX425" s="508" t="str">
        <f t="shared" ca="1" si="496"/>
        <v>T3部件</v>
      </c>
      <c r="AY425" s="565">
        <v>1</v>
      </c>
      <c r="AZ425" s="625">
        <v>7.0000000000000001E-3</v>
      </c>
      <c r="BA425" s="170" t="e">
        <f t="shared" ca="1" si="463"/>
        <v>#VALUE!</v>
      </c>
      <c r="BB425" s="508" t="e">
        <f t="shared" ca="1" si="464"/>
        <v>#VALUE!</v>
      </c>
      <c r="BD425" s="512">
        <v>8</v>
      </c>
      <c r="BE425" s="516" t="s">
        <v>2288</v>
      </c>
      <c r="BF425" s="529" t="s">
        <v>2452</v>
      </c>
      <c r="BG425" s="508" t="str">
        <f t="shared" ca="1" si="497"/>
        <v>T3部件</v>
      </c>
      <c r="BH425" s="565">
        <v>1</v>
      </c>
      <c r="BI425" s="600">
        <v>7.0000000000000001E-3</v>
      </c>
      <c r="BJ425" s="170" t="e">
        <f t="shared" ca="1" si="502"/>
        <v>#VALUE!</v>
      </c>
      <c r="BK425" s="508" t="e">
        <f t="shared" ca="1" si="503"/>
        <v>#VALUE!</v>
      </c>
      <c r="BM425" s="512">
        <v>10</v>
      </c>
      <c r="BN425" s="527" t="s">
        <v>2262</v>
      </c>
      <c r="BO425" s="530" t="s">
        <v>2200</v>
      </c>
      <c r="BP425" s="508" t="str">
        <f t="shared" ca="1" si="504"/>
        <v>T2部件</v>
      </c>
      <c r="BQ425" s="632">
        <v>3</v>
      </c>
      <c r="BR425" s="615">
        <v>7.3000000000000001E-3</v>
      </c>
      <c r="BS425" s="170" t="e">
        <f t="shared" ca="1" si="505"/>
        <v>#VALUE!</v>
      </c>
      <c r="BT425" s="508" t="e">
        <f t="shared" ca="1" si="506"/>
        <v>#VALUE!</v>
      </c>
      <c r="BV425" s="396">
        <v>10</v>
      </c>
      <c r="BW425" s="527" t="s">
        <v>2263</v>
      </c>
      <c r="BX425" s="530" t="s">
        <v>2200</v>
      </c>
      <c r="BY425" s="523" t="str">
        <f t="shared" ca="1" si="488"/>
        <v>T2部件</v>
      </c>
      <c r="BZ425" s="665">
        <v>1</v>
      </c>
      <c r="CA425" s="662">
        <v>1.7500000000000002E-2</v>
      </c>
      <c r="CB425" s="170" t="e">
        <f t="shared" ca="1" si="515"/>
        <v>#VALUE!</v>
      </c>
      <c r="CC425" s="394" t="e">
        <f t="shared" ca="1" si="516"/>
        <v>#VALUE!</v>
      </c>
    </row>
    <row r="426" spans="2:81" x14ac:dyDescent="0.35">
      <c r="B426" s="512">
        <v>9</v>
      </c>
      <c r="C426" s="516" t="s">
        <v>2270</v>
      </c>
      <c r="D426" s="529" t="s">
        <v>2444</v>
      </c>
      <c r="E426" s="508" t="str">
        <f t="shared" ca="1" si="480"/>
        <v>T2部件</v>
      </c>
      <c r="F426" s="594">
        <v>1.5</v>
      </c>
      <c r="G426" s="594">
        <v>8.5000000000000006E-3</v>
      </c>
      <c r="H426" s="170" t="e">
        <f t="shared" ca="1" si="481"/>
        <v>#VALUE!</v>
      </c>
      <c r="I426" s="508" t="e">
        <f t="shared" ca="1" si="482"/>
        <v>#VALUE!</v>
      </c>
      <c r="K426" s="512">
        <v>9</v>
      </c>
      <c r="L426" s="516" t="s">
        <v>2270</v>
      </c>
      <c r="M426" s="529" t="s">
        <v>2444</v>
      </c>
      <c r="N426" s="508" t="str">
        <f t="shared" ca="1" si="483"/>
        <v>T2部件</v>
      </c>
      <c r="O426" s="565">
        <v>1</v>
      </c>
      <c r="P426" s="633">
        <v>8.5000000000000006E-3</v>
      </c>
      <c r="Q426" s="170" t="e">
        <f t="shared" ca="1" si="510"/>
        <v>#VALUE!</v>
      </c>
      <c r="R426" s="508" t="e">
        <f t="shared" ca="1" si="511"/>
        <v>#VALUE!</v>
      </c>
      <c r="T426" s="512">
        <v>9</v>
      </c>
      <c r="U426" s="516" t="s">
        <v>2270</v>
      </c>
      <c r="V426" s="529" t="s">
        <v>2444</v>
      </c>
      <c r="W426" s="508" t="str">
        <f t="shared" ca="1" si="485"/>
        <v>T2部件</v>
      </c>
      <c r="X426" s="565">
        <v>1</v>
      </c>
      <c r="Y426" s="625">
        <v>8.5000000000000006E-3</v>
      </c>
      <c r="Z426" s="170" t="e">
        <f t="shared" ca="1" si="512"/>
        <v>#VALUE!</v>
      </c>
      <c r="AA426" s="508" t="e">
        <f t="shared" ca="1" si="513"/>
        <v>#VALUE!</v>
      </c>
      <c r="AC426" s="512">
        <v>9</v>
      </c>
      <c r="AD426" s="516" t="s">
        <v>2243</v>
      </c>
      <c r="AE426" s="529" t="s">
        <v>2444</v>
      </c>
      <c r="AF426" s="508">
        <f t="shared" ca="1" si="507"/>
        <v>8.1</v>
      </c>
      <c r="AG426" s="594">
        <v>1</v>
      </c>
      <c r="AH426" s="633">
        <v>5.4999999999999997E-3</v>
      </c>
      <c r="AI426" s="170">
        <f t="shared" ca="1" si="517"/>
        <v>4.3456790123456789E-2</v>
      </c>
      <c r="AJ426" s="394">
        <f t="shared" ca="1" si="518"/>
        <v>435</v>
      </c>
      <c r="AL426" s="512">
        <v>9</v>
      </c>
      <c r="AM426" s="516" t="s">
        <v>717</v>
      </c>
      <c r="AN426" s="512" t="s">
        <v>1211</v>
      </c>
      <c r="AO426" s="508">
        <f t="shared" ca="1" si="519"/>
        <v>120</v>
      </c>
      <c r="AP426" s="508">
        <v>1</v>
      </c>
      <c r="AQ426" s="508">
        <f>宝箱设定!$X157</f>
        <v>7.2999999999999995E-2</v>
      </c>
      <c r="AR426" s="170">
        <f t="shared" ca="1" si="520"/>
        <v>5.9008333333333329E-2</v>
      </c>
      <c r="AS426" s="408">
        <f t="shared" ca="1" si="521"/>
        <v>590</v>
      </c>
      <c r="AU426" s="512">
        <v>8</v>
      </c>
      <c r="AV426" s="512" t="s">
        <v>2290</v>
      </c>
      <c r="AW426" s="529" t="s">
        <v>2452</v>
      </c>
      <c r="AX426" s="508" t="str">
        <f t="shared" ca="1" si="496"/>
        <v>T3部件</v>
      </c>
      <c r="AY426" s="565">
        <v>1</v>
      </c>
      <c r="AZ426" s="625">
        <v>7.0000000000000001E-3</v>
      </c>
      <c r="BA426" s="170" t="e">
        <f t="shared" ca="1" si="463"/>
        <v>#VALUE!</v>
      </c>
      <c r="BB426" s="508" t="e">
        <f t="shared" ca="1" si="464"/>
        <v>#VALUE!</v>
      </c>
      <c r="BD426" s="512">
        <v>8</v>
      </c>
      <c r="BE426" s="512" t="s">
        <v>2290</v>
      </c>
      <c r="BF426" s="529" t="s">
        <v>2452</v>
      </c>
      <c r="BG426" s="508" t="str">
        <f t="shared" ca="1" si="497"/>
        <v>T3部件</v>
      </c>
      <c r="BH426" s="565">
        <v>1</v>
      </c>
      <c r="BI426" s="600">
        <v>7.0000000000000001E-3</v>
      </c>
      <c r="BJ426" s="170" t="e">
        <f t="shared" ca="1" si="502"/>
        <v>#VALUE!</v>
      </c>
      <c r="BK426" s="508" t="e">
        <f t="shared" ca="1" si="503"/>
        <v>#VALUE!</v>
      </c>
      <c r="BM426" s="512">
        <v>10</v>
      </c>
      <c r="BN426" s="527" t="s">
        <v>2264</v>
      </c>
      <c r="BO426" s="530" t="s">
        <v>2200</v>
      </c>
      <c r="BP426" s="508" t="str">
        <f t="shared" ca="1" si="504"/>
        <v>T2部件</v>
      </c>
      <c r="BQ426" s="632">
        <v>3</v>
      </c>
      <c r="BR426" s="615">
        <v>7.3000000000000001E-3</v>
      </c>
      <c r="BS426" s="170" t="e">
        <f t="shared" ca="1" si="505"/>
        <v>#VALUE!</v>
      </c>
      <c r="BT426" s="508" t="e">
        <f t="shared" ca="1" si="506"/>
        <v>#VALUE!</v>
      </c>
      <c r="BV426" s="396">
        <v>10</v>
      </c>
      <c r="BW426" s="527" t="s">
        <v>2265</v>
      </c>
      <c r="BX426" s="530" t="s">
        <v>2200</v>
      </c>
      <c r="BY426" s="523" t="str">
        <f t="shared" ca="1" si="488"/>
        <v>T2部件</v>
      </c>
      <c r="BZ426" s="665">
        <v>1</v>
      </c>
      <c r="CA426" s="662">
        <v>1.7500000000000002E-2</v>
      </c>
      <c r="CB426" s="170" t="e">
        <f t="shared" ca="1" si="515"/>
        <v>#VALUE!</v>
      </c>
      <c r="CC426" s="394" t="e">
        <f t="shared" ca="1" si="516"/>
        <v>#VALUE!</v>
      </c>
    </row>
    <row r="427" spans="2:81" x14ac:dyDescent="0.35">
      <c r="B427" s="512">
        <v>9</v>
      </c>
      <c r="C427" s="512" t="s">
        <v>2272</v>
      </c>
      <c r="D427" s="529" t="s">
        <v>2444</v>
      </c>
      <c r="E427" s="508" t="str">
        <f t="shared" ref="E427:E458" ca="1" si="522">IF(D427="部件",VLOOKUP(B427,INDIRECT(D427&amp;"价值"),MATCH(LEFT(C427,2)&amp;"部件",INDIRECT(D427&amp;"价值标头"),0),FALSE),IF(D427="加速道具",VLOOKUP(C427,INDIRECT(D427&amp;"价值"),MATCH("价格",INDIRECT(D427&amp;"价值标头"),0),FALSE),VLOOKUP(B427,INDIRECT(D427&amp;"价值"),MATCH(C427,INDIRECT(D427&amp;"价值标头"),0),FALSE)))</f>
        <v>T2部件</v>
      </c>
      <c r="F427" s="594">
        <v>1.5</v>
      </c>
      <c r="G427" s="594">
        <v>8.5000000000000006E-3</v>
      </c>
      <c r="H427" s="170" t="e">
        <f t="shared" ca="1" si="481"/>
        <v>#VALUE!</v>
      </c>
      <c r="I427" s="508" t="e">
        <f t="shared" ca="1" si="482"/>
        <v>#VALUE!</v>
      </c>
      <c r="K427" s="512">
        <v>9</v>
      </c>
      <c r="L427" s="512" t="s">
        <v>2272</v>
      </c>
      <c r="M427" s="529" t="s">
        <v>2444</v>
      </c>
      <c r="N427" s="508" t="str">
        <f t="shared" ref="N427:N458" ca="1" si="523">IF(M427="部件",VLOOKUP(K427,INDIRECT(M427&amp;"价值"),MATCH(LEFT(L427,2)&amp;"部件",INDIRECT(M427&amp;"价值标头"),0),FALSE),IF(M427="加速道具",VLOOKUP(L427,INDIRECT(M427&amp;"价值"),MATCH("价格",INDIRECT(M427&amp;"价值标头"),0),FALSE),VLOOKUP(K427,INDIRECT(M427&amp;"价值"),MATCH(L427,INDIRECT(M427&amp;"价值标头"),0),FALSE)))</f>
        <v>T2部件</v>
      </c>
      <c r="O427" s="565">
        <v>1</v>
      </c>
      <c r="P427" s="633">
        <v>8.5000000000000006E-3</v>
      </c>
      <c r="Q427" s="170" t="e">
        <f t="shared" ca="1" si="510"/>
        <v>#VALUE!</v>
      </c>
      <c r="R427" s="508" t="e">
        <f t="shared" ca="1" si="511"/>
        <v>#VALUE!</v>
      </c>
      <c r="T427" s="512">
        <v>9</v>
      </c>
      <c r="U427" s="512" t="s">
        <v>2272</v>
      </c>
      <c r="V427" s="529" t="s">
        <v>2444</v>
      </c>
      <c r="W427" s="508" t="str">
        <f t="shared" ref="W427:W458" ca="1" si="524">IF(V427="部件",VLOOKUP(T427,INDIRECT(V427&amp;"价值"),MATCH(LEFT(U427,2)&amp;"部件",INDIRECT(V427&amp;"价值标头"),0),FALSE),IF(V427="加速道具",VLOOKUP(U427,INDIRECT(V427&amp;"价值"),MATCH("价格",INDIRECT(V427&amp;"价值标头"),0),FALSE),VLOOKUP(T427,INDIRECT(V427&amp;"价值"),MATCH(U427,INDIRECT(V427&amp;"价值标头"),0),FALSE)))</f>
        <v>T2部件</v>
      </c>
      <c r="X427" s="565">
        <v>1</v>
      </c>
      <c r="Y427" s="625">
        <v>8.5000000000000006E-3</v>
      </c>
      <c r="Z427" s="170" t="e">
        <f t="shared" ca="1" si="512"/>
        <v>#VALUE!</v>
      </c>
      <c r="AA427" s="508" t="e">
        <f t="shared" ca="1" si="513"/>
        <v>#VALUE!</v>
      </c>
      <c r="AC427" s="512">
        <v>9</v>
      </c>
      <c r="AD427" s="516" t="s">
        <v>2245</v>
      </c>
      <c r="AE427" s="529" t="s">
        <v>2444</v>
      </c>
      <c r="AF427" s="508">
        <f t="shared" ca="1" si="507"/>
        <v>8.1</v>
      </c>
      <c r="AG427" s="594">
        <v>1</v>
      </c>
      <c r="AH427" s="633">
        <v>5.4999999999999997E-3</v>
      </c>
      <c r="AI427" s="170">
        <f t="shared" ref="AI427:AI478" ca="1" si="525">AH427*AD$4/AF427/AG427</f>
        <v>4.3456790123456789E-2</v>
      </c>
      <c r="AJ427" s="508">
        <f t="shared" ref="AJ427:AJ478" ca="1" si="526">ROUND(AI427*10000,0)</f>
        <v>435</v>
      </c>
      <c r="AL427" s="512">
        <v>9</v>
      </c>
      <c r="AM427" s="516" t="s">
        <v>720</v>
      </c>
      <c r="AN427" s="512" t="s">
        <v>1211</v>
      </c>
      <c r="AO427" s="508">
        <f t="shared" ca="1" si="519"/>
        <v>120</v>
      </c>
      <c r="AP427" s="508">
        <v>1</v>
      </c>
      <c r="AQ427" s="508">
        <f>宝箱设定!$X158</f>
        <v>7.2999999999999995E-2</v>
      </c>
      <c r="AR427" s="170">
        <f t="shared" ca="1" si="520"/>
        <v>5.9008333333333329E-2</v>
      </c>
      <c r="AS427" s="408">
        <f t="shared" ca="1" si="521"/>
        <v>590</v>
      </c>
      <c r="AU427" s="512">
        <v>8</v>
      </c>
      <c r="AV427" s="512" t="s">
        <v>2292</v>
      </c>
      <c r="AW427" s="529" t="s">
        <v>2452</v>
      </c>
      <c r="AX427" s="508" t="str">
        <f t="shared" ca="1" si="496"/>
        <v>T3部件</v>
      </c>
      <c r="AY427" s="565">
        <v>1</v>
      </c>
      <c r="AZ427" s="625">
        <v>7.0000000000000001E-3</v>
      </c>
      <c r="BA427" s="170" t="e">
        <f t="shared" ca="1" si="463"/>
        <v>#VALUE!</v>
      </c>
      <c r="BB427" s="508" t="e">
        <f t="shared" ca="1" si="464"/>
        <v>#VALUE!</v>
      </c>
      <c r="BD427" s="512">
        <v>8</v>
      </c>
      <c r="BE427" s="512" t="s">
        <v>2292</v>
      </c>
      <c r="BF427" s="529" t="s">
        <v>2452</v>
      </c>
      <c r="BG427" s="508" t="str">
        <f t="shared" ca="1" si="497"/>
        <v>T3部件</v>
      </c>
      <c r="BH427" s="565">
        <v>1</v>
      </c>
      <c r="BI427" s="600">
        <v>7.0000000000000001E-3</v>
      </c>
      <c r="BJ427" s="170" t="e">
        <f t="shared" ca="1" si="502"/>
        <v>#VALUE!</v>
      </c>
      <c r="BK427" s="508" t="e">
        <f t="shared" ca="1" si="503"/>
        <v>#VALUE!</v>
      </c>
      <c r="BM427" s="512">
        <v>10</v>
      </c>
      <c r="BN427" s="527" t="s">
        <v>2266</v>
      </c>
      <c r="BO427" s="530" t="s">
        <v>2200</v>
      </c>
      <c r="BP427" s="508" t="str">
        <f t="shared" ca="1" si="504"/>
        <v>T2部件</v>
      </c>
      <c r="BQ427" s="632">
        <v>3</v>
      </c>
      <c r="BR427" s="615">
        <v>7.3000000000000001E-3</v>
      </c>
      <c r="BS427" s="170" t="e">
        <f t="shared" ca="1" si="505"/>
        <v>#VALUE!</v>
      </c>
      <c r="BT427" s="508" t="e">
        <f t="shared" ca="1" si="506"/>
        <v>#VALUE!</v>
      </c>
      <c r="BV427" s="396">
        <v>10</v>
      </c>
      <c r="BW427" s="527" t="s">
        <v>2267</v>
      </c>
      <c r="BX427" s="530" t="s">
        <v>2200</v>
      </c>
      <c r="BY427" s="523" t="str">
        <f t="shared" ca="1" si="488"/>
        <v>T2部件</v>
      </c>
      <c r="BZ427" s="665">
        <v>1</v>
      </c>
      <c r="CA427" s="662">
        <v>1.7500000000000002E-2</v>
      </c>
      <c r="CB427" s="170" t="e">
        <f t="shared" ca="1" si="515"/>
        <v>#VALUE!</v>
      </c>
      <c r="CC427" s="394" t="e">
        <f t="shared" ca="1" si="516"/>
        <v>#VALUE!</v>
      </c>
    </row>
    <row r="428" spans="2:81" x14ac:dyDescent="0.35">
      <c r="B428" s="512">
        <v>9</v>
      </c>
      <c r="C428" s="512" t="s">
        <v>2274</v>
      </c>
      <c r="D428" s="529" t="s">
        <v>2444</v>
      </c>
      <c r="E428" s="508" t="str">
        <f t="shared" ca="1" si="522"/>
        <v>T2部件</v>
      </c>
      <c r="F428" s="594">
        <v>1.5</v>
      </c>
      <c r="G428" s="594">
        <v>8.5000000000000006E-3</v>
      </c>
      <c r="H428" s="170" t="e">
        <f t="shared" ca="1" si="481"/>
        <v>#VALUE!</v>
      </c>
      <c r="I428" s="508" t="e">
        <f t="shared" ca="1" si="482"/>
        <v>#VALUE!</v>
      </c>
      <c r="K428" s="512">
        <v>9</v>
      </c>
      <c r="L428" s="512" t="s">
        <v>2274</v>
      </c>
      <c r="M428" s="529" t="s">
        <v>2444</v>
      </c>
      <c r="N428" s="508" t="str">
        <f t="shared" ca="1" si="523"/>
        <v>T2部件</v>
      </c>
      <c r="O428" s="565">
        <v>1</v>
      </c>
      <c r="P428" s="633">
        <v>8.5000000000000006E-3</v>
      </c>
      <c r="Q428" s="170" t="e">
        <f t="shared" ca="1" si="510"/>
        <v>#VALUE!</v>
      </c>
      <c r="R428" s="508" t="e">
        <f t="shared" ca="1" si="511"/>
        <v>#VALUE!</v>
      </c>
      <c r="T428" s="512">
        <v>9</v>
      </c>
      <c r="U428" s="512" t="s">
        <v>2274</v>
      </c>
      <c r="V428" s="529" t="s">
        <v>2444</v>
      </c>
      <c r="W428" s="508" t="str">
        <f t="shared" ca="1" si="524"/>
        <v>T2部件</v>
      </c>
      <c r="X428" s="565">
        <v>1</v>
      </c>
      <c r="Y428" s="625">
        <v>8.5000000000000006E-3</v>
      </c>
      <c r="Z428" s="170" t="e">
        <f t="shared" ca="1" si="512"/>
        <v>#VALUE!</v>
      </c>
      <c r="AA428" s="508" t="e">
        <f t="shared" ca="1" si="513"/>
        <v>#VALUE!</v>
      </c>
      <c r="AC428" s="512">
        <v>9</v>
      </c>
      <c r="AD428" s="516" t="s">
        <v>2247</v>
      </c>
      <c r="AE428" s="529" t="s">
        <v>2444</v>
      </c>
      <c r="AF428" s="508">
        <f t="shared" ca="1" si="507"/>
        <v>8.1</v>
      </c>
      <c r="AG428" s="594">
        <v>1</v>
      </c>
      <c r="AH428" s="633">
        <v>5.4999999999999997E-3</v>
      </c>
      <c r="AI428" s="170">
        <f t="shared" ca="1" si="525"/>
        <v>4.3456790123456789E-2</v>
      </c>
      <c r="AJ428" s="508">
        <f t="shared" ca="1" si="526"/>
        <v>435</v>
      </c>
      <c r="AL428" s="512">
        <v>9</v>
      </c>
      <c r="AM428" s="516" t="s">
        <v>621</v>
      </c>
      <c r="AN428" s="512" t="s">
        <v>1211</v>
      </c>
      <c r="AO428" s="508">
        <f t="shared" ca="1" si="519"/>
        <v>148.79999999999998</v>
      </c>
      <c r="AP428" s="508">
        <v>1</v>
      </c>
      <c r="AQ428" s="508">
        <f>宝箱设定!$X159</f>
        <v>7.2999999999999995E-2</v>
      </c>
      <c r="AR428" s="170">
        <f t="shared" ca="1" si="520"/>
        <v>4.7587365591397854E-2</v>
      </c>
      <c r="AS428" s="408">
        <f t="shared" ca="1" si="521"/>
        <v>476</v>
      </c>
      <c r="AU428" s="512">
        <v>8</v>
      </c>
      <c r="AV428" s="516" t="s">
        <v>2277</v>
      </c>
      <c r="AW428" s="529" t="s">
        <v>2452</v>
      </c>
      <c r="AX428" s="508" t="str">
        <f t="shared" ca="1" si="496"/>
        <v>T3部件</v>
      </c>
      <c r="AY428" s="565">
        <v>1</v>
      </c>
      <c r="AZ428" s="625">
        <v>7.0000000000000001E-3</v>
      </c>
      <c r="BA428" s="170" t="e">
        <f t="shared" ca="1" si="463"/>
        <v>#VALUE!</v>
      </c>
      <c r="BB428" s="508" t="e">
        <f t="shared" ca="1" si="464"/>
        <v>#VALUE!</v>
      </c>
      <c r="BD428" s="512">
        <v>8</v>
      </c>
      <c r="BE428" s="516" t="s">
        <v>2277</v>
      </c>
      <c r="BF428" s="529" t="s">
        <v>2452</v>
      </c>
      <c r="BG428" s="508" t="str">
        <f t="shared" ca="1" si="497"/>
        <v>T3部件</v>
      </c>
      <c r="BH428" s="565">
        <v>1</v>
      </c>
      <c r="BI428" s="600">
        <v>7.0000000000000001E-3</v>
      </c>
      <c r="BJ428" s="170" t="e">
        <f t="shared" ca="1" si="502"/>
        <v>#VALUE!</v>
      </c>
      <c r="BK428" s="508" t="e">
        <f t="shared" ca="1" si="503"/>
        <v>#VALUE!</v>
      </c>
      <c r="BM428" s="512">
        <v>10</v>
      </c>
      <c r="BN428" s="527" t="s">
        <v>2268</v>
      </c>
      <c r="BO428" s="530" t="s">
        <v>2200</v>
      </c>
      <c r="BP428" s="508" t="str">
        <f t="shared" ca="1" si="504"/>
        <v>T2部件</v>
      </c>
      <c r="BQ428" s="632">
        <v>3</v>
      </c>
      <c r="BR428" s="615">
        <v>7.3000000000000001E-3</v>
      </c>
      <c r="BS428" s="170" t="e">
        <f t="shared" ca="1" si="505"/>
        <v>#VALUE!</v>
      </c>
      <c r="BT428" s="508" t="e">
        <f t="shared" ca="1" si="506"/>
        <v>#VALUE!</v>
      </c>
      <c r="BV428" s="396">
        <v>10</v>
      </c>
      <c r="BW428" s="527" t="s">
        <v>2269</v>
      </c>
      <c r="BX428" s="530" t="s">
        <v>2200</v>
      </c>
      <c r="BY428" s="523" t="str">
        <f t="shared" ref="BY428:BY449" ca="1" si="527">IF(BX428="部件",VLOOKUP(BV428,INDIRECT(BX428&amp;"价值"),MATCH(LEFT(BW428,2)&amp;"部件",INDIRECT(BX428&amp;"价值标头"),0),FALSE),IF(BX428="加速道具",VLOOKUP(BW428,INDIRECT(BX428&amp;"价值"),MATCH("价格",INDIRECT(BX428&amp;"价值标头"),0),FALSE),VLOOKUP(BV428,INDIRECT(BX428&amp;"价值"),MATCH(BW428,INDIRECT(BX428&amp;"价值标头"),0),FALSE)))</f>
        <v>T2部件</v>
      </c>
      <c r="BZ428" s="665">
        <v>1</v>
      </c>
      <c r="CA428" s="662">
        <v>1.7500000000000002E-2</v>
      </c>
      <c r="CB428" s="170" t="e">
        <f t="shared" ca="1" si="515"/>
        <v>#VALUE!</v>
      </c>
      <c r="CC428" s="394" t="e">
        <f t="shared" ca="1" si="516"/>
        <v>#VALUE!</v>
      </c>
    </row>
    <row r="429" spans="2:81" x14ac:dyDescent="0.35">
      <c r="B429" s="512">
        <v>9</v>
      </c>
      <c r="C429" s="516" t="s">
        <v>2259</v>
      </c>
      <c r="D429" s="529" t="s">
        <v>2444</v>
      </c>
      <c r="E429" s="508" t="str">
        <f t="shared" ca="1" si="522"/>
        <v>T2部件</v>
      </c>
      <c r="F429" s="594">
        <v>1.5</v>
      </c>
      <c r="G429" s="594">
        <v>8.5000000000000006E-3</v>
      </c>
      <c r="H429" s="170" t="e">
        <f t="shared" ca="1" si="481"/>
        <v>#VALUE!</v>
      </c>
      <c r="I429" s="508" t="e">
        <f t="shared" ca="1" si="482"/>
        <v>#VALUE!</v>
      </c>
      <c r="K429" s="512">
        <v>9</v>
      </c>
      <c r="L429" s="516" t="s">
        <v>2259</v>
      </c>
      <c r="M429" s="529" t="s">
        <v>2444</v>
      </c>
      <c r="N429" s="508" t="str">
        <f t="shared" ca="1" si="523"/>
        <v>T2部件</v>
      </c>
      <c r="O429" s="565">
        <v>1</v>
      </c>
      <c r="P429" s="633">
        <v>8.5000000000000006E-3</v>
      </c>
      <c r="Q429" s="170" t="e">
        <f t="shared" ca="1" si="510"/>
        <v>#VALUE!</v>
      </c>
      <c r="R429" s="508" t="e">
        <f t="shared" ca="1" si="511"/>
        <v>#VALUE!</v>
      </c>
      <c r="T429" s="512">
        <v>9</v>
      </c>
      <c r="U429" s="516" t="s">
        <v>2259</v>
      </c>
      <c r="V429" s="529" t="s">
        <v>2444</v>
      </c>
      <c r="W429" s="508" t="str">
        <f t="shared" ca="1" si="524"/>
        <v>T2部件</v>
      </c>
      <c r="X429" s="565">
        <v>1</v>
      </c>
      <c r="Y429" s="625">
        <v>8.5000000000000006E-3</v>
      </c>
      <c r="Z429" s="170" t="e">
        <f t="shared" ca="1" si="512"/>
        <v>#VALUE!</v>
      </c>
      <c r="AA429" s="508" t="e">
        <f t="shared" ca="1" si="513"/>
        <v>#VALUE!</v>
      </c>
      <c r="AC429" s="512">
        <v>9</v>
      </c>
      <c r="AD429" s="516" t="s">
        <v>2249</v>
      </c>
      <c r="AE429" s="529" t="s">
        <v>2444</v>
      </c>
      <c r="AF429" s="508">
        <f t="shared" ca="1" si="507"/>
        <v>8.1</v>
      </c>
      <c r="AG429" s="594">
        <v>1</v>
      </c>
      <c r="AH429" s="633">
        <v>5.4999999999999997E-3</v>
      </c>
      <c r="AI429" s="170">
        <f t="shared" ca="1" si="525"/>
        <v>4.3456790123456789E-2</v>
      </c>
      <c r="AJ429" s="508">
        <f t="shared" ca="1" si="526"/>
        <v>435</v>
      </c>
      <c r="AL429" s="512">
        <v>9</v>
      </c>
      <c r="AM429" s="516" t="s">
        <v>634</v>
      </c>
      <c r="AN429" s="512" t="s">
        <v>1211</v>
      </c>
      <c r="AO429" s="508">
        <f t="shared" ca="1" si="519"/>
        <v>148.79999999999998</v>
      </c>
      <c r="AP429" s="408">
        <v>1</v>
      </c>
      <c r="AQ429" s="508">
        <f>宝箱设定!$X160</f>
        <v>7.2999999999999995E-2</v>
      </c>
      <c r="AR429" s="170">
        <f t="shared" ca="1" si="520"/>
        <v>4.7587365591397854E-2</v>
      </c>
      <c r="AS429" s="379">
        <f t="shared" ca="1" si="521"/>
        <v>476</v>
      </c>
      <c r="AU429" s="512">
        <v>8</v>
      </c>
      <c r="AV429" s="516" t="s">
        <v>2279</v>
      </c>
      <c r="AW429" s="529" t="s">
        <v>2452</v>
      </c>
      <c r="AX429" s="508" t="str">
        <f t="shared" ca="1" si="496"/>
        <v>T3部件</v>
      </c>
      <c r="AY429" s="565">
        <v>1</v>
      </c>
      <c r="AZ429" s="625">
        <v>7.0000000000000001E-3</v>
      </c>
      <c r="BA429" s="170" t="e">
        <f t="shared" ca="1" si="463"/>
        <v>#VALUE!</v>
      </c>
      <c r="BB429" s="508" t="e">
        <f t="shared" ca="1" si="464"/>
        <v>#VALUE!</v>
      </c>
      <c r="BD429" s="512">
        <v>8</v>
      </c>
      <c r="BE429" s="516" t="s">
        <v>2279</v>
      </c>
      <c r="BF429" s="529" t="s">
        <v>2452</v>
      </c>
      <c r="BG429" s="508" t="str">
        <f t="shared" ca="1" si="497"/>
        <v>T3部件</v>
      </c>
      <c r="BH429" s="565">
        <v>1</v>
      </c>
      <c r="BI429" s="600">
        <v>7.0000000000000001E-3</v>
      </c>
      <c r="BJ429" s="170" t="e">
        <f t="shared" ca="1" si="502"/>
        <v>#VALUE!</v>
      </c>
      <c r="BK429" s="508" t="e">
        <f t="shared" ca="1" si="503"/>
        <v>#VALUE!</v>
      </c>
      <c r="BM429" s="512">
        <v>10</v>
      </c>
      <c r="BN429" s="527" t="s">
        <v>2270</v>
      </c>
      <c r="BO429" s="530" t="s">
        <v>2200</v>
      </c>
      <c r="BP429" s="508" t="str">
        <f t="shared" ca="1" si="504"/>
        <v>T2部件</v>
      </c>
      <c r="BQ429" s="632">
        <v>3</v>
      </c>
      <c r="BR429" s="615">
        <v>7.3000000000000001E-3</v>
      </c>
      <c r="BS429" s="170" t="e">
        <f t="shared" ca="1" si="505"/>
        <v>#VALUE!</v>
      </c>
      <c r="BT429" s="508" t="e">
        <f t="shared" ca="1" si="506"/>
        <v>#VALUE!</v>
      </c>
      <c r="BV429" s="396">
        <v>10</v>
      </c>
      <c r="BW429" s="527" t="s">
        <v>2271</v>
      </c>
      <c r="BX429" s="530" t="s">
        <v>2200</v>
      </c>
      <c r="BY429" s="523" t="str">
        <f t="shared" ca="1" si="527"/>
        <v>T2部件</v>
      </c>
      <c r="BZ429" s="665">
        <v>1</v>
      </c>
      <c r="CA429" s="662">
        <v>1.7500000000000002E-2</v>
      </c>
      <c r="CB429" s="170" t="e">
        <f t="shared" ca="1" si="515"/>
        <v>#VALUE!</v>
      </c>
      <c r="CC429" s="394" t="e">
        <f t="shared" ca="1" si="516"/>
        <v>#VALUE!</v>
      </c>
    </row>
    <row r="430" spans="2:81" x14ac:dyDescent="0.35">
      <c r="B430" s="512">
        <v>9</v>
      </c>
      <c r="C430" s="516" t="s">
        <v>2261</v>
      </c>
      <c r="D430" s="529" t="s">
        <v>2444</v>
      </c>
      <c r="E430" s="508" t="str">
        <f t="shared" ca="1" si="522"/>
        <v>T2部件</v>
      </c>
      <c r="F430" s="594">
        <v>1.5</v>
      </c>
      <c r="G430" s="594">
        <v>8.5000000000000006E-3</v>
      </c>
      <c r="H430" s="170" t="e">
        <f t="shared" ca="1" si="481"/>
        <v>#VALUE!</v>
      </c>
      <c r="I430" s="508" t="e">
        <f t="shared" ca="1" si="482"/>
        <v>#VALUE!</v>
      </c>
      <c r="K430" s="512">
        <v>9</v>
      </c>
      <c r="L430" s="516" t="s">
        <v>2261</v>
      </c>
      <c r="M430" s="529" t="s">
        <v>2444</v>
      </c>
      <c r="N430" s="508" t="str">
        <f t="shared" ca="1" si="523"/>
        <v>T2部件</v>
      </c>
      <c r="O430" s="565">
        <v>1</v>
      </c>
      <c r="P430" s="633">
        <v>8.5000000000000006E-3</v>
      </c>
      <c r="Q430" s="170" t="e">
        <f t="shared" ca="1" si="510"/>
        <v>#VALUE!</v>
      </c>
      <c r="R430" s="508" t="e">
        <f t="shared" ca="1" si="511"/>
        <v>#VALUE!</v>
      </c>
      <c r="T430" s="512">
        <v>9</v>
      </c>
      <c r="U430" s="516" t="s">
        <v>2261</v>
      </c>
      <c r="V430" s="529" t="s">
        <v>2444</v>
      </c>
      <c r="W430" s="508" t="str">
        <f t="shared" ca="1" si="524"/>
        <v>T2部件</v>
      </c>
      <c r="X430" s="565">
        <v>1</v>
      </c>
      <c r="Y430" s="625">
        <v>8.5000000000000006E-3</v>
      </c>
      <c r="Z430" s="170" t="e">
        <f t="shared" ca="1" si="512"/>
        <v>#VALUE!</v>
      </c>
      <c r="AA430" s="508" t="e">
        <f t="shared" ca="1" si="513"/>
        <v>#VALUE!</v>
      </c>
      <c r="AC430" s="512">
        <v>9</v>
      </c>
      <c r="AD430" s="516" t="s">
        <v>2251</v>
      </c>
      <c r="AE430" s="529" t="s">
        <v>2444</v>
      </c>
      <c r="AF430" s="508">
        <f t="shared" ca="1" si="507"/>
        <v>8.1</v>
      </c>
      <c r="AG430" s="594">
        <v>1</v>
      </c>
      <c r="AH430" s="633">
        <v>5.4999999999999997E-3</v>
      </c>
      <c r="AI430" s="170">
        <f t="shared" ca="1" si="525"/>
        <v>4.3456790123456789E-2</v>
      </c>
      <c r="AJ430" s="508">
        <f t="shared" ca="1" si="526"/>
        <v>435</v>
      </c>
      <c r="AL430" s="512">
        <v>9</v>
      </c>
      <c r="AM430" s="516" t="s">
        <v>2239</v>
      </c>
      <c r="AN430" s="529" t="s">
        <v>2444</v>
      </c>
      <c r="AO430" s="508">
        <f t="shared" ca="1" si="519"/>
        <v>8.1</v>
      </c>
      <c r="AP430" s="408">
        <v>2.5</v>
      </c>
      <c r="AQ430" s="565">
        <v>6.6E-3</v>
      </c>
      <c r="AR430" s="170">
        <f t="shared" ca="1" si="520"/>
        <v>3.1614814814814818E-2</v>
      </c>
      <c r="AS430" s="379">
        <f t="shared" ca="1" si="521"/>
        <v>316</v>
      </c>
      <c r="AU430" s="512">
        <v>8</v>
      </c>
      <c r="AV430" s="516" t="s">
        <v>2281</v>
      </c>
      <c r="AW430" s="529" t="s">
        <v>2452</v>
      </c>
      <c r="AX430" s="508" t="str">
        <f t="shared" ref="AX430:AX436" ca="1" si="528">IF(AW430="部件",VLOOKUP(AU430,INDIRECT(AW430&amp;"价值"),MATCH(LEFT(AV430,2)&amp;"部件",INDIRECT(AW430&amp;"价值标头"),0),FALSE),IF(AW430="加速道具",VLOOKUP(AV430,INDIRECT(AW430&amp;"价值"),MATCH("价格",INDIRECT(AW430&amp;"价值标头"),0),FALSE),VLOOKUP(AU430,INDIRECT(AW430&amp;"价值"),MATCH(AV430,INDIRECT(AW430&amp;"价值标头"),0),FALSE)))</f>
        <v>T3部件</v>
      </c>
      <c r="AY430" s="565">
        <v>1</v>
      </c>
      <c r="AZ430" s="625">
        <v>7.0000000000000001E-3</v>
      </c>
      <c r="BA430" s="170" t="e">
        <f t="shared" ca="1" si="463"/>
        <v>#VALUE!</v>
      </c>
      <c r="BB430" s="508" t="e">
        <f t="shared" ca="1" si="464"/>
        <v>#VALUE!</v>
      </c>
      <c r="BD430" s="512">
        <v>8</v>
      </c>
      <c r="BE430" s="516" t="s">
        <v>2281</v>
      </c>
      <c r="BF430" s="529" t="s">
        <v>2452</v>
      </c>
      <c r="BG430" s="508" t="str">
        <f t="shared" ref="BG430:BG436" ca="1" si="529">IF(BF430="部件",VLOOKUP(BD430,INDIRECT(BF430&amp;"价值"),MATCH(LEFT(BE430,2)&amp;"部件",INDIRECT(BF430&amp;"价值标头"),0),FALSE),IF(BF430="加速道具",VLOOKUP(BE430,INDIRECT(BF430&amp;"价值"),MATCH("价格",INDIRECT(BF430&amp;"价值标头"),0),FALSE),VLOOKUP(BD430,INDIRECT(BF430&amp;"价值"),MATCH(BE430,INDIRECT(BF430&amp;"价值标头"),0),FALSE)))</f>
        <v>T3部件</v>
      </c>
      <c r="BH430" s="565">
        <v>1</v>
      </c>
      <c r="BI430" s="600">
        <v>7.0000000000000001E-3</v>
      </c>
      <c r="BJ430" s="170" t="e">
        <f t="shared" ca="1" si="502"/>
        <v>#VALUE!</v>
      </c>
      <c r="BK430" s="508" t="e">
        <f t="shared" ca="1" si="503"/>
        <v>#VALUE!</v>
      </c>
      <c r="BM430" s="512">
        <v>10</v>
      </c>
      <c r="BN430" s="525" t="s">
        <v>2272</v>
      </c>
      <c r="BO430" s="530" t="s">
        <v>2200</v>
      </c>
      <c r="BP430" s="508" t="str">
        <f t="shared" ca="1" si="504"/>
        <v>T2部件</v>
      </c>
      <c r="BQ430" s="632">
        <v>3</v>
      </c>
      <c r="BR430" s="615">
        <v>7.3000000000000001E-3</v>
      </c>
      <c r="BS430" s="170" t="e">
        <f t="shared" ca="1" si="505"/>
        <v>#VALUE!</v>
      </c>
      <c r="BT430" s="508" t="e">
        <f t="shared" ca="1" si="506"/>
        <v>#VALUE!</v>
      </c>
      <c r="BV430" s="396">
        <v>10</v>
      </c>
      <c r="BW430" s="525" t="s">
        <v>2273</v>
      </c>
      <c r="BX430" s="530" t="s">
        <v>2200</v>
      </c>
      <c r="BY430" s="523" t="str">
        <f t="shared" ca="1" si="527"/>
        <v>T2部件</v>
      </c>
      <c r="BZ430" s="665">
        <v>1</v>
      </c>
      <c r="CA430" s="662">
        <v>1.7500000000000002E-2</v>
      </c>
      <c r="CB430" s="170" t="e">
        <f t="shared" ca="1" si="515"/>
        <v>#VALUE!</v>
      </c>
      <c r="CC430" s="394" t="e">
        <f t="shared" ca="1" si="516"/>
        <v>#VALUE!</v>
      </c>
    </row>
    <row r="431" spans="2:81" x14ac:dyDescent="0.35">
      <c r="B431" s="512">
        <v>9</v>
      </c>
      <c r="C431" s="516" t="s">
        <v>2263</v>
      </c>
      <c r="D431" s="529" t="s">
        <v>2444</v>
      </c>
      <c r="E431" s="508" t="str">
        <f t="shared" ca="1" si="522"/>
        <v>T2部件</v>
      </c>
      <c r="F431" s="594">
        <v>1.5</v>
      </c>
      <c r="G431" s="594">
        <v>8.5000000000000006E-3</v>
      </c>
      <c r="H431" s="170" t="e">
        <f t="shared" ca="1" si="481"/>
        <v>#VALUE!</v>
      </c>
      <c r="I431" s="508" t="e">
        <f t="shared" ca="1" si="482"/>
        <v>#VALUE!</v>
      </c>
      <c r="K431" s="512">
        <v>9</v>
      </c>
      <c r="L431" s="516" t="s">
        <v>2263</v>
      </c>
      <c r="M431" s="529" t="s">
        <v>2444</v>
      </c>
      <c r="N431" s="508" t="str">
        <f t="shared" ca="1" si="523"/>
        <v>T2部件</v>
      </c>
      <c r="O431" s="565">
        <v>1</v>
      </c>
      <c r="P431" s="633">
        <v>8.5000000000000006E-3</v>
      </c>
      <c r="Q431" s="170" t="e">
        <f t="shared" ca="1" si="510"/>
        <v>#VALUE!</v>
      </c>
      <c r="R431" s="508" t="e">
        <f t="shared" ca="1" si="511"/>
        <v>#VALUE!</v>
      </c>
      <c r="T431" s="512">
        <v>9</v>
      </c>
      <c r="U431" s="516" t="s">
        <v>2263</v>
      </c>
      <c r="V431" s="529" t="s">
        <v>2444</v>
      </c>
      <c r="W431" s="508" t="str">
        <f t="shared" ca="1" si="524"/>
        <v>T2部件</v>
      </c>
      <c r="X431" s="565">
        <v>1</v>
      </c>
      <c r="Y431" s="625">
        <v>8.5000000000000006E-3</v>
      </c>
      <c r="Z431" s="170" t="e">
        <f t="shared" ca="1" si="512"/>
        <v>#VALUE!</v>
      </c>
      <c r="AA431" s="508" t="e">
        <f t="shared" ca="1" si="513"/>
        <v>#VALUE!</v>
      </c>
      <c r="AC431" s="512">
        <v>9</v>
      </c>
      <c r="AD431" s="516" t="s">
        <v>2253</v>
      </c>
      <c r="AE431" s="529" t="s">
        <v>2444</v>
      </c>
      <c r="AF431" s="508">
        <f t="shared" ca="1" si="507"/>
        <v>8.1</v>
      </c>
      <c r="AG431" s="594">
        <v>1</v>
      </c>
      <c r="AH431" s="633">
        <v>5.4999999999999997E-3</v>
      </c>
      <c r="AI431" s="170">
        <f t="shared" ca="1" si="525"/>
        <v>4.3456790123456789E-2</v>
      </c>
      <c r="AJ431" s="508">
        <f t="shared" ca="1" si="526"/>
        <v>435</v>
      </c>
      <c r="AL431" s="512">
        <v>9</v>
      </c>
      <c r="AM431" s="516" t="s">
        <v>2242</v>
      </c>
      <c r="AN431" s="529" t="s">
        <v>2444</v>
      </c>
      <c r="AO431" s="508">
        <f t="shared" ca="1" si="519"/>
        <v>8.1</v>
      </c>
      <c r="AP431" s="625">
        <v>2.5</v>
      </c>
      <c r="AQ431" s="600">
        <v>6.6E-3</v>
      </c>
      <c r="AR431" s="170">
        <f t="shared" ca="1" si="520"/>
        <v>3.1614814814814818E-2</v>
      </c>
      <c r="AS431" s="379">
        <f t="shared" ca="1" si="521"/>
        <v>316</v>
      </c>
      <c r="AU431" s="512">
        <v>8</v>
      </c>
      <c r="AV431" s="516" t="s">
        <v>2283</v>
      </c>
      <c r="AW431" s="529" t="s">
        <v>2452</v>
      </c>
      <c r="AX431" s="508" t="str">
        <f t="shared" ca="1" si="528"/>
        <v>T3部件</v>
      </c>
      <c r="AY431" s="565">
        <v>1</v>
      </c>
      <c r="AZ431" s="625">
        <v>7.0000000000000001E-3</v>
      </c>
      <c r="BA431" s="170" t="e">
        <f t="shared" ca="1" si="463"/>
        <v>#VALUE!</v>
      </c>
      <c r="BB431" s="508" t="e">
        <f t="shared" ca="1" si="464"/>
        <v>#VALUE!</v>
      </c>
      <c r="BD431" s="512">
        <v>8</v>
      </c>
      <c r="BE431" s="516" t="s">
        <v>2283</v>
      </c>
      <c r="BF431" s="529" t="s">
        <v>2452</v>
      </c>
      <c r="BG431" s="508" t="str">
        <f t="shared" ca="1" si="529"/>
        <v>T3部件</v>
      </c>
      <c r="BH431" s="565">
        <v>1</v>
      </c>
      <c r="BI431" s="600">
        <v>7.0000000000000001E-3</v>
      </c>
      <c r="BJ431" s="170" t="e">
        <f t="shared" ca="1" si="502"/>
        <v>#VALUE!</v>
      </c>
      <c r="BK431" s="508" t="e">
        <f t="shared" ca="1" si="503"/>
        <v>#VALUE!</v>
      </c>
      <c r="BM431" s="512">
        <v>10</v>
      </c>
      <c r="BN431" s="525" t="s">
        <v>2274</v>
      </c>
      <c r="BO431" s="530" t="s">
        <v>2200</v>
      </c>
      <c r="BP431" s="508" t="str">
        <f t="shared" ca="1" si="504"/>
        <v>T2部件</v>
      </c>
      <c r="BQ431" s="632">
        <v>3</v>
      </c>
      <c r="BR431" s="615">
        <v>7.4000000000000003E-3</v>
      </c>
      <c r="BS431" s="170" t="e">
        <f t="shared" ca="1" si="505"/>
        <v>#VALUE!</v>
      </c>
      <c r="BT431" s="508" t="e">
        <f t="shared" ca="1" si="506"/>
        <v>#VALUE!</v>
      </c>
      <c r="BV431" s="396">
        <v>10</v>
      </c>
      <c r="BW431" s="525" t="s">
        <v>2275</v>
      </c>
      <c r="BX431" s="530" t="s">
        <v>2200</v>
      </c>
      <c r="BY431" s="523" t="str">
        <f t="shared" ca="1" si="527"/>
        <v>T2部件</v>
      </c>
      <c r="BZ431" s="665">
        <v>1</v>
      </c>
      <c r="CA431" s="662">
        <v>1.7500000000000002E-2</v>
      </c>
      <c r="CB431" s="170" t="e">
        <f t="shared" ca="1" si="515"/>
        <v>#VALUE!</v>
      </c>
      <c r="CC431" s="394" t="e">
        <f t="shared" ca="1" si="516"/>
        <v>#VALUE!</v>
      </c>
    </row>
    <row r="432" spans="2:81" x14ac:dyDescent="0.35">
      <c r="B432" s="512">
        <v>9</v>
      </c>
      <c r="C432" s="516" t="s">
        <v>2265</v>
      </c>
      <c r="D432" s="529" t="s">
        <v>2444</v>
      </c>
      <c r="E432" s="508" t="str">
        <f t="shared" ca="1" si="522"/>
        <v>T2部件</v>
      </c>
      <c r="F432" s="594">
        <v>1.5</v>
      </c>
      <c r="G432" s="594">
        <v>8.5000000000000006E-3</v>
      </c>
      <c r="H432" s="170" t="e">
        <f t="shared" ca="1" si="481"/>
        <v>#VALUE!</v>
      </c>
      <c r="I432" s="508" t="e">
        <f t="shared" ca="1" si="482"/>
        <v>#VALUE!</v>
      </c>
      <c r="K432" s="512">
        <v>9</v>
      </c>
      <c r="L432" s="516" t="s">
        <v>2265</v>
      </c>
      <c r="M432" s="529" t="s">
        <v>2444</v>
      </c>
      <c r="N432" s="508" t="str">
        <f t="shared" ca="1" si="523"/>
        <v>T2部件</v>
      </c>
      <c r="O432" s="565">
        <v>1</v>
      </c>
      <c r="P432" s="633">
        <v>8.5000000000000006E-3</v>
      </c>
      <c r="Q432" s="170" t="e">
        <f t="shared" ca="1" si="510"/>
        <v>#VALUE!</v>
      </c>
      <c r="R432" s="508" t="e">
        <f t="shared" ca="1" si="511"/>
        <v>#VALUE!</v>
      </c>
      <c r="T432" s="512">
        <v>9</v>
      </c>
      <c r="U432" s="516" t="s">
        <v>2265</v>
      </c>
      <c r="V432" s="529" t="s">
        <v>2444</v>
      </c>
      <c r="W432" s="508" t="str">
        <f t="shared" ca="1" si="524"/>
        <v>T2部件</v>
      </c>
      <c r="X432" s="565">
        <v>1</v>
      </c>
      <c r="Y432" s="625">
        <v>8.5000000000000006E-3</v>
      </c>
      <c r="Z432" s="170" t="e">
        <f t="shared" ca="1" si="512"/>
        <v>#VALUE!</v>
      </c>
      <c r="AA432" s="508" t="e">
        <f t="shared" ca="1" si="513"/>
        <v>#VALUE!</v>
      </c>
      <c r="AC432" s="512">
        <v>9</v>
      </c>
      <c r="AD432" s="512" t="s">
        <v>2255</v>
      </c>
      <c r="AE432" s="529" t="s">
        <v>2444</v>
      </c>
      <c r="AF432" s="508">
        <f t="shared" ca="1" si="507"/>
        <v>8.1</v>
      </c>
      <c r="AG432" s="594">
        <v>1</v>
      </c>
      <c r="AH432" s="633">
        <v>5.4999999999999997E-3</v>
      </c>
      <c r="AI432" s="170">
        <f t="shared" ca="1" si="525"/>
        <v>4.3456790123456789E-2</v>
      </c>
      <c r="AJ432" s="508">
        <f t="shared" ca="1" si="526"/>
        <v>435</v>
      </c>
      <c r="AL432" s="512">
        <v>9</v>
      </c>
      <c r="AM432" s="516" t="s">
        <v>2244</v>
      </c>
      <c r="AN432" s="529" t="s">
        <v>2444</v>
      </c>
      <c r="AO432" s="508">
        <f t="shared" ca="1" si="519"/>
        <v>8.1</v>
      </c>
      <c r="AP432" s="625">
        <v>2.5</v>
      </c>
      <c r="AQ432" s="600">
        <v>6.6E-3</v>
      </c>
      <c r="AR432" s="170">
        <f t="shared" ca="1" si="520"/>
        <v>3.1614814814814818E-2</v>
      </c>
      <c r="AS432" s="379">
        <f t="shared" ca="1" si="521"/>
        <v>316</v>
      </c>
      <c r="AU432" s="512">
        <v>8</v>
      </c>
      <c r="AV432" s="516" t="s">
        <v>2285</v>
      </c>
      <c r="AW432" s="529" t="s">
        <v>2452</v>
      </c>
      <c r="AX432" s="508" t="str">
        <f t="shared" ca="1" si="528"/>
        <v>T3部件</v>
      </c>
      <c r="AY432" s="565">
        <v>1</v>
      </c>
      <c r="AZ432" s="625">
        <v>7.0000000000000001E-3</v>
      </c>
      <c r="BA432" s="170" t="e">
        <f t="shared" ref="BA432:BA436" ca="1" si="530">AZ432*AV$4/AX432/AY432</f>
        <v>#VALUE!</v>
      </c>
      <c r="BB432" s="508" t="e">
        <f t="shared" ca="1" si="464"/>
        <v>#VALUE!</v>
      </c>
      <c r="BD432" s="512">
        <v>8</v>
      </c>
      <c r="BE432" s="516" t="s">
        <v>2285</v>
      </c>
      <c r="BF432" s="529" t="s">
        <v>2452</v>
      </c>
      <c r="BG432" s="508" t="str">
        <f t="shared" ca="1" si="529"/>
        <v>T3部件</v>
      </c>
      <c r="BH432" s="565">
        <v>1</v>
      </c>
      <c r="BI432" s="600">
        <v>7.0000000000000001E-3</v>
      </c>
      <c r="BJ432" s="170" t="e">
        <f t="shared" ca="1" si="502"/>
        <v>#VALUE!</v>
      </c>
      <c r="BK432" s="508" t="e">
        <f t="shared" ca="1" si="503"/>
        <v>#VALUE!</v>
      </c>
      <c r="BM432" s="512">
        <v>10</v>
      </c>
      <c r="BN432" s="527" t="s">
        <v>2259</v>
      </c>
      <c r="BO432" s="530" t="s">
        <v>2200</v>
      </c>
      <c r="BP432" s="508" t="str">
        <f t="shared" ca="1" si="504"/>
        <v>T2部件</v>
      </c>
      <c r="BQ432" s="632">
        <v>3</v>
      </c>
      <c r="BR432" s="615">
        <v>7.4000000000000003E-3</v>
      </c>
      <c r="BS432" s="170" t="e">
        <f t="shared" ca="1" si="505"/>
        <v>#VALUE!</v>
      </c>
      <c r="BT432" s="508" t="e">
        <f t="shared" ca="1" si="506"/>
        <v>#VALUE!</v>
      </c>
      <c r="BV432" s="396">
        <v>10</v>
      </c>
      <c r="BW432" s="527" t="s">
        <v>2276</v>
      </c>
      <c r="BX432" s="530" t="s">
        <v>2200</v>
      </c>
      <c r="BY432" s="523" t="str">
        <f t="shared" ca="1" si="527"/>
        <v>T3部件</v>
      </c>
      <c r="BZ432" s="665">
        <v>1</v>
      </c>
      <c r="CA432" s="662">
        <v>2.1000000000000001E-2</v>
      </c>
      <c r="CB432" s="170" t="e">
        <f t="shared" ca="1" si="515"/>
        <v>#VALUE!</v>
      </c>
      <c r="CC432" s="394" t="e">
        <f t="shared" ca="1" si="516"/>
        <v>#VALUE!</v>
      </c>
    </row>
    <row r="433" spans="2:81" x14ac:dyDescent="0.35">
      <c r="B433" s="512">
        <v>9</v>
      </c>
      <c r="C433" s="516" t="s">
        <v>2267</v>
      </c>
      <c r="D433" s="529" t="s">
        <v>2444</v>
      </c>
      <c r="E433" s="508" t="str">
        <f t="shared" ca="1" si="522"/>
        <v>T2部件</v>
      </c>
      <c r="F433" s="594">
        <v>1.5</v>
      </c>
      <c r="G433" s="594">
        <v>8.5000000000000006E-3</v>
      </c>
      <c r="H433" s="170" t="e">
        <f t="shared" ca="1" si="481"/>
        <v>#VALUE!</v>
      </c>
      <c r="I433" s="508" t="e">
        <f t="shared" ca="1" si="482"/>
        <v>#VALUE!</v>
      </c>
      <c r="K433" s="512">
        <v>9</v>
      </c>
      <c r="L433" s="516" t="s">
        <v>2267</v>
      </c>
      <c r="M433" s="529" t="s">
        <v>2444</v>
      </c>
      <c r="N433" s="508" t="str">
        <f t="shared" ca="1" si="523"/>
        <v>T2部件</v>
      </c>
      <c r="O433" s="565">
        <v>1</v>
      </c>
      <c r="P433" s="633">
        <v>8.5000000000000006E-3</v>
      </c>
      <c r="Q433" s="170" t="e">
        <f t="shared" ca="1" si="510"/>
        <v>#VALUE!</v>
      </c>
      <c r="R433" s="508" t="e">
        <f t="shared" ca="1" si="511"/>
        <v>#VALUE!</v>
      </c>
      <c r="T433" s="512">
        <v>9</v>
      </c>
      <c r="U433" s="516" t="s">
        <v>2267</v>
      </c>
      <c r="V433" s="529" t="s">
        <v>2444</v>
      </c>
      <c r="W433" s="508" t="str">
        <f t="shared" ca="1" si="524"/>
        <v>T2部件</v>
      </c>
      <c r="X433" s="565">
        <v>1</v>
      </c>
      <c r="Y433" s="625">
        <v>8.5000000000000006E-3</v>
      </c>
      <c r="Z433" s="170" t="e">
        <f t="shared" ca="1" si="512"/>
        <v>#VALUE!</v>
      </c>
      <c r="AA433" s="508" t="e">
        <f t="shared" ca="1" si="513"/>
        <v>#VALUE!</v>
      </c>
      <c r="AC433" s="512">
        <v>9</v>
      </c>
      <c r="AD433" s="512" t="s">
        <v>2257</v>
      </c>
      <c r="AE433" s="529" t="s">
        <v>2444</v>
      </c>
      <c r="AF433" s="508">
        <f t="shared" ca="1" si="507"/>
        <v>8.1</v>
      </c>
      <c r="AG433" s="594">
        <v>1</v>
      </c>
      <c r="AH433" s="633">
        <v>5.4999999999999997E-3</v>
      </c>
      <c r="AI433" s="170">
        <f t="shared" ca="1" si="525"/>
        <v>4.3456790123456789E-2</v>
      </c>
      <c r="AJ433" s="508">
        <f t="shared" ca="1" si="526"/>
        <v>435</v>
      </c>
      <c r="AL433" s="512">
        <v>9</v>
      </c>
      <c r="AM433" s="516" t="s">
        <v>2246</v>
      </c>
      <c r="AN433" s="529" t="s">
        <v>2444</v>
      </c>
      <c r="AO433" s="508">
        <f t="shared" ca="1" si="519"/>
        <v>8.1</v>
      </c>
      <c r="AP433" s="625">
        <v>2.5</v>
      </c>
      <c r="AQ433" s="600">
        <v>6.6E-3</v>
      </c>
      <c r="AR433" s="170">
        <f t="shared" ca="1" si="520"/>
        <v>3.1614814814814818E-2</v>
      </c>
      <c r="AS433" s="379">
        <f t="shared" ca="1" si="521"/>
        <v>316</v>
      </c>
      <c r="AU433" s="512">
        <v>8</v>
      </c>
      <c r="AV433" s="516" t="s">
        <v>2287</v>
      </c>
      <c r="AW433" s="529" t="s">
        <v>2452</v>
      </c>
      <c r="AX433" s="508" t="str">
        <f t="shared" ca="1" si="528"/>
        <v>T3部件</v>
      </c>
      <c r="AY433" s="565">
        <v>1</v>
      </c>
      <c r="AZ433" s="625">
        <v>7.0000000000000001E-3</v>
      </c>
      <c r="BA433" s="170" t="e">
        <f t="shared" ca="1" si="530"/>
        <v>#VALUE!</v>
      </c>
      <c r="BB433" s="508" t="e">
        <f t="shared" ca="1" si="464"/>
        <v>#VALUE!</v>
      </c>
      <c r="BD433" s="512">
        <v>8</v>
      </c>
      <c r="BE433" s="516" t="s">
        <v>2287</v>
      </c>
      <c r="BF433" s="529" t="s">
        <v>2452</v>
      </c>
      <c r="BG433" s="508" t="str">
        <f t="shared" ca="1" si="529"/>
        <v>T3部件</v>
      </c>
      <c r="BH433" s="565">
        <v>1</v>
      </c>
      <c r="BI433" s="600">
        <v>7.0000000000000001E-3</v>
      </c>
      <c r="BJ433" s="170" t="e">
        <f t="shared" ca="1" si="502"/>
        <v>#VALUE!</v>
      </c>
      <c r="BK433" s="508" t="e">
        <f t="shared" ca="1" si="503"/>
        <v>#VALUE!</v>
      </c>
      <c r="BM433" s="512">
        <v>10</v>
      </c>
      <c r="BN433" s="527" t="s">
        <v>2261</v>
      </c>
      <c r="BO433" s="530" t="s">
        <v>2200</v>
      </c>
      <c r="BP433" s="508" t="str">
        <f t="shared" ca="1" si="504"/>
        <v>T2部件</v>
      </c>
      <c r="BQ433" s="632">
        <v>3</v>
      </c>
      <c r="BR433" s="615">
        <v>7.4000000000000003E-3</v>
      </c>
      <c r="BS433" s="170" t="e">
        <f t="shared" ca="1" si="505"/>
        <v>#VALUE!</v>
      </c>
      <c r="BT433" s="508" t="e">
        <f t="shared" ca="1" si="506"/>
        <v>#VALUE!</v>
      </c>
      <c r="BV433" s="396">
        <v>10</v>
      </c>
      <c r="BW433" s="527" t="s">
        <v>2278</v>
      </c>
      <c r="BX433" s="530" t="s">
        <v>2200</v>
      </c>
      <c r="BY433" s="523" t="str">
        <f t="shared" ca="1" si="527"/>
        <v>T3部件</v>
      </c>
      <c r="BZ433" s="665">
        <v>1</v>
      </c>
      <c r="CA433" s="662">
        <v>2.1000000000000001E-2</v>
      </c>
      <c r="CB433" s="170" t="e">
        <f t="shared" ca="1" si="515"/>
        <v>#VALUE!</v>
      </c>
      <c r="CC433" s="394" t="e">
        <f t="shared" ca="1" si="516"/>
        <v>#VALUE!</v>
      </c>
    </row>
    <row r="434" spans="2:81" x14ac:dyDescent="0.35">
      <c r="B434" s="512">
        <v>9</v>
      </c>
      <c r="C434" s="516" t="s">
        <v>2269</v>
      </c>
      <c r="D434" s="529" t="s">
        <v>2444</v>
      </c>
      <c r="E434" s="508" t="str">
        <f t="shared" ca="1" si="522"/>
        <v>T2部件</v>
      </c>
      <c r="F434" s="594">
        <v>1.5</v>
      </c>
      <c r="G434" s="594">
        <v>8.5000000000000006E-3</v>
      </c>
      <c r="H434" s="170" t="e">
        <f t="shared" ca="1" si="481"/>
        <v>#VALUE!</v>
      </c>
      <c r="I434" s="508" t="e">
        <f t="shared" ca="1" si="482"/>
        <v>#VALUE!</v>
      </c>
      <c r="K434" s="512">
        <v>9</v>
      </c>
      <c r="L434" s="516" t="s">
        <v>2269</v>
      </c>
      <c r="M434" s="529" t="s">
        <v>2444</v>
      </c>
      <c r="N434" s="508" t="str">
        <f t="shared" ca="1" si="523"/>
        <v>T2部件</v>
      </c>
      <c r="O434" s="565">
        <v>1</v>
      </c>
      <c r="P434" s="633">
        <v>8.5000000000000006E-3</v>
      </c>
      <c r="Q434" s="170" t="e">
        <f t="shared" ca="1" si="510"/>
        <v>#VALUE!</v>
      </c>
      <c r="R434" s="508" t="e">
        <f t="shared" ca="1" si="511"/>
        <v>#VALUE!</v>
      </c>
      <c r="T434" s="512">
        <v>9</v>
      </c>
      <c r="U434" s="516" t="s">
        <v>2269</v>
      </c>
      <c r="V434" s="529" t="s">
        <v>2444</v>
      </c>
      <c r="W434" s="508" t="str">
        <f t="shared" ca="1" si="524"/>
        <v>T2部件</v>
      </c>
      <c r="X434" s="565">
        <v>1</v>
      </c>
      <c r="Y434" s="625">
        <v>8.5000000000000006E-3</v>
      </c>
      <c r="Z434" s="170" t="e">
        <f t="shared" ca="1" si="512"/>
        <v>#VALUE!</v>
      </c>
      <c r="AA434" s="508" t="e">
        <f t="shared" ca="1" si="513"/>
        <v>#VALUE!</v>
      </c>
      <c r="AC434" s="512">
        <v>9</v>
      </c>
      <c r="AD434" s="516" t="s">
        <v>2258</v>
      </c>
      <c r="AE434" s="529" t="s">
        <v>2444</v>
      </c>
      <c r="AF434" s="508" t="str">
        <f t="shared" ca="1" si="507"/>
        <v>T2部件</v>
      </c>
      <c r="AG434" s="594">
        <v>1</v>
      </c>
      <c r="AH434" s="633">
        <v>7.4999999999999997E-3</v>
      </c>
      <c r="AI434" s="170" t="e">
        <f t="shared" ca="1" si="525"/>
        <v>#VALUE!</v>
      </c>
      <c r="AJ434" s="508" t="e">
        <f t="shared" ca="1" si="526"/>
        <v>#VALUE!</v>
      </c>
      <c r="AL434" s="512">
        <v>9</v>
      </c>
      <c r="AM434" s="516" t="s">
        <v>2248</v>
      </c>
      <c r="AN434" s="529" t="s">
        <v>2444</v>
      </c>
      <c r="AO434" s="508">
        <f t="shared" ca="1" si="519"/>
        <v>8.1</v>
      </c>
      <c r="AP434" s="625">
        <v>2.5</v>
      </c>
      <c r="AQ434" s="600">
        <v>6.6E-3</v>
      </c>
      <c r="AR434" s="170">
        <f t="shared" ca="1" si="520"/>
        <v>3.1614814814814818E-2</v>
      </c>
      <c r="AS434" s="379">
        <f t="shared" ca="1" si="521"/>
        <v>316</v>
      </c>
      <c r="AU434" s="512">
        <v>8</v>
      </c>
      <c r="AV434" s="516" t="s">
        <v>2289</v>
      </c>
      <c r="AW434" s="529" t="s">
        <v>2452</v>
      </c>
      <c r="AX434" s="508" t="str">
        <f t="shared" ca="1" si="528"/>
        <v>T3部件</v>
      </c>
      <c r="AY434" s="565">
        <v>1</v>
      </c>
      <c r="AZ434" s="625">
        <v>7.0000000000000001E-3</v>
      </c>
      <c r="BA434" s="170" t="e">
        <f t="shared" ca="1" si="530"/>
        <v>#VALUE!</v>
      </c>
      <c r="BB434" s="508" t="e">
        <f t="shared" ca="1" si="464"/>
        <v>#VALUE!</v>
      </c>
      <c r="BD434" s="512">
        <v>8</v>
      </c>
      <c r="BE434" s="516" t="s">
        <v>2289</v>
      </c>
      <c r="BF434" s="529" t="s">
        <v>2452</v>
      </c>
      <c r="BG434" s="508" t="str">
        <f t="shared" ca="1" si="529"/>
        <v>T3部件</v>
      </c>
      <c r="BH434" s="565">
        <v>1</v>
      </c>
      <c r="BI434" s="600">
        <v>7.0000000000000001E-3</v>
      </c>
      <c r="BJ434" s="170" t="e">
        <f t="shared" ca="1" si="502"/>
        <v>#VALUE!</v>
      </c>
      <c r="BK434" s="508" t="e">
        <f t="shared" ca="1" si="503"/>
        <v>#VALUE!</v>
      </c>
      <c r="BM434" s="512">
        <v>10</v>
      </c>
      <c r="BN434" s="527" t="s">
        <v>2263</v>
      </c>
      <c r="BO434" s="530" t="s">
        <v>2200</v>
      </c>
      <c r="BP434" s="508" t="str">
        <f t="shared" ca="1" si="504"/>
        <v>T2部件</v>
      </c>
      <c r="BQ434" s="632">
        <v>3</v>
      </c>
      <c r="BR434" s="615">
        <v>7.4000000000000003E-3</v>
      </c>
      <c r="BS434" s="170" t="e">
        <f t="shared" ca="1" si="505"/>
        <v>#VALUE!</v>
      </c>
      <c r="BT434" s="508" t="e">
        <f t="shared" ca="1" si="506"/>
        <v>#VALUE!</v>
      </c>
      <c r="BV434" s="396">
        <v>10</v>
      </c>
      <c r="BW434" s="527" t="s">
        <v>2280</v>
      </c>
      <c r="BX434" s="530" t="s">
        <v>2200</v>
      </c>
      <c r="BY434" s="523" t="str">
        <f t="shared" ca="1" si="527"/>
        <v>T3部件</v>
      </c>
      <c r="BZ434" s="665">
        <v>1</v>
      </c>
      <c r="CA434" s="662">
        <v>2.1000000000000001E-2</v>
      </c>
      <c r="CB434" s="170" t="e">
        <f t="shared" ca="1" si="515"/>
        <v>#VALUE!</v>
      </c>
      <c r="CC434" s="394" t="e">
        <f t="shared" ca="1" si="516"/>
        <v>#VALUE!</v>
      </c>
    </row>
    <row r="435" spans="2:81" x14ac:dyDescent="0.35">
      <c r="B435" s="512">
        <v>9</v>
      </c>
      <c r="C435" s="516" t="s">
        <v>2271</v>
      </c>
      <c r="D435" s="529" t="s">
        <v>2444</v>
      </c>
      <c r="E435" s="508" t="str">
        <f t="shared" ca="1" si="522"/>
        <v>T2部件</v>
      </c>
      <c r="F435" s="594">
        <v>1.5</v>
      </c>
      <c r="G435" s="594">
        <v>8.5000000000000006E-3</v>
      </c>
      <c r="H435" s="170" t="e">
        <f t="shared" ca="1" si="481"/>
        <v>#VALUE!</v>
      </c>
      <c r="I435" s="508" t="e">
        <f t="shared" ca="1" si="482"/>
        <v>#VALUE!</v>
      </c>
      <c r="K435" s="512">
        <v>9</v>
      </c>
      <c r="L435" s="516" t="s">
        <v>2271</v>
      </c>
      <c r="M435" s="529" t="s">
        <v>2444</v>
      </c>
      <c r="N435" s="508" t="str">
        <f t="shared" ca="1" si="523"/>
        <v>T2部件</v>
      </c>
      <c r="O435" s="565">
        <v>1</v>
      </c>
      <c r="P435" s="633">
        <v>8.5000000000000006E-3</v>
      </c>
      <c r="Q435" s="170" t="e">
        <f t="shared" ca="1" si="510"/>
        <v>#VALUE!</v>
      </c>
      <c r="R435" s="508" t="e">
        <f t="shared" ca="1" si="511"/>
        <v>#VALUE!</v>
      </c>
      <c r="T435" s="512">
        <v>9</v>
      </c>
      <c r="U435" s="516" t="s">
        <v>2271</v>
      </c>
      <c r="V435" s="529" t="s">
        <v>2444</v>
      </c>
      <c r="W435" s="508" t="str">
        <f t="shared" ca="1" si="524"/>
        <v>T2部件</v>
      </c>
      <c r="X435" s="565">
        <v>1</v>
      </c>
      <c r="Y435" s="625">
        <v>8.5000000000000006E-3</v>
      </c>
      <c r="Z435" s="170" t="e">
        <f t="shared" ca="1" si="512"/>
        <v>#VALUE!</v>
      </c>
      <c r="AA435" s="508" t="e">
        <f t="shared" ca="1" si="513"/>
        <v>#VALUE!</v>
      </c>
      <c r="AC435" s="512">
        <v>9</v>
      </c>
      <c r="AD435" s="516" t="s">
        <v>2260</v>
      </c>
      <c r="AE435" s="529" t="s">
        <v>2444</v>
      </c>
      <c r="AF435" s="508" t="str">
        <f t="shared" ca="1" si="507"/>
        <v>T2部件</v>
      </c>
      <c r="AG435" s="565">
        <v>1</v>
      </c>
      <c r="AH435" s="633">
        <v>7.4999999999999997E-3</v>
      </c>
      <c r="AI435" s="170" t="e">
        <f t="shared" ca="1" si="525"/>
        <v>#VALUE!</v>
      </c>
      <c r="AJ435" s="508" t="e">
        <f t="shared" ca="1" si="526"/>
        <v>#VALUE!</v>
      </c>
      <c r="AL435" s="512">
        <v>9</v>
      </c>
      <c r="AM435" s="516" t="s">
        <v>2250</v>
      </c>
      <c r="AN435" s="529" t="s">
        <v>2444</v>
      </c>
      <c r="AO435" s="508">
        <f t="shared" ca="1" si="519"/>
        <v>8.1</v>
      </c>
      <c r="AP435" s="625">
        <v>2.5</v>
      </c>
      <c r="AQ435" s="600">
        <v>6.6E-3</v>
      </c>
      <c r="AR435" s="170">
        <f t="shared" ca="1" si="520"/>
        <v>3.1614814814814818E-2</v>
      </c>
      <c r="AS435" s="379">
        <f t="shared" ca="1" si="521"/>
        <v>316</v>
      </c>
      <c r="AU435" s="512">
        <v>8</v>
      </c>
      <c r="AV435" s="512" t="s">
        <v>2291</v>
      </c>
      <c r="AW435" s="529" t="s">
        <v>2452</v>
      </c>
      <c r="AX435" s="508" t="str">
        <f t="shared" ca="1" si="528"/>
        <v>T3部件</v>
      </c>
      <c r="AY435" s="565">
        <v>1</v>
      </c>
      <c r="AZ435" s="625">
        <v>7.0000000000000001E-3</v>
      </c>
      <c r="BA435" s="170" t="e">
        <f t="shared" ca="1" si="530"/>
        <v>#VALUE!</v>
      </c>
      <c r="BB435" s="508" t="e">
        <f t="shared" ca="1" si="464"/>
        <v>#VALUE!</v>
      </c>
      <c r="BD435" s="512">
        <v>8</v>
      </c>
      <c r="BE435" s="512" t="s">
        <v>2291</v>
      </c>
      <c r="BF435" s="529" t="s">
        <v>2452</v>
      </c>
      <c r="BG435" s="508" t="str">
        <f t="shared" ca="1" si="529"/>
        <v>T3部件</v>
      </c>
      <c r="BH435" s="565">
        <v>1</v>
      </c>
      <c r="BI435" s="600">
        <v>7.0000000000000001E-3</v>
      </c>
      <c r="BJ435" s="170" t="e">
        <f t="shared" ca="1" si="502"/>
        <v>#VALUE!</v>
      </c>
      <c r="BK435" s="508" t="e">
        <f t="shared" ca="1" si="503"/>
        <v>#VALUE!</v>
      </c>
      <c r="BM435" s="512">
        <v>10</v>
      </c>
      <c r="BN435" s="527" t="s">
        <v>2265</v>
      </c>
      <c r="BO435" s="530" t="s">
        <v>2200</v>
      </c>
      <c r="BP435" s="508" t="str">
        <f t="shared" ca="1" si="504"/>
        <v>T2部件</v>
      </c>
      <c r="BQ435" s="632">
        <v>3</v>
      </c>
      <c r="BR435" s="615">
        <v>7.4000000000000003E-3</v>
      </c>
      <c r="BS435" s="170" t="e">
        <f t="shared" ca="1" si="505"/>
        <v>#VALUE!</v>
      </c>
      <c r="BT435" s="508" t="e">
        <f t="shared" ca="1" si="506"/>
        <v>#VALUE!</v>
      </c>
      <c r="BV435" s="396">
        <v>10</v>
      </c>
      <c r="BW435" s="527" t="s">
        <v>2282</v>
      </c>
      <c r="BX435" s="530" t="s">
        <v>2200</v>
      </c>
      <c r="BY435" s="523" t="str">
        <f t="shared" ca="1" si="527"/>
        <v>T3部件</v>
      </c>
      <c r="BZ435" s="665">
        <v>1</v>
      </c>
      <c r="CA435" s="662">
        <v>2.1000000000000001E-2</v>
      </c>
      <c r="CB435" s="170" t="e">
        <f t="shared" ca="1" si="515"/>
        <v>#VALUE!</v>
      </c>
      <c r="CC435" s="394" t="e">
        <f t="shared" ca="1" si="516"/>
        <v>#VALUE!</v>
      </c>
    </row>
    <row r="436" spans="2:81" x14ac:dyDescent="0.35">
      <c r="B436" s="512">
        <v>9</v>
      </c>
      <c r="C436" s="512" t="s">
        <v>2273</v>
      </c>
      <c r="D436" s="529" t="s">
        <v>2444</v>
      </c>
      <c r="E436" s="508" t="str">
        <f t="shared" ca="1" si="522"/>
        <v>T2部件</v>
      </c>
      <c r="F436" s="594">
        <v>1.5</v>
      </c>
      <c r="G436" s="594">
        <v>8.5000000000000006E-3</v>
      </c>
      <c r="H436" s="170" t="e">
        <f t="shared" ca="1" si="481"/>
        <v>#VALUE!</v>
      </c>
      <c r="I436" s="508" t="e">
        <f t="shared" ca="1" si="482"/>
        <v>#VALUE!</v>
      </c>
      <c r="K436" s="512">
        <v>9</v>
      </c>
      <c r="L436" s="512" t="s">
        <v>2273</v>
      </c>
      <c r="M436" s="529" t="s">
        <v>2444</v>
      </c>
      <c r="N436" s="508" t="str">
        <f t="shared" ca="1" si="523"/>
        <v>T2部件</v>
      </c>
      <c r="O436" s="565">
        <v>1</v>
      </c>
      <c r="P436" s="633">
        <v>8.5000000000000006E-3</v>
      </c>
      <c r="Q436" s="170" t="e">
        <f t="shared" ca="1" si="510"/>
        <v>#VALUE!</v>
      </c>
      <c r="R436" s="508" t="e">
        <f t="shared" ca="1" si="511"/>
        <v>#VALUE!</v>
      </c>
      <c r="T436" s="512">
        <v>9</v>
      </c>
      <c r="U436" s="512" t="s">
        <v>2273</v>
      </c>
      <c r="V436" s="529" t="s">
        <v>2444</v>
      </c>
      <c r="W436" s="508" t="str">
        <f t="shared" ca="1" si="524"/>
        <v>T2部件</v>
      </c>
      <c r="X436" s="565">
        <v>1</v>
      </c>
      <c r="Y436" s="625">
        <v>8.5000000000000006E-3</v>
      </c>
      <c r="Z436" s="170" t="e">
        <f t="shared" ca="1" si="512"/>
        <v>#VALUE!</v>
      </c>
      <c r="AA436" s="508" t="e">
        <f t="shared" ca="1" si="513"/>
        <v>#VALUE!</v>
      </c>
      <c r="AC436" s="512">
        <v>9</v>
      </c>
      <c r="AD436" s="516" t="s">
        <v>2262</v>
      </c>
      <c r="AE436" s="529" t="s">
        <v>2444</v>
      </c>
      <c r="AF436" s="508" t="str">
        <f t="shared" ca="1" si="507"/>
        <v>T2部件</v>
      </c>
      <c r="AG436" s="565">
        <v>1</v>
      </c>
      <c r="AH436" s="633">
        <v>7.4999999999999997E-3</v>
      </c>
      <c r="AI436" s="170" t="e">
        <f t="shared" ca="1" si="525"/>
        <v>#VALUE!</v>
      </c>
      <c r="AJ436" s="508" t="e">
        <f t="shared" ca="1" si="526"/>
        <v>#VALUE!</v>
      </c>
      <c r="AL436" s="512">
        <v>9</v>
      </c>
      <c r="AM436" s="516" t="s">
        <v>2252</v>
      </c>
      <c r="AN436" s="529" t="s">
        <v>2444</v>
      </c>
      <c r="AO436" s="508">
        <f t="shared" ca="1" si="519"/>
        <v>8.1</v>
      </c>
      <c r="AP436" s="625">
        <v>2.5</v>
      </c>
      <c r="AQ436" s="600">
        <v>6.6E-3</v>
      </c>
      <c r="AR436" s="170">
        <f t="shared" ca="1" si="520"/>
        <v>3.1614814814814818E-2</v>
      </c>
      <c r="AS436" s="379">
        <f t="shared" ca="1" si="521"/>
        <v>316</v>
      </c>
      <c r="AU436" s="512">
        <v>8</v>
      </c>
      <c r="AV436" s="512" t="s">
        <v>2293</v>
      </c>
      <c r="AW436" s="529" t="s">
        <v>2452</v>
      </c>
      <c r="AX436" s="508" t="str">
        <f t="shared" ca="1" si="528"/>
        <v>T3部件</v>
      </c>
      <c r="AY436" s="565">
        <v>1</v>
      </c>
      <c r="AZ436" s="625">
        <v>7.0000000000000001E-3</v>
      </c>
      <c r="BA436" s="170" t="e">
        <f t="shared" ca="1" si="530"/>
        <v>#VALUE!</v>
      </c>
      <c r="BB436" s="508" t="e">
        <f t="shared" ca="1" si="464"/>
        <v>#VALUE!</v>
      </c>
      <c r="BD436" s="512">
        <v>8</v>
      </c>
      <c r="BE436" s="512" t="s">
        <v>2293</v>
      </c>
      <c r="BF436" s="529" t="s">
        <v>2452</v>
      </c>
      <c r="BG436" s="508" t="str">
        <f t="shared" ca="1" si="529"/>
        <v>T3部件</v>
      </c>
      <c r="BH436" s="565">
        <v>1</v>
      </c>
      <c r="BI436" s="600">
        <v>7.0000000000000001E-3</v>
      </c>
      <c r="BJ436" s="170" t="e">
        <f t="shared" ca="1" si="502"/>
        <v>#VALUE!</v>
      </c>
      <c r="BK436" s="508" t="e">
        <f t="shared" ca="1" si="503"/>
        <v>#VALUE!</v>
      </c>
      <c r="BM436" s="512">
        <v>10</v>
      </c>
      <c r="BN436" s="527" t="s">
        <v>2267</v>
      </c>
      <c r="BO436" s="530" t="s">
        <v>2200</v>
      </c>
      <c r="BP436" s="508" t="str">
        <f t="shared" ca="1" si="504"/>
        <v>T2部件</v>
      </c>
      <c r="BQ436" s="632">
        <v>3</v>
      </c>
      <c r="BR436" s="615">
        <v>7.4000000000000003E-3</v>
      </c>
      <c r="BS436" s="170" t="e">
        <f t="shared" ca="1" si="505"/>
        <v>#VALUE!</v>
      </c>
      <c r="BT436" s="508" t="e">
        <f t="shared" ca="1" si="506"/>
        <v>#VALUE!</v>
      </c>
      <c r="BV436" s="396">
        <v>10</v>
      </c>
      <c r="BW436" s="527" t="s">
        <v>2284</v>
      </c>
      <c r="BX436" s="530" t="s">
        <v>2200</v>
      </c>
      <c r="BY436" s="523" t="str">
        <f t="shared" ca="1" si="527"/>
        <v>T3部件</v>
      </c>
      <c r="BZ436" s="665">
        <v>1</v>
      </c>
      <c r="CA436" s="662">
        <v>2.1000000000000001E-2</v>
      </c>
      <c r="CB436" s="170" t="e">
        <f t="shared" ca="1" si="515"/>
        <v>#VALUE!</v>
      </c>
      <c r="CC436" s="394" t="e">
        <f t="shared" ca="1" si="516"/>
        <v>#VALUE!</v>
      </c>
    </row>
    <row r="437" spans="2:81" x14ac:dyDescent="0.35">
      <c r="B437" s="512">
        <v>9</v>
      </c>
      <c r="C437" s="512" t="s">
        <v>2275</v>
      </c>
      <c r="D437" s="529" t="s">
        <v>2444</v>
      </c>
      <c r="E437" s="508" t="str">
        <f t="shared" ca="1" si="522"/>
        <v>T2部件</v>
      </c>
      <c r="F437" s="594">
        <v>1.5</v>
      </c>
      <c r="G437" s="594">
        <v>8.5000000000000006E-3</v>
      </c>
      <c r="H437" s="170" t="e">
        <f t="shared" ca="1" si="481"/>
        <v>#VALUE!</v>
      </c>
      <c r="I437" s="508" t="e">
        <f t="shared" ca="1" si="482"/>
        <v>#VALUE!</v>
      </c>
      <c r="K437" s="512">
        <v>9</v>
      </c>
      <c r="L437" s="512" t="s">
        <v>2275</v>
      </c>
      <c r="M437" s="529" t="s">
        <v>2444</v>
      </c>
      <c r="N437" s="508" t="str">
        <f t="shared" ca="1" si="523"/>
        <v>T2部件</v>
      </c>
      <c r="O437" s="565">
        <v>1</v>
      </c>
      <c r="P437" s="633">
        <v>8.5000000000000006E-3</v>
      </c>
      <c r="Q437" s="170" t="e">
        <f t="shared" ca="1" si="510"/>
        <v>#VALUE!</v>
      </c>
      <c r="R437" s="508" t="e">
        <f t="shared" ca="1" si="511"/>
        <v>#VALUE!</v>
      </c>
      <c r="T437" s="512">
        <v>9</v>
      </c>
      <c r="U437" s="512" t="s">
        <v>2275</v>
      </c>
      <c r="V437" s="529" t="s">
        <v>2444</v>
      </c>
      <c r="W437" s="508" t="str">
        <f t="shared" ca="1" si="524"/>
        <v>T2部件</v>
      </c>
      <c r="X437" s="565">
        <v>1</v>
      </c>
      <c r="Y437" s="625">
        <v>8.5000000000000006E-3</v>
      </c>
      <c r="Z437" s="170" t="e">
        <f t="shared" ca="1" si="512"/>
        <v>#VALUE!</v>
      </c>
      <c r="AA437" s="508" t="e">
        <f t="shared" ca="1" si="513"/>
        <v>#VALUE!</v>
      </c>
      <c r="AC437" s="512">
        <v>9</v>
      </c>
      <c r="AD437" s="516" t="s">
        <v>2264</v>
      </c>
      <c r="AE437" s="529" t="s">
        <v>2444</v>
      </c>
      <c r="AF437" s="508" t="str">
        <f t="shared" ca="1" si="507"/>
        <v>T2部件</v>
      </c>
      <c r="AG437" s="565">
        <v>1</v>
      </c>
      <c r="AH437" s="633">
        <v>7.4999999999999997E-3</v>
      </c>
      <c r="AI437" s="170" t="e">
        <f t="shared" ca="1" si="525"/>
        <v>#VALUE!</v>
      </c>
      <c r="AJ437" s="508" t="e">
        <f t="shared" ca="1" si="526"/>
        <v>#VALUE!</v>
      </c>
      <c r="AL437" s="512">
        <v>9</v>
      </c>
      <c r="AM437" s="512" t="s">
        <v>2254</v>
      </c>
      <c r="AN437" s="529" t="s">
        <v>2444</v>
      </c>
      <c r="AO437" s="508">
        <f t="shared" ca="1" si="519"/>
        <v>8.1</v>
      </c>
      <c r="AP437" s="625">
        <v>2.5</v>
      </c>
      <c r="AQ437" s="600">
        <v>6.6E-3</v>
      </c>
      <c r="AR437" s="170">
        <f t="shared" ca="1" si="520"/>
        <v>3.1614814814814818E-2</v>
      </c>
      <c r="AS437" s="379">
        <f t="shared" ca="1" si="521"/>
        <v>316</v>
      </c>
      <c r="BM437" s="512">
        <v>10</v>
      </c>
      <c r="BN437" s="527" t="s">
        <v>2269</v>
      </c>
      <c r="BO437" s="530" t="s">
        <v>2200</v>
      </c>
      <c r="BP437" s="508" t="str">
        <f t="shared" ref="BP437:BP468" ca="1" si="531">IF(BO437="部件",VLOOKUP(BM437,INDIRECT(BO437&amp;"价值"),MATCH(LEFT(BN437,2)&amp;"部件",INDIRECT(BO437&amp;"价值标头"),0),FALSE),IF(BO437="加速道具",VLOOKUP(BN437,INDIRECT(BO437&amp;"价值"),MATCH("价格",INDIRECT(BO437&amp;"价值标头"),0),FALSE),VLOOKUP(BM437,INDIRECT(BO437&amp;"价值"),MATCH(BN437,INDIRECT(BO437&amp;"价值标头"),0),FALSE)))</f>
        <v>T2部件</v>
      </c>
      <c r="BQ437" s="632">
        <v>3</v>
      </c>
      <c r="BR437" s="615">
        <v>7.4000000000000003E-3</v>
      </c>
      <c r="BS437" s="170" t="e">
        <f t="shared" ca="1" si="505"/>
        <v>#VALUE!</v>
      </c>
      <c r="BT437" s="508" t="e">
        <f t="shared" ca="1" si="506"/>
        <v>#VALUE!</v>
      </c>
      <c r="BV437" s="396">
        <v>10</v>
      </c>
      <c r="BW437" s="527" t="s">
        <v>2286</v>
      </c>
      <c r="BX437" s="530" t="s">
        <v>2200</v>
      </c>
      <c r="BY437" s="523" t="str">
        <f t="shared" ca="1" si="527"/>
        <v>T3部件</v>
      </c>
      <c r="BZ437" s="665">
        <v>1</v>
      </c>
      <c r="CA437" s="662">
        <v>2.1000000000000001E-2</v>
      </c>
      <c r="CB437" s="170" t="e">
        <f t="shared" ca="1" si="515"/>
        <v>#VALUE!</v>
      </c>
      <c r="CC437" s="394" t="e">
        <f t="shared" ca="1" si="516"/>
        <v>#VALUE!</v>
      </c>
    </row>
    <row r="438" spans="2:81" x14ac:dyDescent="0.35">
      <c r="B438" s="512">
        <v>9</v>
      </c>
      <c r="C438" s="516" t="s">
        <v>2276</v>
      </c>
      <c r="D438" s="529" t="s">
        <v>2444</v>
      </c>
      <c r="E438" s="508" t="str">
        <f t="shared" ca="1" si="522"/>
        <v>T3部件</v>
      </c>
      <c r="F438" s="594">
        <v>1</v>
      </c>
      <c r="G438" s="508">
        <v>8.6E-3</v>
      </c>
      <c r="H438" s="170" t="e">
        <f t="shared" ca="1" si="481"/>
        <v>#VALUE!</v>
      </c>
      <c r="I438" s="508" t="e">
        <f t="shared" ca="1" si="482"/>
        <v>#VALUE!</v>
      </c>
      <c r="K438" s="512">
        <v>9</v>
      </c>
      <c r="L438" s="516" t="s">
        <v>2276</v>
      </c>
      <c r="M438" s="529" t="s">
        <v>2444</v>
      </c>
      <c r="N438" s="508" t="str">
        <f t="shared" ca="1" si="523"/>
        <v>T3部件</v>
      </c>
      <c r="O438" s="566">
        <v>1</v>
      </c>
      <c r="P438" s="633">
        <v>5.5999999999999999E-3</v>
      </c>
      <c r="Q438" s="170" t="e">
        <f t="shared" ca="1" si="510"/>
        <v>#VALUE!</v>
      </c>
      <c r="R438" s="508" t="e">
        <f t="shared" ca="1" si="511"/>
        <v>#VALUE!</v>
      </c>
      <c r="T438" s="512">
        <v>9</v>
      </c>
      <c r="U438" s="516" t="s">
        <v>2276</v>
      </c>
      <c r="V438" s="529" t="s">
        <v>2444</v>
      </c>
      <c r="W438" s="508" t="str">
        <f t="shared" ca="1" si="524"/>
        <v>T3部件</v>
      </c>
      <c r="X438" s="566">
        <v>1</v>
      </c>
      <c r="Y438" s="594">
        <v>5.5999999999999999E-3</v>
      </c>
      <c r="Z438" s="170" t="e">
        <f t="shared" ca="1" si="512"/>
        <v>#VALUE!</v>
      </c>
      <c r="AA438" s="508" t="e">
        <f t="shared" ca="1" si="513"/>
        <v>#VALUE!</v>
      </c>
      <c r="AC438" s="512">
        <v>9</v>
      </c>
      <c r="AD438" s="516" t="s">
        <v>2266</v>
      </c>
      <c r="AE438" s="529" t="s">
        <v>2444</v>
      </c>
      <c r="AF438" s="508" t="str">
        <f t="shared" ca="1" si="507"/>
        <v>T2部件</v>
      </c>
      <c r="AG438" s="565">
        <v>1</v>
      </c>
      <c r="AH438" s="633">
        <v>7.4999999999999997E-3</v>
      </c>
      <c r="AI438" s="170" t="e">
        <f t="shared" ca="1" si="525"/>
        <v>#VALUE!</v>
      </c>
      <c r="AJ438" s="508" t="e">
        <f t="shared" ca="1" si="526"/>
        <v>#VALUE!</v>
      </c>
      <c r="AL438" s="512">
        <v>9</v>
      </c>
      <c r="AM438" s="512" t="s">
        <v>2256</v>
      </c>
      <c r="AN438" s="529" t="s">
        <v>2444</v>
      </c>
      <c r="AO438" s="508">
        <f t="shared" ca="1" si="519"/>
        <v>8.1</v>
      </c>
      <c r="AP438" s="625">
        <v>2.5</v>
      </c>
      <c r="AQ438" s="600">
        <v>6.6E-3</v>
      </c>
      <c r="AR438" s="170">
        <f t="shared" ca="1" si="520"/>
        <v>3.1614814814814818E-2</v>
      </c>
      <c r="AS438" s="394">
        <f t="shared" ca="1" si="521"/>
        <v>316</v>
      </c>
      <c r="BM438" s="512">
        <v>10</v>
      </c>
      <c r="BN438" s="527" t="s">
        <v>2271</v>
      </c>
      <c r="BO438" s="530" t="s">
        <v>2200</v>
      </c>
      <c r="BP438" s="508" t="str">
        <f t="shared" ca="1" si="531"/>
        <v>T2部件</v>
      </c>
      <c r="BQ438" s="632">
        <v>3</v>
      </c>
      <c r="BR438" s="615">
        <v>7.4000000000000003E-3</v>
      </c>
      <c r="BS438" s="170" t="e">
        <f t="shared" ca="1" si="505"/>
        <v>#VALUE!</v>
      </c>
      <c r="BT438" s="508" t="e">
        <f t="shared" ca="1" si="506"/>
        <v>#VALUE!</v>
      </c>
      <c r="BV438" s="396">
        <v>10</v>
      </c>
      <c r="BW438" s="527" t="s">
        <v>2288</v>
      </c>
      <c r="BX438" s="530" t="s">
        <v>2200</v>
      </c>
      <c r="BY438" s="523" t="str">
        <f t="shared" ca="1" si="527"/>
        <v>T3部件</v>
      </c>
      <c r="BZ438" s="665">
        <v>1</v>
      </c>
      <c r="CA438" s="662">
        <v>2.1000000000000001E-2</v>
      </c>
      <c r="CB438" s="170" t="e">
        <f t="shared" ca="1" si="515"/>
        <v>#VALUE!</v>
      </c>
      <c r="CC438" s="394" t="e">
        <f t="shared" ca="1" si="516"/>
        <v>#VALUE!</v>
      </c>
    </row>
    <row r="439" spans="2:81" x14ac:dyDescent="0.35">
      <c r="B439" s="512">
        <v>9</v>
      </c>
      <c r="C439" s="516" t="s">
        <v>2278</v>
      </c>
      <c r="D439" s="529" t="s">
        <v>2444</v>
      </c>
      <c r="E439" s="508" t="str">
        <f t="shared" ca="1" si="522"/>
        <v>T3部件</v>
      </c>
      <c r="F439" s="594">
        <v>1</v>
      </c>
      <c r="G439" s="594">
        <v>8.6E-3</v>
      </c>
      <c r="H439" s="170" t="e">
        <f t="shared" ca="1" si="481"/>
        <v>#VALUE!</v>
      </c>
      <c r="I439" s="508" t="e">
        <f t="shared" ca="1" si="482"/>
        <v>#VALUE!</v>
      </c>
      <c r="K439" s="512">
        <v>9</v>
      </c>
      <c r="L439" s="516" t="s">
        <v>2278</v>
      </c>
      <c r="M439" s="529" t="s">
        <v>2444</v>
      </c>
      <c r="N439" s="508" t="str">
        <f t="shared" ca="1" si="523"/>
        <v>T3部件</v>
      </c>
      <c r="O439" s="566">
        <v>1</v>
      </c>
      <c r="P439" s="633">
        <v>5.5999999999999999E-3</v>
      </c>
      <c r="Q439" s="170" t="e">
        <f t="shared" ca="1" si="510"/>
        <v>#VALUE!</v>
      </c>
      <c r="R439" s="508" t="e">
        <f t="shared" ca="1" si="511"/>
        <v>#VALUE!</v>
      </c>
      <c r="T439" s="512">
        <v>9</v>
      </c>
      <c r="U439" s="516" t="s">
        <v>2278</v>
      </c>
      <c r="V439" s="529" t="s">
        <v>2444</v>
      </c>
      <c r="W439" s="508" t="str">
        <f t="shared" ca="1" si="524"/>
        <v>T3部件</v>
      </c>
      <c r="X439" s="566">
        <v>1</v>
      </c>
      <c r="Y439" s="625">
        <v>5.5999999999999999E-3</v>
      </c>
      <c r="Z439" s="170" t="e">
        <f t="shared" ca="1" si="512"/>
        <v>#VALUE!</v>
      </c>
      <c r="AA439" s="508" t="e">
        <f t="shared" ca="1" si="513"/>
        <v>#VALUE!</v>
      </c>
      <c r="AC439" s="512">
        <v>9</v>
      </c>
      <c r="AD439" s="516" t="s">
        <v>2268</v>
      </c>
      <c r="AE439" s="529" t="s">
        <v>2444</v>
      </c>
      <c r="AF439" s="508" t="str">
        <f t="shared" ca="1" si="507"/>
        <v>T2部件</v>
      </c>
      <c r="AG439" s="565">
        <v>1</v>
      </c>
      <c r="AH439" s="633">
        <v>7.4999999999999997E-3</v>
      </c>
      <c r="AI439" s="170" t="e">
        <f t="shared" ca="1" si="525"/>
        <v>#VALUE!</v>
      </c>
      <c r="AJ439" s="508" t="e">
        <f t="shared" ca="1" si="526"/>
        <v>#VALUE!</v>
      </c>
      <c r="AL439" s="512">
        <v>9</v>
      </c>
      <c r="AM439" s="516" t="s">
        <v>2241</v>
      </c>
      <c r="AN439" s="529" t="s">
        <v>2444</v>
      </c>
      <c r="AO439" s="508">
        <f t="shared" ca="1" si="519"/>
        <v>8.1</v>
      </c>
      <c r="AP439" s="625">
        <v>2.5</v>
      </c>
      <c r="AQ439" s="600">
        <v>6.6E-3</v>
      </c>
      <c r="AR439" s="170">
        <f t="shared" ca="1" si="520"/>
        <v>3.1614814814814818E-2</v>
      </c>
      <c r="AS439" s="394">
        <f t="shared" ca="1" si="521"/>
        <v>316</v>
      </c>
      <c r="AU439" s="512" t="s">
        <v>597</v>
      </c>
      <c r="AV439" s="512" t="s">
        <v>1225</v>
      </c>
      <c r="AW439" s="513" t="s">
        <v>917</v>
      </c>
      <c r="AX439" s="166" t="s">
        <v>920</v>
      </c>
      <c r="AY439" s="518" t="s">
        <v>967</v>
      </c>
      <c r="AZ439" s="166" t="s">
        <v>854</v>
      </c>
      <c r="BA439" s="166" t="s">
        <v>926</v>
      </c>
      <c r="BB439" s="514" t="s">
        <v>927</v>
      </c>
      <c r="BC439" s="300" t="e">
        <f ca="1">SUM(BB440:BB518)</f>
        <v>#VALUE!</v>
      </c>
      <c r="BD439" s="512" t="s">
        <v>597</v>
      </c>
      <c r="BE439" s="512" t="s">
        <v>1225</v>
      </c>
      <c r="BF439" s="513" t="s">
        <v>917</v>
      </c>
      <c r="BG439" s="166" t="s">
        <v>920</v>
      </c>
      <c r="BH439" s="518" t="s">
        <v>967</v>
      </c>
      <c r="BI439" s="166" t="s">
        <v>854</v>
      </c>
      <c r="BJ439" s="166" t="s">
        <v>926</v>
      </c>
      <c r="BK439" s="383" t="s">
        <v>927</v>
      </c>
      <c r="BL439" s="300" t="e">
        <f ca="1">SUM(BK440:BK518)</f>
        <v>#VALUE!</v>
      </c>
      <c r="BM439" s="512">
        <v>10</v>
      </c>
      <c r="BN439" s="525" t="s">
        <v>2273</v>
      </c>
      <c r="BO439" s="530" t="s">
        <v>2200</v>
      </c>
      <c r="BP439" s="508" t="str">
        <f t="shared" ca="1" si="531"/>
        <v>T2部件</v>
      </c>
      <c r="BQ439" s="632">
        <v>3</v>
      </c>
      <c r="BR439" s="615">
        <v>7.4000000000000003E-3</v>
      </c>
      <c r="BS439" s="170" t="e">
        <f t="shared" ca="1" si="505"/>
        <v>#VALUE!</v>
      </c>
      <c r="BT439" s="508" t="e">
        <f t="shared" ca="1" si="506"/>
        <v>#VALUE!</v>
      </c>
      <c r="BV439" s="396">
        <v>10</v>
      </c>
      <c r="BW439" s="525" t="s">
        <v>2290</v>
      </c>
      <c r="BX439" s="530" t="s">
        <v>2200</v>
      </c>
      <c r="BY439" s="523" t="str">
        <f t="shared" ca="1" si="527"/>
        <v>T3部件</v>
      </c>
      <c r="BZ439" s="665">
        <v>1</v>
      </c>
      <c r="CA439" s="662">
        <v>2.1000000000000001E-2</v>
      </c>
      <c r="CB439" s="170" t="e">
        <f t="shared" ca="1" si="515"/>
        <v>#VALUE!</v>
      </c>
      <c r="CC439" s="394" t="e">
        <f t="shared" ca="1" si="516"/>
        <v>#VALUE!</v>
      </c>
    </row>
    <row r="440" spans="2:81" x14ac:dyDescent="0.35">
      <c r="B440" s="512">
        <v>9</v>
      </c>
      <c r="C440" s="516" t="s">
        <v>2280</v>
      </c>
      <c r="D440" s="529" t="s">
        <v>2444</v>
      </c>
      <c r="E440" s="508" t="str">
        <f t="shared" ca="1" si="522"/>
        <v>T3部件</v>
      </c>
      <c r="F440" s="594">
        <v>1</v>
      </c>
      <c r="G440" s="594">
        <v>8.6E-3</v>
      </c>
      <c r="H440" s="170" t="e">
        <f t="shared" ca="1" si="481"/>
        <v>#VALUE!</v>
      </c>
      <c r="I440" s="508" t="e">
        <f t="shared" ca="1" si="482"/>
        <v>#VALUE!</v>
      </c>
      <c r="K440" s="512">
        <v>9</v>
      </c>
      <c r="L440" s="516" t="s">
        <v>2280</v>
      </c>
      <c r="M440" s="529" t="s">
        <v>2444</v>
      </c>
      <c r="N440" s="508" t="str">
        <f t="shared" ca="1" si="523"/>
        <v>T3部件</v>
      </c>
      <c r="O440" s="566">
        <v>1</v>
      </c>
      <c r="P440" s="633">
        <v>5.5999999999999999E-3</v>
      </c>
      <c r="Q440" s="170" t="e">
        <f t="shared" ca="1" si="510"/>
        <v>#VALUE!</v>
      </c>
      <c r="R440" s="508" t="e">
        <f t="shared" ca="1" si="511"/>
        <v>#VALUE!</v>
      </c>
      <c r="T440" s="512">
        <v>9</v>
      </c>
      <c r="U440" s="516" t="s">
        <v>2280</v>
      </c>
      <c r="V440" s="529" t="s">
        <v>2444</v>
      </c>
      <c r="W440" s="508" t="str">
        <f t="shared" ca="1" si="524"/>
        <v>T3部件</v>
      </c>
      <c r="X440" s="566">
        <v>1</v>
      </c>
      <c r="Y440" s="625">
        <v>5.5999999999999999E-3</v>
      </c>
      <c r="Z440" s="170" t="e">
        <f t="shared" ca="1" si="512"/>
        <v>#VALUE!</v>
      </c>
      <c r="AA440" s="508" t="e">
        <f t="shared" ca="1" si="513"/>
        <v>#VALUE!</v>
      </c>
      <c r="AC440" s="512">
        <v>9</v>
      </c>
      <c r="AD440" s="516" t="s">
        <v>2270</v>
      </c>
      <c r="AE440" s="529" t="s">
        <v>2444</v>
      </c>
      <c r="AF440" s="508" t="str">
        <f t="shared" ca="1" si="507"/>
        <v>T2部件</v>
      </c>
      <c r="AG440" s="565">
        <v>1</v>
      </c>
      <c r="AH440" s="633">
        <v>7.4999999999999997E-3</v>
      </c>
      <c r="AI440" s="170" t="e">
        <f t="shared" ca="1" si="525"/>
        <v>#VALUE!</v>
      </c>
      <c r="AJ440" s="508" t="e">
        <f t="shared" ca="1" si="526"/>
        <v>#VALUE!</v>
      </c>
      <c r="AL440" s="512">
        <v>9</v>
      </c>
      <c r="AM440" s="516" t="s">
        <v>2243</v>
      </c>
      <c r="AN440" s="529" t="s">
        <v>2444</v>
      </c>
      <c r="AO440" s="508">
        <f t="shared" ca="1" si="519"/>
        <v>8.1</v>
      </c>
      <c r="AP440" s="625">
        <v>2.5</v>
      </c>
      <c r="AQ440" s="600">
        <v>6.6E-3</v>
      </c>
      <c r="AR440" s="170">
        <f t="shared" ca="1" si="520"/>
        <v>3.1614814814814818E-2</v>
      </c>
      <c r="AS440" s="394">
        <f t="shared" ca="1" si="521"/>
        <v>316</v>
      </c>
      <c r="AU440" s="512">
        <v>9</v>
      </c>
      <c r="AV440" s="516" t="s">
        <v>617</v>
      </c>
      <c r="AW440" s="512" t="s">
        <v>2394</v>
      </c>
      <c r="AX440" s="508">
        <f t="shared" ref="AX440:AX471" ca="1" si="532">IF(AW440="部件",VLOOKUP(AU440,INDIRECT(AW440&amp;"价值"),MATCH(LEFT(AV440,2)&amp;"部件",INDIRECT(AW440&amp;"价值标头"),0),FALSE),IF(AW440="加速道具",VLOOKUP(AV440,INDIRECT(AW440&amp;"价值"),MATCH("价格",INDIRECT(AW440&amp;"价值标头"),0),FALSE),VLOOKUP(AU440,INDIRECT(AW440&amp;"价值"),MATCH(AV440,INDIRECT(AW440&amp;"价值标头"),0),FALSE)))</f>
        <v>64.599999999999994</v>
      </c>
      <c r="AY440" s="615">
        <v>4</v>
      </c>
      <c r="AZ440" s="508">
        <f>宝箱设定!$H199</f>
        <v>3.6999999999999998E-2</v>
      </c>
      <c r="BA440" s="170">
        <f t="shared" ref="BA440:BA502" ca="1" si="533">AZ440*AV$4/AX440/AY440</f>
        <v>9.3072755417956659E-3</v>
      </c>
      <c r="BB440" s="508">
        <f t="shared" ref="BB440:BB509" ca="1" si="534">ROUND(BA440*10000,0)</f>
        <v>93</v>
      </c>
      <c r="BD440" s="512">
        <v>9</v>
      </c>
      <c r="BE440" s="516" t="s">
        <v>617</v>
      </c>
      <c r="BF440" s="512" t="s">
        <v>2394</v>
      </c>
      <c r="BG440" s="508">
        <f t="shared" ref="BG440:BG471" ca="1" si="535">IF(BF440="部件",VLOOKUP(BD440,INDIRECT(BF440&amp;"价值"),MATCH(LEFT(BE440,2)&amp;"部件",INDIRECT(BF440&amp;"价值标头"),0),FALSE),IF(BF440="加速道具",VLOOKUP(BE440,INDIRECT(BF440&amp;"价值"),MATCH("价格",INDIRECT(BF440&amp;"价值标头"),0),FALSE),VLOOKUP(BD440,INDIRECT(BF440&amp;"价值"),MATCH(BE440,INDIRECT(BF440&amp;"价值标头"),0),FALSE)))</f>
        <v>64.599999999999994</v>
      </c>
      <c r="BH440" s="615">
        <v>7</v>
      </c>
      <c r="BI440" s="508">
        <f>宝箱设定!$H199</f>
        <v>3.6999999999999998E-2</v>
      </c>
      <c r="BJ440" s="170">
        <f ca="1">BI440*BE$4/BG440/BH440</f>
        <v>1.2068774878372402E-2</v>
      </c>
      <c r="BK440" s="379">
        <f ca="1">ROUND(BJ440*10000,0)</f>
        <v>121</v>
      </c>
      <c r="BM440" s="512">
        <v>10</v>
      </c>
      <c r="BN440" s="525" t="s">
        <v>2275</v>
      </c>
      <c r="BO440" s="530" t="s">
        <v>2200</v>
      </c>
      <c r="BP440" s="508" t="str">
        <f t="shared" ca="1" si="531"/>
        <v>T2部件</v>
      </c>
      <c r="BQ440" s="632">
        <v>3</v>
      </c>
      <c r="BR440" s="615">
        <v>7.4000000000000003E-3</v>
      </c>
      <c r="BS440" s="170" t="e">
        <f t="shared" ca="1" si="505"/>
        <v>#VALUE!</v>
      </c>
      <c r="BT440" s="508" t="e">
        <f t="shared" ca="1" si="506"/>
        <v>#VALUE!</v>
      </c>
      <c r="BV440" s="396">
        <v>10</v>
      </c>
      <c r="BW440" s="525" t="s">
        <v>2292</v>
      </c>
      <c r="BX440" s="530" t="s">
        <v>2200</v>
      </c>
      <c r="BY440" s="523" t="str">
        <f t="shared" ca="1" si="527"/>
        <v>T3部件</v>
      </c>
      <c r="BZ440" s="665">
        <v>1</v>
      </c>
      <c r="CA440" s="662">
        <v>2.1000000000000001E-2</v>
      </c>
      <c r="CB440" s="170" t="e">
        <f t="shared" ca="1" si="515"/>
        <v>#VALUE!</v>
      </c>
      <c r="CC440" s="394" t="e">
        <f t="shared" ca="1" si="516"/>
        <v>#VALUE!</v>
      </c>
    </row>
    <row r="441" spans="2:81" x14ac:dyDescent="0.35">
      <c r="B441" s="512">
        <v>9</v>
      </c>
      <c r="C441" s="516" t="s">
        <v>2282</v>
      </c>
      <c r="D441" s="529" t="s">
        <v>2444</v>
      </c>
      <c r="E441" s="508" t="str">
        <f t="shared" ca="1" si="522"/>
        <v>T3部件</v>
      </c>
      <c r="F441" s="594">
        <v>1</v>
      </c>
      <c r="G441" s="594">
        <v>8.6E-3</v>
      </c>
      <c r="H441" s="170" t="e">
        <f t="shared" ca="1" si="481"/>
        <v>#VALUE!</v>
      </c>
      <c r="I441" s="508" t="e">
        <f t="shared" ca="1" si="482"/>
        <v>#VALUE!</v>
      </c>
      <c r="K441" s="512">
        <v>9</v>
      </c>
      <c r="L441" s="516" t="s">
        <v>2282</v>
      </c>
      <c r="M441" s="529" t="s">
        <v>2444</v>
      </c>
      <c r="N441" s="508" t="str">
        <f t="shared" ca="1" si="523"/>
        <v>T3部件</v>
      </c>
      <c r="O441" s="566">
        <v>1</v>
      </c>
      <c r="P441" s="633">
        <v>5.5999999999999999E-3</v>
      </c>
      <c r="Q441" s="170" t="e">
        <f t="shared" ca="1" si="510"/>
        <v>#VALUE!</v>
      </c>
      <c r="R441" s="508" t="e">
        <f t="shared" ca="1" si="511"/>
        <v>#VALUE!</v>
      </c>
      <c r="T441" s="512">
        <v>9</v>
      </c>
      <c r="U441" s="516" t="s">
        <v>2282</v>
      </c>
      <c r="V441" s="529" t="s">
        <v>2444</v>
      </c>
      <c r="W441" s="508" t="str">
        <f t="shared" ca="1" si="524"/>
        <v>T3部件</v>
      </c>
      <c r="X441" s="566">
        <v>1</v>
      </c>
      <c r="Y441" s="625">
        <v>5.5999999999999999E-3</v>
      </c>
      <c r="Z441" s="170" t="e">
        <f t="shared" ca="1" si="512"/>
        <v>#VALUE!</v>
      </c>
      <c r="AA441" s="508" t="e">
        <f t="shared" ca="1" si="513"/>
        <v>#VALUE!</v>
      </c>
      <c r="AC441" s="512">
        <v>9</v>
      </c>
      <c r="AD441" s="512" t="s">
        <v>2272</v>
      </c>
      <c r="AE441" s="529" t="s">
        <v>2444</v>
      </c>
      <c r="AF441" s="508" t="str">
        <f t="shared" ref="AF441:AF472" ca="1" si="536">IF(AE441="部件",VLOOKUP(AC441,INDIRECT(AE441&amp;"价值"),MATCH(LEFT(AD441,2)&amp;"部件",INDIRECT(AE441&amp;"价值标头"),0),FALSE),IF(AE441="加速道具",VLOOKUP(AD441,INDIRECT(AE441&amp;"价值"),MATCH("价格",INDIRECT(AE441&amp;"价值标头"),0),FALSE),VLOOKUP(AC441,INDIRECT(AE441&amp;"价值"),MATCH(AD441,INDIRECT(AE441&amp;"价值标头"),0),FALSE)))</f>
        <v>T2部件</v>
      </c>
      <c r="AG441" s="565">
        <v>1</v>
      </c>
      <c r="AH441" s="633">
        <v>7.4999999999999997E-3</v>
      </c>
      <c r="AI441" s="170" t="e">
        <f t="shared" ca="1" si="525"/>
        <v>#VALUE!</v>
      </c>
      <c r="AJ441" s="508" t="e">
        <f t="shared" ca="1" si="526"/>
        <v>#VALUE!</v>
      </c>
      <c r="AL441" s="512">
        <v>9</v>
      </c>
      <c r="AM441" s="516" t="s">
        <v>2245</v>
      </c>
      <c r="AN441" s="529" t="s">
        <v>2444</v>
      </c>
      <c r="AO441" s="508">
        <f t="shared" ca="1" si="519"/>
        <v>8.1</v>
      </c>
      <c r="AP441" s="625">
        <v>2.5</v>
      </c>
      <c r="AQ441" s="600">
        <v>6.6E-3</v>
      </c>
      <c r="AR441" s="170">
        <f t="shared" ref="AR441:AR496" ca="1" si="537">AQ441*AM$4/AO441/AP441</f>
        <v>3.1614814814814818E-2</v>
      </c>
      <c r="AS441" s="508">
        <f t="shared" ref="AS441:AS496" ca="1" si="538">ROUND(AR441*10000,0)</f>
        <v>316</v>
      </c>
      <c r="AU441" s="512">
        <v>9</v>
      </c>
      <c r="AV441" s="516" t="s">
        <v>626</v>
      </c>
      <c r="AW441" s="512" t="s">
        <v>2394</v>
      </c>
      <c r="AX441" s="508">
        <f t="shared" ca="1" si="532"/>
        <v>64.599999999999994</v>
      </c>
      <c r="AY441" s="615">
        <v>4</v>
      </c>
      <c r="AZ441" s="508">
        <f>宝箱设定!$H200</f>
        <v>3.6999999999999998E-2</v>
      </c>
      <c r="BA441" s="170">
        <f t="shared" ca="1" si="533"/>
        <v>9.3072755417956659E-3</v>
      </c>
      <c r="BB441" s="508">
        <f t="shared" ca="1" si="534"/>
        <v>93</v>
      </c>
      <c r="BD441" s="512">
        <v>9</v>
      </c>
      <c r="BE441" s="516" t="s">
        <v>626</v>
      </c>
      <c r="BF441" s="512" t="s">
        <v>2394</v>
      </c>
      <c r="BG441" s="508">
        <f t="shared" ca="1" si="535"/>
        <v>64.599999999999994</v>
      </c>
      <c r="BH441" s="615">
        <v>7</v>
      </c>
      <c r="BI441" s="508">
        <f>宝箱设定!$H200</f>
        <v>3.6999999999999998E-2</v>
      </c>
      <c r="BJ441" s="170">
        <f t="shared" ref="BJ441:BJ493" ca="1" si="539">BI441*BE$4/BG441/BH441</f>
        <v>1.2068774878372402E-2</v>
      </c>
      <c r="BK441" s="379">
        <f t="shared" ref="BK441:BK493" ca="1" si="540">ROUND(BJ441*10000,0)</f>
        <v>121</v>
      </c>
      <c r="BM441" s="512">
        <v>10</v>
      </c>
      <c r="BN441" s="527" t="s">
        <v>2276</v>
      </c>
      <c r="BO441" s="530" t="s">
        <v>2200</v>
      </c>
      <c r="BP441" s="508" t="str">
        <f t="shared" ca="1" si="531"/>
        <v>T3部件</v>
      </c>
      <c r="BQ441" s="508">
        <v>1.5</v>
      </c>
      <c r="BR441" s="605">
        <v>6.0000000000000001E-3</v>
      </c>
      <c r="BS441" s="170" t="e">
        <f t="shared" ca="1" si="505"/>
        <v>#VALUE!</v>
      </c>
      <c r="BT441" s="508" t="e">
        <f t="shared" ca="1" si="506"/>
        <v>#VALUE!</v>
      </c>
      <c r="BV441" s="396">
        <v>10</v>
      </c>
      <c r="BW441" s="527" t="s">
        <v>2277</v>
      </c>
      <c r="BX441" s="530" t="s">
        <v>2200</v>
      </c>
      <c r="BY441" s="523" t="str">
        <f t="shared" ca="1" si="527"/>
        <v>T3部件</v>
      </c>
      <c r="BZ441" s="665">
        <v>1</v>
      </c>
      <c r="CA441" s="662">
        <v>2.1000000000000001E-2</v>
      </c>
      <c r="CB441" s="170" t="e">
        <f t="shared" ca="1" si="515"/>
        <v>#VALUE!</v>
      </c>
      <c r="CC441" s="394" t="e">
        <f t="shared" ca="1" si="516"/>
        <v>#VALUE!</v>
      </c>
    </row>
    <row r="442" spans="2:81" x14ac:dyDescent="0.35">
      <c r="B442" s="512">
        <v>9</v>
      </c>
      <c r="C442" s="516" t="s">
        <v>2284</v>
      </c>
      <c r="D442" s="529" t="s">
        <v>2444</v>
      </c>
      <c r="E442" s="508" t="str">
        <f t="shared" ca="1" si="522"/>
        <v>T3部件</v>
      </c>
      <c r="F442" s="594">
        <v>1</v>
      </c>
      <c r="G442" s="594">
        <v>8.6E-3</v>
      </c>
      <c r="H442" s="170" t="e">
        <f t="shared" ca="1" si="481"/>
        <v>#VALUE!</v>
      </c>
      <c r="I442" s="508" t="e">
        <f t="shared" ca="1" si="482"/>
        <v>#VALUE!</v>
      </c>
      <c r="K442" s="512">
        <v>9</v>
      </c>
      <c r="L442" s="516" t="s">
        <v>2284</v>
      </c>
      <c r="M442" s="529" t="s">
        <v>2444</v>
      </c>
      <c r="N442" s="508" t="str">
        <f t="shared" ca="1" si="523"/>
        <v>T3部件</v>
      </c>
      <c r="O442" s="566">
        <v>1</v>
      </c>
      <c r="P442" s="633">
        <v>5.5999999999999999E-3</v>
      </c>
      <c r="Q442" s="170" t="e">
        <f t="shared" ca="1" si="510"/>
        <v>#VALUE!</v>
      </c>
      <c r="R442" s="508" t="e">
        <f t="shared" ca="1" si="511"/>
        <v>#VALUE!</v>
      </c>
      <c r="T442" s="512">
        <v>9</v>
      </c>
      <c r="U442" s="516" t="s">
        <v>2284</v>
      </c>
      <c r="V442" s="529" t="s">
        <v>2444</v>
      </c>
      <c r="W442" s="508" t="str">
        <f t="shared" ca="1" si="524"/>
        <v>T3部件</v>
      </c>
      <c r="X442" s="566">
        <v>1</v>
      </c>
      <c r="Y442" s="625">
        <v>5.5999999999999999E-3</v>
      </c>
      <c r="Z442" s="170" t="e">
        <f t="shared" ca="1" si="512"/>
        <v>#VALUE!</v>
      </c>
      <c r="AA442" s="508" t="e">
        <f t="shared" ca="1" si="513"/>
        <v>#VALUE!</v>
      </c>
      <c r="AC442" s="512">
        <v>9</v>
      </c>
      <c r="AD442" s="512" t="s">
        <v>2274</v>
      </c>
      <c r="AE442" s="529" t="s">
        <v>2444</v>
      </c>
      <c r="AF442" s="508" t="str">
        <f t="shared" ca="1" si="536"/>
        <v>T2部件</v>
      </c>
      <c r="AG442" s="565">
        <v>1</v>
      </c>
      <c r="AH442" s="633">
        <v>7.4999999999999997E-3</v>
      </c>
      <c r="AI442" s="170" t="e">
        <f t="shared" ca="1" si="525"/>
        <v>#VALUE!</v>
      </c>
      <c r="AJ442" s="508" t="e">
        <f t="shared" ca="1" si="526"/>
        <v>#VALUE!</v>
      </c>
      <c r="AL442" s="512">
        <v>9</v>
      </c>
      <c r="AM442" s="516" t="s">
        <v>2247</v>
      </c>
      <c r="AN442" s="529" t="s">
        <v>2444</v>
      </c>
      <c r="AO442" s="508">
        <f t="shared" ca="1" si="519"/>
        <v>8.1</v>
      </c>
      <c r="AP442" s="625">
        <v>2.5</v>
      </c>
      <c r="AQ442" s="600">
        <v>6.6E-3</v>
      </c>
      <c r="AR442" s="170">
        <f t="shared" ca="1" si="537"/>
        <v>3.1614814814814818E-2</v>
      </c>
      <c r="AS442" s="508">
        <f t="shared" ca="1" si="538"/>
        <v>316</v>
      </c>
      <c r="AU442" s="512">
        <v>9</v>
      </c>
      <c r="AV442" s="516" t="s">
        <v>631</v>
      </c>
      <c r="AW442" s="512" t="s">
        <v>2394</v>
      </c>
      <c r="AX442" s="508">
        <f t="shared" ca="1" si="532"/>
        <v>64.599999999999994</v>
      </c>
      <c r="AY442" s="615">
        <v>4</v>
      </c>
      <c r="AZ442" s="508">
        <f>宝箱设定!$H201</f>
        <v>3.6999999999999998E-2</v>
      </c>
      <c r="BA442" s="170">
        <f t="shared" ca="1" si="533"/>
        <v>9.3072755417956659E-3</v>
      </c>
      <c r="BB442" s="508">
        <f t="shared" ca="1" si="534"/>
        <v>93</v>
      </c>
      <c r="BD442" s="512">
        <v>9</v>
      </c>
      <c r="BE442" s="516" t="s">
        <v>631</v>
      </c>
      <c r="BF442" s="512" t="s">
        <v>2394</v>
      </c>
      <c r="BG442" s="508">
        <f t="shared" ca="1" si="535"/>
        <v>64.599999999999994</v>
      </c>
      <c r="BH442" s="615">
        <v>7</v>
      </c>
      <c r="BI442" s="508">
        <f>宝箱设定!$H201</f>
        <v>3.6999999999999998E-2</v>
      </c>
      <c r="BJ442" s="170">
        <f t="shared" ca="1" si="539"/>
        <v>1.2068774878372402E-2</v>
      </c>
      <c r="BK442" s="379">
        <f t="shared" ca="1" si="540"/>
        <v>121</v>
      </c>
      <c r="BM442" s="512">
        <v>10</v>
      </c>
      <c r="BN442" s="527" t="s">
        <v>2278</v>
      </c>
      <c r="BO442" s="530" t="s">
        <v>2200</v>
      </c>
      <c r="BP442" s="508" t="str">
        <f t="shared" ca="1" si="531"/>
        <v>T3部件</v>
      </c>
      <c r="BQ442" s="615">
        <v>1.5</v>
      </c>
      <c r="BR442" s="615">
        <v>6.0000000000000001E-3</v>
      </c>
      <c r="BS442" s="170" t="e">
        <f t="shared" ca="1" si="505"/>
        <v>#VALUE!</v>
      </c>
      <c r="BT442" s="508" t="e">
        <f t="shared" ca="1" si="506"/>
        <v>#VALUE!</v>
      </c>
      <c r="BV442" s="396">
        <v>10</v>
      </c>
      <c r="BW442" s="527" t="s">
        <v>2279</v>
      </c>
      <c r="BX442" s="530" t="s">
        <v>2200</v>
      </c>
      <c r="BY442" s="523" t="str">
        <f t="shared" ca="1" si="527"/>
        <v>T3部件</v>
      </c>
      <c r="BZ442" s="665">
        <v>1</v>
      </c>
      <c r="CA442" s="662">
        <v>2.1000000000000001E-2</v>
      </c>
      <c r="CB442" s="170" t="e">
        <f t="shared" ca="1" si="515"/>
        <v>#VALUE!</v>
      </c>
      <c r="CC442" s="394" t="e">
        <f t="shared" ca="1" si="516"/>
        <v>#VALUE!</v>
      </c>
    </row>
    <row r="443" spans="2:81" x14ac:dyDescent="0.35">
      <c r="B443" s="512">
        <v>9</v>
      </c>
      <c r="C443" s="516" t="s">
        <v>2286</v>
      </c>
      <c r="D443" s="529" t="s">
        <v>2444</v>
      </c>
      <c r="E443" s="508" t="str">
        <f t="shared" ca="1" si="522"/>
        <v>T3部件</v>
      </c>
      <c r="F443" s="594">
        <v>1</v>
      </c>
      <c r="G443" s="594">
        <v>8.6E-3</v>
      </c>
      <c r="H443" s="170" t="e">
        <f t="shared" ca="1" si="481"/>
        <v>#VALUE!</v>
      </c>
      <c r="I443" s="508" t="e">
        <f t="shared" ca="1" si="482"/>
        <v>#VALUE!</v>
      </c>
      <c r="K443" s="512">
        <v>9</v>
      </c>
      <c r="L443" s="516" t="s">
        <v>2286</v>
      </c>
      <c r="M443" s="529" t="s">
        <v>2444</v>
      </c>
      <c r="N443" s="508" t="str">
        <f t="shared" ca="1" si="523"/>
        <v>T3部件</v>
      </c>
      <c r="O443" s="566">
        <v>1</v>
      </c>
      <c r="P443" s="633">
        <v>5.5999999999999999E-3</v>
      </c>
      <c r="Q443" s="170" t="e">
        <f t="shared" ca="1" si="510"/>
        <v>#VALUE!</v>
      </c>
      <c r="R443" s="508" t="e">
        <f t="shared" ca="1" si="511"/>
        <v>#VALUE!</v>
      </c>
      <c r="T443" s="512">
        <v>9</v>
      </c>
      <c r="U443" s="516" t="s">
        <v>2286</v>
      </c>
      <c r="V443" s="529" t="s">
        <v>2444</v>
      </c>
      <c r="W443" s="508" t="str">
        <f t="shared" ca="1" si="524"/>
        <v>T3部件</v>
      </c>
      <c r="X443" s="566">
        <v>1</v>
      </c>
      <c r="Y443" s="625">
        <v>5.5999999999999999E-3</v>
      </c>
      <c r="Z443" s="170" t="e">
        <f t="shared" ca="1" si="512"/>
        <v>#VALUE!</v>
      </c>
      <c r="AA443" s="508" t="e">
        <f t="shared" ca="1" si="513"/>
        <v>#VALUE!</v>
      </c>
      <c r="AC443" s="512">
        <v>9</v>
      </c>
      <c r="AD443" s="516" t="s">
        <v>2259</v>
      </c>
      <c r="AE443" s="529" t="s">
        <v>2444</v>
      </c>
      <c r="AF443" s="508" t="str">
        <f t="shared" ca="1" si="536"/>
        <v>T2部件</v>
      </c>
      <c r="AG443" s="565">
        <v>1</v>
      </c>
      <c r="AH443" s="633">
        <v>7.4999999999999997E-3</v>
      </c>
      <c r="AI443" s="170" t="e">
        <f t="shared" ca="1" si="525"/>
        <v>#VALUE!</v>
      </c>
      <c r="AJ443" s="508" t="e">
        <f t="shared" ca="1" si="526"/>
        <v>#VALUE!</v>
      </c>
      <c r="AL443" s="512">
        <v>9</v>
      </c>
      <c r="AM443" s="516" t="s">
        <v>2249</v>
      </c>
      <c r="AN443" s="529" t="s">
        <v>2444</v>
      </c>
      <c r="AO443" s="508">
        <f t="shared" ca="1" si="519"/>
        <v>8.1</v>
      </c>
      <c r="AP443" s="625">
        <v>2.5</v>
      </c>
      <c r="AQ443" s="600">
        <v>6.6E-3</v>
      </c>
      <c r="AR443" s="170">
        <f t="shared" ca="1" si="537"/>
        <v>3.1614814814814818E-2</v>
      </c>
      <c r="AS443" s="508">
        <f t="shared" ca="1" si="538"/>
        <v>316</v>
      </c>
      <c r="AU443" s="512">
        <v>9</v>
      </c>
      <c r="AV443" s="516" t="s">
        <v>618</v>
      </c>
      <c r="AW443" s="512" t="s">
        <v>2394</v>
      </c>
      <c r="AX443" s="508">
        <f t="shared" ca="1" si="532"/>
        <v>45.6</v>
      </c>
      <c r="AY443" s="615">
        <v>3</v>
      </c>
      <c r="AZ443" s="508">
        <f>宝箱设定!$H202</f>
        <v>3.6999999999999998E-2</v>
      </c>
      <c r="BA443" s="170">
        <f t="shared" ca="1" si="533"/>
        <v>1.7580409356725144E-2</v>
      </c>
      <c r="BB443" s="508">
        <f t="shared" ca="1" si="534"/>
        <v>176</v>
      </c>
      <c r="BD443" s="512">
        <v>9</v>
      </c>
      <c r="BE443" s="516" t="s">
        <v>618</v>
      </c>
      <c r="BF443" s="512" t="s">
        <v>2394</v>
      </c>
      <c r="BG443" s="508">
        <f t="shared" ca="1" si="535"/>
        <v>45.6</v>
      </c>
      <c r="BH443" s="615">
        <v>5</v>
      </c>
      <c r="BI443" s="508">
        <f>宝箱设定!$H202</f>
        <v>3.6999999999999998E-2</v>
      </c>
      <c r="BJ443" s="170">
        <f t="shared" ca="1" si="539"/>
        <v>2.3936403508771929E-2</v>
      </c>
      <c r="BK443" s="379">
        <f t="shared" ca="1" si="540"/>
        <v>239</v>
      </c>
      <c r="BM443" s="512">
        <v>10</v>
      </c>
      <c r="BN443" s="527" t="s">
        <v>2280</v>
      </c>
      <c r="BO443" s="530" t="s">
        <v>2200</v>
      </c>
      <c r="BP443" s="508" t="str">
        <f t="shared" ca="1" si="531"/>
        <v>T3部件</v>
      </c>
      <c r="BQ443" s="615">
        <v>1.5</v>
      </c>
      <c r="BR443" s="615">
        <v>6.0000000000000001E-3</v>
      </c>
      <c r="BS443" s="170" t="e">
        <f t="shared" ca="1" si="505"/>
        <v>#VALUE!</v>
      </c>
      <c r="BT443" s="508" t="e">
        <f t="shared" ca="1" si="506"/>
        <v>#VALUE!</v>
      </c>
      <c r="BV443" s="525">
        <v>10</v>
      </c>
      <c r="BW443" s="527" t="s">
        <v>2281</v>
      </c>
      <c r="BX443" s="530" t="s">
        <v>2200</v>
      </c>
      <c r="BY443" s="523" t="str">
        <f t="shared" ca="1" si="527"/>
        <v>T3部件</v>
      </c>
      <c r="BZ443" s="665">
        <v>1</v>
      </c>
      <c r="CA443" s="662">
        <v>2.1000000000000001E-2</v>
      </c>
      <c r="CB443" s="170" t="e">
        <f t="shared" ref="CB443:CB449" ca="1" si="541">CA443*BW$4/BY443/BZ443</f>
        <v>#VALUE!</v>
      </c>
      <c r="CC443" s="523" t="e">
        <f t="shared" ref="CC443:CC449" ca="1" si="542">ROUND(CB443*10000,0)</f>
        <v>#VALUE!</v>
      </c>
    </row>
    <row r="444" spans="2:81" x14ac:dyDescent="0.35">
      <c r="B444" s="512">
        <v>9</v>
      </c>
      <c r="C444" s="516" t="s">
        <v>2288</v>
      </c>
      <c r="D444" s="529" t="s">
        <v>2444</v>
      </c>
      <c r="E444" s="508" t="str">
        <f t="shared" ca="1" si="522"/>
        <v>T3部件</v>
      </c>
      <c r="F444" s="594">
        <v>1</v>
      </c>
      <c r="G444" s="594">
        <v>8.6E-3</v>
      </c>
      <c r="H444" s="170" t="e">
        <f t="shared" ca="1" si="481"/>
        <v>#VALUE!</v>
      </c>
      <c r="I444" s="508" t="e">
        <f t="shared" ca="1" si="482"/>
        <v>#VALUE!</v>
      </c>
      <c r="K444" s="512">
        <v>9</v>
      </c>
      <c r="L444" s="516" t="s">
        <v>2288</v>
      </c>
      <c r="M444" s="529" t="s">
        <v>2444</v>
      </c>
      <c r="N444" s="508" t="str">
        <f t="shared" ca="1" si="523"/>
        <v>T3部件</v>
      </c>
      <c r="O444" s="566">
        <v>1</v>
      </c>
      <c r="P444" s="633">
        <v>5.5999999999999999E-3</v>
      </c>
      <c r="Q444" s="170" t="e">
        <f t="shared" ca="1" si="510"/>
        <v>#VALUE!</v>
      </c>
      <c r="R444" s="508" t="e">
        <f t="shared" ca="1" si="511"/>
        <v>#VALUE!</v>
      </c>
      <c r="T444" s="512">
        <v>9</v>
      </c>
      <c r="U444" s="516" t="s">
        <v>2288</v>
      </c>
      <c r="V444" s="529" t="s">
        <v>2444</v>
      </c>
      <c r="W444" s="508" t="str">
        <f t="shared" ca="1" si="524"/>
        <v>T3部件</v>
      </c>
      <c r="X444" s="566">
        <v>1</v>
      </c>
      <c r="Y444" s="625">
        <v>5.5999999999999999E-3</v>
      </c>
      <c r="Z444" s="170" t="e">
        <f t="shared" ca="1" si="512"/>
        <v>#VALUE!</v>
      </c>
      <c r="AA444" s="508" t="e">
        <f t="shared" ca="1" si="513"/>
        <v>#VALUE!</v>
      </c>
      <c r="AC444" s="512">
        <v>9</v>
      </c>
      <c r="AD444" s="516" t="s">
        <v>2261</v>
      </c>
      <c r="AE444" s="529" t="s">
        <v>2444</v>
      </c>
      <c r="AF444" s="508" t="str">
        <f t="shared" ca="1" si="536"/>
        <v>T2部件</v>
      </c>
      <c r="AG444" s="565">
        <v>1</v>
      </c>
      <c r="AH444" s="633">
        <v>7.4999999999999997E-3</v>
      </c>
      <c r="AI444" s="170" t="e">
        <f t="shared" ca="1" si="525"/>
        <v>#VALUE!</v>
      </c>
      <c r="AJ444" s="508" t="e">
        <f t="shared" ca="1" si="526"/>
        <v>#VALUE!</v>
      </c>
      <c r="AL444" s="512">
        <v>9</v>
      </c>
      <c r="AM444" s="516" t="s">
        <v>2251</v>
      </c>
      <c r="AN444" s="529" t="s">
        <v>2444</v>
      </c>
      <c r="AO444" s="508">
        <f t="shared" ca="1" si="519"/>
        <v>8.1</v>
      </c>
      <c r="AP444" s="625">
        <v>2.5</v>
      </c>
      <c r="AQ444" s="600">
        <v>6.6E-3</v>
      </c>
      <c r="AR444" s="170">
        <f t="shared" ca="1" si="537"/>
        <v>3.1614814814814818E-2</v>
      </c>
      <c r="AS444" s="508">
        <f t="shared" ca="1" si="538"/>
        <v>316</v>
      </c>
      <c r="AU444" s="512">
        <v>9</v>
      </c>
      <c r="AV444" s="516" t="s">
        <v>627</v>
      </c>
      <c r="AW444" s="512" t="s">
        <v>2394</v>
      </c>
      <c r="AX444" s="508">
        <f t="shared" ca="1" si="532"/>
        <v>45.6</v>
      </c>
      <c r="AY444" s="615">
        <v>3</v>
      </c>
      <c r="AZ444" s="508">
        <f>宝箱设定!$H203</f>
        <v>3.6999999999999998E-2</v>
      </c>
      <c r="BA444" s="170">
        <f t="shared" ca="1" si="533"/>
        <v>1.7580409356725144E-2</v>
      </c>
      <c r="BB444" s="508">
        <f t="shared" ca="1" si="534"/>
        <v>176</v>
      </c>
      <c r="BD444" s="512">
        <v>9</v>
      </c>
      <c r="BE444" s="516" t="s">
        <v>627</v>
      </c>
      <c r="BF444" s="512" t="s">
        <v>2394</v>
      </c>
      <c r="BG444" s="508">
        <f t="shared" ca="1" si="535"/>
        <v>45.6</v>
      </c>
      <c r="BH444" s="615">
        <v>5</v>
      </c>
      <c r="BI444" s="508">
        <f>宝箱设定!$H203</f>
        <v>3.6999999999999998E-2</v>
      </c>
      <c r="BJ444" s="170">
        <f t="shared" ca="1" si="539"/>
        <v>2.3936403508771929E-2</v>
      </c>
      <c r="BK444" s="379">
        <f t="shared" ca="1" si="540"/>
        <v>239</v>
      </c>
      <c r="BM444" s="512">
        <v>10</v>
      </c>
      <c r="BN444" s="527" t="s">
        <v>2282</v>
      </c>
      <c r="BO444" s="530" t="s">
        <v>2200</v>
      </c>
      <c r="BP444" s="508" t="str">
        <f t="shared" ca="1" si="531"/>
        <v>T3部件</v>
      </c>
      <c r="BQ444" s="615">
        <v>1.5</v>
      </c>
      <c r="BR444" s="615">
        <v>6.0000000000000001E-3</v>
      </c>
      <c r="BS444" s="170" t="e">
        <f t="shared" ca="1" si="505"/>
        <v>#VALUE!</v>
      </c>
      <c r="BT444" s="508" t="e">
        <f t="shared" ca="1" si="506"/>
        <v>#VALUE!</v>
      </c>
      <c r="BV444" s="525">
        <v>10</v>
      </c>
      <c r="BW444" s="527" t="s">
        <v>2283</v>
      </c>
      <c r="BX444" s="530" t="s">
        <v>2200</v>
      </c>
      <c r="BY444" s="523" t="str">
        <f t="shared" ca="1" si="527"/>
        <v>T3部件</v>
      </c>
      <c r="BZ444" s="665">
        <v>1</v>
      </c>
      <c r="CA444" s="662">
        <v>2.1000000000000001E-2</v>
      </c>
      <c r="CB444" s="170" t="e">
        <f t="shared" ca="1" si="541"/>
        <v>#VALUE!</v>
      </c>
      <c r="CC444" s="523" t="e">
        <f t="shared" ca="1" si="542"/>
        <v>#VALUE!</v>
      </c>
    </row>
    <row r="445" spans="2:81" x14ac:dyDescent="0.35">
      <c r="B445" s="512">
        <v>9</v>
      </c>
      <c r="C445" s="512" t="s">
        <v>2290</v>
      </c>
      <c r="D445" s="529" t="s">
        <v>2444</v>
      </c>
      <c r="E445" s="508" t="str">
        <f t="shared" ca="1" si="522"/>
        <v>T3部件</v>
      </c>
      <c r="F445" s="594">
        <v>1</v>
      </c>
      <c r="G445" s="594">
        <v>8.6E-3</v>
      </c>
      <c r="H445" s="170" t="e">
        <f t="shared" ca="1" si="481"/>
        <v>#VALUE!</v>
      </c>
      <c r="I445" s="508" t="e">
        <f t="shared" ca="1" si="482"/>
        <v>#VALUE!</v>
      </c>
      <c r="K445" s="512">
        <v>9</v>
      </c>
      <c r="L445" s="512" t="s">
        <v>2290</v>
      </c>
      <c r="M445" s="529" t="s">
        <v>2444</v>
      </c>
      <c r="N445" s="508" t="str">
        <f t="shared" ca="1" si="523"/>
        <v>T3部件</v>
      </c>
      <c r="O445" s="566">
        <v>1</v>
      </c>
      <c r="P445" s="633">
        <v>5.5999999999999999E-3</v>
      </c>
      <c r="Q445" s="170" t="e">
        <f t="shared" ca="1" si="510"/>
        <v>#VALUE!</v>
      </c>
      <c r="R445" s="508" t="e">
        <f t="shared" ca="1" si="511"/>
        <v>#VALUE!</v>
      </c>
      <c r="T445" s="512">
        <v>9</v>
      </c>
      <c r="U445" s="512" t="s">
        <v>2290</v>
      </c>
      <c r="V445" s="529" t="s">
        <v>2444</v>
      </c>
      <c r="W445" s="508" t="str">
        <f t="shared" ca="1" si="524"/>
        <v>T3部件</v>
      </c>
      <c r="X445" s="566">
        <v>1</v>
      </c>
      <c r="Y445" s="625">
        <v>5.5999999999999999E-3</v>
      </c>
      <c r="Z445" s="170" t="e">
        <f t="shared" ca="1" si="512"/>
        <v>#VALUE!</v>
      </c>
      <c r="AA445" s="508" t="e">
        <f t="shared" ca="1" si="513"/>
        <v>#VALUE!</v>
      </c>
      <c r="AC445" s="512">
        <v>9</v>
      </c>
      <c r="AD445" s="516" t="s">
        <v>2263</v>
      </c>
      <c r="AE445" s="529" t="s">
        <v>2444</v>
      </c>
      <c r="AF445" s="508" t="str">
        <f t="shared" ca="1" si="536"/>
        <v>T2部件</v>
      </c>
      <c r="AG445" s="565">
        <v>1</v>
      </c>
      <c r="AH445" s="633">
        <v>7.4000000000000003E-3</v>
      </c>
      <c r="AI445" s="170" t="e">
        <f t="shared" ca="1" si="525"/>
        <v>#VALUE!</v>
      </c>
      <c r="AJ445" s="508" t="e">
        <f t="shared" ca="1" si="526"/>
        <v>#VALUE!</v>
      </c>
      <c r="AL445" s="512">
        <v>9</v>
      </c>
      <c r="AM445" s="516" t="s">
        <v>2253</v>
      </c>
      <c r="AN445" s="529" t="s">
        <v>2444</v>
      </c>
      <c r="AO445" s="508">
        <f t="shared" ca="1" si="519"/>
        <v>8.1</v>
      </c>
      <c r="AP445" s="625">
        <v>2.5</v>
      </c>
      <c r="AQ445" s="600">
        <v>6.6E-3</v>
      </c>
      <c r="AR445" s="170">
        <f t="shared" ca="1" si="537"/>
        <v>3.1614814814814818E-2</v>
      </c>
      <c r="AS445" s="508">
        <f t="shared" ca="1" si="538"/>
        <v>316</v>
      </c>
      <c r="AU445" s="512">
        <v>9</v>
      </c>
      <c r="AV445" s="516" t="s">
        <v>628</v>
      </c>
      <c r="AW445" s="512" t="s">
        <v>2394</v>
      </c>
      <c r="AX445" s="508">
        <f t="shared" ca="1" si="532"/>
        <v>45.6</v>
      </c>
      <c r="AY445" s="615">
        <v>3</v>
      </c>
      <c r="AZ445" s="508">
        <f>宝箱设定!$H204</f>
        <v>3.6999999999999998E-2</v>
      </c>
      <c r="BA445" s="170">
        <f t="shared" ca="1" si="533"/>
        <v>1.7580409356725144E-2</v>
      </c>
      <c r="BB445" s="508">
        <f t="shared" ca="1" si="534"/>
        <v>176</v>
      </c>
      <c r="BD445" s="512">
        <v>9</v>
      </c>
      <c r="BE445" s="516" t="s">
        <v>628</v>
      </c>
      <c r="BF445" s="512" t="s">
        <v>2394</v>
      </c>
      <c r="BG445" s="508">
        <f t="shared" ca="1" si="535"/>
        <v>45.6</v>
      </c>
      <c r="BH445" s="615">
        <v>5</v>
      </c>
      <c r="BI445" s="508">
        <f>宝箱设定!$H204</f>
        <v>3.6999999999999998E-2</v>
      </c>
      <c r="BJ445" s="170">
        <f t="shared" ca="1" si="539"/>
        <v>2.3936403508771929E-2</v>
      </c>
      <c r="BK445" s="379">
        <f t="shared" ca="1" si="540"/>
        <v>239</v>
      </c>
      <c r="BM445" s="512">
        <v>10</v>
      </c>
      <c r="BN445" s="527" t="s">
        <v>2284</v>
      </c>
      <c r="BO445" s="530" t="s">
        <v>2200</v>
      </c>
      <c r="BP445" s="508" t="str">
        <f t="shared" ca="1" si="531"/>
        <v>T3部件</v>
      </c>
      <c r="BQ445" s="615">
        <v>1.5</v>
      </c>
      <c r="BR445" s="615">
        <v>6.0000000000000001E-3</v>
      </c>
      <c r="BS445" s="170" t="e">
        <f t="shared" ca="1" si="505"/>
        <v>#VALUE!</v>
      </c>
      <c r="BT445" s="508" t="e">
        <f t="shared" ca="1" si="506"/>
        <v>#VALUE!</v>
      </c>
      <c r="BV445" s="525">
        <v>10</v>
      </c>
      <c r="BW445" s="527" t="s">
        <v>2285</v>
      </c>
      <c r="BX445" s="530" t="s">
        <v>2200</v>
      </c>
      <c r="BY445" s="523" t="str">
        <f t="shared" ca="1" si="527"/>
        <v>T3部件</v>
      </c>
      <c r="BZ445" s="665">
        <v>1</v>
      </c>
      <c r="CA445" s="662">
        <v>2.1000000000000001E-2</v>
      </c>
      <c r="CB445" s="170" t="e">
        <f t="shared" ca="1" si="541"/>
        <v>#VALUE!</v>
      </c>
      <c r="CC445" s="523" t="e">
        <f t="shared" ca="1" si="542"/>
        <v>#VALUE!</v>
      </c>
    </row>
    <row r="446" spans="2:81" x14ac:dyDescent="0.35">
      <c r="B446" s="512">
        <v>9</v>
      </c>
      <c r="C446" s="512" t="s">
        <v>2292</v>
      </c>
      <c r="D446" s="529" t="s">
        <v>2444</v>
      </c>
      <c r="E446" s="508" t="str">
        <f t="shared" ca="1" si="522"/>
        <v>T3部件</v>
      </c>
      <c r="F446" s="594">
        <v>1</v>
      </c>
      <c r="G446" s="594">
        <v>8.6E-3</v>
      </c>
      <c r="H446" s="170" t="e">
        <f t="shared" ca="1" si="481"/>
        <v>#VALUE!</v>
      </c>
      <c r="I446" s="508" t="e">
        <f t="shared" ca="1" si="482"/>
        <v>#VALUE!</v>
      </c>
      <c r="K446" s="512">
        <v>9</v>
      </c>
      <c r="L446" s="512" t="s">
        <v>2292</v>
      </c>
      <c r="M446" s="529" t="s">
        <v>2444</v>
      </c>
      <c r="N446" s="508" t="str">
        <f t="shared" ca="1" si="523"/>
        <v>T3部件</v>
      </c>
      <c r="O446" s="566">
        <v>1</v>
      </c>
      <c r="P446" s="633">
        <v>5.5999999999999999E-3</v>
      </c>
      <c r="Q446" s="170" t="e">
        <f t="shared" ca="1" si="510"/>
        <v>#VALUE!</v>
      </c>
      <c r="R446" s="508" t="e">
        <f t="shared" ca="1" si="511"/>
        <v>#VALUE!</v>
      </c>
      <c r="T446" s="512">
        <v>9</v>
      </c>
      <c r="U446" s="512" t="s">
        <v>2292</v>
      </c>
      <c r="V446" s="529" t="s">
        <v>2444</v>
      </c>
      <c r="W446" s="508" t="str">
        <f t="shared" ca="1" si="524"/>
        <v>T3部件</v>
      </c>
      <c r="X446" s="566">
        <v>1</v>
      </c>
      <c r="Y446" s="625">
        <v>5.5999999999999999E-3</v>
      </c>
      <c r="Z446" s="170" t="e">
        <f t="shared" ca="1" si="512"/>
        <v>#VALUE!</v>
      </c>
      <c r="AA446" s="508" t="e">
        <f t="shared" ca="1" si="513"/>
        <v>#VALUE!</v>
      </c>
      <c r="AC446" s="512">
        <v>9</v>
      </c>
      <c r="AD446" s="516" t="s">
        <v>2265</v>
      </c>
      <c r="AE446" s="529" t="s">
        <v>2444</v>
      </c>
      <c r="AF446" s="508" t="str">
        <f t="shared" ca="1" si="536"/>
        <v>T2部件</v>
      </c>
      <c r="AG446" s="565">
        <v>1</v>
      </c>
      <c r="AH446" s="633">
        <v>7.4000000000000003E-3</v>
      </c>
      <c r="AI446" s="170" t="e">
        <f t="shared" ca="1" si="525"/>
        <v>#VALUE!</v>
      </c>
      <c r="AJ446" s="508" t="e">
        <f t="shared" ca="1" si="526"/>
        <v>#VALUE!</v>
      </c>
      <c r="AL446" s="512">
        <v>9</v>
      </c>
      <c r="AM446" s="512" t="s">
        <v>2255</v>
      </c>
      <c r="AN446" s="529" t="s">
        <v>2444</v>
      </c>
      <c r="AO446" s="508">
        <f t="shared" ca="1" si="519"/>
        <v>8.1</v>
      </c>
      <c r="AP446" s="625">
        <v>2.5</v>
      </c>
      <c r="AQ446" s="600">
        <v>6.6E-3</v>
      </c>
      <c r="AR446" s="170">
        <f t="shared" ca="1" si="537"/>
        <v>3.1614814814814818E-2</v>
      </c>
      <c r="AS446" s="508">
        <f t="shared" ca="1" si="538"/>
        <v>316</v>
      </c>
      <c r="AU446" s="512">
        <v>9</v>
      </c>
      <c r="AV446" s="516" t="s">
        <v>619</v>
      </c>
      <c r="AW446" s="512" t="s">
        <v>2394</v>
      </c>
      <c r="AX446" s="508">
        <f t="shared" ca="1" si="532"/>
        <v>63</v>
      </c>
      <c r="AY446" s="615">
        <v>2.5</v>
      </c>
      <c r="AZ446" s="508">
        <f>宝箱设定!$H205</f>
        <v>3.6999999999999998E-2</v>
      </c>
      <c r="BA446" s="170">
        <f t="shared" ca="1" si="533"/>
        <v>1.526984126984127E-2</v>
      </c>
      <c r="BB446" s="508">
        <f t="shared" ca="1" si="534"/>
        <v>153</v>
      </c>
      <c r="BD446" s="512">
        <v>9</v>
      </c>
      <c r="BE446" s="516" t="s">
        <v>619</v>
      </c>
      <c r="BF446" s="512" t="s">
        <v>2394</v>
      </c>
      <c r="BG446" s="508">
        <f t="shared" ca="1" si="535"/>
        <v>63</v>
      </c>
      <c r="BH446" s="615">
        <v>4.5</v>
      </c>
      <c r="BI446" s="508">
        <f>宝箱设定!$H205</f>
        <v>3.6999999999999998E-2</v>
      </c>
      <c r="BJ446" s="170">
        <f t="shared" ca="1" si="539"/>
        <v>1.9250440917107581E-2</v>
      </c>
      <c r="BK446" s="379">
        <f t="shared" ca="1" si="540"/>
        <v>193</v>
      </c>
      <c r="BM446" s="512">
        <v>10</v>
      </c>
      <c r="BN446" s="527" t="s">
        <v>2286</v>
      </c>
      <c r="BO446" s="530" t="s">
        <v>2200</v>
      </c>
      <c r="BP446" s="508" t="str">
        <f t="shared" ca="1" si="531"/>
        <v>T3部件</v>
      </c>
      <c r="BQ446" s="615">
        <v>1.5</v>
      </c>
      <c r="BR446" s="615">
        <v>6.0000000000000001E-3</v>
      </c>
      <c r="BS446" s="170" t="e">
        <f t="shared" ca="1" si="505"/>
        <v>#VALUE!</v>
      </c>
      <c r="BT446" s="508" t="e">
        <f t="shared" ca="1" si="506"/>
        <v>#VALUE!</v>
      </c>
      <c r="BV446" s="525">
        <v>10</v>
      </c>
      <c r="BW446" s="527" t="s">
        <v>2287</v>
      </c>
      <c r="BX446" s="530" t="s">
        <v>2200</v>
      </c>
      <c r="BY446" s="523" t="str">
        <f t="shared" ca="1" si="527"/>
        <v>T3部件</v>
      </c>
      <c r="BZ446" s="665">
        <v>1</v>
      </c>
      <c r="CA446" s="662">
        <v>2.1000000000000001E-2</v>
      </c>
      <c r="CB446" s="170" t="e">
        <f t="shared" ca="1" si="541"/>
        <v>#VALUE!</v>
      </c>
      <c r="CC446" s="523" t="e">
        <f t="shared" ca="1" si="542"/>
        <v>#VALUE!</v>
      </c>
    </row>
    <row r="447" spans="2:81" x14ac:dyDescent="0.35">
      <c r="B447" s="512">
        <v>9</v>
      </c>
      <c r="C447" s="516" t="s">
        <v>2277</v>
      </c>
      <c r="D447" s="529" t="s">
        <v>2444</v>
      </c>
      <c r="E447" s="508" t="str">
        <f t="shared" ca="1" si="522"/>
        <v>T3部件</v>
      </c>
      <c r="F447" s="594">
        <v>1</v>
      </c>
      <c r="G447" s="594">
        <v>8.6E-3</v>
      </c>
      <c r="H447" s="170" t="e">
        <f t="shared" ca="1" si="481"/>
        <v>#VALUE!</v>
      </c>
      <c r="I447" s="508" t="e">
        <f t="shared" ca="1" si="482"/>
        <v>#VALUE!</v>
      </c>
      <c r="K447" s="512">
        <v>9</v>
      </c>
      <c r="L447" s="516" t="s">
        <v>2277</v>
      </c>
      <c r="M447" s="529" t="s">
        <v>2444</v>
      </c>
      <c r="N447" s="508" t="str">
        <f t="shared" ca="1" si="523"/>
        <v>T3部件</v>
      </c>
      <c r="O447" s="566">
        <v>1</v>
      </c>
      <c r="P447" s="633">
        <v>5.5999999999999999E-3</v>
      </c>
      <c r="Q447" s="170" t="e">
        <f t="shared" ca="1" si="510"/>
        <v>#VALUE!</v>
      </c>
      <c r="R447" s="508" t="e">
        <f t="shared" ca="1" si="511"/>
        <v>#VALUE!</v>
      </c>
      <c r="T447" s="512">
        <v>9</v>
      </c>
      <c r="U447" s="516" t="s">
        <v>2277</v>
      </c>
      <c r="V447" s="529" t="s">
        <v>2444</v>
      </c>
      <c r="W447" s="508" t="str">
        <f t="shared" ca="1" si="524"/>
        <v>T3部件</v>
      </c>
      <c r="X447" s="566">
        <v>1</v>
      </c>
      <c r="Y447" s="625">
        <v>5.5999999999999999E-3</v>
      </c>
      <c r="Z447" s="170" t="e">
        <f t="shared" ca="1" si="512"/>
        <v>#VALUE!</v>
      </c>
      <c r="AA447" s="508" t="e">
        <f t="shared" ca="1" si="513"/>
        <v>#VALUE!</v>
      </c>
      <c r="AC447" s="512">
        <v>9</v>
      </c>
      <c r="AD447" s="516" t="s">
        <v>2267</v>
      </c>
      <c r="AE447" s="529" t="s">
        <v>2444</v>
      </c>
      <c r="AF447" s="508" t="str">
        <f t="shared" ca="1" si="536"/>
        <v>T2部件</v>
      </c>
      <c r="AG447" s="565">
        <v>1</v>
      </c>
      <c r="AH447" s="633">
        <v>7.4000000000000003E-3</v>
      </c>
      <c r="AI447" s="170" t="e">
        <f t="shared" ca="1" si="525"/>
        <v>#VALUE!</v>
      </c>
      <c r="AJ447" s="508" t="e">
        <f t="shared" ca="1" si="526"/>
        <v>#VALUE!</v>
      </c>
      <c r="AL447" s="512">
        <v>9</v>
      </c>
      <c r="AM447" s="512" t="s">
        <v>2257</v>
      </c>
      <c r="AN447" s="529" t="s">
        <v>2444</v>
      </c>
      <c r="AO447" s="508">
        <f t="shared" ca="1" si="519"/>
        <v>8.1</v>
      </c>
      <c r="AP447" s="625">
        <v>2.5</v>
      </c>
      <c r="AQ447" s="600">
        <v>6.6E-3</v>
      </c>
      <c r="AR447" s="170">
        <f t="shared" ca="1" si="537"/>
        <v>3.1614814814814818E-2</v>
      </c>
      <c r="AS447" s="508">
        <f t="shared" ca="1" si="538"/>
        <v>316</v>
      </c>
      <c r="AU447" s="512">
        <v>9</v>
      </c>
      <c r="AV447" s="516" t="s">
        <v>718</v>
      </c>
      <c r="AW447" s="512" t="s">
        <v>2394</v>
      </c>
      <c r="AX447" s="508">
        <f t="shared" ca="1" si="532"/>
        <v>63</v>
      </c>
      <c r="AY447" s="615">
        <v>2.5</v>
      </c>
      <c r="AZ447" s="508">
        <f>宝箱设定!$H206</f>
        <v>3.6999999999999998E-2</v>
      </c>
      <c r="BA447" s="170">
        <f t="shared" ca="1" si="533"/>
        <v>1.526984126984127E-2</v>
      </c>
      <c r="BB447" s="508">
        <f t="shared" ca="1" si="534"/>
        <v>153</v>
      </c>
      <c r="BD447" s="512">
        <v>9</v>
      </c>
      <c r="BE447" s="516" t="s">
        <v>718</v>
      </c>
      <c r="BF447" s="512" t="s">
        <v>2394</v>
      </c>
      <c r="BG447" s="508">
        <f t="shared" ca="1" si="535"/>
        <v>63</v>
      </c>
      <c r="BH447" s="615">
        <v>4.5</v>
      </c>
      <c r="BI447" s="508">
        <f>宝箱设定!$H206</f>
        <v>3.6999999999999998E-2</v>
      </c>
      <c r="BJ447" s="170">
        <f t="shared" ca="1" si="539"/>
        <v>1.9250440917107581E-2</v>
      </c>
      <c r="BK447" s="379">
        <f t="shared" ca="1" si="540"/>
        <v>193</v>
      </c>
      <c r="BM447" s="512">
        <v>10</v>
      </c>
      <c r="BN447" s="527" t="s">
        <v>2288</v>
      </c>
      <c r="BO447" s="530" t="s">
        <v>2200</v>
      </c>
      <c r="BP447" s="508" t="str">
        <f t="shared" ca="1" si="531"/>
        <v>T3部件</v>
      </c>
      <c r="BQ447" s="615">
        <v>1.5</v>
      </c>
      <c r="BR447" s="615">
        <v>6.0000000000000001E-3</v>
      </c>
      <c r="BS447" s="170" t="e">
        <f t="shared" ca="1" si="505"/>
        <v>#VALUE!</v>
      </c>
      <c r="BT447" s="508" t="e">
        <f t="shared" ca="1" si="506"/>
        <v>#VALUE!</v>
      </c>
      <c r="BV447" s="525">
        <v>10</v>
      </c>
      <c r="BW447" s="527" t="s">
        <v>2289</v>
      </c>
      <c r="BX447" s="530" t="s">
        <v>2200</v>
      </c>
      <c r="BY447" s="523" t="str">
        <f t="shared" ca="1" si="527"/>
        <v>T3部件</v>
      </c>
      <c r="BZ447" s="665">
        <v>1</v>
      </c>
      <c r="CA447" s="662">
        <v>2.1000000000000001E-2</v>
      </c>
      <c r="CB447" s="170" t="e">
        <f t="shared" ca="1" si="541"/>
        <v>#VALUE!</v>
      </c>
      <c r="CC447" s="523" t="e">
        <f t="shared" ca="1" si="542"/>
        <v>#VALUE!</v>
      </c>
    </row>
    <row r="448" spans="2:81" x14ac:dyDescent="0.35">
      <c r="B448" s="512">
        <v>9</v>
      </c>
      <c r="C448" s="516" t="s">
        <v>2279</v>
      </c>
      <c r="D448" s="529" t="s">
        <v>2444</v>
      </c>
      <c r="E448" s="508" t="str">
        <f t="shared" ca="1" si="522"/>
        <v>T3部件</v>
      </c>
      <c r="F448" s="594">
        <v>1</v>
      </c>
      <c r="G448" s="594">
        <v>8.6E-3</v>
      </c>
      <c r="H448" s="170" t="e">
        <f t="shared" ca="1" si="481"/>
        <v>#VALUE!</v>
      </c>
      <c r="I448" s="508" t="e">
        <f t="shared" ca="1" si="482"/>
        <v>#VALUE!</v>
      </c>
      <c r="K448" s="512">
        <v>9</v>
      </c>
      <c r="L448" s="516" t="s">
        <v>2279</v>
      </c>
      <c r="M448" s="529" t="s">
        <v>2444</v>
      </c>
      <c r="N448" s="508" t="str">
        <f t="shared" ca="1" si="523"/>
        <v>T3部件</v>
      </c>
      <c r="O448" s="566">
        <v>1</v>
      </c>
      <c r="P448" s="633">
        <v>5.4999999999999997E-3</v>
      </c>
      <c r="Q448" s="170" t="e">
        <f t="shared" ca="1" si="510"/>
        <v>#VALUE!</v>
      </c>
      <c r="R448" s="508" t="e">
        <f t="shared" ca="1" si="511"/>
        <v>#VALUE!</v>
      </c>
      <c r="T448" s="512">
        <v>9</v>
      </c>
      <c r="U448" s="516" t="s">
        <v>2279</v>
      </c>
      <c r="V448" s="529" t="s">
        <v>2444</v>
      </c>
      <c r="W448" s="508" t="str">
        <f t="shared" ca="1" si="524"/>
        <v>T3部件</v>
      </c>
      <c r="X448" s="566">
        <v>1</v>
      </c>
      <c r="Y448" s="594">
        <v>5.4999999999999997E-3</v>
      </c>
      <c r="Z448" s="170" t="e">
        <f t="shared" ca="1" si="512"/>
        <v>#VALUE!</v>
      </c>
      <c r="AA448" s="508" t="e">
        <f t="shared" ca="1" si="513"/>
        <v>#VALUE!</v>
      </c>
      <c r="AC448" s="512">
        <v>9</v>
      </c>
      <c r="AD448" s="516" t="s">
        <v>2269</v>
      </c>
      <c r="AE448" s="529" t="s">
        <v>2444</v>
      </c>
      <c r="AF448" s="508" t="str">
        <f t="shared" ca="1" si="536"/>
        <v>T2部件</v>
      </c>
      <c r="AG448" s="565">
        <v>1</v>
      </c>
      <c r="AH448" s="633">
        <v>7.4000000000000003E-3</v>
      </c>
      <c r="AI448" s="170" t="e">
        <f t="shared" ca="1" si="525"/>
        <v>#VALUE!</v>
      </c>
      <c r="AJ448" s="508" t="e">
        <f t="shared" ca="1" si="526"/>
        <v>#VALUE!</v>
      </c>
      <c r="AL448" s="512">
        <v>9</v>
      </c>
      <c r="AM448" s="516" t="s">
        <v>2258</v>
      </c>
      <c r="AN448" s="529" t="s">
        <v>2444</v>
      </c>
      <c r="AO448" s="508" t="str">
        <f t="shared" ca="1" si="519"/>
        <v>T2部件</v>
      </c>
      <c r="AP448" s="508">
        <v>1</v>
      </c>
      <c r="AQ448" s="600">
        <v>6.6E-3</v>
      </c>
      <c r="AR448" s="170" t="e">
        <f t="shared" ca="1" si="537"/>
        <v>#VALUE!</v>
      </c>
      <c r="AS448" s="508" t="e">
        <f t="shared" ca="1" si="538"/>
        <v>#VALUE!</v>
      </c>
      <c r="AU448" s="512">
        <v>9</v>
      </c>
      <c r="AV448" s="516" t="s">
        <v>632</v>
      </c>
      <c r="AW448" s="512" t="s">
        <v>2394</v>
      </c>
      <c r="AX448" s="508">
        <f t="shared" ca="1" si="532"/>
        <v>63</v>
      </c>
      <c r="AY448" s="615">
        <v>2.5</v>
      </c>
      <c r="AZ448" s="508">
        <f>宝箱设定!$H207</f>
        <v>3.6999999999999998E-2</v>
      </c>
      <c r="BA448" s="170">
        <f t="shared" ca="1" si="533"/>
        <v>1.526984126984127E-2</v>
      </c>
      <c r="BB448" s="508">
        <f t="shared" ca="1" si="534"/>
        <v>153</v>
      </c>
      <c r="BD448" s="512">
        <v>9</v>
      </c>
      <c r="BE448" s="516" t="s">
        <v>632</v>
      </c>
      <c r="BF448" s="512" t="s">
        <v>2394</v>
      </c>
      <c r="BG448" s="508">
        <f t="shared" ca="1" si="535"/>
        <v>63</v>
      </c>
      <c r="BH448" s="615">
        <v>4.5</v>
      </c>
      <c r="BI448" s="508">
        <f>宝箱设定!$H207</f>
        <v>3.6999999999999998E-2</v>
      </c>
      <c r="BJ448" s="170">
        <f t="shared" ca="1" si="539"/>
        <v>1.9250440917107581E-2</v>
      </c>
      <c r="BK448" s="379">
        <f t="shared" ca="1" si="540"/>
        <v>193</v>
      </c>
      <c r="BM448" s="512">
        <v>10</v>
      </c>
      <c r="BN448" s="525" t="s">
        <v>2290</v>
      </c>
      <c r="BO448" s="530" t="s">
        <v>2200</v>
      </c>
      <c r="BP448" s="508" t="str">
        <f t="shared" ca="1" si="531"/>
        <v>T3部件</v>
      </c>
      <c r="BQ448" s="615">
        <v>1.5</v>
      </c>
      <c r="BR448" s="615">
        <v>6.0000000000000001E-3</v>
      </c>
      <c r="BS448" s="170" t="e">
        <f t="shared" ca="1" si="505"/>
        <v>#VALUE!</v>
      </c>
      <c r="BT448" s="508" t="e">
        <f t="shared" ca="1" si="506"/>
        <v>#VALUE!</v>
      </c>
      <c r="BV448" s="525">
        <v>10</v>
      </c>
      <c r="BW448" s="525" t="s">
        <v>2291</v>
      </c>
      <c r="BX448" s="530" t="s">
        <v>2200</v>
      </c>
      <c r="BY448" s="523" t="str">
        <f t="shared" ca="1" si="527"/>
        <v>T3部件</v>
      </c>
      <c r="BZ448" s="665">
        <v>1</v>
      </c>
      <c r="CA448" s="662">
        <v>2.1000000000000001E-2</v>
      </c>
      <c r="CB448" s="170" t="e">
        <f t="shared" ca="1" si="541"/>
        <v>#VALUE!</v>
      </c>
      <c r="CC448" s="523" t="e">
        <f t="shared" ca="1" si="542"/>
        <v>#VALUE!</v>
      </c>
    </row>
    <row r="449" spans="2:81" x14ac:dyDescent="0.35">
      <c r="B449" s="512">
        <v>9</v>
      </c>
      <c r="C449" s="516" t="s">
        <v>2281</v>
      </c>
      <c r="D449" s="529" t="s">
        <v>2444</v>
      </c>
      <c r="E449" s="508" t="str">
        <f t="shared" ca="1" si="522"/>
        <v>T3部件</v>
      </c>
      <c r="F449" s="594">
        <v>1</v>
      </c>
      <c r="G449" s="594">
        <v>8.6E-3</v>
      </c>
      <c r="H449" s="170" t="e">
        <f t="shared" ca="1" si="481"/>
        <v>#VALUE!</v>
      </c>
      <c r="I449" s="508" t="e">
        <f t="shared" ca="1" si="482"/>
        <v>#VALUE!</v>
      </c>
      <c r="K449" s="512">
        <v>9</v>
      </c>
      <c r="L449" s="516" t="s">
        <v>2281</v>
      </c>
      <c r="M449" s="529" t="s">
        <v>2444</v>
      </c>
      <c r="N449" s="508" t="str">
        <f t="shared" ca="1" si="523"/>
        <v>T3部件</v>
      </c>
      <c r="O449" s="566">
        <v>1</v>
      </c>
      <c r="P449" s="633">
        <v>5.4999999999999997E-3</v>
      </c>
      <c r="Q449" s="170" t="e">
        <f t="shared" ca="1" si="510"/>
        <v>#VALUE!</v>
      </c>
      <c r="R449" s="508" t="e">
        <f t="shared" ca="1" si="511"/>
        <v>#VALUE!</v>
      </c>
      <c r="T449" s="512">
        <v>9</v>
      </c>
      <c r="U449" s="516" t="s">
        <v>2281</v>
      </c>
      <c r="V449" s="529" t="s">
        <v>2444</v>
      </c>
      <c r="W449" s="508" t="str">
        <f t="shared" ca="1" si="524"/>
        <v>T3部件</v>
      </c>
      <c r="X449" s="566">
        <v>1</v>
      </c>
      <c r="Y449" s="625">
        <v>5.4999999999999997E-3</v>
      </c>
      <c r="Z449" s="170" t="e">
        <f t="shared" ca="1" si="512"/>
        <v>#VALUE!</v>
      </c>
      <c r="AA449" s="508" t="e">
        <f t="shared" ca="1" si="513"/>
        <v>#VALUE!</v>
      </c>
      <c r="AC449" s="512">
        <v>9</v>
      </c>
      <c r="AD449" s="516" t="s">
        <v>2271</v>
      </c>
      <c r="AE449" s="529" t="s">
        <v>2444</v>
      </c>
      <c r="AF449" s="508" t="str">
        <f t="shared" ca="1" si="536"/>
        <v>T2部件</v>
      </c>
      <c r="AG449" s="565">
        <v>1</v>
      </c>
      <c r="AH449" s="633">
        <v>7.4000000000000003E-3</v>
      </c>
      <c r="AI449" s="170" t="e">
        <f t="shared" ca="1" si="525"/>
        <v>#VALUE!</v>
      </c>
      <c r="AJ449" s="508" t="e">
        <f t="shared" ca="1" si="526"/>
        <v>#VALUE!</v>
      </c>
      <c r="AL449" s="512">
        <v>9</v>
      </c>
      <c r="AM449" s="516" t="s">
        <v>2260</v>
      </c>
      <c r="AN449" s="529" t="s">
        <v>2444</v>
      </c>
      <c r="AO449" s="508" t="str">
        <f t="shared" ca="1" si="519"/>
        <v>T2部件</v>
      </c>
      <c r="AP449" s="600">
        <v>1</v>
      </c>
      <c r="AQ449" s="600">
        <v>6.6E-3</v>
      </c>
      <c r="AR449" s="170" t="e">
        <f t="shared" ca="1" si="537"/>
        <v>#VALUE!</v>
      </c>
      <c r="AS449" s="508" t="e">
        <f t="shared" ca="1" si="538"/>
        <v>#VALUE!</v>
      </c>
      <c r="AU449" s="512">
        <v>9</v>
      </c>
      <c r="AV449" s="516" t="s">
        <v>620</v>
      </c>
      <c r="AW449" s="512" t="s">
        <v>2394</v>
      </c>
      <c r="AX449" s="508">
        <f t="shared" ca="1" si="532"/>
        <v>96</v>
      </c>
      <c r="AY449" s="615">
        <v>1.5</v>
      </c>
      <c r="AZ449" s="508">
        <f>宝箱设定!$H208</f>
        <v>3.6999999999999998E-2</v>
      </c>
      <c r="BA449" s="170">
        <f t="shared" ca="1" si="533"/>
        <v>1.6701388888888887E-2</v>
      </c>
      <c r="BB449" s="508">
        <f t="shared" ca="1" si="534"/>
        <v>167</v>
      </c>
      <c r="BD449" s="512">
        <v>9</v>
      </c>
      <c r="BE449" s="516" t="s">
        <v>620</v>
      </c>
      <c r="BF449" s="512" t="s">
        <v>2394</v>
      </c>
      <c r="BG449" s="508">
        <f t="shared" ca="1" si="535"/>
        <v>96</v>
      </c>
      <c r="BH449" s="615">
        <v>3</v>
      </c>
      <c r="BI449" s="508">
        <f>宝箱设定!$H208</f>
        <v>3.6999999999999998E-2</v>
      </c>
      <c r="BJ449" s="170">
        <f t="shared" ca="1" si="539"/>
        <v>1.8949652777777777E-2</v>
      </c>
      <c r="BK449" s="379">
        <f t="shared" ca="1" si="540"/>
        <v>189</v>
      </c>
      <c r="BM449" s="512">
        <v>10</v>
      </c>
      <c r="BN449" s="525" t="s">
        <v>2292</v>
      </c>
      <c r="BO449" s="530" t="s">
        <v>2200</v>
      </c>
      <c r="BP449" s="508" t="str">
        <f t="shared" ca="1" si="531"/>
        <v>T3部件</v>
      </c>
      <c r="BQ449" s="615">
        <v>1.5</v>
      </c>
      <c r="BR449" s="615">
        <v>6.0000000000000001E-3</v>
      </c>
      <c r="BS449" s="170" t="e">
        <f t="shared" ca="1" si="505"/>
        <v>#VALUE!</v>
      </c>
      <c r="BT449" s="508" t="e">
        <f t="shared" ca="1" si="506"/>
        <v>#VALUE!</v>
      </c>
      <c r="BV449" s="525">
        <v>10</v>
      </c>
      <c r="BW449" s="525" t="s">
        <v>2293</v>
      </c>
      <c r="BX449" s="530" t="s">
        <v>2200</v>
      </c>
      <c r="BY449" s="523" t="str">
        <f t="shared" ca="1" si="527"/>
        <v>T3部件</v>
      </c>
      <c r="BZ449" s="665">
        <v>1</v>
      </c>
      <c r="CA449" s="662">
        <v>2.1000000000000001E-2</v>
      </c>
      <c r="CB449" s="170" t="e">
        <f t="shared" ca="1" si="541"/>
        <v>#VALUE!</v>
      </c>
      <c r="CC449" s="523" t="e">
        <f t="shared" ca="1" si="542"/>
        <v>#VALUE!</v>
      </c>
    </row>
    <row r="450" spans="2:81" x14ac:dyDescent="0.35">
      <c r="B450" s="512">
        <v>9</v>
      </c>
      <c r="C450" s="516" t="s">
        <v>2283</v>
      </c>
      <c r="D450" s="529" t="s">
        <v>2444</v>
      </c>
      <c r="E450" s="508" t="str">
        <f t="shared" ca="1" si="522"/>
        <v>T3部件</v>
      </c>
      <c r="F450" s="594">
        <v>1</v>
      </c>
      <c r="G450" s="594">
        <v>8.6E-3</v>
      </c>
      <c r="H450" s="170" t="e">
        <f t="shared" ca="1" si="481"/>
        <v>#VALUE!</v>
      </c>
      <c r="I450" s="508" t="e">
        <f t="shared" ca="1" si="482"/>
        <v>#VALUE!</v>
      </c>
      <c r="K450" s="512">
        <v>9</v>
      </c>
      <c r="L450" s="516" t="s">
        <v>2283</v>
      </c>
      <c r="M450" s="529" t="s">
        <v>2444</v>
      </c>
      <c r="N450" s="508" t="str">
        <f t="shared" ca="1" si="523"/>
        <v>T3部件</v>
      </c>
      <c r="O450" s="566">
        <v>1</v>
      </c>
      <c r="P450" s="633">
        <v>5.4999999999999997E-3</v>
      </c>
      <c r="Q450" s="170" t="e">
        <f t="shared" ca="1" si="510"/>
        <v>#VALUE!</v>
      </c>
      <c r="R450" s="508" t="e">
        <f t="shared" ca="1" si="511"/>
        <v>#VALUE!</v>
      </c>
      <c r="T450" s="512">
        <v>9</v>
      </c>
      <c r="U450" s="516" t="s">
        <v>2283</v>
      </c>
      <c r="V450" s="529" t="s">
        <v>2444</v>
      </c>
      <c r="W450" s="508" t="str">
        <f t="shared" ca="1" si="524"/>
        <v>T3部件</v>
      </c>
      <c r="X450" s="566">
        <v>1</v>
      </c>
      <c r="Y450" s="625">
        <v>5.4999999999999997E-3</v>
      </c>
      <c r="Z450" s="170" t="e">
        <f t="shared" ca="1" si="512"/>
        <v>#VALUE!</v>
      </c>
      <c r="AA450" s="508" t="e">
        <f t="shared" ca="1" si="513"/>
        <v>#VALUE!</v>
      </c>
      <c r="AC450" s="512">
        <v>9</v>
      </c>
      <c r="AD450" s="512" t="s">
        <v>2273</v>
      </c>
      <c r="AE450" s="529" t="s">
        <v>2444</v>
      </c>
      <c r="AF450" s="508" t="str">
        <f t="shared" ca="1" si="536"/>
        <v>T2部件</v>
      </c>
      <c r="AG450" s="565">
        <v>1</v>
      </c>
      <c r="AH450" s="633">
        <v>7.4000000000000003E-3</v>
      </c>
      <c r="AI450" s="170" t="e">
        <f t="shared" ca="1" si="525"/>
        <v>#VALUE!</v>
      </c>
      <c r="AJ450" s="508" t="e">
        <f t="shared" ca="1" si="526"/>
        <v>#VALUE!</v>
      </c>
      <c r="AL450" s="512">
        <v>9</v>
      </c>
      <c r="AM450" s="516" t="s">
        <v>2262</v>
      </c>
      <c r="AN450" s="529" t="s">
        <v>2444</v>
      </c>
      <c r="AO450" s="508" t="str">
        <f t="shared" ca="1" si="519"/>
        <v>T2部件</v>
      </c>
      <c r="AP450" s="600">
        <v>1</v>
      </c>
      <c r="AQ450" s="600">
        <v>6.4999999999999997E-3</v>
      </c>
      <c r="AR450" s="170" t="e">
        <f t="shared" ca="1" si="537"/>
        <v>#VALUE!</v>
      </c>
      <c r="AS450" s="508" t="e">
        <f t="shared" ca="1" si="538"/>
        <v>#VALUE!</v>
      </c>
      <c r="AU450" s="512">
        <v>9</v>
      </c>
      <c r="AV450" s="516" t="s">
        <v>719</v>
      </c>
      <c r="AW450" s="512" t="s">
        <v>2394</v>
      </c>
      <c r="AX450" s="508">
        <f t="shared" ca="1" si="532"/>
        <v>96</v>
      </c>
      <c r="AY450" s="615">
        <v>1.5</v>
      </c>
      <c r="AZ450" s="508">
        <f>宝箱设定!$H209</f>
        <v>3.6999999999999998E-2</v>
      </c>
      <c r="BA450" s="170">
        <f t="shared" ca="1" si="533"/>
        <v>1.6701388888888887E-2</v>
      </c>
      <c r="BB450" s="508">
        <f t="shared" ca="1" si="534"/>
        <v>167</v>
      </c>
      <c r="BD450" s="512">
        <v>9</v>
      </c>
      <c r="BE450" s="516" t="s">
        <v>719</v>
      </c>
      <c r="BF450" s="512" t="s">
        <v>2394</v>
      </c>
      <c r="BG450" s="508">
        <f t="shared" ca="1" si="535"/>
        <v>96</v>
      </c>
      <c r="BH450" s="615">
        <v>3</v>
      </c>
      <c r="BI450" s="508">
        <f>宝箱设定!$H209</f>
        <v>3.6999999999999998E-2</v>
      </c>
      <c r="BJ450" s="170">
        <f t="shared" ca="1" si="539"/>
        <v>1.8949652777777777E-2</v>
      </c>
      <c r="BK450" s="379">
        <f t="shared" ca="1" si="540"/>
        <v>189</v>
      </c>
      <c r="BM450" s="512">
        <v>10</v>
      </c>
      <c r="BN450" s="527" t="s">
        <v>2277</v>
      </c>
      <c r="BO450" s="530" t="s">
        <v>2200</v>
      </c>
      <c r="BP450" s="508" t="str">
        <f t="shared" ca="1" si="531"/>
        <v>T3部件</v>
      </c>
      <c r="BQ450" s="615">
        <v>1.5</v>
      </c>
      <c r="BR450" s="615">
        <v>6.0000000000000001E-3</v>
      </c>
      <c r="BS450" s="170" t="e">
        <f t="shared" ca="1" si="505"/>
        <v>#VALUE!</v>
      </c>
      <c r="BT450" s="508" t="e">
        <f t="shared" ca="1" si="506"/>
        <v>#VALUE!</v>
      </c>
    </row>
    <row r="451" spans="2:81" x14ac:dyDescent="0.35">
      <c r="B451" s="512">
        <v>9</v>
      </c>
      <c r="C451" s="516" t="s">
        <v>2285</v>
      </c>
      <c r="D451" s="529" t="s">
        <v>2444</v>
      </c>
      <c r="E451" s="508" t="str">
        <f t="shared" ca="1" si="522"/>
        <v>T3部件</v>
      </c>
      <c r="F451" s="594">
        <v>1</v>
      </c>
      <c r="G451" s="594">
        <v>8.6E-3</v>
      </c>
      <c r="H451" s="170" t="e">
        <f t="shared" ca="1" si="481"/>
        <v>#VALUE!</v>
      </c>
      <c r="I451" s="508" t="e">
        <f t="shared" ca="1" si="482"/>
        <v>#VALUE!</v>
      </c>
      <c r="K451" s="512">
        <v>9</v>
      </c>
      <c r="L451" s="516" t="s">
        <v>2285</v>
      </c>
      <c r="M451" s="529" t="s">
        <v>2444</v>
      </c>
      <c r="N451" s="508" t="str">
        <f t="shared" ca="1" si="523"/>
        <v>T3部件</v>
      </c>
      <c r="O451" s="566">
        <v>1</v>
      </c>
      <c r="P451" s="633">
        <v>5.4999999999999997E-3</v>
      </c>
      <c r="Q451" s="170" t="e">
        <f t="shared" ca="1" si="510"/>
        <v>#VALUE!</v>
      </c>
      <c r="R451" s="508" t="e">
        <f t="shared" ca="1" si="511"/>
        <v>#VALUE!</v>
      </c>
      <c r="T451" s="512">
        <v>9</v>
      </c>
      <c r="U451" s="516" t="s">
        <v>2285</v>
      </c>
      <c r="V451" s="529" t="s">
        <v>2444</v>
      </c>
      <c r="W451" s="508" t="str">
        <f t="shared" ca="1" si="524"/>
        <v>T3部件</v>
      </c>
      <c r="X451" s="566">
        <v>1</v>
      </c>
      <c r="Y451" s="625">
        <v>5.4999999999999997E-3</v>
      </c>
      <c r="Z451" s="170" t="e">
        <f t="shared" ca="1" si="512"/>
        <v>#VALUE!</v>
      </c>
      <c r="AA451" s="508" t="e">
        <f t="shared" ca="1" si="513"/>
        <v>#VALUE!</v>
      </c>
      <c r="AC451" s="512">
        <v>9</v>
      </c>
      <c r="AD451" s="512" t="s">
        <v>2275</v>
      </c>
      <c r="AE451" s="529" t="s">
        <v>2444</v>
      </c>
      <c r="AF451" s="508" t="str">
        <f t="shared" ca="1" si="536"/>
        <v>T2部件</v>
      </c>
      <c r="AG451" s="565">
        <v>1</v>
      </c>
      <c r="AH451" s="633">
        <v>7.4000000000000003E-3</v>
      </c>
      <c r="AI451" s="170" t="e">
        <f t="shared" ca="1" si="525"/>
        <v>#VALUE!</v>
      </c>
      <c r="AJ451" s="508" t="e">
        <f t="shared" ca="1" si="526"/>
        <v>#VALUE!</v>
      </c>
      <c r="AL451" s="512">
        <v>9</v>
      </c>
      <c r="AM451" s="516" t="s">
        <v>2264</v>
      </c>
      <c r="AN451" s="529" t="s">
        <v>2444</v>
      </c>
      <c r="AO451" s="508" t="str">
        <f t="shared" ca="1" si="519"/>
        <v>T2部件</v>
      </c>
      <c r="AP451" s="600">
        <v>1</v>
      </c>
      <c r="AQ451" s="625">
        <v>6.4999999999999997E-3</v>
      </c>
      <c r="AR451" s="170" t="e">
        <f t="shared" ca="1" si="537"/>
        <v>#VALUE!</v>
      </c>
      <c r="AS451" s="508" t="e">
        <f t="shared" ca="1" si="538"/>
        <v>#VALUE!</v>
      </c>
      <c r="AU451" s="512">
        <v>9</v>
      </c>
      <c r="AV451" s="516" t="s">
        <v>635</v>
      </c>
      <c r="AW451" s="512" t="s">
        <v>2394</v>
      </c>
      <c r="AX451" s="508">
        <f t="shared" ca="1" si="532"/>
        <v>96</v>
      </c>
      <c r="AY451" s="615">
        <v>1.5</v>
      </c>
      <c r="AZ451" s="508">
        <f>宝箱设定!$H210</f>
        <v>3.6999999999999998E-2</v>
      </c>
      <c r="BA451" s="170">
        <f t="shared" ca="1" si="533"/>
        <v>1.6701388888888887E-2</v>
      </c>
      <c r="BB451" s="508">
        <f t="shared" ca="1" si="534"/>
        <v>167</v>
      </c>
      <c r="BD451" s="512">
        <v>9</v>
      </c>
      <c r="BE451" s="516" t="s">
        <v>635</v>
      </c>
      <c r="BF451" s="512" t="s">
        <v>2394</v>
      </c>
      <c r="BG451" s="508">
        <f t="shared" ca="1" si="535"/>
        <v>96</v>
      </c>
      <c r="BH451" s="615">
        <v>3</v>
      </c>
      <c r="BI451" s="508">
        <f>宝箱设定!$H210</f>
        <v>3.6999999999999998E-2</v>
      </c>
      <c r="BJ451" s="170">
        <f t="shared" ca="1" si="539"/>
        <v>1.8949652777777777E-2</v>
      </c>
      <c r="BK451" s="379">
        <f t="shared" ca="1" si="540"/>
        <v>189</v>
      </c>
      <c r="BM451" s="512">
        <v>10</v>
      </c>
      <c r="BN451" s="527" t="s">
        <v>2279</v>
      </c>
      <c r="BO451" s="530" t="s">
        <v>2200</v>
      </c>
      <c r="BP451" s="508" t="str">
        <f t="shared" ca="1" si="531"/>
        <v>T3部件</v>
      </c>
      <c r="BQ451" s="615">
        <v>1.5</v>
      </c>
      <c r="BR451" s="615">
        <v>6.0000000000000001E-3</v>
      </c>
      <c r="BS451" s="170" t="e">
        <f t="shared" ca="1" si="505"/>
        <v>#VALUE!</v>
      </c>
      <c r="BT451" s="508" t="e">
        <f t="shared" ca="1" si="506"/>
        <v>#VALUE!</v>
      </c>
    </row>
    <row r="452" spans="2:81" x14ac:dyDescent="0.35">
      <c r="B452" s="512">
        <v>9</v>
      </c>
      <c r="C452" s="516" t="s">
        <v>2287</v>
      </c>
      <c r="D452" s="529" t="s">
        <v>2444</v>
      </c>
      <c r="E452" s="508" t="str">
        <f t="shared" ca="1" si="522"/>
        <v>T3部件</v>
      </c>
      <c r="F452" s="594">
        <v>1</v>
      </c>
      <c r="G452" s="594">
        <v>8.6E-3</v>
      </c>
      <c r="H452" s="170" t="e">
        <f t="shared" ca="1" si="481"/>
        <v>#VALUE!</v>
      </c>
      <c r="I452" s="508" t="e">
        <f t="shared" ca="1" si="482"/>
        <v>#VALUE!</v>
      </c>
      <c r="K452" s="512">
        <v>9</v>
      </c>
      <c r="L452" s="516" t="s">
        <v>2287</v>
      </c>
      <c r="M452" s="529" t="s">
        <v>2444</v>
      </c>
      <c r="N452" s="508" t="str">
        <f t="shared" ca="1" si="523"/>
        <v>T3部件</v>
      </c>
      <c r="O452" s="566">
        <v>1</v>
      </c>
      <c r="P452" s="633">
        <v>5.4999999999999997E-3</v>
      </c>
      <c r="Q452" s="170" t="e">
        <f t="shared" ca="1" si="510"/>
        <v>#VALUE!</v>
      </c>
      <c r="R452" s="508" t="e">
        <f t="shared" ca="1" si="511"/>
        <v>#VALUE!</v>
      </c>
      <c r="T452" s="512">
        <v>9</v>
      </c>
      <c r="U452" s="516" t="s">
        <v>2287</v>
      </c>
      <c r="V452" s="529" t="s">
        <v>2444</v>
      </c>
      <c r="W452" s="508" t="str">
        <f t="shared" ca="1" si="524"/>
        <v>T3部件</v>
      </c>
      <c r="X452" s="566">
        <v>1</v>
      </c>
      <c r="Y452" s="625">
        <v>5.4999999999999997E-3</v>
      </c>
      <c r="Z452" s="170" t="e">
        <f t="shared" ca="1" si="512"/>
        <v>#VALUE!</v>
      </c>
      <c r="AA452" s="508" t="e">
        <f t="shared" ca="1" si="513"/>
        <v>#VALUE!</v>
      </c>
      <c r="AC452" s="512">
        <v>9</v>
      </c>
      <c r="AD452" s="516" t="s">
        <v>2276</v>
      </c>
      <c r="AE452" s="529" t="s">
        <v>2444</v>
      </c>
      <c r="AF452" s="508" t="str">
        <f t="shared" ca="1" si="536"/>
        <v>T3部件</v>
      </c>
      <c r="AG452" s="565">
        <v>1</v>
      </c>
      <c r="AH452" s="633">
        <v>6.0000000000000001E-3</v>
      </c>
      <c r="AI452" s="170" t="e">
        <f t="shared" ca="1" si="525"/>
        <v>#VALUE!</v>
      </c>
      <c r="AJ452" s="508" t="e">
        <f t="shared" ca="1" si="526"/>
        <v>#VALUE!</v>
      </c>
      <c r="AL452" s="512">
        <v>9</v>
      </c>
      <c r="AM452" s="516" t="s">
        <v>2266</v>
      </c>
      <c r="AN452" s="529" t="s">
        <v>2444</v>
      </c>
      <c r="AO452" s="508" t="str">
        <f t="shared" ca="1" si="519"/>
        <v>T2部件</v>
      </c>
      <c r="AP452" s="600">
        <v>1</v>
      </c>
      <c r="AQ452" s="625">
        <v>6.4999999999999997E-3</v>
      </c>
      <c r="AR452" s="170" t="e">
        <f t="shared" ca="1" si="537"/>
        <v>#VALUE!</v>
      </c>
      <c r="AS452" s="508" t="e">
        <f t="shared" ca="1" si="538"/>
        <v>#VALUE!</v>
      </c>
      <c r="AU452" s="512">
        <v>9</v>
      </c>
      <c r="AV452" s="516" t="s">
        <v>717</v>
      </c>
      <c r="AW452" s="512" t="s">
        <v>2394</v>
      </c>
      <c r="AX452" s="508">
        <f t="shared" ca="1" si="532"/>
        <v>120</v>
      </c>
      <c r="AY452" s="508">
        <v>1</v>
      </c>
      <c r="AZ452" s="508">
        <f>宝箱设定!$H211</f>
        <v>3.6999999999999998E-2</v>
      </c>
      <c r="BA452" s="170">
        <f t="shared" ca="1" si="533"/>
        <v>2.0041666666666666E-2</v>
      </c>
      <c r="BB452" s="508">
        <f t="shared" ca="1" si="534"/>
        <v>200</v>
      </c>
      <c r="BD452" s="512">
        <v>9</v>
      </c>
      <c r="BE452" s="516" t="s">
        <v>717</v>
      </c>
      <c r="BF452" s="512" t="s">
        <v>2394</v>
      </c>
      <c r="BG452" s="508">
        <f t="shared" ca="1" si="535"/>
        <v>120</v>
      </c>
      <c r="BH452" s="508">
        <v>1.5</v>
      </c>
      <c r="BI452" s="508">
        <f>宝箱设定!$H211</f>
        <v>3.6999999999999998E-2</v>
      </c>
      <c r="BJ452" s="170">
        <f t="shared" ca="1" si="539"/>
        <v>3.0319444444444441E-2</v>
      </c>
      <c r="BK452" s="379">
        <f t="shared" ca="1" si="540"/>
        <v>303</v>
      </c>
      <c r="BM452" s="512">
        <v>10</v>
      </c>
      <c r="BN452" s="527" t="s">
        <v>2281</v>
      </c>
      <c r="BO452" s="530" t="s">
        <v>2200</v>
      </c>
      <c r="BP452" s="508" t="str">
        <f t="shared" ca="1" si="531"/>
        <v>T3部件</v>
      </c>
      <c r="BQ452" s="615">
        <v>1.5</v>
      </c>
      <c r="BR452" s="615">
        <v>6.0000000000000001E-3</v>
      </c>
      <c r="BS452" s="170" t="e">
        <f t="shared" ca="1" si="505"/>
        <v>#VALUE!</v>
      </c>
      <c r="BT452" s="508" t="e">
        <f t="shared" ca="1" si="506"/>
        <v>#VALUE!</v>
      </c>
    </row>
    <row r="453" spans="2:81" x14ac:dyDescent="0.35">
      <c r="B453" s="512">
        <v>9</v>
      </c>
      <c r="C453" s="516" t="s">
        <v>2289</v>
      </c>
      <c r="D453" s="529" t="s">
        <v>2444</v>
      </c>
      <c r="E453" s="508" t="str">
        <f t="shared" ca="1" si="522"/>
        <v>T3部件</v>
      </c>
      <c r="F453" s="594">
        <v>1</v>
      </c>
      <c r="G453" s="594">
        <v>8.6E-3</v>
      </c>
      <c r="H453" s="170" t="e">
        <f t="shared" ca="1" si="481"/>
        <v>#VALUE!</v>
      </c>
      <c r="I453" s="508" t="e">
        <f t="shared" ca="1" si="482"/>
        <v>#VALUE!</v>
      </c>
      <c r="K453" s="512">
        <v>9</v>
      </c>
      <c r="L453" s="516" t="s">
        <v>2289</v>
      </c>
      <c r="M453" s="529" t="s">
        <v>2444</v>
      </c>
      <c r="N453" s="508" t="str">
        <f t="shared" ca="1" si="523"/>
        <v>T3部件</v>
      </c>
      <c r="O453" s="566">
        <v>1</v>
      </c>
      <c r="P453" s="633">
        <v>5.4999999999999997E-3</v>
      </c>
      <c r="Q453" s="170" t="e">
        <f t="shared" ca="1" si="510"/>
        <v>#VALUE!</v>
      </c>
      <c r="R453" s="508" t="e">
        <f t="shared" ca="1" si="511"/>
        <v>#VALUE!</v>
      </c>
      <c r="T453" s="512">
        <v>9</v>
      </c>
      <c r="U453" s="516" t="s">
        <v>2289</v>
      </c>
      <c r="V453" s="529" t="s">
        <v>2444</v>
      </c>
      <c r="W453" s="508" t="str">
        <f t="shared" ca="1" si="524"/>
        <v>T3部件</v>
      </c>
      <c r="X453" s="566">
        <v>1</v>
      </c>
      <c r="Y453" s="625">
        <v>5.4999999999999997E-3</v>
      </c>
      <c r="Z453" s="170" t="e">
        <f t="shared" ca="1" si="512"/>
        <v>#VALUE!</v>
      </c>
      <c r="AA453" s="508" t="e">
        <f t="shared" ca="1" si="513"/>
        <v>#VALUE!</v>
      </c>
      <c r="AC453" s="512">
        <v>9</v>
      </c>
      <c r="AD453" s="516" t="s">
        <v>2278</v>
      </c>
      <c r="AE453" s="529" t="s">
        <v>2444</v>
      </c>
      <c r="AF453" s="508" t="str">
        <f t="shared" ca="1" si="536"/>
        <v>T3部件</v>
      </c>
      <c r="AG453" s="565">
        <v>1</v>
      </c>
      <c r="AH453" s="633">
        <v>6.0000000000000001E-3</v>
      </c>
      <c r="AI453" s="170" t="e">
        <f t="shared" ca="1" si="525"/>
        <v>#VALUE!</v>
      </c>
      <c r="AJ453" s="508" t="e">
        <f t="shared" ca="1" si="526"/>
        <v>#VALUE!</v>
      </c>
      <c r="AL453" s="512">
        <v>9</v>
      </c>
      <c r="AM453" s="516" t="s">
        <v>2268</v>
      </c>
      <c r="AN453" s="529" t="s">
        <v>2444</v>
      </c>
      <c r="AO453" s="508" t="str">
        <f t="shared" ca="1" si="519"/>
        <v>T2部件</v>
      </c>
      <c r="AP453" s="600">
        <v>1</v>
      </c>
      <c r="AQ453" s="625">
        <v>6.4999999999999997E-3</v>
      </c>
      <c r="AR453" s="170" t="e">
        <f t="shared" ca="1" si="537"/>
        <v>#VALUE!</v>
      </c>
      <c r="AS453" s="508" t="e">
        <f t="shared" ca="1" si="538"/>
        <v>#VALUE!</v>
      </c>
      <c r="AU453" s="512">
        <v>9</v>
      </c>
      <c r="AV453" s="516" t="s">
        <v>720</v>
      </c>
      <c r="AW453" s="512" t="s">
        <v>2394</v>
      </c>
      <c r="AX453" s="508">
        <f t="shared" ca="1" si="532"/>
        <v>120</v>
      </c>
      <c r="AY453" s="508">
        <v>1</v>
      </c>
      <c r="AZ453" s="508">
        <f>宝箱设定!$H212</f>
        <v>3.6999999999999998E-2</v>
      </c>
      <c r="BA453" s="170">
        <f t="shared" ca="1" si="533"/>
        <v>2.0041666666666666E-2</v>
      </c>
      <c r="BB453" s="508">
        <f t="shared" ca="1" si="534"/>
        <v>200</v>
      </c>
      <c r="BD453" s="512">
        <v>9</v>
      </c>
      <c r="BE453" s="516" t="s">
        <v>720</v>
      </c>
      <c r="BF453" s="512" t="s">
        <v>2394</v>
      </c>
      <c r="BG453" s="508">
        <f t="shared" ca="1" si="535"/>
        <v>120</v>
      </c>
      <c r="BH453" s="508">
        <v>1.5</v>
      </c>
      <c r="BI453" s="508">
        <f>宝箱设定!$H212</f>
        <v>3.6999999999999998E-2</v>
      </c>
      <c r="BJ453" s="170">
        <f t="shared" ca="1" si="539"/>
        <v>3.0319444444444441E-2</v>
      </c>
      <c r="BK453" s="379">
        <f t="shared" ca="1" si="540"/>
        <v>303</v>
      </c>
      <c r="BM453" s="512">
        <v>10</v>
      </c>
      <c r="BN453" s="527" t="s">
        <v>2283</v>
      </c>
      <c r="BO453" s="530" t="s">
        <v>2200</v>
      </c>
      <c r="BP453" s="508" t="str">
        <f t="shared" ca="1" si="531"/>
        <v>T3部件</v>
      </c>
      <c r="BQ453" s="615">
        <v>1.5</v>
      </c>
      <c r="BR453" s="615">
        <v>6.0000000000000001E-3</v>
      </c>
      <c r="BS453" s="170" t="e">
        <f t="shared" ca="1" si="505"/>
        <v>#VALUE!</v>
      </c>
      <c r="BT453" s="508" t="e">
        <f t="shared" ca="1" si="506"/>
        <v>#VALUE!</v>
      </c>
    </row>
    <row r="454" spans="2:81" x14ac:dyDescent="0.35">
      <c r="B454" s="512">
        <v>9</v>
      </c>
      <c r="C454" s="512" t="s">
        <v>2291</v>
      </c>
      <c r="D454" s="529" t="s">
        <v>2444</v>
      </c>
      <c r="E454" s="508" t="str">
        <f t="shared" ca="1" si="522"/>
        <v>T3部件</v>
      </c>
      <c r="F454" s="594">
        <v>1</v>
      </c>
      <c r="G454" s="594">
        <v>8.6E-3</v>
      </c>
      <c r="H454" s="170" t="e">
        <f t="shared" ca="1" si="481"/>
        <v>#VALUE!</v>
      </c>
      <c r="I454" s="508" t="e">
        <f t="shared" ca="1" si="482"/>
        <v>#VALUE!</v>
      </c>
      <c r="K454" s="512">
        <v>9</v>
      </c>
      <c r="L454" s="512" t="s">
        <v>2291</v>
      </c>
      <c r="M454" s="529" t="s">
        <v>2444</v>
      </c>
      <c r="N454" s="508" t="str">
        <f t="shared" ca="1" si="523"/>
        <v>T3部件</v>
      </c>
      <c r="O454" s="566">
        <v>1</v>
      </c>
      <c r="P454" s="633">
        <v>5.4999999999999997E-3</v>
      </c>
      <c r="Q454" s="170" t="e">
        <f t="shared" ca="1" si="510"/>
        <v>#VALUE!</v>
      </c>
      <c r="R454" s="508" t="e">
        <f t="shared" ca="1" si="511"/>
        <v>#VALUE!</v>
      </c>
      <c r="T454" s="512">
        <v>9</v>
      </c>
      <c r="U454" s="512" t="s">
        <v>2291</v>
      </c>
      <c r="V454" s="529" t="s">
        <v>2444</v>
      </c>
      <c r="W454" s="508" t="str">
        <f t="shared" ca="1" si="524"/>
        <v>T3部件</v>
      </c>
      <c r="X454" s="566">
        <v>1</v>
      </c>
      <c r="Y454" s="625">
        <v>5.4999999999999997E-3</v>
      </c>
      <c r="Z454" s="170" t="e">
        <f t="shared" ca="1" si="512"/>
        <v>#VALUE!</v>
      </c>
      <c r="AA454" s="508" t="e">
        <f t="shared" ca="1" si="513"/>
        <v>#VALUE!</v>
      </c>
      <c r="AC454" s="512">
        <v>9</v>
      </c>
      <c r="AD454" s="516" t="s">
        <v>2280</v>
      </c>
      <c r="AE454" s="529" t="s">
        <v>2444</v>
      </c>
      <c r="AF454" s="508" t="str">
        <f t="shared" ca="1" si="536"/>
        <v>T3部件</v>
      </c>
      <c r="AG454" s="565">
        <v>1</v>
      </c>
      <c r="AH454" s="633">
        <v>6.0000000000000001E-3</v>
      </c>
      <c r="AI454" s="170" t="e">
        <f t="shared" ca="1" si="525"/>
        <v>#VALUE!</v>
      </c>
      <c r="AJ454" s="508" t="e">
        <f t="shared" ca="1" si="526"/>
        <v>#VALUE!</v>
      </c>
      <c r="AL454" s="512">
        <v>9</v>
      </c>
      <c r="AM454" s="516" t="s">
        <v>2270</v>
      </c>
      <c r="AN454" s="529" t="s">
        <v>2444</v>
      </c>
      <c r="AO454" s="508" t="str">
        <f t="shared" ca="1" si="519"/>
        <v>T2部件</v>
      </c>
      <c r="AP454" s="600">
        <v>1</v>
      </c>
      <c r="AQ454" s="625">
        <v>6.4999999999999997E-3</v>
      </c>
      <c r="AR454" s="170" t="e">
        <f t="shared" ca="1" si="537"/>
        <v>#VALUE!</v>
      </c>
      <c r="AS454" s="508" t="e">
        <f t="shared" ca="1" si="538"/>
        <v>#VALUE!</v>
      </c>
      <c r="AU454" s="512">
        <v>9</v>
      </c>
      <c r="AV454" s="516" t="s">
        <v>621</v>
      </c>
      <c r="AW454" s="512" t="s">
        <v>2394</v>
      </c>
      <c r="AX454" s="508">
        <f t="shared" ca="1" si="532"/>
        <v>148.79999999999998</v>
      </c>
      <c r="AY454" s="508">
        <v>1</v>
      </c>
      <c r="AZ454" s="508">
        <f>宝箱设定!$H213</f>
        <v>3.6999999999999998E-2</v>
      </c>
      <c r="BA454" s="170">
        <f t="shared" ca="1" si="533"/>
        <v>1.6162634408602151E-2</v>
      </c>
      <c r="BB454" s="508">
        <f t="shared" ca="1" si="534"/>
        <v>162</v>
      </c>
      <c r="BD454" s="512">
        <v>9</v>
      </c>
      <c r="BE454" s="516" t="s">
        <v>621</v>
      </c>
      <c r="BF454" s="512" t="s">
        <v>2394</v>
      </c>
      <c r="BG454" s="508">
        <f t="shared" ca="1" si="535"/>
        <v>148.79999999999998</v>
      </c>
      <c r="BH454" s="508">
        <v>1</v>
      </c>
      <c r="BI454" s="508">
        <f>宝箱设定!$H213</f>
        <v>3.6999999999999998E-2</v>
      </c>
      <c r="BJ454" s="170">
        <f t="shared" ca="1" si="539"/>
        <v>3.6676747311827955E-2</v>
      </c>
      <c r="BK454" s="379">
        <f t="shared" ca="1" si="540"/>
        <v>367</v>
      </c>
      <c r="BM454" s="512">
        <v>10</v>
      </c>
      <c r="BN454" s="527" t="s">
        <v>2285</v>
      </c>
      <c r="BO454" s="530" t="s">
        <v>2200</v>
      </c>
      <c r="BP454" s="508" t="str">
        <f t="shared" ca="1" si="531"/>
        <v>T3部件</v>
      </c>
      <c r="BQ454" s="615">
        <v>1.5</v>
      </c>
      <c r="BR454" s="615">
        <v>6.0000000000000001E-3</v>
      </c>
      <c r="BS454" s="170" t="e">
        <f t="shared" ca="1" si="505"/>
        <v>#VALUE!</v>
      </c>
      <c r="BT454" s="508" t="e">
        <f t="shared" ca="1" si="506"/>
        <v>#VALUE!</v>
      </c>
    </row>
    <row r="455" spans="2:81" x14ac:dyDescent="0.35">
      <c r="B455" s="512">
        <v>9</v>
      </c>
      <c r="C455" s="512" t="s">
        <v>2293</v>
      </c>
      <c r="D455" s="529" t="s">
        <v>2444</v>
      </c>
      <c r="E455" s="508" t="str">
        <f t="shared" ca="1" si="522"/>
        <v>T3部件</v>
      </c>
      <c r="F455" s="594">
        <v>1</v>
      </c>
      <c r="G455" s="594">
        <v>8.6E-3</v>
      </c>
      <c r="H455" s="170" t="e">
        <f t="shared" ca="1" si="481"/>
        <v>#VALUE!</v>
      </c>
      <c r="I455" s="508" t="e">
        <f t="shared" ca="1" si="482"/>
        <v>#VALUE!</v>
      </c>
      <c r="K455" s="512">
        <v>9</v>
      </c>
      <c r="L455" s="512" t="s">
        <v>2293</v>
      </c>
      <c r="M455" s="529" t="s">
        <v>2444</v>
      </c>
      <c r="N455" s="508" t="str">
        <f t="shared" ca="1" si="523"/>
        <v>T3部件</v>
      </c>
      <c r="O455" s="566">
        <v>1</v>
      </c>
      <c r="P455" s="633">
        <v>5.4999999999999997E-3</v>
      </c>
      <c r="Q455" s="170" t="e">
        <f t="shared" ca="1" si="510"/>
        <v>#VALUE!</v>
      </c>
      <c r="R455" s="508" t="e">
        <f t="shared" ca="1" si="511"/>
        <v>#VALUE!</v>
      </c>
      <c r="T455" s="512">
        <v>9</v>
      </c>
      <c r="U455" s="512" t="s">
        <v>2293</v>
      </c>
      <c r="V455" s="529" t="s">
        <v>2444</v>
      </c>
      <c r="W455" s="508" t="str">
        <f t="shared" ca="1" si="524"/>
        <v>T3部件</v>
      </c>
      <c r="X455" s="566">
        <v>1</v>
      </c>
      <c r="Y455" s="625">
        <v>5.4999999999999997E-3</v>
      </c>
      <c r="Z455" s="170" t="e">
        <f t="shared" ca="1" si="512"/>
        <v>#VALUE!</v>
      </c>
      <c r="AA455" s="508" t="e">
        <f t="shared" ca="1" si="513"/>
        <v>#VALUE!</v>
      </c>
      <c r="AC455" s="512">
        <v>9</v>
      </c>
      <c r="AD455" s="516" t="s">
        <v>2282</v>
      </c>
      <c r="AE455" s="529" t="s">
        <v>2444</v>
      </c>
      <c r="AF455" s="508" t="str">
        <f t="shared" ca="1" si="536"/>
        <v>T3部件</v>
      </c>
      <c r="AG455" s="508">
        <v>1</v>
      </c>
      <c r="AH455" s="633">
        <v>6.0000000000000001E-3</v>
      </c>
      <c r="AI455" s="170" t="e">
        <f t="shared" ca="1" si="525"/>
        <v>#VALUE!</v>
      </c>
      <c r="AJ455" s="508" t="e">
        <f t="shared" ca="1" si="526"/>
        <v>#VALUE!</v>
      </c>
      <c r="AL455" s="512">
        <v>9</v>
      </c>
      <c r="AM455" s="512" t="s">
        <v>2272</v>
      </c>
      <c r="AN455" s="529" t="s">
        <v>2444</v>
      </c>
      <c r="AO455" s="508" t="str">
        <f t="shared" ref="AO455:AO486" ca="1" si="543">IF(AN455="部件",VLOOKUP(AL455,INDIRECT(AN455&amp;"价值"),MATCH(LEFT(AM455,2)&amp;"部件",INDIRECT(AN455&amp;"价值标头"),0),FALSE),IF(AN455="加速道具",VLOOKUP(AM455,INDIRECT(AN455&amp;"价值"),MATCH("价格",INDIRECT(AN455&amp;"价值标头"),0),FALSE),VLOOKUP(AL455,INDIRECT(AN455&amp;"价值"),MATCH(AM455,INDIRECT(AN455&amp;"价值标头"),0),FALSE)))</f>
        <v>T2部件</v>
      </c>
      <c r="AP455" s="600">
        <v>1</v>
      </c>
      <c r="AQ455" s="625">
        <v>6.4999999999999997E-3</v>
      </c>
      <c r="AR455" s="170" t="e">
        <f t="shared" ca="1" si="537"/>
        <v>#VALUE!</v>
      </c>
      <c r="AS455" s="508" t="e">
        <f t="shared" ca="1" si="538"/>
        <v>#VALUE!</v>
      </c>
      <c r="AU455" s="512">
        <v>9</v>
      </c>
      <c r="AV455" s="516" t="s">
        <v>634</v>
      </c>
      <c r="AW455" s="512" t="s">
        <v>2394</v>
      </c>
      <c r="AX455" s="508">
        <f t="shared" ca="1" si="532"/>
        <v>148.79999999999998</v>
      </c>
      <c r="AY455" s="508">
        <v>1</v>
      </c>
      <c r="AZ455" s="508">
        <f>宝箱设定!$H214</f>
        <v>3.6999999999999998E-2</v>
      </c>
      <c r="BA455" s="170">
        <f t="shared" ca="1" si="533"/>
        <v>1.6162634408602151E-2</v>
      </c>
      <c r="BB455" s="508">
        <f t="shared" ca="1" si="534"/>
        <v>162</v>
      </c>
      <c r="BD455" s="512">
        <v>9</v>
      </c>
      <c r="BE455" s="516" t="s">
        <v>634</v>
      </c>
      <c r="BF455" s="512" t="s">
        <v>2394</v>
      </c>
      <c r="BG455" s="508">
        <f t="shared" ca="1" si="535"/>
        <v>148.79999999999998</v>
      </c>
      <c r="BH455" s="508">
        <v>1</v>
      </c>
      <c r="BI455" s="508">
        <f>宝箱设定!$H214</f>
        <v>3.6999999999999998E-2</v>
      </c>
      <c r="BJ455" s="170">
        <f t="shared" ca="1" si="539"/>
        <v>3.6676747311827955E-2</v>
      </c>
      <c r="BK455" s="379">
        <f t="shared" ca="1" si="540"/>
        <v>367</v>
      </c>
      <c r="BM455" s="512">
        <v>10</v>
      </c>
      <c r="BN455" s="527" t="s">
        <v>2287</v>
      </c>
      <c r="BO455" s="530" t="s">
        <v>2200</v>
      </c>
      <c r="BP455" s="508" t="str">
        <f t="shared" ca="1" si="531"/>
        <v>T3部件</v>
      </c>
      <c r="BQ455" s="615">
        <v>1.5</v>
      </c>
      <c r="BR455" s="615">
        <v>6.0000000000000001E-3</v>
      </c>
      <c r="BS455" s="170" t="e">
        <f t="shared" ca="1" si="505"/>
        <v>#VALUE!</v>
      </c>
      <c r="BT455" s="508" t="e">
        <f t="shared" ca="1" si="506"/>
        <v>#VALUE!</v>
      </c>
    </row>
    <row r="456" spans="2:81" x14ac:dyDescent="0.35">
      <c r="B456" s="512">
        <v>9</v>
      </c>
      <c r="C456" s="516" t="s">
        <v>2294</v>
      </c>
      <c r="D456" s="529" t="s">
        <v>2444</v>
      </c>
      <c r="E456" s="508" t="e">
        <f t="shared" ca="1" si="522"/>
        <v>#N/A</v>
      </c>
      <c r="F456" s="594">
        <v>1</v>
      </c>
      <c r="G456" s="565">
        <v>4.1000000000000003E-3</v>
      </c>
      <c r="H456" s="170" t="e">
        <f t="shared" ca="1" si="481"/>
        <v>#N/A</v>
      </c>
      <c r="I456" s="508" t="e">
        <f t="shared" ca="1" si="482"/>
        <v>#N/A</v>
      </c>
      <c r="K456" s="512">
        <v>9</v>
      </c>
      <c r="L456" s="516" t="s">
        <v>2294</v>
      </c>
      <c r="M456" s="529" t="s">
        <v>2444</v>
      </c>
      <c r="N456" s="508" t="e">
        <f t="shared" ca="1" si="523"/>
        <v>#N/A</v>
      </c>
      <c r="O456" s="566">
        <v>1</v>
      </c>
      <c r="P456" s="633">
        <v>7.0000000000000001E-3</v>
      </c>
      <c r="Q456" s="170" t="e">
        <f t="shared" ca="1" si="510"/>
        <v>#N/A</v>
      </c>
      <c r="R456" s="508" t="e">
        <f t="shared" ca="1" si="511"/>
        <v>#N/A</v>
      </c>
      <c r="T456" s="512">
        <v>9</v>
      </c>
      <c r="U456" s="516" t="s">
        <v>2294</v>
      </c>
      <c r="V456" s="529" t="s">
        <v>2444</v>
      </c>
      <c r="W456" s="508" t="e">
        <f t="shared" ca="1" si="524"/>
        <v>#N/A</v>
      </c>
      <c r="X456" s="566">
        <v>1</v>
      </c>
      <c r="Y456" s="594">
        <v>7.0000000000000001E-3</v>
      </c>
      <c r="Z456" s="170" t="e">
        <f t="shared" ca="1" si="512"/>
        <v>#N/A</v>
      </c>
      <c r="AA456" s="508" t="e">
        <f t="shared" ca="1" si="513"/>
        <v>#N/A</v>
      </c>
      <c r="AC456" s="512">
        <v>9</v>
      </c>
      <c r="AD456" s="516" t="s">
        <v>2284</v>
      </c>
      <c r="AE456" s="529" t="s">
        <v>2444</v>
      </c>
      <c r="AF456" s="508" t="str">
        <f t="shared" ca="1" si="536"/>
        <v>T3部件</v>
      </c>
      <c r="AG456" s="508">
        <v>1</v>
      </c>
      <c r="AH456" s="633">
        <v>6.0000000000000001E-3</v>
      </c>
      <c r="AI456" s="170" t="e">
        <f t="shared" ca="1" si="525"/>
        <v>#VALUE!</v>
      </c>
      <c r="AJ456" s="508" t="e">
        <f t="shared" ca="1" si="526"/>
        <v>#VALUE!</v>
      </c>
      <c r="AL456" s="512">
        <v>9</v>
      </c>
      <c r="AM456" s="512" t="s">
        <v>2274</v>
      </c>
      <c r="AN456" s="529" t="s">
        <v>2444</v>
      </c>
      <c r="AO456" s="508" t="str">
        <f t="shared" ca="1" si="543"/>
        <v>T2部件</v>
      </c>
      <c r="AP456" s="600">
        <v>1</v>
      </c>
      <c r="AQ456" s="625">
        <v>6.4999999999999997E-3</v>
      </c>
      <c r="AR456" s="170" t="e">
        <f t="shared" ca="1" si="537"/>
        <v>#VALUE!</v>
      </c>
      <c r="AS456" s="508" t="e">
        <f t="shared" ca="1" si="538"/>
        <v>#VALUE!</v>
      </c>
      <c r="AU456" s="512">
        <v>9</v>
      </c>
      <c r="AV456" s="516" t="s">
        <v>2239</v>
      </c>
      <c r="AW456" s="529" t="s">
        <v>2452</v>
      </c>
      <c r="AX456" s="508">
        <f t="shared" ca="1" si="532"/>
        <v>8.1</v>
      </c>
      <c r="AY456" s="615">
        <v>2</v>
      </c>
      <c r="AZ456" s="508">
        <v>6.0000000000000001E-3</v>
      </c>
      <c r="BA456" s="170">
        <f t="shared" ca="1" si="533"/>
        <v>2.4074074074074078E-2</v>
      </c>
      <c r="BB456" s="508">
        <f t="shared" ca="1" si="534"/>
        <v>241</v>
      </c>
      <c r="BD456" s="512">
        <v>9</v>
      </c>
      <c r="BE456" s="516" t="s">
        <v>2239</v>
      </c>
      <c r="BF456" s="529" t="s">
        <v>2452</v>
      </c>
      <c r="BG456" s="508">
        <f t="shared" ca="1" si="535"/>
        <v>8.1</v>
      </c>
      <c r="BH456" s="615">
        <v>5.5</v>
      </c>
      <c r="BI456" s="600">
        <v>4.4999999999999997E-3</v>
      </c>
      <c r="BJ456" s="170">
        <f t="shared" ca="1" si="539"/>
        <v>1.48989898989899E-2</v>
      </c>
      <c r="BK456" s="379">
        <f t="shared" ca="1" si="540"/>
        <v>149</v>
      </c>
      <c r="BM456" s="512">
        <v>10</v>
      </c>
      <c r="BN456" s="527" t="s">
        <v>2289</v>
      </c>
      <c r="BO456" s="530" t="s">
        <v>2200</v>
      </c>
      <c r="BP456" s="508" t="str">
        <f t="shared" ca="1" si="531"/>
        <v>T3部件</v>
      </c>
      <c r="BQ456" s="615">
        <v>1.5</v>
      </c>
      <c r="BR456" s="615">
        <v>6.0000000000000001E-3</v>
      </c>
      <c r="BS456" s="170" t="e">
        <f t="shared" ca="1" si="505"/>
        <v>#VALUE!</v>
      </c>
      <c r="BT456" s="508" t="e">
        <f t="shared" ca="1" si="506"/>
        <v>#VALUE!</v>
      </c>
    </row>
    <row r="457" spans="2:81" x14ac:dyDescent="0.35">
      <c r="B457" s="512">
        <v>9</v>
      </c>
      <c r="C457" s="516" t="s">
        <v>2296</v>
      </c>
      <c r="D457" s="529" t="s">
        <v>2444</v>
      </c>
      <c r="E457" s="508" t="e">
        <f t="shared" ca="1" si="522"/>
        <v>#N/A</v>
      </c>
      <c r="F457" s="594">
        <v>1</v>
      </c>
      <c r="G457" s="565">
        <v>4.1000000000000003E-3</v>
      </c>
      <c r="H457" s="170" t="e">
        <f t="shared" ca="1" si="481"/>
        <v>#N/A</v>
      </c>
      <c r="I457" s="508" t="e">
        <f t="shared" ca="1" si="482"/>
        <v>#N/A</v>
      </c>
      <c r="K457" s="512">
        <v>9</v>
      </c>
      <c r="L457" s="516" t="s">
        <v>2296</v>
      </c>
      <c r="M457" s="529" t="s">
        <v>2444</v>
      </c>
      <c r="N457" s="508" t="e">
        <f t="shared" ca="1" si="523"/>
        <v>#N/A</v>
      </c>
      <c r="O457" s="566">
        <v>1</v>
      </c>
      <c r="P457" s="633">
        <v>7.0000000000000001E-3</v>
      </c>
      <c r="Q457" s="170" t="e">
        <f t="shared" ca="1" si="510"/>
        <v>#N/A</v>
      </c>
      <c r="R457" s="508" t="e">
        <f t="shared" ca="1" si="511"/>
        <v>#N/A</v>
      </c>
      <c r="T457" s="512">
        <v>9</v>
      </c>
      <c r="U457" s="516" t="s">
        <v>2296</v>
      </c>
      <c r="V457" s="529" t="s">
        <v>2444</v>
      </c>
      <c r="W457" s="508" t="e">
        <f t="shared" ca="1" si="524"/>
        <v>#N/A</v>
      </c>
      <c r="X457" s="566">
        <v>1</v>
      </c>
      <c r="Y457" s="594">
        <v>7.0000000000000001E-3</v>
      </c>
      <c r="Z457" s="170" t="e">
        <f t="shared" ca="1" si="512"/>
        <v>#N/A</v>
      </c>
      <c r="AA457" s="508" t="e">
        <f t="shared" ca="1" si="513"/>
        <v>#N/A</v>
      </c>
      <c r="AC457" s="512">
        <v>9</v>
      </c>
      <c r="AD457" s="516" t="s">
        <v>2286</v>
      </c>
      <c r="AE457" s="529" t="s">
        <v>2444</v>
      </c>
      <c r="AF457" s="508" t="str">
        <f t="shared" ca="1" si="536"/>
        <v>T3部件</v>
      </c>
      <c r="AG457" s="508">
        <v>1</v>
      </c>
      <c r="AH457" s="633">
        <v>6.0000000000000001E-3</v>
      </c>
      <c r="AI457" s="170" t="e">
        <f t="shared" ca="1" si="525"/>
        <v>#VALUE!</v>
      </c>
      <c r="AJ457" s="508" t="e">
        <f t="shared" ca="1" si="526"/>
        <v>#VALUE!</v>
      </c>
      <c r="AL457" s="512">
        <v>9</v>
      </c>
      <c r="AM457" s="516" t="s">
        <v>2259</v>
      </c>
      <c r="AN457" s="529" t="s">
        <v>2444</v>
      </c>
      <c r="AO457" s="508" t="str">
        <f t="shared" ca="1" si="543"/>
        <v>T2部件</v>
      </c>
      <c r="AP457" s="600">
        <v>1</v>
      </c>
      <c r="AQ457" s="625">
        <v>6.4999999999999997E-3</v>
      </c>
      <c r="AR457" s="170" t="e">
        <f t="shared" ca="1" si="537"/>
        <v>#VALUE!</v>
      </c>
      <c r="AS457" s="508" t="e">
        <f t="shared" ca="1" si="538"/>
        <v>#VALUE!</v>
      </c>
      <c r="AU457" s="512">
        <v>9</v>
      </c>
      <c r="AV457" s="516" t="s">
        <v>2242</v>
      </c>
      <c r="AW457" s="529" t="s">
        <v>2452</v>
      </c>
      <c r="AX457" s="508">
        <f t="shared" ca="1" si="532"/>
        <v>8.1</v>
      </c>
      <c r="AY457" s="632">
        <v>2</v>
      </c>
      <c r="AZ457" s="632">
        <v>6.0000000000000001E-3</v>
      </c>
      <c r="BA457" s="170">
        <f t="shared" ca="1" si="533"/>
        <v>2.4074074074074078E-2</v>
      </c>
      <c r="BB457" s="508">
        <f t="shared" ca="1" si="534"/>
        <v>241</v>
      </c>
      <c r="BD457" s="512">
        <v>9</v>
      </c>
      <c r="BE457" s="516" t="s">
        <v>2242</v>
      </c>
      <c r="BF457" s="529" t="s">
        <v>2452</v>
      </c>
      <c r="BG457" s="508">
        <f t="shared" ca="1" si="535"/>
        <v>8.1</v>
      </c>
      <c r="BH457" s="615">
        <v>5.5</v>
      </c>
      <c r="BI457" s="615">
        <v>4.4999999999999997E-3</v>
      </c>
      <c r="BJ457" s="170">
        <f t="shared" ca="1" si="539"/>
        <v>1.48989898989899E-2</v>
      </c>
      <c r="BK457" s="379">
        <f t="shared" ca="1" si="540"/>
        <v>149</v>
      </c>
      <c r="BM457" s="512">
        <v>10</v>
      </c>
      <c r="BN457" s="525" t="s">
        <v>2291</v>
      </c>
      <c r="BO457" s="530" t="s">
        <v>2200</v>
      </c>
      <c r="BP457" s="508" t="str">
        <f t="shared" ca="1" si="531"/>
        <v>T3部件</v>
      </c>
      <c r="BQ457" s="615">
        <v>1.5</v>
      </c>
      <c r="BR457" s="615">
        <v>6.0000000000000001E-3</v>
      </c>
      <c r="BS457" s="170" t="e">
        <f t="shared" ca="1" si="505"/>
        <v>#VALUE!</v>
      </c>
      <c r="BT457" s="508" t="e">
        <f t="shared" ca="1" si="506"/>
        <v>#VALUE!</v>
      </c>
    </row>
    <row r="458" spans="2:81" x14ac:dyDescent="0.35">
      <c r="B458" s="512">
        <v>9</v>
      </c>
      <c r="C458" s="516" t="s">
        <v>2298</v>
      </c>
      <c r="D458" s="529" t="s">
        <v>2444</v>
      </c>
      <c r="E458" s="508" t="e">
        <f t="shared" ca="1" si="522"/>
        <v>#N/A</v>
      </c>
      <c r="F458" s="594">
        <v>1</v>
      </c>
      <c r="G458" s="565">
        <v>4.1000000000000003E-3</v>
      </c>
      <c r="H458" s="170" t="e">
        <f t="shared" ca="1" si="481"/>
        <v>#N/A</v>
      </c>
      <c r="I458" s="508" t="e">
        <f t="shared" ca="1" si="482"/>
        <v>#N/A</v>
      </c>
      <c r="K458" s="512">
        <v>9</v>
      </c>
      <c r="L458" s="516" t="s">
        <v>2298</v>
      </c>
      <c r="M458" s="529" t="s">
        <v>2444</v>
      </c>
      <c r="N458" s="508" t="e">
        <f t="shared" ca="1" si="523"/>
        <v>#N/A</v>
      </c>
      <c r="O458" s="566">
        <v>1</v>
      </c>
      <c r="P458" s="633">
        <v>7.0000000000000001E-3</v>
      </c>
      <c r="Q458" s="170" t="e">
        <f t="shared" ca="1" si="510"/>
        <v>#N/A</v>
      </c>
      <c r="R458" s="508" t="e">
        <f t="shared" ca="1" si="511"/>
        <v>#N/A</v>
      </c>
      <c r="T458" s="512">
        <v>9</v>
      </c>
      <c r="U458" s="516" t="s">
        <v>2298</v>
      </c>
      <c r="V458" s="529" t="s">
        <v>2444</v>
      </c>
      <c r="W458" s="508" t="e">
        <f t="shared" ca="1" si="524"/>
        <v>#N/A</v>
      </c>
      <c r="X458" s="566">
        <v>1</v>
      </c>
      <c r="Y458" s="594">
        <v>7.0000000000000001E-3</v>
      </c>
      <c r="Z458" s="170" t="e">
        <f t="shared" ca="1" si="512"/>
        <v>#N/A</v>
      </c>
      <c r="AA458" s="508" t="e">
        <f t="shared" ca="1" si="513"/>
        <v>#N/A</v>
      </c>
      <c r="AC458" s="512">
        <v>9</v>
      </c>
      <c r="AD458" s="516" t="s">
        <v>2288</v>
      </c>
      <c r="AE458" s="529" t="s">
        <v>2444</v>
      </c>
      <c r="AF458" s="508" t="str">
        <f t="shared" ca="1" si="536"/>
        <v>T3部件</v>
      </c>
      <c r="AG458" s="508">
        <v>1</v>
      </c>
      <c r="AH458" s="633">
        <v>6.0000000000000001E-3</v>
      </c>
      <c r="AI458" s="170" t="e">
        <f t="shared" ca="1" si="525"/>
        <v>#VALUE!</v>
      </c>
      <c r="AJ458" s="508" t="e">
        <f t="shared" ca="1" si="526"/>
        <v>#VALUE!</v>
      </c>
      <c r="AL458" s="512">
        <v>9</v>
      </c>
      <c r="AM458" s="516" t="s">
        <v>2261</v>
      </c>
      <c r="AN458" s="529" t="s">
        <v>2444</v>
      </c>
      <c r="AO458" s="508" t="str">
        <f t="shared" ca="1" si="543"/>
        <v>T2部件</v>
      </c>
      <c r="AP458" s="600">
        <v>1</v>
      </c>
      <c r="AQ458" s="625">
        <v>6.4999999999999997E-3</v>
      </c>
      <c r="AR458" s="170" t="e">
        <f t="shared" ca="1" si="537"/>
        <v>#VALUE!</v>
      </c>
      <c r="AS458" s="508" t="e">
        <f t="shared" ca="1" si="538"/>
        <v>#VALUE!</v>
      </c>
      <c r="AU458" s="512">
        <v>9</v>
      </c>
      <c r="AV458" s="516" t="s">
        <v>2244</v>
      </c>
      <c r="AW458" s="529" t="s">
        <v>2452</v>
      </c>
      <c r="AX458" s="508">
        <f t="shared" ca="1" si="532"/>
        <v>8.1</v>
      </c>
      <c r="AY458" s="632">
        <v>2</v>
      </c>
      <c r="AZ458" s="632">
        <v>6.0000000000000001E-3</v>
      </c>
      <c r="BA458" s="170">
        <f t="shared" ca="1" si="533"/>
        <v>2.4074074074074078E-2</v>
      </c>
      <c r="BB458" s="508">
        <f t="shared" ca="1" si="534"/>
        <v>241</v>
      </c>
      <c r="BD458" s="512">
        <v>9</v>
      </c>
      <c r="BE458" s="516" t="s">
        <v>2244</v>
      </c>
      <c r="BF458" s="529" t="s">
        <v>2452</v>
      </c>
      <c r="BG458" s="508">
        <f t="shared" ca="1" si="535"/>
        <v>8.1</v>
      </c>
      <c r="BH458" s="615">
        <v>5.5</v>
      </c>
      <c r="BI458" s="615">
        <v>4.4999999999999997E-3</v>
      </c>
      <c r="BJ458" s="170">
        <f t="shared" ca="1" si="539"/>
        <v>1.48989898989899E-2</v>
      </c>
      <c r="BK458" s="379">
        <f t="shared" ca="1" si="540"/>
        <v>149</v>
      </c>
      <c r="BM458" s="512">
        <v>10</v>
      </c>
      <c r="BN458" s="525" t="s">
        <v>2293</v>
      </c>
      <c r="BO458" s="530" t="s">
        <v>2200</v>
      </c>
      <c r="BP458" s="508" t="str">
        <f t="shared" ca="1" si="531"/>
        <v>T3部件</v>
      </c>
      <c r="BQ458" s="615">
        <v>1.5</v>
      </c>
      <c r="BR458" s="615">
        <v>6.0000000000000001E-3</v>
      </c>
      <c r="BS458" s="170" t="e">
        <f t="shared" ca="1" si="505"/>
        <v>#VALUE!</v>
      </c>
      <c r="BT458" s="508" t="e">
        <f t="shared" ca="1" si="506"/>
        <v>#VALUE!</v>
      </c>
    </row>
    <row r="459" spans="2:81" x14ac:dyDescent="0.35">
      <c r="B459" s="512">
        <v>9</v>
      </c>
      <c r="C459" s="516" t="s">
        <v>2300</v>
      </c>
      <c r="D459" s="529" t="s">
        <v>2444</v>
      </c>
      <c r="E459" s="508" t="e">
        <f t="shared" ref="E459:E464" ca="1" si="544">IF(D459="部件",VLOOKUP(B459,INDIRECT(D459&amp;"价值"),MATCH(LEFT(C459,2)&amp;"部件",INDIRECT(D459&amp;"价值标头"),0),FALSE),IF(D459="加速道具",VLOOKUP(C459,INDIRECT(D459&amp;"价值"),MATCH("价格",INDIRECT(D459&amp;"价值标头"),0),FALSE),VLOOKUP(B459,INDIRECT(D459&amp;"价值"),MATCH(C459,INDIRECT(D459&amp;"价值标头"),0),FALSE)))</f>
        <v>#N/A</v>
      </c>
      <c r="F459" s="594">
        <v>1</v>
      </c>
      <c r="G459" s="565">
        <v>4.1000000000000003E-3</v>
      </c>
      <c r="H459" s="170" t="e">
        <f t="shared" ca="1" si="481"/>
        <v>#N/A</v>
      </c>
      <c r="I459" s="508" t="e">
        <f t="shared" ca="1" si="482"/>
        <v>#N/A</v>
      </c>
      <c r="K459" s="512">
        <v>9</v>
      </c>
      <c r="L459" s="516" t="s">
        <v>2300</v>
      </c>
      <c r="M459" s="529" t="s">
        <v>2444</v>
      </c>
      <c r="N459" s="508" t="e">
        <f t="shared" ref="N459:N464" ca="1" si="545">IF(M459="部件",VLOOKUP(K459,INDIRECT(M459&amp;"价值"),MATCH(LEFT(L459,2)&amp;"部件",INDIRECT(M459&amp;"价值标头"),0),FALSE),IF(M459="加速道具",VLOOKUP(L459,INDIRECT(M459&amp;"价值"),MATCH("价格",INDIRECT(M459&amp;"价值标头"),0),FALSE),VLOOKUP(K459,INDIRECT(M459&amp;"价值"),MATCH(L459,INDIRECT(M459&amp;"价值标头"),0),FALSE)))</f>
        <v>#N/A</v>
      </c>
      <c r="O459" s="566">
        <v>1</v>
      </c>
      <c r="P459" s="633">
        <v>7.0000000000000001E-3</v>
      </c>
      <c r="Q459" s="170" t="e">
        <f t="shared" ca="1" si="510"/>
        <v>#N/A</v>
      </c>
      <c r="R459" s="508" t="e">
        <f t="shared" ca="1" si="511"/>
        <v>#N/A</v>
      </c>
      <c r="T459" s="512">
        <v>9</v>
      </c>
      <c r="U459" s="516" t="s">
        <v>2300</v>
      </c>
      <c r="V459" s="529" t="s">
        <v>2444</v>
      </c>
      <c r="W459" s="508" t="e">
        <f t="shared" ref="W459:W464" ca="1" si="546">IF(V459="部件",VLOOKUP(T459,INDIRECT(V459&amp;"价值"),MATCH(LEFT(U459,2)&amp;"部件",INDIRECT(V459&amp;"价值标头"),0),FALSE),IF(V459="加速道具",VLOOKUP(U459,INDIRECT(V459&amp;"价值"),MATCH("价格",INDIRECT(V459&amp;"价值标头"),0),FALSE),VLOOKUP(T459,INDIRECT(V459&amp;"价值"),MATCH(U459,INDIRECT(V459&amp;"价值标头"),0),FALSE)))</f>
        <v>#N/A</v>
      </c>
      <c r="X459" s="566">
        <v>1</v>
      </c>
      <c r="Y459" s="594">
        <v>7.0000000000000001E-3</v>
      </c>
      <c r="Z459" s="170" t="e">
        <f t="shared" ca="1" si="512"/>
        <v>#N/A</v>
      </c>
      <c r="AA459" s="508" t="e">
        <f t="shared" ca="1" si="513"/>
        <v>#N/A</v>
      </c>
      <c r="AC459" s="512">
        <v>9</v>
      </c>
      <c r="AD459" s="512" t="s">
        <v>2290</v>
      </c>
      <c r="AE459" s="529" t="s">
        <v>2444</v>
      </c>
      <c r="AF459" s="508" t="str">
        <f t="shared" ca="1" si="536"/>
        <v>T3部件</v>
      </c>
      <c r="AG459" s="508">
        <v>1</v>
      </c>
      <c r="AH459" s="633">
        <v>6.0000000000000001E-3</v>
      </c>
      <c r="AI459" s="170" t="e">
        <f t="shared" ca="1" si="525"/>
        <v>#VALUE!</v>
      </c>
      <c r="AJ459" s="508" t="e">
        <f t="shared" ca="1" si="526"/>
        <v>#VALUE!</v>
      </c>
      <c r="AL459" s="512">
        <v>9</v>
      </c>
      <c r="AM459" s="516" t="s">
        <v>2263</v>
      </c>
      <c r="AN459" s="529" t="s">
        <v>2444</v>
      </c>
      <c r="AO459" s="508" t="str">
        <f t="shared" ca="1" si="543"/>
        <v>T2部件</v>
      </c>
      <c r="AP459" s="600">
        <v>1</v>
      </c>
      <c r="AQ459" s="625">
        <v>6.4999999999999997E-3</v>
      </c>
      <c r="AR459" s="170" t="e">
        <f t="shared" ca="1" si="537"/>
        <v>#VALUE!</v>
      </c>
      <c r="AS459" s="508" t="e">
        <f t="shared" ca="1" si="538"/>
        <v>#VALUE!</v>
      </c>
      <c r="AU459" s="512">
        <v>9</v>
      </c>
      <c r="AV459" s="516" t="s">
        <v>2246</v>
      </c>
      <c r="AW459" s="529" t="s">
        <v>2452</v>
      </c>
      <c r="AX459" s="508">
        <f t="shared" ca="1" si="532"/>
        <v>8.1</v>
      </c>
      <c r="AY459" s="632">
        <v>2</v>
      </c>
      <c r="AZ459" s="632">
        <v>6.0000000000000001E-3</v>
      </c>
      <c r="BA459" s="170">
        <f t="shared" ca="1" si="533"/>
        <v>2.4074074074074078E-2</v>
      </c>
      <c r="BB459" s="508">
        <f t="shared" ca="1" si="534"/>
        <v>241</v>
      </c>
      <c r="BD459" s="512">
        <v>9</v>
      </c>
      <c r="BE459" s="516" t="s">
        <v>2246</v>
      </c>
      <c r="BF459" s="529" t="s">
        <v>2452</v>
      </c>
      <c r="BG459" s="508">
        <f t="shared" ca="1" si="535"/>
        <v>8.1</v>
      </c>
      <c r="BH459" s="615">
        <v>5.5</v>
      </c>
      <c r="BI459" s="615">
        <v>4.4999999999999997E-3</v>
      </c>
      <c r="BJ459" s="170">
        <f t="shared" ca="1" si="539"/>
        <v>1.48989898989899E-2</v>
      </c>
      <c r="BK459" s="379">
        <f t="shared" ca="1" si="540"/>
        <v>149</v>
      </c>
      <c r="BM459" s="512">
        <v>10</v>
      </c>
      <c r="BN459" s="527" t="s">
        <v>2294</v>
      </c>
      <c r="BO459" s="530" t="s">
        <v>2200</v>
      </c>
      <c r="BP459" s="508" t="e">
        <f t="shared" ca="1" si="531"/>
        <v>#N/A</v>
      </c>
      <c r="BQ459" s="508">
        <v>1</v>
      </c>
      <c r="BR459" s="605">
        <v>5.1999999999999998E-3</v>
      </c>
      <c r="BS459" s="170" t="e">
        <f t="shared" ca="1" si="505"/>
        <v>#N/A</v>
      </c>
      <c r="BT459" s="508" t="e">
        <f t="shared" ca="1" si="506"/>
        <v>#N/A</v>
      </c>
    </row>
    <row r="460" spans="2:81" x14ac:dyDescent="0.35">
      <c r="B460" s="512">
        <v>9</v>
      </c>
      <c r="C460" s="516" t="s">
        <v>2302</v>
      </c>
      <c r="D460" s="529" t="s">
        <v>2444</v>
      </c>
      <c r="E460" s="508" t="e">
        <f t="shared" ca="1" si="544"/>
        <v>#N/A</v>
      </c>
      <c r="F460" s="594">
        <v>1</v>
      </c>
      <c r="G460" s="565">
        <v>4.1000000000000003E-3</v>
      </c>
      <c r="H460" s="170" t="e">
        <f t="shared" ca="1" si="481"/>
        <v>#N/A</v>
      </c>
      <c r="I460" s="508" t="e">
        <f t="shared" ca="1" si="482"/>
        <v>#N/A</v>
      </c>
      <c r="K460" s="512">
        <v>9</v>
      </c>
      <c r="L460" s="516" t="s">
        <v>2302</v>
      </c>
      <c r="M460" s="529" t="s">
        <v>2444</v>
      </c>
      <c r="N460" s="508" t="e">
        <f t="shared" ca="1" si="545"/>
        <v>#N/A</v>
      </c>
      <c r="O460" s="566">
        <v>1</v>
      </c>
      <c r="P460" s="633">
        <v>7.0000000000000001E-3</v>
      </c>
      <c r="Q460" s="170" t="e">
        <f t="shared" ca="1" si="510"/>
        <v>#N/A</v>
      </c>
      <c r="R460" s="508" t="e">
        <f t="shared" ca="1" si="511"/>
        <v>#N/A</v>
      </c>
      <c r="T460" s="512">
        <v>9</v>
      </c>
      <c r="U460" s="516" t="s">
        <v>2302</v>
      </c>
      <c r="V460" s="529" t="s">
        <v>2444</v>
      </c>
      <c r="W460" s="508" t="e">
        <f t="shared" ca="1" si="546"/>
        <v>#N/A</v>
      </c>
      <c r="X460" s="566">
        <v>1</v>
      </c>
      <c r="Y460" s="594">
        <v>7.0000000000000001E-3</v>
      </c>
      <c r="Z460" s="170" t="e">
        <f t="shared" ca="1" si="512"/>
        <v>#N/A</v>
      </c>
      <c r="AA460" s="508" t="e">
        <f t="shared" ca="1" si="513"/>
        <v>#N/A</v>
      </c>
      <c r="AC460" s="512">
        <v>9</v>
      </c>
      <c r="AD460" s="512" t="s">
        <v>2292</v>
      </c>
      <c r="AE460" s="529" t="s">
        <v>2444</v>
      </c>
      <c r="AF460" s="508" t="str">
        <f t="shared" ca="1" si="536"/>
        <v>T3部件</v>
      </c>
      <c r="AG460" s="508">
        <v>1</v>
      </c>
      <c r="AH460" s="633">
        <v>6.0000000000000001E-3</v>
      </c>
      <c r="AI460" s="170" t="e">
        <f t="shared" ca="1" si="525"/>
        <v>#VALUE!</v>
      </c>
      <c r="AJ460" s="508" t="e">
        <f t="shared" ca="1" si="526"/>
        <v>#VALUE!</v>
      </c>
      <c r="AL460" s="512">
        <v>9</v>
      </c>
      <c r="AM460" s="516" t="s">
        <v>2265</v>
      </c>
      <c r="AN460" s="529" t="s">
        <v>2444</v>
      </c>
      <c r="AO460" s="508" t="str">
        <f t="shared" ca="1" si="543"/>
        <v>T2部件</v>
      </c>
      <c r="AP460" s="600">
        <v>1</v>
      </c>
      <c r="AQ460" s="625">
        <v>6.4999999999999997E-3</v>
      </c>
      <c r="AR460" s="170" t="e">
        <f t="shared" ca="1" si="537"/>
        <v>#VALUE!</v>
      </c>
      <c r="AS460" s="508" t="e">
        <f t="shared" ca="1" si="538"/>
        <v>#VALUE!</v>
      </c>
      <c r="AU460" s="512">
        <v>9</v>
      </c>
      <c r="AV460" s="516" t="s">
        <v>2248</v>
      </c>
      <c r="AW460" s="529" t="s">
        <v>2452</v>
      </c>
      <c r="AX460" s="508">
        <f t="shared" ca="1" si="532"/>
        <v>8.1</v>
      </c>
      <c r="AY460" s="632">
        <v>2</v>
      </c>
      <c r="AZ460" s="632">
        <v>6.0000000000000001E-3</v>
      </c>
      <c r="BA460" s="170">
        <f t="shared" ca="1" si="533"/>
        <v>2.4074074074074078E-2</v>
      </c>
      <c r="BB460" s="508">
        <f t="shared" ca="1" si="534"/>
        <v>241</v>
      </c>
      <c r="BD460" s="512">
        <v>9</v>
      </c>
      <c r="BE460" s="516" t="s">
        <v>2248</v>
      </c>
      <c r="BF460" s="529" t="s">
        <v>2452</v>
      </c>
      <c r="BG460" s="508">
        <f t="shared" ca="1" si="535"/>
        <v>8.1</v>
      </c>
      <c r="BH460" s="615">
        <v>5.5</v>
      </c>
      <c r="BI460" s="615">
        <v>4.4999999999999997E-3</v>
      </c>
      <c r="BJ460" s="170">
        <f t="shared" ca="1" si="539"/>
        <v>1.48989898989899E-2</v>
      </c>
      <c r="BK460" s="379">
        <f t="shared" ca="1" si="540"/>
        <v>149</v>
      </c>
      <c r="BM460" s="512">
        <v>10</v>
      </c>
      <c r="BN460" s="527" t="s">
        <v>2296</v>
      </c>
      <c r="BO460" s="530" t="s">
        <v>2200</v>
      </c>
      <c r="BP460" s="508" t="e">
        <f t="shared" ca="1" si="531"/>
        <v>#N/A</v>
      </c>
      <c r="BQ460" s="508">
        <v>1</v>
      </c>
      <c r="BR460" s="605">
        <v>5.1999999999999998E-3</v>
      </c>
      <c r="BS460" s="170" t="e">
        <f t="shared" ca="1" si="505"/>
        <v>#N/A</v>
      </c>
      <c r="BT460" s="508" t="e">
        <f t="shared" ca="1" si="506"/>
        <v>#N/A</v>
      </c>
    </row>
    <row r="461" spans="2:81" x14ac:dyDescent="0.35">
      <c r="B461" s="512">
        <v>9</v>
      </c>
      <c r="C461" s="516" t="s">
        <v>2304</v>
      </c>
      <c r="D461" s="529" t="s">
        <v>2444</v>
      </c>
      <c r="E461" s="508" t="e">
        <f t="shared" ca="1" si="544"/>
        <v>#N/A</v>
      </c>
      <c r="F461" s="594">
        <v>1</v>
      </c>
      <c r="G461" s="565">
        <v>4.1000000000000003E-3</v>
      </c>
      <c r="H461" s="170" t="e">
        <f t="shared" ca="1" si="481"/>
        <v>#N/A</v>
      </c>
      <c r="I461" s="508" t="e">
        <f t="shared" ca="1" si="482"/>
        <v>#N/A</v>
      </c>
      <c r="K461" s="512">
        <v>9</v>
      </c>
      <c r="L461" s="516" t="s">
        <v>2304</v>
      </c>
      <c r="M461" s="529" t="s">
        <v>2444</v>
      </c>
      <c r="N461" s="508" t="e">
        <f t="shared" ca="1" si="545"/>
        <v>#N/A</v>
      </c>
      <c r="O461" s="566">
        <v>1</v>
      </c>
      <c r="P461" s="633">
        <v>7.0000000000000001E-3</v>
      </c>
      <c r="Q461" s="170" t="e">
        <f t="shared" ca="1" si="510"/>
        <v>#N/A</v>
      </c>
      <c r="R461" s="508" t="e">
        <f t="shared" ca="1" si="511"/>
        <v>#N/A</v>
      </c>
      <c r="T461" s="512">
        <v>9</v>
      </c>
      <c r="U461" s="516" t="s">
        <v>2304</v>
      </c>
      <c r="V461" s="529" t="s">
        <v>2444</v>
      </c>
      <c r="W461" s="508" t="e">
        <f t="shared" ca="1" si="546"/>
        <v>#N/A</v>
      </c>
      <c r="X461" s="566">
        <v>1</v>
      </c>
      <c r="Y461" s="594">
        <v>7.0000000000000001E-3</v>
      </c>
      <c r="Z461" s="170" t="e">
        <f t="shared" ca="1" si="512"/>
        <v>#N/A</v>
      </c>
      <c r="AA461" s="508" t="e">
        <f t="shared" ca="1" si="513"/>
        <v>#N/A</v>
      </c>
      <c r="AC461" s="512">
        <v>9</v>
      </c>
      <c r="AD461" s="516" t="s">
        <v>2277</v>
      </c>
      <c r="AE461" s="529" t="s">
        <v>2444</v>
      </c>
      <c r="AF461" s="508" t="str">
        <f t="shared" ca="1" si="536"/>
        <v>T3部件</v>
      </c>
      <c r="AG461" s="508">
        <v>1</v>
      </c>
      <c r="AH461" s="633">
        <v>6.0000000000000001E-3</v>
      </c>
      <c r="AI461" s="170" t="e">
        <f t="shared" ca="1" si="525"/>
        <v>#VALUE!</v>
      </c>
      <c r="AJ461" s="508" t="e">
        <f t="shared" ca="1" si="526"/>
        <v>#VALUE!</v>
      </c>
      <c r="AL461" s="512">
        <v>9</v>
      </c>
      <c r="AM461" s="516" t="s">
        <v>2267</v>
      </c>
      <c r="AN461" s="529" t="s">
        <v>2444</v>
      </c>
      <c r="AO461" s="508" t="str">
        <f t="shared" ca="1" si="543"/>
        <v>T2部件</v>
      </c>
      <c r="AP461" s="600">
        <v>1</v>
      </c>
      <c r="AQ461" s="625">
        <v>6.4999999999999997E-3</v>
      </c>
      <c r="AR461" s="170" t="e">
        <f t="shared" ca="1" si="537"/>
        <v>#VALUE!</v>
      </c>
      <c r="AS461" s="508" t="e">
        <f t="shared" ca="1" si="538"/>
        <v>#VALUE!</v>
      </c>
      <c r="AU461" s="512">
        <v>9</v>
      </c>
      <c r="AV461" s="516" t="s">
        <v>2250</v>
      </c>
      <c r="AW461" s="529" t="s">
        <v>2452</v>
      </c>
      <c r="AX461" s="508">
        <f t="shared" ca="1" si="532"/>
        <v>8.1</v>
      </c>
      <c r="AY461" s="632">
        <v>2</v>
      </c>
      <c r="AZ461" s="632">
        <v>6.0000000000000001E-3</v>
      </c>
      <c r="BA461" s="170">
        <f t="shared" ca="1" si="533"/>
        <v>2.4074074074074078E-2</v>
      </c>
      <c r="BB461" s="508">
        <f t="shared" ca="1" si="534"/>
        <v>241</v>
      </c>
      <c r="BD461" s="512">
        <v>9</v>
      </c>
      <c r="BE461" s="516" t="s">
        <v>2250</v>
      </c>
      <c r="BF461" s="529" t="s">
        <v>2452</v>
      </c>
      <c r="BG461" s="508">
        <f t="shared" ca="1" si="535"/>
        <v>8.1</v>
      </c>
      <c r="BH461" s="615">
        <v>5.5</v>
      </c>
      <c r="BI461" s="615">
        <v>4.4999999999999997E-3</v>
      </c>
      <c r="BJ461" s="170">
        <f t="shared" ca="1" si="539"/>
        <v>1.48989898989899E-2</v>
      </c>
      <c r="BK461" s="379">
        <f t="shared" ca="1" si="540"/>
        <v>149</v>
      </c>
      <c r="BM461" s="512">
        <v>10</v>
      </c>
      <c r="BN461" s="527" t="s">
        <v>2298</v>
      </c>
      <c r="BO461" s="530" t="s">
        <v>2200</v>
      </c>
      <c r="BP461" s="508" t="e">
        <f t="shared" ca="1" si="531"/>
        <v>#N/A</v>
      </c>
      <c r="BQ461" s="508">
        <v>1</v>
      </c>
      <c r="BR461" s="605">
        <v>5.1999999999999998E-3</v>
      </c>
      <c r="BS461" s="170" t="e">
        <f ca="1">BR461*BN$4/BP461/BQ461</f>
        <v>#N/A</v>
      </c>
      <c r="BT461" s="508" t="e">
        <f ca="1">ROUND(BS461*10000,0)</f>
        <v>#N/A</v>
      </c>
    </row>
    <row r="462" spans="2:81" x14ac:dyDescent="0.35">
      <c r="B462" s="512">
        <v>9</v>
      </c>
      <c r="C462" s="516" t="s">
        <v>2306</v>
      </c>
      <c r="D462" s="529" t="s">
        <v>2444</v>
      </c>
      <c r="E462" s="508" t="e">
        <f t="shared" ca="1" si="544"/>
        <v>#N/A</v>
      </c>
      <c r="F462" s="594">
        <v>1</v>
      </c>
      <c r="G462" s="565">
        <v>4.1000000000000003E-3</v>
      </c>
      <c r="H462" s="170" t="e">
        <f t="shared" ca="1" si="481"/>
        <v>#N/A</v>
      </c>
      <c r="I462" s="508" t="e">
        <f t="shared" ca="1" si="482"/>
        <v>#N/A</v>
      </c>
      <c r="K462" s="512">
        <v>9</v>
      </c>
      <c r="L462" s="516" t="s">
        <v>2306</v>
      </c>
      <c r="M462" s="529" t="s">
        <v>2444</v>
      </c>
      <c r="N462" s="508" t="e">
        <f t="shared" ca="1" si="545"/>
        <v>#N/A</v>
      </c>
      <c r="O462" s="566">
        <v>1</v>
      </c>
      <c r="P462" s="633">
        <v>7.0000000000000001E-3</v>
      </c>
      <c r="Q462" s="170" t="e">
        <f t="shared" ca="1" si="510"/>
        <v>#N/A</v>
      </c>
      <c r="R462" s="508" t="e">
        <f t="shared" ca="1" si="511"/>
        <v>#N/A</v>
      </c>
      <c r="T462" s="512">
        <v>9</v>
      </c>
      <c r="U462" s="516" t="s">
        <v>2306</v>
      </c>
      <c r="V462" s="529" t="s">
        <v>2444</v>
      </c>
      <c r="W462" s="508" t="e">
        <f t="shared" ca="1" si="546"/>
        <v>#N/A</v>
      </c>
      <c r="X462" s="566">
        <v>1</v>
      </c>
      <c r="Y462" s="594">
        <v>7.0000000000000001E-3</v>
      </c>
      <c r="Z462" s="170" t="e">
        <f t="shared" ca="1" si="512"/>
        <v>#N/A</v>
      </c>
      <c r="AA462" s="508" t="e">
        <f t="shared" ca="1" si="513"/>
        <v>#N/A</v>
      </c>
      <c r="AC462" s="512">
        <v>9</v>
      </c>
      <c r="AD462" s="516" t="s">
        <v>2279</v>
      </c>
      <c r="AE462" s="529" t="s">
        <v>2444</v>
      </c>
      <c r="AF462" s="508" t="str">
        <f t="shared" ca="1" si="536"/>
        <v>T3部件</v>
      </c>
      <c r="AG462" s="508">
        <v>1</v>
      </c>
      <c r="AH462" s="633">
        <v>6.0000000000000001E-3</v>
      </c>
      <c r="AI462" s="170" t="e">
        <f t="shared" ca="1" si="525"/>
        <v>#VALUE!</v>
      </c>
      <c r="AJ462" s="508" t="e">
        <f t="shared" ca="1" si="526"/>
        <v>#VALUE!</v>
      </c>
      <c r="AL462" s="512">
        <v>9</v>
      </c>
      <c r="AM462" s="516" t="s">
        <v>2269</v>
      </c>
      <c r="AN462" s="529" t="s">
        <v>2444</v>
      </c>
      <c r="AO462" s="508" t="str">
        <f t="shared" ca="1" si="543"/>
        <v>T2部件</v>
      </c>
      <c r="AP462" s="600">
        <v>1</v>
      </c>
      <c r="AQ462" s="625">
        <v>6.4999999999999997E-3</v>
      </c>
      <c r="AR462" s="170" t="e">
        <f t="shared" ca="1" si="537"/>
        <v>#VALUE!</v>
      </c>
      <c r="AS462" s="508" t="e">
        <f t="shared" ca="1" si="538"/>
        <v>#VALUE!</v>
      </c>
      <c r="AU462" s="512">
        <v>9</v>
      </c>
      <c r="AV462" s="516" t="s">
        <v>2252</v>
      </c>
      <c r="AW462" s="529" t="s">
        <v>2452</v>
      </c>
      <c r="AX462" s="508">
        <f t="shared" ca="1" si="532"/>
        <v>8.1</v>
      </c>
      <c r="AY462" s="632">
        <v>2</v>
      </c>
      <c r="AZ462" s="632">
        <v>6.0000000000000001E-3</v>
      </c>
      <c r="BA462" s="170">
        <f t="shared" ca="1" si="533"/>
        <v>2.4074074074074078E-2</v>
      </c>
      <c r="BB462" s="508">
        <f t="shared" ca="1" si="534"/>
        <v>241</v>
      </c>
      <c r="BD462" s="512">
        <v>9</v>
      </c>
      <c r="BE462" s="516" t="s">
        <v>2252</v>
      </c>
      <c r="BF462" s="529" t="s">
        <v>2452</v>
      </c>
      <c r="BG462" s="508">
        <f t="shared" ca="1" si="535"/>
        <v>8.1</v>
      </c>
      <c r="BH462" s="615">
        <v>5.5</v>
      </c>
      <c r="BI462" s="615">
        <v>4.4999999999999997E-3</v>
      </c>
      <c r="BJ462" s="170">
        <f t="shared" ca="1" si="539"/>
        <v>1.48989898989899E-2</v>
      </c>
      <c r="BK462" s="379">
        <f t="shared" ca="1" si="540"/>
        <v>149</v>
      </c>
      <c r="BM462" s="512">
        <v>10</v>
      </c>
      <c r="BN462" s="527" t="s">
        <v>2300</v>
      </c>
      <c r="BO462" s="530" t="s">
        <v>2200</v>
      </c>
      <c r="BP462" s="508" t="e">
        <f t="shared" ca="1" si="531"/>
        <v>#N/A</v>
      </c>
      <c r="BQ462" s="508">
        <v>1</v>
      </c>
      <c r="BR462" s="605">
        <v>5.1999999999999998E-3</v>
      </c>
      <c r="BS462" s="170" t="e">
        <f t="shared" ref="BS462:BS476" ca="1" si="547">BR462*BN$4/BP462/BQ462</f>
        <v>#N/A</v>
      </c>
      <c r="BT462" s="523" t="e">
        <f t="shared" ref="BT462:BT476" ca="1" si="548">ROUND(BS462*10000,0)</f>
        <v>#N/A</v>
      </c>
    </row>
    <row r="463" spans="2:81" x14ac:dyDescent="0.35">
      <c r="B463" s="512">
        <v>9</v>
      </c>
      <c r="C463" s="512" t="s">
        <v>2308</v>
      </c>
      <c r="D463" s="529" t="s">
        <v>2444</v>
      </c>
      <c r="E463" s="508" t="e">
        <f t="shared" ca="1" si="544"/>
        <v>#N/A</v>
      </c>
      <c r="F463" s="594">
        <v>1</v>
      </c>
      <c r="G463" s="565">
        <v>4.1000000000000003E-3</v>
      </c>
      <c r="H463" s="170" t="e">
        <f t="shared" ca="1" si="481"/>
        <v>#N/A</v>
      </c>
      <c r="I463" s="508" t="e">
        <f t="shared" ca="1" si="482"/>
        <v>#N/A</v>
      </c>
      <c r="K463" s="512">
        <v>9</v>
      </c>
      <c r="L463" s="512" t="s">
        <v>2308</v>
      </c>
      <c r="M463" s="529" t="s">
        <v>2444</v>
      </c>
      <c r="N463" s="508" t="e">
        <f t="shared" ca="1" si="545"/>
        <v>#N/A</v>
      </c>
      <c r="O463" s="566">
        <v>1</v>
      </c>
      <c r="P463" s="633">
        <v>7.0000000000000001E-3</v>
      </c>
      <c r="Q463" s="170" t="e">
        <f t="shared" ca="1" si="510"/>
        <v>#N/A</v>
      </c>
      <c r="R463" s="508" t="e">
        <f t="shared" ca="1" si="511"/>
        <v>#N/A</v>
      </c>
      <c r="T463" s="512">
        <v>9</v>
      </c>
      <c r="U463" s="512" t="s">
        <v>2308</v>
      </c>
      <c r="V463" s="529" t="s">
        <v>2444</v>
      </c>
      <c r="W463" s="508" t="e">
        <f t="shared" ca="1" si="546"/>
        <v>#N/A</v>
      </c>
      <c r="X463" s="566">
        <v>1</v>
      </c>
      <c r="Y463" s="594">
        <v>7.0000000000000001E-3</v>
      </c>
      <c r="Z463" s="170" t="e">
        <f t="shared" ca="1" si="512"/>
        <v>#N/A</v>
      </c>
      <c r="AA463" s="508" t="e">
        <f t="shared" ca="1" si="513"/>
        <v>#N/A</v>
      </c>
      <c r="AC463" s="512">
        <v>9</v>
      </c>
      <c r="AD463" s="516" t="s">
        <v>2281</v>
      </c>
      <c r="AE463" s="529" t="s">
        <v>2444</v>
      </c>
      <c r="AF463" s="508" t="str">
        <f t="shared" ca="1" si="536"/>
        <v>T3部件</v>
      </c>
      <c r="AG463" s="508">
        <v>1</v>
      </c>
      <c r="AH463" s="633">
        <v>6.0000000000000001E-3</v>
      </c>
      <c r="AI463" s="170" t="e">
        <f t="shared" ca="1" si="525"/>
        <v>#VALUE!</v>
      </c>
      <c r="AJ463" s="508" t="e">
        <f t="shared" ca="1" si="526"/>
        <v>#VALUE!</v>
      </c>
      <c r="AL463" s="512">
        <v>9</v>
      </c>
      <c r="AM463" s="516" t="s">
        <v>2271</v>
      </c>
      <c r="AN463" s="529" t="s">
        <v>2444</v>
      </c>
      <c r="AO463" s="508" t="str">
        <f t="shared" ca="1" si="543"/>
        <v>T2部件</v>
      </c>
      <c r="AP463" s="600">
        <v>1</v>
      </c>
      <c r="AQ463" s="625">
        <v>6.4999999999999997E-3</v>
      </c>
      <c r="AR463" s="170" t="e">
        <f t="shared" ca="1" si="537"/>
        <v>#VALUE!</v>
      </c>
      <c r="AS463" s="508" t="e">
        <f t="shared" ca="1" si="538"/>
        <v>#VALUE!</v>
      </c>
      <c r="AU463" s="512">
        <v>9</v>
      </c>
      <c r="AV463" s="512" t="s">
        <v>2254</v>
      </c>
      <c r="AW463" s="529" t="s">
        <v>2452</v>
      </c>
      <c r="AX463" s="508">
        <f t="shared" ca="1" si="532"/>
        <v>8.1</v>
      </c>
      <c r="AY463" s="632">
        <v>2</v>
      </c>
      <c r="AZ463" s="632">
        <v>6.0000000000000001E-3</v>
      </c>
      <c r="BA463" s="170">
        <f t="shared" ca="1" si="533"/>
        <v>2.4074074074074078E-2</v>
      </c>
      <c r="BB463" s="508">
        <f t="shared" ca="1" si="534"/>
        <v>241</v>
      </c>
      <c r="BD463" s="512">
        <v>9</v>
      </c>
      <c r="BE463" s="512" t="s">
        <v>2254</v>
      </c>
      <c r="BF463" s="529" t="s">
        <v>2452</v>
      </c>
      <c r="BG463" s="508">
        <f t="shared" ca="1" si="535"/>
        <v>8.1</v>
      </c>
      <c r="BH463" s="615">
        <v>5.5</v>
      </c>
      <c r="BI463" s="615">
        <v>4.4999999999999997E-3</v>
      </c>
      <c r="BJ463" s="170">
        <f t="shared" ca="1" si="539"/>
        <v>1.48989898989899E-2</v>
      </c>
      <c r="BK463" s="379">
        <f t="shared" ca="1" si="540"/>
        <v>149</v>
      </c>
      <c r="BM463" s="512">
        <v>10</v>
      </c>
      <c r="BN463" s="527" t="s">
        <v>2302</v>
      </c>
      <c r="BO463" s="530" t="s">
        <v>2200</v>
      </c>
      <c r="BP463" s="508" t="e">
        <f t="shared" ca="1" si="531"/>
        <v>#N/A</v>
      </c>
      <c r="BQ463" s="508">
        <v>1</v>
      </c>
      <c r="BR463" s="605">
        <v>5.1999999999999998E-3</v>
      </c>
      <c r="BS463" s="170" t="e">
        <f t="shared" ca="1" si="547"/>
        <v>#N/A</v>
      </c>
      <c r="BT463" s="523" t="e">
        <f t="shared" ca="1" si="548"/>
        <v>#N/A</v>
      </c>
    </row>
    <row r="464" spans="2:81" x14ac:dyDescent="0.35">
      <c r="B464" s="512">
        <v>9</v>
      </c>
      <c r="C464" s="512" t="s">
        <v>2310</v>
      </c>
      <c r="D464" s="529" t="s">
        <v>2444</v>
      </c>
      <c r="E464" s="508" t="e">
        <f t="shared" ca="1" si="544"/>
        <v>#N/A</v>
      </c>
      <c r="F464" s="594">
        <v>1</v>
      </c>
      <c r="G464" s="508">
        <v>4.1000000000000003E-3</v>
      </c>
      <c r="H464" s="170" t="e">
        <f t="shared" ca="1" si="481"/>
        <v>#N/A</v>
      </c>
      <c r="I464" s="508" t="e">
        <f t="shared" ca="1" si="482"/>
        <v>#N/A</v>
      </c>
      <c r="K464" s="512">
        <v>9</v>
      </c>
      <c r="L464" s="512" t="s">
        <v>2310</v>
      </c>
      <c r="M464" s="529" t="s">
        <v>2444</v>
      </c>
      <c r="N464" s="508" t="e">
        <f t="shared" ca="1" si="545"/>
        <v>#N/A</v>
      </c>
      <c r="O464" s="566">
        <v>1</v>
      </c>
      <c r="P464" s="633">
        <v>7.0000000000000001E-3</v>
      </c>
      <c r="Q464" s="170" t="e">
        <f t="shared" ca="1" si="510"/>
        <v>#N/A</v>
      </c>
      <c r="R464" s="508" t="e">
        <f t="shared" ca="1" si="511"/>
        <v>#N/A</v>
      </c>
      <c r="T464" s="512">
        <v>9</v>
      </c>
      <c r="U464" s="512" t="s">
        <v>2310</v>
      </c>
      <c r="V464" s="529" t="s">
        <v>2444</v>
      </c>
      <c r="W464" s="508" t="e">
        <f t="shared" ca="1" si="546"/>
        <v>#N/A</v>
      </c>
      <c r="X464" s="566">
        <v>1</v>
      </c>
      <c r="Y464" s="594">
        <v>7.0000000000000001E-3</v>
      </c>
      <c r="Z464" s="170" t="e">
        <f t="shared" ca="1" si="512"/>
        <v>#N/A</v>
      </c>
      <c r="AA464" s="508" t="e">
        <f t="shared" ca="1" si="513"/>
        <v>#N/A</v>
      </c>
      <c r="AC464" s="512">
        <v>9</v>
      </c>
      <c r="AD464" s="516" t="s">
        <v>2283</v>
      </c>
      <c r="AE464" s="529" t="s">
        <v>2444</v>
      </c>
      <c r="AF464" s="508" t="str">
        <f t="shared" ca="1" si="536"/>
        <v>T3部件</v>
      </c>
      <c r="AG464" s="508">
        <v>1</v>
      </c>
      <c r="AH464" s="633">
        <v>6.0000000000000001E-3</v>
      </c>
      <c r="AI464" s="170" t="e">
        <f t="shared" ca="1" si="525"/>
        <v>#VALUE!</v>
      </c>
      <c r="AJ464" s="508" t="e">
        <f t="shared" ca="1" si="526"/>
        <v>#VALUE!</v>
      </c>
      <c r="AL464" s="512">
        <v>9</v>
      </c>
      <c r="AM464" s="512" t="s">
        <v>2273</v>
      </c>
      <c r="AN464" s="529" t="s">
        <v>2444</v>
      </c>
      <c r="AO464" s="508" t="str">
        <f t="shared" ca="1" si="543"/>
        <v>T2部件</v>
      </c>
      <c r="AP464" s="600">
        <v>1</v>
      </c>
      <c r="AQ464" s="625">
        <v>6.4999999999999997E-3</v>
      </c>
      <c r="AR464" s="170" t="e">
        <f t="shared" ca="1" si="537"/>
        <v>#VALUE!</v>
      </c>
      <c r="AS464" s="508" t="e">
        <f t="shared" ca="1" si="538"/>
        <v>#VALUE!</v>
      </c>
      <c r="AU464" s="512">
        <v>9</v>
      </c>
      <c r="AV464" s="512" t="s">
        <v>2256</v>
      </c>
      <c r="AW464" s="529" t="s">
        <v>2452</v>
      </c>
      <c r="AX464" s="508">
        <f t="shared" ca="1" si="532"/>
        <v>8.1</v>
      </c>
      <c r="AY464" s="632">
        <v>2</v>
      </c>
      <c r="AZ464" s="632">
        <v>6.0000000000000001E-3</v>
      </c>
      <c r="BA464" s="170">
        <f t="shared" ca="1" si="533"/>
        <v>2.4074074074074078E-2</v>
      </c>
      <c r="BB464" s="508">
        <f t="shared" ca="1" si="534"/>
        <v>241</v>
      </c>
      <c r="BD464" s="512">
        <v>9</v>
      </c>
      <c r="BE464" s="512" t="s">
        <v>2256</v>
      </c>
      <c r="BF464" s="529" t="s">
        <v>2452</v>
      </c>
      <c r="BG464" s="508">
        <f t="shared" ca="1" si="535"/>
        <v>8.1</v>
      </c>
      <c r="BH464" s="615">
        <v>5.5</v>
      </c>
      <c r="BI464" s="615">
        <v>4.4999999999999997E-3</v>
      </c>
      <c r="BJ464" s="170">
        <f t="shared" ca="1" si="539"/>
        <v>1.48989898989899E-2</v>
      </c>
      <c r="BK464" s="379">
        <f t="shared" ca="1" si="540"/>
        <v>149</v>
      </c>
      <c r="BM464" s="512">
        <v>10</v>
      </c>
      <c r="BN464" s="527" t="s">
        <v>2304</v>
      </c>
      <c r="BO464" s="530" t="s">
        <v>2200</v>
      </c>
      <c r="BP464" s="508" t="e">
        <f t="shared" ca="1" si="531"/>
        <v>#N/A</v>
      </c>
      <c r="BQ464" s="508">
        <v>1</v>
      </c>
      <c r="BR464" s="605">
        <v>5.1999999999999998E-3</v>
      </c>
      <c r="BS464" s="170" t="e">
        <f t="shared" ca="1" si="547"/>
        <v>#N/A</v>
      </c>
      <c r="BT464" s="523" t="e">
        <f t="shared" ca="1" si="548"/>
        <v>#N/A</v>
      </c>
    </row>
    <row r="465" spans="2:72" x14ac:dyDescent="0.35">
      <c r="AC465" s="512">
        <v>9</v>
      </c>
      <c r="AD465" s="516" t="s">
        <v>2285</v>
      </c>
      <c r="AE465" s="529" t="s">
        <v>2444</v>
      </c>
      <c r="AF465" s="508" t="str">
        <f t="shared" ca="1" si="536"/>
        <v>T3部件</v>
      </c>
      <c r="AG465" s="508">
        <v>1</v>
      </c>
      <c r="AH465" s="633">
        <v>6.0000000000000001E-3</v>
      </c>
      <c r="AI465" s="170" t="e">
        <f t="shared" ca="1" si="525"/>
        <v>#VALUE!</v>
      </c>
      <c r="AJ465" s="508" t="e">
        <f t="shared" ca="1" si="526"/>
        <v>#VALUE!</v>
      </c>
      <c r="AL465" s="512">
        <v>9</v>
      </c>
      <c r="AM465" s="512" t="s">
        <v>2275</v>
      </c>
      <c r="AN465" s="529" t="s">
        <v>2444</v>
      </c>
      <c r="AO465" s="508" t="str">
        <f t="shared" ca="1" si="543"/>
        <v>T2部件</v>
      </c>
      <c r="AP465" s="600">
        <v>1</v>
      </c>
      <c r="AQ465" s="625">
        <v>6.4999999999999997E-3</v>
      </c>
      <c r="AR465" s="170" t="e">
        <f t="shared" ca="1" si="537"/>
        <v>#VALUE!</v>
      </c>
      <c r="AS465" s="508" t="e">
        <f t="shared" ca="1" si="538"/>
        <v>#VALUE!</v>
      </c>
      <c r="AU465" s="512">
        <v>9</v>
      </c>
      <c r="AV465" s="516" t="s">
        <v>2241</v>
      </c>
      <c r="AW465" s="529" t="s">
        <v>2452</v>
      </c>
      <c r="AX465" s="508">
        <f t="shared" ca="1" si="532"/>
        <v>8.1</v>
      </c>
      <c r="AY465" s="632">
        <v>2</v>
      </c>
      <c r="AZ465" s="632">
        <v>6.0000000000000001E-3</v>
      </c>
      <c r="BA465" s="170">
        <f t="shared" ca="1" si="533"/>
        <v>2.4074074074074078E-2</v>
      </c>
      <c r="BB465" s="508">
        <f t="shared" ca="1" si="534"/>
        <v>241</v>
      </c>
      <c r="BD465" s="512">
        <v>9</v>
      </c>
      <c r="BE465" s="516" t="s">
        <v>2241</v>
      </c>
      <c r="BF465" s="529" t="s">
        <v>2452</v>
      </c>
      <c r="BG465" s="508">
        <f t="shared" ca="1" si="535"/>
        <v>8.1</v>
      </c>
      <c r="BH465" s="615">
        <v>5.5</v>
      </c>
      <c r="BI465" s="615">
        <v>4.4999999999999997E-3</v>
      </c>
      <c r="BJ465" s="170">
        <f t="shared" ca="1" si="539"/>
        <v>1.48989898989899E-2</v>
      </c>
      <c r="BK465" s="379">
        <f t="shared" ca="1" si="540"/>
        <v>149</v>
      </c>
      <c r="BM465" s="512">
        <v>10</v>
      </c>
      <c r="BN465" s="527" t="s">
        <v>2306</v>
      </c>
      <c r="BO465" s="530" t="s">
        <v>2200</v>
      </c>
      <c r="BP465" s="508" t="e">
        <f t="shared" ca="1" si="531"/>
        <v>#N/A</v>
      </c>
      <c r="BQ465" s="508">
        <v>1</v>
      </c>
      <c r="BR465" s="605">
        <v>5.1999999999999998E-3</v>
      </c>
      <c r="BS465" s="170" t="e">
        <f t="shared" ca="1" si="547"/>
        <v>#N/A</v>
      </c>
      <c r="BT465" s="523" t="e">
        <f t="shared" ca="1" si="548"/>
        <v>#N/A</v>
      </c>
    </row>
    <row r="466" spans="2:72" x14ac:dyDescent="0.35">
      <c r="AC466" s="512">
        <v>9</v>
      </c>
      <c r="AD466" s="516" t="s">
        <v>2287</v>
      </c>
      <c r="AE466" s="529" t="s">
        <v>2444</v>
      </c>
      <c r="AF466" s="508" t="str">
        <f t="shared" ca="1" si="536"/>
        <v>T3部件</v>
      </c>
      <c r="AG466" s="508">
        <v>1</v>
      </c>
      <c r="AH466" s="633">
        <v>6.0000000000000001E-3</v>
      </c>
      <c r="AI466" s="170" t="e">
        <f t="shared" ca="1" si="525"/>
        <v>#VALUE!</v>
      </c>
      <c r="AJ466" s="508" t="e">
        <f t="shared" ca="1" si="526"/>
        <v>#VALUE!</v>
      </c>
      <c r="AL466" s="512">
        <v>9</v>
      </c>
      <c r="AM466" s="516" t="s">
        <v>2276</v>
      </c>
      <c r="AN466" s="529" t="s">
        <v>2444</v>
      </c>
      <c r="AO466" s="508" t="str">
        <f t="shared" ca="1" si="543"/>
        <v>T3部件</v>
      </c>
      <c r="AP466" s="508">
        <v>1</v>
      </c>
      <c r="AQ466" s="565">
        <v>8.9999999999999993E-3</v>
      </c>
      <c r="AR466" s="170" t="e">
        <f t="shared" ca="1" si="537"/>
        <v>#VALUE!</v>
      </c>
      <c r="AS466" s="508" t="e">
        <f t="shared" ca="1" si="538"/>
        <v>#VALUE!</v>
      </c>
      <c r="AU466" s="512">
        <v>9</v>
      </c>
      <c r="AV466" s="516" t="s">
        <v>2243</v>
      </c>
      <c r="AW466" s="529" t="s">
        <v>2452</v>
      </c>
      <c r="AX466" s="508">
        <f t="shared" ca="1" si="532"/>
        <v>8.1</v>
      </c>
      <c r="AY466" s="632">
        <v>2</v>
      </c>
      <c r="AZ466" s="632">
        <v>6.0000000000000001E-3</v>
      </c>
      <c r="BA466" s="170">
        <f t="shared" ca="1" si="533"/>
        <v>2.4074074074074078E-2</v>
      </c>
      <c r="BB466" s="508">
        <f t="shared" ca="1" si="534"/>
        <v>241</v>
      </c>
      <c r="BD466" s="512">
        <v>9</v>
      </c>
      <c r="BE466" s="516" t="s">
        <v>2243</v>
      </c>
      <c r="BF466" s="529" t="s">
        <v>2452</v>
      </c>
      <c r="BG466" s="508">
        <f t="shared" ca="1" si="535"/>
        <v>8.1</v>
      </c>
      <c r="BH466" s="615">
        <v>5.5</v>
      </c>
      <c r="BI466" s="615">
        <v>4.4999999999999997E-3</v>
      </c>
      <c r="BJ466" s="170">
        <f t="shared" ca="1" si="539"/>
        <v>1.48989898989899E-2</v>
      </c>
      <c r="BK466" s="379">
        <f t="shared" ca="1" si="540"/>
        <v>149</v>
      </c>
      <c r="BM466" s="512">
        <v>10</v>
      </c>
      <c r="BN466" s="525" t="s">
        <v>2308</v>
      </c>
      <c r="BO466" s="530" t="s">
        <v>2200</v>
      </c>
      <c r="BP466" s="508" t="e">
        <f t="shared" ca="1" si="531"/>
        <v>#N/A</v>
      </c>
      <c r="BQ466" s="508">
        <v>1</v>
      </c>
      <c r="BR466" s="605">
        <v>5.1999999999999998E-3</v>
      </c>
      <c r="BS466" s="170" t="e">
        <f t="shared" ca="1" si="547"/>
        <v>#N/A</v>
      </c>
      <c r="BT466" s="523" t="e">
        <f t="shared" ca="1" si="548"/>
        <v>#N/A</v>
      </c>
    </row>
    <row r="467" spans="2:72" x14ac:dyDescent="0.35">
      <c r="B467" s="381" t="s">
        <v>597</v>
      </c>
      <c r="C467" s="381" t="s">
        <v>1225</v>
      </c>
      <c r="D467" s="382" t="s">
        <v>917</v>
      </c>
      <c r="E467" s="166" t="s">
        <v>920</v>
      </c>
      <c r="F467" s="386" t="s">
        <v>967</v>
      </c>
      <c r="G467" s="166" t="s">
        <v>854</v>
      </c>
      <c r="H467" s="166" t="s">
        <v>926</v>
      </c>
      <c r="I467" s="383" t="s">
        <v>927</v>
      </c>
      <c r="J467" s="300" t="e">
        <f ca="1">SUM(I468:I548)</f>
        <v>#VALUE!</v>
      </c>
      <c r="K467" s="381" t="s">
        <v>597</v>
      </c>
      <c r="L467" s="381" t="s">
        <v>1225</v>
      </c>
      <c r="M467" s="382" t="s">
        <v>917</v>
      </c>
      <c r="N467" s="166" t="s">
        <v>920</v>
      </c>
      <c r="O467" s="386" t="s">
        <v>967</v>
      </c>
      <c r="P467" s="166" t="s">
        <v>854</v>
      </c>
      <c r="Q467" s="166" t="s">
        <v>926</v>
      </c>
      <c r="R467" s="383" t="s">
        <v>927</v>
      </c>
      <c r="S467" s="300" t="e">
        <f ca="1">SUM(R468:R548)</f>
        <v>#VALUE!</v>
      </c>
      <c r="T467" s="512" t="s">
        <v>597</v>
      </c>
      <c r="U467" s="512" t="s">
        <v>1225</v>
      </c>
      <c r="V467" s="513" t="s">
        <v>917</v>
      </c>
      <c r="W467" s="166" t="s">
        <v>920</v>
      </c>
      <c r="X467" s="518" t="s">
        <v>967</v>
      </c>
      <c r="Y467" s="166" t="s">
        <v>854</v>
      </c>
      <c r="Z467" s="166" t="s">
        <v>926</v>
      </c>
      <c r="AA467" s="383" t="s">
        <v>927</v>
      </c>
      <c r="AB467" s="300" t="e">
        <f ca="1">SUM(AA468:AA548)</f>
        <v>#VALUE!</v>
      </c>
      <c r="AC467" s="512">
        <v>9</v>
      </c>
      <c r="AD467" s="516" t="s">
        <v>2289</v>
      </c>
      <c r="AE467" s="529" t="s">
        <v>2444</v>
      </c>
      <c r="AF467" s="508" t="str">
        <f t="shared" ca="1" si="536"/>
        <v>T3部件</v>
      </c>
      <c r="AG467" s="508">
        <v>1</v>
      </c>
      <c r="AH467" s="633">
        <v>6.0000000000000001E-3</v>
      </c>
      <c r="AI467" s="170" t="e">
        <f t="shared" ca="1" si="525"/>
        <v>#VALUE!</v>
      </c>
      <c r="AJ467" s="508" t="e">
        <f t="shared" ca="1" si="526"/>
        <v>#VALUE!</v>
      </c>
      <c r="AL467" s="512">
        <v>9</v>
      </c>
      <c r="AM467" s="516" t="s">
        <v>2278</v>
      </c>
      <c r="AN467" s="529" t="s">
        <v>2444</v>
      </c>
      <c r="AO467" s="508" t="str">
        <f t="shared" ca="1" si="543"/>
        <v>T3部件</v>
      </c>
      <c r="AP467" s="508">
        <v>1</v>
      </c>
      <c r="AQ467" s="600">
        <v>8.9999999999999993E-3</v>
      </c>
      <c r="AR467" s="170" t="e">
        <f t="shared" ca="1" si="537"/>
        <v>#VALUE!</v>
      </c>
      <c r="AS467" s="508" t="e">
        <f t="shared" ca="1" si="538"/>
        <v>#VALUE!</v>
      </c>
      <c r="AU467" s="512">
        <v>9</v>
      </c>
      <c r="AV467" s="516" t="s">
        <v>2245</v>
      </c>
      <c r="AW467" s="529" t="s">
        <v>2452</v>
      </c>
      <c r="AX467" s="508">
        <f t="shared" ca="1" si="532"/>
        <v>8.1</v>
      </c>
      <c r="AY467" s="632">
        <v>2</v>
      </c>
      <c r="AZ467" s="632">
        <v>6.0000000000000001E-3</v>
      </c>
      <c r="BA467" s="170">
        <f t="shared" ca="1" si="533"/>
        <v>2.4074074074074078E-2</v>
      </c>
      <c r="BB467" s="508">
        <f t="shared" ca="1" si="534"/>
        <v>241</v>
      </c>
      <c r="BD467" s="512">
        <v>9</v>
      </c>
      <c r="BE467" s="516" t="s">
        <v>2245</v>
      </c>
      <c r="BF467" s="529" t="s">
        <v>2452</v>
      </c>
      <c r="BG467" s="508">
        <f t="shared" ca="1" si="535"/>
        <v>8.1</v>
      </c>
      <c r="BH467" s="615">
        <v>5.5</v>
      </c>
      <c r="BI467" s="615">
        <v>4.4999999999999997E-3</v>
      </c>
      <c r="BJ467" s="170">
        <f t="shared" ca="1" si="539"/>
        <v>1.48989898989899E-2</v>
      </c>
      <c r="BK467" s="379">
        <f t="shared" ca="1" si="540"/>
        <v>149</v>
      </c>
      <c r="BM467" s="512">
        <v>10</v>
      </c>
      <c r="BN467" s="525" t="s">
        <v>2310</v>
      </c>
      <c r="BO467" s="530" t="s">
        <v>2200</v>
      </c>
      <c r="BP467" s="508" t="e">
        <f t="shared" ca="1" si="531"/>
        <v>#N/A</v>
      </c>
      <c r="BQ467" s="508">
        <v>1</v>
      </c>
      <c r="BR467" s="605">
        <v>5.1999999999999998E-3</v>
      </c>
      <c r="BS467" s="170" t="e">
        <f t="shared" ca="1" si="547"/>
        <v>#N/A</v>
      </c>
      <c r="BT467" s="523" t="e">
        <f t="shared" ca="1" si="548"/>
        <v>#N/A</v>
      </c>
    </row>
    <row r="468" spans="2:72" x14ac:dyDescent="0.35">
      <c r="B468" s="381">
        <v>10</v>
      </c>
      <c r="C468" s="516" t="s">
        <v>620</v>
      </c>
      <c r="D468" s="396" t="s">
        <v>1211</v>
      </c>
      <c r="E468" s="508">
        <f t="shared" ref="E468:E499" ca="1" si="549">IF(D468="部件",VLOOKUP(B468,INDIRECT(D468&amp;"价值"),MATCH(LEFT(C468,2)&amp;"部件",INDIRECT(D468&amp;"价值标头"),0),FALSE),IF(D468="加速道具",VLOOKUP(C468,INDIRECT(D468&amp;"价值"),MATCH("价格",INDIRECT(D468&amp;"价值标头"),0),FALSE),VLOOKUP(B468,INDIRECT(D468&amp;"价值"),MATCH(C468,INDIRECT(D468&amp;"价值标头"),0),FALSE)))</f>
        <v>92</v>
      </c>
      <c r="F468" s="408">
        <v>2</v>
      </c>
      <c r="G468" s="401">
        <f>宝箱设定!$X164</f>
        <v>7.2999999999999995E-2</v>
      </c>
      <c r="H468" s="170">
        <f t="shared" ref="H468:H482" ca="1" si="550">G468*$C$4/E468/F468</f>
        <v>2.3308423913043476E-2</v>
      </c>
      <c r="I468" s="379">
        <f t="shared" ref="I468:I482" ca="1" si="551">ROUND(H468*10000,0)</f>
        <v>233</v>
      </c>
      <c r="K468" s="512">
        <v>10</v>
      </c>
      <c r="L468" s="516" t="s">
        <v>620</v>
      </c>
      <c r="M468" s="512" t="s">
        <v>1211</v>
      </c>
      <c r="N468" s="508">
        <f t="shared" ref="N468:N499" ca="1" si="552">IF(M468="部件",VLOOKUP(K468,INDIRECT(M468&amp;"价值"),MATCH(LEFT(L468,2)&amp;"部件",INDIRECT(M468&amp;"价值标头"),0),FALSE),IF(M468="加速道具",VLOOKUP(L468,INDIRECT(M468&amp;"价值"),MATCH("价格",INDIRECT(M468&amp;"价值标头"),0),FALSE),VLOOKUP(K468,INDIRECT(M468&amp;"价值"),MATCH(L468,INDIRECT(M468&amp;"价值标头"),0),FALSE)))</f>
        <v>92</v>
      </c>
      <c r="O468" s="508">
        <v>1</v>
      </c>
      <c r="P468" s="508">
        <f>宝箱设定!$X164</f>
        <v>7.2999999999999995E-2</v>
      </c>
      <c r="Q468" s="170">
        <f ca="1">P468*L$4/N468/O468</f>
        <v>3.729347826086956E-2</v>
      </c>
      <c r="R468" s="379">
        <f t="shared" ref="R468:R473" ca="1" si="553">ROUND(Q468*10000,0)</f>
        <v>373</v>
      </c>
      <c r="T468" s="512">
        <v>10</v>
      </c>
      <c r="U468" s="516" t="s">
        <v>620</v>
      </c>
      <c r="V468" s="512" t="s">
        <v>1211</v>
      </c>
      <c r="W468" s="508">
        <f t="shared" ref="W468:W499" ca="1" si="554">IF(V468="部件",VLOOKUP(T468,INDIRECT(V468&amp;"价值"),MATCH(LEFT(U468,2)&amp;"部件",INDIRECT(V468&amp;"价值标头"),0),FALSE),IF(V468="加速道具",VLOOKUP(U468,INDIRECT(V468&amp;"价值"),MATCH("价格",INDIRECT(V468&amp;"价值标头"),0),FALSE),VLOOKUP(T468,INDIRECT(V468&amp;"价值"),MATCH(U468,INDIRECT(V468&amp;"价值标头"),0),FALSE)))</f>
        <v>92</v>
      </c>
      <c r="X468" s="508">
        <v>1</v>
      </c>
      <c r="Y468" s="508">
        <f>宝箱设定!$X164</f>
        <v>7.2999999999999995E-2</v>
      </c>
      <c r="Z468" s="170">
        <f ca="1">Y468*U$4/W468/X468</f>
        <v>3.7690217391304348E-2</v>
      </c>
      <c r="AA468" s="379">
        <f ca="1">ROUND(Z468*10000,0)</f>
        <v>377</v>
      </c>
      <c r="AC468" s="512">
        <v>9</v>
      </c>
      <c r="AD468" s="512" t="s">
        <v>2291</v>
      </c>
      <c r="AE468" s="529" t="s">
        <v>2444</v>
      </c>
      <c r="AF468" s="508" t="str">
        <f t="shared" ca="1" si="536"/>
        <v>T3部件</v>
      </c>
      <c r="AG468" s="508">
        <v>1</v>
      </c>
      <c r="AH468" s="633">
        <v>6.0000000000000001E-3</v>
      </c>
      <c r="AI468" s="170" t="e">
        <f t="shared" ca="1" si="525"/>
        <v>#VALUE!</v>
      </c>
      <c r="AJ468" s="508" t="e">
        <f t="shared" ca="1" si="526"/>
        <v>#VALUE!</v>
      </c>
      <c r="AL468" s="512">
        <v>9</v>
      </c>
      <c r="AM468" s="516" t="s">
        <v>2280</v>
      </c>
      <c r="AN468" s="529" t="s">
        <v>2444</v>
      </c>
      <c r="AO468" s="508" t="str">
        <f t="shared" ca="1" si="543"/>
        <v>T3部件</v>
      </c>
      <c r="AP468" s="508">
        <v>1</v>
      </c>
      <c r="AQ468" s="600">
        <v>8.9999999999999993E-3</v>
      </c>
      <c r="AR468" s="170" t="e">
        <f t="shared" ca="1" si="537"/>
        <v>#VALUE!</v>
      </c>
      <c r="AS468" s="508" t="e">
        <f t="shared" ca="1" si="538"/>
        <v>#VALUE!</v>
      </c>
      <c r="AU468" s="512">
        <v>9</v>
      </c>
      <c r="AV468" s="516" t="s">
        <v>2247</v>
      </c>
      <c r="AW468" s="529" t="s">
        <v>2452</v>
      </c>
      <c r="AX468" s="508">
        <f t="shared" ca="1" si="532"/>
        <v>8.1</v>
      </c>
      <c r="AY468" s="632">
        <v>2</v>
      </c>
      <c r="AZ468" s="632">
        <v>6.0000000000000001E-3</v>
      </c>
      <c r="BA468" s="170">
        <f t="shared" ca="1" si="533"/>
        <v>2.4074074074074078E-2</v>
      </c>
      <c r="BB468" s="508">
        <f t="shared" ca="1" si="534"/>
        <v>241</v>
      </c>
      <c r="BD468" s="512">
        <v>9</v>
      </c>
      <c r="BE468" s="516" t="s">
        <v>2247</v>
      </c>
      <c r="BF468" s="529" t="s">
        <v>2452</v>
      </c>
      <c r="BG468" s="508">
        <f t="shared" ca="1" si="535"/>
        <v>8.1</v>
      </c>
      <c r="BH468" s="615">
        <v>5.5</v>
      </c>
      <c r="BI468" s="615">
        <v>4.4999999999999997E-3</v>
      </c>
      <c r="BJ468" s="170">
        <f t="shared" ca="1" si="539"/>
        <v>1.48989898989899E-2</v>
      </c>
      <c r="BK468" s="379">
        <f t="shared" ca="1" si="540"/>
        <v>149</v>
      </c>
      <c r="BM468" s="512">
        <v>10</v>
      </c>
      <c r="BN468" s="527" t="s">
        <v>2295</v>
      </c>
      <c r="BO468" s="530" t="s">
        <v>2200</v>
      </c>
      <c r="BP468" s="508" t="e">
        <f t="shared" ca="1" si="531"/>
        <v>#N/A</v>
      </c>
      <c r="BQ468" s="508">
        <v>1</v>
      </c>
      <c r="BR468" s="605">
        <v>5.1999999999999998E-3</v>
      </c>
      <c r="BS468" s="170" t="e">
        <f t="shared" ca="1" si="547"/>
        <v>#N/A</v>
      </c>
      <c r="BT468" s="523" t="e">
        <f t="shared" ca="1" si="548"/>
        <v>#N/A</v>
      </c>
    </row>
    <row r="469" spans="2:72" x14ac:dyDescent="0.35">
      <c r="B469" s="381">
        <v>10</v>
      </c>
      <c r="C469" s="516" t="s">
        <v>719</v>
      </c>
      <c r="D469" s="396" t="s">
        <v>1211</v>
      </c>
      <c r="E469" s="508">
        <f t="shared" ca="1" si="549"/>
        <v>92</v>
      </c>
      <c r="F469" s="594">
        <v>2</v>
      </c>
      <c r="G469" s="508">
        <f>宝箱设定!$X165</f>
        <v>7.2999999999999995E-2</v>
      </c>
      <c r="H469" s="170">
        <f t="shared" ca="1" si="550"/>
        <v>2.3308423913043476E-2</v>
      </c>
      <c r="I469" s="379">
        <f t="shared" ca="1" si="551"/>
        <v>233</v>
      </c>
      <c r="K469" s="512">
        <v>10</v>
      </c>
      <c r="L469" s="516" t="s">
        <v>719</v>
      </c>
      <c r="M469" s="512" t="s">
        <v>1211</v>
      </c>
      <c r="N469" s="508">
        <f t="shared" ca="1" si="552"/>
        <v>92</v>
      </c>
      <c r="O469" s="508">
        <v>1</v>
      </c>
      <c r="P469" s="508">
        <f>宝箱设定!$X165</f>
        <v>7.2999999999999995E-2</v>
      </c>
      <c r="Q469" s="170">
        <f ca="1">P469*L$4/N469/O469</f>
        <v>3.729347826086956E-2</v>
      </c>
      <c r="R469" s="379">
        <f t="shared" ca="1" si="553"/>
        <v>373</v>
      </c>
      <c r="T469" s="512">
        <v>10</v>
      </c>
      <c r="U469" s="516" t="s">
        <v>719</v>
      </c>
      <c r="V469" s="512" t="s">
        <v>1211</v>
      </c>
      <c r="W469" s="508">
        <f t="shared" ca="1" si="554"/>
        <v>92</v>
      </c>
      <c r="X469" s="508">
        <v>1</v>
      </c>
      <c r="Y469" s="508">
        <f>宝箱设定!$X165</f>
        <v>7.2999999999999995E-2</v>
      </c>
      <c r="Z469" s="170">
        <f ca="1">Y469*U$4/W469/X469</f>
        <v>3.7690217391304348E-2</v>
      </c>
      <c r="AA469" s="379">
        <f ca="1">ROUND(Z469*10000,0)</f>
        <v>377</v>
      </c>
      <c r="AC469" s="512">
        <v>9</v>
      </c>
      <c r="AD469" s="512" t="s">
        <v>2293</v>
      </c>
      <c r="AE469" s="529" t="s">
        <v>2444</v>
      </c>
      <c r="AF469" s="508" t="str">
        <f t="shared" ca="1" si="536"/>
        <v>T3部件</v>
      </c>
      <c r="AG469" s="508">
        <v>1</v>
      </c>
      <c r="AH469" s="633">
        <v>6.0000000000000001E-3</v>
      </c>
      <c r="AI469" s="170" t="e">
        <f t="shared" ca="1" si="525"/>
        <v>#VALUE!</v>
      </c>
      <c r="AJ469" s="508" t="e">
        <f t="shared" ca="1" si="526"/>
        <v>#VALUE!</v>
      </c>
      <c r="AL469" s="512">
        <v>9</v>
      </c>
      <c r="AM469" s="516" t="s">
        <v>2282</v>
      </c>
      <c r="AN469" s="529" t="s">
        <v>2444</v>
      </c>
      <c r="AO469" s="508" t="str">
        <f t="shared" ca="1" si="543"/>
        <v>T3部件</v>
      </c>
      <c r="AP469" s="508">
        <v>1</v>
      </c>
      <c r="AQ469" s="600">
        <v>8.9999999999999993E-3</v>
      </c>
      <c r="AR469" s="170" t="e">
        <f t="shared" ca="1" si="537"/>
        <v>#VALUE!</v>
      </c>
      <c r="AS469" s="508" t="e">
        <f t="shared" ca="1" si="538"/>
        <v>#VALUE!</v>
      </c>
      <c r="AU469" s="512">
        <v>9</v>
      </c>
      <c r="AV469" s="516" t="s">
        <v>2249</v>
      </c>
      <c r="AW469" s="529" t="s">
        <v>2452</v>
      </c>
      <c r="AX469" s="508">
        <f t="shared" ca="1" si="532"/>
        <v>8.1</v>
      </c>
      <c r="AY469" s="632">
        <v>2</v>
      </c>
      <c r="AZ469" s="632">
        <v>6.0000000000000001E-3</v>
      </c>
      <c r="BA469" s="170">
        <f t="shared" ca="1" si="533"/>
        <v>2.4074074074074078E-2</v>
      </c>
      <c r="BB469" s="508">
        <f t="shared" ca="1" si="534"/>
        <v>241</v>
      </c>
      <c r="BD469" s="512">
        <v>9</v>
      </c>
      <c r="BE469" s="516" t="s">
        <v>2249</v>
      </c>
      <c r="BF469" s="529" t="s">
        <v>2452</v>
      </c>
      <c r="BG469" s="508">
        <f t="shared" ca="1" si="535"/>
        <v>8.1</v>
      </c>
      <c r="BH469" s="615">
        <v>5.5</v>
      </c>
      <c r="BI469" s="615">
        <v>4.4999999999999997E-3</v>
      </c>
      <c r="BJ469" s="170">
        <f t="shared" ca="1" si="539"/>
        <v>1.48989898989899E-2</v>
      </c>
      <c r="BK469" s="379">
        <f t="shared" ca="1" si="540"/>
        <v>149</v>
      </c>
      <c r="BM469" s="512">
        <v>10</v>
      </c>
      <c r="BN469" s="527" t="s">
        <v>2297</v>
      </c>
      <c r="BO469" s="530" t="s">
        <v>2200</v>
      </c>
      <c r="BP469" s="508" t="e">
        <f t="shared" ref="BP469:BP476" ca="1" si="555">IF(BO469="部件",VLOOKUP(BM469,INDIRECT(BO469&amp;"价值"),MATCH(LEFT(BN469,2)&amp;"部件",INDIRECT(BO469&amp;"价值标头"),0),FALSE),IF(BO469="加速道具",VLOOKUP(BN469,INDIRECT(BO469&amp;"价值"),MATCH("价格",INDIRECT(BO469&amp;"价值标头"),0),FALSE),VLOOKUP(BM469,INDIRECT(BO469&amp;"价值"),MATCH(BN469,INDIRECT(BO469&amp;"价值标头"),0),FALSE)))</f>
        <v>#N/A</v>
      </c>
      <c r="BQ469" s="508">
        <v>1</v>
      </c>
      <c r="BR469" s="605">
        <v>5.1999999999999998E-3</v>
      </c>
      <c r="BS469" s="170" t="e">
        <f t="shared" ca="1" si="547"/>
        <v>#N/A</v>
      </c>
      <c r="BT469" s="523" t="e">
        <f t="shared" ca="1" si="548"/>
        <v>#N/A</v>
      </c>
    </row>
    <row r="470" spans="2:72" x14ac:dyDescent="0.35">
      <c r="B470" s="381">
        <v>10</v>
      </c>
      <c r="C470" s="516" t="s">
        <v>635</v>
      </c>
      <c r="D470" s="396" t="s">
        <v>1211</v>
      </c>
      <c r="E470" s="508">
        <f t="shared" ca="1" si="549"/>
        <v>92</v>
      </c>
      <c r="F470" s="594">
        <v>2</v>
      </c>
      <c r="G470" s="508">
        <f>宝箱设定!$X166</f>
        <v>7.2999999999999995E-2</v>
      </c>
      <c r="H470" s="170">
        <f t="shared" ca="1" si="550"/>
        <v>2.3308423913043476E-2</v>
      </c>
      <c r="I470" s="379">
        <f t="shared" ca="1" si="551"/>
        <v>233</v>
      </c>
      <c r="K470" s="512">
        <v>10</v>
      </c>
      <c r="L470" s="516" t="s">
        <v>635</v>
      </c>
      <c r="M470" s="512" t="s">
        <v>1211</v>
      </c>
      <c r="N470" s="508">
        <f t="shared" ca="1" si="552"/>
        <v>92</v>
      </c>
      <c r="O470" s="508">
        <v>1</v>
      </c>
      <c r="P470" s="508">
        <f>宝箱设定!$X166</f>
        <v>7.2999999999999995E-2</v>
      </c>
      <c r="Q470" s="170">
        <f ca="1">P470*L$4/N470/O470</f>
        <v>3.729347826086956E-2</v>
      </c>
      <c r="R470" s="379">
        <f t="shared" ca="1" si="553"/>
        <v>373</v>
      </c>
      <c r="T470" s="512">
        <v>10</v>
      </c>
      <c r="U470" s="516" t="s">
        <v>635</v>
      </c>
      <c r="V470" s="512" t="s">
        <v>1211</v>
      </c>
      <c r="W470" s="508">
        <f t="shared" ca="1" si="554"/>
        <v>92</v>
      </c>
      <c r="X470" s="508">
        <v>1</v>
      </c>
      <c r="Y470" s="508">
        <f>宝箱设定!$X166</f>
        <v>7.2999999999999995E-2</v>
      </c>
      <c r="Z470" s="170">
        <f ca="1">Y470*U$4/W470/X470</f>
        <v>3.7690217391304348E-2</v>
      </c>
      <c r="AA470" s="379">
        <f ca="1">ROUND(Z470*10000,0)</f>
        <v>377</v>
      </c>
      <c r="AC470" s="512">
        <v>9</v>
      </c>
      <c r="AD470" s="516" t="s">
        <v>2294</v>
      </c>
      <c r="AE470" s="529" t="s">
        <v>2444</v>
      </c>
      <c r="AF470" s="508" t="e">
        <f t="shared" ca="1" si="536"/>
        <v>#N/A</v>
      </c>
      <c r="AG470" s="508">
        <v>1</v>
      </c>
      <c r="AH470" s="633">
        <v>1.23E-2</v>
      </c>
      <c r="AI470" s="170" t="e">
        <f t="shared" ca="1" si="525"/>
        <v>#N/A</v>
      </c>
      <c r="AJ470" s="508" t="e">
        <f t="shared" ca="1" si="526"/>
        <v>#N/A</v>
      </c>
      <c r="AL470" s="512">
        <v>9</v>
      </c>
      <c r="AM470" s="516" t="s">
        <v>2284</v>
      </c>
      <c r="AN470" s="529" t="s">
        <v>2444</v>
      </c>
      <c r="AO470" s="508" t="str">
        <f t="shared" ca="1" si="543"/>
        <v>T3部件</v>
      </c>
      <c r="AP470" s="508">
        <v>1</v>
      </c>
      <c r="AQ470" s="600">
        <v>8.9999999999999993E-3</v>
      </c>
      <c r="AR470" s="170" t="e">
        <f t="shared" ca="1" si="537"/>
        <v>#VALUE!</v>
      </c>
      <c r="AS470" s="508" t="e">
        <f t="shared" ca="1" si="538"/>
        <v>#VALUE!</v>
      </c>
      <c r="AU470" s="512">
        <v>9</v>
      </c>
      <c r="AV470" s="516" t="s">
        <v>2251</v>
      </c>
      <c r="AW470" s="529" t="s">
        <v>2452</v>
      </c>
      <c r="AX470" s="508">
        <f t="shared" ca="1" si="532"/>
        <v>8.1</v>
      </c>
      <c r="AY470" s="632">
        <v>2</v>
      </c>
      <c r="AZ470" s="632">
        <v>6.0000000000000001E-3</v>
      </c>
      <c r="BA470" s="170">
        <f t="shared" ca="1" si="533"/>
        <v>2.4074074074074078E-2</v>
      </c>
      <c r="BB470" s="508">
        <f t="shared" ca="1" si="534"/>
        <v>241</v>
      </c>
      <c r="BD470" s="512">
        <v>9</v>
      </c>
      <c r="BE470" s="516" t="s">
        <v>2251</v>
      </c>
      <c r="BF470" s="529" t="s">
        <v>2452</v>
      </c>
      <c r="BG470" s="508">
        <f t="shared" ca="1" si="535"/>
        <v>8.1</v>
      </c>
      <c r="BH470" s="615">
        <v>5.5</v>
      </c>
      <c r="BI470" s="615">
        <v>4.4999999999999997E-3</v>
      </c>
      <c r="BJ470" s="170">
        <f t="shared" ca="1" si="539"/>
        <v>1.48989898989899E-2</v>
      </c>
      <c r="BK470" s="379">
        <f t="shared" ca="1" si="540"/>
        <v>149</v>
      </c>
      <c r="BM470" s="512">
        <v>10</v>
      </c>
      <c r="BN470" s="527" t="s">
        <v>2299</v>
      </c>
      <c r="BO470" s="530" t="s">
        <v>2200</v>
      </c>
      <c r="BP470" s="508" t="e">
        <f t="shared" ca="1" si="555"/>
        <v>#N/A</v>
      </c>
      <c r="BQ470" s="508">
        <v>1</v>
      </c>
      <c r="BR470" s="605">
        <v>5.1999999999999998E-3</v>
      </c>
      <c r="BS470" s="170" t="e">
        <f t="shared" ca="1" si="547"/>
        <v>#N/A</v>
      </c>
      <c r="BT470" s="523" t="e">
        <f t="shared" ca="1" si="548"/>
        <v>#N/A</v>
      </c>
    </row>
    <row r="471" spans="2:72" x14ac:dyDescent="0.35">
      <c r="B471" s="396">
        <v>10</v>
      </c>
      <c r="C471" s="516" t="s">
        <v>717</v>
      </c>
      <c r="D471" s="396" t="s">
        <v>1211</v>
      </c>
      <c r="E471" s="508">
        <f t="shared" ca="1" si="549"/>
        <v>115</v>
      </c>
      <c r="F471" s="594">
        <v>1.5</v>
      </c>
      <c r="G471" s="508">
        <f>宝箱设定!$X167</f>
        <v>7.2999999999999995E-2</v>
      </c>
      <c r="H471" s="170">
        <f t="shared" ca="1" si="550"/>
        <v>2.4862318840579708E-2</v>
      </c>
      <c r="I471" s="394">
        <f t="shared" ca="1" si="551"/>
        <v>249</v>
      </c>
      <c r="K471" s="512">
        <v>10</v>
      </c>
      <c r="L471" s="516" t="s">
        <v>717</v>
      </c>
      <c r="M471" s="512" t="s">
        <v>1211</v>
      </c>
      <c r="N471" s="508">
        <f t="shared" ca="1" si="552"/>
        <v>115</v>
      </c>
      <c r="O471" s="508">
        <v>1</v>
      </c>
      <c r="P471" s="508">
        <f>宝箱设定!$X167</f>
        <v>7.2999999999999995E-2</v>
      </c>
      <c r="Q471" s="170">
        <f t="shared" ref="Q471:Q479" ca="1" si="556">P471*L$4/N471/O471</f>
        <v>2.983478260869565E-2</v>
      </c>
      <c r="R471" s="408">
        <f t="shared" ca="1" si="553"/>
        <v>298</v>
      </c>
      <c r="T471" s="512">
        <v>10</v>
      </c>
      <c r="U471" s="516" t="s">
        <v>717</v>
      </c>
      <c r="V471" s="512" t="s">
        <v>1211</v>
      </c>
      <c r="W471" s="508">
        <f t="shared" ca="1" si="554"/>
        <v>115</v>
      </c>
      <c r="X471" s="508">
        <v>1</v>
      </c>
      <c r="Y471" s="508">
        <f>宝箱设定!$X167</f>
        <v>7.2999999999999995E-2</v>
      </c>
      <c r="Z471" s="170">
        <f t="shared" ref="Z471:Z476" ca="1" si="557">Y471*U$4/W471/X471</f>
        <v>3.0152173913043475E-2</v>
      </c>
      <c r="AA471" s="408">
        <f t="shared" ref="AA471:AA476" ca="1" si="558">ROUND(Z471*10000,0)</f>
        <v>302</v>
      </c>
      <c r="AC471" s="512">
        <v>9</v>
      </c>
      <c r="AD471" s="516" t="s">
        <v>2296</v>
      </c>
      <c r="AE471" s="529" t="s">
        <v>2444</v>
      </c>
      <c r="AF471" s="508" t="e">
        <f t="shared" ca="1" si="536"/>
        <v>#N/A</v>
      </c>
      <c r="AG471" s="508">
        <v>1</v>
      </c>
      <c r="AH471" s="633">
        <v>1.23E-2</v>
      </c>
      <c r="AI471" s="170" t="e">
        <f t="shared" ca="1" si="525"/>
        <v>#N/A</v>
      </c>
      <c r="AJ471" s="508" t="e">
        <f t="shared" ca="1" si="526"/>
        <v>#N/A</v>
      </c>
      <c r="AL471" s="512">
        <v>9</v>
      </c>
      <c r="AM471" s="516" t="s">
        <v>2286</v>
      </c>
      <c r="AN471" s="529" t="s">
        <v>2444</v>
      </c>
      <c r="AO471" s="508" t="str">
        <f t="shared" ca="1" si="543"/>
        <v>T3部件</v>
      </c>
      <c r="AP471" s="508">
        <v>1</v>
      </c>
      <c r="AQ471" s="600">
        <v>8.9999999999999993E-3</v>
      </c>
      <c r="AR471" s="170" t="e">
        <f t="shared" ca="1" si="537"/>
        <v>#VALUE!</v>
      </c>
      <c r="AS471" s="508" t="e">
        <f t="shared" ca="1" si="538"/>
        <v>#VALUE!</v>
      </c>
      <c r="AU471" s="512">
        <v>9</v>
      </c>
      <c r="AV471" s="516" t="s">
        <v>2253</v>
      </c>
      <c r="AW471" s="529" t="s">
        <v>2452</v>
      </c>
      <c r="AX471" s="508">
        <f t="shared" ca="1" si="532"/>
        <v>8.1</v>
      </c>
      <c r="AY471" s="632">
        <v>2</v>
      </c>
      <c r="AZ471" s="632">
        <v>6.0000000000000001E-3</v>
      </c>
      <c r="BA471" s="170">
        <f t="shared" ca="1" si="533"/>
        <v>2.4074074074074078E-2</v>
      </c>
      <c r="BB471" s="508">
        <f t="shared" ca="1" si="534"/>
        <v>241</v>
      </c>
      <c r="BD471" s="512">
        <v>9</v>
      </c>
      <c r="BE471" s="516" t="s">
        <v>2253</v>
      </c>
      <c r="BF471" s="529" t="s">
        <v>2452</v>
      </c>
      <c r="BG471" s="508">
        <f t="shared" ca="1" si="535"/>
        <v>8.1</v>
      </c>
      <c r="BH471" s="615">
        <v>5.5</v>
      </c>
      <c r="BI471" s="615">
        <v>4.4999999999999997E-3</v>
      </c>
      <c r="BJ471" s="170">
        <f t="shared" ca="1" si="539"/>
        <v>1.48989898989899E-2</v>
      </c>
      <c r="BK471" s="379">
        <f t="shared" ca="1" si="540"/>
        <v>149</v>
      </c>
      <c r="BM471" s="512">
        <v>10</v>
      </c>
      <c r="BN471" s="527" t="s">
        <v>2301</v>
      </c>
      <c r="BO471" s="530" t="s">
        <v>2200</v>
      </c>
      <c r="BP471" s="508" t="e">
        <f t="shared" ca="1" si="555"/>
        <v>#N/A</v>
      </c>
      <c r="BQ471" s="508">
        <v>1</v>
      </c>
      <c r="BR471" s="605">
        <v>5.1999999999999998E-3</v>
      </c>
      <c r="BS471" s="170" t="e">
        <f t="shared" ca="1" si="547"/>
        <v>#N/A</v>
      </c>
      <c r="BT471" s="523" t="e">
        <f t="shared" ca="1" si="548"/>
        <v>#N/A</v>
      </c>
    </row>
    <row r="472" spans="2:72" x14ac:dyDescent="0.35">
      <c r="B472" s="396">
        <v>10</v>
      </c>
      <c r="C472" s="516" t="s">
        <v>720</v>
      </c>
      <c r="D472" s="396" t="s">
        <v>1211</v>
      </c>
      <c r="E472" s="508">
        <f t="shared" ca="1" si="549"/>
        <v>115</v>
      </c>
      <c r="F472" s="594">
        <v>1.5</v>
      </c>
      <c r="G472" s="508">
        <f>宝箱设定!$X168</f>
        <v>7.2999999999999995E-2</v>
      </c>
      <c r="H472" s="170">
        <f t="shared" ca="1" si="550"/>
        <v>2.4862318840579708E-2</v>
      </c>
      <c r="I472" s="394">
        <f t="shared" ca="1" si="551"/>
        <v>249</v>
      </c>
      <c r="K472" s="512">
        <v>10</v>
      </c>
      <c r="L472" s="516" t="s">
        <v>720</v>
      </c>
      <c r="M472" s="512" t="s">
        <v>1211</v>
      </c>
      <c r="N472" s="508">
        <f t="shared" ca="1" si="552"/>
        <v>115</v>
      </c>
      <c r="O472" s="508">
        <v>1</v>
      </c>
      <c r="P472" s="508">
        <f>宝箱设定!$X168</f>
        <v>7.2999999999999995E-2</v>
      </c>
      <c r="Q472" s="170">
        <f t="shared" ca="1" si="556"/>
        <v>2.983478260869565E-2</v>
      </c>
      <c r="R472" s="408">
        <f t="shared" ca="1" si="553"/>
        <v>298</v>
      </c>
      <c r="T472" s="512">
        <v>10</v>
      </c>
      <c r="U472" s="516" t="s">
        <v>720</v>
      </c>
      <c r="V472" s="512" t="s">
        <v>1211</v>
      </c>
      <c r="W472" s="508">
        <f t="shared" ca="1" si="554"/>
        <v>115</v>
      </c>
      <c r="X472" s="508">
        <v>1</v>
      </c>
      <c r="Y472" s="508">
        <f>宝箱设定!$X168</f>
        <v>7.2999999999999995E-2</v>
      </c>
      <c r="Z472" s="170">
        <f t="shared" ca="1" si="557"/>
        <v>3.0152173913043475E-2</v>
      </c>
      <c r="AA472" s="408">
        <f t="shared" ca="1" si="558"/>
        <v>302</v>
      </c>
      <c r="AC472" s="512">
        <v>9</v>
      </c>
      <c r="AD472" s="516" t="s">
        <v>2298</v>
      </c>
      <c r="AE472" s="529" t="s">
        <v>2444</v>
      </c>
      <c r="AF472" s="508" t="e">
        <f t="shared" ca="1" si="536"/>
        <v>#N/A</v>
      </c>
      <c r="AG472" s="508">
        <v>1</v>
      </c>
      <c r="AH472" s="633">
        <v>1.23E-2</v>
      </c>
      <c r="AI472" s="170" t="e">
        <f t="shared" ca="1" si="525"/>
        <v>#N/A</v>
      </c>
      <c r="AJ472" s="508" t="e">
        <f t="shared" ca="1" si="526"/>
        <v>#N/A</v>
      </c>
      <c r="AL472" s="512">
        <v>9</v>
      </c>
      <c r="AM472" s="516" t="s">
        <v>2288</v>
      </c>
      <c r="AN472" s="529" t="s">
        <v>2444</v>
      </c>
      <c r="AO472" s="508" t="str">
        <f t="shared" ca="1" si="543"/>
        <v>T3部件</v>
      </c>
      <c r="AP472" s="508">
        <v>1</v>
      </c>
      <c r="AQ472" s="600">
        <v>8.9999999999999993E-3</v>
      </c>
      <c r="AR472" s="170" t="e">
        <f t="shared" ca="1" si="537"/>
        <v>#VALUE!</v>
      </c>
      <c r="AS472" s="508" t="e">
        <f t="shared" ca="1" si="538"/>
        <v>#VALUE!</v>
      </c>
      <c r="AU472" s="512">
        <v>9</v>
      </c>
      <c r="AV472" s="512" t="s">
        <v>2255</v>
      </c>
      <c r="AW472" s="529" t="s">
        <v>2452</v>
      </c>
      <c r="AX472" s="508">
        <f t="shared" ref="AX472:AX503" ca="1" si="559">IF(AW472="部件",VLOOKUP(AU472,INDIRECT(AW472&amp;"价值"),MATCH(LEFT(AV472,2)&amp;"部件",INDIRECT(AW472&amp;"价值标头"),0),FALSE),IF(AW472="加速道具",VLOOKUP(AV472,INDIRECT(AW472&amp;"价值"),MATCH("价格",INDIRECT(AW472&amp;"价值标头"),0),FALSE),VLOOKUP(AU472,INDIRECT(AW472&amp;"价值"),MATCH(AV472,INDIRECT(AW472&amp;"价值标头"),0),FALSE)))</f>
        <v>8.1</v>
      </c>
      <c r="AY472" s="632">
        <v>2</v>
      </c>
      <c r="AZ472" s="632">
        <v>6.0000000000000001E-3</v>
      </c>
      <c r="BA472" s="170">
        <f t="shared" ca="1" si="533"/>
        <v>2.4074074074074078E-2</v>
      </c>
      <c r="BB472" s="508">
        <f t="shared" ca="1" si="534"/>
        <v>241</v>
      </c>
      <c r="BD472" s="512">
        <v>9</v>
      </c>
      <c r="BE472" s="512" t="s">
        <v>2255</v>
      </c>
      <c r="BF472" s="529" t="s">
        <v>2452</v>
      </c>
      <c r="BG472" s="508">
        <f t="shared" ref="BG472:BG503" ca="1" si="560">IF(BF472="部件",VLOOKUP(BD472,INDIRECT(BF472&amp;"价值"),MATCH(LEFT(BE472,2)&amp;"部件",INDIRECT(BF472&amp;"价值标头"),0),FALSE),IF(BF472="加速道具",VLOOKUP(BE472,INDIRECT(BF472&amp;"价值"),MATCH("价格",INDIRECT(BF472&amp;"价值标头"),0),FALSE),VLOOKUP(BD472,INDIRECT(BF472&amp;"价值"),MATCH(BE472,INDIRECT(BF472&amp;"价值标头"),0),FALSE)))</f>
        <v>8.1</v>
      </c>
      <c r="BH472" s="615">
        <v>5.5</v>
      </c>
      <c r="BI472" s="615">
        <v>4.4999999999999997E-3</v>
      </c>
      <c r="BJ472" s="170">
        <f t="shared" ca="1" si="539"/>
        <v>1.48989898989899E-2</v>
      </c>
      <c r="BK472" s="379">
        <f t="shared" ca="1" si="540"/>
        <v>149</v>
      </c>
      <c r="BM472" s="512">
        <v>10</v>
      </c>
      <c r="BN472" s="527" t="s">
        <v>2303</v>
      </c>
      <c r="BO472" s="530" t="s">
        <v>2200</v>
      </c>
      <c r="BP472" s="508" t="e">
        <f t="shared" ca="1" si="555"/>
        <v>#N/A</v>
      </c>
      <c r="BQ472" s="508">
        <v>1</v>
      </c>
      <c r="BR472" s="605">
        <v>5.1999999999999998E-3</v>
      </c>
      <c r="BS472" s="170" t="e">
        <f t="shared" ca="1" si="547"/>
        <v>#N/A</v>
      </c>
      <c r="BT472" s="523" t="e">
        <f t="shared" ca="1" si="548"/>
        <v>#N/A</v>
      </c>
    </row>
    <row r="473" spans="2:72" x14ac:dyDescent="0.35">
      <c r="B473" s="396">
        <v>10</v>
      </c>
      <c r="C473" s="516" t="s">
        <v>629</v>
      </c>
      <c r="D473" s="396" t="s">
        <v>1211</v>
      </c>
      <c r="E473" s="508">
        <f t="shared" ca="1" si="549"/>
        <v>115</v>
      </c>
      <c r="F473" s="594">
        <v>1.5</v>
      </c>
      <c r="G473" s="508">
        <f>宝箱设定!$X169</f>
        <v>7.2999999999999995E-2</v>
      </c>
      <c r="H473" s="170">
        <f t="shared" ca="1" si="550"/>
        <v>2.4862318840579708E-2</v>
      </c>
      <c r="I473" s="394">
        <f t="shared" ca="1" si="551"/>
        <v>249</v>
      </c>
      <c r="K473" s="512">
        <v>10</v>
      </c>
      <c r="L473" s="516" t="s">
        <v>629</v>
      </c>
      <c r="M473" s="512" t="s">
        <v>1211</v>
      </c>
      <c r="N473" s="508">
        <f t="shared" ca="1" si="552"/>
        <v>115</v>
      </c>
      <c r="O473" s="508">
        <v>1</v>
      </c>
      <c r="P473" s="508">
        <f>宝箱设定!$X169</f>
        <v>7.2999999999999995E-2</v>
      </c>
      <c r="Q473" s="170">
        <f t="shared" ca="1" si="556"/>
        <v>2.983478260869565E-2</v>
      </c>
      <c r="R473" s="408">
        <f t="shared" ca="1" si="553"/>
        <v>298</v>
      </c>
      <c r="T473" s="512">
        <v>10</v>
      </c>
      <c r="U473" s="516" t="s">
        <v>629</v>
      </c>
      <c r="V473" s="512" t="s">
        <v>1211</v>
      </c>
      <c r="W473" s="508">
        <f t="shared" ca="1" si="554"/>
        <v>115</v>
      </c>
      <c r="X473" s="508">
        <v>1</v>
      </c>
      <c r="Y473" s="508">
        <f>宝箱设定!$X169</f>
        <v>7.2999999999999995E-2</v>
      </c>
      <c r="Z473" s="170">
        <f t="shared" ca="1" si="557"/>
        <v>3.0152173913043475E-2</v>
      </c>
      <c r="AA473" s="408">
        <f t="shared" ca="1" si="558"/>
        <v>302</v>
      </c>
      <c r="AC473" s="512">
        <v>9</v>
      </c>
      <c r="AD473" s="516" t="s">
        <v>2300</v>
      </c>
      <c r="AE473" s="529" t="s">
        <v>2444</v>
      </c>
      <c r="AF473" s="508" t="e">
        <f t="shared" ref="AF473:AF480" ca="1" si="561">IF(AE473="部件",VLOOKUP(AC473,INDIRECT(AE473&amp;"价值"),MATCH(LEFT(AD473,2)&amp;"部件",INDIRECT(AE473&amp;"价值标头"),0),FALSE),IF(AE473="加速道具",VLOOKUP(AD473,INDIRECT(AE473&amp;"价值"),MATCH("价格",INDIRECT(AE473&amp;"价值标头"),0),FALSE),VLOOKUP(AC473,INDIRECT(AE473&amp;"价值"),MATCH(AD473,INDIRECT(AE473&amp;"价值标头"),0),FALSE)))</f>
        <v>#N/A</v>
      </c>
      <c r="AG473" s="508">
        <v>1</v>
      </c>
      <c r="AH473" s="633">
        <v>1.23E-2</v>
      </c>
      <c r="AI473" s="170" t="e">
        <f t="shared" ca="1" si="525"/>
        <v>#N/A</v>
      </c>
      <c r="AJ473" s="508" t="e">
        <f t="shared" ca="1" si="526"/>
        <v>#N/A</v>
      </c>
      <c r="AL473" s="512">
        <v>9</v>
      </c>
      <c r="AM473" s="512" t="s">
        <v>2290</v>
      </c>
      <c r="AN473" s="529" t="s">
        <v>2444</v>
      </c>
      <c r="AO473" s="508" t="str">
        <f t="shared" ca="1" si="543"/>
        <v>T3部件</v>
      </c>
      <c r="AP473" s="508">
        <v>1</v>
      </c>
      <c r="AQ473" s="600">
        <v>8.9999999999999993E-3</v>
      </c>
      <c r="AR473" s="170" t="e">
        <f t="shared" ca="1" si="537"/>
        <v>#VALUE!</v>
      </c>
      <c r="AS473" s="508" t="e">
        <f t="shared" ca="1" si="538"/>
        <v>#VALUE!</v>
      </c>
      <c r="AU473" s="512">
        <v>9</v>
      </c>
      <c r="AV473" s="512" t="s">
        <v>2257</v>
      </c>
      <c r="AW473" s="529" t="s">
        <v>2452</v>
      </c>
      <c r="AX473" s="508">
        <f t="shared" ca="1" si="559"/>
        <v>8.1</v>
      </c>
      <c r="AY473" s="632">
        <v>2</v>
      </c>
      <c r="AZ473" s="632">
        <v>6.0000000000000001E-3</v>
      </c>
      <c r="BA473" s="170">
        <f t="shared" ca="1" si="533"/>
        <v>2.4074074074074078E-2</v>
      </c>
      <c r="BB473" s="508">
        <f t="shared" ca="1" si="534"/>
        <v>241</v>
      </c>
      <c r="BD473" s="512">
        <v>9</v>
      </c>
      <c r="BE473" s="512" t="s">
        <v>2257</v>
      </c>
      <c r="BF473" s="529" t="s">
        <v>2452</v>
      </c>
      <c r="BG473" s="508">
        <f t="shared" ca="1" si="560"/>
        <v>8.1</v>
      </c>
      <c r="BH473" s="615">
        <v>5.5</v>
      </c>
      <c r="BI473" s="615">
        <v>4.4999999999999997E-3</v>
      </c>
      <c r="BJ473" s="170">
        <f t="shared" ref="BJ473:BJ491" ca="1" si="562">BI473*BE$4/BG473/BH473</f>
        <v>1.48989898989899E-2</v>
      </c>
      <c r="BK473" s="394">
        <f t="shared" ref="BK473:BK491" ca="1" si="563">ROUND(BJ473*10000,0)</f>
        <v>149</v>
      </c>
      <c r="BM473" s="512">
        <v>10</v>
      </c>
      <c r="BN473" s="527" t="s">
        <v>2305</v>
      </c>
      <c r="BO473" s="530" t="s">
        <v>2200</v>
      </c>
      <c r="BP473" s="508" t="e">
        <f t="shared" ca="1" si="555"/>
        <v>#N/A</v>
      </c>
      <c r="BQ473" s="508">
        <v>1</v>
      </c>
      <c r="BR473" s="605">
        <v>5.1999999999999998E-3</v>
      </c>
      <c r="BS473" s="170" t="e">
        <f t="shared" ca="1" si="547"/>
        <v>#N/A</v>
      </c>
      <c r="BT473" s="523" t="e">
        <f t="shared" ca="1" si="548"/>
        <v>#N/A</v>
      </c>
    </row>
    <row r="474" spans="2:72" x14ac:dyDescent="0.35">
      <c r="B474" s="381">
        <v>10</v>
      </c>
      <c r="C474" s="516" t="s">
        <v>621</v>
      </c>
      <c r="D474" s="381" t="s">
        <v>1211</v>
      </c>
      <c r="E474" s="508">
        <f t="shared" ca="1" si="549"/>
        <v>142.6</v>
      </c>
      <c r="F474" s="594">
        <v>1.5</v>
      </c>
      <c r="G474" s="508">
        <f>宝箱设定!$X170</f>
        <v>7.2999999999999995E-2</v>
      </c>
      <c r="H474" s="170">
        <f t="shared" ca="1" si="550"/>
        <v>2.0050257129499763E-2</v>
      </c>
      <c r="I474" s="379">
        <f t="shared" ca="1" si="551"/>
        <v>201</v>
      </c>
      <c r="K474" s="512">
        <v>10</v>
      </c>
      <c r="L474" s="516" t="s">
        <v>621</v>
      </c>
      <c r="M474" s="512" t="s">
        <v>1211</v>
      </c>
      <c r="N474" s="508">
        <f t="shared" ca="1" si="552"/>
        <v>142.6</v>
      </c>
      <c r="O474" s="508">
        <v>1</v>
      </c>
      <c r="P474" s="508">
        <f>宝箱设定!$X170</f>
        <v>7.2999999999999995E-2</v>
      </c>
      <c r="Q474" s="170">
        <f t="shared" ca="1" si="556"/>
        <v>2.4060308555399718E-2</v>
      </c>
      <c r="R474" s="408">
        <f t="shared" ref="R474:R485" ca="1" si="564">ROUND(Q474*10000,0)</f>
        <v>241</v>
      </c>
      <c r="T474" s="512">
        <v>10</v>
      </c>
      <c r="U474" s="516" t="s">
        <v>621</v>
      </c>
      <c r="V474" s="512" t="s">
        <v>1211</v>
      </c>
      <c r="W474" s="508">
        <f t="shared" ca="1" si="554"/>
        <v>142.6</v>
      </c>
      <c r="X474" s="508">
        <v>1</v>
      </c>
      <c r="Y474" s="508">
        <f>宝箱设定!$X170</f>
        <v>7.2999999999999995E-2</v>
      </c>
      <c r="Z474" s="170">
        <f t="shared" ca="1" si="557"/>
        <v>2.4316269284712481E-2</v>
      </c>
      <c r="AA474" s="408">
        <f t="shared" ca="1" si="558"/>
        <v>243</v>
      </c>
      <c r="AC474" s="512">
        <v>9</v>
      </c>
      <c r="AD474" s="516" t="s">
        <v>2302</v>
      </c>
      <c r="AE474" s="529" t="s">
        <v>2444</v>
      </c>
      <c r="AF474" s="508" t="e">
        <f t="shared" ca="1" si="561"/>
        <v>#N/A</v>
      </c>
      <c r="AG474" s="508">
        <v>1</v>
      </c>
      <c r="AH474" s="633">
        <v>1.23E-2</v>
      </c>
      <c r="AI474" s="170" t="e">
        <f t="shared" ca="1" si="525"/>
        <v>#N/A</v>
      </c>
      <c r="AJ474" s="508" t="e">
        <f t="shared" ca="1" si="526"/>
        <v>#N/A</v>
      </c>
      <c r="AL474" s="512">
        <v>9</v>
      </c>
      <c r="AM474" s="512" t="s">
        <v>2292</v>
      </c>
      <c r="AN474" s="529" t="s">
        <v>2444</v>
      </c>
      <c r="AO474" s="508" t="str">
        <f t="shared" ca="1" si="543"/>
        <v>T3部件</v>
      </c>
      <c r="AP474" s="508">
        <v>1</v>
      </c>
      <c r="AQ474" s="600">
        <v>8.9999999999999993E-3</v>
      </c>
      <c r="AR474" s="170" t="e">
        <f t="shared" ca="1" si="537"/>
        <v>#VALUE!</v>
      </c>
      <c r="AS474" s="508" t="e">
        <f t="shared" ca="1" si="538"/>
        <v>#VALUE!</v>
      </c>
      <c r="AU474" s="512">
        <v>9</v>
      </c>
      <c r="AV474" s="516" t="s">
        <v>2258</v>
      </c>
      <c r="AW474" s="529" t="s">
        <v>2452</v>
      </c>
      <c r="AX474" s="508" t="str">
        <f t="shared" ca="1" si="559"/>
        <v>T2部件</v>
      </c>
      <c r="AY474" s="615">
        <v>2</v>
      </c>
      <c r="AZ474" s="600">
        <v>7.4999999999999997E-3</v>
      </c>
      <c r="BA474" s="170" t="e">
        <f t="shared" ca="1" si="533"/>
        <v>#VALUE!</v>
      </c>
      <c r="BB474" s="508" t="e">
        <f t="shared" ca="1" si="534"/>
        <v>#VALUE!</v>
      </c>
      <c r="BD474" s="512">
        <v>9</v>
      </c>
      <c r="BE474" s="516" t="s">
        <v>2258</v>
      </c>
      <c r="BF474" s="529" t="s">
        <v>2452</v>
      </c>
      <c r="BG474" s="508" t="str">
        <f t="shared" ca="1" si="560"/>
        <v>T2部件</v>
      </c>
      <c r="BH474" s="615">
        <v>2.5</v>
      </c>
      <c r="BI474" s="600">
        <v>7.3000000000000001E-3</v>
      </c>
      <c r="BJ474" s="170" t="e">
        <f t="shared" ca="1" si="562"/>
        <v>#VALUE!</v>
      </c>
      <c r="BK474" s="394" t="e">
        <f t="shared" ca="1" si="563"/>
        <v>#VALUE!</v>
      </c>
      <c r="BM474" s="512">
        <v>10</v>
      </c>
      <c r="BN474" s="527" t="s">
        <v>2307</v>
      </c>
      <c r="BO474" s="530" t="s">
        <v>2200</v>
      </c>
      <c r="BP474" s="508" t="e">
        <f t="shared" ca="1" si="555"/>
        <v>#N/A</v>
      </c>
      <c r="BQ474" s="508">
        <v>1</v>
      </c>
      <c r="BR474" s="605">
        <v>5.1999999999999998E-3</v>
      </c>
      <c r="BS474" s="170" t="e">
        <f t="shared" ca="1" si="547"/>
        <v>#N/A</v>
      </c>
      <c r="BT474" s="523" t="e">
        <f t="shared" ca="1" si="548"/>
        <v>#N/A</v>
      </c>
    </row>
    <row r="475" spans="2:72" x14ac:dyDescent="0.35">
      <c r="B475" s="381">
        <v>10</v>
      </c>
      <c r="C475" s="516" t="s">
        <v>634</v>
      </c>
      <c r="D475" s="381" t="s">
        <v>1211</v>
      </c>
      <c r="E475" s="508">
        <f t="shared" ca="1" si="549"/>
        <v>142.6</v>
      </c>
      <c r="F475" s="594">
        <v>1.5</v>
      </c>
      <c r="G475" s="508">
        <f>宝箱设定!$X171</f>
        <v>7.2999999999999995E-2</v>
      </c>
      <c r="H475" s="170">
        <f t="shared" ca="1" si="550"/>
        <v>2.0050257129499763E-2</v>
      </c>
      <c r="I475" s="379">
        <f t="shared" ca="1" si="551"/>
        <v>201</v>
      </c>
      <c r="K475" s="512">
        <v>10</v>
      </c>
      <c r="L475" s="516" t="s">
        <v>634</v>
      </c>
      <c r="M475" s="512" t="s">
        <v>1211</v>
      </c>
      <c r="N475" s="508">
        <f t="shared" ca="1" si="552"/>
        <v>142.6</v>
      </c>
      <c r="O475" s="508">
        <v>1</v>
      </c>
      <c r="P475" s="508">
        <f>宝箱设定!$X171</f>
        <v>7.2999999999999995E-2</v>
      </c>
      <c r="Q475" s="170">
        <f t="shared" ca="1" si="556"/>
        <v>2.4060308555399718E-2</v>
      </c>
      <c r="R475" s="408">
        <f t="shared" ca="1" si="564"/>
        <v>241</v>
      </c>
      <c r="T475" s="512">
        <v>10</v>
      </c>
      <c r="U475" s="516" t="s">
        <v>634</v>
      </c>
      <c r="V475" s="512" t="s">
        <v>1211</v>
      </c>
      <c r="W475" s="508">
        <f t="shared" ca="1" si="554"/>
        <v>142.6</v>
      </c>
      <c r="X475" s="508">
        <v>1</v>
      </c>
      <c r="Y475" s="508">
        <f>宝箱设定!$X171</f>
        <v>7.2999999999999995E-2</v>
      </c>
      <c r="Z475" s="170">
        <f t="shared" ca="1" si="557"/>
        <v>2.4316269284712481E-2</v>
      </c>
      <c r="AA475" s="408">
        <f t="shared" ca="1" si="558"/>
        <v>243</v>
      </c>
      <c r="AC475" s="512">
        <v>9</v>
      </c>
      <c r="AD475" s="516" t="s">
        <v>2304</v>
      </c>
      <c r="AE475" s="529" t="s">
        <v>2444</v>
      </c>
      <c r="AF475" s="508" t="e">
        <f t="shared" ca="1" si="561"/>
        <v>#N/A</v>
      </c>
      <c r="AG475" s="508">
        <v>1</v>
      </c>
      <c r="AH475" s="633">
        <v>1.23E-2</v>
      </c>
      <c r="AI475" s="170" t="e">
        <f t="shared" ca="1" si="525"/>
        <v>#N/A</v>
      </c>
      <c r="AJ475" s="508" t="e">
        <f t="shared" ca="1" si="526"/>
        <v>#N/A</v>
      </c>
      <c r="AL475" s="512">
        <v>9</v>
      </c>
      <c r="AM475" s="516" t="s">
        <v>2277</v>
      </c>
      <c r="AN475" s="529" t="s">
        <v>2444</v>
      </c>
      <c r="AO475" s="508" t="str">
        <f t="shared" ca="1" si="543"/>
        <v>T3部件</v>
      </c>
      <c r="AP475" s="508">
        <v>1</v>
      </c>
      <c r="AQ475" s="600">
        <v>8.9999999999999993E-3</v>
      </c>
      <c r="AR475" s="170" t="e">
        <f t="shared" ca="1" si="537"/>
        <v>#VALUE!</v>
      </c>
      <c r="AS475" s="508" t="e">
        <f t="shared" ca="1" si="538"/>
        <v>#VALUE!</v>
      </c>
      <c r="AU475" s="512">
        <v>9</v>
      </c>
      <c r="AV475" s="516" t="s">
        <v>2260</v>
      </c>
      <c r="AW475" s="529" t="s">
        <v>2452</v>
      </c>
      <c r="AX475" s="508" t="str">
        <f t="shared" ca="1" si="559"/>
        <v>T2部件</v>
      </c>
      <c r="AY475" s="615">
        <v>2</v>
      </c>
      <c r="AZ475" s="632">
        <v>7.4999999999999997E-3</v>
      </c>
      <c r="BA475" s="170" t="e">
        <f t="shared" ca="1" si="533"/>
        <v>#VALUE!</v>
      </c>
      <c r="BB475" s="508" t="e">
        <f t="shared" ca="1" si="534"/>
        <v>#VALUE!</v>
      </c>
      <c r="BD475" s="512">
        <v>9</v>
      </c>
      <c r="BE475" s="516" t="s">
        <v>2260</v>
      </c>
      <c r="BF475" s="529" t="s">
        <v>2452</v>
      </c>
      <c r="BG475" s="508" t="str">
        <f t="shared" ca="1" si="560"/>
        <v>T2部件</v>
      </c>
      <c r="BH475" s="615">
        <v>2.5</v>
      </c>
      <c r="BI475" s="615">
        <v>7.3000000000000001E-3</v>
      </c>
      <c r="BJ475" s="170" t="e">
        <f t="shared" ca="1" si="562"/>
        <v>#VALUE!</v>
      </c>
      <c r="BK475" s="394" t="e">
        <f t="shared" ca="1" si="563"/>
        <v>#VALUE!</v>
      </c>
      <c r="BM475" s="512">
        <v>10</v>
      </c>
      <c r="BN475" s="525" t="s">
        <v>2309</v>
      </c>
      <c r="BO475" s="530" t="s">
        <v>2200</v>
      </c>
      <c r="BP475" s="508" t="e">
        <f t="shared" ca="1" si="555"/>
        <v>#N/A</v>
      </c>
      <c r="BQ475" s="508">
        <v>1</v>
      </c>
      <c r="BR475" s="605">
        <v>5.1999999999999998E-3</v>
      </c>
      <c r="BS475" s="170" t="e">
        <f t="shared" ca="1" si="547"/>
        <v>#N/A</v>
      </c>
      <c r="BT475" s="523" t="e">
        <f t="shared" ca="1" si="548"/>
        <v>#N/A</v>
      </c>
    </row>
    <row r="476" spans="2:72" x14ac:dyDescent="0.35">
      <c r="B476" s="381">
        <v>10</v>
      </c>
      <c r="C476" s="516" t="s">
        <v>722</v>
      </c>
      <c r="D476" s="381" t="s">
        <v>1211</v>
      </c>
      <c r="E476" s="508">
        <f t="shared" ca="1" si="549"/>
        <v>142.6</v>
      </c>
      <c r="F476" s="594">
        <v>1.5</v>
      </c>
      <c r="G476" s="508">
        <f>宝箱设定!$X172</f>
        <v>7.2999999999999995E-2</v>
      </c>
      <c r="H476" s="170">
        <f t="shared" ca="1" si="550"/>
        <v>2.0050257129499763E-2</v>
      </c>
      <c r="I476" s="379">
        <f t="shared" ca="1" si="551"/>
        <v>201</v>
      </c>
      <c r="K476" s="512">
        <v>10</v>
      </c>
      <c r="L476" s="516" t="s">
        <v>722</v>
      </c>
      <c r="M476" s="512" t="s">
        <v>1211</v>
      </c>
      <c r="N476" s="508">
        <f t="shared" ca="1" si="552"/>
        <v>142.6</v>
      </c>
      <c r="O476" s="508">
        <v>1</v>
      </c>
      <c r="P476" s="508">
        <f>宝箱设定!$X172</f>
        <v>7.2999999999999995E-2</v>
      </c>
      <c r="Q476" s="170">
        <f t="shared" ca="1" si="556"/>
        <v>2.4060308555399718E-2</v>
      </c>
      <c r="R476" s="408">
        <f t="shared" ca="1" si="564"/>
        <v>241</v>
      </c>
      <c r="T476" s="512">
        <v>10</v>
      </c>
      <c r="U476" s="516" t="s">
        <v>722</v>
      </c>
      <c r="V476" s="512" t="s">
        <v>1211</v>
      </c>
      <c r="W476" s="508">
        <f t="shared" ca="1" si="554"/>
        <v>142.6</v>
      </c>
      <c r="X476" s="508">
        <v>1</v>
      </c>
      <c r="Y476" s="508">
        <f>宝箱设定!$X172</f>
        <v>7.2999999999999995E-2</v>
      </c>
      <c r="Z476" s="170">
        <f t="shared" ca="1" si="557"/>
        <v>2.4316269284712481E-2</v>
      </c>
      <c r="AA476" s="408">
        <f t="shared" ca="1" si="558"/>
        <v>243</v>
      </c>
      <c r="AC476" s="512">
        <v>9</v>
      </c>
      <c r="AD476" s="516" t="s">
        <v>2306</v>
      </c>
      <c r="AE476" s="529" t="s">
        <v>2444</v>
      </c>
      <c r="AF476" s="508" t="e">
        <f t="shared" ca="1" si="561"/>
        <v>#N/A</v>
      </c>
      <c r="AG476" s="508">
        <v>1</v>
      </c>
      <c r="AH476" s="633">
        <v>1.23E-2</v>
      </c>
      <c r="AI476" s="170" t="e">
        <f t="shared" ca="1" si="525"/>
        <v>#N/A</v>
      </c>
      <c r="AJ476" s="508" t="e">
        <f t="shared" ca="1" si="526"/>
        <v>#N/A</v>
      </c>
      <c r="AL476" s="512">
        <v>9</v>
      </c>
      <c r="AM476" s="516" t="s">
        <v>2279</v>
      </c>
      <c r="AN476" s="529" t="s">
        <v>2444</v>
      </c>
      <c r="AO476" s="508" t="str">
        <f t="shared" ca="1" si="543"/>
        <v>T3部件</v>
      </c>
      <c r="AP476" s="508">
        <v>1</v>
      </c>
      <c r="AQ476" s="600">
        <v>8.9999999999999993E-3</v>
      </c>
      <c r="AR476" s="170" t="e">
        <f t="shared" ca="1" si="537"/>
        <v>#VALUE!</v>
      </c>
      <c r="AS476" s="508" t="e">
        <f t="shared" ca="1" si="538"/>
        <v>#VALUE!</v>
      </c>
      <c r="AU476" s="512">
        <v>9</v>
      </c>
      <c r="AV476" s="516" t="s">
        <v>2262</v>
      </c>
      <c r="AW476" s="529" t="s">
        <v>2452</v>
      </c>
      <c r="AX476" s="508" t="str">
        <f t="shared" ca="1" si="559"/>
        <v>T2部件</v>
      </c>
      <c r="AY476" s="615">
        <v>2</v>
      </c>
      <c r="AZ476" s="632">
        <v>7.4999999999999997E-3</v>
      </c>
      <c r="BA476" s="170" t="e">
        <f t="shared" ca="1" si="533"/>
        <v>#VALUE!</v>
      </c>
      <c r="BB476" s="508" t="e">
        <f t="shared" ca="1" si="534"/>
        <v>#VALUE!</v>
      </c>
      <c r="BD476" s="512">
        <v>9</v>
      </c>
      <c r="BE476" s="516" t="s">
        <v>2262</v>
      </c>
      <c r="BF476" s="529" t="s">
        <v>2452</v>
      </c>
      <c r="BG476" s="508" t="str">
        <f t="shared" ca="1" si="560"/>
        <v>T2部件</v>
      </c>
      <c r="BH476" s="615">
        <v>2.5</v>
      </c>
      <c r="BI476" s="615">
        <v>7.3000000000000001E-3</v>
      </c>
      <c r="BJ476" s="170" t="e">
        <f t="shared" ca="1" si="562"/>
        <v>#VALUE!</v>
      </c>
      <c r="BK476" s="394" t="e">
        <f t="shared" ca="1" si="563"/>
        <v>#VALUE!</v>
      </c>
      <c r="BM476" s="512">
        <v>10</v>
      </c>
      <c r="BN476" s="525" t="s">
        <v>2311</v>
      </c>
      <c r="BO476" s="530" t="s">
        <v>2200</v>
      </c>
      <c r="BP476" s="508" t="e">
        <f t="shared" ca="1" si="555"/>
        <v>#N/A</v>
      </c>
      <c r="BQ476" s="508">
        <v>1</v>
      </c>
      <c r="BR476" s="605">
        <v>5.1999999999999998E-3</v>
      </c>
      <c r="BS476" s="170" t="e">
        <f t="shared" ca="1" si="547"/>
        <v>#N/A</v>
      </c>
      <c r="BT476" s="523" t="e">
        <f t="shared" ca="1" si="548"/>
        <v>#N/A</v>
      </c>
    </row>
    <row r="477" spans="2:72" x14ac:dyDescent="0.35">
      <c r="B477" s="381">
        <v>10</v>
      </c>
      <c r="C477" s="516" t="s">
        <v>2239</v>
      </c>
      <c r="D477" s="529" t="s">
        <v>2444</v>
      </c>
      <c r="E477" s="508">
        <f t="shared" ca="1" si="549"/>
        <v>7.4250000000000007</v>
      </c>
      <c r="F477" s="508">
        <v>2.5</v>
      </c>
      <c r="G477" s="594">
        <v>5.0000000000000001E-3</v>
      </c>
      <c r="H477" s="170">
        <f t="shared" ca="1" si="550"/>
        <v>1.5824915824915825E-2</v>
      </c>
      <c r="I477" s="379">
        <f t="shared" ca="1" si="551"/>
        <v>158</v>
      </c>
      <c r="K477" s="512">
        <v>10</v>
      </c>
      <c r="L477" s="516" t="s">
        <v>2239</v>
      </c>
      <c r="M477" s="529" t="s">
        <v>2444</v>
      </c>
      <c r="N477" s="508">
        <f t="shared" ca="1" si="552"/>
        <v>7.4250000000000007</v>
      </c>
      <c r="O477" s="508">
        <v>1</v>
      </c>
      <c r="P477" s="565">
        <v>6.1000000000000004E-3</v>
      </c>
      <c r="Q477" s="170">
        <f t="shared" ca="1" si="556"/>
        <v>3.8612794612794613E-2</v>
      </c>
      <c r="R477" s="379">
        <f t="shared" ca="1" si="564"/>
        <v>386</v>
      </c>
      <c r="T477" s="512">
        <v>10</v>
      </c>
      <c r="U477" s="516" t="s">
        <v>2239</v>
      </c>
      <c r="V477" s="529" t="s">
        <v>2444</v>
      </c>
      <c r="W477" s="508">
        <f t="shared" ca="1" si="554"/>
        <v>7.4250000000000007</v>
      </c>
      <c r="X477" s="508">
        <v>1</v>
      </c>
      <c r="Y477" s="625">
        <v>6.1000000000000004E-3</v>
      </c>
      <c r="Z477" s="170">
        <f t="shared" ref="Z477:Z485" ca="1" si="565">Y477*U$4/W477/X477</f>
        <v>3.9023569023569023E-2</v>
      </c>
      <c r="AA477" s="379">
        <f t="shared" ref="AA477:AA485" ca="1" si="566">ROUND(Z477*10000,0)</f>
        <v>390</v>
      </c>
      <c r="AC477" s="512">
        <v>9</v>
      </c>
      <c r="AD477" s="512" t="s">
        <v>2308</v>
      </c>
      <c r="AE477" s="529" t="s">
        <v>2444</v>
      </c>
      <c r="AF477" s="508" t="e">
        <f t="shared" ca="1" si="561"/>
        <v>#N/A</v>
      </c>
      <c r="AG477" s="508">
        <v>1</v>
      </c>
      <c r="AH477" s="633">
        <v>1.23E-2</v>
      </c>
      <c r="AI477" s="170" t="e">
        <f t="shared" ca="1" si="525"/>
        <v>#N/A</v>
      </c>
      <c r="AJ477" s="508" t="e">
        <f t="shared" ca="1" si="526"/>
        <v>#N/A</v>
      </c>
      <c r="AL477" s="512">
        <v>9</v>
      </c>
      <c r="AM477" s="516" t="s">
        <v>2281</v>
      </c>
      <c r="AN477" s="529" t="s">
        <v>2444</v>
      </c>
      <c r="AO477" s="508" t="str">
        <f t="shared" ca="1" si="543"/>
        <v>T3部件</v>
      </c>
      <c r="AP477" s="508">
        <v>1</v>
      </c>
      <c r="AQ477" s="600">
        <v>8.9999999999999993E-3</v>
      </c>
      <c r="AR477" s="170" t="e">
        <f t="shared" ca="1" si="537"/>
        <v>#VALUE!</v>
      </c>
      <c r="AS477" s="508" t="e">
        <f t="shared" ca="1" si="538"/>
        <v>#VALUE!</v>
      </c>
      <c r="AU477" s="512">
        <v>9</v>
      </c>
      <c r="AV477" s="516" t="s">
        <v>2264</v>
      </c>
      <c r="AW477" s="529" t="s">
        <v>2452</v>
      </c>
      <c r="AX477" s="508" t="str">
        <f t="shared" ca="1" si="559"/>
        <v>T2部件</v>
      </c>
      <c r="AY477" s="615">
        <v>2</v>
      </c>
      <c r="AZ477" s="632">
        <v>7.4999999999999997E-3</v>
      </c>
      <c r="BA477" s="170" t="e">
        <f t="shared" ca="1" si="533"/>
        <v>#VALUE!</v>
      </c>
      <c r="BB477" s="508" t="e">
        <f t="shared" ca="1" si="534"/>
        <v>#VALUE!</v>
      </c>
      <c r="BD477" s="512">
        <v>9</v>
      </c>
      <c r="BE477" s="516" t="s">
        <v>2264</v>
      </c>
      <c r="BF477" s="529" t="s">
        <v>2452</v>
      </c>
      <c r="BG477" s="508" t="str">
        <f t="shared" ca="1" si="560"/>
        <v>T2部件</v>
      </c>
      <c r="BH477" s="615">
        <v>2.5</v>
      </c>
      <c r="BI477" s="615">
        <v>7.3000000000000001E-3</v>
      </c>
      <c r="BJ477" s="170" t="e">
        <f t="shared" ca="1" si="562"/>
        <v>#VALUE!</v>
      </c>
      <c r="BK477" s="394" t="e">
        <f t="shared" ca="1" si="563"/>
        <v>#VALUE!</v>
      </c>
    </row>
    <row r="478" spans="2:72" x14ac:dyDescent="0.35">
      <c r="B478" s="381">
        <v>10</v>
      </c>
      <c r="C478" s="516" t="s">
        <v>2242</v>
      </c>
      <c r="D478" s="529" t="s">
        <v>2444</v>
      </c>
      <c r="E478" s="508">
        <f t="shared" ca="1" si="549"/>
        <v>7.4250000000000007</v>
      </c>
      <c r="F478" s="625">
        <v>2.5</v>
      </c>
      <c r="G478" s="594">
        <v>5.0000000000000001E-3</v>
      </c>
      <c r="H478" s="170">
        <f t="shared" ca="1" si="550"/>
        <v>1.5824915824915825E-2</v>
      </c>
      <c r="I478" s="379">
        <f t="shared" ca="1" si="551"/>
        <v>158</v>
      </c>
      <c r="K478" s="512">
        <v>10</v>
      </c>
      <c r="L478" s="516" t="s">
        <v>2242</v>
      </c>
      <c r="M478" s="529" t="s">
        <v>2444</v>
      </c>
      <c r="N478" s="508">
        <f t="shared" ca="1" si="552"/>
        <v>7.4250000000000007</v>
      </c>
      <c r="O478" s="508">
        <v>1</v>
      </c>
      <c r="P478" s="594">
        <v>6.1000000000000004E-3</v>
      </c>
      <c r="Q478" s="170">
        <f t="shared" ca="1" si="556"/>
        <v>3.8612794612794613E-2</v>
      </c>
      <c r="R478" s="379">
        <f t="shared" ca="1" si="564"/>
        <v>386</v>
      </c>
      <c r="T478" s="512">
        <v>10</v>
      </c>
      <c r="U478" s="516" t="s">
        <v>2242</v>
      </c>
      <c r="V478" s="529" t="s">
        <v>2444</v>
      </c>
      <c r="W478" s="508">
        <f t="shared" ca="1" si="554"/>
        <v>7.4250000000000007</v>
      </c>
      <c r="X478" s="508">
        <v>1</v>
      </c>
      <c r="Y478" s="625">
        <v>6.1000000000000004E-3</v>
      </c>
      <c r="Z478" s="170">
        <f t="shared" ca="1" si="565"/>
        <v>3.9023569023569023E-2</v>
      </c>
      <c r="AA478" s="379">
        <f t="shared" ca="1" si="566"/>
        <v>390</v>
      </c>
      <c r="AC478" s="512">
        <v>9</v>
      </c>
      <c r="AD478" s="512" t="s">
        <v>2310</v>
      </c>
      <c r="AE478" s="529" t="s">
        <v>2444</v>
      </c>
      <c r="AF478" s="508" t="e">
        <f t="shared" ca="1" si="561"/>
        <v>#N/A</v>
      </c>
      <c r="AG478" s="508">
        <v>1</v>
      </c>
      <c r="AH478" s="633">
        <v>1.23E-2</v>
      </c>
      <c r="AI478" s="170" t="e">
        <f t="shared" ca="1" si="525"/>
        <v>#N/A</v>
      </c>
      <c r="AJ478" s="508" t="e">
        <f t="shared" ca="1" si="526"/>
        <v>#N/A</v>
      </c>
      <c r="AL478" s="512">
        <v>9</v>
      </c>
      <c r="AM478" s="516" t="s">
        <v>2283</v>
      </c>
      <c r="AN478" s="529" t="s">
        <v>2444</v>
      </c>
      <c r="AO478" s="508" t="str">
        <f t="shared" ca="1" si="543"/>
        <v>T3部件</v>
      </c>
      <c r="AP478" s="508">
        <v>1</v>
      </c>
      <c r="AQ478" s="600">
        <v>8.9999999999999993E-3</v>
      </c>
      <c r="AR478" s="170" t="e">
        <f t="shared" ca="1" si="537"/>
        <v>#VALUE!</v>
      </c>
      <c r="AS478" s="508" t="e">
        <f t="shared" ca="1" si="538"/>
        <v>#VALUE!</v>
      </c>
      <c r="AU478" s="512">
        <v>9</v>
      </c>
      <c r="AV478" s="516" t="s">
        <v>2266</v>
      </c>
      <c r="AW478" s="529" t="s">
        <v>2452</v>
      </c>
      <c r="AX478" s="508" t="str">
        <f t="shared" ca="1" si="559"/>
        <v>T2部件</v>
      </c>
      <c r="AY478" s="615">
        <v>2</v>
      </c>
      <c r="AZ478" s="632">
        <v>7.4999999999999997E-3</v>
      </c>
      <c r="BA478" s="170" t="e">
        <f t="shared" ca="1" si="533"/>
        <v>#VALUE!</v>
      </c>
      <c r="BB478" s="508" t="e">
        <f t="shared" ca="1" si="534"/>
        <v>#VALUE!</v>
      </c>
      <c r="BD478" s="512">
        <v>9</v>
      </c>
      <c r="BE478" s="516" t="s">
        <v>2266</v>
      </c>
      <c r="BF478" s="529" t="s">
        <v>2452</v>
      </c>
      <c r="BG478" s="508" t="str">
        <f t="shared" ca="1" si="560"/>
        <v>T2部件</v>
      </c>
      <c r="BH478" s="615">
        <v>2.5</v>
      </c>
      <c r="BI478" s="615">
        <v>7.3000000000000001E-3</v>
      </c>
      <c r="BJ478" s="170" t="e">
        <f t="shared" ca="1" si="562"/>
        <v>#VALUE!</v>
      </c>
      <c r="BK478" s="394" t="e">
        <f t="shared" ca="1" si="563"/>
        <v>#VALUE!</v>
      </c>
    </row>
    <row r="479" spans="2:72" x14ac:dyDescent="0.35">
      <c r="B479" s="381">
        <v>10</v>
      </c>
      <c r="C479" s="516" t="s">
        <v>2244</v>
      </c>
      <c r="D479" s="529" t="s">
        <v>2444</v>
      </c>
      <c r="E479" s="508">
        <f t="shared" ca="1" si="549"/>
        <v>7.4250000000000007</v>
      </c>
      <c r="F479" s="625">
        <v>2.5</v>
      </c>
      <c r="G479" s="594">
        <v>5.0000000000000001E-3</v>
      </c>
      <c r="H479" s="170">
        <f t="shared" ca="1" si="550"/>
        <v>1.5824915824915825E-2</v>
      </c>
      <c r="I479" s="379">
        <f t="shared" ca="1" si="551"/>
        <v>158</v>
      </c>
      <c r="K479" s="512">
        <v>10</v>
      </c>
      <c r="L479" s="516" t="s">
        <v>2244</v>
      </c>
      <c r="M479" s="529" t="s">
        <v>2444</v>
      </c>
      <c r="N479" s="508">
        <f t="shared" ca="1" si="552"/>
        <v>7.4250000000000007</v>
      </c>
      <c r="O479" s="508">
        <v>1</v>
      </c>
      <c r="P479" s="594">
        <v>6.1000000000000004E-3</v>
      </c>
      <c r="Q479" s="170">
        <f t="shared" ca="1" si="556"/>
        <v>3.8612794612794613E-2</v>
      </c>
      <c r="R479" s="379">
        <f t="shared" ca="1" si="564"/>
        <v>386</v>
      </c>
      <c r="T479" s="512">
        <v>10</v>
      </c>
      <c r="U479" s="516" t="s">
        <v>2244</v>
      </c>
      <c r="V479" s="529" t="s">
        <v>2444</v>
      </c>
      <c r="W479" s="508">
        <f t="shared" ca="1" si="554"/>
        <v>7.4250000000000007</v>
      </c>
      <c r="X479" s="508">
        <v>1</v>
      </c>
      <c r="Y479" s="625">
        <v>6.1000000000000004E-3</v>
      </c>
      <c r="Z479" s="170">
        <f t="shared" ca="1" si="565"/>
        <v>3.9023569023569023E-2</v>
      </c>
      <c r="AA479" s="379">
        <f t="shared" ca="1" si="566"/>
        <v>390</v>
      </c>
      <c r="AC479" s="595">
        <v>9</v>
      </c>
      <c r="AD479" s="601" t="s">
        <v>2878</v>
      </c>
      <c r="AE479" s="601" t="s">
        <v>2879</v>
      </c>
      <c r="AF479" s="594">
        <f t="shared" ca="1" si="561"/>
        <v>35</v>
      </c>
      <c r="AG479" s="594">
        <v>1</v>
      </c>
      <c r="AH479" s="633">
        <v>1.7999999999999999E-2</v>
      </c>
      <c r="AI479" s="170">
        <f ca="1">AH479*AD$4/AF479/AG479</f>
        <v>3.2914285714285708E-2</v>
      </c>
      <c r="AJ479" s="594">
        <f ca="1">ROUND(AI479*10000,0)</f>
        <v>329</v>
      </c>
      <c r="AL479" s="512">
        <v>9</v>
      </c>
      <c r="AM479" s="516" t="s">
        <v>2285</v>
      </c>
      <c r="AN479" s="529" t="s">
        <v>2444</v>
      </c>
      <c r="AO479" s="508" t="str">
        <f t="shared" ca="1" si="543"/>
        <v>T3部件</v>
      </c>
      <c r="AP479" s="508">
        <v>1</v>
      </c>
      <c r="AQ479" s="600">
        <v>8.9999999999999993E-3</v>
      </c>
      <c r="AR479" s="170" t="e">
        <f t="shared" ca="1" si="537"/>
        <v>#VALUE!</v>
      </c>
      <c r="AS479" s="508" t="e">
        <f t="shared" ca="1" si="538"/>
        <v>#VALUE!</v>
      </c>
      <c r="AU479" s="512">
        <v>9</v>
      </c>
      <c r="AV479" s="516" t="s">
        <v>2268</v>
      </c>
      <c r="AW479" s="529" t="s">
        <v>2452</v>
      </c>
      <c r="AX479" s="508" t="str">
        <f t="shared" ca="1" si="559"/>
        <v>T2部件</v>
      </c>
      <c r="AY479" s="615">
        <v>2</v>
      </c>
      <c r="AZ479" s="632">
        <v>7.4999999999999997E-3</v>
      </c>
      <c r="BA479" s="170" t="e">
        <f t="shared" ca="1" si="533"/>
        <v>#VALUE!</v>
      </c>
      <c r="BB479" s="508" t="e">
        <f t="shared" ca="1" si="534"/>
        <v>#VALUE!</v>
      </c>
      <c r="BD479" s="512">
        <v>9</v>
      </c>
      <c r="BE479" s="516" t="s">
        <v>2268</v>
      </c>
      <c r="BF479" s="529" t="s">
        <v>2452</v>
      </c>
      <c r="BG479" s="508" t="str">
        <f t="shared" ca="1" si="560"/>
        <v>T2部件</v>
      </c>
      <c r="BH479" s="615">
        <v>2.5</v>
      </c>
      <c r="BI479" s="615">
        <v>7.3000000000000001E-3</v>
      </c>
      <c r="BJ479" s="170" t="e">
        <f t="shared" ca="1" si="562"/>
        <v>#VALUE!</v>
      </c>
      <c r="BK479" s="394" t="e">
        <f t="shared" ca="1" si="563"/>
        <v>#VALUE!</v>
      </c>
    </row>
    <row r="480" spans="2:72" x14ac:dyDescent="0.35">
      <c r="B480" s="381">
        <v>10</v>
      </c>
      <c r="C480" s="516" t="s">
        <v>2246</v>
      </c>
      <c r="D480" s="529" t="s">
        <v>2444</v>
      </c>
      <c r="E480" s="508">
        <f t="shared" ca="1" si="549"/>
        <v>7.4250000000000007</v>
      </c>
      <c r="F480" s="625">
        <v>2.5</v>
      </c>
      <c r="G480" s="594">
        <v>5.0000000000000001E-3</v>
      </c>
      <c r="H480" s="170">
        <f t="shared" ca="1" si="550"/>
        <v>1.5824915824915825E-2</v>
      </c>
      <c r="I480" s="379">
        <f t="shared" ca="1" si="551"/>
        <v>158</v>
      </c>
      <c r="K480" s="512">
        <v>10</v>
      </c>
      <c r="L480" s="516" t="s">
        <v>2246</v>
      </c>
      <c r="M480" s="529" t="s">
        <v>2444</v>
      </c>
      <c r="N480" s="508">
        <f t="shared" ca="1" si="552"/>
        <v>7.4250000000000007</v>
      </c>
      <c r="O480" s="508">
        <v>1</v>
      </c>
      <c r="P480" s="594">
        <v>6.1000000000000004E-3</v>
      </c>
      <c r="Q480" s="170">
        <f t="shared" ref="Q480:Q485" ca="1" si="567">P480*L$4/N480/O480</f>
        <v>3.8612794612794613E-2</v>
      </c>
      <c r="R480" s="379">
        <f t="shared" ca="1" si="564"/>
        <v>386</v>
      </c>
      <c r="T480" s="512">
        <v>10</v>
      </c>
      <c r="U480" s="516" t="s">
        <v>2246</v>
      </c>
      <c r="V480" s="529" t="s">
        <v>2444</v>
      </c>
      <c r="W480" s="508">
        <f t="shared" ca="1" si="554"/>
        <v>7.4250000000000007</v>
      </c>
      <c r="X480" s="508">
        <v>1</v>
      </c>
      <c r="Y480" s="625">
        <v>6.1000000000000004E-3</v>
      </c>
      <c r="Z480" s="170">
        <f t="shared" ca="1" si="565"/>
        <v>3.9023569023569023E-2</v>
      </c>
      <c r="AA480" s="379">
        <f t="shared" ca="1" si="566"/>
        <v>390</v>
      </c>
      <c r="AC480" s="595">
        <v>9</v>
      </c>
      <c r="AD480" s="601" t="s">
        <v>2880</v>
      </c>
      <c r="AE480" s="601" t="s">
        <v>2879</v>
      </c>
      <c r="AF480" s="594">
        <f t="shared" ca="1" si="561"/>
        <v>60</v>
      </c>
      <c r="AG480" s="594">
        <v>1</v>
      </c>
      <c r="AH480" s="633">
        <v>1.9E-2</v>
      </c>
      <c r="AI480" s="170">
        <f ca="1">AH480*AD$4/AF480/AG480</f>
        <v>2.0266666666666665E-2</v>
      </c>
      <c r="AJ480" s="594">
        <f ca="1">ROUND(AI480*10000,0)</f>
        <v>203</v>
      </c>
      <c r="AL480" s="512">
        <v>9</v>
      </c>
      <c r="AM480" s="516" t="s">
        <v>2287</v>
      </c>
      <c r="AN480" s="529" t="s">
        <v>2444</v>
      </c>
      <c r="AO480" s="508" t="str">
        <f t="shared" ca="1" si="543"/>
        <v>T3部件</v>
      </c>
      <c r="AP480" s="508">
        <v>1</v>
      </c>
      <c r="AQ480" s="600">
        <v>8.9999999999999993E-3</v>
      </c>
      <c r="AR480" s="170" t="e">
        <f t="shared" ca="1" si="537"/>
        <v>#VALUE!</v>
      </c>
      <c r="AS480" s="508" t="e">
        <f t="shared" ca="1" si="538"/>
        <v>#VALUE!</v>
      </c>
      <c r="AU480" s="512">
        <v>9</v>
      </c>
      <c r="AV480" s="516" t="s">
        <v>2270</v>
      </c>
      <c r="AW480" s="529" t="s">
        <v>2452</v>
      </c>
      <c r="AX480" s="508" t="str">
        <f t="shared" ca="1" si="559"/>
        <v>T2部件</v>
      </c>
      <c r="AY480" s="615">
        <v>2</v>
      </c>
      <c r="AZ480" s="632">
        <v>7.4999999999999997E-3</v>
      </c>
      <c r="BA480" s="170" t="e">
        <f t="shared" ca="1" si="533"/>
        <v>#VALUE!</v>
      </c>
      <c r="BB480" s="508" t="e">
        <f t="shared" ca="1" si="534"/>
        <v>#VALUE!</v>
      </c>
      <c r="BD480" s="512">
        <v>9</v>
      </c>
      <c r="BE480" s="516" t="s">
        <v>2270</v>
      </c>
      <c r="BF480" s="529" t="s">
        <v>2452</v>
      </c>
      <c r="BG480" s="508" t="str">
        <f t="shared" ca="1" si="560"/>
        <v>T2部件</v>
      </c>
      <c r="BH480" s="615">
        <v>2.5</v>
      </c>
      <c r="BI480" s="615">
        <v>7.3000000000000001E-3</v>
      </c>
      <c r="BJ480" s="170" t="e">
        <f t="shared" ca="1" si="562"/>
        <v>#VALUE!</v>
      </c>
      <c r="BK480" s="394" t="e">
        <f t="shared" ca="1" si="563"/>
        <v>#VALUE!</v>
      </c>
    </row>
    <row r="481" spans="2:63" x14ac:dyDescent="0.35">
      <c r="B481" s="381">
        <v>10</v>
      </c>
      <c r="C481" s="516" t="s">
        <v>2248</v>
      </c>
      <c r="D481" s="529" t="s">
        <v>2444</v>
      </c>
      <c r="E481" s="508">
        <f t="shared" ca="1" si="549"/>
        <v>7.4250000000000007</v>
      </c>
      <c r="F481" s="625">
        <v>2.5</v>
      </c>
      <c r="G481" s="594">
        <v>5.0000000000000001E-3</v>
      </c>
      <c r="H481" s="170">
        <f t="shared" ca="1" si="550"/>
        <v>1.5824915824915825E-2</v>
      </c>
      <c r="I481" s="379">
        <f t="shared" ca="1" si="551"/>
        <v>158</v>
      </c>
      <c r="K481" s="512">
        <v>10</v>
      </c>
      <c r="L481" s="516" t="s">
        <v>2248</v>
      </c>
      <c r="M481" s="529" t="s">
        <v>2444</v>
      </c>
      <c r="N481" s="508">
        <f t="shared" ca="1" si="552"/>
        <v>7.4250000000000007</v>
      </c>
      <c r="O481" s="508">
        <v>1</v>
      </c>
      <c r="P481" s="594">
        <v>6.1000000000000004E-3</v>
      </c>
      <c r="Q481" s="170">
        <f t="shared" ca="1" si="567"/>
        <v>3.8612794612794613E-2</v>
      </c>
      <c r="R481" s="379">
        <f t="shared" ca="1" si="564"/>
        <v>386</v>
      </c>
      <c r="T481" s="512">
        <v>10</v>
      </c>
      <c r="U481" s="516" t="s">
        <v>2248</v>
      </c>
      <c r="V481" s="529" t="s">
        <v>2444</v>
      </c>
      <c r="W481" s="508">
        <f t="shared" ca="1" si="554"/>
        <v>7.4250000000000007</v>
      </c>
      <c r="X481" s="508">
        <v>1</v>
      </c>
      <c r="Y481" s="625">
        <v>6.1000000000000004E-3</v>
      </c>
      <c r="Z481" s="170">
        <f t="shared" ca="1" si="565"/>
        <v>3.9023569023569023E-2</v>
      </c>
      <c r="AA481" s="379">
        <f t="shared" ca="1" si="566"/>
        <v>390</v>
      </c>
      <c r="AL481" s="512">
        <v>9</v>
      </c>
      <c r="AM481" s="516" t="s">
        <v>2289</v>
      </c>
      <c r="AN481" s="529" t="s">
        <v>2444</v>
      </c>
      <c r="AO481" s="508" t="str">
        <f t="shared" ca="1" si="543"/>
        <v>T3部件</v>
      </c>
      <c r="AP481" s="508">
        <v>1</v>
      </c>
      <c r="AQ481" s="600">
        <v>8.9999999999999993E-3</v>
      </c>
      <c r="AR481" s="170" t="e">
        <f t="shared" ca="1" si="537"/>
        <v>#VALUE!</v>
      </c>
      <c r="AS481" s="508" t="e">
        <f t="shared" ca="1" si="538"/>
        <v>#VALUE!</v>
      </c>
      <c r="AU481" s="512">
        <v>9</v>
      </c>
      <c r="AV481" s="512" t="s">
        <v>2272</v>
      </c>
      <c r="AW481" s="529" t="s">
        <v>2452</v>
      </c>
      <c r="AX481" s="508" t="str">
        <f t="shared" ca="1" si="559"/>
        <v>T2部件</v>
      </c>
      <c r="AY481" s="615">
        <v>2</v>
      </c>
      <c r="AZ481" s="632">
        <v>7.4999999999999997E-3</v>
      </c>
      <c r="BA481" s="170" t="e">
        <f t="shared" ca="1" si="533"/>
        <v>#VALUE!</v>
      </c>
      <c r="BB481" s="508" t="e">
        <f t="shared" ca="1" si="534"/>
        <v>#VALUE!</v>
      </c>
      <c r="BD481" s="512">
        <v>9</v>
      </c>
      <c r="BE481" s="512" t="s">
        <v>2272</v>
      </c>
      <c r="BF481" s="529" t="s">
        <v>2452</v>
      </c>
      <c r="BG481" s="508" t="str">
        <f t="shared" ca="1" si="560"/>
        <v>T2部件</v>
      </c>
      <c r="BH481" s="615">
        <v>2.5</v>
      </c>
      <c r="BI481" s="615">
        <v>7.3000000000000001E-3</v>
      </c>
      <c r="BJ481" s="170" t="e">
        <f t="shared" ca="1" si="562"/>
        <v>#VALUE!</v>
      </c>
      <c r="BK481" s="394" t="e">
        <f t="shared" ca="1" si="563"/>
        <v>#VALUE!</v>
      </c>
    </row>
    <row r="482" spans="2:63" x14ac:dyDescent="0.35">
      <c r="B482" s="381">
        <v>10</v>
      </c>
      <c r="C482" s="516" t="s">
        <v>2250</v>
      </c>
      <c r="D482" s="529" t="s">
        <v>2444</v>
      </c>
      <c r="E482" s="508">
        <f t="shared" ca="1" si="549"/>
        <v>7.4250000000000007</v>
      </c>
      <c r="F482" s="625">
        <v>2.5</v>
      </c>
      <c r="G482" s="594">
        <v>5.0000000000000001E-3</v>
      </c>
      <c r="H482" s="170">
        <f t="shared" ca="1" si="550"/>
        <v>1.5824915824915825E-2</v>
      </c>
      <c r="I482" s="379">
        <f t="shared" ca="1" si="551"/>
        <v>158</v>
      </c>
      <c r="K482" s="512">
        <v>10</v>
      </c>
      <c r="L482" s="516" t="s">
        <v>2250</v>
      </c>
      <c r="M482" s="529" t="s">
        <v>2444</v>
      </c>
      <c r="N482" s="508">
        <f t="shared" ca="1" si="552"/>
        <v>7.4250000000000007</v>
      </c>
      <c r="O482" s="508">
        <v>1</v>
      </c>
      <c r="P482" s="594">
        <v>6.1000000000000004E-3</v>
      </c>
      <c r="Q482" s="170">
        <f t="shared" ca="1" si="567"/>
        <v>3.8612794612794613E-2</v>
      </c>
      <c r="R482" s="379">
        <f t="shared" ca="1" si="564"/>
        <v>386</v>
      </c>
      <c r="T482" s="512">
        <v>10</v>
      </c>
      <c r="U482" s="516" t="s">
        <v>2250</v>
      </c>
      <c r="V482" s="529" t="s">
        <v>2444</v>
      </c>
      <c r="W482" s="508">
        <f t="shared" ca="1" si="554"/>
        <v>7.4250000000000007</v>
      </c>
      <c r="X482" s="508">
        <v>1</v>
      </c>
      <c r="Y482" s="625">
        <v>6.1000000000000004E-3</v>
      </c>
      <c r="Z482" s="170">
        <f t="shared" ca="1" si="565"/>
        <v>3.9023569023569023E-2</v>
      </c>
      <c r="AA482" s="379">
        <f t="shared" ca="1" si="566"/>
        <v>390</v>
      </c>
      <c r="AL482" s="512">
        <v>9</v>
      </c>
      <c r="AM482" s="512" t="s">
        <v>2291</v>
      </c>
      <c r="AN482" s="529" t="s">
        <v>2444</v>
      </c>
      <c r="AO482" s="508" t="str">
        <f t="shared" ca="1" si="543"/>
        <v>T3部件</v>
      </c>
      <c r="AP482" s="508">
        <v>1</v>
      </c>
      <c r="AQ482" s="600">
        <v>8.9999999999999993E-3</v>
      </c>
      <c r="AR482" s="170" t="e">
        <f t="shared" ca="1" si="537"/>
        <v>#VALUE!</v>
      </c>
      <c r="AS482" s="508" t="e">
        <f t="shared" ca="1" si="538"/>
        <v>#VALUE!</v>
      </c>
      <c r="AU482" s="512">
        <v>9</v>
      </c>
      <c r="AV482" s="512" t="s">
        <v>2274</v>
      </c>
      <c r="AW482" s="529" t="s">
        <v>2452</v>
      </c>
      <c r="AX482" s="508" t="str">
        <f t="shared" ca="1" si="559"/>
        <v>T2部件</v>
      </c>
      <c r="AY482" s="615">
        <v>2</v>
      </c>
      <c r="AZ482" s="632">
        <v>7.4999999999999997E-3</v>
      </c>
      <c r="BA482" s="170" t="e">
        <f t="shared" ca="1" si="533"/>
        <v>#VALUE!</v>
      </c>
      <c r="BB482" s="508" t="e">
        <f t="shared" ca="1" si="534"/>
        <v>#VALUE!</v>
      </c>
      <c r="BD482" s="512">
        <v>9</v>
      </c>
      <c r="BE482" s="512" t="s">
        <v>2274</v>
      </c>
      <c r="BF482" s="529" t="s">
        <v>2452</v>
      </c>
      <c r="BG482" s="508" t="str">
        <f t="shared" ca="1" si="560"/>
        <v>T2部件</v>
      </c>
      <c r="BH482" s="615">
        <v>2.5</v>
      </c>
      <c r="BI482" s="615">
        <v>7.3000000000000001E-3</v>
      </c>
      <c r="BJ482" s="170" t="e">
        <f t="shared" ca="1" si="562"/>
        <v>#VALUE!</v>
      </c>
      <c r="BK482" s="394" t="e">
        <f t="shared" ca="1" si="563"/>
        <v>#VALUE!</v>
      </c>
    </row>
    <row r="483" spans="2:63" x14ac:dyDescent="0.35">
      <c r="B483" s="512">
        <v>10</v>
      </c>
      <c r="C483" s="516" t="s">
        <v>2252</v>
      </c>
      <c r="D483" s="529" t="s">
        <v>2444</v>
      </c>
      <c r="E483" s="508">
        <f t="shared" ca="1" si="549"/>
        <v>7.4250000000000007</v>
      </c>
      <c r="F483" s="625">
        <v>2.5</v>
      </c>
      <c r="G483" s="594">
        <v>5.0000000000000001E-3</v>
      </c>
      <c r="H483" s="170">
        <f t="shared" ref="H483:H546" ca="1" si="568">G483*$C$4/E483/F483</f>
        <v>1.5824915824915825E-2</v>
      </c>
      <c r="I483" s="508">
        <f t="shared" ref="I483:I546" ca="1" si="569">ROUND(H483*10000,0)</f>
        <v>158</v>
      </c>
      <c r="K483" s="512">
        <v>10</v>
      </c>
      <c r="L483" s="516" t="s">
        <v>2252</v>
      </c>
      <c r="M483" s="529" t="s">
        <v>2444</v>
      </c>
      <c r="N483" s="508">
        <f t="shared" ca="1" si="552"/>
        <v>7.4250000000000007</v>
      </c>
      <c r="O483" s="508">
        <v>1</v>
      </c>
      <c r="P483" s="594">
        <v>6.1000000000000004E-3</v>
      </c>
      <c r="Q483" s="170">
        <f t="shared" ca="1" si="567"/>
        <v>3.8612794612794613E-2</v>
      </c>
      <c r="R483" s="394">
        <f t="shared" ca="1" si="564"/>
        <v>386</v>
      </c>
      <c r="T483" s="512">
        <v>10</v>
      </c>
      <c r="U483" s="516" t="s">
        <v>2252</v>
      </c>
      <c r="V483" s="529" t="s">
        <v>2444</v>
      </c>
      <c r="W483" s="508">
        <f t="shared" ca="1" si="554"/>
        <v>7.4250000000000007</v>
      </c>
      <c r="X483" s="508">
        <v>1</v>
      </c>
      <c r="Y483" s="625">
        <v>6.1000000000000004E-3</v>
      </c>
      <c r="Z483" s="170">
        <f t="shared" ca="1" si="565"/>
        <v>3.9023569023569023E-2</v>
      </c>
      <c r="AA483" s="394">
        <f t="shared" ca="1" si="566"/>
        <v>390</v>
      </c>
      <c r="AC483" s="512" t="s">
        <v>597</v>
      </c>
      <c r="AD483" s="512" t="s">
        <v>1225</v>
      </c>
      <c r="AE483" s="513" t="s">
        <v>917</v>
      </c>
      <c r="AF483" s="166" t="s">
        <v>920</v>
      </c>
      <c r="AG483" s="398" t="s">
        <v>967</v>
      </c>
      <c r="AH483" s="166" t="s">
        <v>854</v>
      </c>
      <c r="AI483" s="166" t="s">
        <v>926</v>
      </c>
      <c r="AJ483" s="383" t="s">
        <v>927</v>
      </c>
      <c r="AK483" s="300" t="e">
        <f ca="1">SUM(AJ484:AJ566)</f>
        <v>#VALUE!</v>
      </c>
      <c r="AL483" s="512">
        <v>9</v>
      </c>
      <c r="AM483" s="512" t="s">
        <v>2293</v>
      </c>
      <c r="AN483" s="529" t="s">
        <v>2444</v>
      </c>
      <c r="AO483" s="508" t="str">
        <f t="shared" ca="1" si="543"/>
        <v>T3部件</v>
      </c>
      <c r="AP483" s="508">
        <v>1</v>
      </c>
      <c r="AQ483" s="600">
        <v>8.9999999999999993E-3</v>
      </c>
      <c r="AR483" s="170" t="e">
        <f t="shared" ca="1" si="537"/>
        <v>#VALUE!</v>
      </c>
      <c r="AS483" s="508" t="e">
        <f t="shared" ca="1" si="538"/>
        <v>#VALUE!</v>
      </c>
      <c r="AU483" s="512">
        <v>9</v>
      </c>
      <c r="AV483" s="516" t="s">
        <v>2259</v>
      </c>
      <c r="AW483" s="529" t="s">
        <v>2452</v>
      </c>
      <c r="AX483" s="508" t="str">
        <f t="shared" ca="1" si="559"/>
        <v>T2部件</v>
      </c>
      <c r="AY483" s="615">
        <v>2</v>
      </c>
      <c r="AZ483" s="632">
        <v>7.4999999999999997E-3</v>
      </c>
      <c r="BA483" s="170" t="e">
        <f t="shared" ca="1" si="533"/>
        <v>#VALUE!</v>
      </c>
      <c r="BB483" s="508" t="e">
        <f t="shared" ca="1" si="534"/>
        <v>#VALUE!</v>
      </c>
      <c r="BD483" s="512">
        <v>9</v>
      </c>
      <c r="BE483" s="516" t="s">
        <v>2259</v>
      </c>
      <c r="BF483" s="529" t="s">
        <v>2452</v>
      </c>
      <c r="BG483" s="508" t="str">
        <f t="shared" ca="1" si="560"/>
        <v>T2部件</v>
      </c>
      <c r="BH483" s="615">
        <v>2.5</v>
      </c>
      <c r="BI483" s="615">
        <v>7.3000000000000001E-3</v>
      </c>
      <c r="BJ483" s="170" t="e">
        <f t="shared" ca="1" si="562"/>
        <v>#VALUE!</v>
      </c>
      <c r="BK483" s="394" t="e">
        <f t="shared" ca="1" si="563"/>
        <v>#VALUE!</v>
      </c>
    </row>
    <row r="484" spans="2:63" x14ac:dyDescent="0.35">
      <c r="B484" s="512">
        <v>10</v>
      </c>
      <c r="C484" s="512" t="s">
        <v>2254</v>
      </c>
      <c r="D484" s="529" t="s">
        <v>2444</v>
      </c>
      <c r="E484" s="508">
        <f t="shared" ca="1" si="549"/>
        <v>7.4250000000000007</v>
      </c>
      <c r="F484" s="625">
        <v>2.5</v>
      </c>
      <c r="G484" s="594">
        <v>5.0000000000000001E-3</v>
      </c>
      <c r="H484" s="170">
        <f t="shared" ca="1" si="568"/>
        <v>1.5824915824915825E-2</v>
      </c>
      <c r="I484" s="508">
        <f t="shared" ca="1" si="569"/>
        <v>158</v>
      </c>
      <c r="K484" s="512">
        <v>10</v>
      </c>
      <c r="L484" s="512" t="s">
        <v>2254</v>
      </c>
      <c r="M484" s="529" t="s">
        <v>2444</v>
      </c>
      <c r="N484" s="508">
        <f t="shared" ca="1" si="552"/>
        <v>7.4250000000000007</v>
      </c>
      <c r="O484" s="508">
        <v>1</v>
      </c>
      <c r="P484" s="594">
        <v>6.1000000000000004E-3</v>
      </c>
      <c r="Q484" s="170">
        <f t="shared" ca="1" si="567"/>
        <v>3.8612794612794613E-2</v>
      </c>
      <c r="R484" s="394">
        <f t="shared" ca="1" si="564"/>
        <v>386</v>
      </c>
      <c r="T484" s="512">
        <v>10</v>
      </c>
      <c r="U484" s="512" t="s">
        <v>2254</v>
      </c>
      <c r="V484" s="529" t="s">
        <v>2444</v>
      </c>
      <c r="W484" s="508">
        <f t="shared" ca="1" si="554"/>
        <v>7.4250000000000007</v>
      </c>
      <c r="X484" s="508">
        <v>1</v>
      </c>
      <c r="Y484" s="625">
        <v>6.1000000000000004E-3</v>
      </c>
      <c r="Z484" s="170">
        <f t="shared" ca="1" si="565"/>
        <v>3.9023569023569023E-2</v>
      </c>
      <c r="AA484" s="394">
        <f t="shared" ca="1" si="566"/>
        <v>390</v>
      </c>
      <c r="AC484" s="512">
        <v>10</v>
      </c>
      <c r="AD484" s="516" t="s">
        <v>620</v>
      </c>
      <c r="AE484" s="512" t="s">
        <v>1211</v>
      </c>
      <c r="AF484" s="508">
        <f t="shared" ref="AF484:AF515" ca="1" si="570">IF(AE484="部件",VLOOKUP(AC484,INDIRECT(AE484&amp;"价值"),MATCH(LEFT(AD484,2)&amp;"部件",INDIRECT(AE484&amp;"价值标头"),0),FALSE),IF(AE484="加速道具",VLOOKUP(AD484,INDIRECT(AE484&amp;"价值"),MATCH("价格",INDIRECT(AE484&amp;"价值标头"),0),FALSE),VLOOKUP(AC484,INDIRECT(AE484&amp;"价值"),MATCH(AD484,INDIRECT(AE484&amp;"价值标头"),0),FALSE)))</f>
        <v>92</v>
      </c>
      <c r="AG484" s="394">
        <v>1</v>
      </c>
      <c r="AH484" s="508">
        <f>宝箱设定!$X164</f>
        <v>7.2999999999999995E-2</v>
      </c>
      <c r="AI484" s="170">
        <f t="shared" ref="AI484:AI501" ca="1" si="571">AH484*AD$4/AF484/AG484</f>
        <v>5.0782608695652168E-2</v>
      </c>
      <c r="AJ484" s="379">
        <f t="shared" ref="AJ484:AJ501" ca="1" si="572">ROUND(AI484*10000,0)</f>
        <v>508</v>
      </c>
      <c r="AL484" s="512">
        <v>9</v>
      </c>
      <c r="AM484" s="516" t="s">
        <v>2294</v>
      </c>
      <c r="AN484" s="529" t="s">
        <v>2444</v>
      </c>
      <c r="AO484" s="508" t="e">
        <f t="shared" ca="1" si="543"/>
        <v>#N/A</v>
      </c>
      <c r="AP484" s="508">
        <v>1</v>
      </c>
      <c r="AQ484" s="565">
        <v>6.0000000000000001E-3</v>
      </c>
      <c r="AR484" s="170" t="e">
        <f t="shared" ca="1" si="537"/>
        <v>#N/A</v>
      </c>
      <c r="AS484" s="508" t="e">
        <f t="shared" ca="1" si="538"/>
        <v>#N/A</v>
      </c>
      <c r="AU484" s="512">
        <v>9</v>
      </c>
      <c r="AV484" s="516" t="s">
        <v>2261</v>
      </c>
      <c r="AW484" s="529" t="s">
        <v>2452</v>
      </c>
      <c r="AX484" s="508" t="str">
        <f t="shared" ca="1" si="559"/>
        <v>T2部件</v>
      </c>
      <c r="AY484" s="615">
        <v>2</v>
      </c>
      <c r="AZ484" s="632">
        <v>7.4999999999999997E-3</v>
      </c>
      <c r="BA484" s="170" t="e">
        <f t="shared" ca="1" si="533"/>
        <v>#VALUE!</v>
      </c>
      <c r="BB484" s="508" t="e">
        <f t="shared" ca="1" si="534"/>
        <v>#VALUE!</v>
      </c>
      <c r="BD484" s="512">
        <v>9</v>
      </c>
      <c r="BE484" s="516" t="s">
        <v>2261</v>
      </c>
      <c r="BF484" s="529" t="s">
        <v>2452</v>
      </c>
      <c r="BG484" s="508" t="str">
        <f t="shared" ca="1" si="560"/>
        <v>T2部件</v>
      </c>
      <c r="BH484" s="615">
        <v>2.5</v>
      </c>
      <c r="BI484" s="615">
        <v>7.3000000000000001E-3</v>
      </c>
      <c r="BJ484" s="170" t="e">
        <f t="shared" ca="1" si="562"/>
        <v>#VALUE!</v>
      </c>
      <c r="BK484" s="394" t="e">
        <f t="shared" ca="1" si="563"/>
        <v>#VALUE!</v>
      </c>
    </row>
    <row r="485" spans="2:63" x14ac:dyDescent="0.35">
      <c r="B485" s="512">
        <v>10</v>
      </c>
      <c r="C485" s="512" t="s">
        <v>2256</v>
      </c>
      <c r="D485" s="529" t="s">
        <v>2444</v>
      </c>
      <c r="E485" s="508">
        <f t="shared" ca="1" si="549"/>
        <v>7.4250000000000007</v>
      </c>
      <c r="F485" s="625">
        <v>2.5</v>
      </c>
      <c r="G485" s="594">
        <v>5.0000000000000001E-3</v>
      </c>
      <c r="H485" s="170">
        <f t="shared" ca="1" si="568"/>
        <v>1.5824915824915825E-2</v>
      </c>
      <c r="I485" s="508">
        <f t="shared" ca="1" si="569"/>
        <v>158</v>
      </c>
      <c r="K485" s="512">
        <v>10</v>
      </c>
      <c r="L485" s="512" t="s">
        <v>2256</v>
      </c>
      <c r="M485" s="529" t="s">
        <v>2444</v>
      </c>
      <c r="N485" s="508">
        <f t="shared" ca="1" si="552"/>
        <v>7.4250000000000007</v>
      </c>
      <c r="O485" s="508">
        <v>1</v>
      </c>
      <c r="P485" s="594">
        <v>6.1000000000000004E-3</v>
      </c>
      <c r="Q485" s="170">
        <f t="shared" ca="1" si="567"/>
        <v>3.8612794612794613E-2</v>
      </c>
      <c r="R485" s="394">
        <f t="shared" ca="1" si="564"/>
        <v>386</v>
      </c>
      <c r="T485" s="512">
        <v>10</v>
      </c>
      <c r="U485" s="512" t="s">
        <v>2256</v>
      </c>
      <c r="V485" s="529" t="s">
        <v>2444</v>
      </c>
      <c r="W485" s="508">
        <f t="shared" ca="1" si="554"/>
        <v>7.4250000000000007</v>
      </c>
      <c r="X485" s="508">
        <v>1</v>
      </c>
      <c r="Y485" s="625">
        <v>6.1000000000000004E-3</v>
      </c>
      <c r="Z485" s="170">
        <f t="shared" ca="1" si="565"/>
        <v>3.9023569023569023E-2</v>
      </c>
      <c r="AA485" s="394">
        <f t="shared" ca="1" si="566"/>
        <v>390</v>
      </c>
      <c r="AC485" s="512">
        <v>10</v>
      </c>
      <c r="AD485" s="516" t="s">
        <v>719</v>
      </c>
      <c r="AE485" s="512" t="s">
        <v>1211</v>
      </c>
      <c r="AF485" s="508">
        <f t="shared" ca="1" si="570"/>
        <v>92</v>
      </c>
      <c r="AG485" s="394">
        <v>1</v>
      </c>
      <c r="AH485" s="508">
        <f>宝箱设定!$X165</f>
        <v>7.2999999999999995E-2</v>
      </c>
      <c r="AI485" s="170">
        <f t="shared" ca="1" si="571"/>
        <v>5.0782608695652168E-2</v>
      </c>
      <c r="AJ485" s="379">
        <f t="shared" ca="1" si="572"/>
        <v>508</v>
      </c>
      <c r="AL485" s="512">
        <v>9</v>
      </c>
      <c r="AM485" s="516" t="s">
        <v>2296</v>
      </c>
      <c r="AN485" s="529" t="s">
        <v>2444</v>
      </c>
      <c r="AO485" s="508" t="e">
        <f t="shared" ca="1" si="543"/>
        <v>#N/A</v>
      </c>
      <c r="AP485" s="508">
        <v>1</v>
      </c>
      <c r="AQ485" s="600">
        <v>6.0000000000000001E-3</v>
      </c>
      <c r="AR485" s="170" t="e">
        <f t="shared" ca="1" si="537"/>
        <v>#N/A</v>
      </c>
      <c r="AS485" s="508" t="e">
        <f t="shared" ca="1" si="538"/>
        <v>#N/A</v>
      </c>
      <c r="AU485" s="512">
        <v>9</v>
      </c>
      <c r="AV485" s="516" t="s">
        <v>2263</v>
      </c>
      <c r="AW485" s="529" t="s">
        <v>2452</v>
      </c>
      <c r="AX485" s="508" t="str">
        <f t="shared" ca="1" si="559"/>
        <v>T2部件</v>
      </c>
      <c r="AY485" s="615">
        <v>2</v>
      </c>
      <c r="AZ485" s="632">
        <v>7.4999999999999997E-3</v>
      </c>
      <c r="BA485" s="170" t="e">
        <f t="shared" ca="1" si="533"/>
        <v>#VALUE!</v>
      </c>
      <c r="BB485" s="508" t="e">
        <f t="shared" ca="1" si="534"/>
        <v>#VALUE!</v>
      </c>
      <c r="BD485" s="512">
        <v>9</v>
      </c>
      <c r="BE485" s="516" t="s">
        <v>2263</v>
      </c>
      <c r="BF485" s="529" t="s">
        <v>2452</v>
      </c>
      <c r="BG485" s="508" t="str">
        <f t="shared" ca="1" si="560"/>
        <v>T2部件</v>
      </c>
      <c r="BH485" s="615">
        <v>2.5</v>
      </c>
      <c r="BI485" s="615">
        <v>7.3000000000000001E-3</v>
      </c>
      <c r="BJ485" s="170" t="e">
        <f t="shared" ca="1" si="562"/>
        <v>#VALUE!</v>
      </c>
      <c r="BK485" s="394" t="e">
        <f t="shared" ca="1" si="563"/>
        <v>#VALUE!</v>
      </c>
    </row>
    <row r="486" spans="2:63" x14ac:dyDescent="0.35">
      <c r="B486" s="512">
        <v>10</v>
      </c>
      <c r="C486" s="516" t="s">
        <v>2241</v>
      </c>
      <c r="D486" s="529" t="s">
        <v>2444</v>
      </c>
      <c r="E486" s="508">
        <f t="shared" ca="1" si="549"/>
        <v>7.4250000000000007</v>
      </c>
      <c r="F486" s="625">
        <v>2.5</v>
      </c>
      <c r="G486" s="594">
        <v>5.0000000000000001E-3</v>
      </c>
      <c r="H486" s="170">
        <f t="shared" ca="1" si="568"/>
        <v>1.5824915824915825E-2</v>
      </c>
      <c r="I486" s="508">
        <f t="shared" ca="1" si="569"/>
        <v>158</v>
      </c>
      <c r="K486" s="512">
        <v>10</v>
      </c>
      <c r="L486" s="516" t="s">
        <v>2241</v>
      </c>
      <c r="M486" s="529" t="s">
        <v>2444</v>
      </c>
      <c r="N486" s="508">
        <f t="shared" ca="1" si="552"/>
        <v>7.4250000000000007</v>
      </c>
      <c r="O486" s="508">
        <v>1</v>
      </c>
      <c r="P486" s="594">
        <v>6.1000000000000004E-3</v>
      </c>
      <c r="Q486" s="170">
        <f t="shared" ref="Q486:Q548" ca="1" si="573">P486*L$4/N486/O486</f>
        <v>3.8612794612794613E-2</v>
      </c>
      <c r="R486" s="508">
        <f t="shared" ref="R486:R548" ca="1" si="574">ROUND(Q486*10000,0)</f>
        <v>386</v>
      </c>
      <c r="T486" s="512">
        <v>10</v>
      </c>
      <c r="U486" s="516" t="s">
        <v>2241</v>
      </c>
      <c r="V486" s="529" t="s">
        <v>2444</v>
      </c>
      <c r="W486" s="508">
        <f t="shared" ca="1" si="554"/>
        <v>7.4250000000000007</v>
      </c>
      <c r="X486" s="508">
        <v>1</v>
      </c>
      <c r="Y486" s="625">
        <v>6.1000000000000004E-3</v>
      </c>
      <c r="Z486" s="170">
        <f t="shared" ref="Z486:Z548" ca="1" si="575">Y486*U$4/W486/X486</f>
        <v>3.9023569023569023E-2</v>
      </c>
      <c r="AA486" s="508">
        <f t="shared" ref="AA486:AA548" ca="1" si="576">ROUND(Z486*10000,0)</f>
        <v>390</v>
      </c>
      <c r="AC486" s="512">
        <v>10</v>
      </c>
      <c r="AD486" s="516" t="s">
        <v>635</v>
      </c>
      <c r="AE486" s="512" t="s">
        <v>1211</v>
      </c>
      <c r="AF486" s="508">
        <f t="shared" ca="1" si="570"/>
        <v>92</v>
      </c>
      <c r="AG486" s="394">
        <v>1</v>
      </c>
      <c r="AH486" s="508">
        <f>宝箱设定!$X166</f>
        <v>7.2999999999999995E-2</v>
      </c>
      <c r="AI486" s="170">
        <f t="shared" ca="1" si="571"/>
        <v>5.0782608695652168E-2</v>
      </c>
      <c r="AJ486" s="379">
        <f t="shared" ca="1" si="572"/>
        <v>508</v>
      </c>
      <c r="AL486" s="512">
        <v>9</v>
      </c>
      <c r="AM486" s="516" t="s">
        <v>2298</v>
      </c>
      <c r="AN486" s="529" t="s">
        <v>2444</v>
      </c>
      <c r="AO486" s="508" t="e">
        <f t="shared" ca="1" si="543"/>
        <v>#N/A</v>
      </c>
      <c r="AP486" s="508">
        <v>1</v>
      </c>
      <c r="AQ486" s="600">
        <v>6.0000000000000001E-3</v>
      </c>
      <c r="AR486" s="170" t="e">
        <f t="shared" ca="1" si="537"/>
        <v>#N/A</v>
      </c>
      <c r="AS486" s="508" t="e">
        <f t="shared" ca="1" si="538"/>
        <v>#N/A</v>
      </c>
      <c r="AU486" s="512">
        <v>9</v>
      </c>
      <c r="AV486" s="516" t="s">
        <v>2265</v>
      </c>
      <c r="AW486" s="529" t="s">
        <v>2452</v>
      </c>
      <c r="AX486" s="508" t="str">
        <f t="shared" ca="1" si="559"/>
        <v>T2部件</v>
      </c>
      <c r="AY486" s="615">
        <v>2</v>
      </c>
      <c r="AZ486" s="632">
        <v>7.4999999999999997E-3</v>
      </c>
      <c r="BA486" s="170" t="e">
        <f t="shared" ca="1" si="533"/>
        <v>#VALUE!</v>
      </c>
      <c r="BB486" s="508" t="e">
        <f t="shared" ca="1" si="534"/>
        <v>#VALUE!</v>
      </c>
      <c r="BD486" s="512">
        <v>9</v>
      </c>
      <c r="BE486" s="516" t="s">
        <v>2265</v>
      </c>
      <c r="BF486" s="529" t="s">
        <v>2452</v>
      </c>
      <c r="BG486" s="508" t="str">
        <f t="shared" ca="1" si="560"/>
        <v>T2部件</v>
      </c>
      <c r="BH486" s="615">
        <v>2.5</v>
      </c>
      <c r="BI486" s="615">
        <v>7.3000000000000001E-3</v>
      </c>
      <c r="BJ486" s="170" t="e">
        <f t="shared" ca="1" si="562"/>
        <v>#VALUE!</v>
      </c>
      <c r="BK486" s="394" t="e">
        <f t="shared" ca="1" si="563"/>
        <v>#VALUE!</v>
      </c>
    </row>
    <row r="487" spans="2:63" x14ac:dyDescent="0.35">
      <c r="B487" s="512">
        <v>10</v>
      </c>
      <c r="C487" s="516" t="s">
        <v>2243</v>
      </c>
      <c r="D487" s="529" t="s">
        <v>2444</v>
      </c>
      <c r="E487" s="508">
        <f t="shared" ca="1" si="549"/>
        <v>7.4250000000000007</v>
      </c>
      <c r="F487" s="625">
        <v>2.5</v>
      </c>
      <c r="G487" s="594">
        <v>5.0000000000000001E-3</v>
      </c>
      <c r="H487" s="170">
        <f t="shared" ca="1" si="568"/>
        <v>1.5824915824915825E-2</v>
      </c>
      <c r="I487" s="508">
        <f t="shared" ca="1" si="569"/>
        <v>158</v>
      </c>
      <c r="K487" s="512">
        <v>10</v>
      </c>
      <c r="L487" s="516" t="s">
        <v>2243</v>
      </c>
      <c r="M487" s="529" t="s">
        <v>2444</v>
      </c>
      <c r="N487" s="508">
        <f t="shared" ca="1" si="552"/>
        <v>7.4250000000000007</v>
      </c>
      <c r="O487" s="508">
        <v>1</v>
      </c>
      <c r="P487" s="594">
        <v>6.1000000000000004E-3</v>
      </c>
      <c r="Q487" s="170">
        <f t="shared" ca="1" si="573"/>
        <v>3.8612794612794613E-2</v>
      </c>
      <c r="R487" s="508">
        <f t="shared" ca="1" si="574"/>
        <v>386</v>
      </c>
      <c r="T487" s="512">
        <v>10</v>
      </c>
      <c r="U487" s="516" t="s">
        <v>2243</v>
      </c>
      <c r="V487" s="529" t="s">
        <v>2444</v>
      </c>
      <c r="W487" s="508">
        <f t="shared" ca="1" si="554"/>
        <v>7.4250000000000007</v>
      </c>
      <c r="X487" s="508">
        <v>1</v>
      </c>
      <c r="Y487" s="625">
        <v>6.1000000000000004E-3</v>
      </c>
      <c r="Z487" s="170">
        <f t="shared" ca="1" si="575"/>
        <v>3.9023569023569023E-2</v>
      </c>
      <c r="AA487" s="508">
        <f t="shared" ca="1" si="576"/>
        <v>390</v>
      </c>
      <c r="AC487" s="512">
        <v>10</v>
      </c>
      <c r="AD487" s="516" t="s">
        <v>717</v>
      </c>
      <c r="AE487" s="512" t="s">
        <v>1211</v>
      </c>
      <c r="AF487" s="508">
        <f t="shared" ca="1" si="570"/>
        <v>115</v>
      </c>
      <c r="AG487" s="408">
        <v>1</v>
      </c>
      <c r="AH487" s="508">
        <f>宝箱设定!$X167</f>
        <v>7.2999999999999995E-2</v>
      </c>
      <c r="AI487" s="170">
        <f t="shared" ca="1" si="571"/>
        <v>4.0626086956521736E-2</v>
      </c>
      <c r="AJ487" s="408">
        <f t="shared" ca="1" si="572"/>
        <v>406</v>
      </c>
      <c r="AL487" s="512">
        <v>9</v>
      </c>
      <c r="AM487" s="516" t="s">
        <v>2300</v>
      </c>
      <c r="AN487" s="529" t="s">
        <v>2444</v>
      </c>
      <c r="AO487" s="508" t="e">
        <f t="shared" ref="AO487:AO492" ca="1" si="577">IF(AN487="部件",VLOOKUP(AL487,INDIRECT(AN487&amp;"价值"),MATCH(LEFT(AM487,2)&amp;"部件",INDIRECT(AN487&amp;"价值标头"),0),FALSE),IF(AN487="加速道具",VLOOKUP(AM487,INDIRECT(AN487&amp;"价值"),MATCH("价格",INDIRECT(AN487&amp;"价值标头"),0),FALSE),VLOOKUP(AL487,INDIRECT(AN487&amp;"价值"),MATCH(AM487,INDIRECT(AN487&amp;"价值标头"),0),FALSE)))</f>
        <v>#N/A</v>
      </c>
      <c r="AP487" s="508">
        <v>1</v>
      </c>
      <c r="AQ487" s="600">
        <v>6.0000000000000001E-3</v>
      </c>
      <c r="AR487" s="170" t="e">
        <f t="shared" ca="1" si="537"/>
        <v>#N/A</v>
      </c>
      <c r="AS487" s="508" t="e">
        <f t="shared" ca="1" si="538"/>
        <v>#N/A</v>
      </c>
      <c r="AU487" s="512">
        <v>9</v>
      </c>
      <c r="AV487" s="516" t="s">
        <v>2267</v>
      </c>
      <c r="AW487" s="529" t="s">
        <v>2452</v>
      </c>
      <c r="AX487" s="508" t="str">
        <f t="shared" ca="1" si="559"/>
        <v>T2部件</v>
      </c>
      <c r="AY487" s="615">
        <v>2</v>
      </c>
      <c r="AZ487" s="632">
        <v>7.4999999999999997E-3</v>
      </c>
      <c r="BA487" s="170" t="e">
        <f t="shared" ca="1" si="533"/>
        <v>#VALUE!</v>
      </c>
      <c r="BB487" s="508" t="e">
        <f t="shared" ca="1" si="534"/>
        <v>#VALUE!</v>
      </c>
      <c r="BD487" s="512">
        <v>9</v>
      </c>
      <c r="BE487" s="516" t="s">
        <v>2267</v>
      </c>
      <c r="BF487" s="529" t="s">
        <v>2452</v>
      </c>
      <c r="BG487" s="508" t="str">
        <f t="shared" ca="1" si="560"/>
        <v>T2部件</v>
      </c>
      <c r="BH487" s="615">
        <v>2.5</v>
      </c>
      <c r="BI487" s="615">
        <v>7.3000000000000001E-3</v>
      </c>
      <c r="BJ487" s="170" t="e">
        <f t="shared" ca="1" si="562"/>
        <v>#VALUE!</v>
      </c>
      <c r="BK487" s="394" t="e">
        <f t="shared" ca="1" si="563"/>
        <v>#VALUE!</v>
      </c>
    </row>
    <row r="488" spans="2:63" x14ac:dyDescent="0.35">
      <c r="B488" s="512">
        <v>10</v>
      </c>
      <c r="C488" s="516" t="s">
        <v>2245</v>
      </c>
      <c r="D488" s="529" t="s">
        <v>2444</v>
      </c>
      <c r="E488" s="508">
        <f t="shared" ca="1" si="549"/>
        <v>7.4250000000000007</v>
      </c>
      <c r="F488" s="625">
        <v>2.5</v>
      </c>
      <c r="G488" s="594">
        <v>5.0000000000000001E-3</v>
      </c>
      <c r="H488" s="170">
        <f t="shared" ca="1" si="568"/>
        <v>1.5824915824915825E-2</v>
      </c>
      <c r="I488" s="508">
        <f t="shared" ca="1" si="569"/>
        <v>158</v>
      </c>
      <c r="K488" s="512">
        <v>10</v>
      </c>
      <c r="L488" s="516" t="s">
        <v>2245</v>
      </c>
      <c r="M488" s="529" t="s">
        <v>2444</v>
      </c>
      <c r="N488" s="508">
        <f t="shared" ca="1" si="552"/>
        <v>7.4250000000000007</v>
      </c>
      <c r="O488" s="508">
        <v>1</v>
      </c>
      <c r="P488" s="594">
        <v>6.1000000000000004E-3</v>
      </c>
      <c r="Q488" s="170">
        <f t="shared" ca="1" si="573"/>
        <v>3.8612794612794613E-2</v>
      </c>
      <c r="R488" s="508">
        <f t="shared" ca="1" si="574"/>
        <v>386</v>
      </c>
      <c r="T488" s="512">
        <v>10</v>
      </c>
      <c r="U488" s="516" t="s">
        <v>2245</v>
      </c>
      <c r="V488" s="529" t="s">
        <v>2444</v>
      </c>
      <c r="W488" s="508">
        <f t="shared" ca="1" si="554"/>
        <v>7.4250000000000007</v>
      </c>
      <c r="X488" s="508">
        <v>1</v>
      </c>
      <c r="Y488" s="625">
        <v>6.1000000000000004E-3</v>
      </c>
      <c r="Z488" s="170">
        <f t="shared" ca="1" si="575"/>
        <v>3.9023569023569023E-2</v>
      </c>
      <c r="AA488" s="508">
        <f t="shared" ca="1" si="576"/>
        <v>390</v>
      </c>
      <c r="AC488" s="512">
        <v>10</v>
      </c>
      <c r="AD488" s="516" t="s">
        <v>720</v>
      </c>
      <c r="AE488" s="512" t="s">
        <v>1211</v>
      </c>
      <c r="AF488" s="508">
        <f t="shared" ca="1" si="570"/>
        <v>115</v>
      </c>
      <c r="AG488" s="408">
        <v>1</v>
      </c>
      <c r="AH488" s="508">
        <f>宝箱设定!$X168</f>
        <v>7.2999999999999995E-2</v>
      </c>
      <c r="AI488" s="170">
        <f t="shared" ca="1" si="571"/>
        <v>4.0626086956521736E-2</v>
      </c>
      <c r="AJ488" s="408">
        <f t="shared" ca="1" si="572"/>
        <v>406</v>
      </c>
      <c r="AL488" s="512">
        <v>9</v>
      </c>
      <c r="AM488" s="516" t="s">
        <v>2302</v>
      </c>
      <c r="AN488" s="529" t="s">
        <v>2444</v>
      </c>
      <c r="AO488" s="508" t="e">
        <f t="shared" ca="1" si="577"/>
        <v>#N/A</v>
      </c>
      <c r="AP488" s="508">
        <v>1</v>
      </c>
      <c r="AQ488" s="600">
        <v>6.0000000000000001E-3</v>
      </c>
      <c r="AR488" s="170" t="e">
        <f t="shared" ca="1" si="537"/>
        <v>#N/A</v>
      </c>
      <c r="AS488" s="508" t="e">
        <f t="shared" ca="1" si="538"/>
        <v>#N/A</v>
      </c>
      <c r="AU488" s="512">
        <v>9</v>
      </c>
      <c r="AV488" s="516" t="s">
        <v>2269</v>
      </c>
      <c r="AW488" s="529" t="s">
        <v>2452</v>
      </c>
      <c r="AX488" s="508" t="str">
        <f t="shared" ca="1" si="559"/>
        <v>T2部件</v>
      </c>
      <c r="AY488" s="615">
        <v>2</v>
      </c>
      <c r="AZ488" s="632">
        <v>7.4999999999999997E-3</v>
      </c>
      <c r="BA488" s="170" t="e">
        <f t="shared" ca="1" si="533"/>
        <v>#VALUE!</v>
      </c>
      <c r="BB488" s="508" t="e">
        <f t="shared" ca="1" si="534"/>
        <v>#VALUE!</v>
      </c>
      <c r="BD488" s="512">
        <v>9</v>
      </c>
      <c r="BE488" s="516" t="s">
        <v>2269</v>
      </c>
      <c r="BF488" s="529" t="s">
        <v>2452</v>
      </c>
      <c r="BG488" s="508" t="str">
        <f t="shared" ca="1" si="560"/>
        <v>T2部件</v>
      </c>
      <c r="BH488" s="615">
        <v>2.5</v>
      </c>
      <c r="BI488" s="615">
        <v>7.3000000000000001E-3</v>
      </c>
      <c r="BJ488" s="170" t="e">
        <f t="shared" ca="1" si="562"/>
        <v>#VALUE!</v>
      </c>
      <c r="BK488" s="394" t="e">
        <f t="shared" ca="1" si="563"/>
        <v>#VALUE!</v>
      </c>
    </row>
    <row r="489" spans="2:63" x14ac:dyDescent="0.35">
      <c r="B489" s="512">
        <v>10</v>
      </c>
      <c r="C489" s="516" t="s">
        <v>2247</v>
      </c>
      <c r="D489" s="529" t="s">
        <v>2444</v>
      </c>
      <c r="E489" s="508">
        <f t="shared" ca="1" si="549"/>
        <v>7.4250000000000007</v>
      </c>
      <c r="F489" s="625">
        <v>2.5</v>
      </c>
      <c r="G489" s="594">
        <v>5.0000000000000001E-3</v>
      </c>
      <c r="H489" s="170">
        <f t="shared" ca="1" si="568"/>
        <v>1.5824915824915825E-2</v>
      </c>
      <c r="I489" s="508">
        <f t="shared" ca="1" si="569"/>
        <v>158</v>
      </c>
      <c r="K489" s="512">
        <v>10</v>
      </c>
      <c r="L489" s="516" t="s">
        <v>2247</v>
      </c>
      <c r="M489" s="529" t="s">
        <v>2444</v>
      </c>
      <c r="N489" s="508">
        <f t="shared" ca="1" si="552"/>
        <v>7.4250000000000007</v>
      </c>
      <c r="O489" s="508">
        <v>1</v>
      </c>
      <c r="P489" s="594">
        <v>6.1000000000000004E-3</v>
      </c>
      <c r="Q489" s="170">
        <f t="shared" ca="1" si="573"/>
        <v>3.8612794612794613E-2</v>
      </c>
      <c r="R489" s="508">
        <f t="shared" ca="1" si="574"/>
        <v>386</v>
      </c>
      <c r="T489" s="512">
        <v>10</v>
      </c>
      <c r="U489" s="516" t="s">
        <v>2247</v>
      </c>
      <c r="V489" s="529" t="s">
        <v>2444</v>
      </c>
      <c r="W489" s="508">
        <f t="shared" ca="1" si="554"/>
        <v>7.4250000000000007</v>
      </c>
      <c r="X489" s="508">
        <v>1</v>
      </c>
      <c r="Y489" s="625">
        <v>6.1000000000000004E-3</v>
      </c>
      <c r="Z489" s="170">
        <f t="shared" ca="1" si="575"/>
        <v>3.9023569023569023E-2</v>
      </c>
      <c r="AA489" s="508">
        <f t="shared" ca="1" si="576"/>
        <v>390</v>
      </c>
      <c r="AC489" s="512">
        <v>10</v>
      </c>
      <c r="AD489" s="516" t="s">
        <v>629</v>
      </c>
      <c r="AE489" s="512" t="s">
        <v>1211</v>
      </c>
      <c r="AF489" s="508">
        <f t="shared" ca="1" si="570"/>
        <v>115</v>
      </c>
      <c r="AG489" s="408">
        <v>1</v>
      </c>
      <c r="AH489" s="508">
        <f>宝箱设定!$X169</f>
        <v>7.2999999999999995E-2</v>
      </c>
      <c r="AI489" s="170">
        <f t="shared" ca="1" si="571"/>
        <v>4.0626086956521736E-2</v>
      </c>
      <c r="AJ489" s="408">
        <f t="shared" ca="1" si="572"/>
        <v>406</v>
      </c>
      <c r="AL489" s="512">
        <v>9</v>
      </c>
      <c r="AM489" s="516" t="s">
        <v>2304</v>
      </c>
      <c r="AN489" s="529" t="s">
        <v>2444</v>
      </c>
      <c r="AO489" s="508" t="e">
        <f t="shared" ca="1" si="577"/>
        <v>#N/A</v>
      </c>
      <c r="AP489" s="508">
        <v>1</v>
      </c>
      <c r="AQ489" s="600">
        <v>6.0000000000000001E-3</v>
      </c>
      <c r="AR489" s="170" t="e">
        <f t="shared" ca="1" si="537"/>
        <v>#N/A</v>
      </c>
      <c r="AS489" s="508" t="e">
        <f t="shared" ca="1" si="538"/>
        <v>#N/A</v>
      </c>
      <c r="AU489" s="512">
        <v>9</v>
      </c>
      <c r="AV489" s="516" t="s">
        <v>2271</v>
      </c>
      <c r="AW489" s="529" t="s">
        <v>2452</v>
      </c>
      <c r="AX489" s="508" t="str">
        <f t="shared" ca="1" si="559"/>
        <v>T2部件</v>
      </c>
      <c r="AY489" s="615">
        <v>2</v>
      </c>
      <c r="AZ489" s="632">
        <v>7.4999999999999997E-3</v>
      </c>
      <c r="BA489" s="170" t="e">
        <f t="shared" ca="1" si="533"/>
        <v>#VALUE!</v>
      </c>
      <c r="BB489" s="508" t="e">
        <f t="shared" ca="1" si="534"/>
        <v>#VALUE!</v>
      </c>
      <c r="BD489" s="512">
        <v>9</v>
      </c>
      <c r="BE489" s="516" t="s">
        <v>2271</v>
      </c>
      <c r="BF489" s="529" t="s">
        <v>2452</v>
      </c>
      <c r="BG489" s="508" t="str">
        <f t="shared" ca="1" si="560"/>
        <v>T2部件</v>
      </c>
      <c r="BH489" s="615">
        <v>2.5</v>
      </c>
      <c r="BI489" s="615">
        <v>7.3000000000000001E-3</v>
      </c>
      <c r="BJ489" s="170" t="e">
        <f t="shared" ca="1" si="562"/>
        <v>#VALUE!</v>
      </c>
      <c r="BK489" s="394" t="e">
        <f t="shared" ca="1" si="563"/>
        <v>#VALUE!</v>
      </c>
    </row>
    <row r="490" spans="2:63" x14ac:dyDescent="0.35">
      <c r="B490" s="512">
        <v>10</v>
      </c>
      <c r="C490" s="516" t="s">
        <v>2249</v>
      </c>
      <c r="D490" s="529" t="s">
        <v>2444</v>
      </c>
      <c r="E490" s="508">
        <f t="shared" ca="1" si="549"/>
        <v>7.4250000000000007</v>
      </c>
      <c r="F490" s="625">
        <v>2.5</v>
      </c>
      <c r="G490" s="594">
        <v>5.0000000000000001E-3</v>
      </c>
      <c r="H490" s="170">
        <f t="shared" ca="1" si="568"/>
        <v>1.5824915824915825E-2</v>
      </c>
      <c r="I490" s="508">
        <f t="shared" ca="1" si="569"/>
        <v>158</v>
      </c>
      <c r="K490" s="512">
        <v>10</v>
      </c>
      <c r="L490" s="516" t="s">
        <v>2249</v>
      </c>
      <c r="M490" s="529" t="s">
        <v>2444</v>
      </c>
      <c r="N490" s="508">
        <f t="shared" ca="1" si="552"/>
        <v>7.4250000000000007</v>
      </c>
      <c r="O490" s="508">
        <v>1</v>
      </c>
      <c r="P490" s="594">
        <v>6.1000000000000004E-3</v>
      </c>
      <c r="Q490" s="170">
        <f t="shared" ca="1" si="573"/>
        <v>3.8612794612794613E-2</v>
      </c>
      <c r="R490" s="508">
        <f t="shared" ca="1" si="574"/>
        <v>386</v>
      </c>
      <c r="T490" s="512">
        <v>10</v>
      </c>
      <c r="U490" s="516" t="s">
        <v>2249</v>
      </c>
      <c r="V490" s="529" t="s">
        <v>2444</v>
      </c>
      <c r="W490" s="508">
        <f t="shared" ca="1" si="554"/>
        <v>7.4250000000000007</v>
      </c>
      <c r="X490" s="508">
        <v>1</v>
      </c>
      <c r="Y490" s="625">
        <v>6.1000000000000004E-3</v>
      </c>
      <c r="Z490" s="170">
        <f t="shared" ca="1" si="575"/>
        <v>3.9023569023569023E-2</v>
      </c>
      <c r="AA490" s="508">
        <f t="shared" ca="1" si="576"/>
        <v>390</v>
      </c>
      <c r="AC490" s="512">
        <v>10</v>
      </c>
      <c r="AD490" s="516" t="s">
        <v>621</v>
      </c>
      <c r="AE490" s="512" t="s">
        <v>1211</v>
      </c>
      <c r="AF490" s="508">
        <f t="shared" ca="1" si="570"/>
        <v>142.6</v>
      </c>
      <c r="AG490" s="408">
        <v>1</v>
      </c>
      <c r="AH490" s="508">
        <f>宝箱设定!$X170</f>
        <v>7.2999999999999995E-2</v>
      </c>
      <c r="AI490" s="170">
        <f t="shared" ca="1" si="571"/>
        <v>3.276297335203366E-2</v>
      </c>
      <c r="AJ490" s="408">
        <f t="shared" ca="1" si="572"/>
        <v>328</v>
      </c>
      <c r="AL490" s="512">
        <v>9</v>
      </c>
      <c r="AM490" s="516" t="s">
        <v>2306</v>
      </c>
      <c r="AN490" s="529" t="s">
        <v>2444</v>
      </c>
      <c r="AO490" s="508" t="e">
        <f t="shared" ca="1" si="577"/>
        <v>#N/A</v>
      </c>
      <c r="AP490" s="508">
        <v>1</v>
      </c>
      <c r="AQ490" s="600">
        <v>6.0000000000000001E-3</v>
      </c>
      <c r="AR490" s="170" t="e">
        <f t="shared" ca="1" si="537"/>
        <v>#N/A</v>
      </c>
      <c r="AS490" s="508" t="e">
        <f t="shared" ca="1" si="538"/>
        <v>#N/A</v>
      </c>
      <c r="AU490" s="512">
        <v>9</v>
      </c>
      <c r="AV490" s="512" t="s">
        <v>2273</v>
      </c>
      <c r="AW490" s="529" t="s">
        <v>2452</v>
      </c>
      <c r="AX490" s="508" t="str">
        <f t="shared" ca="1" si="559"/>
        <v>T2部件</v>
      </c>
      <c r="AY490" s="615">
        <v>2</v>
      </c>
      <c r="AZ490" s="632">
        <v>7.4999999999999997E-3</v>
      </c>
      <c r="BA490" s="170" t="e">
        <f t="shared" ca="1" si="533"/>
        <v>#VALUE!</v>
      </c>
      <c r="BB490" s="508" t="e">
        <f t="shared" ca="1" si="534"/>
        <v>#VALUE!</v>
      </c>
      <c r="BD490" s="512">
        <v>9</v>
      </c>
      <c r="BE490" s="512" t="s">
        <v>2273</v>
      </c>
      <c r="BF490" s="529" t="s">
        <v>2452</v>
      </c>
      <c r="BG490" s="508" t="str">
        <f t="shared" ca="1" si="560"/>
        <v>T2部件</v>
      </c>
      <c r="BH490" s="615">
        <v>2.5</v>
      </c>
      <c r="BI490" s="615">
        <v>7.3000000000000001E-3</v>
      </c>
      <c r="BJ490" s="170" t="e">
        <f t="shared" ca="1" si="562"/>
        <v>#VALUE!</v>
      </c>
      <c r="BK490" s="394" t="e">
        <f t="shared" ca="1" si="563"/>
        <v>#VALUE!</v>
      </c>
    </row>
    <row r="491" spans="2:63" x14ac:dyDescent="0.35">
      <c r="B491" s="512">
        <v>10</v>
      </c>
      <c r="C491" s="516" t="s">
        <v>2251</v>
      </c>
      <c r="D491" s="529" t="s">
        <v>2444</v>
      </c>
      <c r="E491" s="508">
        <f t="shared" ca="1" si="549"/>
        <v>7.4250000000000007</v>
      </c>
      <c r="F491" s="625">
        <v>2.5</v>
      </c>
      <c r="G491" s="594">
        <v>5.0000000000000001E-3</v>
      </c>
      <c r="H491" s="170">
        <f t="shared" ca="1" si="568"/>
        <v>1.5824915824915825E-2</v>
      </c>
      <c r="I491" s="508">
        <f t="shared" ca="1" si="569"/>
        <v>158</v>
      </c>
      <c r="K491" s="512">
        <v>10</v>
      </c>
      <c r="L491" s="516" t="s">
        <v>2251</v>
      </c>
      <c r="M491" s="529" t="s">
        <v>2444</v>
      </c>
      <c r="N491" s="508">
        <f t="shared" ca="1" si="552"/>
        <v>7.4250000000000007</v>
      </c>
      <c r="O491" s="508">
        <v>1</v>
      </c>
      <c r="P491" s="594">
        <v>6.1000000000000004E-3</v>
      </c>
      <c r="Q491" s="170">
        <f t="shared" ca="1" si="573"/>
        <v>3.8612794612794613E-2</v>
      </c>
      <c r="R491" s="508">
        <f t="shared" ca="1" si="574"/>
        <v>386</v>
      </c>
      <c r="T491" s="512">
        <v>10</v>
      </c>
      <c r="U491" s="516" t="s">
        <v>2251</v>
      </c>
      <c r="V491" s="529" t="s">
        <v>2444</v>
      </c>
      <c r="W491" s="508">
        <f t="shared" ca="1" si="554"/>
        <v>7.4250000000000007</v>
      </c>
      <c r="X491" s="508">
        <v>1</v>
      </c>
      <c r="Y491" s="625">
        <v>6.1000000000000004E-3</v>
      </c>
      <c r="Z491" s="170">
        <f t="shared" ca="1" si="575"/>
        <v>3.9023569023569023E-2</v>
      </c>
      <c r="AA491" s="508">
        <f t="shared" ca="1" si="576"/>
        <v>390</v>
      </c>
      <c r="AC491" s="512">
        <v>10</v>
      </c>
      <c r="AD491" s="516" t="s">
        <v>634</v>
      </c>
      <c r="AE491" s="512" t="s">
        <v>1211</v>
      </c>
      <c r="AF491" s="508">
        <f t="shared" ca="1" si="570"/>
        <v>142.6</v>
      </c>
      <c r="AG491" s="408">
        <v>1</v>
      </c>
      <c r="AH491" s="508">
        <f>宝箱设定!$X171</f>
        <v>7.2999999999999995E-2</v>
      </c>
      <c r="AI491" s="170">
        <f t="shared" ca="1" si="571"/>
        <v>3.276297335203366E-2</v>
      </c>
      <c r="AJ491" s="408">
        <f t="shared" ca="1" si="572"/>
        <v>328</v>
      </c>
      <c r="AL491" s="512">
        <v>9</v>
      </c>
      <c r="AM491" s="512" t="s">
        <v>2308</v>
      </c>
      <c r="AN491" s="529" t="s">
        <v>2444</v>
      </c>
      <c r="AO491" s="508" t="e">
        <f t="shared" ca="1" si="577"/>
        <v>#N/A</v>
      </c>
      <c r="AP491" s="508">
        <v>1</v>
      </c>
      <c r="AQ491" s="600">
        <v>6.0000000000000001E-3</v>
      </c>
      <c r="AR491" s="170" t="e">
        <f t="shared" ca="1" si="537"/>
        <v>#N/A</v>
      </c>
      <c r="AS491" s="508" t="e">
        <f t="shared" ca="1" si="538"/>
        <v>#N/A</v>
      </c>
      <c r="AU491" s="512">
        <v>9</v>
      </c>
      <c r="AV491" s="512" t="s">
        <v>2275</v>
      </c>
      <c r="AW491" s="529" t="s">
        <v>2452</v>
      </c>
      <c r="AX491" s="508" t="str">
        <f t="shared" ca="1" si="559"/>
        <v>T2部件</v>
      </c>
      <c r="AY491" s="615">
        <v>2</v>
      </c>
      <c r="AZ491" s="632">
        <v>7.4999999999999997E-3</v>
      </c>
      <c r="BA491" s="170" t="e">
        <f t="shared" ca="1" si="533"/>
        <v>#VALUE!</v>
      </c>
      <c r="BB491" s="508" t="e">
        <f t="shared" ca="1" si="534"/>
        <v>#VALUE!</v>
      </c>
      <c r="BD491" s="512">
        <v>9</v>
      </c>
      <c r="BE491" s="512" t="s">
        <v>2275</v>
      </c>
      <c r="BF491" s="529" t="s">
        <v>2452</v>
      </c>
      <c r="BG491" s="508" t="str">
        <f t="shared" ca="1" si="560"/>
        <v>T2部件</v>
      </c>
      <c r="BH491" s="615">
        <v>2.5</v>
      </c>
      <c r="BI491" s="615">
        <v>7.3000000000000001E-3</v>
      </c>
      <c r="BJ491" s="170" t="e">
        <f t="shared" ca="1" si="562"/>
        <v>#VALUE!</v>
      </c>
      <c r="BK491" s="394" t="e">
        <f t="shared" ca="1" si="563"/>
        <v>#VALUE!</v>
      </c>
    </row>
    <row r="492" spans="2:63" x14ac:dyDescent="0.35">
      <c r="B492" s="512">
        <v>10</v>
      </c>
      <c r="C492" s="516" t="s">
        <v>2253</v>
      </c>
      <c r="D492" s="529" t="s">
        <v>2444</v>
      </c>
      <c r="E492" s="508">
        <f t="shared" ca="1" si="549"/>
        <v>7.4250000000000007</v>
      </c>
      <c r="F492" s="625">
        <v>2.5</v>
      </c>
      <c r="G492" s="594">
        <v>5.0000000000000001E-3</v>
      </c>
      <c r="H492" s="170">
        <f t="shared" ca="1" si="568"/>
        <v>1.5824915824915825E-2</v>
      </c>
      <c r="I492" s="508">
        <f t="shared" ca="1" si="569"/>
        <v>158</v>
      </c>
      <c r="K492" s="512">
        <v>10</v>
      </c>
      <c r="L492" s="516" t="s">
        <v>2253</v>
      </c>
      <c r="M492" s="529" t="s">
        <v>2444</v>
      </c>
      <c r="N492" s="508">
        <f t="shared" ca="1" si="552"/>
        <v>7.4250000000000007</v>
      </c>
      <c r="O492" s="508">
        <v>1</v>
      </c>
      <c r="P492" s="594">
        <v>6.1000000000000004E-3</v>
      </c>
      <c r="Q492" s="170">
        <f t="shared" ca="1" si="573"/>
        <v>3.8612794612794613E-2</v>
      </c>
      <c r="R492" s="508">
        <f t="shared" ca="1" si="574"/>
        <v>386</v>
      </c>
      <c r="T492" s="512">
        <v>10</v>
      </c>
      <c r="U492" s="516" t="s">
        <v>2253</v>
      </c>
      <c r="V492" s="529" t="s">
        <v>2444</v>
      </c>
      <c r="W492" s="508">
        <f t="shared" ca="1" si="554"/>
        <v>7.4250000000000007</v>
      </c>
      <c r="X492" s="508">
        <v>1</v>
      </c>
      <c r="Y492" s="625">
        <v>6.1000000000000004E-3</v>
      </c>
      <c r="Z492" s="170">
        <f t="shared" ca="1" si="575"/>
        <v>3.9023569023569023E-2</v>
      </c>
      <c r="AA492" s="508">
        <f t="shared" ca="1" si="576"/>
        <v>390</v>
      </c>
      <c r="AC492" s="512">
        <v>10</v>
      </c>
      <c r="AD492" s="516" t="s">
        <v>722</v>
      </c>
      <c r="AE492" s="512" t="s">
        <v>1211</v>
      </c>
      <c r="AF492" s="508">
        <f t="shared" ca="1" si="570"/>
        <v>142.6</v>
      </c>
      <c r="AG492" s="408">
        <v>1</v>
      </c>
      <c r="AH492" s="508">
        <f>宝箱设定!$X172</f>
        <v>7.2999999999999995E-2</v>
      </c>
      <c r="AI492" s="170">
        <f t="shared" ca="1" si="571"/>
        <v>3.276297335203366E-2</v>
      </c>
      <c r="AJ492" s="408">
        <f t="shared" ca="1" si="572"/>
        <v>328</v>
      </c>
      <c r="AL492" s="512">
        <v>9</v>
      </c>
      <c r="AM492" s="512" t="s">
        <v>2310</v>
      </c>
      <c r="AN492" s="529" t="s">
        <v>2444</v>
      </c>
      <c r="AO492" s="508" t="e">
        <f t="shared" ca="1" si="577"/>
        <v>#N/A</v>
      </c>
      <c r="AP492" s="508">
        <v>1</v>
      </c>
      <c r="AQ492" s="600">
        <v>6.0000000000000001E-3</v>
      </c>
      <c r="AR492" s="170" t="e">
        <f t="shared" ca="1" si="537"/>
        <v>#N/A</v>
      </c>
      <c r="AS492" s="508" t="e">
        <f t="shared" ca="1" si="538"/>
        <v>#N/A</v>
      </c>
      <c r="AU492" s="512">
        <v>9</v>
      </c>
      <c r="AV492" s="516" t="s">
        <v>2276</v>
      </c>
      <c r="AW492" s="529" t="s">
        <v>2452</v>
      </c>
      <c r="AX492" s="508" t="str">
        <f t="shared" ca="1" si="559"/>
        <v>T3部件</v>
      </c>
      <c r="AY492" s="615">
        <v>1</v>
      </c>
      <c r="AZ492" s="600">
        <v>6.1999999999999998E-3</v>
      </c>
      <c r="BA492" s="170" t="e">
        <f t="shared" ca="1" si="533"/>
        <v>#VALUE!</v>
      </c>
      <c r="BB492" s="508" t="e">
        <f t="shared" ca="1" si="534"/>
        <v>#VALUE!</v>
      </c>
      <c r="BD492" s="512">
        <v>9</v>
      </c>
      <c r="BE492" s="516" t="s">
        <v>2276</v>
      </c>
      <c r="BF492" s="529" t="s">
        <v>2452</v>
      </c>
      <c r="BG492" s="508" t="str">
        <f t="shared" ca="1" si="560"/>
        <v>T3部件</v>
      </c>
      <c r="BH492" s="615">
        <v>1</v>
      </c>
      <c r="BI492" s="600">
        <v>6.1999999999999998E-3</v>
      </c>
      <c r="BJ492" s="170" t="e">
        <f t="shared" ca="1" si="539"/>
        <v>#VALUE!</v>
      </c>
      <c r="BK492" s="379" t="e">
        <f t="shared" ca="1" si="540"/>
        <v>#VALUE!</v>
      </c>
    </row>
    <row r="493" spans="2:63" x14ac:dyDescent="0.35">
      <c r="B493" s="512">
        <v>10</v>
      </c>
      <c r="C493" s="512" t="s">
        <v>2255</v>
      </c>
      <c r="D493" s="529" t="s">
        <v>2444</v>
      </c>
      <c r="E493" s="508">
        <f t="shared" ca="1" si="549"/>
        <v>7.4250000000000007</v>
      </c>
      <c r="F493" s="625">
        <v>2.5</v>
      </c>
      <c r="G493" s="594">
        <v>5.0000000000000001E-3</v>
      </c>
      <c r="H493" s="170">
        <f t="shared" ca="1" si="568"/>
        <v>1.5824915824915825E-2</v>
      </c>
      <c r="I493" s="508">
        <f t="shared" ca="1" si="569"/>
        <v>158</v>
      </c>
      <c r="K493" s="512">
        <v>10</v>
      </c>
      <c r="L493" s="512" t="s">
        <v>2255</v>
      </c>
      <c r="M493" s="529" t="s">
        <v>2444</v>
      </c>
      <c r="N493" s="508">
        <f t="shared" ca="1" si="552"/>
        <v>7.4250000000000007</v>
      </c>
      <c r="O493" s="508">
        <v>1</v>
      </c>
      <c r="P493" s="594">
        <v>6.1000000000000004E-3</v>
      </c>
      <c r="Q493" s="170">
        <f t="shared" ca="1" si="573"/>
        <v>3.8612794612794613E-2</v>
      </c>
      <c r="R493" s="508">
        <f t="shared" ca="1" si="574"/>
        <v>386</v>
      </c>
      <c r="T493" s="512">
        <v>10</v>
      </c>
      <c r="U493" s="512" t="s">
        <v>2255</v>
      </c>
      <c r="V493" s="529" t="s">
        <v>2444</v>
      </c>
      <c r="W493" s="508">
        <f t="shared" ca="1" si="554"/>
        <v>7.4250000000000007</v>
      </c>
      <c r="X493" s="508">
        <v>1</v>
      </c>
      <c r="Y493" s="625">
        <v>6.1000000000000004E-3</v>
      </c>
      <c r="Z493" s="170">
        <f t="shared" ca="1" si="575"/>
        <v>3.9023569023569023E-2</v>
      </c>
      <c r="AA493" s="508">
        <f t="shared" ca="1" si="576"/>
        <v>390</v>
      </c>
      <c r="AC493" s="512">
        <v>10</v>
      </c>
      <c r="AD493" s="516" t="s">
        <v>2239</v>
      </c>
      <c r="AE493" s="529" t="s">
        <v>2444</v>
      </c>
      <c r="AF493" s="508">
        <f t="shared" ca="1" si="570"/>
        <v>7.4250000000000007</v>
      </c>
      <c r="AG493" s="394">
        <v>1</v>
      </c>
      <c r="AH493" s="565">
        <v>3.5999999999999999E-3</v>
      </c>
      <c r="AI493" s="170">
        <f t="shared" ca="1" si="571"/>
        <v>3.1030303030303026E-2</v>
      </c>
      <c r="AJ493" s="379">
        <f t="shared" ca="1" si="572"/>
        <v>310</v>
      </c>
      <c r="AL493" s="595">
        <v>9</v>
      </c>
      <c r="AM493" s="601" t="s">
        <v>2878</v>
      </c>
      <c r="AN493" s="601" t="s">
        <v>2879</v>
      </c>
      <c r="AO493" s="594">
        <f t="shared" ref="AO493:AO496" ca="1" si="578">IF(AN493="部件",VLOOKUP(AL493,INDIRECT(AN493&amp;"价值"),MATCH(LEFT(AM493,2)&amp;"部件",INDIRECT(AN493&amp;"价值标头"),0),FALSE),IF(AN493="加速道具",VLOOKUP(AM493,INDIRECT(AN493&amp;"价值"),MATCH("价格",INDIRECT(AN493&amp;"价值标头"),0),FALSE),VLOOKUP(AL493,INDIRECT(AN493&amp;"价值"),MATCH(AM493,INDIRECT(AN493&amp;"价值标头"),0),FALSE)))</f>
        <v>35</v>
      </c>
      <c r="AP493" s="600">
        <v>1</v>
      </c>
      <c r="AQ493" s="594">
        <v>8.0000000000000002E-3</v>
      </c>
      <c r="AR493" s="170">
        <f t="shared" ca="1" si="537"/>
        <v>2.2171428571428571E-2</v>
      </c>
      <c r="AS493" s="594">
        <f t="shared" ca="1" si="538"/>
        <v>222</v>
      </c>
      <c r="AU493" s="512">
        <v>9</v>
      </c>
      <c r="AV493" s="516" t="s">
        <v>2278</v>
      </c>
      <c r="AW493" s="529" t="s">
        <v>2452</v>
      </c>
      <c r="AX493" s="508" t="str">
        <f t="shared" ca="1" si="559"/>
        <v>T3部件</v>
      </c>
      <c r="AY493" s="615">
        <v>1</v>
      </c>
      <c r="AZ493" s="600">
        <v>6.1999999999999998E-3</v>
      </c>
      <c r="BA493" s="170" t="e">
        <f t="shared" ca="1" si="533"/>
        <v>#VALUE!</v>
      </c>
      <c r="BB493" s="508" t="e">
        <f t="shared" ca="1" si="534"/>
        <v>#VALUE!</v>
      </c>
      <c r="BD493" s="512">
        <v>9</v>
      </c>
      <c r="BE493" s="516" t="s">
        <v>2278</v>
      </c>
      <c r="BF493" s="529" t="s">
        <v>2452</v>
      </c>
      <c r="BG493" s="508" t="str">
        <f t="shared" ca="1" si="560"/>
        <v>T3部件</v>
      </c>
      <c r="BH493" s="615">
        <v>1</v>
      </c>
      <c r="BI493" s="600">
        <v>6.1999999999999998E-3</v>
      </c>
      <c r="BJ493" s="170" t="e">
        <f t="shared" ca="1" si="539"/>
        <v>#VALUE!</v>
      </c>
      <c r="BK493" s="379" t="e">
        <f t="shared" ca="1" si="540"/>
        <v>#VALUE!</v>
      </c>
    </row>
    <row r="494" spans="2:63" x14ac:dyDescent="0.35">
      <c r="B494" s="512">
        <v>10</v>
      </c>
      <c r="C494" s="512" t="s">
        <v>2257</v>
      </c>
      <c r="D494" s="529" t="s">
        <v>2444</v>
      </c>
      <c r="E494" s="508">
        <f t="shared" ca="1" si="549"/>
        <v>7.4250000000000007</v>
      </c>
      <c r="F494" s="625">
        <v>2.5</v>
      </c>
      <c r="G494" s="594">
        <v>5.0000000000000001E-3</v>
      </c>
      <c r="H494" s="170">
        <f t="shared" ca="1" si="568"/>
        <v>1.5824915824915825E-2</v>
      </c>
      <c r="I494" s="508">
        <f t="shared" ca="1" si="569"/>
        <v>158</v>
      </c>
      <c r="K494" s="512">
        <v>10</v>
      </c>
      <c r="L494" s="512" t="s">
        <v>2257</v>
      </c>
      <c r="M494" s="529" t="s">
        <v>2444</v>
      </c>
      <c r="N494" s="508">
        <f t="shared" ca="1" si="552"/>
        <v>7.4250000000000007</v>
      </c>
      <c r="O494" s="508">
        <v>1</v>
      </c>
      <c r="P494" s="594">
        <v>6.1000000000000004E-3</v>
      </c>
      <c r="Q494" s="170">
        <f t="shared" ca="1" si="573"/>
        <v>3.8612794612794613E-2</v>
      </c>
      <c r="R494" s="508">
        <f t="shared" ca="1" si="574"/>
        <v>386</v>
      </c>
      <c r="T494" s="512">
        <v>10</v>
      </c>
      <c r="U494" s="512" t="s">
        <v>2257</v>
      </c>
      <c r="V494" s="529" t="s">
        <v>2444</v>
      </c>
      <c r="W494" s="508">
        <f t="shared" ca="1" si="554"/>
        <v>7.4250000000000007</v>
      </c>
      <c r="X494" s="508">
        <v>1</v>
      </c>
      <c r="Y494" s="625">
        <v>6.1000000000000004E-3</v>
      </c>
      <c r="Z494" s="170">
        <f t="shared" ca="1" si="575"/>
        <v>3.9023569023569023E-2</v>
      </c>
      <c r="AA494" s="508">
        <f t="shared" ca="1" si="576"/>
        <v>390</v>
      </c>
      <c r="AC494" s="512">
        <v>10</v>
      </c>
      <c r="AD494" s="516" t="s">
        <v>2242</v>
      </c>
      <c r="AE494" s="529" t="s">
        <v>2444</v>
      </c>
      <c r="AF494" s="508">
        <f t="shared" ca="1" si="570"/>
        <v>7.4250000000000007</v>
      </c>
      <c r="AG494" s="594">
        <v>1</v>
      </c>
      <c r="AH494" s="594">
        <v>3.5999999999999999E-3</v>
      </c>
      <c r="AI494" s="170">
        <f t="shared" ca="1" si="571"/>
        <v>3.1030303030303026E-2</v>
      </c>
      <c r="AJ494" s="379">
        <f t="shared" ca="1" si="572"/>
        <v>310</v>
      </c>
      <c r="AL494" s="595">
        <v>9</v>
      </c>
      <c r="AM494" s="601" t="s">
        <v>2880</v>
      </c>
      <c r="AN494" s="601" t="s">
        <v>2879</v>
      </c>
      <c r="AO494" s="594">
        <f t="shared" ca="1" si="578"/>
        <v>60</v>
      </c>
      <c r="AP494" s="600">
        <v>1</v>
      </c>
      <c r="AQ494" s="594">
        <v>8.9999999999999993E-3</v>
      </c>
      <c r="AR494" s="170">
        <f t="shared" ca="1" si="537"/>
        <v>1.4549999999999999E-2</v>
      </c>
      <c r="AS494" s="594">
        <f t="shared" ca="1" si="538"/>
        <v>146</v>
      </c>
      <c r="AU494" s="512">
        <v>9</v>
      </c>
      <c r="AV494" s="516" t="s">
        <v>2280</v>
      </c>
      <c r="AW494" s="529" t="s">
        <v>2452</v>
      </c>
      <c r="AX494" s="508" t="str">
        <f t="shared" ca="1" si="559"/>
        <v>T3部件</v>
      </c>
      <c r="AY494" s="615">
        <v>1</v>
      </c>
      <c r="AZ494" s="600">
        <v>6.1999999999999998E-3</v>
      </c>
      <c r="BA494" s="170" t="e">
        <f t="shared" ca="1" si="533"/>
        <v>#VALUE!</v>
      </c>
      <c r="BB494" s="508" t="e">
        <f t="shared" ca="1" si="534"/>
        <v>#VALUE!</v>
      </c>
      <c r="BD494" s="512">
        <v>9</v>
      </c>
      <c r="BE494" s="516" t="s">
        <v>2280</v>
      </c>
      <c r="BF494" s="529" t="s">
        <v>2452</v>
      </c>
      <c r="BG494" s="508" t="str">
        <f t="shared" ca="1" si="560"/>
        <v>T3部件</v>
      </c>
      <c r="BH494" s="615">
        <v>1</v>
      </c>
      <c r="BI494" s="600">
        <v>6.1999999999999998E-3</v>
      </c>
      <c r="BJ494" s="170" t="e">
        <f t="shared" ref="BJ494:BJ518" ca="1" si="579">BI494*BE$4/BG494/BH494</f>
        <v>#VALUE!</v>
      </c>
      <c r="BK494" s="508" t="e">
        <f t="shared" ref="BK494:BK518" ca="1" si="580">ROUND(BJ494*10000,0)</f>
        <v>#VALUE!</v>
      </c>
    </row>
    <row r="495" spans="2:63" x14ac:dyDescent="0.35">
      <c r="B495" s="512">
        <v>10</v>
      </c>
      <c r="C495" s="516" t="s">
        <v>2258</v>
      </c>
      <c r="D495" s="529" t="s">
        <v>2444</v>
      </c>
      <c r="E495" s="508" t="str">
        <f t="shared" ca="1" si="549"/>
        <v>T2部件</v>
      </c>
      <c r="F495" s="512">
        <v>1.5</v>
      </c>
      <c r="G495" s="508">
        <v>5.1999999999999998E-3</v>
      </c>
      <c r="H495" s="170" t="e">
        <f t="shared" ca="1" si="568"/>
        <v>#VALUE!</v>
      </c>
      <c r="I495" s="508" t="e">
        <f t="shared" ca="1" si="569"/>
        <v>#VALUE!</v>
      </c>
      <c r="K495" s="512">
        <v>10</v>
      </c>
      <c r="L495" s="516" t="s">
        <v>2258</v>
      </c>
      <c r="M495" s="529" t="s">
        <v>2444</v>
      </c>
      <c r="N495" s="508" t="str">
        <f t="shared" ca="1" si="552"/>
        <v>T2部件</v>
      </c>
      <c r="O495" s="512">
        <v>1</v>
      </c>
      <c r="P495" s="594">
        <v>6.3999999999999994E-3</v>
      </c>
      <c r="Q495" s="170" t="e">
        <f t="shared" ca="1" si="573"/>
        <v>#VALUE!</v>
      </c>
      <c r="R495" s="508" t="e">
        <f t="shared" ca="1" si="574"/>
        <v>#VALUE!</v>
      </c>
      <c r="T495" s="512">
        <v>10</v>
      </c>
      <c r="U495" s="516" t="s">
        <v>2258</v>
      </c>
      <c r="V495" s="529" t="s">
        <v>2444</v>
      </c>
      <c r="W495" s="508" t="str">
        <f t="shared" ca="1" si="554"/>
        <v>T2部件</v>
      </c>
      <c r="X495" s="512">
        <v>1</v>
      </c>
      <c r="Y495" s="625">
        <v>6.3999999999999994E-3</v>
      </c>
      <c r="Z495" s="170" t="e">
        <f t="shared" ca="1" si="575"/>
        <v>#VALUE!</v>
      </c>
      <c r="AA495" s="508" t="e">
        <f t="shared" ca="1" si="576"/>
        <v>#VALUE!</v>
      </c>
      <c r="AC495" s="512">
        <v>10</v>
      </c>
      <c r="AD495" s="516" t="s">
        <v>2244</v>
      </c>
      <c r="AE495" s="529" t="s">
        <v>2444</v>
      </c>
      <c r="AF495" s="508">
        <f t="shared" ca="1" si="570"/>
        <v>7.4250000000000007</v>
      </c>
      <c r="AG495" s="594">
        <v>1</v>
      </c>
      <c r="AH495" s="594">
        <v>3.5999999999999999E-3</v>
      </c>
      <c r="AI495" s="170">
        <f t="shared" ca="1" si="571"/>
        <v>3.1030303030303026E-2</v>
      </c>
      <c r="AJ495" s="379">
        <f t="shared" ca="1" si="572"/>
        <v>310</v>
      </c>
      <c r="AL495" s="595">
        <v>9</v>
      </c>
      <c r="AM495" s="601" t="s">
        <v>2881</v>
      </c>
      <c r="AN495" s="601" t="s">
        <v>2879</v>
      </c>
      <c r="AO495" s="594">
        <f t="shared" ca="1" si="578"/>
        <v>70</v>
      </c>
      <c r="AP495" s="600">
        <v>1</v>
      </c>
      <c r="AQ495" s="594">
        <v>0.01</v>
      </c>
      <c r="AR495" s="170">
        <f t="shared" ca="1" si="537"/>
        <v>1.3857142857142856E-2</v>
      </c>
      <c r="AS495" s="594">
        <f t="shared" ca="1" si="538"/>
        <v>139</v>
      </c>
      <c r="AU495" s="512">
        <v>9</v>
      </c>
      <c r="AV495" s="516" t="s">
        <v>2282</v>
      </c>
      <c r="AW495" s="529" t="s">
        <v>2452</v>
      </c>
      <c r="AX495" s="508" t="str">
        <f t="shared" ca="1" si="559"/>
        <v>T3部件</v>
      </c>
      <c r="AY495" s="615">
        <v>1</v>
      </c>
      <c r="AZ495" s="600">
        <v>6.1999999999999998E-3</v>
      </c>
      <c r="BA495" s="170" t="e">
        <f t="shared" ca="1" si="533"/>
        <v>#VALUE!</v>
      </c>
      <c r="BB495" s="508" t="e">
        <f t="shared" ca="1" si="534"/>
        <v>#VALUE!</v>
      </c>
      <c r="BD495" s="512">
        <v>9</v>
      </c>
      <c r="BE495" s="516" t="s">
        <v>2282</v>
      </c>
      <c r="BF495" s="529" t="s">
        <v>2452</v>
      </c>
      <c r="BG495" s="508" t="str">
        <f t="shared" ca="1" si="560"/>
        <v>T3部件</v>
      </c>
      <c r="BH495" s="615">
        <v>1</v>
      </c>
      <c r="BI495" s="600">
        <v>6.1999999999999998E-3</v>
      </c>
      <c r="BJ495" s="170" t="e">
        <f t="shared" ca="1" si="579"/>
        <v>#VALUE!</v>
      </c>
      <c r="BK495" s="508" t="e">
        <f t="shared" ca="1" si="580"/>
        <v>#VALUE!</v>
      </c>
    </row>
    <row r="496" spans="2:63" x14ac:dyDescent="0.35">
      <c r="B496" s="512">
        <v>10</v>
      </c>
      <c r="C496" s="516" t="s">
        <v>2260</v>
      </c>
      <c r="D496" s="529" t="s">
        <v>2444</v>
      </c>
      <c r="E496" s="508" t="str">
        <f t="shared" ca="1" si="549"/>
        <v>T2部件</v>
      </c>
      <c r="F496" s="626">
        <v>1.5</v>
      </c>
      <c r="G496" s="594">
        <v>5.1999999999999998E-3</v>
      </c>
      <c r="H496" s="170" t="e">
        <f t="shared" ca="1" si="568"/>
        <v>#VALUE!</v>
      </c>
      <c r="I496" s="508" t="e">
        <f t="shared" ca="1" si="569"/>
        <v>#VALUE!</v>
      </c>
      <c r="K496" s="512">
        <v>10</v>
      </c>
      <c r="L496" s="516" t="s">
        <v>2260</v>
      </c>
      <c r="M496" s="529" t="s">
        <v>2444</v>
      </c>
      <c r="N496" s="508" t="str">
        <f t="shared" ca="1" si="552"/>
        <v>T2部件</v>
      </c>
      <c r="O496" s="512">
        <v>1</v>
      </c>
      <c r="P496" s="594">
        <v>6.3999999999999994E-3</v>
      </c>
      <c r="Q496" s="170" t="e">
        <f t="shared" ca="1" si="573"/>
        <v>#VALUE!</v>
      </c>
      <c r="R496" s="508" t="e">
        <f t="shared" ca="1" si="574"/>
        <v>#VALUE!</v>
      </c>
      <c r="T496" s="512">
        <v>10</v>
      </c>
      <c r="U496" s="516" t="s">
        <v>2260</v>
      </c>
      <c r="V496" s="529" t="s">
        <v>2444</v>
      </c>
      <c r="W496" s="508" t="str">
        <f t="shared" ca="1" si="554"/>
        <v>T2部件</v>
      </c>
      <c r="X496" s="512">
        <v>1</v>
      </c>
      <c r="Y496" s="625">
        <v>6.3999999999999994E-3</v>
      </c>
      <c r="Z496" s="170" t="e">
        <f t="shared" ca="1" si="575"/>
        <v>#VALUE!</v>
      </c>
      <c r="AA496" s="508" t="e">
        <f t="shared" ca="1" si="576"/>
        <v>#VALUE!</v>
      </c>
      <c r="AC496" s="512">
        <v>10</v>
      </c>
      <c r="AD496" s="516" t="s">
        <v>2246</v>
      </c>
      <c r="AE496" s="529" t="s">
        <v>2444</v>
      </c>
      <c r="AF496" s="508">
        <f t="shared" ca="1" si="570"/>
        <v>7.4250000000000007</v>
      </c>
      <c r="AG496" s="594">
        <v>1</v>
      </c>
      <c r="AH496" s="594">
        <v>3.5999999999999999E-3</v>
      </c>
      <c r="AI496" s="170">
        <f t="shared" ca="1" si="571"/>
        <v>3.1030303030303026E-2</v>
      </c>
      <c r="AJ496" s="379">
        <f t="shared" ca="1" si="572"/>
        <v>310</v>
      </c>
      <c r="AL496" s="595">
        <v>9</v>
      </c>
      <c r="AM496" s="601" t="s">
        <v>2882</v>
      </c>
      <c r="AN496" s="601" t="s">
        <v>2879</v>
      </c>
      <c r="AO496" s="594">
        <f t="shared" ca="1" si="578"/>
        <v>125</v>
      </c>
      <c r="AP496" s="600">
        <v>1</v>
      </c>
      <c r="AQ496" s="594">
        <v>0.01</v>
      </c>
      <c r="AR496" s="170">
        <f t="shared" ca="1" si="537"/>
        <v>7.7599999999999995E-3</v>
      </c>
      <c r="AS496" s="594">
        <f t="shared" ca="1" si="538"/>
        <v>78</v>
      </c>
      <c r="AU496" s="512">
        <v>9</v>
      </c>
      <c r="AV496" s="516" t="s">
        <v>2284</v>
      </c>
      <c r="AW496" s="529" t="s">
        <v>2452</v>
      </c>
      <c r="AX496" s="508" t="str">
        <f t="shared" ca="1" si="559"/>
        <v>T3部件</v>
      </c>
      <c r="AY496" s="615">
        <v>1</v>
      </c>
      <c r="AZ496" s="600">
        <v>6.1999999999999998E-3</v>
      </c>
      <c r="BA496" s="170" t="e">
        <f t="shared" ca="1" si="533"/>
        <v>#VALUE!</v>
      </c>
      <c r="BB496" s="508" t="e">
        <f t="shared" ca="1" si="534"/>
        <v>#VALUE!</v>
      </c>
      <c r="BD496" s="512">
        <v>9</v>
      </c>
      <c r="BE496" s="516" t="s">
        <v>2284</v>
      </c>
      <c r="BF496" s="529" t="s">
        <v>2452</v>
      </c>
      <c r="BG496" s="508" t="str">
        <f t="shared" ca="1" si="560"/>
        <v>T3部件</v>
      </c>
      <c r="BH496" s="615">
        <v>1</v>
      </c>
      <c r="BI496" s="600">
        <v>6.1999999999999998E-3</v>
      </c>
      <c r="BJ496" s="170" t="e">
        <f t="shared" ca="1" si="579"/>
        <v>#VALUE!</v>
      </c>
      <c r="BK496" s="508" t="e">
        <f t="shared" ca="1" si="580"/>
        <v>#VALUE!</v>
      </c>
    </row>
    <row r="497" spans="2:63" x14ac:dyDescent="0.35">
      <c r="B497" s="512">
        <v>10</v>
      </c>
      <c r="C497" s="516" t="s">
        <v>2262</v>
      </c>
      <c r="D497" s="529" t="s">
        <v>2444</v>
      </c>
      <c r="E497" s="508" t="str">
        <f t="shared" ca="1" si="549"/>
        <v>T2部件</v>
      </c>
      <c r="F497" s="626">
        <v>1.5</v>
      </c>
      <c r="G497" s="594">
        <v>5.1999999999999998E-3</v>
      </c>
      <c r="H497" s="170" t="e">
        <f t="shared" ca="1" si="568"/>
        <v>#VALUE!</v>
      </c>
      <c r="I497" s="508" t="e">
        <f t="shared" ca="1" si="569"/>
        <v>#VALUE!</v>
      </c>
      <c r="K497" s="512">
        <v>10</v>
      </c>
      <c r="L497" s="516" t="s">
        <v>2262</v>
      </c>
      <c r="M497" s="529" t="s">
        <v>2444</v>
      </c>
      <c r="N497" s="508" t="str">
        <f t="shared" ca="1" si="552"/>
        <v>T2部件</v>
      </c>
      <c r="O497" s="512">
        <v>1</v>
      </c>
      <c r="P497" s="594">
        <v>6.3999999999999994E-3</v>
      </c>
      <c r="Q497" s="170" t="e">
        <f t="shared" ca="1" si="573"/>
        <v>#VALUE!</v>
      </c>
      <c r="R497" s="508" t="e">
        <f t="shared" ca="1" si="574"/>
        <v>#VALUE!</v>
      </c>
      <c r="T497" s="512">
        <v>10</v>
      </c>
      <c r="U497" s="516" t="s">
        <v>2262</v>
      </c>
      <c r="V497" s="529" t="s">
        <v>2444</v>
      </c>
      <c r="W497" s="508" t="str">
        <f t="shared" ca="1" si="554"/>
        <v>T2部件</v>
      </c>
      <c r="X497" s="512">
        <v>1</v>
      </c>
      <c r="Y497" s="625">
        <v>6.3999999999999994E-3</v>
      </c>
      <c r="Z497" s="170" t="e">
        <f t="shared" ca="1" si="575"/>
        <v>#VALUE!</v>
      </c>
      <c r="AA497" s="508" t="e">
        <f t="shared" ca="1" si="576"/>
        <v>#VALUE!</v>
      </c>
      <c r="AC497" s="512">
        <v>10</v>
      </c>
      <c r="AD497" s="516" t="s">
        <v>2248</v>
      </c>
      <c r="AE497" s="529" t="s">
        <v>2444</v>
      </c>
      <c r="AF497" s="508">
        <f t="shared" ca="1" si="570"/>
        <v>7.4250000000000007</v>
      </c>
      <c r="AG497" s="594">
        <v>1</v>
      </c>
      <c r="AH497" s="594">
        <v>3.5999999999999999E-3</v>
      </c>
      <c r="AI497" s="170">
        <f t="shared" ca="1" si="571"/>
        <v>3.1030303030303026E-2</v>
      </c>
      <c r="AJ497" s="379">
        <f t="shared" ca="1" si="572"/>
        <v>310</v>
      </c>
      <c r="AL497" s="276"/>
      <c r="AM497" s="604"/>
      <c r="AN497" s="604"/>
      <c r="AO497" s="157"/>
      <c r="AP497" s="157"/>
      <c r="AQ497" s="157"/>
      <c r="AR497" s="538"/>
      <c r="AS497" s="157"/>
      <c r="AU497" s="512">
        <v>9</v>
      </c>
      <c r="AV497" s="516" t="s">
        <v>2286</v>
      </c>
      <c r="AW497" s="529" t="s">
        <v>2452</v>
      </c>
      <c r="AX497" s="508" t="str">
        <f t="shared" ca="1" si="559"/>
        <v>T3部件</v>
      </c>
      <c r="AY497" s="615">
        <v>1</v>
      </c>
      <c r="AZ497" s="600">
        <v>6.1999999999999998E-3</v>
      </c>
      <c r="BA497" s="170" t="e">
        <f t="shared" ca="1" si="533"/>
        <v>#VALUE!</v>
      </c>
      <c r="BB497" s="508" t="e">
        <f t="shared" ca="1" si="534"/>
        <v>#VALUE!</v>
      </c>
      <c r="BD497" s="512">
        <v>9</v>
      </c>
      <c r="BE497" s="516" t="s">
        <v>2286</v>
      </c>
      <c r="BF497" s="529" t="s">
        <v>2452</v>
      </c>
      <c r="BG497" s="508" t="str">
        <f t="shared" ca="1" si="560"/>
        <v>T3部件</v>
      </c>
      <c r="BH497" s="615">
        <v>1</v>
      </c>
      <c r="BI497" s="600">
        <v>6.1999999999999998E-3</v>
      </c>
      <c r="BJ497" s="170" t="e">
        <f t="shared" ca="1" si="579"/>
        <v>#VALUE!</v>
      </c>
      <c r="BK497" s="508" t="e">
        <f t="shared" ca="1" si="580"/>
        <v>#VALUE!</v>
      </c>
    </row>
    <row r="498" spans="2:63" x14ac:dyDescent="0.35">
      <c r="B498" s="512">
        <v>10</v>
      </c>
      <c r="C498" s="516" t="s">
        <v>2264</v>
      </c>
      <c r="D498" s="529" t="s">
        <v>2444</v>
      </c>
      <c r="E498" s="508" t="str">
        <f t="shared" ca="1" si="549"/>
        <v>T2部件</v>
      </c>
      <c r="F498" s="626">
        <v>1.5</v>
      </c>
      <c r="G498" s="594">
        <v>5.1999999999999998E-3</v>
      </c>
      <c r="H498" s="170" t="e">
        <f t="shared" ca="1" si="568"/>
        <v>#VALUE!</v>
      </c>
      <c r="I498" s="508" t="e">
        <f t="shared" ca="1" si="569"/>
        <v>#VALUE!</v>
      </c>
      <c r="K498" s="512">
        <v>10</v>
      </c>
      <c r="L498" s="516" t="s">
        <v>2264</v>
      </c>
      <c r="M498" s="529" t="s">
        <v>2444</v>
      </c>
      <c r="N498" s="508" t="str">
        <f t="shared" ca="1" si="552"/>
        <v>T2部件</v>
      </c>
      <c r="O498" s="512">
        <v>1</v>
      </c>
      <c r="P498" s="594">
        <v>6.3999999999999994E-3</v>
      </c>
      <c r="Q498" s="170" t="e">
        <f t="shared" ca="1" si="573"/>
        <v>#VALUE!</v>
      </c>
      <c r="R498" s="508" t="e">
        <f t="shared" ca="1" si="574"/>
        <v>#VALUE!</v>
      </c>
      <c r="T498" s="512">
        <v>10</v>
      </c>
      <c r="U498" s="516" t="s">
        <v>2264</v>
      </c>
      <c r="V498" s="529" t="s">
        <v>2444</v>
      </c>
      <c r="W498" s="508" t="str">
        <f t="shared" ca="1" si="554"/>
        <v>T2部件</v>
      </c>
      <c r="X498" s="512">
        <v>1</v>
      </c>
      <c r="Y498" s="625">
        <v>6.3999999999999994E-3</v>
      </c>
      <c r="Z498" s="170" t="e">
        <f t="shared" ca="1" si="575"/>
        <v>#VALUE!</v>
      </c>
      <c r="AA498" s="508" t="e">
        <f t="shared" ca="1" si="576"/>
        <v>#VALUE!</v>
      </c>
      <c r="AC498" s="512">
        <v>10</v>
      </c>
      <c r="AD498" s="516" t="s">
        <v>2250</v>
      </c>
      <c r="AE498" s="529" t="s">
        <v>2444</v>
      </c>
      <c r="AF498" s="508">
        <f t="shared" ca="1" si="570"/>
        <v>7.4250000000000007</v>
      </c>
      <c r="AG498" s="594">
        <v>1</v>
      </c>
      <c r="AH498" s="594">
        <v>3.5999999999999999E-3</v>
      </c>
      <c r="AI498" s="170">
        <f t="shared" ca="1" si="571"/>
        <v>3.1030303030303026E-2</v>
      </c>
      <c r="AJ498" s="379">
        <f t="shared" ca="1" si="572"/>
        <v>310</v>
      </c>
      <c r="AU498" s="512">
        <v>9</v>
      </c>
      <c r="AV498" s="516" t="s">
        <v>2288</v>
      </c>
      <c r="AW498" s="529" t="s">
        <v>2452</v>
      </c>
      <c r="AX498" s="508" t="str">
        <f t="shared" ca="1" si="559"/>
        <v>T3部件</v>
      </c>
      <c r="AY498" s="615">
        <v>1</v>
      </c>
      <c r="AZ498" s="600">
        <v>6.1999999999999998E-3</v>
      </c>
      <c r="BA498" s="170" t="e">
        <f t="shared" ca="1" si="533"/>
        <v>#VALUE!</v>
      </c>
      <c r="BB498" s="508" t="e">
        <f t="shared" ca="1" si="534"/>
        <v>#VALUE!</v>
      </c>
      <c r="BD498" s="512">
        <v>9</v>
      </c>
      <c r="BE498" s="516" t="s">
        <v>2288</v>
      </c>
      <c r="BF498" s="529" t="s">
        <v>2452</v>
      </c>
      <c r="BG498" s="508" t="str">
        <f t="shared" ca="1" si="560"/>
        <v>T3部件</v>
      </c>
      <c r="BH498" s="615">
        <v>1</v>
      </c>
      <c r="BI498" s="600">
        <v>6.1999999999999998E-3</v>
      </c>
      <c r="BJ498" s="170" t="e">
        <f t="shared" ca="1" si="579"/>
        <v>#VALUE!</v>
      </c>
      <c r="BK498" s="508" t="e">
        <f t="shared" ca="1" si="580"/>
        <v>#VALUE!</v>
      </c>
    </row>
    <row r="499" spans="2:63" x14ac:dyDescent="0.35">
      <c r="B499" s="512">
        <v>10</v>
      </c>
      <c r="C499" s="516" t="s">
        <v>2266</v>
      </c>
      <c r="D499" s="529" t="s">
        <v>2444</v>
      </c>
      <c r="E499" s="508" t="str">
        <f t="shared" ca="1" si="549"/>
        <v>T2部件</v>
      </c>
      <c r="F499" s="626">
        <v>1.5</v>
      </c>
      <c r="G499" s="594">
        <v>5.1999999999999998E-3</v>
      </c>
      <c r="H499" s="170" t="e">
        <f t="shared" ca="1" si="568"/>
        <v>#VALUE!</v>
      </c>
      <c r="I499" s="508" t="e">
        <f t="shared" ca="1" si="569"/>
        <v>#VALUE!</v>
      </c>
      <c r="K499" s="512">
        <v>10</v>
      </c>
      <c r="L499" s="516" t="s">
        <v>2266</v>
      </c>
      <c r="M499" s="529" t="s">
        <v>2444</v>
      </c>
      <c r="N499" s="508" t="str">
        <f t="shared" ca="1" si="552"/>
        <v>T2部件</v>
      </c>
      <c r="O499" s="512">
        <v>1</v>
      </c>
      <c r="P499" s="594">
        <v>6.3999999999999994E-3</v>
      </c>
      <c r="Q499" s="170" t="e">
        <f t="shared" ca="1" si="573"/>
        <v>#VALUE!</v>
      </c>
      <c r="R499" s="508" t="e">
        <f t="shared" ca="1" si="574"/>
        <v>#VALUE!</v>
      </c>
      <c r="T499" s="512">
        <v>10</v>
      </c>
      <c r="U499" s="516" t="s">
        <v>2266</v>
      </c>
      <c r="V499" s="529" t="s">
        <v>2444</v>
      </c>
      <c r="W499" s="508" t="str">
        <f t="shared" ca="1" si="554"/>
        <v>T2部件</v>
      </c>
      <c r="X499" s="512">
        <v>1</v>
      </c>
      <c r="Y499" s="625">
        <v>6.3999999999999994E-3</v>
      </c>
      <c r="Z499" s="170" t="e">
        <f t="shared" ca="1" si="575"/>
        <v>#VALUE!</v>
      </c>
      <c r="AA499" s="508" t="e">
        <f t="shared" ca="1" si="576"/>
        <v>#VALUE!</v>
      </c>
      <c r="AC499" s="512">
        <v>10</v>
      </c>
      <c r="AD499" s="516" t="s">
        <v>2252</v>
      </c>
      <c r="AE499" s="529" t="s">
        <v>2444</v>
      </c>
      <c r="AF499" s="508">
        <f t="shared" ca="1" si="570"/>
        <v>7.4250000000000007</v>
      </c>
      <c r="AG499" s="594">
        <v>1</v>
      </c>
      <c r="AH499" s="594">
        <v>3.5999999999999999E-3</v>
      </c>
      <c r="AI499" s="170">
        <f t="shared" ca="1" si="571"/>
        <v>3.1030303030303026E-2</v>
      </c>
      <c r="AJ499" s="394">
        <f t="shared" ca="1" si="572"/>
        <v>310</v>
      </c>
      <c r="AL499" s="512" t="s">
        <v>597</v>
      </c>
      <c r="AM499" s="512" t="s">
        <v>1225</v>
      </c>
      <c r="AN499" s="513" t="s">
        <v>917</v>
      </c>
      <c r="AO499" s="166" t="s">
        <v>920</v>
      </c>
      <c r="AP499" s="386" t="s">
        <v>967</v>
      </c>
      <c r="AQ499" s="166" t="s">
        <v>854</v>
      </c>
      <c r="AR499" s="166" t="s">
        <v>926</v>
      </c>
      <c r="AS499" s="383" t="s">
        <v>927</v>
      </c>
      <c r="AT499" s="300" t="e">
        <f ca="1">SUM(AS500:AS584)</f>
        <v>#VALUE!</v>
      </c>
      <c r="AU499" s="512">
        <v>9</v>
      </c>
      <c r="AV499" s="512" t="s">
        <v>2290</v>
      </c>
      <c r="AW499" s="529" t="s">
        <v>2452</v>
      </c>
      <c r="AX499" s="508" t="str">
        <f t="shared" ca="1" si="559"/>
        <v>T3部件</v>
      </c>
      <c r="AY499" s="615">
        <v>1</v>
      </c>
      <c r="AZ499" s="600">
        <v>6.1999999999999998E-3</v>
      </c>
      <c r="BA499" s="170" t="e">
        <f t="shared" ca="1" si="533"/>
        <v>#VALUE!</v>
      </c>
      <c r="BB499" s="508" t="e">
        <f t="shared" ca="1" si="534"/>
        <v>#VALUE!</v>
      </c>
      <c r="BD499" s="512">
        <v>9</v>
      </c>
      <c r="BE499" s="512" t="s">
        <v>2290</v>
      </c>
      <c r="BF499" s="529" t="s">
        <v>2452</v>
      </c>
      <c r="BG499" s="508" t="str">
        <f t="shared" ca="1" si="560"/>
        <v>T3部件</v>
      </c>
      <c r="BH499" s="615">
        <v>1</v>
      </c>
      <c r="BI499" s="600">
        <v>6.1999999999999998E-3</v>
      </c>
      <c r="BJ499" s="170" t="e">
        <f t="shared" ca="1" si="579"/>
        <v>#VALUE!</v>
      </c>
      <c r="BK499" s="508" t="e">
        <f t="shared" ca="1" si="580"/>
        <v>#VALUE!</v>
      </c>
    </row>
    <row r="500" spans="2:63" x14ac:dyDescent="0.35">
      <c r="B500" s="512">
        <v>10</v>
      </c>
      <c r="C500" s="516" t="s">
        <v>2268</v>
      </c>
      <c r="D500" s="529" t="s">
        <v>2444</v>
      </c>
      <c r="E500" s="508" t="str">
        <f t="shared" ref="E500:E531" ca="1" si="581">IF(D500="部件",VLOOKUP(B500,INDIRECT(D500&amp;"价值"),MATCH(LEFT(C500,2)&amp;"部件",INDIRECT(D500&amp;"价值标头"),0),FALSE),IF(D500="加速道具",VLOOKUP(C500,INDIRECT(D500&amp;"价值"),MATCH("价格",INDIRECT(D500&amp;"价值标头"),0),FALSE),VLOOKUP(B500,INDIRECT(D500&amp;"价值"),MATCH(C500,INDIRECT(D500&amp;"价值标头"),0),FALSE)))</f>
        <v>T2部件</v>
      </c>
      <c r="F500" s="626">
        <v>1.5</v>
      </c>
      <c r="G500" s="594">
        <v>5.1999999999999998E-3</v>
      </c>
      <c r="H500" s="170" t="e">
        <f t="shared" ca="1" si="568"/>
        <v>#VALUE!</v>
      </c>
      <c r="I500" s="508" t="e">
        <f t="shared" ca="1" si="569"/>
        <v>#VALUE!</v>
      </c>
      <c r="K500" s="512">
        <v>10</v>
      </c>
      <c r="L500" s="516" t="s">
        <v>2268</v>
      </c>
      <c r="M500" s="529" t="s">
        <v>2444</v>
      </c>
      <c r="N500" s="508" t="str">
        <f t="shared" ref="N500:N531" ca="1" si="582">IF(M500="部件",VLOOKUP(K500,INDIRECT(M500&amp;"价值"),MATCH(LEFT(L500,2)&amp;"部件",INDIRECT(M500&amp;"价值标头"),0),FALSE),IF(M500="加速道具",VLOOKUP(L500,INDIRECT(M500&amp;"价值"),MATCH("价格",INDIRECT(M500&amp;"价值标头"),0),FALSE),VLOOKUP(K500,INDIRECT(M500&amp;"价值"),MATCH(L500,INDIRECT(M500&amp;"价值标头"),0),FALSE)))</f>
        <v>T2部件</v>
      </c>
      <c r="O500" s="512">
        <v>1</v>
      </c>
      <c r="P500" s="594">
        <v>6.3999999999999994E-3</v>
      </c>
      <c r="Q500" s="170" t="e">
        <f t="shared" ca="1" si="573"/>
        <v>#VALUE!</v>
      </c>
      <c r="R500" s="508" t="e">
        <f t="shared" ca="1" si="574"/>
        <v>#VALUE!</v>
      </c>
      <c r="T500" s="512">
        <v>10</v>
      </c>
      <c r="U500" s="516" t="s">
        <v>2268</v>
      </c>
      <c r="V500" s="529" t="s">
        <v>2444</v>
      </c>
      <c r="W500" s="508" t="str">
        <f t="shared" ref="W500:W531" ca="1" si="583">IF(V500="部件",VLOOKUP(T500,INDIRECT(V500&amp;"价值"),MATCH(LEFT(U500,2)&amp;"部件",INDIRECT(V500&amp;"价值标头"),0),FALSE),IF(V500="加速道具",VLOOKUP(U500,INDIRECT(V500&amp;"价值"),MATCH("价格",INDIRECT(V500&amp;"价值标头"),0),FALSE),VLOOKUP(T500,INDIRECT(V500&amp;"价值"),MATCH(U500,INDIRECT(V500&amp;"价值标头"),0),FALSE)))</f>
        <v>T2部件</v>
      </c>
      <c r="X500" s="512">
        <v>1</v>
      </c>
      <c r="Y500" s="625">
        <v>6.3999999999999994E-3</v>
      </c>
      <c r="Z500" s="170" t="e">
        <f t="shared" ca="1" si="575"/>
        <v>#VALUE!</v>
      </c>
      <c r="AA500" s="508" t="e">
        <f t="shared" ca="1" si="576"/>
        <v>#VALUE!</v>
      </c>
      <c r="AC500" s="512">
        <v>10</v>
      </c>
      <c r="AD500" s="512" t="s">
        <v>2254</v>
      </c>
      <c r="AE500" s="529" t="s">
        <v>2444</v>
      </c>
      <c r="AF500" s="508">
        <f t="shared" ca="1" si="570"/>
        <v>7.4250000000000007</v>
      </c>
      <c r="AG500" s="594">
        <v>1</v>
      </c>
      <c r="AH500" s="594">
        <v>3.5999999999999999E-3</v>
      </c>
      <c r="AI500" s="170">
        <f t="shared" ca="1" si="571"/>
        <v>3.1030303030303026E-2</v>
      </c>
      <c r="AJ500" s="394">
        <f t="shared" ca="1" si="572"/>
        <v>310</v>
      </c>
      <c r="AL500" s="512">
        <v>10</v>
      </c>
      <c r="AM500" s="516" t="s">
        <v>620</v>
      </c>
      <c r="AN500" s="512" t="s">
        <v>1211</v>
      </c>
      <c r="AO500" s="508">
        <f t="shared" ref="AO500:AO531" ca="1" si="584">IF(AN500="部件",VLOOKUP(AL500,INDIRECT(AN500&amp;"价值"),MATCH(LEFT(AM500,2)&amp;"部件",INDIRECT(AN500&amp;"价值标头"),0),FALSE),IF(AN500="加速道具",VLOOKUP(AM500,INDIRECT(AN500&amp;"价值"),MATCH("价格",INDIRECT(AN500&amp;"价值标头"),0),FALSE),VLOOKUP(AL500,INDIRECT(AN500&amp;"价值"),MATCH(AM500,INDIRECT(AN500&amp;"价值标头"),0),FALSE)))</f>
        <v>92</v>
      </c>
      <c r="AP500" s="394">
        <v>1.5</v>
      </c>
      <c r="AQ500" s="508">
        <f>宝箱设定!$X164</f>
        <v>7.2999999999999995E-2</v>
      </c>
      <c r="AR500" s="170">
        <f t="shared" ref="AR500:AR517" ca="1" si="585">AQ500*AM$4/AO500/AP500</f>
        <v>5.1311594202898547E-2</v>
      </c>
      <c r="AS500" s="379">
        <f t="shared" ref="AS500:AS517" ca="1" si="586">ROUND(AR500*10000,0)</f>
        <v>513</v>
      </c>
      <c r="AU500" s="512">
        <v>9</v>
      </c>
      <c r="AV500" s="512" t="s">
        <v>2292</v>
      </c>
      <c r="AW500" s="529" t="s">
        <v>2452</v>
      </c>
      <c r="AX500" s="508" t="str">
        <f t="shared" ca="1" si="559"/>
        <v>T3部件</v>
      </c>
      <c r="AY500" s="615">
        <v>1</v>
      </c>
      <c r="AZ500" s="600">
        <v>6.1999999999999998E-3</v>
      </c>
      <c r="BA500" s="170" t="e">
        <f t="shared" ca="1" si="533"/>
        <v>#VALUE!</v>
      </c>
      <c r="BB500" s="508" t="e">
        <f t="shared" ca="1" si="534"/>
        <v>#VALUE!</v>
      </c>
      <c r="BD500" s="512">
        <v>9</v>
      </c>
      <c r="BE500" s="512" t="s">
        <v>2292</v>
      </c>
      <c r="BF500" s="529" t="s">
        <v>2452</v>
      </c>
      <c r="BG500" s="508" t="str">
        <f t="shared" ca="1" si="560"/>
        <v>T3部件</v>
      </c>
      <c r="BH500" s="615">
        <v>1</v>
      </c>
      <c r="BI500" s="600">
        <v>6.1999999999999998E-3</v>
      </c>
      <c r="BJ500" s="170" t="e">
        <f t="shared" ca="1" si="579"/>
        <v>#VALUE!</v>
      </c>
      <c r="BK500" s="508" t="e">
        <f t="shared" ca="1" si="580"/>
        <v>#VALUE!</v>
      </c>
    </row>
    <row r="501" spans="2:63" x14ac:dyDescent="0.35">
      <c r="B501" s="512">
        <v>10</v>
      </c>
      <c r="C501" s="516" t="s">
        <v>2270</v>
      </c>
      <c r="D501" s="529" t="s">
        <v>2444</v>
      </c>
      <c r="E501" s="508" t="str">
        <f t="shared" ca="1" si="581"/>
        <v>T2部件</v>
      </c>
      <c r="F501" s="626">
        <v>1.5</v>
      </c>
      <c r="G501" s="594">
        <v>5.1999999999999998E-3</v>
      </c>
      <c r="H501" s="170" t="e">
        <f t="shared" ca="1" si="568"/>
        <v>#VALUE!</v>
      </c>
      <c r="I501" s="508" t="e">
        <f t="shared" ca="1" si="569"/>
        <v>#VALUE!</v>
      </c>
      <c r="K501" s="512">
        <v>10</v>
      </c>
      <c r="L501" s="516" t="s">
        <v>2270</v>
      </c>
      <c r="M501" s="529" t="s">
        <v>2444</v>
      </c>
      <c r="N501" s="508" t="str">
        <f t="shared" ca="1" si="582"/>
        <v>T2部件</v>
      </c>
      <c r="O501" s="512">
        <v>1</v>
      </c>
      <c r="P501" s="594">
        <v>6.3999999999999994E-3</v>
      </c>
      <c r="Q501" s="170" t="e">
        <f t="shared" ca="1" si="573"/>
        <v>#VALUE!</v>
      </c>
      <c r="R501" s="508" t="e">
        <f t="shared" ca="1" si="574"/>
        <v>#VALUE!</v>
      </c>
      <c r="T501" s="512">
        <v>10</v>
      </c>
      <c r="U501" s="516" t="s">
        <v>2270</v>
      </c>
      <c r="V501" s="529" t="s">
        <v>2444</v>
      </c>
      <c r="W501" s="508" t="str">
        <f t="shared" ca="1" si="583"/>
        <v>T2部件</v>
      </c>
      <c r="X501" s="512">
        <v>1</v>
      </c>
      <c r="Y501" s="625">
        <v>6.3999999999999994E-3</v>
      </c>
      <c r="Z501" s="170" t="e">
        <f t="shared" ca="1" si="575"/>
        <v>#VALUE!</v>
      </c>
      <c r="AA501" s="508" t="e">
        <f t="shared" ca="1" si="576"/>
        <v>#VALUE!</v>
      </c>
      <c r="AC501" s="512">
        <v>10</v>
      </c>
      <c r="AD501" s="512" t="s">
        <v>2256</v>
      </c>
      <c r="AE501" s="529" t="s">
        <v>2444</v>
      </c>
      <c r="AF501" s="508">
        <f t="shared" ca="1" si="570"/>
        <v>7.4250000000000007</v>
      </c>
      <c r="AG501" s="594">
        <v>1</v>
      </c>
      <c r="AH501" s="594">
        <v>3.5999999999999999E-3</v>
      </c>
      <c r="AI501" s="170">
        <f t="shared" ca="1" si="571"/>
        <v>3.1030303030303026E-2</v>
      </c>
      <c r="AJ501" s="394">
        <f t="shared" ca="1" si="572"/>
        <v>310</v>
      </c>
      <c r="AL501" s="512">
        <v>10</v>
      </c>
      <c r="AM501" s="516" t="s">
        <v>719</v>
      </c>
      <c r="AN501" s="512" t="s">
        <v>1211</v>
      </c>
      <c r="AO501" s="508">
        <f t="shared" ca="1" si="584"/>
        <v>92</v>
      </c>
      <c r="AP501" s="600">
        <v>1.5</v>
      </c>
      <c r="AQ501" s="508">
        <f>宝箱设定!$X165</f>
        <v>7.2999999999999995E-2</v>
      </c>
      <c r="AR501" s="170">
        <f t="shared" ca="1" si="585"/>
        <v>5.1311594202898547E-2</v>
      </c>
      <c r="AS501" s="379">
        <f t="shared" ca="1" si="586"/>
        <v>513</v>
      </c>
      <c r="AU501" s="512">
        <v>9</v>
      </c>
      <c r="AV501" s="516" t="s">
        <v>2277</v>
      </c>
      <c r="AW501" s="529" t="s">
        <v>2452</v>
      </c>
      <c r="AX501" s="508" t="str">
        <f t="shared" ca="1" si="559"/>
        <v>T3部件</v>
      </c>
      <c r="AY501" s="615">
        <v>1</v>
      </c>
      <c r="AZ501" s="600">
        <v>6.1999999999999998E-3</v>
      </c>
      <c r="BA501" s="170" t="e">
        <f t="shared" ca="1" si="533"/>
        <v>#VALUE!</v>
      </c>
      <c r="BB501" s="508" t="e">
        <f t="shared" ca="1" si="534"/>
        <v>#VALUE!</v>
      </c>
      <c r="BD501" s="512">
        <v>9</v>
      </c>
      <c r="BE501" s="516" t="s">
        <v>2277</v>
      </c>
      <c r="BF501" s="529" t="s">
        <v>2452</v>
      </c>
      <c r="BG501" s="508" t="str">
        <f t="shared" ca="1" si="560"/>
        <v>T3部件</v>
      </c>
      <c r="BH501" s="600">
        <v>1</v>
      </c>
      <c r="BI501" s="600">
        <v>6.1999999999999998E-3</v>
      </c>
      <c r="BJ501" s="170" t="e">
        <f t="shared" ca="1" si="579"/>
        <v>#VALUE!</v>
      </c>
      <c r="BK501" s="508" t="e">
        <f t="shared" ca="1" si="580"/>
        <v>#VALUE!</v>
      </c>
    </row>
    <row r="502" spans="2:63" x14ac:dyDescent="0.35">
      <c r="B502" s="512">
        <v>10</v>
      </c>
      <c r="C502" s="512" t="s">
        <v>2272</v>
      </c>
      <c r="D502" s="529" t="s">
        <v>2444</v>
      </c>
      <c r="E502" s="508" t="str">
        <f t="shared" ca="1" si="581"/>
        <v>T2部件</v>
      </c>
      <c r="F502" s="626">
        <v>1.5</v>
      </c>
      <c r="G502" s="594">
        <v>5.1999999999999998E-3</v>
      </c>
      <c r="H502" s="170" t="e">
        <f t="shared" ca="1" si="568"/>
        <v>#VALUE!</v>
      </c>
      <c r="I502" s="508" t="e">
        <f t="shared" ca="1" si="569"/>
        <v>#VALUE!</v>
      </c>
      <c r="K502" s="512">
        <v>10</v>
      </c>
      <c r="L502" s="512" t="s">
        <v>2272</v>
      </c>
      <c r="M502" s="529" t="s">
        <v>2444</v>
      </c>
      <c r="N502" s="508" t="str">
        <f t="shared" ca="1" si="582"/>
        <v>T2部件</v>
      </c>
      <c r="O502" s="512">
        <v>1</v>
      </c>
      <c r="P502" s="594">
        <v>6.3999999999999994E-3</v>
      </c>
      <c r="Q502" s="170" t="e">
        <f t="shared" ca="1" si="573"/>
        <v>#VALUE!</v>
      </c>
      <c r="R502" s="508" t="e">
        <f t="shared" ca="1" si="574"/>
        <v>#VALUE!</v>
      </c>
      <c r="T502" s="512">
        <v>10</v>
      </c>
      <c r="U502" s="512" t="s">
        <v>2272</v>
      </c>
      <c r="V502" s="529" t="s">
        <v>2444</v>
      </c>
      <c r="W502" s="508" t="str">
        <f t="shared" ca="1" si="583"/>
        <v>T2部件</v>
      </c>
      <c r="X502" s="512">
        <v>1</v>
      </c>
      <c r="Y502" s="625">
        <v>6.3999999999999994E-3</v>
      </c>
      <c r="Z502" s="170" t="e">
        <f t="shared" ca="1" si="575"/>
        <v>#VALUE!</v>
      </c>
      <c r="AA502" s="508" t="e">
        <f t="shared" ca="1" si="576"/>
        <v>#VALUE!</v>
      </c>
      <c r="AC502" s="512">
        <v>10</v>
      </c>
      <c r="AD502" s="516" t="s">
        <v>2241</v>
      </c>
      <c r="AE502" s="529" t="s">
        <v>2444</v>
      </c>
      <c r="AF502" s="508">
        <f t="shared" ca="1" si="570"/>
        <v>7.4250000000000007</v>
      </c>
      <c r="AG502" s="594">
        <v>1</v>
      </c>
      <c r="AH502" s="594">
        <v>3.5999999999999999E-3</v>
      </c>
      <c r="AI502" s="170">
        <f t="shared" ref="AI502:AI564" ca="1" si="587">AH502*AD$4/AF502/AG502</f>
        <v>3.1030303030303026E-2</v>
      </c>
      <c r="AJ502" s="508">
        <f t="shared" ref="AJ502:AJ564" ca="1" si="588">ROUND(AI502*10000,0)</f>
        <v>310</v>
      </c>
      <c r="AL502" s="512">
        <v>10</v>
      </c>
      <c r="AM502" s="516" t="s">
        <v>635</v>
      </c>
      <c r="AN502" s="512" t="s">
        <v>1211</v>
      </c>
      <c r="AO502" s="508">
        <f t="shared" ca="1" si="584"/>
        <v>92</v>
      </c>
      <c r="AP502" s="600">
        <v>1.5</v>
      </c>
      <c r="AQ502" s="508">
        <f>宝箱设定!$X166</f>
        <v>7.2999999999999995E-2</v>
      </c>
      <c r="AR502" s="170">
        <f t="shared" ca="1" si="585"/>
        <v>5.1311594202898547E-2</v>
      </c>
      <c r="AS502" s="379">
        <f t="shared" ca="1" si="586"/>
        <v>513</v>
      </c>
      <c r="AU502" s="512">
        <v>9</v>
      </c>
      <c r="AV502" s="516" t="s">
        <v>2279</v>
      </c>
      <c r="AW502" s="529" t="s">
        <v>2452</v>
      </c>
      <c r="AX502" s="508" t="str">
        <f t="shared" ca="1" si="559"/>
        <v>T3部件</v>
      </c>
      <c r="AY502" s="615">
        <v>1</v>
      </c>
      <c r="AZ502" s="600">
        <v>6.1999999999999998E-3</v>
      </c>
      <c r="BA502" s="170" t="e">
        <f t="shared" ca="1" si="533"/>
        <v>#VALUE!</v>
      </c>
      <c r="BB502" s="508" t="e">
        <f t="shared" ca="1" si="534"/>
        <v>#VALUE!</v>
      </c>
      <c r="BD502" s="512">
        <v>9</v>
      </c>
      <c r="BE502" s="516" t="s">
        <v>2279</v>
      </c>
      <c r="BF502" s="529" t="s">
        <v>2452</v>
      </c>
      <c r="BG502" s="508" t="str">
        <f t="shared" ca="1" si="560"/>
        <v>T3部件</v>
      </c>
      <c r="BH502" s="600">
        <v>1</v>
      </c>
      <c r="BI502" s="600">
        <v>6.1999999999999998E-3</v>
      </c>
      <c r="BJ502" s="170" t="e">
        <f t="shared" ca="1" si="579"/>
        <v>#VALUE!</v>
      </c>
      <c r="BK502" s="508" t="e">
        <f t="shared" ca="1" si="580"/>
        <v>#VALUE!</v>
      </c>
    </row>
    <row r="503" spans="2:63" x14ac:dyDescent="0.35">
      <c r="B503" s="512">
        <v>10</v>
      </c>
      <c r="C503" s="512" t="s">
        <v>2274</v>
      </c>
      <c r="D503" s="529" t="s">
        <v>2444</v>
      </c>
      <c r="E503" s="508" t="str">
        <f t="shared" ca="1" si="581"/>
        <v>T2部件</v>
      </c>
      <c r="F503" s="626">
        <v>1.5</v>
      </c>
      <c r="G503" s="594">
        <v>5.1999999999999998E-3</v>
      </c>
      <c r="H503" s="170" t="e">
        <f t="shared" ca="1" si="568"/>
        <v>#VALUE!</v>
      </c>
      <c r="I503" s="508" t="e">
        <f t="shared" ca="1" si="569"/>
        <v>#VALUE!</v>
      </c>
      <c r="K503" s="512">
        <v>10</v>
      </c>
      <c r="L503" s="512" t="s">
        <v>2274</v>
      </c>
      <c r="M503" s="529" t="s">
        <v>2444</v>
      </c>
      <c r="N503" s="508" t="str">
        <f t="shared" ca="1" si="582"/>
        <v>T2部件</v>
      </c>
      <c r="O503" s="512">
        <v>1</v>
      </c>
      <c r="P503" s="594">
        <v>6.3999999999999994E-3</v>
      </c>
      <c r="Q503" s="170" t="e">
        <f t="shared" ca="1" si="573"/>
        <v>#VALUE!</v>
      </c>
      <c r="R503" s="508" t="e">
        <f t="shared" ca="1" si="574"/>
        <v>#VALUE!</v>
      </c>
      <c r="T503" s="512">
        <v>10</v>
      </c>
      <c r="U503" s="512" t="s">
        <v>2274</v>
      </c>
      <c r="V503" s="529" t="s">
        <v>2444</v>
      </c>
      <c r="W503" s="508" t="str">
        <f t="shared" ca="1" si="583"/>
        <v>T2部件</v>
      </c>
      <c r="X503" s="512">
        <v>1</v>
      </c>
      <c r="Y503" s="625">
        <v>6.3999999999999994E-3</v>
      </c>
      <c r="Z503" s="170" t="e">
        <f t="shared" ca="1" si="575"/>
        <v>#VALUE!</v>
      </c>
      <c r="AA503" s="508" t="e">
        <f t="shared" ca="1" si="576"/>
        <v>#VALUE!</v>
      </c>
      <c r="AC503" s="512">
        <v>10</v>
      </c>
      <c r="AD503" s="516" t="s">
        <v>2243</v>
      </c>
      <c r="AE503" s="529" t="s">
        <v>2444</v>
      </c>
      <c r="AF503" s="508">
        <f t="shared" ca="1" si="570"/>
        <v>7.4250000000000007</v>
      </c>
      <c r="AG503" s="594">
        <v>1</v>
      </c>
      <c r="AH503" s="594">
        <v>3.5999999999999999E-3</v>
      </c>
      <c r="AI503" s="170">
        <f t="shared" ca="1" si="587"/>
        <v>3.1030303030303026E-2</v>
      </c>
      <c r="AJ503" s="508">
        <f t="shared" ca="1" si="588"/>
        <v>310</v>
      </c>
      <c r="AL503" s="512">
        <v>10</v>
      </c>
      <c r="AM503" s="516" t="s">
        <v>717</v>
      </c>
      <c r="AN503" s="512" t="s">
        <v>1211</v>
      </c>
      <c r="AO503" s="508">
        <f t="shared" ca="1" si="584"/>
        <v>115</v>
      </c>
      <c r="AP503" s="408">
        <v>1</v>
      </c>
      <c r="AQ503" s="508">
        <f>宝箱设定!$X167</f>
        <v>7.2999999999999995E-2</v>
      </c>
      <c r="AR503" s="170">
        <f t="shared" ca="1" si="585"/>
        <v>6.1573913043478257E-2</v>
      </c>
      <c r="AS503" s="408">
        <f t="shared" ca="1" si="586"/>
        <v>616</v>
      </c>
      <c r="AU503" s="512">
        <v>9</v>
      </c>
      <c r="AV503" s="516" t="s">
        <v>2281</v>
      </c>
      <c r="AW503" s="529" t="s">
        <v>2452</v>
      </c>
      <c r="AX503" s="508" t="str">
        <f t="shared" ca="1" si="559"/>
        <v>T3部件</v>
      </c>
      <c r="AY503" s="615">
        <v>1</v>
      </c>
      <c r="AZ503" s="600">
        <v>6.1999999999999998E-3</v>
      </c>
      <c r="BA503" s="170" t="e">
        <f t="shared" ref="BA503:BA509" ca="1" si="589">AZ503*AV$4/AX503/AY503</f>
        <v>#VALUE!</v>
      </c>
      <c r="BB503" s="508" t="e">
        <f t="shared" ca="1" si="534"/>
        <v>#VALUE!</v>
      </c>
      <c r="BD503" s="512">
        <v>9</v>
      </c>
      <c r="BE503" s="516" t="s">
        <v>2281</v>
      </c>
      <c r="BF503" s="529" t="s">
        <v>2452</v>
      </c>
      <c r="BG503" s="508" t="str">
        <f t="shared" ca="1" si="560"/>
        <v>T3部件</v>
      </c>
      <c r="BH503" s="600">
        <v>1</v>
      </c>
      <c r="BI503" s="600">
        <v>6.1999999999999998E-3</v>
      </c>
      <c r="BJ503" s="170" t="e">
        <f t="shared" ca="1" si="579"/>
        <v>#VALUE!</v>
      </c>
      <c r="BK503" s="508" t="e">
        <f t="shared" ca="1" si="580"/>
        <v>#VALUE!</v>
      </c>
    </row>
    <row r="504" spans="2:63" x14ac:dyDescent="0.35">
      <c r="B504" s="512">
        <v>10</v>
      </c>
      <c r="C504" s="516" t="s">
        <v>2259</v>
      </c>
      <c r="D504" s="529" t="s">
        <v>2444</v>
      </c>
      <c r="E504" s="508" t="str">
        <f t="shared" ca="1" si="581"/>
        <v>T2部件</v>
      </c>
      <c r="F504" s="626">
        <v>1.5</v>
      </c>
      <c r="G504" s="594">
        <v>5.1999999999999998E-3</v>
      </c>
      <c r="H504" s="170" t="e">
        <f t="shared" ca="1" si="568"/>
        <v>#VALUE!</v>
      </c>
      <c r="I504" s="508" t="e">
        <f t="shared" ca="1" si="569"/>
        <v>#VALUE!</v>
      </c>
      <c r="K504" s="512">
        <v>10</v>
      </c>
      <c r="L504" s="516" t="s">
        <v>2259</v>
      </c>
      <c r="M504" s="529" t="s">
        <v>2444</v>
      </c>
      <c r="N504" s="508" t="str">
        <f t="shared" ca="1" si="582"/>
        <v>T2部件</v>
      </c>
      <c r="O504" s="512">
        <v>1</v>
      </c>
      <c r="P504" s="594">
        <v>6.3999999999999994E-3</v>
      </c>
      <c r="Q504" s="170" t="e">
        <f t="shared" ca="1" si="573"/>
        <v>#VALUE!</v>
      </c>
      <c r="R504" s="508" t="e">
        <f t="shared" ca="1" si="574"/>
        <v>#VALUE!</v>
      </c>
      <c r="T504" s="512">
        <v>10</v>
      </c>
      <c r="U504" s="516" t="s">
        <v>2259</v>
      </c>
      <c r="V504" s="529" t="s">
        <v>2444</v>
      </c>
      <c r="W504" s="508" t="str">
        <f t="shared" ca="1" si="583"/>
        <v>T2部件</v>
      </c>
      <c r="X504" s="512">
        <v>1</v>
      </c>
      <c r="Y504" s="625">
        <v>6.3999999999999994E-3</v>
      </c>
      <c r="Z504" s="170" t="e">
        <f t="shared" ca="1" si="575"/>
        <v>#VALUE!</v>
      </c>
      <c r="AA504" s="508" t="e">
        <f t="shared" ca="1" si="576"/>
        <v>#VALUE!</v>
      </c>
      <c r="AC504" s="512">
        <v>10</v>
      </c>
      <c r="AD504" s="516" t="s">
        <v>2245</v>
      </c>
      <c r="AE504" s="529" t="s">
        <v>2444</v>
      </c>
      <c r="AF504" s="508">
        <f t="shared" ca="1" si="570"/>
        <v>7.4250000000000007</v>
      </c>
      <c r="AG504" s="594">
        <v>1</v>
      </c>
      <c r="AH504" s="594">
        <v>3.5999999999999999E-3</v>
      </c>
      <c r="AI504" s="170">
        <f t="shared" ca="1" si="587"/>
        <v>3.1030303030303026E-2</v>
      </c>
      <c r="AJ504" s="508">
        <f t="shared" ca="1" si="588"/>
        <v>310</v>
      </c>
      <c r="AL504" s="512">
        <v>10</v>
      </c>
      <c r="AM504" s="516" t="s">
        <v>720</v>
      </c>
      <c r="AN504" s="512" t="s">
        <v>1211</v>
      </c>
      <c r="AO504" s="508">
        <f t="shared" ca="1" si="584"/>
        <v>115</v>
      </c>
      <c r="AP504" s="600">
        <v>1</v>
      </c>
      <c r="AQ504" s="508">
        <f>宝箱设定!$X168</f>
        <v>7.2999999999999995E-2</v>
      </c>
      <c r="AR504" s="170">
        <f t="shared" ca="1" si="585"/>
        <v>6.1573913043478257E-2</v>
      </c>
      <c r="AS504" s="408">
        <f t="shared" ca="1" si="586"/>
        <v>616</v>
      </c>
      <c r="AU504" s="512">
        <v>9</v>
      </c>
      <c r="AV504" s="516" t="s">
        <v>2283</v>
      </c>
      <c r="AW504" s="529" t="s">
        <v>2452</v>
      </c>
      <c r="AX504" s="508" t="str">
        <f t="shared" ref="AX504:AX518" ca="1" si="590">IF(AW504="部件",VLOOKUP(AU504,INDIRECT(AW504&amp;"价值"),MATCH(LEFT(AV504,2)&amp;"部件",INDIRECT(AW504&amp;"价值标头"),0),FALSE),IF(AW504="加速道具",VLOOKUP(AV504,INDIRECT(AW504&amp;"价值"),MATCH("价格",INDIRECT(AW504&amp;"价值标头"),0),FALSE),VLOOKUP(AU504,INDIRECT(AW504&amp;"价值"),MATCH(AV504,INDIRECT(AW504&amp;"价值标头"),0),FALSE)))</f>
        <v>T3部件</v>
      </c>
      <c r="AY504" s="615">
        <v>1</v>
      </c>
      <c r="AZ504" s="600">
        <v>6.1000000000000004E-3</v>
      </c>
      <c r="BA504" s="170" t="e">
        <f t="shared" ca="1" si="589"/>
        <v>#VALUE!</v>
      </c>
      <c r="BB504" s="508" t="e">
        <f t="shared" ca="1" si="534"/>
        <v>#VALUE!</v>
      </c>
      <c r="BD504" s="512">
        <v>9</v>
      </c>
      <c r="BE504" s="516" t="s">
        <v>2283</v>
      </c>
      <c r="BF504" s="529" t="s">
        <v>2452</v>
      </c>
      <c r="BG504" s="508" t="str">
        <f t="shared" ref="BG504:BG518" ca="1" si="591">IF(BF504="部件",VLOOKUP(BD504,INDIRECT(BF504&amp;"价值"),MATCH(LEFT(BE504,2)&amp;"部件",INDIRECT(BF504&amp;"价值标头"),0),FALSE),IF(BF504="加速道具",VLOOKUP(BE504,INDIRECT(BF504&amp;"价值"),MATCH("价格",INDIRECT(BF504&amp;"价值标头"),0),FALSE),VLOOKUP(BD504,INDIRECT(BF504&amp;"价值"),MATCH(BE504,INDIRECT(BF504&amp;"价值标头"),0),FALSE)))</f>
        <v>T3部件</v>
      </c>
      <c r="BH504" s="600">
        <v>1</v>
      </c>
      <c r="BI504" s="600">
        <v>6.1000000000000004E-3</v>
      </c>
      <c r="BJ504" s="170" t="e">
        <f t="shared" ca="1" si="579"/>
        <v>#VALUE!</v>
      </c>
      <c r="BK504" s="508" t="e">
        <f t="shared" ca="1" si="580"/>
        <v>#VALUE!</v>
      </c>
    </row>
    <row r="505" spans="2:63" x14ac:dyDescent="0.35">
      <c r="B505" s="512">
        <v>10</v>
      </c>
      <c r="C505" s="516" t="s">
        <v>2261</v>
      </c>
      <c r="D505" s="529" t="s">
        <v>2444</v>
      </c>
      <c r="E505" s="508" t="str">
        <f t="shared" ca="1" si="581"/>
        <v>T2部件</v>
      </c>
      <c r="F505" s="626">
        <v>1.5</v>
      </c>
      <c r="G505" s="594">
        <v>5.1999999999999998E-3</v>
      </c>
      <c r="H505" s="170" t="e">
        <f t="shared" ca="1" si="568"/>
        <v>#VALUE!</v>
      </c>
      <c r="I505" s="508" t="e">
        <f t="shared" ca="1" si="569"/>
        <v>#VALUE!</v>
      </c>
      <c r="K505" s="512">
        <v>10</v>
      </c>
      <c r="L505" s="516" t="s">
        <v>2261</v>
      </c>
      <c r="M505" s="529" t="s">
        <v>2444</v>
      </c>
      <c r="N505" s="508" t="str">
        <f t="shared" ca="1" si="582"/>
        <v>T2部件</v>
      </c>
      <c r="O505" s="512">
        <v>1</v>
      </c>
      <c r="P505" s="594">
        <v>6.3E-3</v>
      </c>
      <c r="Q505" s="170" t="e">
        <f t="shared" ca="1" si="573"/>
        <v>#VALUE!</v>
      </c>
      <c r="R505" s="508" t="e">
        <f t="shared" ca="1" si="574"/>
        <v>#VALUE!</v>
      </c>
      <c r="T505" s="512">
        <v>10</v>
      </c>
      <c r="U505" s="516" t="s">
        <v>2261</v>
      </c>
      <c r="V505" s="529" t="s">
        <v>2444</v>
      </c>
      <c r="W505" s="508" t="str">
        <f t="shared" ca="1" si="583"/>
        <v>T2部件</v>
      </c>
      <c r="X505" s="512">
        <v>1</v>
      </c>
      <c r="Y505" s="625">
        <v>6.3E-3</v>
      </c>
      <c r="Z505" s="170" t="e">
        <f t="shared" ca="1" si="575"/>
        <v>#VALUE!</v>
      </c>
      <c r="AA505" s="508" t="e">
        <f t="shared" ca="1" si="576"/>
        <v>#VALUE!</v>
      </c>
      <c r="AC505" s="512">
        <v>10</v>
      </c>
      <c r="AD505" s="516" t="s">
        <v>2247</v>
      </c>
      <c r="AE505" s="529" t="s">
        <v>2444</v>
      </c>
      <c r="AF505" s="508">
        <f t="shared" ca="1" si="570"/>
        <v>7.4250000000000007</v>
      </c>
      <c r="AG505" s="594">
        <v>1</v>
      </c>
      <c r="AH505" s="594">
        <v>3.5999999999999999E-3</v>
      </c>
      <c r="AI505" s="170">
        <f t="shared" ca="1" si="587"/>
        <v>3.1030303030303026E-2</v>
      </c>
      <c r="AJ505" s="508">
        <f t="shared" ca="1" si="588"/>
        <v>310</v>
      </c>
      <c r="AL505" s="512">
        <v>10</v>
      </c>
      <c r="AM505" s="516" t="s">
        <v>629</v>
      </c>
      <c r="AN505" s="512" t="s">
        <v>1211</v>
      </c>
      <c r="AO505" s="508">
        <f t="shared" ca="1" si="584"/>
        <v>115</v>
      </c>
      <c r="AP505" s="600">
        <v>1</v>
      </c>
      <c r="AQ505" s="508">
        <f>宝箱设定!$X169</f>
        <v>7.2999999999999995E-2</v>
      </c>
      <c r="AR505" s="170">
        <f t="shared" ca="1" si="585"/>
        <v>6.1573913043478257E-2</v>
      </c>
      <c r="AS505" s="408">
        <f t="shared" ca="1" si="586"/>
        <v>616</v>
      </c>
      <c r="AU505" s="512">
        <v>9</v>
      </c>
      <c r="AV505" s="516" t="s">
        <v>2285</v>
      </c>
      <c r="AW505" s="529" t="s">
        <v>2452</v>
      </c>
      <c r="AX505" s="508" t="str">
        <f t="shared" ca="1" si="590"/>
        <v>T3部件</v>
      </c>
      <c r="AY505" s="615">
        <v>1</v>
      </c>
      <c r="AZ505" s="600">
        <v>6.1000000000000004E-3</v>
      </c>
      <c r="BA505" s="170" t="e">
        <f t="shared" ca="1" si="589"/>
        <v>#VALUE!</v>
      </c>
      <c r="BB505" s="508" t="e">
        <f t="shared" ca="1" si="534"/>
        <v>#VALUE!</v>
      </c>
      <c r="BD505" s="512">
        <v>9</v>
      </c>
      <c r="BE505" s="516" t="s">
        <v>2285</v>
      </c>
      <c r="BF505" s="529" t="s">
        <v>2452</v>
      </c>
      <c r="BG505" s="508" t="str">
        <f t="shared" ca="1" si="591"/>
        <v>T3部件</v>
      </c>
      <c r="BH505" s="600">
        <v>1</v>
      </c>
      <c r="BI505" s="600">
        <v>6.1000000000000004E-3</v>
      </c>
      <c r="BJ505" s="170" t="e">
        <f t="shared" ca="1" si="579"/>
        <v>#VALUE!</v>
      </c>
      <c r="BK505" s="508" t="e">
        <f t="shared" ca="1" si="580"/>
        <v>#VALUE!</v>
      </c>
    </row>
    <row r="506" spans="2:63" x14ac:dyDescent="0.35">
      <c r="B506" s="512">
        <v>10</v>
      </c>
      <c r="C506" s="516" t="s">
        <v>2263</v>
      </c>
      <c r="D506" s="529" t="s">
        <v>2444</v>
      </c>
      <c r="E506" s="508" t="str">
        <f t="shared" ca="1" si="581"/>
        <v>T2部件</v>
      </c>
      <c r="F506" s="626">
        <v>1.5</v>
      </c>
      <c r="G506" s="594">
        <v>5.1999999999999998E-3</v>
      </c>
      <c r="H506" s="170" t="e">
        <f t="shared" ca="1" si="568"/>
        <v>#VALUE!</v>
      </c>
      <c r="I506" s="508" t="e">
        <f t="shared" ca="1" si="569"/>
        <v>#VALUE!</v>
      </c>
      <c r="K506" s="512">
        <v>10</v>
      </c>
      <c r="L506" s="516" t="s">
        <v>2263</v>
      </c>
      <c r="M506" s="529" t="s">
        <v>2444</v>
      </c>
      <c r="N506" s="508" t="str">
        <f t="shared" ca="1" si="582"/>
        <v>T2部件</v>
      </c>
      <c r="O506" s="512">
        <v>1</v>
      </c>
      <c r="P506" s="594">
        <v>6.3E-3</v>
      </c>
      <c r="Q506" s="170" t="e">
        <f t="shared" ca="1" si="573"/>
        <v>#VALUE!</v>
      </c>
      <c r="R506" s="508" t="e">
        <f t="shared" ca="1" si="574"/>
        <v>#VALUE!</v>
      </c>
      <c r="T506" s="512">
        <v>10</v>
      </c>
      <c r="U506" s="516" t="s">
        <v>2263</v>
      </c>
      <c r="V506" s="529" t="s">
        <v>2444</v>
      </c>
      <c r="W506" s="508" t="str">
        <f t="shared" ca="1" si="583"/>
        <v>T2部件</v>
      </c>
      <c r="X506" s="512">
        <v>1</v>
      </c>
      <c r="Y506" s="625">
        <v>6.3E-3</v>
      </c>
      <c r="Z506" s="170" t="e">
        <f t="shared" ca="1" si="575"/>
        <v>#VALUE!</v>
      </c>
      <c r="AA506" s="508" t="e">
        <f t="shared" ca="1" si="576"/>
        <v>#VALUE!</v>
      </c>
      <c r="AC506" s="512">
        <v>10</v>
      </c>
      <c r="AD506" s="516" t="s">
        <v>2249</v>
      </c>
      <c r="AE506" s="529" t="s">
        <v>2444</v>
      </c>
      <c r="AF506" s="508">
        <f t="shared" ca="1" si="570"/>
        <v>7.4250000000000007</v>
      </c>
      <c r="AG506" s="594">
        <v>1</v>
      </c>
      <c r="AH506" s="594">
        <v>3.5999999999999999E-3</v>
      </c>
      <c r="AI506" s="170">
        <f t="shared" ca="1" si="587"/>
        <v>3.1030303030303026E-2</v>
      </c>
      <c r="AJ506" s="508">
        <f t="shared" ca="1" si="588"/>
        <v>310</v>
      </c>
      <c r="AL506" s="512">
        <v>10</v>
      </c>
      <c r="AM506" s="516" t="s">
        <v>621</v>
      </c>
      <c r="AN506" s="512" t="s">
        <v>1211</v>
      </c>
      <c r="AO506" s="508">
        <f t="shared" ca="1" si="584"/>
        <v>142.6</v>
      </c>
      <c r="AP506" s="600">
        <v>1</v>
      </c>
      <c r="AQ506" s="508">
        <f>宝箱设定!$X170</f>
        <v>7.2999999999999995E-2</v>
      </c>
      <c r="AR506" s="170">
        <f t="shared" ca="1" si="585"/>
        <v>4.9656381486676018E-2</v>
      </c>
      <c r="AS506" s="408">
        <f t="shared" ca="1" si="586"/>
        <v>497</v>
      </c>
      <c r="AU506" s="512">
        <v>9</v>
      </c>
      <c r="AV506" s="516" t="s">
        <v>2287</v>
      </c>
      <c r="AW506" s="529" t="s">
        <v>2452</v>
      </c>
      <c r="AX506" s="508" t="str">
        <f t="shared" ca="1" si="590"/>
        <v>T3部件</v>
      </c>
      <c r="AY506" s="615">
        <v>1</v>
      </c>
      <c r="AZ506" s="600">
        <v>6.1000000000000004E-3</v>
      </c>
      <c r="BA506" s="170" t="e">
        <f t="shared" ca="1" si="589"/>
        <v>#VALUE!</v>
      </c>
      <c r="BB506" s="508" t="e">
        <f t="shared" ca="1" si="534"/>
        <v>#VALUE!</v>
      </c>
      <c r="BD506" s="512">
        <v>9</v>
      </c>
      <c r="BE506" s="516" t="s">
        <v>2287</v>
      </c>
      <c r="BF506" s="529" t="s">
        <v>2452</v>
      </c>
      <c r="BG506" s="508" t="str">
        <f t="shared" ca="1" si="591"/>
        <v>T3部件</v>
      </c>
      <c r="BH506" s="600">
        <v>1</v>
      </c>
      <c r="BI506" s="600">
        <v>6.1000000000000004E-3</v>
      </c>
      <c r="BJ506" s="170" t="e">
        <f t="shared" ca="1" si="579"/>
        <v>#VALUE!</v>
      </c>
      <c r="BK506" s="508" t="e">
        <f t="shared" ca="1" si="580"/>
        <v>#VALUE!</v>
      </c>
    </row>
    <row r="507" spans="2:63" x14ac:dyDescent="0.35">
      <c r="B507" s="512">
        <v>10</v>
      </c>
      <c r="C507" s="516" t="s">
        <v>2265</v>
      </c>
      <c r="D507" s="529" t="s">
        <v>2444</v>
      </c>
      <c r="E507" s="508" t="str">
        <f t="shared" ca="1" si="581"/>
        <v>T2部件</v>
      </c>
      <c r="F507" s="626">
        <v>1.5</v>
      </c>
      <c r="G507" s="594">
        <v>5.1999999999999998E-3</v>
      </c>
      <c r="H507" s="170" t="e">
        <f t="shared" ca="1" si="568"/>
        <v>#VALUE!</v>
      </c>
      <c r="I507" s="508" t="e">
        <f t="shared" ca="1" si="569"/>
        <v>#VALUE!</v>
      </c>
      <c r="K507" s="512">
        <v>10</v>
      </c>
      <c r="L507" s="516" t="s">
        <v>2265</v>
      </c>
      <c r="M507" s="529" t="s">
        <v>2444</v>
      </c>
      <c r="N507" s="508" t="str">
        <f t="shared" ca="1" si="582"/>
        <v>T2部件</v>
      </c>
      <c r="O507" s="512">
        <v>1</v>
      </c>
      <c r="P507" s="594">
        <v>6.3E-3</v>
      </c>
      <c r="Q507" s="170" t="e">
        <f t="shared" ca="1" si="573"/>
        <v>#VALUE!</v>
      </c>
      <c r="R507" s="508" t="e">
        <f t="shared" ca="1" si="574"/>
        <v>#VALUE!</v>
      </c>
      <c r="T507" s="512">
        <v>10</v>
      </c>
      <c r="U507" s="516" t="s">
        <v>2265</v>
      </c>
      <c r="V507" s="529" t="s">
        <v>2444</v>
      </c>
      <c r="W507" s="508" t="str">
        <f t="shared" ca="1" si="583"/>
        <v>T2部件</v>
      </c>
      <c r="X507" s="512">
        <v>1</v>
      </c>
      <c r="Y507" s="625">
        <v>6.3E-3</v>
      </c>
      <c r="Z507" s="170" t="e">
        <f t="shared" ca="1" si="575"/>
        <v>#VALUE!</v>
      </c>
      <c r="AA507" s="508" t="e">
        <f t="shared" ca="1" si="576"/>
        <v>#VALUE!</v>
      </c>
      <c r="AC507" s="512">
        <v>10</v>
      </c>
      <c r="AD507" s="516" t="s">
        <v>2251</v>
      </c>
      <c r="AE507" s="529" t="s">
        <v>2444</v>
      </c>
      <c r="AF507" s="508">
        <f t="shared" ca="1" si="570"/>
        <v>7.4250000000000007</v>
      </c>
      <c r="AG507" s="594">
        <v>1</v>
      </c>
      <c r="AH507" s="594">
        <v>3.5999999999999999E-3</v>
      </c>
      <c r="AI507" s="170">
        <f t="shared" ca="1" si="587"/>
        <v>3.1030303030303026E-2</v>
      </c>
      <c r="AJ507" s="508">
        <f t="shared" ca="1" si="588"/>
        <v>310</v>
      </c>
      <c r="AL507" s="512">
        <v>10</v>
      </c>
      <c r="AM507" s="516" t="s">
        <v>634</v>
      </c>
      <c r="AN507" s="512" t="s">
        <v>1211</v>
      </c>
      <c r="AO507" s="508">
        <f t="shared" ca="1" si="584"/>
        <v>142.6</v>
      </c>
      <c r="AP507" s="600">
        <v>1</v>
      </c>
      <c r="AQ507" s="508">
        <f>宝箱设定!$X171</f>
        <v>7.2999999999999995E-2</v>
      </c>
      <c r="AR507" s="170">
        <f t="shared" ca="1" si="585"/>
        <v>4.9656381486676018E-2</v>
      </c>
      <c r="AS507" s="408">
        <f t="shared" ca="1" si="586"/>
        <v>497</v>
      </c>
      <c r="AU507" s="512">
        <v>9</v>
      </c>
      <c r="AV507" s="516" t="s">
        <v>2289</v>
      </c>
      <c r="AW507" s="529" t="s">
        <v>2452</v>
      </c>
      <c r="AX507" s="508" t="str">
        <f t="shared" ca="1" si="590"/>
        <v>T3部件</v>
      </c>
      <c r="AY507" s="615">
        <v>1</v>
      </c>
      <c r="AZ507" s="600">
        <v>6.1000000000000004E-3</v>
      </c>
      <c r="BA507" s="170" t="e">
        <f t="shared" ca="1" si="589"/>
        <v>#VALUE!</v>
      </c>
      <c r="BB507" s="508" t="e">
        <f t="shared" ca="1" si="534"/>
        <v>#VALUE!</v>
      </c>
      <c r="BD507" s="512">
        <v>9</v>
      </c>
      <c r="BE507" s="516" t="s">
        <v>2289</v>
      </c>
      <c r="BF507" s="529" t="s">
        <v>2452</v>
      </c>
      <c r="BG507" s="508" t="str">
        <f t="shared" ca="1" si="591"/>
        <v>T3部件</v>
      </c>
      <c r="BH507" s="600">
        <v>1</v>
      </c>
      <c r="BI507" s="600">
        <v>6.1000000000000004E-3</v>
      </c>
      <c r="BJ507" s="170" t="e">
        <f t="shared" ca="1" si="579"/>
        <v>#VALUE!</v>
      </c>
      <c r="BK507" s="508" t="e">
        <f t="shared" ca="1" si="580"/>
        <v>#VALUE!</v>
      </c>
    </row>
    <row r="508" spans="2:63" x14ac:dyDescent="0.35">
      <c r="B508" s="512">
        <v>10</v>
      </c>
      <c r="C508" s="516" t="s">
        <v>2267</v>
      </c>
      <c r="D508" s="529" t="s">
        <v>2444</v>
      </c>
      <c r="E508" s="508" t="str">
        <f t="shared" ca="1" si="581"/>
        <v>T2部件</v>
      </c>
      <c r="F508" s="626">
        <v>1.5</v>
      </c>
      <c r="G508" s="594">
        <v>5.1999999999999998E-3</v>
      </c>
      <c r="H508" s="170" t="e">
        <f t="shared" ca="1" si="568"/>
        <v>#VALUE!</v>
      </c>
      <c r="I508" s="508" t="e">
        <f t="shared" ca="1" si="569"/>
        <v>#VALUE!</v>
      </c>
      <c r="K508" s="512">
        <v>10</v>
      </c>
      <c r="L508" s="516" t="s">
        <v>2267</v>
      </c>
      <c r="M508" s="529" t="s">
        <v>2444</v>
      </c>
      <c r="N508" s="508" t="str">
        <f t="shared" ca="1" si="582"/>
        <v>T2部件</v>
      </c>
      <c r="O508" s="512">
        <v>1</v>
      </c>
      <c r="P508" s="594">
        <v>6.3E-3</v>
      </c>
      <c r="Q508" s="170" t="e">
        <f t="shared" ca="1" si="573"/>
        <v>#VALUE!</v>
      </c>
      <c r="R508" s="508" t="e">
        <f t="shared" ca="1" si="574"/>
        <v>#VALUE!</v>
      </c>
      <c r="T508" s="512">
        <v>10</v>
      </c>
      <c r="U508" s="516" t="s">
        <v>2267</v>
      </c>
      <c r="V508" s="529" t="s">
        <v>2444</v>
      </c>
      <c r="W508" s="508" t="str">
        <f t="shared" ca="1" si="583"/>
        <v>T2部件</v>
      </c>
      <c r="X508" s="512">
        <v>1</v>
      </c>
      <c r="Y508" s="625">
        <v>6.3E-3</v>
      </c>
      <c r="Z508" s="170" t="e">
        <f t="shared" ca="1" si="575"/>
        <v>#VALUE!</v>
      </c>
      <c r="AA508" s="508" t="e">
        <f t="shared" ca="1" si="576"/>
        <v>#VALUE!</v>
      </c>
      <c r="AC508" s="512">
        <v>10</v>
      </c>
      <c r="AD508" s="516" t="s">
        <v>2253</v>
      </c>
      <c r="AE508" s="529" t="s">
        <v>2444</v>
      </c>
      <c r="AF508" s="508">
        <f t="shared" ca="1" si="570"/>
        <v>7.4250000000000007</v>
      </c>
      <c r="AG508" s="594">
        <v>1</v>
      </c>
      <c r="AH508" s="594">
        <v>3.5999999999999999E-3</v>
      </c>
      <c r="AI508" s="170">
        <f t="shared" ca="1" si="587"/>
        <v>3.1030303030303026E-2</v>
      </c>
      <c r="AJ508" s="508">
        <f t="shared" ca="1" si="588"/>
        <v>310</v>
      </c>
      <c r="AL508" s="512">
        <v>10</v>
      </c>
      <c r="AM508" s="516" t="s">
        <v>722</v>
      </c>
      <c r="AN508" s="512" t="s">
        <v>1211</v>
      </c>
      <c r="AO508" s="508">
        <f t="shared" ca="1" si="584"/>
        <v>142.6</v>
      </c>
      <c r="AP508" s="600">
        <v>1</v>
      </c>
      <c r="AQ508" s="508">
        <f>宝箱设定!$X172</f>
        <v>7.2999999999999995E-2</v>
      </c>
      <c r="AR508" s="170">
        <f t="shared" ca="1" si="585"/>
        <v>4.9656381486676018E-2</v>
      </c>
      <c r="AS508" s="408">
        <f t="shared" ca="1" si="586"/>
        <v>497</v>
      </c>
      <c r="AU508" s="512">
        <v>9</v>
      </c>
      <c r="AV508" s="512" t="s">
        <v>2291</v>
      </c>
      <c r="AW508" s="529" t="s">
        <v>2452</v>
      </c>
      <c r="AX508" s="508" t="str">
        <f t="shared" ca="1" si="590"/>
        <v>T3部件</v>
      </c>
      <c r="AY508" s="615">
        <v>1</v>
      </c>
      <c r="AZ508" s="600">
        <v>6.1000000000000004E-3</v>
      </c>
      <c r="BA508" s="170" t="e">
        <f t="shared" ca="1" si="589"/>
        <v>#VALUE!</v>
      </c>
      <c r="BB508" s="508" t="e">
        <f t="shared" ca="1" si="534"/>
        <v>#VALUE!</v>
      </c>
      <c r="BD508" s="512">
        <v>9</v>
      </c>
      <c r="BE508" s="512" t="s">
        <v>2291</v>
      </c>
      <c r="BF508" s="529" t="s">
        <v>2452</v>
      </c>
      <c r="BG508" s="508" t="str">
        <f t="shared" ca="1" si="591"/>
        <v>T3部件</v>
      </c>
      <c r="BH508" s="600">
        <v>1</v>
      </c>
      <c r="BI508" s="600">
        <v>6.1000000000000004E-3</v>
      </c>
      <c r="BJ508" s="170" t="e">
        <f t="shared" ca="1" si="579"/>
        <v>#VALUE!</v>
      </c>
      <c r="BK508" s="508" t="e">
        <f t="shared" ca="1" si="580"/>
        <v>#VALUE!</v>
      </c>
    </row>
    <row r="509" spans="2:63" x14ac:dyDescent="0.35">
      <c r="B509" s="512">
        <v>10</v>
      </c>
      <c r="C509" s="516" t="s">
        <v>2269</v>
      </c>
      <c r="D509" s="529" t="s">
        <v>2444</v>
      </c>
      <c r="E509" s="508" t="str">
        <f t="shared" ca="1" si="581"/>
        <v>T2部件</v>
      </c>
      <c r="F509" s="626">
        <v>1.5</v>
      </c>
      <c r="G509" s="594">
        <v>5.1999999999999998E-3</v>
      </c>
      <c r="H509" s="170" t="e">
        <f t="shared" ca="1" si="568"/>
        <v>#VALUE!</v>
      </c>
      <c r="I509" s="508" t="e">
        <f t="shared" ca="1" si="569"/>
        <v>#VALUE!</v>
      </c>
      <c r="K509" s="512">
        <v>10</v>
      </c>
      <c r="L509" s="516" t="s">
        <v>2269</v>
      </c>
      <c r="M509" s="529" t="s">
        <v>2444</v>
      </c>
      <c r="N509" s="508" t="str">
        <f t="shared" ca="1" si="582"/>
        <v>T2部件</v>
      </c>
      <c r="O509" s="512">
        <v>1</v>
      </c>
      <c r="P509" s="594">
        <v>6.3E-3</v>
      </c>
      <c r="Q509" s="170" t="e">
        <f t="shared" ca="1" si="573"/>
        <v>#VALUE!</v>
      </c>
      <c r="R509" s="508" t="e">
        <f t="shared" ca="1" si="574"/>
        <v>#VALUE!</v>
      </c>
      <c r="T509" s="512">
        <v>10</v>
      </c>
      <c r="U509" s="516" t="s">
        <v>2269</v>
      </c>
      <c r="V509" s="529" t="s">
        <v>2444</v>
      </c>
      <c r="W509" s="508" t="str">
        <f t="shared" ca="1" si="583"/>
        <v>T2部件</v>
      </c>
      <c r="X509" s="512">
        <v>1</v>
      </c>
      <c r="Y509" s="625">
        <v>6.3E-3</v>
      </c>
      <c r="Z509" s="170" t="e">
        <f t="shared" ca="1" si="575"/>
        <v>#VALUE!</v>
      </c>
      <c r="AA509" s="508" t="e">
        <f t="shared" ca="1" si="576"/>
        <v>#VALUE!</v>
      </c>
      <c r="AC509" s="512">
        <v>10</v>
      </c>
      <c r="AD509" s="512" t="s">
        <v>2255</v>
      </c>
      <c r="AE509" s="529" t="s">
        <v>2444</v>
      </c>
      <c r="AF509" s="508">
        <f t="shared" ca="1" si="570"/>
        <v>7.4250000000000007</v>
      </c>
      <c r="AG509" s="594">
        <v>1</v>
      </c>
      <c r="AH509" s="594">
        <v>3.5999999999999999E-3</v>
      </c>
      <c r="AI509" s="170">
        <f t="shared" ca="1" si="587"/>
        <v>3.1030303030303026E-2</v>
      </c>
      <c r="AJ509" s="508">
        <f t="shared" ca="1" si="588"/>
        <v>310</v>
      </c>
      <c r="AL509" s="512">
        <v>10</v>
      </c>
      <c r="AM509" s="516" t="s">
        <v>2239</v>
      </c>
      <c r="AN509" s="529" t="s">
        <v>2444</v>
      </c>
      <c r="AO509" s="508">
        <f t="shared" ca="1" si="584"/>
        <v>7.4250000000000007</v>
      </c>
      <c r="AP509" s="394">
        <v>2</v>
      </c>
      <c r="AQ509" s="565">
        <v>3.8E-3</v>
      </c>
      <c r="AR509" s="170">
        <f t="shared" ca="1" si="585"/>
        <v>2.4821548821548817E-2</v>
      </c>
      <c r="AS509" s="379">
        <f t="shared" ca="1" si="586"/>
        <v>248</v>
      </c>
      <c r="AU509" s="512">
        <v>9</v>
      </c>
      <c r="AV509" s="512" t="s">
        <v>2293</v>
      </c>
      <c r="AW509" s="529" t="s">
        <v>2452</v>
      </c>
      <c r="AX509" s="508" t="str">
        <f t="shared" ca="1" si="590"/>
        <v>T3部件</v>
      </c>
      <c r="AY509" s="615">
        <v>1</v>
      </c>
      <c r="AZ509" s="600">
        <v>6.1000000000000004E-3</v>
      </c>
      <c r="BA509" s="170" t="e">
        <f t="shared" ca="1" si="589"/>
        <v>#VALUE!</v>
      </c>
      <c r="BB509" s="508" t="e">
        <f t="shared" ca="1" si="534"/>
        <v>#VALUE!</v>
      </c>
      <c r="BD509" s="512">
        <v>9</v>
      </c>
      <c r="BE509" s="512" t="s">
        <v>2293</v>
      </c>
      <c r="BF509" s="529" t="s">
        <v>2452</v>
      </c>
      <c r="BG509" s="508" t="str">
        <f t="shared" ca="1" si="591"/>
        <v>T3部件</v>
      </c>
      <c r="BH509" s="600">
        <v>1</v>
      </c>
      <c r="BI509" s="600">
        <v>6.1000000000000004E-3</v>
      </c>
      <c r="BJ509" s="170" t="e">
        <f t="shared" ca="1" si="579"/>
        <v>#VALUE!</v>
      </c>
      <c r="BK509" s="508" t="e">
        <f t="shared" ca="1" si="580"/>
        <v>#VALUE!</v>
      </c>
    </row>
    <row r="510" spans="2:63" x14ac:dyDescent="0.35">
      <c r="B510" s="512">
        <v>10</v>
      </c>
      <c r="C510" s="516" t="s">
        <v>2271</v>
      </c>
      <c r="D510" s="529" t="s">
        <v>2444</v>
      </c>
      <c r="E510" s="508" t="str">
        <f t="shared" ca="1" si="581"/>
        <v>T2部件</v>
      </c>
      <c r="F510" s="626">
        <v>1.5</v>
      </c>
      <c r="G510" s="594">
        <v>5.1999999999999998E-3</v>
      </c>
      <c r="H510" s="170" t="e">
        <f t="shared" ca="1" si="568"/>
        <v>#VALUE!</v>
      </c>
      <c r="I510" s="508" t="e">
        <f t="shared" ca="1" si="569"/>
        <v>#VALUE!</v>
      </c>
      <c r="K510" s="512">
        <v>10</v>
      </c>
      <c r="L510" s="516" t="s">
        <v>2271</v>
      </c>
      <c r="M510" s="529" t="s">
        <v>2444</v>
      </c>
      <c r="N510" s="508" t="str">
        <f t="shared" ca="1" si="582"/>
        <v>T2部件</v>
      </c>
      <c r="O510" s="512">
        <v>1</v>
      </c>
      <c r="P510" s="594">
        <v>6.3E-3</v>
      </c>
      <c r="Q510" s="170" t="e">
        <f t="shared" ca="1" si="573"/>
        <v>#VALUE!</v>
      </c>
      <c r="R510" s="508" t="e">
        <f t="shared" ca="1" si="574"/>
        <v>#VALUE!</v>
      </c>
      <c r="T510" s="512">
        <v>10</v>
      </c>
      <c r="U510" s="516" t="s">
        <v>2271</v>
      </c>
      <c r="V510" s="529" t="s">
        <v>2444</v>
      </c>
      <c r="W510" s="508" t="str">
        <f t="shared" ca="1" si="583"/>
        <v>T2部件</v>
      </c>
      <c r="X510" s="512">
        <v>1</v>
      </c>
      <c r="Y510" s="625">
        <v>6.3E-3</v>
      </c>
      <c r="Z510" s="170" t="e">
        <f t="shared" ca="1" si="575"/>
        <v>#VALUE!</v>
      </c>
      <c r="AA510" s="508" t="e">
        <f t="shared" ca="1" si="576"/>
        <v>#VALUE!</v>
      </c>
      <c r="AC510" s="512">
        <v>10</v>
      </c>
      <c r="AD510" s="512" t="s">
        <v>2257</v>
      </c>
      <c r="AE510" s="529" t="s">
        <v>2444</v>
      </c>
      <c r="AF510" s="508">
        <f t="shared" ca="1" si="570"/>
        <v>7.4250000000000007</v>
      </c>
      <c r="AG510" s="594">
        <v>1</v>
      </c>
      <c r="AH510" s="594">
        <v>3.5999999999999999E-3</v>
      </c>
      <c r="AI510" s="170">
        <f t="shared" ca="1" si="587"/>
        <v>3.1030303030303026E-2</v>
      </c>
      <c r="AJ510" s="508">
        <f t="shared" ca="1" si="588"/>
        <v>310</v>
      </c>
      <c r="AL510" s="512">
        <v>10</v>
      </c>
      <c r="AM510" s="516" t="s">
        <v>2242</v>
      </c>
      <c r="AN510" s="529" t="s">
        <v>2444</v>
      </c>
      <c r="AO510" s="508">
        <f t="shared" ca="1" si="584"/>
        <v>7.4250000000000007</v>
      </c>
      <c r="AP510" s="600">
        <v>2</v>
      </c>
      <c r="AQ510" s="600">
        <v>3.8E-3</v>
      </c>
      <c r="AR510" s="170">
        <f t="shared" ca="1" si="585"/>
        <v>2.4821548821548817E-2</v>
      </c>
      <c r="AS510" s="379">
        <f t="shared" ca="1" si="586"/>
        <v>248</v>
      </c>
      <c r="AU510" s="512">
        <v>9</v>
      </c>
      <c r="AV510" s="516" t="s">
        <v>2294</v>
      </c>
      <c r="AW510" s="529" t="s">
        <v>2444</v>
      </c>
      <c r="AX510" s="508" t="e">
        <f t="shared" ca="1" si="590"/>
        <v>#N/A</v>
      </c>
      <c r="AY510" s="508">
        <v>1</v>
      </c>
      <c r="AZ510" s="600">
        <v>6.0000000000000001E-3</v>
      </c>
      <c r="BA510" s="170" t="e">
        <f t="shared" ref="BA510:BA518" ca="1" si="592">AZ510*AV$4/AX510/AY510</f>
        <v>#N/A</v>
      </c>
      <c r="BB510" s="508" t="e">
        <f t="shared" ref="BB510:BB518" ca="1" si="593">ROUND(BA510*10000,0)</f>
        <v>#N/A</v>
      </c>
      <c r="BD510" s="512">
        <v>9</v>
      </c>
      <c r="BE510" s="516" t="s">
        <v>2294</v>
      </c>
      <c r="BF510" s="529" t="s">
        <v>2444</v>
      </c>
      <c r="BG510" s="508" t="e">
        <f t="shared" ca="1" si="591"/>
        <v>#N/A</v>
      </c>
      <c r="BH510" s="508">
        <v>1</v>
      </c>
      <c r="BI510" s="600">
        <v>9.4000000000000004E-3</v>
      </c>
      <c r="BJ510" s="170" t="e">
        <f t="shared" ca="1" si="579"/>
        <v>#N/A</v>
      </c>
      <c r="BK510" s="508" t="e">
        <f t="shared" ca="1" si="580"/>
        <v>#N/A</v>
      </c>
    </row>
    <row r="511" spans="2:63" x14ac:dyDescent="0.35">
      <c r="B511" s="512">
        <v>10</v>
      </c>
      <c r="C511" s="512" t="s">
        <v>2273</v>
      </c>
      <c r="D511" s="529" t="s">
        <v>2444</v>
      </c>
      <c r="E511" s="508" t="str">
        <f t="shared" ca="1" si="581"/>
        <v>T2部件</v>
      </c>
      <c r="F511" s="626">
        <v>1.5</v>
      </c>
      <c r="G511" s="594">
        <v>5.1999999999999998E-3</v>
      </c>
      <c r="H511" s="170" t="e">
        <f t="shared" ca="1" si="568"/>
        <v>#VALUE!</v>
      </c>
      <c r="I511" s="508" t="e">
        <f t="shared" ca="1" si="569"/>
        <v>#VALUE!</v>
      </c>
      <c r="K511" s="512">
        <v>10</v>
      </c>
      <c r="L511" s="512" t="s">
        <v>2273</v>
      </c>
      <c r="M511" s="529" t="s">
        <v>2444</v>
      </c>
      <c r="N511" s="508" t="str">
        <f t="shared" ca="1" si="582"/>
        <v>T2部件</v>
      </c>
      <c r="O511" s="512">
        <v>1</v>
      </c>
      <c r="P511" s="594">
        <v>6.3E-3</v>
      </c>
      <c r="Q511" s="170" t="e">
        <f t="shared" ca="1" si="573"/>
        <v>#VALUE!</v>
      </c>
      <c r="R511" s="508" t="e">
        <f t="shared" ca="1" si="574"/>
        <v>#VALUE!</v>
      </c>
      <c r="T511" s="512">
        <v>10</v>
      </c>
      <c r="U511" s="512" t="s">
        <v>2273</v>
      </c>
      <c r="V511" s="529" t="s">
        <v>2444</v>
      </c>
      <c r="W511" s="508" t="str">
        <f t="shared" ca="1" si="583"/>
        <v>T2部件</v>
      </c>
      <c r="X511" s="512">
        <v>1</v>
      </c>
      <c r="Y511" s="625">
        <v>6.3E-3</v>
      </c>
      <c r="Z511" s="170" t="e">
        <f t="shared" ca="1" si="575"/>
        <v>#VALUE!</v>
      </c>
      <c r="AA511" s="508" t="e">
        <f t="shared" ca="1" si="576"/>
        <v>#VALUE!</v>
      </c>
      <c r="AC511" s="512">
        <v>10</v>
      </c>
      <c r="AD511" s="516" t="s">
        <v>2258</v>
      </c>
      <c r="AE511" s="529" t="s">
        <v>2444</v>
      </c>
      <c r="AF511" s="508" t="str">
        <f t="shared" ca="1" si="570"/>
        <v>T2部件</v>
      </c>
      <c r="AG511" s="594">
        <v>1</v>
      </c>
      <c r="AH511" s="594">
        <v>4.0000000000000001E-3</v>
      </c>
      <c r="AI511" s="170" t="e">
        <f t="shared" ca="1" si="587"/>
        <v>#VALUE!</v>
      </c>
      <c r="AJ511" s="508" t="e">
        <f t="shared" ca="1" si="588"/>
        <v>#VALUE!</v>
      </c>
      <c r="AL511" s="512">
        <v>10</v>
      </c>
      <c r="AM511" s="516" t="s">
        <v>2244</v>
      </c>
      <c r="AN511" s="529" t="s">
        <v>2444</v>
      </c>
      <c r="AO511" s="508">
        <f t="shared" ca="1" si="584"/>
        <v>7.4250000000000007</v>
      </c>
      <c r="AP511" s="600">
        <v>2</v>
      </c>
      <c r="AQ511" s="600">
        <v>3.8E-3</v>
      </c>
      <c r="AR511" s="170">
        <f t="shared" ca="1" si="585"/>
        <v>2.4821548821548817E-2</v>
      </c>
      <c r="AS511" s="379">
        <f t="shared" ca="1" si="586"/>
        <v>248</v>
      </c>
      <c r="AU511" s="512">
        <v>9</v>
      </c>
      <c r="AV511" s="516" t="s">
        <v>2296</v>
      </c>
      <c r="AW511" s="529" t="s">
        <v>2444</v>
      </c>
      <c r="AX511" s="508" t="e">
        <f t="shared" ca="1" si="590"/>
        <v>#N/A</v>
      </c>
      <c r="AY511" s="508">
        <v>1</v>
      </c>
      <c r="AZ511" s="600">
        <v>6.0000000000000001E-3</v>
      </c>
      <c r="BA511" s="170" t="e">
        <f t="shared" ca="1" si="592"/>
        <v>#N/A</v>
      </c>
      <c r="BB511" s="508" t="e">
        <f t="shared" ca="1" si="593"/>
        <v>#N/A</v>
      </c>
      <c r="BD511" s="512">
        <v>9</v>
      </c>
      <c r="BE511" s="516" t="s">
        <v>2296</v>
      </c>
      <c r="BF511" s="529" t="s">
        <v>2444</v>
      </c>
      <c r="BG511" s="508" t="e">
        <f t="shared" ca="1" si="591"/>
        <v>#N/A</v>
      </c>
      <c r="BH511" s="508">
        <v>1</v>
      </c>
      <c r="BI511" s="615">
        <v>9.4000000000000004E-3</v>
      </c>
      <c r="BJ511" s="170" t="e">
        <f t="shared" ca="1" si="579"/>
        <v>#N/A</v>
      </c>
      <c r="BK511" s="508" t="e">
        <f t="shared" ca="1" si="580"/>
        <v>#N/A</v>
      </c>
    </row>
    <row r="512" spans="2:63" x14ac:dyDescent="0.35">
      <c r="B512" s="512">
        <v>10</v>
      </c>
      <c r="C512" s="512" t="s">
        <v>2275</v>
      </c>
      <c r="D512" s="529" t="s">
        <v>2444</v>
      </c>
      <c r="E512" s="508" t="str">
        <f t="shared" ca="1" si="581"/>
        <v>T2部件</v>
      </c>
      <c r="F512" s="626">
        <v>1.5</v>
      </c>
      <c r="G512" s="594">
        <v>5.1999999999999998E-3</v>
      </c>
      <c r="H512" s="170" t="e">
        <f t="shared" ca="1" si="568"/>
        <v>#VALUE!</v>
      </c>
      <c r="I512" s="508" t="e">
        <f t="shared" ca="1" si="569"/>
        <v>#VALUE!</v>
      </c>
      <c r="K512" s="512">
        <v>10</v>
      </c>
      <c r="L512" s="512" t="s">
        <v>2275</v>
      </c>
      <c r="M512" s="529" t="s">
        <v>2444</v>
      </c>
      <c r="N512" s="508" t="str">
        <f t="shared" ca="1" si="582"/>
        <v>T2部件</v>
      </c>
      <c r="O512" s="512">
        <v>1</v>
      </c>
      <c r="P512" s="565">
        <v>6.3E-3</v>
      </c>
      <c r="Q512" s="170" t="e">
        <f t="shared" ca="1" si="573"/>
        <v>#VALUE!</v>
      </c>
      <c r="R512" s="508" t="e">
        <f t="shared" ca="1" si="574"/>
        <v>#VALUE!</v>
      </c>
      <c r="T512" s="512">
        <v>10</v>
      </c>
      <c r="U512" s="512" t="s">
        <v>2275</v>
      </c>
      <c r="V512" s="529" t="s">
        <v>2444</v>
      </c>
      <c r="W512" s="508" t="str">
        <f t="shared" ca="1" si="583"/>
        <v>T2部件</v>
      </c>
      <c r="X512" s="512">
        <v>1</v>
      </c>
      <c r="Y512" s="625">
        <v>6.3E-3</v>
      </c>
      <c r="Z512" s="170" t="e">
        <f t="shared" ca="1" si="575"/>
        <v>#VALUE!</v>
      </c>
      <c r="AA512" s="508" t="e">
        <f t="shared" ca="1" si="576"/>
        <v>#VALUE!</v>
      </c>
      <c r="AC512" s="512">
        <v>10</v>
      </c>
      <c r="AD512" s="516" t="s">
        <v>2260</v>
      </c>
      <c r="AE512" s="529" t="s">
        <v>2444</v>
      </c>
      <c r="AF512" s="508" t="str">
        <f t="shared" ca="1" si="570"/>
        <v>T2部件</v>
      </c>
      <c r="AG512" s="594">
        <v>1</v>
      </c>
      <c r="AH512" s="600">
        <v>4.0000000000000001E-3</v>
      </c>
      <c r="AI512" s="170" t="e">
        <f t="shared" ca="1" si="587"/>
        <v>#VALUE!</v>
      </c>
      <c r="AJ512" s="508" t="e">
        <f t="shared" ca="1" si="588"/>
        <v>#VALUE!</v>
      </c>
      <c r="AL512" s="512">
        <v>10</v>
      </c>
      <c r="AM512" s="516" t="s">
        <v>2246</v>
      </c>
      <c r="AN512" s="529" t="s">
        <v>2444</v>
      </c>
      <c r="AO512" s="508">
        <f t="shared" ca="1" si="584"/>
        <v>7.4250000000000007</v>
      </c>
      <c r="AP512" s="600">
        <v>2</v>
      </c>
      <c r="AQ512" s="600">
        <v>3.8E-3</v>
      </c>
      <c r="AR512" s="170">
        <f t="shared" ca="1" si="585"/>
        <v>2.4821548821548817E-2</v>
      </c>
      <c r="AS512" s="379">
        <f t="shared" ca="1" si="586"/>
        <v>248</v>
      </c>
      <c r="AU512" s="512">
        <v>9</v>
      </c>
      <c r="AV512" s="516" t="s">
        <v>2298</v>
      </c>
      <c r="AW512" s="529" t="s">
        <v>2444</v>
      </c>
      <c r="AX512" s="508" t="e">
        <f t="shared" ca="1" si="590"/>
        <v>#N/A</v>
      </c>
      <c r="AY512" s="508">
        <v>1</v>
      </c>
      <c r="AZ512" s="600">
        <v>6.0000000000000001E-3</v>
      </c>
      <c r="BA512" s="170" t="e">
        <f t="shared" ca="1" si="592"/>
        <v>#N/A</v>
      </c>
      <c r="BB512" s="508" t="e">
        <f t="shared" ca="1" si="593"/>
        <v>#N/A</v>
      </c>
      <c r="BD512" s="512">
        <v>9</v>
      </c>
      <c r="BE512" s="516" t="s">
        <v>2298</v>
      </c>
      <c r="BF512" s="529" t="s">
        <v>2444</v>
      </c>
      <c r="BG512" s="508" t="e">
        <f t="shared" ca="1" si="591"/>
        <v>#N/A</v>
      </c>
      <c r="BH512" s="508">
        <v>1</v>
      </c>
      <c r="BI512" s="615">
        <v>9.4000000000000004E-3</v>
      </c>
      <c r="BJ512" s="170" t="e">
        <f t="shared" ca="1" si="579"/>
        <v>#N/A</v>
      </c>
      <c r="BK512" s="508" t="e">
        <f t="shared" ca="1" si="580"/>
        <v>#N/A</v>
      </c>
    </row>
    <row r="513" spans="2:64" x14ac:dyDescent="0.35">
      <c r="B513" s="512">
        <v>10</v>
      </c>
      <c r="C513" s="516" t="s">
        <v>2276</v>
      </c>
      <c r="D513" s="529" t="s">
        <v>2444</v>
      </c>
      <c r="E513" s="508" t="str">
        <f t="shared" ca="1" si="581"/>
        <v>T3部件</v>
      </c>
      <c r="F513" s="512">
        <v>1</v>
      </c>
      <c r="G513" s="508">
        <v>5.0000000000000001E-3</v>
      </c>
      <c r="H513" s="170" t="e">
        <f t="shared" ca="1" si="568"/>
        <v>#VALUE!</v>
      </c>
      <c r="I513" s="508" t="e">
        <f t="shared" ca="1" si="569"/>
        <v>#VALUE!</v>
      </c>
      <c r="K513" s="512">
        <v>10</v>
      </c>
      <c r="L513" s="516" t="s">
        <v>2276</v>
      </c>
      <c r="M513" s="529" t="s">
        <v>2444</v>
      </c>
      <c r="N513" s="508" t="str">
        <f t="shared" ca="1" si="582"/>
        <v>T3部件</v>
      </c>
      <c r="O513" s="512">
        <v>1</v>
      </c>
      <c r="P513" s="565">
        <v>3.0999999999999999E-3</v>
      </c>
      <c r="Q513" s="170" t="e">
        <f t="shared" ca="1" si="573"/>
        <v>#VALUE!</v>
      </c>
      <c r="R513" s="508" t="e">
        <f t="shared" ca="1" si="574"/>
        <v>#VALUE!</v>
      </c>
      <c r="T513" s="512">
        <v>10</v>
      </c>
      <c r="U513" s="516" t="s">
        <v>2276</v>
      </c>
      <c r="V513" s="529" t="s">
        <v>2444</v>
      </c>
      <c r="W513" s="508" t="str">
        <f t="shared" ca="1" si="583"/>
        <v>T3部件</v>
      </c>
      <c r="X513" s="512">
        <v>1</v>
      </c>
      <c r="Y513" s="625">
        <v>3.0999999999999999E-3</v>
      </c>
      <c r="Z513" s="170" t="e">
        <f t="shared" ca="1" si="575"/>
        <v>#VALUE!</v>
      </c>
      <c r="AA513" s="508" t="e">
        <f t="shared" ca="1" si="576"/>
        <v>#VALUE!</v>
      </c>
      <c r="AC513" s="512">
        <v>10</v>
      </c>
      <c r="AD513" s="516" t="s">
        <v>2262</v>
      </c>
      <c r="AE513" s="529" t="s">
        <v>2444</v>
      </c>
      <c r="AF513" s="508" t="str">
        <f t="shared" ca="1" si="570"/>
        <v>T2部件</v>
      </c>
      <c r="AG513" s="594">
        <v>1</v>
      </c>
      <c r="AH513" s="600">
        <v>4.0000000000000001E-3</v>
      </c>
      <c r="AI513" s="170" t="e">
        <f t="shared" ca="1" si="587"/>
        <v>#VALUE!</v>
      </c>
      <c r="AJ513" s="508" t="e">
        <f t="shared" ca="1" si="588"/>
        <v>#VALUE!</v>
      </c>
      <c r="AL513" s="512">
        <v>10</v>
      </c>
      <c r="AM513" s="516" t="s">
        <v>2248</v>
      </c>
      <c r="AN513" s="529" t="s">
        <v>2444</v>
      </c>
      <c r="AO513" s="508">
        <f t="shared" ca="1" si="584"/>
        <v>7.4250000000000007</v>
      </c>
      <c r="AP513" s="600">
        <v>2</v>
      </c>
      <c r="AQ513" s="600">
        <v>3.8E-3</v>
      </c>
      <c r="AR513" s="170">
        <f t="shared" ca="1" si="585"/>
        <v>2.4821548821548817E-2</v>
      </c>
      <c r="AS513" s="379">
        <f t="shared" ca="1" si="586"/>
        <v>248</v>
      </c>
      <c r="AU513" s="512">
        <v>9</v>
      </c>
      <c r="AV513" s="516" t="s">
        <v>2300</v>
      </c>
      <c r="AW513" s="529" t="s">
        <v>2444</v>
      </c>
      <c r="AX513" s="508" t="e">
        <f t="shared" ca="1" si="590"/>
        <v>#N/A</v>
      </c>
      <c r="AY513" s="508">
        <v>1</v>
      </c>
      <c r="AZ513" s="600">
        <v>6.0000000000000001E-3</v>
      </c>
      <c r="BA513" s="170" t="e">
        <f t="shared" ca="1" si="592"/>
        <v>#N/A</v>
      </c>
      <c r="BB513" s="508" t="e">
        <f t="shared" ca="1" si="593"/>
        <v>#N/A</v>
      </c>
      <c r="BD513" s="512">
        <v>9</v>
      </c>
      <c r="BE513" s="516" t="s">
        <v>2300</v>
      </c>
      <c r="BF513" s="529" t="s">
        <v>2444</v>
      </c>
      <c r="BG513" s="508" t="e">
        <f t="shared" ca="1" si="591"/>
        <v>#N/A</v>
      </c>
      <c r="BH513" s="508">
        <v>1</v>
      </c>
      <c r="BI513" s="615">
        <v>9.4000000000000004E-3</v>
      </c>
      <c r="BJ513" s="170" t="e">
        <f t="shared" ca="1" si="579"/>
        <v>#N/A</v>
      </c>
      <c r="BK513" s="508" t="e">
        <f t="shared" ca="1" si="580"/>
        <v>#N/A</v>
      </c>
    </row>
    <row r="514" spans="2:64" x14ac:dyDescent="0.35">
      <c r="B514" s="512">
        <v>10</v>
      </c>
      <c r="C514" s="516" t="s">
        <v>2278</v>
      </c>
      <c r="D514" s="529" t="s">
        <v>2444</v>
      </c>
      <c r="E514" s="508" t="str">
        <f t="shared" ca="1" si="581"/>
        <v>T3部件</v>
      </c>
      <c r="F514" s="512">
        <v>1</v>
      </c>
      <c r="G514" s="594">
        <v>5.0000000000000001E-3</v>
      </c>
      <c r="H514" s="170" t="e">
        <f t="shared" ca="1" si="568"/>
        <v>#VALUE!</v>
      </c>
      <c r="I514" s="508" t="e">
        <f t="shared" ca="1" si="569"/>
        <v>#VALUE!</v>
      </c>
      <c r="K514" s="512">
        <v>10</v>
      </c>
      <c r="L514" s="516" t="s">
        <v>2278</v>
      </c>
      <c r="M514" s="529" t="s">
        <v>2444</v>
      </c>
      <c r="N514" s="508" t="str">
        <f t="shared" ca="1" si="582"/>
        <v>T3部件</v>
      </c>
      <c r="O514" s="512">
        <v>1</v>
      </c>
      <c r="P514" s="594">
        <v>3.0999999999999999E-3</v>
      </c>
      <c r="Q514" s="170" t="e">
        <f t="shared" ca="1" si="573"/>
        <v>#VALUE!</v>
      </c>
      <c r="R514" s="508" t="e">
        <f t="shared" ca="1" si="574"/>
        <v>#VALUE!</v>
      </c>
      <c r="T514" s="512">
        <v>10</v>
      </c>
      <c r="U514" s="516" t="s">
        <v>2278</v>
      </c>
      <c r="V514" s="529" t="s">
        <v>2444</v>
      </c>
      <c r="W514" s="508" t="str">
        <f t="shared" ca="1" si="583"/>
        <v>T3部件</v>
      </c>
      <c r="X514" s="512">
        <v>1</v>
      </c>
      <c r="Y514" s="625">
        <v>3.0999999999999999E-3</v>
      </c>
      <c r="Z514" s="170" t="e">
        <f t="shared" ca="1" si="575"/>
        <v>#VALUE!</v>
      </c>
      <c r="AA514" s="508" t="e">
        <f t="shared" ca="1" si="576"/>
        <v>#VALUE!</v>
      </c>
      <c r="AC514" s="512">
        <v>10</v>
      </c>
      <c r="AD514" s="516" t="s">
        <v>2264</v>
      </c>
      <c r="AE514" s="529" t="s">
        <v>2444</v>
      </c>
      <c r="AF514" s="508" t="str">
        <f t="shared" ca="1" si="570"/>
        <v>T2部件</v>
      </c>
      <c r="AG514" s="594">
        <v>1</v>
      </c>
      <c r="AH514" s="600">
        <v>4.0000000000000001E-3</v>
      </c>
      <c r="AI514" s="170" t="e">
        <f t="shared" ca="1" si="587"/>
        <v>#VALUE!</v>
      </c>
      <c r="AJ514" s="508" t="e">
        <f t="shared" ca="1" si="588"/>
        <v>#VALUE!</v>
      </c>
      <c r="AL514" s="512">
        <v>10</v>
      </c>
      <c r="AM514" s="516" t="s">
        <v>2250</v>
      </c>
      <c r="AN514" s="529" t="s">
        <v>2444</v>
      </c>
      <c r="AO514" s="508">
        <f t="shared" ca="1" si="584"/>
        <v>7.4250000000000007</v>
      </c>
      <c r="AP514" s="600">
        <v>2</v>
      </c>
      <c r="AQ514" s="600">
        <v>3.8E-3</v>
      </c>
      <c r="AR514" s="170">
        <f t="shared" ca="1" si="585"/>
        <v>2.4821548821548817E-2</v>
      </c>
      <c r="AS514" s="379">
        <f t="shared" ca="1" si="586"/>
        <v>248</v>
      </c>
      <c r="AU514" s="512">
        <v>9</v>
      </c>
      <c r="AV514" s="516" t="s">
        <v>2302</v>
      </c>
      <c r="AW514" s="529" t="s">
        <v>2444</v>
      </c>
      <c r="AX514" s="508" t="e">
        <f t="shared" ca="1" si="590"/>
        <v>#N/A</v>
      </c>
      <c r="AY514" s="508">
        <v>1</v>
      </c>
      <c r="AZ514" s="600">
        <v>6.0000000000000001E-3</v>
      </c>
      <c r="BA514" s="170" t="e">
        <f t="shared" ca="1" si="592"/>
        <v>#N/A</v>
      </c>
      <c r="BB514" s="508" t="e">
        <f t="shared" ca="1" si="593"/>
        <v>#N/A</v>
      </c>
      <c r="BD514" s="512">
        <v>9</v>
      </c>
      <c r="BE514" s="516" t="s">
        <v>2302</v>
      </c>
      <c r="BF514" s="529" t="s">
        <v>2444</v>
      </c>
      <c r="BG514" s="508" t="e">
        <f t="shared" ca="1" si="591"/>
        <v>#N/A</v>
      </c>
      <c r="BH514" s="508">
        <v>1</v>
      </c>
      <c r="BI514" s="615">
        <v>9.4000000000000004E-3</v>
      </c>
      <c r="BJ514" s="170" t="e">
        <f t="shared" ca="1" si="579"/>
        <v>#N/A</v>
      </c>
      <c r="BK514" s="508" t="e">
        <f t="shared" ca="1" si="580"/>
        <v>#N/A</v>
      </c>
    </row>
    <row r="515" spans="2:64" x14ac:dyDescent="0.35">
      <c r="B515" s="512">
        <v>10</v>
      </c>
      <c r="C515" s="516" t="s">
        <v>2280</v>
      </c>
      <c r="D515" s="529" t="s">
        <v>2444</v>
      </c>
      <c r="E515" s="508" t="str">
        <f t="shared" ca="1" si="581"/>
        <v>T3部件</v>
      </c>
      <c r="F515" s="512">
        <v>1</v>
      </c>
      <c r="G515" s="594">
        <v>5.0000000000000001E-3</v>
      </c>
      <c r="H515" s="170" t="e">
        <f t="shared" ca="1" si="568"/>
        <v>#VALUE!</v>
      </c>
      <c r="I515" s="508" t="e">
        <f t="shared" ca="1" si="569"/>
        <v>#VALUE!</v>
      </c>
      <c r="K515" s="512">
        <v>10</v>
      </c>
      <c r="L515" s="516" t="s">
        <v>2280</v>
      </c>
      <c r="M515" s="529" t="s">
        <v>2444</v>
      </c>
      <c r="N515" s="508" t="str">
        <f t="shared" ca="1" si="582"/>
        <v>T3部件</v>
      </c>
      <c r="O515" s="512">
        <v>1</v>
      </c>
      <c r="P515" s="594">
        <v>3.0999999999999999E-3</v>
      </c>
      <c r="Q515" s="170" t="e">
        <f t="shared" ca="1" si="573"/>
        <v>#VALUE!</v>
      </c>
      <c r="R515" s="508" t="e">
        <f t="shared" ca="1" si="574"/>
        <v>#VALUE!</v>
      </c>
      <c r="T515" s="512">
        <v>10</v>
      </c>
      <c r="U515" s="516" t="s">
        <v>2280</v>
      </c>
      <c r="V515" s="529" t="s">
        <v>2444</v>
      </c>
      <c r="W515" s="508" t="str">
        <f t="shared" ca="1" si="583"/>
        <v>T3部件</v>
      </c>
      <c r="X515" s="512">
        <v>1</v>
      </c>
      <c r="Y515" s="625">
        <v>3.0999999999999999E-3</v>
      </c>
      <c r="Z515" s="170" t="e">
        <f t="shared" ca="1" si="575"/>
        <v>#VALUE!</v>
      </c>
      <c r="AA515" s="508" t="e">
        <f t="shared" ca="1" si="576"/>
        <v>#VALUE!</v>
      </c>
      <c r="AC515" s="512">
        <v>10</v>
      </c>
      <c r="AD515" s="516" t="s">
        <v>2266</v>
      </c>
      <c r="AE515" s="529" t="s">
        <v>2444</v>
      </c>
      <c r="AF515" s="508" t="str">
        <f t="shared" ca="1" si="570"/>
        <v>T2部件</v>
      </c>
      <c r="AG515" s="594">
        <v>1</v>
      </c>
      <c r="AH515" s="600">
        <v>4.0000000000000001E-3</v>
      </c>
      <c r="AI515" s="170" t="e">
        <f t="shared" ca="1" si="587"/>
        <v>#VALUE!</v>
      </c>
      <c r="AJ515" s="508" t="e">
        <f t="shared" ca="1" si="588"/>
        <v>#VALUE!</v>
      </c>
      <c r="AL515" s="512">
        <v>10</v>
      </c>
      <c r="AM515" s="516" t="s">
        <v>2252</v>
      </c>
      <c r="AN515" s="529" t="s">
        <v>2444</v>
      </c>
      <c r="AO515" s="508">
        <f t="shared" ca="1" si="584"/>
        <v>7.4250000000000007</v>
      </c>
      <c r="AP515" s="600">
        <v>2</v>
      </c>
      <c r="AQ515" s="600">
        <v>3.8E-3</v>
      </c>
      <c r="AR515" s="170">
        <f t="shared" ca="1" si="585"/>
        <v>2.4821548821548817E-2</v>
      </c>
      <c r="AS515" s="394">
        <f t="shared" ca="1" si="586"/>
        <v>248</v>
      </c>
      <c r="AU515" s="512">
        <v>9</v>
      </c>
      <c r="AV515" s="516" t="s">
        <v>2304</v>
      </c>
      <c r="AW515" s="529" t="s">
        <v>2444</v>
      </c>
      <c r="AX515" s="508" t="e">
        <f t="shared" ca="1" si="590"/>
        <v>#N/A</v>
      </c>
      <c r="AY515" s="508">
        <v>1</v>
      </c>
      <c r="AZ515" s="600">
        <v>6.0000000000000001E-3</v>
      </c>
      <c r="BA515" s="170" t="e">
        <f t="shared" ca="1" si="592"/>
        <v>#N/A</v>
      </c>
      <c r="BB515" s="508" t="e">
        <f t="shared" ca="1" si="593"/>
        <v>#N/A</v>
      </c>
      <c r="BD515" s="512">
        <v>9</v>
      </c>
      <c r="BE515" s="516" t="s">
        <v>2304</v>
      </c>
      <c r="BF515" s="529" t="s">
        <v>2444</v>
      </c>
      <c r="BG515" s="508" t="e">
        <f t="shared" ca="1" si="591"/>
        <v>#N/A</v>
      </c>
      <c r="BH515" s="508">
        <v>1</v>
      </c>
      <c r="BI515" s="615">
        <v>9.4000000000000004E-3</v>
      </c>
      <c r="BJ515" s="170" t="e">
        <f t="shared" ca="1" si="579"/>
        <v>#N/A</v>
      </c>
      <c r="BK515" s="508" t="e">
        <f t="shared" ca="1" si="580"/>
        <v>#N/A</v>
      </c>
    </row>
    <row r="516" spans="2:64" x14ac:dyDescent="0.35">
      <c r="B516" s="512">
        <v>10</v>
      </c>
      <c r="C516" s="516" t="s">
        <v>2282</v>
      </c>
      <c r="D516" s="529" t="s">
        <v>2444</v>
      </c>
      <c r="E516" s="508" t="str">
        <f t="shared" ca="1" si="581"/>
        <v>T3部件</v>
      </c>
      <c r="F516" s="512">
        <v>1</v>
      </c>
      <c r="G516" s="594">
        <v>5.0000000000000001E-3</v>
      </c>
      <c r="H516" s="170" t="e">
        <f t="shared" ca="1" si="568"/>
        <v>#VALUE!</v>
      </c>
      <c r="I516" s="508" t="e">
        <f t="shared" ca="1" si="569"/>
        <v>#VALUE!</v>
      </c>
      <c r="K516" s="512">
        <v>10</v>
      </c>
      <c r="L516" s="516" t="s">
        <v>2282</v>
      </c>
      <c r="M516" s="529" t="s">
        <v>2444</v>
      </c>
      <c r="N516" s="508" t="str">
        <f t="shared" ca="1" si="582"/>
        <v>T3部件</v>
      </c>
      <c r="O516" s="512">
        <v>1</v>
      </c>
      <c r="P516" s="594">
        <v>3.0999999999999999E-3</v>
      </c>
      <c r="Q516" s="170" t="e">
        <f t="shared" ca="1" si="573"/>
        <v>#VALUE!</v>
      </c>
      <c r="R516" s="508" t="e">
        <f t="shared" ca="1" si="574"/>
        <v>#VALUE!</v>
      </c>
      <c r="T516" s="512">
        <v>10</v>
      </c>
      <c r="U516" s="516" t="s">
        <v>2282</v>
      </c>
      <c r="V516" s="529" t="s">
        <v>2444</v>
      </c>
      <c r="W516" s="508" t="str">
        <f t="shared" ca="1" si="583"/>
        <v>T3部件</v>
      </c>
      <c r="X516" s="512">
        <v>1</v>
      </c>
      <c r="Y516" s="625">
        <v>3.0999999999999999E-3</v>
      </c>
      <c r="Z516" s="170" t="e">
        <f t="shared" ca="1" si="575"/>
        <v>#VALUE!</v>
      </c>
      <c r="AA516" s="508" t="e">
        <f t="shared" ca="1" si="576"/>
        <v>#VALUE!</v>
      </c>
      <c r="AC516" s="512">
        <v>10</v>
      </c>
      <c r="AD516" s="516" t="s">
        <v>2268</v>
      </c>
      <c r="AE516" s="529" t="s">
        <v>2444</v>
      </c>
      <c r="AF516" s="508" t="str">
        <f t="shared" ref="AF516:AF547" ca="1" si="594">IF(AE516="部件",VLOOKUP(AC516,INDIRECT(AE516&amp;"价值"),MATCH(LEFT(AD516,2)&amp;"部件",INDIRECT(AE516&amp;"价值标头"),0),FALSE),IF(AE516="加速道具",VLOOKUP(AD516,INDIRECT(AE516&amp;"价值"),MATCH("价格",INDIRECT(AE516&amp;"价值标头"),0),FALSE),VLOOKUP(AC516,INDIRECT(AE516&amp;"价值"),MATCH(AD516,INDIRECT(AE516&amp;"价值标头"),0),FALSE)))</f>
        <v>T2部件</v>
      </c>
      <c r="AG516" s="594">
        <v>1</v>
      </c>
      <c r="AH516" s="600">
        <v>4.0000000000000001E-3</v>
      </c>
      <c r="AI516" s="170" t="e">
        <f t="shared" ca="1" si="587"/>
        <v>#VALUE!</v>
      </c>
      <c r="AJ516" s="508" t="e">
        <f t="shared" ca="1" si="588"/>
        <v>#VALUE!</v>
      </c>
      <c r="AL516" s="512">
        <v>10</v>
      </c>
      <c r="AM516" s="512" t="s">
        <v>2254</v>
      </c>
      <c r="AN516" s="529" t="s">
        <v>2444</v>
      </c>
      <c r="AO516" s="508">
        <f t="shared" ca="1" si="584"/>
        <v>7.4250000000000007</v>
      </c>
      <c r="AP516" s="600">
        <v>2</v>
      </c>
      <c r="AQ516" s="600">
        <v>3.8E-3</v>
      </c>
      <c r="AR516" s="170">
        <f t="shared" ca="1" si="585"/>
        <v>2.4821548821548817E-2</v>
      </c>
      <c r="AS516" s="394">
        <f t="shared" ca="1" si="586"/>
        <v>248</v>
      </c>
      <c r="AU516" s="512">
        <v>9</v>
      </c>
      <c r="AV516" s="516" t="s">
        <v>2306</v>
      </c>
      <c r="AW516" s="529" t="s">
        <v>2444</v>
      </c>
      <c r="AX516" s="508" t="e">
        <f t="shared" ca="1" si="590"/>
        <v>#N/A</v>
      </c>
      <c r="AY516" s="508">
        <v>1</v>
      </c>
      <c r="AZ516" s="600">
        <v>6.0000000000000001E-3</v>
      </c>
      <c r="BA516" s="170" t="e">
        <f t="shared" ca="1" si="592"/>
        <v>#N/A</v>
      </c>
      <c r="BB516" s="508" t="e">
        <f t="shared" ca="1" si="593"/>
        <v>#N/A</v>
      </c>
      <c r="BD516" s="512">
        <v>9</v>
      </c>
      <c r="BE516" s="516" t="s">
        <v>2306</v>
      </c>
      <c r="BF516" s="529" t="s">
        <v>2444</v>
      </c>
      <c r="BG516" s="508" t="e">
        <f t="shared" ca="1" si="591"/>
        <v>#N/A</v>
      </c>
      <c r="BH516" s="508">
        <v>1</v>
      </c>
      <c r="BI516" s="615">
        <v>9.4000000000000004E-3</v>
      </c>
      <c r="BJ516" s="170" t="e">
        <f t="shared" ca="1" si="579"/>
        <v>#N/A</v>
      </c>
      <c r="BK516" s="508" t="e">
        <f t="shared" ca="1" si="580"/>
        <v>#N/A</v>
      </c>
    </row>
    <row r="517" spans="2:64" x14ac:dyDescent="0.35">
      <c r="B517" s="512">
        <v>10</v>
      </c>
      <c r="C517" s="516" t="s">
        <v>2284</v>
      </c>
      <c r="D517" s="529" t="s">
        <v>2444</v>
      </c>
      <c r="E517" s="508" t="str">
        <f t="shared" ca="1" si="581"/>
        <v>T3部件</v>
      </c>
      <c r="F517" s="512">
        <v>1</v>
      </c>
      <c r="G517" s="594">
        <v>5.0000000000000001E-3</v>
      </c>
      <c r="H517" s="170" t="e">
        <f t="shared" ca="1" si="568"/>
        <v>#VALUE!</v>
      </c>
      <c r="I517" s="508" t="e">
        <f t="shared" ca="1" si="569"/>
        <v>#VALUE!</v>
      </c>
      <c r="K517" s="512">
        <v>10</v>
      </c>
      <c r="L517" s="516" t="s">
        <v>2284</v>
      </c>
      <c r="M517" s="529" t="s">
        <v>2444</v>
      </c>
      <c r="N517" s="508" t="str">
        <f t="shared" ca="1" si="582"/>
        <v>T3部件</v>
      </c>
      <c r="O517" s="512">
        <v>1</v>
      </c>
      <c r="P517" s="594">
        <v>3.0999999999999999E-3</v>
      </c>
      <c r="Q517" s="170" t="e">
        <f t="shared" ca="1" si="573"/>
        <v>#VALUE!</v>
      </c>
      <c r="R517" s="508" t="e">
        <f t="shared" ca="1" si="574"/>
        <v>#VALUE!</v>
      </c>
      <c r="T517" s="512">
        <v>10</v>
      </c>
      <c r="U517" s="516" t="s">
        <v>2284</v>
      </c>
      <c r="V517" s="529" t="s">
        <v>2444</v>
      </c>
      <c r="W517" s="508" t="str">
        <f t="shared" ca="1" si="583"/>
        <v>T3部件</v>
      </c>
      <c r="X517" s="512">
        <v>1</v>
      </c>
      <c r="Y517" s="625">
        <v>3.0999999999999999E-3</v>
      </c>
      <c r="Z517" s="170" t="e">
        <f t="shared" ca="1" si="575"/>
        <v>#VALUE!</v>
      </c>
      <c r="AA517" s="508" t="e">
        <f t="shared" ca="1" si="576"/>
        <v>#VALUE!</v>
      </c>
      <c r="AC517" s="512">
        <v>10</v>
      </c>
      <c r="AD517" s="516" t="s">
        <v>2270</v>
      </c>
      <c r="AE517" s="529" t="s">
        <v>2444</v>
      </c>
      <c r="AF517" s="508" t="str">
        <f t="shared" ca="1" si="594"/>
        <v>T2部件</v>
      </c>
      <c r="AG517" s="594">
        <v>1</v>
      </c>
      <c r="AH517" s="600">
        <v>4.0000000000000001E-3</v>
      </c>
      <c r="AI517" s="170" t="e">
        <f t="shared" ca="1" si="587"/>
        <v>#VALUE!</v>
      </c>
      <c r="AJ517" s="508" t="e">
        <f t="shared" ca="1" si="588"/>
        <v>#VALUE!</v>
      </c>
      <c r="AL517" s="512">
        <v>10</v>
      </c>
      <c r="AM517" s="512" t="s">
        <v>2256</v>
      </c>
      <c r="AN517" s="529" t="s">
        <v>2444</v>
      </c>
      <c r="AO517" s="508">
        <f t="shared" ca="1" si="584"/>
        <v>7.4250000000000007</v>
      </c>
      <c r="AP517" s="600">
        <v>2</v>
      </c>
      <c r="AQ517" s="600">
        <v>3.8E-3</v>
      </c>
      <c r="AR517" s="170">
        <f t="shared" ca="1" si="585"/>
        <v>2.4821548821548817E-2</v>
      </c>
      <c r="AS517" s="394">
        <f t="shared" ca="1" si="586"/>
        <v>248</v>
      </c>
      <c r="AU517" s="512">
        <v>9</v>
      </c>
      <c r="AV517" s="512" t="s">
        <v>2308</v>
      </c>
      <c r="AW517" s="529" t="s">
        <v>2444</v>
      </c>
      <c r="AX517" s="508" t="e">
        <f t="shared" ca="1" si="590"/>
        <v>#N/A</v>
      </c>
      <c r="AY517" s="508">
        <v>1</v>
      </c>
      <c r="AZ517" s="600">
        <v>6.0000000000000001E-3</v>
      </c>
      <c r="BA517" s="170" t="e">
        <f t="shared" ca="1" si="592"/>
        <v>#N/A</v>
      </c>
      <c r="BB517" s="508" t="e">
        <f t="shared" ca="1" si="593"/>
        <v>#N/A</v>
      </c>
      <c r="BD517" s="512">
        <v>9</v>
      </c>
      <c r="BE517" s="512" t="s">
        <v>2308</v>
      </c>
      <c r="BF517" s="529" t="s">
        <v>2444</v>
      </c>
      <c r="BG517" s="508" t="e">
        <f t="shared" ca="1" si="591"/>
        <v>#N/A</v>
      </c>
      <c r="BH517" s="508">
        <v>1</v>
      </c>
      <c r="BI517" s="615">
        <v>9.4000000000000004E-3</v>
      </c>
      <c r="BJ517" s="170" t="e">
        <f t="shared" ca="1" si="579"/>
        <v>#N/A</v>
      </c>
      <c r="BK517" s="508" t="e">
        <f t="shared" ca="1" si="580"/>
        <v>#N/A</v>
      </c>
    </row>
    <row r="518" spans="2:64" x14ac:dyDescent="0.35">
      <c r="B518" s="512">
        <v>10</v>
      </c>
      <c r="C518" s="516" t="s">
        <v>2286</v>
      </c>
      <c r="D518" s="529" t="s">
        <v>2444</v>
      </c>
      <c r="E518" s="508" t="str">
        <f t="shared" ca="1" si="581"/>
        <v>T3部件</v>
      </c>
      <c r="F518" s="512">
        <v>1</v>
      </c>
      <c r="G518" s="594">
        <v>5.0000000000000001E-3</v>
      </c>
      <c r="H518" s="170" t="e">
        <f t="shared" ca="1" si="568"/>
        <v>#VALUE!</v>
      </c>
      <c r="I518" s="508" t="e">
        <f t="shared" ca="1" si="569"/>
        <v>#VALUE!</v>
      </c>
      <c r="K518" s="512">
        <v>10</v>
      </c>
      <c r="L518" s="516" t="s">
        <v>2286</v>
      </c>
      <c r="M518" s="529" t="s">
        <v>2444</v>
      </c>
      <c r="N518" s="508" t="str">
        <f t="shared" ca="1" si="582"/>
        <v>T3部件</v>
      </c>
      <c r="O518" s="512">
        <v>1</v>
      </c>
      <c r="P518" s="594">
        <v>3.0999999999999999E-3</v>
      </c>
      <c r="Q518" s="170" t="e">
        <f t="shared" ca="1" si="573"/>
        <v>#VALUE!</v>
      </c>
      <c r="R518" s="508" t="e">
        <f t="shared" ca="1" si="574"/>
        <v>#VALUE!</v>
      </c>
      <c r="T518" s="512">
        <v>10</v>
      </c>
      <c r="U518" s="516" t="s">
        <v>2286</v>
      </c>
      <c r="V518" s="529" t="s">
        <v>2444</v>
      </c>
      <c r="W518" s="508" t="str">
        <f t="shared" ca="1" si="583"/>
        <v>T3部件</v>
      </c>
      <c r="X518" s="512">
        <v>1</v>
      </c>
      <c r="Y518" s="625">
        <v>3.0999999999999999E-3</v>
      </c>
      <c r="Z518" s="170" t="e">
        <f t="shared" ca="1" si="575"/>
        <v>#VALUE!</v>
      </c>
      <c r="AA518" s="508" t="e">
        <f t="shared" ca="1" si="576"/>
        <v>#VALUE!</v>
      </c>
      <c r="AC518" s="512">
        <v>10</v>
      </c>
      <c r="AD518" s="512" t="s">
        <v>2272</v>
      </c>
      <c r="AE518" s="529" t="s">
        <v>2444</v>
      </c>
      <c r="AF518" s="508" t="str">
        <f t="shared" ca="1" si="594"/>
        <v>T2部件</v>
      </c>
      <c r="AG518" s="594">
        <v>1</v>
      </c>
      <c r="AH518" s="600">
        <v>4.0000000000000001E-3</v>
      </c>
      <c r="AI518" s="170" t="e">
        <f t="shared" ca="1" si="587"/>
        <v>#VALUE!</v>
      </c>
      <c r="AJ518" s="508" t="e">
        <f t="shared" ca="1" si="588"/>
        <v>#VALUE!</v>
      </c>
      <c r="AL518" s="512">
        <v>10</v>
      </c>
      <c r="AM518" s="516" t="s">
        <v>2241</v>
      </c>
      <c r="AN518" s="529" t="s">
        <v>2444</v>
      </c>
      <c r="AO518" s="508">
        <f t="shared" ca="1" si="584"/>
        <v>7.4250000000000007</v>
      </c>
      <c r="AP518" s="600">
        <v>2</v>
      </c>
      <c r="AQ518" s="600">
        <v>3.8E-3</v>
      </c>
      <c r="AR518" s="170">
        <f t="shared" ref="AR518:AR581" ca="1" si="595">AQ518*AM$4/AO518/AP518</f>
        <v>2.4821548821548817E-2</v>
      </c>
      <c r="AS518" s="508">
        <f t="shared" ref="AS518:AS581" ca="1" si="596">ROUND(AR518*10000,0)</f>
        <v>248</v>
      </c>
      <c r="AU518" s="512">
        <v>9</v>
      </c>
      <c r="AV518" s="512" t="s">
        <v>2310</v>
      </c>
      <c r="AW518" s="529" t="s">
        <v>2444</v>
      </c>
      <c r="AX518" s="508" t="e">
        <f t="shared" ca="1" si="590"/>
        <v>#N/A</v>
      </c>
      <c r="AY518" s="508">
        <v>1</v>
      </c>
      <c r="AZ518" s="600">
        <v>6.0000000000000001E-3</v>
      </c>
      <c r="BA518" s="170" t="e">
        <f t="shared" ca="1" si="592"/>
        <v>#N/A</v>
      </c>
      <c r="BB518" s="508" t="e">
        <f t="shared" ca="1" si="593"/>
        <v>#N/A</v>
      </c>
      <c r="BD518" s="512">
        <v>9</v>
      </c>
      <c r="BE518" s="512" t="s">
        <v>2310</v>
      </c>
      <c r="BF518" s="529" t="s">
        <v>2444</v>
      </c>
      <c r="BG518" s="508" t="e">
        <f t="shared" ca="1" si="591"/>
        <v>#N/A</v>
      </c>
      <c r="BH518" s="508">
        <v>1</v>
      </c>
      <c r="BI518" s="615">
        <v>9.4000000000000004E-3</v>
      </c>
      <c r="BJ518" s="170" t="e">
        <f t="shared" ca="1" si="579"/>
        <v>#N/A</v>
      </c>
      <c r="BK518" s="508" t="e">
        <f t="shared" ca="1" si="580"/>
        <v>#N/A</v>
      </c>
    </row>
    <row r="519" spans="2:64" x14ac:dyDescent="0.35">
      <c r="B519" s="512">
        <v>10</v>
      </c>
      <c r="C519" s="516" t="s">
        <v>2288</v>
      </c>
      <c r="D519" s="529" t="s">
        <v>2444</v>
      </c>
      <c r="E519" s="508" t="str">
        <f t="shared" ca="1" si="581"/>
        <v>T3部件</v>
      </c>
      <c r="F519" s="512">
        <v>1</v>
      </c>
      <c r="G519" s="594">
        <v>5.0000000000000001E-3</v>
      </c>
      <c r="H519" s="170" t="e">
        <f t="shared" ca="1" si="568"/>
        <v>#VALUE!</v>
      </c>
      <c r="I519" s="508" t="e">
        <f t="shared" ca="1" si="569"/>
        <v>#VALUE!</v>
      </c>
      <c r="K519" s="512">
        <v>10</v>
      </c>
      <c r="L519" s="516" t="s">
        <v>2288</v>
      </c>
      <c r="M519" s="529" t="s">
        <v>2444</v>
      </c>
      <c r="N519" s="508" t="str">
        <f t="shared" ca="1" si="582"/>
        <v>T3部件</v>
      </c>
      <c r="O519" s="512">
        <v>1</v>
      </c>
      <c r="P519" s="594">
        <v>3.0999999999999999E-3</v>
      </c>
      <c r="Q519" s="170" t="e">
        <f t="shared" ca="1" si="573"/>
        <v>#VALUE!</v>
      </c>
      <c r="R519" s="508" t="e">
        <f t="shared" ca="1" si="574"/>
        <v>#VALUE!</v>
      </c>
      <c r="T519" s="512">
        <v>10</v>
      </c>
      <c r="U519" s="516" t="s">
        <v>2288</v>
      </c>
      <c r="V519" s="529" t="s">
        <v>2444</v>
      </c>
      <c r="W519" s="508" t="str">
        <f t="shared" ca="1" si="583"/>
        <v>T3部件</v>
      </c>
      <c r="X519" s="512">
        <v>1</v>
      </c>
      <c r="Y519" s="625">
        <v>3.0999999999999999E-3</v>
      </c>
      <c r="Z519" s="170" t="e">
        <f t="shared" ca="1" si="575"/>
        <v>#VALUE!</v>
      </c>
      <c r="AA519" s="508" t="e">
        <f t="shared" ca="1" si="576"/>
        <v>#VALUE!</v>
      </c>
      <c r="AC519" s="512">
        <v>10</v>
      </c>
      <c r="AD519" s="512" t="s">
        <v>2274</v>
      </c>
      <c r="AE519" s="529" t="s">
        <v>2444</v>
      </c>
      <c r="AF519" s="508" t="str">
        <f t="shared" ca="1" si="594"/>
        <v>T2部件</v>
      </c>
      <c r="AG519" s="594">
        <v>1</v>
      </c>
      <c r="AH519" s="600">
        <v>4.0000000000000001E-3</v>
      </c>
      <c r="AI519" s="170" t="e">
        <f t="shared" ca="1" si="587"/>
        <v>#VALUE!</v>
      </c>
      <c r="AJ519" s="508" t="e">
        <f t="shared" ca="1" si="588"/>
        <v>#VALUE!</v>
      </c>
      <c r="AL519" s="512">
        <v>10</v>
      </c>
      <c r="AM519" s="516" t="s">
        <v>2243</v>
      </c>
      <c r="AN519" s="529" t="s">
        <v>2444</v>
      </c>
      <c r="AO519" s="508">
        <f t="shared" ca="1" si="584"/>
        <v>7.4250000000000007</v>
      </c>
      <c r="AP519" s="600">
        <v>2</v>
      </c>
      <c r="AQ519" s="600">
        <v>3.8E-3</v>
      </c>
      <c r="AR519" s="170">
        <f t="shared" ca="1" si="595"/>
        <v>2.4821548821548817E-2</v>
      </c>
      <c r="AS519" s="508">
        <f t="shared" ca="1" si="596"/>
        <v>248</v>
      </c>
      <c r="BJ519" s="538"/>
      <c r="BK519" s="157"/>
    </row>
    <row r="520" spans="2:64" x14ac:dyDescent="0.35">
      <c r="B520" s="512">
        <v>10</v>
      </c>
      <c r="C520" s="512" t="s">
        <v>2290</v>
      </c>
      <c r="D520" s="529" t="s">
        <v>2444</v>
      </c>
      <c r="E520" s="508" t="str">
        <f t="shared" ca="1" si="581"/>
        <v>T3部件</v>
      </c>
      <c r="F520" s="512">
        <v>1</v>
      </c>
      <c r="G520" s="594">
        <v>5.0000000000000001E-3</v>
      </c>
      <c r="H520" s="170" t="e">
        <f t="shared" ca="1" si="568"/>
        <v>#VALUE!</v>
      </c>
      <c r="I520" s="508" t="e">
        <f t="shared" ca="1" si="569"/>
        <v>#VALUE!</v>
      </c>
      <c r="K520" s="512">
        <v>10</v>
      </c>
      <c r="L520" s="512" t="s">
        <v>2290</v>
      </c>
      <c r="M520" s="529" t="s">
        <v>2444</v>
      </c>
      <c r="N520" s="508" t="str">
        <f t="shared" ca="1" si="582"/>
        <v>T3部件</v>
      </c>
      <c r="O520" s="512">
        <v>1</v>
      </c>
      <c r="P520" s="594">
        <v>3.0999999999999999E-3</v>
      </c>
      <c r="Q520" s="170" t="e">
        <f t="shared" ca="1" si="573"/>
        <v>#VALUE!</v>
      </c>
      <c r="R520" s="508" t="e">
        <f t="shared" ca="1" si="574"/>
        <v>#VALUE!</v>
      </c>
      <c r="T520" s="512">
        <v>10</v>
      </c>
      <c r="U520" s="512" t="s">
        <v>2290</v>
      </c>
      <c r="V520" s="529" t="s">
        <v>2444</v>
      </c>
      <c r="W520" s="508" t="str">
        <f t="shared" ca="1" si="583"/>
        <v>T3部件</v>
      </c>
      <c r="X520" s="512">
        <v>1</v>
      </c>
      <c r="Y520" s="625">
        <v>3.0999999999999999E-3</v>
      </c>
      <c r="Z520" s="170" t="e">
        <f t="shared" ca="1" si="575"/>
        <v>#VALUE!</v>
      </c>
      <c r="AA520" s="508" t="e">
        <f t="shared" ca="1" si="576"/>
        <v>#VALUE!</v>
      </c>
      <c r="AC520" s="512">
        <v>10</v>
      </c>
      <c r="AD520" s="516" t="s">
        <v>2259</v>
      </c>
      <c r="AE520" s="529" t="s">
        <v>2444</v>
      </c>
      <c r="AF520" s="508" t="str">
        <f t="shared" ca="1" si="594"/>
        <v>T2部件</v>
      </c>
      <c r="AG520" s="594">
        <v>1</v>
      </c>
      <c r="AH520" s="600">
        <v>4.0000000000000001E-3</v>
      </c>
      <c r="AI520" s="170" t="e">
        <f t="shared" ca="1" si="587"/>
        <v>#VALUE!</v>
      </c>
      <c r="AJ520" s="508" t="e">
        <f t="shared" ca="1" si="588"/>
        <v>#VALUE!</v>
      </c>
      <c r="AL520" s="512">
        <v>10</v>
      </c>
      <c r="AM520" s="516" t="s">
        <v>2245</v>
      </c>
      <c r="AN520" s="529" t="s">
        <v>2444</v>
      </c>
      <c r="AO520" s="508">
        <f t="shared" ca="1" si="584"/>
        <v>7.4250000000000007</v>
      </c>
      <c r="AP520" s="600">
        <v>2</v>
      </c>
      <c r="AQ520" s="600">
        <v>3.8E-3</v>
      </c>
      <c r="AR520" s="170">
        <f t="shared" ca="1" si="595"/>
        <v>2.4821548821548817E-2</v>
      </c>
      <c r="AS520" s="508">
        <f t="shared" ca="1" si="596"/>
        <v>248</v>
      </c>
    </row>
    <row r="521" spans="2:64" x14ac:dyDescent="0.35">
      <c r="B521" s="512">
        <v>10</v>
      </c>
      <c r="C521" s="512" t="s">
        <v>2292</v>
      </c>
      <c r="D521" s="529" t="s">
        <v>2444</v>
      </c>
      <c r="E521" s="508" t="str">
        <f t="shared" ca="1" si="581"/>
        <v>T3部件</v>
      </c>
      <c r="F521" s="512">
        <v>1</v>
      </c>
      <c r="G521" s="594">
        <v>5.0000000000000001E-3</v>
      </c>
      <c r="H521" s="170" t="e">
        <f t="shared" ca="1" si="568"/>
        <v>#VALUE!</v>
      </c>
      <c r="I521" s="508" t="e">
        <f t="shared" ca="1" si="569"/>
        <v>#VALUE!</v>
      </c>
      <c r="K521" s="512">
        <v>10</v>
      </c>
      <c r="L521" s="512" t="s">
        <v>2292</v>
      </c>
      <c r="M521" s="529" t="s">
        <v>2444</v>
      </c>
      <c r="N521" s="508" t="str">
        <f t="shared" ca="1" si="582"/>
        <v>T3部件</v>
      </c>
      <c r="O521" s="512">
        <v>1</v>
      </c>
      <c r="P521" s="594">
        <v>3.0999999999999999E-3</v>
      </c>
      <c r="Q521" s="170" t="e">
        <f t="shared" ca="1" si="573"/>
        <v>#VALUE!</v>
      </c>
      <c r="R521" s="508" t="e">
        <f t="shared" ca="1" si="574"/>
        <v>#VALUE!</v>
      </c>
      <c r="T521" s="512">
        <v>10</v>
      </c>
      <c r="U521" s="512" t="s">
        <v>2292</v>
      </c>
      <c r="V521" s="529" t="s">
        <v>2444</v>
      </c>
      <c r="W521" s="508" t="str">
        <f t="shared" ca="1" si="583"/>
        <v>T3部件</v>
      </c>
      <c r="X521" s="512">
        <v>1</v>
      </c>
      <c r="Y521" s="625">
        <v>3.0999999999999999E-3</v>
      </c>
      <c r="Z521" s="170" t="e">
        <f t="shared" ca="1" si="575"/>
        <v>#VALUE!</v>
      </c>
      <c r="AA521" s="508" t="e">
        <f t="shared" ca="1" si="576"/>
        <v>#VALUE!</v>
      </c>
      <c r="AC521" s="512">
        <v>10</v>
      </c>
      <c r="AD521" s="516" t="s">
        <v>2261</v>
      </c>
      <c r="AE521" s="529" t="s">
        <v>2444</v>
      </c>
      <c r="AF521" s="508" t="str">
        <f t="shared" ca="1" si="594"/>
        <v>T2部件</v>
      </c>
      <c r="AG521" s="594">
        <v>1</v>
      </c>
      <c r="AH521" s="600">
        <v>4.0000000000000001E-3</v>
      </c>
      <c r="AI521" s="170" t="e">
        <f t="shared" ca="1" si="587"/>
        <v>#VALUE!</v>
      </c>
      <c r="AJ521" s="508" t="e">
        <f t="shared" ca="1" si="588"/>
        <v>#VALUE!</v>
      </c>
      <c r="AL521" s="512">
        <v>10</v>
      </c>
      <c r="AM521" s="516" t="s">
        <v>2247</v>
      </c>
      <c r="AN521" s="529" t="s">
        <v>2444</v>
      </c>
      <c r="AO521" s="508">
        <f t="shared" ca="1" si="584"/>
        <v>7.4250000000000007</v>
      </c>
      <c r="AP521" s="600">
        <v>2</v>
      </c>
      <c r="AQ521" s="600">
        <v>3.8E-3</v>
      </c>
      <c r="AR521" s="170">
        <f t="shared" ca="1" si="595"/>
        <v>2.4821548821548817E-2</v>
      </c>
      <c r="AS521" s="508">
        <f t="shared" ca="1" si="596"/>
        <v>248</v>
      </c>
      <c r="AU521" s="512" t="s">
        <v>597</v>
      </c>
      <c r="AV521" s="512" t="s">
        <v>1225</v>
      </c>
      <c r="AW521" s="513" t="s">
        <v>917</v>
      </c>
      <c r="AX521" s="166" t="s">
        <v>920</v>
      </c>
      <c r="AY521" s="518" t="s">
        <v>967</v>
      </c>
      <c r="AZ521" s="166" t="s">
        <v>854</v>
      </c>
      <c r="BA521" s="166" t="s">
        <v>926</v>
      </c>
      <c r="BB521" s="514" t="s">
        <v>927</v>
      </c>
      <c r="BC521" s="300" t="e">
        <f ca="1">SUM(BB522:BB611)</f>
        <v>#VALUE!</v>
      </c>
      <c r="BD521" s="512" t="s">
        <v>597</v>
      </c>
      <c r="BE521" s="512" t="s">
        <v>1225</v>
      </c>
      <c r="BF521" s="513" t="s">
        <v>917</v>
      </c>
      <c r="BG521" s="166" t="s">
        <v>920</v>
      </c>
      <c r="BH521" s="518" t="s">
        <v>967</v>
      </c>
      <c r="BI521" s="166" t="s">
        <v>854</v>
      </c>
      <c r="BJ521" s="166" t="s">
        <v>926</v>
      </c>
      <c r="BK521" s="383" t="s">
        <v>927</v>
      </c>
      <c r="BL521" s="300" t="e">
        <f ca="1">SUM(BK522:BK611)</f>
        <v>#VALUE!</v>
      </c>
    </row>
    <row r="522" spans="2:64" x14ac:dyDescent="0.35">
      <c r="B522" s="512">
        <v>10</v>
      </c>
      <c r="C522" s="516" t="s">
        <v>2277</v>
      </c>
      <c r="D522" s="529" t="s">
        <v>2444</v>
      </c>
      <c r="E522" s="508" t="str">
        <f t="shared" ca="1" si="581"/>
        <v>T3部件</v>
      </c>
      <c r="F522" s="512">
        <v>1</v>
      </c>
      <c r="G522" s="594">
        <v>5.0000000000000001E-3</v>
      </c>
      <c r="H522" s="170" t="e">
        <f t="shared" ca="1" si="568"/>
        <v>#VALUE!</v>
      </c>
      <c r="I522" s="508" t="e">
        <f t="shared" ca="1" si="569"/>
        <v>#VALUE!</v>
      </c>
      <c r="K522" s="512">
        <v>10</v>
      </c>
      <c r="L522" s="516" t="s">
        <v>2277</v>
      </c>
      <c r="M522" s="529" t="s">
        <v>2444</v>
      </c>
      <c r="N522" s="508" t="str">
        <f t="shared" ca="1" si="582"/>
        <v>T3部件</v>
      </c>
      <c r="O522" s="512">
        <v>1</v>
      </c>
      <c r="P522" s="594">
        <v>3.0999999999999999E-3</v>
      </c>
      <c r="Q522" s="170" t="e">
        <f t="shared" ca="1" si="573"/>
        <v>#VALUE!</v>
      </c>
      <c r="R522" s="508" t="e">
        <f t="shared" ca="1" si="574"/>
        <v>#VALUE!</v>
      </c>
      <c r="T522" s="512">
        <v>10</v>
      </c>
      <c r="U522" s="516" t="s">
        <v>2277</v>
      </c>
      <c r="V522" s="529" t="s">
        <v>2444</v>
      </c>
      <c r="W522" s="508" t="str">
        <f t="shared" ca="1" si="583"/>
        <v>T3部件</v>
      </c>
      <c r="X522" s="512">
        <v>1</v>
      </c>
      <c r="Y522" s="625">
        <v>3.0999999999999999E-3</v>
      </c>
      <c r="Z522" s="170" t="e">
        <f t="shared" ca="1" si="575"/>
        <v>#VALUE!</v>
      </c>
      <c r="AA522" s="508" t="e">
        <f t="shared" ca="1" si="576"/>
        <v>#VALUE!</v>
      </c>
      <c r="AC522" s="512">
        <v>10</v>
      </c>
      <c r="AD522" s="516" t="s">
        <v>2263</v>
      </c>
      <c r="AE522" s="529" t="s">
        <v>2444</v>
      </c>
      <c r="AF522" s="508" t="str">
        <f t="shared" ca="1" si="594"/>
        <v>T2部件</v>
      </c>
      <c r="AG522" s="594">
        <v>1</v>
      </c>
      <c r="AH522" s="600">
        <v>4.0000000000000001E-3</v>
      </c>
      <c r="AI522" s="170" t="e">
        <f t="shared" ca="1" si="587"/>
        <v>#VALUE!</v>
      </c>
      <c r="AJ522" s="508" t="e">
        <f t="shared" ca="1" si="588"/>
        <v>#VALUE!</v>
      </c>
      <c r="AL522" s="512">
        <v>10</v>
      </c>
      <c r="AM522" s="516" t="s">
        <v>2249</v>
      </c>
      <c r="AN522" s="529" t="s">
        <v>2444</v>
      </c>
      <c r="AO522" s="508">
        <f t="shared" ca="1" si="584"/>
        <v>7.4250000000000007</v>
      </c>
      <c r="AP522" s="600">
        <v>2</v>
      </c>
      <c r="AQ522" s="600">
        <v>3.8E-3</v>
      </c>
      <c r="AR522" s="170">
        <f t="shared" ca="1" si="595"/>
        <v>2.4821548821548817E-2</v>
      </c>
      <c r="AS522" s="508">
        <f t="shared" ca="1" si="596"/>
        <v>248</v>
      </c>
      <c r="AU522" s="512">
        <v>10</v>
      </c>
      <c r="AV522" s="516" t="s">
        <v>617</v>
      </c>
      <c r="AW522" s="512" t="s">
        <v>2394</v>
      </c>
      <c r="AX522" s="508">
        <f t="shared" ref="AX522:AX553" ca="1" si="597">IF(AW522="部件",VLOOKUP(AU522,INDIRECT(AW522&amp;"价值"),MATCH(LEFT(AV522,2)&amp;"部件",INDIRECT(AW522&amp;"价值标头"),0),FALSE),IF(AW522="加速道具",VLOOKUP(AV522,INDIRECT(AW522&amp;"价值"),MATCH("价格",INDIRECT(AW522&amp;"价值标头"),0),FALSE),VLOOKUP(AU522,INDIRECT(AW522&amp;"价值"),MATCH(AV522,INDIRECT(AW522&amp;"价值标头"),0),FALSE)))</f>
        <v>61.199999999999996</v>
      </c>
      <c r="AY522" s="615">
        <v>4.5</v>
      </c>
      <c r="AZ522" s="508">
        <f>宝箱设定!$H218</f>
        <v>3.6999999999999998E-2</v>
      </c>
      <c r="BA522" s="170">
        <f t="shared" ref="BA522:BA587" ca="1" si="598">AZ522*AV$4/AX522/AY522</f>
        <v>8.732752360203341E-3</v>
      </c>
      <c r="BB522" s="508">
        <f t="shared" ref="BB522:BB602" ca="1" si="599">ROUND(BA522*10000,0)</f>
        <v>87</v>
      </c>
      <c r="BD522" s="512">
        <v>10</v>
      </c>
      <c r="BE522" s="516" t="s">
        <v>617</v>
      </c>
      <c r="BF522" s="512" t="s">
        <v>2394</v>
      </c>
      <c r="BG522" s="508">
        <f t="shared" ref="BG522:BG553" ca="1" si="600">IF(BF522="部件",VLOOKUP(BD522,INDIRECT(BF522&amp;"价值"),MATCH(LEFT(BE522,2)&amp;"部件",INDIRECT(BF522&amp;"价值标头"),0),FALSE),IF(BF522="加速道具",VLOOKUP(BE522,INDIRECT(BF522&amp;"价值"),MATCH("价格",INDIRECT(BF522&amp;"价值标头"),0),FALSE),VLOOKUP(BD522,INDIRECT(BF522&amp;"价值"),MATCH(BE522,INDIRECT(BF522&amp;"价值标头"),0),FALSE)))</f>
        <v>61.199999999999996</v>
      </c>
      <c r="BH522" s="615">
        <v>9</v>
      </c>
      <c r="BI522" s="508">
        <f>宝箱设定!$H218</f>
        <v>3.6999999999999998E-2</v>
      </c>
      <c r="BJ522" s="170">
        <f t="shared" ref="BJ522:BJ530" ca="1" si="601">BI522*BE$4/BG522/BH522</f>
        <v>9.9083151779230209E-3</v>
      </c>
      <c r="BK522" s="379">
        <f t="shared" ref="BK522:BK530" ca="1" si="602">ROUND(BJ522*10000,0)</f>
        <v>99</v>
      </c>
    </row>
    <row r="523" spans="2:64" x14ac:dyDescent="0.35">
      <c r="B523" s="512">
        <v>10</v>
      </c>
      <c r="C523" s="516" t="s">
        <v>2279</v>
      </c>
      <c r="D523" s="529" t="s">
        <v>2444</v>
      </c>
      <c r="E523" s="508" t="str">
        <f t="shared" ca="1" si="581"/>
        <v>T3部件</v>
      </c>
      <c r="F523" s="512">
        <v>1</v>
      </c>
      <c r="G523" s="594">
        <v>5.0000000000000001E-3</v>
      </c>
      <c r="H523" s="170" t="e">
        <f t="shared" ca="1" si="568"/>
        <v>#VALUE!</v>
      </c>
      <c r="I523" s="508" t="e">
        <f t="shared" ca="1" si="569"/>
        <v>#VALUE!</v>
      </c>
      <c r="K523" s="512">
        <v>10</v>
      </c>
      <c r="L523" s="516" t="s">
        <v>2279</v>
      </c>
      <c r="M523" s="529" t="s">
        <v>2444</v>
      </c>
      <c r="N523" s="508" t="str">
        <f t="shared" ca="1" si="582"/>
        <v>T3部件</v>
      </c>
      <c r="O523" s="512">
        <v>1</v>
      </c>
      <c r="P523" s="594">
        <v>3.0999999999999999E-3</v>
      </c>
      <c r="Q523" s="170" t="e">
        <f t="shared" ca="1" si="573"/>
        <v>#VALUE!</v>
      </c>
      <c r="R523" s="508" t="e">
        <f t="shared" ca="1" si="574"/>
        <v>#VALUE!</v>
      </c>
      <c r="T523" s="512">
        <v>10</v>
      </c>
      <c r="U523" s="516" t="s">
        <v>2279</v>
      </c>
      <c r="V523" s="529" t="s">
        <v>2444</v>
      </c>
      <c r="W523" s="508" t="str">
        <f t="shared" ca="1" si="583"/>
        <v>T3部件</v>
      </c>
      <c r="X523" s="512">
        <v>1</v>
      </c>
      <c r="Y523" s="625">
        <v>3.0999999999999999E-3</v>
      </c>
      <c r="Z523" s="170" t="e">
        <f t="shared" ca="1" si="575"/>
        <v>#VALUE!</v>
      </c>
      <c r="AA523" s="508" t="e">
        <f t="shared" ca="1" si="576"/>
        <v>#VALUE!</v>
      </c>
      <c r="AC523" s="512">
        <v>10</v>
      </c>
      <c r="AD523" s="516" t="s">
        <v>2265</v>
      </c>
      <c r="AE523" s="529" t="s">
        <v>2444</v>
      </c>
      <c r="AF523" s="508" t="str">
        <f t="shared" ca="1" si="594"/>
        <v>T2部件</v>
      </c>
      <c r="AG523" s="594">
        <v>1</v>
      </c>
      <c r="AH523" s="600">
        <v>4.0000000000000001E-3</v>
      </c>
      <c r="AI523" s="170" t="e">
        <f t="shared" ca="1" si="587"/>
        <v>#VALUE!</v>
      </c>
      <c r="AJ523" s="508" t="e">
        <f t="shared" ca="1" si="588"/>
        <v>#VALUE!</v>
      </c>
      <c r="AL523" s="512">
        <v>10</v>
      </c>
      <c r="AM523" s="516" t="s">
        <v>2251</v>
      </c>
      <c r="AN523" s="529" t="s">
        <v>2444</v>
      </c>
      <c r="AO523" s="508">
        <f t="shared" ca="1" si="584"/>
        <v>7.4250000000000007</v>
      </c>
      <c r="AP523" s="600">
        <v>2</v>
      </c>
      <c r="AQ523" s="600">
        <v>3.8E-3</v>
      </c>
      <c r="AR523" s="170">
        <f t="shared" ca="1" si="595"/>
        <v>2.4821548821548817E-2</v>
      </c>
      <c r="AS523" s="508">
        <f t="shared" ca="1" si="596"/>
        <v>248</v>
      </c>
      <c r="AU523" s="512">
        <v>10</v>
      </c>
      <c r="AV523" s="516" t="s">
        <v>626</v>
      </c>
      <c r="AW523" s="512" t="s">
        <v>2394</v>
      </c>
      <c r="AX523" s="508">
        <f t="shared" ca="1" si="597"/>
        <v>61.199999999999996</v>
      </c>
      <c r="AY523" s="615">
        <v>4.5</v>
      </c>
      <c r="AZ523" s="508">
        <f>宝箱设定!$H219</f>
        <v>3.6999999999999998E-2</v>
      </c>
      <c r="BA523" s="170">
        <f t="shared" ca="1" si="598"/>
        <v>8.732752360203341E-3</v>
      </c>
      <c r="BB523" s="508">
        <f t="shared" ca="1" si="599"/>
        <v>87</v>
      </c>
      <c r="BD523" s="512">
        <v>10</v>
      </c>
      <c r="BE523" s="516" t="s">
        <v>626</v>
      </c>
      <c r="BF523" s="512" t="s">
        <v>2394</v>
      </c>
      <c r="BG523" s="508">
        <f t="shared" ca="1" si="600"/>
        <v>61.199999999999996</v>
      </c>
      <c r="BH523" s="615">
        <v>9</v>
      </c>
      <c r="BI523" s="508">
        <f>宝箱设定!$H219</f>
        <v>3.6999999999999998E-2</v>
      </c>
      <c r="BJ523" s="170">
        <f t="shared" ca="1" si="601"/>
        <v>9.9083151779230209E-3</v>
      </c>
      <c r="BK523" s="379">
        <f t="shared" ca="1" si="602"/>
        <v>99</v>
      </c>
    </row>
    <row r="524" spans="2:64" x14ac:dyDescent="0.35">
      <c r="B524" s="512">
        <v>10</v>
      </c>
      <c r="C524" s="516" t="s">
        <v>2281</v>
      </c>
      <c r="D524" s="529" t="s">
        <v>2444</v>
      </c>
      <c r="E524" s="508" t="str">
        <f t="shared" ca="1" si="581"/>
        <v>T3部件</v>
      </c>
      <c r="F524" s="512">
        <v>1</v>
      </c>
      <c r="G524" s="594">
        <v>5.0000000000000001E-3</v>
      </c>
      <c r="H524" s="170" t="e">
        <f t="shared" ca="1" si="568"/>
        <v>#VALUE!</v>
      </c>
      <c r="I524" s="508" t="e">
        <f t="shared" ca="1" si="569"/>
        <v>#VALUE!</v>
      </c>
      <c r="K524" s="512">
        <v>10</v>
      </c>
      <c r="L524" s="516" t="s">
        <v>2281</v>
      </c>
      <c r="M524" s="529" t="s">
        <v>2444</v>
      </c>
      <c r="N524" s="508" t="str">
        <f t="shared" ca="1" si="582"/>
        <v>T3部件</v>
      </c>
      <c r="O524" s="512">
        <v>1</v>
      </c>
      <c r="P524" s="594">
        <v>3.0999999999999999E-3</v>
      </c>
      <c r="Q524" s="170" t="e">
        <f t="shared" ca="1" si="573"/>
        <v>#VALUE!</v>
      </c>
      <c r="R524" s="508" t="e">
        <f t="shared" ca="1" si="574"/>
        <v>#VALUE!</v>
      </c>
      <c r="T524" s="512">
        <v>10</v>
      </c>
      <c r="U524" s="516" t="s">
        <v>2281</v>
      </c>
      <c r="V524" s="529" t="s">
        <v>2444</v>
      </c>
      <c r="W524" s="508" t="str">
        <f t="shared" ca="1" si="583"/>
        <v>T3部件</v>
      </c>
      <c r="X524" s="512">
        <v>1</v>
      </c>
      <c r="Y524" s="625">
        <v>3.0999999999999999E-3</v>
      </c>
      <c r="Z524" s="170" t="e">
        <f t="shared" ca="1" si="575"/>
        <v>#VALUE!</v>
      </c>
      <c r="AA524" s="508" t="e">
        <f t="shared" ca="1" si="576"/>
        <v>#VALUE!</v>
      </c>
      <c r="AC524" s="512">
        <v>10</v>
      </c>
      <c r="AD524" s="516" t="s">
        <v>2267</v>
      </c>
      <c r="AE524" s="529" t="s">
        <v>2444</v>
      </c>
      <c r="AF524" s="508" t="str">
        <f t="shared" ca="1" si="594"/>
        <v>T2部件</v>
      </c>
      <c r="AG524" s="594">
        <v>1</v>
      </c>
      <c r="AH524" s="600">
        <v>4.0000000000000001E-3</v>
      </c>
      <c r="AI524" s="170" t="e">
        <f t="shared" ca="1" si="587"/>
        <v>#VALUE!</v>
      </c>
      <c r="AJ524" s="508" t="e">
        <f t="shared" ca="1" si="588"/>
        <v>#VALUE!</v>
      </c>
      <c r="AL524" s="512">
        <v>10</v>
      </c>
      <c r="AM524" s="516" t="s">
        <v>2253</v>
      </c>
      <c r="AN524" s="529" t="s">
        <v>2444</v>
      </c>
      <c r="AO524" s="508">
        <f t="shared" ca="1" si="584"/>
        <v>7.4250000000000007</v>
      </c>
      <c r="AP524" s="600">
        <v>2</v>
      </c>
      <c r="AQ524" s="600">
        <v>3.8E-3</v>
      </c>
      <c r="AR524" s="170">
        <f t="shared" ca="1" si="595"/>
        <v>2.4821548821548817E-2</v>
      </c>
      <c r="AS524" s="508">
        <f t="shared" ca="1" si="596"/>
        <v>248</v>
      </c>
      <c r="AU524" s="512">
        <v>10</v>
      </c>
      <c r="AV524" s="516" t="s">
        <v>631</v>
      </c>
      <c r="AW524" s="512" t="s">
        <v>2394</v>
      </c>
      <c r="AX524" s="508">
        <f t="shared" ca="1" si="597"/>
        <v>61.199999999999996</v>
      </c>
      <c r="AY524" s="615">
        <v>4.5</v>
      </c>
      <c r="AZ524" s="508">
        <f>宝箱设定!$H220</f>
        <v>3.6999999999999998E-2</v>
      </c>
      <c r="BA524" s="170">
        <f t="shared" ca="1" si="598"/>
        <v>8.732752360203341E-3</v>
      </c>
      <c r="BB524" s="508">
        <f t="shared" ca="1" si="599"/>
        <v>87</v>
      </c>
      <c r="BD524" s="512">
        <v>10</v>
      </c>
      <c r="BE524" s="516" t="s">
        <v>631</v>
      </c>
      <c r="BF524" s="512" t="s">
        <v>2394</v>
      </c>
      <c r="BG524" s="508">
        <f t="shared" ca="1" si="600"/>
        <v>61.199999999999996</v>
      </c>
      <c r="BH524" s="615">
        <v>9</v>
      </c>
      <c r="BI524" s="508">
        <f>宝箱设定!$H220</f>
        <v>3.6999999999999998E-2</v>
      </c>
      <c r="BJ524" s="170">
        <f t="shared" ca="1" si="601"/>
        <v>9.9083151779230209E-3</v>
      </c>
      <c r="BK524" s="379">
        <f t="shared" ca="1" si="602"/>
        <v>99</v>
      </c>
    </row>
    <row r="525" spans="2:64" x14ac:dyDescent="0.35">
      <c r="B525" s="512">
        <v>10</v>
      </c>
      <c r="C525" s="516" t="s">
        <v>2283</v>
      </c>
      <c r="D525" s="529" t="s">
        <v>2444</v>
      </c>
      <c r="E525" s="508" t="str">
        <f t="shared" ca="1" si="581"/>
        <v>T3部件</v>
      </c>
      <c r="F525" s="512">
        <v>1</v>
      </c>
      <c r="G525" s="594">
        <v>5.0000000000000001E-3</v>
      </c>
      <c r="H525" s="170" t="e">
        <f t="shared" ca="1" si="568"/>
        <v>#VALUE!</v>
      </c>
      <c r="I525" s="508" t="e">
        <f t="shared" ca="1" si="569"/>
        <v>#VALUE!</v>
      </c>
      <c r="K525" s="512">
        <v>10</v>
      </c>
      <c r="L525" s="516" t="s">
        <v>2283</v>
      </c>
      <c r="M525" s="529" t="s">
        <v>2444</v>
      </c>
      <c r="N525" s="508" t="str">
        <f t="shared" ca="1" si="582"/>
        <v>T3部件</v>
      </c>
      <c r="O525" s="512">
        <v>1</v>
      </c>
      <c r="P525" s="594">
        <v>3.0999999999999999E-3</v>
      </c>
      <c r="Q525" s="170" t="e">
        <f t="shared" ca="1" si="573"/>
        <v>#VALUE!</v>
      </c>
      <c r="R525" s="508" t="e">
        <f t="shared" ca="1" si="574"/>
        <v>#VALUE!</v>
      </c>
      <c r="T525" s="512">
        <v>10</v>
      </c>
      <c r="U525" s="516" t="s">
        <v>2283</v>
      </c>
      <c r="V525" s="529" t="s">
        <v>2444</v>
      </c>
      <c r="W525" s="508" t="str">
        <f t="shared" ca="1" si="583"/>
        <v>T3部件</v>
      </c>
      <c r="X525" s="512">
        <v>1</v>
      </c>
      <c r="Y525" s="625">
        <v>3.0999999999999999E-3</v>
      </c>
      <c r="Z525" s="170" t="e">
        <f t="shared" ca="1" si="575"/>
        <v>#VALUE!</v>
      </c>
      <c r="AA525" s="508" t="e">
        <f t="shared" ca="1" si="576"/>
        <v>#VALUE!</v>
      </c>
      <c r="AC525" s="512">
        <v>10</v>
      </c>
      <c r="AD525" s="516" t="s">
        <v>2269</v>
      </c>
      <c r="AE525" s="529" t="s">
        <v>2444</v>
      </c>
      <c r="AF525" s="508" t="str">
        <f t="shared" ca="1" si="594"/>
        <v>T2部件</v>
      </c>
      <c r="AG525" s="594">
        <v>1</v>
      </c>
      <c r="AH525" s="600">
        <v>4.0000000000000001E-3</v>
      </c>
      <c r="AI525" s="170" t="e">
        <f t="shared" ca="1" si="587"/>
        <v>#VALUE!</v>
      </c>
      <c r="AJ525" s="508" t="e">
        <f t="shared" ca="1" si="588"/>
        <v>#VALUE!</v>
      </c>
      <c r="AL525" s="512">
        <v>10</v>
      </c>
      <c r="AM525" s="512" t="s">
        <v>2255</v>
      </c>
      <c r="AN525" s="529" t="s">
        <v>2444</v>
      </c>
      <c r="AO525" s="508">
        <f t="shared" ca="1" si="584"/>
        <v>7.4250000000000007</v>
      </c>
      <c r="AP525" s="600">
        <v>2</v>
      </c>
      <c r="AQ525" s="600">
        <v>3.8E-3</v>
      </c>
      <c r="AR525" s="170">
        <f t="shared" ca="1" si="595"/>
        <v>2.4821548821548817E-2</v>
      </c>
      <c r="AS525" s="508">
        <f t="shared" ca="1" si="596"/>
        <v>248</v>
      </c>
      <c r="AU525" s="512">
        <v>10</v>
      </c>
      <c r="AV525" s="516" t="s">
        <v>618</v>
      </c>
      <c r="AW525" s="512" t="s">
        <v>2394</v>
      </c>
      <c r="AX525" s="508">
        <f t="shared" ca="1" si="597"/>
        <v>42</v>
      </c>
      <c r="AY525" s="615">
        <v>3.5</v>
      </c>
      <c r="AZ525" s="508">
        <f>宝箱设定!$H221</f>
        <v>3.6999999999999998E-2</v>
      </c>
      <c r="BA525" s="170">
        <f t="shared" ca="1" si="598"/>
        <v>1.6360544217687074E-2</v>
      </c>
      <c r="BB525" s="508">
        <f t="shared" ca="1" si="599"/>
        <v>164</v>
      </c>
      <c r="BD525" s="512">
        <v>10</v>
      </c>
      <c r="BE525" s="516" t="s">
        <v>618</v>
      </c>
      <c r="BF525" s="512" t="s">
        <v>2394</v>
      </c>
      <c r="BG525" s="508">
        <f t="shared" ca="1" si="600"/>
        <v>42</v>
      </c>
      <c r="BH525" s="615">
        <v>6</v>
      </c>
      <c r="BI525" s="508">
        <f>宝箱设定!$H221</f>
        <v>3.6999999999999998E-2</v>
      </c>
      <c r="BJ525" s="170">
        <f t="shared" ca="1" si="601"/>
        <v>2.165674603174603E-2</v>
      </c>
      <c r="BK525" s="379">
        <f t="shared" ca="1" si="602"/>
        <v>217</v>
      </c>
    </row>
    <row r="526" spans="2:64" x14ac:dyDescent="0.35">
      <c r="B526" s="512">
        <v>10</v>
      </c>
      <c r="C526" s="516" t="s">
        <v>2285</v>
      </c>
      <c r="D526" s="529" t="s">
        <v>2444</v>
      </c>
      <c r="E526" s="508" t="str">
        <f t="shared" ca="1" si="581"/>
        <v>T3部件</v>
      </c>
      <c r="F526" s="512">
        <v>1</v>
      </c>
      <c r="G526" s="594">
        <v>5.0000000000000001E-3</v>
      </c>
      <c r="H526" s="170" t="e">
        <f t="shared" ca="1" si="568"/>
        <v>#VALUE!</v>
      </c>
      <c r="I526" s="508" t="e">
        <f t="shared" ca="1" si="569"/>
        <v>#VALUE!</v>
      </c>
      <c r="K526" s="512">
        <v>10</v>
      </c>
      <c r="L526" s="516" t="s">
        <v>2285</v>
      </c>
      <c r="M526" s="529" t="s">
        <v>2444</v>
      </c>
      <c r="N526" s="508" t="str">
        <f t="shared" ca="1" si="582"/>
        <v>T3部件</v>
      </c>
      <c r="O526" s="512">
        <v>1</v>
      </c>
      <c r="P526" s="594">
        <v>3.0999999999999999E-3</v>
      </c>
      <c r="Q526" s="170" t="e">
        <f t="shared" ca="1" si="573"/>
        <v>#VALUE!</v>
      </c>
      <c r="R526" s="508" t="e">
        <f t="shared" ca="1" si="574"/>
        <v>#VALUE!</v>
      </c>
      <c r="T526" s="512">
        <v>10</v>
      </c>
      <c r="U526" s="516" t="s">
        <v>2285</v>
      </c>
      <c r="V526" s="529" t="s">
        <v>2444</v>
      </c>
      <c r="W526" s="508" t="str">
        <f t="shared" ca="1" si="583"/>
        <v>T3部件</v>
      </c>
      <c r="X526" s="512">
        <v>1</v>
      </c>
      <c r="Y526" s="625">
        <v>3.0999999999999999E-3</v>
      </c>
      <c r="Z526" s="170" t="e">
        <f t="shared" ca="1" si="575"/>
        <v>#VALUE!</v>
      </c>
      <c r="AA526" s="508" t="e">
        <f t="shared" ca="1" si="576"/>
        <v>#VALUE!</v>
      </c>
      <c r="AC526" s="512">
        <v>10</v>
      </c>
      <c r="AD526" s="516" t="s">
        <v>2271</v>
      </c>
      <c r="AE526" s="529" t="s">
        <v>2444</v>
      </c>
      <c r="AF526" s="508" t="str">
        <f t="shared" ca="1" si="594"/>
        <v>T2部件</v>
      </c>
      <c r="AG526" s="594">
        <v>1</v>
      </c>
      <c r="AH526" s="600">
        <v>4.0000000000000001E-3</v>
      </c>
      <c r="AI526" s="170" t="e">
        <f t="shared" ca="1" si="587"/>
        <v>#VALUE!</v>
      </c>
      <c r="AJ526" s="508" t="e">
        <f t="shared" ca="1" si="588"/>
        <v>#VALUE!</v>
      </c>
      <c r="AL526" s="512">
        <v>10</v>
      </c>
      <c r="AM526" s="512" t="s">
        <v>2257</v>
      </c>
      <c r="AN526" s="529" t="s">
        <v>2444</v>
      </c>
      <c r="AO526" s="508">
        <f t="shared" ca="1" si="584"/>
        <v>7.4250000000000007</v>
      </c>
      <c r="AP526" s="600">
        <v>2</v>
      </c>
      <c r="AQ526" s="600">
        <v>3.8E-3</v>
      </c>
      <c r="AR526" s="170">
        <f t="shared" ca="1" si="595"/>
        <v>2.4821548821548817E-2</v>
      </c>
      <c r="AS526" s="508">
        <f t="shared" ca="1" si="596"/>
        <v>248</v>
      </c>
      <c r="AU526" s="512">
        <v>10</v>
      </c>
      <c r="AV526" s="516" t="s">
        <v>627</v>
      </c>
      <c r="AW526" s="512" t="s">
        <v>2394</v>
      </c>
      <c r="AX526" s="508">
        <f t="shared" ca="1" si="597"/>
        <v>42</v>
      </c>
      <c r="AY526" s="615">
        <v>3.5</v>
      </c>
      <c r="AZ526" s="508">
        <f>宝箱设定!$H222</f>
        <v>3.6999999999999998E-2</v>
      </c>
      <c r="BA526" s="170">
        <f t="shared" ca="1" si="598"/>
        <v>1.6360544217687074E-2</v>
      </c>
      <c r="BB526" s="508">
        <f t="shared" ca="1" si="599"/>
        <v>164</v>
      </c>
      <c r="BD526" s="512">
        <v>10</v>
      </c>
      <c r="BE526" s="516" t="s">
        <v>627</v>
      </c>
      <c r="BF526" s="512" t="s">
        <v>2394</v>
      </c>
      <c r="BG526" s="508">
        <f t="shared" ca="1" si="600"/>
        <v>42</v>
      </c>
      <c r="BH526" s="615">
        <v>6</v>
      </c>
      <c r="BI526" s="508">
        <f>宝箱设定!$H222</f>
        <v>3.6999999999999998E-2</v>
      </c>
      <c r="BJ526" s="170">
        <f t="shared" ca="1" si="601"/>
        <v>2.165674603174603E-2</v>
      </c>
      <c r="BK526" s="379">
        <f t="shared" ca="1" si="602"/>
        <v>217</v>
      </c>
    </row>
    <row r="527" spans="2:64" x14ac:dyDescent="0.35">
      <c r="B527" s="512">
        <v>10</v>
      </c>
      <c r="C527" s="516" t="s">
        <v>2287</v>
      </c>
      <c r="D527" s="529" t="s">
        <v>2444</v>
      </c>
      <c r="E527" s="508" t="str">
        <f t="shared" ca="1" si="581"/>
        <v>T3部件</v>
      </c>
      <c r="F527" s="512">
        <v>1</v>
      </c>
      <c r="G527" s="594">
        <v>5.0000000000000001E-3</v>
      </c>
      <c r="H527" s="170" t="e">
        <f t="shared" ca="1" si="568"/>
        <v>#VALUE!</v>
      </c>
      <c r="I527" s="508" t="e">
        <f t="shared" ca="1" si="569"/>
        <v>#VALUE!</v>
      </c>
      <c r="K527" s="512">
        <v>10</v>
      </c>
      <c r="L527" s="516" t="s">
        <v>2287</v>
      </c>
      <c r="M527" s="529" t="s">
        <v>2444</v>
      </c>
      <c r="N527" s="508" t="str">
        <f t="shared" ca="1" si="582"/>
        <v>T3部件</v>
      </c>
      <c r="O527" s="512">
        <v>1</v>
      </c>
      <c r="P527" s="594">
        <v>3.0999999999999999E-3</v>
      </c>
      <c r="Q527" s="170" t="e">
        <f t="shared" ca="1" si="573"/>
        <v>#VALUE!</v>
      </c>
      <c r="R527" s="508" t="e">
        <f t="shared" ca="1" si="574"/>
        <v>#VALUE!</v>
      </c>
      <c r="T527" s="512">
        <v>10</v>
      </c>
      <c r="U527" s="516" t="s">
        <v>2287</v>
      </c>
      <c r="V527" s="529" t="s">
        <v>2444</v>
      </c>
      <c r="W527" s="508" t="str">
        <f t="shared" ca="1" si="583"/>
        <v>T3部件</v>
      </c>
      <c r="X527" s="512">
        <v>1</v>
      </c>
      <c r="Y527" s="625">
        <v>3.0999999999999999E-3</v>
      </c>
      <c r="Z527" s="170" t="e">
        <f t="shared" ca="1" si="575"/>
        <v>#VALUE!</v>
      </c>
      <c r="AA527" s="508" t="e">
        <f t="shared" ca="1" si="576"/>
        <v>#VALUE!</v>
      </c>
      <c r="AC527" s="512">
        <v>10</v>
      </c>
      <c r="AD527" s="512" t="s">
        <v>2273</v>
      </c>
      <c r="AE527" s="529" t="s">
        <v>2444</v>
      </c>
      <c r="AF527" s="508" t="str">
        <f t="shared" ca="1" si="594"/>
        <v>T2部件</v>
      </c>
      <c r="AG527" s="594">
        <v>1</v>
      </c>
      <c r="AH527" s="600">
        <v>4.0000000000000001E-3</v>
      </c>
      <c r="AI527" s="170" t="e">
        <f t="shared" ca="1" si="587"/>
        <v>#VALUE!</v>
      </c>
      <c r="AJ527" s="508" t="e">
        <f t="shared" ca="1" si="588"/>
        <v>#VALUE!</v>
      </c>
      <c r="AL527" s="512">
        <v>10</v>
      </c>
      <c r="AM527" s="516" t="s">
        <v>2258</v>
      </c>
      <c r="AN527" s="529" t="s">
        <v>2444</v>
      </c>
      <c r="AO527" s="508" t="str">
        <f t="shared" ca="1" si="584"/>
        <v>T2部件</v>
      </c>
      <c r="AP527" s="508">
        <v>1.5</v>
      </c>
      <c r="AQ527" s="600">
        <v>3.5000000000000001E-3</v>
      </c>
      <c r="AR527" s="170" t="e">
        <f t="shared" ca="1" si="595"/>
        <v>#VALUE!</v>
      </c>
      <c r="AS527" s="508" t="e">
        <f t="shared" ca="1" si="596"/>
        <v>#VALUE!</v>
      </c>
      <c r="AU527" s="512">
        <v>10</v>
      </c>
      <c r="AV527" s="516" t="s">
        <v>628</v>
      </c>
      <c r="AW527" s="512" t="s">
        <v>2394</v>
      </c>
      <c r="AX527" s="508">
        <f t="shared" ca="1" si="597"/>
        <v>42</v>
      </c>
      <c r="AY527" s="615">
        <v>3.5</v>
      </c>
      <c r="AZ527" s="508">
        <f>宝箱设定!$H223</f>
        <v>3.6999999999999998E-2</v>
      </c>
      <c r="BA527" s="170">
        <f t="shared" ca="1" si="598"/>
        <v>1.6360544217687074E-2</v>
      </c>
      <c r="BB527" s="508">
        <f t="shared" ca="1" si="599"/>
        <v>164</v>
      </c>
      <c r="BD527" s="512">
        <v>10</v>
      </c>
      <c r="BE527" s="516" t="s">
        <v>628</v>
      </c>
      <c r="BF527" s="512" t="s">
        <v>2394</v>
      </c>
      <c r="BG527" s="508">
        <f t="shared" ca="1" si="600"/>
        <v>42</v>
      </c>
      <c r="BH527" s="615">
        <v>6</v>
      </c>
      <c r="BI527" s="508">
        <f>宝箱设定!$H223</f>
        <v>3.6999999999999998E-2</v>
      </c>
      <c r="BJ527" s="170">
        <f t="shared" ca="1" si="601"/>
        <v>2.165674603174603E-2</v>
      </c>
      <c r="BK527" s="379">
        <f t="shared" ca="1" si="602"/>
        <v>217</v>
      </c>
    </row>
    <row r="528" spans="2:64" x14ac:dyDescent="0.35">
      <c r="B528" s="512">
        <v>10</v>
      </c>
      <c r="C528" s="516" t="s">
        <v>2289</v>
      </c>
      <c r="D528" s="529" t="s">
        <v>2444</v>
      </c>
      <c r="E528" s="508" t="str">
        <f t="shared" ca="1" si="581"/>
        <v>T3部件</v>
      </c>
      <c r="F528" s="512">
        <v>1</v>
      </c>
      <c r="G528" s="594">
        <v>5.0000000000000001E-3</v>
      </c>
      <c r="H528" s="170" t="e">
        <f t="shared" ca="1" si="568"/>
        <v>#VALUE!</v>
      </c>
      <c r="I528" s="508" t="e">
        <f t="shared" ca="1" si="569"/>
        <v>#VALUE!</v>
      </c>
      <c r="K528" s="512">
        <v>10</v>
      </c>
      <c r="L528" s="516" t="s">
        <v>2289</v>
      </c>
      <c r="M528" s="529" t="s">
        <v>2444</v>
      </c>
      <c r="N528" s="508" t="str">
        <f t="shared" ca="1" si="582"/>
        <v>T3部件</v>
      </c>
      <c r="O528" s="512">
        <v>1</v>
      </c>
      <c r="P528" s="594">
        <v>3.0999999999999999E-3</v>
      </c>
      <c r="Q528" s="170" t="e">
        <f t="shared" ca="1" si="573"/>
        <v>#VALUE!</v>
      </c>
      <c r="R528" s="508" t="e">
        <f t="shared" ca="1" si="574"/>
        <v>#VALUE!</v>
      </c>
      <c r="T528" s="512">
        <v>10</v>
      </c>
      <c r="U528" s="516" t="s">
        <v>2289</v>
      </c>
      <c r="V528" s="529" t="s">
        <v>2444</v>
      </c>
      <c r="W528" s="508" t="str">
        <f t="shared" ca="1" si="583"/>
        <v>T3部件</v>
      </c>
      <c r="X528" s="512">
        <v>1</v>
      </c>
      <c r="Y528" s="625">
        <v>3.0999999999999999E-3</v>
      </c>
      <c r="Z528" s="170" t="e">
        <f t="shared" ca="1" si="575"/>
        <v>#VALUE!</v>
      </c>
      <c r="AA528" s="508" t="e">
        <f t="shared" ca="1" si="576"/>
        <v>#VALUE!</v>
      </c>
      <c r="AC528" s="512">
        <v>10</v>
      </c>
      <c r="AD528" s="512" t="s">
        <v>2275</v>
      </c>
      <c r="AE528" s="529" t="s">
        <v>2444</v>
      </c>
      <c r="AF528" s="508" t="str">
        <f t="shared" ca="1" si="594"/>
        <v>T2部件</v>
      </c>
      <c r="AG528" s="594">
        <v>1</v>
      </c>
      <c r="AH528" s="600">
        <v>4.0000000000000001E-3</v>
      </c>
      <c r="AI528" s="170" t="e">
        <f t="shared" ca="1" si="587"/>
        <v>#VALUE!</v>
      </c>
      <c r="AJ528" s="508" t="e">
        <f t="shared" ca="1" si="588"/>
        <v>#VALUE!</v>
      </c>
      <c r="AL528" s="512">
        <v>10</v>
      </c>
      <c r="AM528" s="516" t="s">
        <v>2260</v>
      </c>
      <c r="AN528" s="529" t="s">
        <v>2444</v>
      </c>
      <c r="AO528" s="508" t="str">
        <f t="shared" ca="1" si="584"/>
        <v>T2部件</v>
      </c>
      <c r="AP528" s="565">
        <v>1.5</v>
      </c>
      <c r="AQ528" s="625">
        <v>3.5000000000000001E-3</v>
      </c>
      <c r="AR528" s="170" t="e">
        <f t="shared" ca="1" si="595"/>
        <v>#VALUE!</v>
      </c>
      <c r="AS528" s="508" t="e">
        <f t="shared" ca="1" si="596"/>
        <v>#VALUE!</v>
      </c>
      <c r="AU528" s="512">
        <v>10</v>
      </c>
      <c r="AV528" s="516" t="s">
        <v>619</v>
      </c>
      <c r="AW528" s="512" t="s">
        <v>2394</v>
      </c>
      <c r="AX528" s="508">
        <f t="shared" ca="1" si="597"/>
        <v>60</v>
      </c>
      <c r="AY528" s="615">
        <v>2.5</v>
      </c>
      <c r="AZ528" s="508">
        <f>宝箱设定!$H224</f>
        <v>3.6999999999999998E-2</v>
      </c>
      <c r="BA528" s="170">
        <f t="shared" ca="1" si="598"/>
        <v>1.6033333333333333E-2</v>
      </c>
      <c r="BB528" s="508">
        <f t="shared" ca="1" si="599"/>
        <v>160</v>
      </c>
      <c r="BD528" s="512">
        <v>10</v>
      </c>
      <c r="BE528" s="516" t="s">
        <v>619</v>
      </c>
      <c r="BF528" s="512" t="s">
        <v>2394</v>
      </c>
      <c r="BG528" s="508">
        <f t="shared" ca="1" si="600"/>
        <v>60</v>
      </c>
      <c r="BH528" s="615">
        <v>4.5</v>
      </c>
      <c r="BI528" s="508">
        <f>宝箱设定!$H224</f>
        <v>3.6999999999999998E-2</v>
      </c>
      <c r="BJ528" s="170">
        <f t="shared" ca="1" si="601"/>
        <v>2.021296296296296E-2</v>
      </c>
      <c r="BK528" s="379">
        <f t="shared" ca="1" si="602"/>
        <v>202</v>
      </c>
    </row>
    <row r="529" spans="2:63" x14ac:dyDescent="0.35">
      <c r="B529" s="512">
        <v>10</v>
      </c>
      <c r="C529" s="512" t="s">
        <v>2291</v>
      </c>
      <c r="D529" s="529" t="s">
        <v>2444</v>
      </c>
      <c r="E529" s="508" t="str">
        <f t="shared" ca="1" si="581"/>
        <v>T3部件</v>
      </c>
      <c r="F529" s="512">
        <v>1</v>
      </c>
      <c r="G529" s="594">
        <v>5.0000000000000001E-3</v>
      </c>
      <c r="H529" s="170" t="e">
        <f t="shared" ca="1" si="568"/>
        <v>#VALUE!</v>
      </c>
      <c r="I529" s="508" t="e">
        <f t="shared" ca="1" si="569"/>
        <v>#VALUE!</v>
      </c>
      <c r="K529" s="512">
        <v>10</v>
      </c>
      <c r="L529" s="512" t="s">
        <v>2291</v>
      </c>
      <c r="M529" s="529" t="s">
        <v>2444</v>
      </c>
      <c r="N529" s="508" t="str">
        <f t="shared" ca="1" si="582"/>
        <v>T3部件</v>
      </c>
      <c r="O529" s="512">
        <v>1</v>
      </c>
      <c r="P529" s="594">
        <v>3.0999999999999999E-3</v>
      </c>
      <c r="Q529" s="170" t="e">
        <f t="shared" ca="1" si="573"/>
        <v>#VALUE!</v>
      </c>
      <c r="R529" s="508" t="e">
        <f t="shared" ca="1" si="574"/>
        <v>#VALUE!</v>
      </c>
      <c r="T529" s="512">
        <v>10</v>
      </c>
      <c r="U529" s="512" t="s">
        <v>2291</v>
      </c>
      <c r="V529" s="529" t="s">
        <v>2444</v>
      </c>
      <c r="W529" s="508" t="str">
        <f t="shared" ca="1" si="583"/>
        <v>T3部件</v>
      </c>
      <c r="X529" s="512">
        <v>1</v>
      </c>
      <c r="Y529" s="625">
        <v>3.0999999999999999E-3</v>
      </c>
      <c r="Z529" s="170" t="e">
        <f t="shared" ca="1" si="575"/>
        <v>#VALUE!</v>
      </c>
      <c r="AA529" s="508" t="e">
        <f t="shared" ca="1" si="576"/>
        <v>#VALUE!</v>
      </c>
      <c r="AC529" s="512">
        <v>10</v>
      </c>
      <c r="AD529" s="516" t="s">
        <v>2276</v>
      </c>
      <c r="AE529" s="529" t="s">
        <v>2444</v>
      </c>
      <c r="AF529" s="508" t="str">
        <f t="shared" ca="1" si="594"/>
        <v>T3部件</v>
      </c>
      <c r="AG529" s="594">
        <v>1</v>
      </c>
      <c r="AH529" s="565">
        <v>4.4999999999999997E-3</v>
      </c>
      <c r="AI529" s="170" t="e">
        <f t="shared" ca="1" si="587"/>
        <v>#VALUE!</v>
      </c>
      <c r="AJ529" s="508" t="e">
        <f t="shared" ca="1" si="588"/>
        <v>#VALUE!</v>
      </c>
      <c r="AL529" s="512">
        <v>10</v>
      </c>
      <c r="AM529" s="516" t="s">
        <v>2262</v>
      </c>
      <c r="AN529" s="529" t="s">
        <v>2444</v>
      </c>
      <c r="AO529" s="508" t="str">
        <f t="shared" ca="1" si="584"/>
        <v>T2部件</v>
      </c>
      <c r="AP529" s="565">
        <v>1.5</v>
      </c>
      <c r="AQ529" s="625">
        <v>3.5000000000000001E-3</v>
      </c>
      <c r="AR529" s="170" t="e">
        <f t="shared" ca="1" si="595"/>
        <v>#VALUE!</v>
      </c>
      <c r="AS529" s="508" t="e">
        <f t="shared" ca="1" si="596"/>
        <v>#VALUE!</v>
      </c>
      <c r="AU529" s="512">
        <v>10</v>
      </c>
      <c r="AV529" s="516" t="s">
        <v>718</v>
      </c>
      <c r="AW529" s="512" t="s">
        <v>2394</v>
      </c>
      <c r="AX529" s="508">
        <f t="shared" ca="1" si="597"/>
        <v>60</v>
      </c>
      <c r="AY529" s="615">
        <v>2.5</v>
      </c>
      <c r="AZ529" s="508">
        <f>宝箱设定!$H225</f>
        <v>3.6999999999999998E-2</v>
      </c>
      <c r="BA529" s="170">
        <f t="shared" ca="1" si="598"/>
        <v>1.6033333333333333E-2</v>
      </c>
      <c r="BB529" s="508">
        <f t="shared" ca="1" si="599"/>
        <v>160</v>
      </c>
      <c r="BD529" s="512">
        <v>10</v>
      </c>
      <c r="BE529" s="516" t="s">
        <v>718</v>
      </c>
      <c r="BF529" s="512" t="s">
        <v>2394</v>
      </c>
      <c r="BG529" s="508">
        <f t="shared" ca="1" si="600"/>
        <v>60</v>
      </c>
      <c r="BH529" s="615">
        <v>4.5</v>
      </c>
      <c r="BI529" s="508">
        <f>宝箱设定!$H225</f>
        <v>3.6999999999999998E-2</v>
      </c>
      <c r="BJ529" s="170">
        <f t="shared" ca="1" si="601"/>
        <v>2.021296296296296E-2</v>
      </c>
      <c r="BK529" s="379">
        <f t="shared" ca="1" si="602"/>
        <v>202</v>
      </c>
    </row>
    <row r="530" spans="2:63" x14ac:dyDescent="0.35">
      <c r="B530" s="512">
        <v>10</v>
      </c>
      <c r="C530" s="512" t="s">
        <v>2293</v>
      </c>
      <c r="D530" s="529" t="s">
        <v>2444</v>
      </c>
      <c r="E530" s="508" t="str">
        <f t="shared" ca="1" si="581"/>
        <v>T3部件</v>
      </c>
      <c r="F530" s="512">
        <v>1</v>
      </c>
      <c r="G530" s="594">
        <v>5.0000000000000001E-3</v>
      </c>
      <c r="H530" s="170" t="e">
        <f t="shared" ca="1" si="568"/>
        <v>#VALUE!</v>
      </c>
      <c r="I530" s="508" t="e">
        <f t="shared" ca="1" si="569"/>
        <v>#VALUE!</v>
      </c>
      <c r="K530" s="512">
        <v>10</v>
      </c>
      <c r="L530" s="512" t="s">
        <v>2293</v>
      </c>
      <c r="M530" s="529" t="s">
        <v>2444</v>
      </c>
      <c r="N530" s="508" t="str">
        <f t="shared" ca="1" si="582"/>
        <v>T3部件</v>
      </c>
      <c r="O530" s="512">
        <v>1</v>
      </c>
      <c r="P530" s="594">
        <v>3.0999999999999999E-3</v>
      </c>
      <c r="Q530" s="170" t="e">
        <f t="shared" ca="1" si="573"/>
        <v>#VALUE!</v>
      </c>
      <c r="R530" s="508" t="e">
        <f t="shared" ca="1" si="574"/>
        <v>#VALUE!</v>
      </c>
      <c r="T530" s="512">
        <v>10</v>
      </c>
      <c r="U530" s="512" t="s">
        <v>2293</v>
      </c>
      <c r="V530" s="529" t="s">
        <v>2444</v>
      </c>
      <c r="W530" s="508" t="str">
        <f t="shared" ca="1" si="583"/>
        <v>T3部件</v>
      </c>
      <c r="X530" s="512">
        <v>1</v>
      </c>
      <c r="Y530" s="625">
        <v>3.0999999999999999E-3</v>
      </c>
      <c r="Z530" s="170" t="e">
        <f t="shared" ca="1" si="575"/>
        <v>#VALUE!</v>
      </c>
      <c r="AA530" s="508" t="e">
        <f t="shared" ca="1" si="576"/>
        <v>#VALUE!</v>
      </c>
      <c r="AC530" s="512">
        <v>10</v>
      </c>
      <c r="AD530" s="516" t="s">
        <v>2278</v>
      </c>
      <c r="AE530" s="529" t="s">
        <v>2444</v>
      </c>
      <c r="AF530" s="508" t="str">
        <f t="shared" ca="1" si="594"/>
        <v>T3部件</v>
      </c>
      <c r="AG530" s="594">
        <v>1</v>
      </c>
      <c r="AH530" s="625">
        <v>4.4999999999999997E-3</v>
      </c>
      <c r="AI530" s="170" t="e">
        <f t="shared" ca="1" si="587"/>
        <v>#VALUE!</v>
      </c>
      <c r="AJ530" s="508" t="e">
        <f t="shared" ca="1" si="588"/>
        <v>#VALUE!</v>
      </c>
      <c r="AL530" s="512">
        <v>10</v>
      </c>
      <c r="AM530" s="516" t="s">
        <v>2264</v>
      </c>
      <c r="AN530" s="529" t="s">
        <v>2444</v>
      </c>
      <c r="AO530" s="508" t="str">
        <f t="shared" ca="1" si="584"/>
        <v>T2部件</v>
      </c>
      <c r="AP530" s="565">
        <v>1.5</v>
      </c>
      <c r="AQ530" s="625">
        <v>3.5000000000000001E-3</v>
      </c>
      <c r="AR530" s="170" t="e">
        <f t="shared" ca="1" si="595"/>
        <v>#VALUE!</v>
      </c>
      <c r="AS530" s="508" t="e">
        <f t="shared" ca="1" si="596"/>
        <v>#VALUE!</v>
      </c>
      <c r="AU530" s="512">
        <v>10</v>
      </c>
      <c r="AV530" s="516" t="s">
        <v>632</v>
      </c>
      <c r="AW530" s="512" t="s">
        <v>2394</v>
      </c>
      <c r="AX530" s="508">
        <f t="shared" ca="1" si="597"/>
        <v>60</v>
      </c>
      <c r="AY530" s="615">
        <v>2.5</v>
      </c>
      <c r="AZ530" s="508">
        <f>宝箱设定!$H226</f>
        <v>3.6999999999999998E-2</v>
      </c>
      <c r="BA530" s="170">
        <f t="shared" ca="1" si="598"/>
        <v>1.6033333333333333E-2</v>
      </c>
      <c r="BB530" s="508">
        <f t="shared" ca="1" si="599"/>
        <v>160</v>
      </c>
      <c r="BD530" s="512">
        <v>10</v>
      </c>
      <c r="BE530" s="516" t="s">
        <v>632</v>
      </c>
      <c r="BF530" s="512" t="s">
        <v>2394</v>
      </c>
      <c r="BG530" s="508">
        <f t="shared" ca="1" si="600"/>
        <v>60</v>
      </c>
      <c r="BH530" s="615">
        <v>4.5</v>
      </c>
      <c r="BI530" s="508">
        <f>宝箱设定!$H226</f>
        <v>3.6999999999999998E-2</v>
      </c>
      <c r="BJ530" s="170">
        <f t="shared" ca="1" si="601"/>
        <v>2.021296296296296E-2</v>
      </c>
      <c r="BK530" s="379">
        <f t="shared" ca="1" si="602"/>
        <v>202</v>
      </c>
    </row>
    <row r="531" spans="2:63" x14ac:dyDescent="0.35">
      <c r="B531" s="512">
        <v>10</v>
      </c>
      <c r="C531" s="516" t="s">
        <v>2294</v>
      </c>
      <c r="D531" s="529" t="s">
        <v>2444</v>
      </c>
      <c r="E531" s="508" t="e">
        <f t="shared" ca="1" si="581"/>
        <v>#N/A</v>
      </c>
      <c r="F531" s="512">
        <v>1</v>
      </c>
      <c r="G531" s="508">
        <v>3.8E-3</v>
      </c>
      <c r="H531" s="170" t="e">
        <f t="shared" ca="1" si="568"/>
        <v>#N/A</v>
      </c>
      <c r="I531" s="508" t="e">
        <f t="shared" ca="1" si="569"/>
        <v>#N/A</v>
      </c>
      <c r="K531" s="512">
        <v>10</v>
      </c>
      <c r="L531" s="516" t="s">
        <v>2294</v>
      </c>
      <c r="M531" s="529" t="s">
        <v>2444</v>
      </c>
      <c r="N531" s="508" t="e">
        <f t="shared" ca="1" si="582"/>
        <v>#N/A</v>
      </c>
      <c r="O531" s="512">
        <v>1</v>
      </c>
      <c r="P531" s="565">
        <v>3.5000000000000001E-3</v>
      </c>
      <c r="Q531" s="170" t="e">
        <f t="shared" ca="1" si="573"/>
        <v>#N/A</v>
      </c>
      <c r="R531" s="508" t="e">
        <f t="shared" ca="1" si="574"/>
        <v>#N/A</v>
      </c>
      <c r="T531" s="512">
        <v>10</v>
      </c>
      <c r="U531" s="516" t="s">
        <v>2294</v>
      </c>
      <c r="V531" s="529" t="s">
        <v>2444</v>
      </c>
      <c r="W531" s="508" t="e">
        <f t="shared" ca="1" si="583"/>
        <v>#N/A</v>
      </c>
      <c r="X531" s="512">
        <v>1</v>
      </c>
      <c r="Y531" s="625">
        <v>3.5000000000000001E-3</v>
      </c>
      <c r="Z531" s="170" t="e">
        <f t="shared" ca="1" si="575"/>
        <v>#N/A</v>
      </c>
      <c r="AA531" s="508" t="e">
        <f t="shared" ca="1" si="576"/>
        <v>#N/A</v>
      </c>
      <c r="AC531" s="512">
        <v>10</v>
      </c>
      <c r="AD531" s="516" t="s">
        <v>2280</v>
      </c>
      <c r="AE531" s="529" t="s">
        <v>2444</v>
      </c>
      <c r="AF531" s="508" t="str">
        <f t="shared" ca="1" si="594"/>
        <v>T3部件</v>
      </c>
      <c r="AG531" s="594">
        <v>1</v>
      </c>
      <c r="AH531" s="625">
        <v>4.4999999999999997E-3</v>
      </c>
      <c r="AI531" s="170" t="e">
        <f t="shared" ca="1" si="587"/>
        <v>#VALUE!</v>
      </c>
      <c r="AJ531" s="508" t="e">
        <f t="shared" ca="1" si="588"/>
        <v>#VALUE!</v>
      </c>
      <c r="AL531" s="512">
        <v>10</v>
      </c>
      <c r="AM531" s="516" t="s">
        <v>2266</v>
      </c>
      <c r="AN531" s="529" t="s">
        <v>2444</v>
      </c>
      <c r="AO531" s="508" t="str">
        <f t="shared" ca="1" si="584"/>
        <v>T2部件</v>
      </c>
      <c r="AP531" s="565">
        <v>1.5</v>
      </c>
      <c r="AQ531" s="625">
        <v>3.5000000000000001E-3</v>
      </c>
      <c r="AR531" s="170" t="e">
        <f t="shared" ca="1" si="595"/>
        <v>#VALUE!</v>
      </c>
      <c r="AS531" s="508" t="e">
        <f t="shared" ca="1" si="596"/>
        <v>#VALUE!</v>
      </c>
      <c r="AU531" s="512">
        <v>10</v>
      </c>
      <c r="AV531" s="516" t="s">
        <v>620</v>
      </c>
      <c r="AW531" s="512" t="s">
        <v>2394</v>
      </c>
      <c r="AX531" s="508">
        <f t="shared" ca="1" si="597"/>
        <v>92</v>
      </c>
      <c r="AY531" s="615">
        <v>1.5</v>
      </c>
      <c r="AZ531" s="508">
        <f>宝箱设定!$H227</f>
        <v>3.6999999999999998E-2</v>
      </c>
      <c r="BA531" s="170">
        <f t="shared" ca="1" si="598"/>
        <v>1.7427536231884058E-2</v>
      </c>
      <c r="BB531" s="508">
        <f t="shared" ca="1" si="599"/>
        <v>174</v>
      </c>
      <c r="BD531" s="512">
        <v>10</v>
      </c>
      <c r="BE531" s="516" t="s">
        <v>620</v>
      </c>
      <c r="BF531" s="512" t="s">
        <v>2394</v>
      </c>
      <c r="BG531" s="508">
        <f t="shared" ca="1" si="600"/>
        <v>92</v>
      </c>
      <c r="BH531" s="615">
        <v>2.5</v>
      </c>
      <c r="BI531" s="508">
        <f>宝箱设定!$H227</f>
        <v>3.6999999999999998E-2</v>
      </c>
      <c r="BJ531" s="170">
        <f t="shared" ref="BJ531:BJ539" ca="1" si="603">BI531*BE$4/BG531/BH531</f>
        <v>2.3728260869565216E-2</v>
      </c>
      <c r="BK531" s="379">
        <f t="shared" ref="BK531:BK539" ca="1" si="604">ROUND(BJ531*10000,0)</f>
        <v>237</v>
      </c>
    </row>
    <row r="532" spans="2:63" x14ac:dyDescent="0.35">
      <c r="B532" s="512">
        <v>10</v>
      </c>
      <c r="C532" s="516" t="s">
        <v>2296</v>
      </c>
      <c r="D532" s="529" t="s">
        <v>2444</v>
      </c>
      <c r="E532" s="508" t="e">
        <f t="shared" ref="E532:E548" ca="1" si="605">IF(D532="部件",VLOOKUP(B532,INDIRECT(D532&amp;"价值"),MATCH(LEFT(C532,2)&amp;"部件",INDIRECT(D532&amp;"价值标头"),0),FALSE),IF(D532="加速道具",VLOOKUP(C532,INDIRECT(D532&amp;"价值"),MATCH("价格",INDIRECT(D532&amp;"价值标头"),0),FALSE),VLOOKUP(B532,INDIRECT(D532&amp;"价值"),MATCH(C532,INDIRECT(D532&amp;"价值标头"),0),FALSE)))</f>
        <v>#N/A</v>
      </c>
      <c r="F532" s="512">
        <v>1</v>
      </c>
      <c r="G532" s="594">
        <v>3.8E-3</v>
      </c>
      <c r="H532" s="170" t="e">
        <f t="shared" ca="1" si="568"/>
        <v>#N/A</v>
      </c>
      <c r="I532" s="508" t="e">
        <f t="shared" ca="1" si="569"/>
        <v>#N/A</v>
      </c>
      <c r="K532" s="512">
        <v>10</v>
      </c>
      <c r="L532" s="516" t="s">
        <v>2296</v>
      </c>
      <c r="M532" s="529" t="s">
        <v>2444</v>
      </c>
      <c r="N532" s="508" t="e">
        <f t="shared" ref="N532:N548" ca="1" si="606">IF(M532="部件",VLOOKUP(K532,INDIRECT(M532&amp;"价值"),MATCH(LEFT(L532,2)&amp;"部件",INDIRECT(M532&amp;"价值标头"),0),FALSE),IF(M532="加速道具",VLOOKUP(L532,INDIRECT(M532&amp;"价值"),MATCH("价格",INDIRECT(M532&amp;"价值标头"),0),FALSE),VLOOKUP(K532,INDIRECT(M532&amp;"价值"),MATCH(L532,INDIRECT(M532&amp;"价值标头"),0),FALSE)))</f>
        <v>#N/A</v>
      </c>
      <c r="O532" s="512">
        <v>1</v>
      </c>
      <c r="P532" s="625">
        <v>3.5000000000000001E-3</v>
      </c>
      <c r="Q532" s="170" t="e">
        <f t="shared" ca="1" si="573"/>
        <v>#N/A</v>
      </c>
      <c r="R532" s="508" t="e">
        <f t="shared" ca="1" si="574"/>
        <v>#N/A</v>
      </c>
      <c r="T532" s="512">
        <v>10</v>
      </c>
      <c r="U532" s="516" t="s">
        <v>2296</v>
      </c>
      <c r="V532" s="529" t="s">
        <v>2444</v>
      </c>
      <c r="W532" s="508" t="e">
        <f t="shared" ref="W532:W548" ca="1" si="607">IF(V532="部件",VLOOKUP(T532,INDIRECT(V532&amp;"价值"),MATCH(LEFT(U532,2)&amp;"部件",INDIRECT(V532&amp;"价值标头"),0),FALSE),IF(V532="加速道具",VLOOKUP(U532,INDIRECT(V532&amp;"价值"),MATCH("价格",INDIRECT(V532&amp;"价值标头"),0),FALSE),VLOOKUP(T532,INDIRECT(V532&amp;"价值"),MATCH(U532,INDIRECT(V532&amp;"价值标头"),0),FALSE)))</f>
        <v>#N/A</v>
      </c>
      <c r="X532" s="512">
        <v>1</v>
      </c>
      <c r="Y532" s="625">
        <v>3.5000000000000001E-3</v>
      </c>
      <c r="Z532" s="170" t="e">
        <f t="shared" ca="1" si="575"/>
        <v>#N/A</v>
      </c>
      <c r="AA532" s="508" t="e">
        <f t="shared" ca="1" si="576"/>
        <v>#N/A</v>
      </c>
      <c r="AC532" s="512">
        <v>10</v>
      </c>
      <c r="AD532" s="516" t="s">
        <v>2282</v>
      </c>
      <c r="AE532" s="529" t="s">
        <v>2444</v>
      </c>
      <c r="AF532" s="508" t="str">
        <f t="shared" ca="1" si="594"/>
        <v>T3部件</v>
      </c>
      <c r="AG532" s="594">
        <v>1</v>
      </c>
      <c r="AH532" s="625">
        <v>4.4999999999999997E-3</v>
      </c>
      <c r="AI532" s="170" t="e">
        <f t="shared" ca="1" si="587"/>
        <v>#VALUE!</v>
      </c>
      <c r="AJ532" s="508" t="e">
        <f t="shared" ca="1" si="588"/>
        <v>#VALUE!</v>
      </c>
      <c r="AL532" s="512">
        <v>10</v>
      </c>
      <c r="AM532" s="516" t="s">
        <v>2268</v>
      </c>
      <c r="AN532" s="529" t="s">
        <v>2444</v>
      </c>
      <c r="AO532" s="508" t="str">
        <f t="shared" ref="AO532:AO563" ca="1" si="608">IF(AN532="部件",VLOOKUP(AL532,INDIRECT(AN532&amp;"价值"),MATCH(LEFT(AM532,2)&amp;"部件",INDIRECT(AN532&amp;"价值标头"),0),FALSE),IF(AN532="加速道具",VLOOKUP(AM532,INDIRECT(AN532&amp;"价值"),MATCH("价格",INDIRECT(AN532&amp;"价值标头"),0),FALSE),VLOOKUP(AL532,INDIRECT(AN532&amp;"价值"),MATCH(AM532,INDIRECT(AN532&amp;"价值标头"),0),FALSE)))</f>
        <v>T2部件</v>
      </c>
      <c r="AP532" s="565">
        <v>1.5</v>
      </c>
      <c r="AQ532" s="625">
        <v>3.5000000000000001E-3</v>
      </c>
      <c r="AR532" s="170" t="e">
        <f t="shared" ca="1" si="595"/>
        <v>#VALUE!</v>
      </c>
      <c r="AS532" s="508" t="e">
        <f t="shared" ca="1" si="596"/>
        <v>#VALUE!</v>
      </c>
      <c r="AU532" s="512">
        <v>10</v>
      </c>
      <c r="AV532" s="516" t="s">
        <v>719</v>
      </c>
      <c r="AW532" s="512" t="s">
        <v>2394</v>
      </c>
      <c r="AX532" s="508">
        <f t="shared" ca="1" si="597"/>
        <v>92</v>
      </c>
      <c r="AY532" s="615">
        <v>1.5</v>
      </c>
      <c r="AZ532" s="508">
        <f>宝箱设定!$H228</f>
        <v>3.6999999999999998E-2</v>
      </c>
      <c r="BA532" s="170">
        <f t="shared" ca="1" si="598"/>
        <v>1.7427536231884058E-2</v>
      </c>
      <c r="BB532" s="508">
        <f t="shared" ca="1" si="599"/>
        <v>174</v>
      </c>
      <c r="BD532" s="512">
        <v>10</v>
      </c>
      <c r="BE532" s="516" t="s">
        <v>719</v>
      </c>
      <c r="BF532" s="512" t="s">
        <v>2394</v>
      </c>
      <c r="BG532" s="508">
        <f t="shared" ca="1" si="600"/>
        <v>92</v>
      </c>
      <c r="BH532" s="615">
        <v>2.5</v>
      </c>
      <c r="BI532" s="508">
        <f>宝箱设定!$H228</f>
        <v>3.6999999999999998E-2</v>
      </c>
      <c r="BJ532" s="170">
        <f t="shared" ca="1" si="603"/>
        <v>2.3728260869565216E-2</v>
      </c>
      <c r="BK532" s="379">
        <f t="shared" ca="1" si="604"/>
        <v>237</v>
      </c>
    </row>
    <row r="533" spans="2:63" x14ac:dyDescent="0.35">
      <c r="B533" s="512">
        <v>10</v>
      </c>
      <c r="C533" s="516" t="s">
        <v>2298</v>
      </c>
      <c r="D533" s="529" t="s">
        <v>2444</v>
      </c>
      <c r="E533" s="508" t="e">
        <f t="shared" ca="1" si="605"/>
        <v>#N/A</v>
      </c>
      <c r="F533" s="512">
        <v>1</v>
      </c>
      <c r="G533" s="594">
        <v>3.8E-3</v>
      </c>
      <c r="H533" s="170" t="e">
        <f t="shared" ca="1" si="568"/>
        <v>#N/A</v>
      </c>
      <c r="I533" s="508" t="e">
        <f t="shared" ca="1" si="569"/>
        <v>#N/A</v>
      </c>
      <c r="K533" s="512">
        <v>10</v>
      </c>
      <c r="L533" s="516" t="s">
        <v>2298</v>
      </c>
      <c r="M533" s="529" t="s">
        <v>2444</v>
      </c>
      <c r="N533" s="508" t="e">
        <f t="shared" ca="1" si="606"/>
        <v>#N/A</v>
      </c>
      <c r="O533" s="512">
        <v>1</v>
      </c>
      <c r="P533" s="625">
        <v>3.5000000000000001E-3</v>
      </c>
      <c r="Q533" s="170" t="e">
        <f t="shared" ca="1" si="573"/>
        <v>#N/A</v>
      </c>
      <c r="R533" s="508" t="e">
        <f t="shared" ca="1" si="574"/>
        <v>#N/A</v>
      </c>
      <c r="T533" s="512">
        <v>10</v>
      </c>
      <c r="U533" s="516" t="s">
        <v>2298</v>
      </c>
      <c r="V533" s="529" t="s">
        <v>2444</v>
      </c>
      <c r="W533" s="508" t="e">
        <f t="shared" ca="1" si="607"/>
        <v>#N/A</v>
      </c>
      <c r="X533" s="512">
        <v>1</v>
      </c>
      <c r="Y533" s="625">
        <v>3.5000000000000001E-3</v>
      </c>
      <c r="Z533" s="170" t="e">
        <f t="shared" ca="1" si="575"/>
        <v>#N/A</v>
      </c>
      <c r="AA533" s="508" t="e">
        <f t="shared" ca="1" si="576"/>
        <v>#N/A</v>
      </c>
      <c r="AC533" s="512">
        <v>10</v>
      </c>
      <c r="AD533" s="516" t="s">
        <v>2284</v>
      </c>
      <c r="AE533" s="529" t="s">
        <v>2444</v>
      </c>
      <c r="AF533" s="508" t="str">
        <f t="shared" ca="1" si="594"/>
        <v>T3部件</v>
      </c>
      <c r="AG533" s="594">
        <v>1</v>
      </c>
      <c r="AH533" s="625">
        <v>4.4999999999999997E-3</v>
      </c>
      <c r="AI533" s="170" t="e">
        <f t="shared" ca="1" si="587"/>
        <v>#VALUE!</v>
      </c>
      <c r="AJ533" s="508" t="e">
        <f t="shared" ca="1" si="588"/>
        <v>#VALUE!</v>
      </c>
      <c r="AL533" s="512">
        <v>10</v>
      </c>
      <c r="AM533" s="516" t="s">
        <v>2270</v>
      </c>
      <c r="AN533" s="529" t="s">
        <v>2444</v>
      </c>
      <c r="AO533" s="508" t="str">
        <f t="shared" ca="1" si="608"/>
        <v>T2部件</v>
      </c>
      <c r="AP533" s="565">
        <v>1.5</v>
      </c>
      <c r="AQ533" s="625">
        <v>3.5000000000000001E-3</v>
      </c>
      <c r="AR533" s="170" t="e">
        <f t="shared" ca="1" si="595"/>
        <v>#VALUE!</v>
      </c>
      <c r="AS533" s="508" t="e">
        <f t="shared" ca="1" si="596"/>
        <v>#VALUE!</v>
      </c>
      <c r="AU533" s="512">
        <v>10</v>
      </c>
      <c r="AV533" s="516" t="s">
        <v>635</v>
      </c>
      <c r="AW533" s="512" t="s">
        <v>2394</v>
      </c>
      <c r="AX533" s="508">
        <f t="shared" ca="1" si="597"/>
        <v>92</v>
      </c>
      <c r="AY533" s="615">
        <v>1.5</v>
      </c>
      <c r="AZ533" s="508">
        <f>宝箱设定!$H229</f>
        <v>3.6999999999999998E-2</v>
      </c>
      <c r="BA533" s="170">
        <f t="shared" ca="1" si="598"/>
        <v>1.7427536231884058E-2</v>
      </c>
      <c r="BB533" s="508">
        <f t="shared" ca="1" si="599"/>
        <v>174</v>
      </c>
      <c r="BD533" s="512">
        <v>10</v>
      </c>
      <c r="BE533" s="516" t="s">
        <v>635</v>
      </c>
      <c r="BF533" s="512" t="s">
        <v>2394</v>
      </c>
      <c r="BG533" s="508">
        <f t="shared" ca="1" si="600"/>
        <v>92</v>
      </c>
      <c r="BH533" s="615">
        <v>2.5</v>
      </c>
      <c r="BI533" s="508">
        <f>宝箱设定!$H229</f>
        <v>3.6999999999999998E-2</v>
      </c>
      <c r="BJ533" s="170">
        <f t="shared" ca="1" si="603"/>
        <v>2.3728260869565216E-2</v>
      </c>
      <c r="BK533" s="379">
        <f t="shared" ca="1" si="604"/>
        <v>237</v>
      </c>
    </row>
    <row r="534" spans="2:63" x14ac:dyDescent="0.35">
      <c r="B534" s="512">
        <v>10</v>
      </c>
      <c r="C534" s="516" t="s">
        <v>2300</v>
      </c>
      <c r="D534" s="529" t="s">
        <v>2444</v>
      </c>
      <c r="E534" s="508" t="e">
        <f t="shared" ca="1" si="605"/>
        <v>#N/A</v>
      </c>
      <c r="F534" s="512">
        <v>1</v>
      </c>
      <c r="G534" s="594">
        <v>3.8E-3</v>
      </c>
      <c r="H534" s="170" t="e">
        <f t="shared" ca="1" si="568"/>
        <v>#N/A</v>
      </c>
      <c r="I534" s="508" t="e">
        <f t="shared" ca="1" si="569"/>
        <v>#N/A</v>
      </c>
      <c r="K534" s="512">
        <v>10</v>
      </c>
      <c r="L534" s="516" t="s">
        <v>2300</v>
      </c>
      <c r="M534" s="529" t="s">
        <v>2444</v>
      </c>
      <c r="N534" s="508" t="e">
        <f t="shared" ca="1" si="606"/>
        <v>#N/A</v>
      </c>
      <c r="O534" s="512">
        <v>1</v>
      </c>
      <c r="P534" s="625">
        <v>3.5000000000000001E-3</v>
      </c>
      <c r="Q534" s="170" t="e">
        <f t="shared" ca="1" si="573"/>
        <v>#N/A</v>
      </c>
      <c r="R534" s="508" t="e">
        <f t="shared" ca="1" si="574"/>
        <v>#N/A</v>
      </c>
      <c r="T534" s="512">
        <v>10</v>
      </c>
      <c r="U534" s="516" t="s">
        <v>2300</v>
      </c>
      <c r="V534" s="529" t="s">
        <v>2444</v>
      </c>
      <c r="W534" s="508" t="e">
        <f t="shared" ca="1" si="607"/>
        <v>#N/A</v>
      </c>
      <c r="X534" s="512">
        <v>1</v>
      </c>
      <c r="Y534" s="625">
        <v>3.5000000000000001E-3</v>
      </c>
      <c r="Z534" s="170" t="e">
        <f t="shared" ca="1" si="575"/>
        <v>#N/A</v>
      </c>
      <c r="AA534" s="508" t="e">
        <f t="shared" ca="1" si="576"/>
        <v>#N/A</v>
      </c>
      <c r="AC534" s="512">
        <v>10</v>
      </c>
      <c r="AD534" s="516" t="s">
        <v>2286</v>
      </c>
      <c r="AE534" s="529" t="s">
        <v>2444</v>
      </c>
      <c r="AF534" s="508" t="str">
        <f t="shared" ca="1" si="594"/>
        <v>T3部件</v>
      </c>
      <c r="AG534" s="594">
        <v>1</v>
      </c>
      <c r="AH534" s="625">
        <v>4.4999999999999997E-3</v>
      </c>
      <c r="AI534" s="170" t="e">
        <f t="shared" ca="1" si="587"/>
        <v>#VALUE!</v>
      </c>
      <c r="AJ534" s="508" t="e">
        <f t="shared" ca="1" si="588"/>
        <v>#VALUE!</v>
      </c>
      <c r="AL534" s="512">
        <v>10</v>
      </c>
      <c r="AM534" s="512" t="s">
        <v>2272</v>
      </c>
      <c r="AN534" s="529" t="s">
        <v>2444</v>
      </c>
      <c r="AO534" s="508" t="str">
        <f t="shared" ca="1" si="608"/>
        <v>T2部件</v>
      </c>
      <c r="AP534" s="565">
        <v>1.5</v>
      </c>
      <c r="AQ534" s="625">
        <v>3.5000000000000001E-3</v>
      </c>
      <c r="AR534" s="170" t="e">
        <f t="shared" ca="1" si="595"/>
        <v>#VALUE!</v>
      </c>
      <c r="AS534" s="508" t="e">
        <f t="shared" ca="1" si="596"/>
        <v>#VALUE!</v>
      </c>
      <c r="AU534" s="512">
        <v>10</v>
      </c>
      <c r="AV534" s="516" t="s">
        <v>720</v>
      </c>
      <c r="AW534" s="512" t="s">
        <v>2394</v>
      </c>
      <c r="AX534" s="508">
        <f t="shared" ca="1" si="597"/>
        <v>115</v>
      </c>
      <c r="AY534" s="565">
        <v>1</v>
      </c>
      <c r="AZ534" s="508">
        <f>宝箱设定!$H230</f>
        <v>3.6999999999999998E-2</v>
      </c>
      <c r="BA534" s="170">
        <f t="shared" ca="1" si="598"/>
        <v>2.0913043478260868E-2</v>
      </c>
      <c r="BB534" s="508">
        <f t="shared" ca="1" si="599"/>
        <v>209</v>
      </c>
      <c r="BD534" s="512">
        <v>10</v>
      </c>
      <c r="BE534" s="516" t="s">
        <v>720</v>
      </c>
      <c r="BF534" s="512" t="s">
        <v>2394</v>
      </c>
      <c r="BG534" s="508">
        <f t="shared" ca="1" si="600"/>
        <v>115</v>
      </c>
      <c r="BH534" s="615">
        <v>1.5</v>
      </c>
      <c r="BI534" s="508">
        <f>宝箱设定!$H230</f>
        <v>3.6999999999999998E-2</v>
      </c>
      <c r="BJ534" s="170">
        <f t="shared" ca="1" si="603"/>
        <v>3.163768115942029E-2</v>
      </c>
      <c r="BK534" s="379">
        <f t="shared" ca="1" si="604"/>
        <v>316</v>
      </c>
    </row>
    <row r="535" spans="2:63" x14ac:dyDescent="0.35">
      <c r="B535" s="512">
        <v>10</v>
      </c>
      <c r="C535" s="516" t="s">
        <v>2302</v>
      </c>
      <c r="D535" s="529" t="s">
        <v>2444</v>
      </c>
      <c r="E535" s="508" t="e">
        <f t="shared" ca="1" si="605"/>
        <v>#N/A</v>
      </c>
      <c r="F535" s="512">
        <v>1</v>
      </c>
      <c r="G535" s="594">
        <v>3.8E-3</v>
      </c>
      <c r="H535" s="170" t="e">
        <f t="shared" ca="1" si="568"/>
        <v>#N/A</v>
      </c>
      <c r="I535" s="508" t="e">
        <f t="shared" ca="1" si="569"/>
        <v>#N/A</v>
      </c>
      <c r="K535" s="512">
        <v>10</v>
      </c>
      <c r="L535" s="516" t="s">
        <v>2302</v>
      </c>
      <c r="M535" s="529" t="s">
        <v>2444</v>
      </c>
      <c r="N535" s="508" t="e">
        <f t="shared" ca="1" si="606"/>
        <v>#N/A</v>
      </c>
      <c r="O535" s="512">
        <v>1</v>
      </c>
      <c r="P535" s="625">
        <v>3.5000000000000001E-3</v>
      </c>
      <c r="Q535" s="170" t="e">
        <f t="shared" ca="1" si="573"/>
        <v>#N/A</v>
      </c>
      <c r="R535" s="508" t="e">
        <f t="shared" ca="1" si="574"/>
        <v>#N/A</v>
      </c>
      <c r="T535" s="512">
        <v>10</v>
      </c>
      <c r="U535" s="516" t="s">
        <v>2302</v>
      </c>
      <c r="V535" s="529" t="s">
        <v>2444</v>
      </c>
      <c r="W535" s="508" t="e">
        <f t="shared" ca="1" si="607"/>
        <v>#N/A</v>
      </c>
      <c r="X535" s="512">
        <v>1</v>
      </c>
      <c r="Y535" s="625">
        <v>3.5000000000000001E-3</v>
      </c>
      <c r="Z535" s="170" t="e">
        <f t="shared" ca="1" si="575"/>
        <v>#N/A</v>
      </c>
      <c r="AA535" s="508" t="e">
        <f t="shared" ca="1" si="576"/>
        <v>#N/A</v>
      </c>
      <c r="AC535" s="512">
        <v>10</v>
      </c>
      <c r="AD535" s="516" t="s">
        <v>2288</v>
      </c>
      <c r="AE535" s="529" t="s">
        <v>2444</v>
      </c>
      <c r="AF535" s="508" t="str">
        <f t="shared" ca="1" si="594"/>
        <v>T3部件</v>
      </c>
      <c r="AG535" s="594">
        <v>1</v>
      </c>
      <c r="AH535" s="625">
        <v>4.4999999999999997E-3</v>
      </c>
      <c r="AI535" s="170" t="e">
        <f t="shared" ca="1" si="587"/>
        <v>#VALUE!</v>
      </c>
      <c r="AJ535" s="508" t="e">
        <f t="shared" ca="1" si="588"/>
        <v>#VALUE!</v>
      </c>
      <c r="AL535" s="512">
        <v>10</v>
      </c>
      <c r="AM535" s="512" t="s">
        <v>2274</v>
      </c>
      <c r="AN535" s="529" t="s">
        <v>2444</v>
      </c>
      <c r="AO535" s="508" t="str">
        <f t="shared" ca="1" si="608"/>
        <v>T2部件</v>
      </c>
      <c r="AP535" s="565">
        <v>1.5</v>
      </c>
      <c r="AQ535" s="625">
        <v>3.5000000000000001E-3</v>
      </c>
      <c r="AR535" s="170" t="e">
        <f t="shared" ca="1" si="595"/>
        <v>#VALUE!</v>
      </c>
      <c r="AS535" s="508" t="e">
        <f t="shared" ca="1" si="596"/>
        <v>#VALUE!</v>
      </c>
      <c r="AU535" s="512">
        <v>10</v>
      </c>
      <c r="AV535" s="516" t="s">
        <v>629</v>
      </c>
      <c r="AW535" s="512" t="s">
        <v>2394</v>
      </c>
      <c r="AX535" s="508">
        <f t="shared" ca="1" si="597"/>
        <v>115</v>
      </c>
      <c r="AY535" s="565">
        <v>1</v>
      </c>
      <c r="AZ535" s="508">
        <f>宝箱设定!$H231</f>
        <v>3.6999999999999998E-2</v>
      </c>
      <c r="BA535" s="170">
        <f t="shared" ca="1" si="598"/>
        <v>2.0913043478260868E-2</v>
      </c>
      <c r="BB535" s="508">
        <f t="shared" ca="1" si="599"/>
        <v>209</v>
      </c>
      <c r="BD535" s="512">
        <v>10</v>
      </c>
      <c r="BE535" s="516" t="s">
        <v>629</v>
      </c>
      <c r="BF535" s="512" t="s">
        <v>2394</v>
      </c>
      <c r="BG535" s="508">
        <f t="shared" ca="1" si="600"/>
        <v>115</v>
      </c>
      <c r="BH535" s="615">
        <v>1.5</v>
      </c>
      <c r="BI535" s="508">
        <f>宝箱设定!$H231</f>
        <v>3.6999999999999998E-2</v>
      </c>
      <c r="BJ535" s="170">
        <f t="shared" ca="1" si="603"/>
        <v>3.163768115942029E-2</v>
      </c>
      <c r="BK535" s="379">
        <f t="shared" ca="1" si="604"/>
        <v>316</v>
      </c>
    </row>
    <row r="536" spans="2:63" x14ac:dyDescent="0.35">
      <c r="B536" s="512">
        <v>10</v>
      </c>
      <c r="C536" s="516" t="s">
        <v>2304</v>
      </c>
      <c r="D536" s="529" t="s">
        <v>2444</v>
      </c>
      <c r="E536" s="508" t="e">
        <f t="shared" ca="1" si="605"/>
        <v>#N/A</v>
      </c>
      <c r="F536" s="512">
        <v>1</v>
      </c>
      <c r="G536" s="594">
        <v>3.8E-3</v>
      </c>
      <c r="H536" s="170" t="e">
        <f t="shared" ca="1" si="568"/>
        <v>#N/A</v>
      </c>
      <c r="I536" s="508" t="e">
        <f t="shared" ca="1" si="569"/>
        <v>#N/A</v>
      </c>
      <c r="K536" s="512">
        <v>10</v>
      </c>
      <c r="L536" s="516" t="s">
        <v>2304</v>
      </c>
      <c r="M536" s="529" t="s">
        <v>2444</v>
      </c>
      <c r="N536" s="508" t="e">
        <f t="shared" ca="1" si="606"/>
        <v>#N/A</v>
      </c>
      <c r="O536" s="512">
        <v>1</v>
      </c>
      <c r="P536" s="625">
        <v>3.5000000000000001E-3</v>
      </c>
      <c r="Q536" s="170" t="e">
        <f t="shared" ca="1" si="573"/>
        <v>#N/A</v>
      </c>
      <c r="R536" s="508" t="e">
        <f t="shared" ca="1" si="574"/>
        <v>#N/A</v>
      </c>
      <c r="T536" s="512">
        <v>10</v>
      </c>
      <c r="U536" s="516" t="s">
        <v>2304</v>
      </c>
      <c r="V536" s="529" t="s">
        <v>2444</v>
      </c>
      <c r="W536" s="508" t="e">
        <f t="shared" ca="1" si="607"/>
        <v>#N/A</v>
      </c>
      <c r="X536" s="512">
        <v>1</v>
      </c>
      <c r="Y536" s="625">
        <v>3.5000000000000001E-3</v>
      </c>
      <c r="Z536" s="170" t="e">
        <f t="shared" ca="1" si="575"/>
        <v>#N/A</v>
      </c>
      <c r="AA536" s="508" t="e">
        <f t="shared" ca="1" si="576"/>
        <v>#N/A</v>
      </c>
      <c r="AC536" s="512">
        <v>10</v>
      </c>
      <c r="AD536" s="512" t="s">
        <v>2290</v>
      </c>
      <c r="AE536" s="529" t="s">
        <v>2444</v>
      </c>
      <c r="AF536" s="508" t="str">
        <f t="shared" ca="1" si="594"/>
        <v>T3部件</v>
      </c>
      <c r="AG536" s="594">
        <v>1</v>
      </c>
      <c r="AH536" s="625">
        <v>4.4999999999999997E-3</v>
      </c>
      <c r="AI536" s="170" t="e">
        <f t="shared" ca="1" si="587"/>
        <v>#VALUE!</v>
      </c>
      <c r="AJ536" s="508" t="e">
        <f t="shared" ca="1" si="588"/>
        <v>#VALUE!</v>
      </c>
      <c r="AL536" s="512">
        <v>10</v>
      </c>
      <c r="AM536" s="516" t="s">
        <v>2259</v>
      </c>
      <c r="AN536" s="529" t="s">
        <v>2444</v>
      </c>
      <c r="AO536" s="508" t="str">
        <f t="shared" ca="1" si="608"/>
        <v>T2部件</v>
      </c>
      <c r="AP536" s="565">
        <v>1.5</v>
      </c>
      <c r="AQ536" s="625">
        <v>3.5000000000000001E-3</v>
      </c>
      <c r="AR536" s="170" t="e">
        <f t="shared" ca="1" si="595"/>
        <v>#VALUE!</v>
      </c>
      <c r="AS536" s="508" t="e">
        <f t="shared" ca="1" si="596"/>
        <v>#VALUE!</v>
      </c>
      <c r="AU536" s="512">
        <v>10</v>
      </c>
      <c r="AV536" s="516" t="s">
        <v>717</v>
      </c>
      <c r="AW536" s="512" t="s">
        <v>2394</v>
      </c>
      <c r="AX536" s="508">
        <f t="shared" ca="1" si="597"/>
        <v>115</v>
      </c>
      <c r="AY536" s="565">
        <v>1</v>
      </c>
      <c r="AZ536" s="508">
        <f>宝箱设定!$H232</f>
        <v>3.6999999999999998E-2</v>
      </c>
      <c r="BA536" s="170">
        <f t="shared" ca="1" si="598"/>
        <v>2.0913043478260868E-2</v>
      </c>
      <c r="BB536" s="508">
        <f t="shared" ca="1" si="599"/>
        <v>209</v>
      </c>
      <c r="BD536" s="512">
        <v>10</v>
      </c>
      <c r="BE536" s="516" t="s">
        <v>717</v>
      </c>
      <c r="BF536" s="512" t="s">
        <v>2394</v>
      </c>
      <c r="BG536" s="508">
        <f t="shared" ca="1" si="600"/>
        <v>115</v>
      </c>
      <c r="BH536" s="615">
        <v>1.5</v>
      </c>
      <c r="BI536" s="508">
        <f>宝箱设定!$H232</f>
        <v>3.6999999999999998E-2</v>
      </c>
      <c r="BJ536" s="170">
        <f t="shared" ca="1" si="603"/>
        <v>3.163768115942029E-2</v>
      </c>
      <c r="BK536" s="379">
        <f t="shared" ca="1" si="604"/>
        <v>316</v>
      </c>
    </row>
    <row r="537" spans="2:63" x14ac:dyDescent="0.35">
      <c r="B537" s="512">
        <v>10</v>
      </c>
      <c r="C537" s="516" t="s">
        <v>2306</v>
      </c>
      <c r="D537" s="529" t="s">
        <v>2444</v>
      </c>
      <c r="E537" s="508" t="e">
        <f t="shared" ca="1" si="605"/>
        <v>#N/A</v>
      </c>
      <c r="F537" s="512">
        <v>1</v>
      </c>
      <c r="G537" s="594">
        <v>3.8E-3</v>
      </c>
      <c r="H537" s="170" t="e">
        <f t="shared" ca="1" si="568"/>
        <v>#N/A</v>
      </c>
      <c r="I537" s="508" t="e">
        <f t="shared" ca="1" si="569"/>
        <v>#N/A</v>
      </c>
      <c r="K537" s="512">
        <v>10</v>
      </c>
      <c r="L537" s="516" t="s">
        <v>2306</v>
      </c>
      <c r="M537" s="529" t="s">
        <v>2444</v>
      </c>
      <c r="N537" s="508" t="e">
        <f t="shared" ca="1" si="606"/>
        <v>#N/A</v>
      </c>
      <c r="O537" s="512">
        <v>1</v>
      </c>
      <c r="P537" s="625">
        <v>3.5000000000000001E-3</v>
      </c>
      <c r="Q537" s="170" t="e">
        <f t="shared" ca="1" si="573"/>
        <v>#N/A</v>
      </c>
      <c r="R537" s="508" t="e">
        <f t="shared" ca="1" si="574"/>
        <v>#N/A</v>
      </c>
      <c r="T537" s="512">
        <v>10</v>
      </c>
      <c r="U537" s="516" t="s">
        <v>2306</v>
      </c>
      <c r="V537" s="529" t="s">
        <v>2444</v>
      </c>
      <c r="W537" s="508" t="e">
        <f t="shared" ca="1" si="607"/>
        <v>#N/A</v>
      </c>
      <c r="X537" s="512">
        <v>1</v>
      </c>
      <c r="Y537" s="625">
        <v>3.5000000000000001E-3</v>
      </c>
      <c r="Z537" s="170" t="e">
        <f t="shared" ca="1" si="575"/>
        <v>#N/A</v>
      </c>
      <c r="AA537" s="508" t="e">
        <f t="shared" ca="1" si="576"/>
        <v>#N/A</v>
      </c>
      <c r="AC537" s="512">
        <v>10</v>
      </c>
      <c r="AD537" s="512" t="s">
        <v>2292</v>
      </c>
      <c r="AE537" s="529" t="s">
        <v>2444</v>
      </c>
      <c r="AF537" s="508" t="str">
        <f t="shared" ca="1" si="594"/>
        <v>T3部件</v>
      </c>
      <c r="AG537" s="594">
        <v>1</v>
      </c>
      <c r="AH537" s="625">
        <v>4.4999999999999997E-3</v>
      </c>
      <c r="AI537" s="170" t="e">
        <f t="shared" ca="1" si="587"/>
        <v>#VALUE!</v>
      </c>
      <c r="AJ537" s="508" t="e">
        <f t="shared" ca="1" si="588"/>
        <v>#VALUE!</v>
      </c>
      <c r="AL537" s="512">
        <v>10</v>
      </c>
      <c r="AM537" s="516" t="s">
        <v>2261</v>
      </c>
      <c r="AN537" s="529" t="s">
        <v>2444</v>
      </c>
      <c r="AO537" s="508" t="str">
        <f t="shared" ca="1" si="608"/>
        <v>T2部件</v>
      </c>
      <c r="AP537" s="565">
        <v>1.5</v>
      </c>
      <c r="AQ537" s="625">
        <v>3.5000000000000001E-3</v>
      </c>
      <c r="AR537" s="170" t="e">
        <f t="shared" ca="1" si="595"/>
        <v>#VALUE!</v>
      </c>
      <c r="AS537" s="508" t="e">
        <f t="shared" ca="1" si="596"/>
        <v>#VALUE!</v>
      </c>
      <c r="AU537" s="512">
        <v>10</v>
      </c>
      <c r="AV537" s="516" t="s">
        <v>621</v>
      </c>
      <c r="AW537" s="512" t="s">
        <v>2394</v>
      </c>
      <c r="AX537" s="508">
        <f t="shared" ca="1" si="597"/>
        <v>142.6</v>
      </c>
      <c r="AY537" s="565">
        <v>1</v>
      </c>
      <c r="AZ537" s="508">
        <f>宝箱设定!$H233</f>
        <v>3.6999999999999998E-2</v>
      </c>
      <c r="BA537" s="170">
        <f t="shared" ca="1" si="598"/>
        <v>1.6865357643758766E-2</v>
      </c>
      <c r="BB537" s="508">
        <f t="shared" ca="1" si="599"/>
        <v>169</v>
      </c>
      <c r="BD537" s="512">
        <v>10</v>
      </c>
      <c r="BE537" s="516" t="s">
        <v>621</v>
      </c>
      <c r="BF537" s="512" t="s">
        <v>2394</v>
      </c>
      <c r="BG537" s="508">
        <f t="shared" ca="1" si="600"/>
        <v>142.6</v>
      </c>
      <c r="BH537" s="615">
        <v>1.5</v>
      </c>
      <c r="BI537" s="508">
        <f>宝箱设定!$H233</f>
        <v>3.6999999999999998E-2</v>
      </c>
      <c r="BJ537" s="170">
        <f t="shared" ca="1" si="603"/>
        <v>2.5514258999532493E-2</v>
      </c>
      <c r="BK537" s="379">
        <f t="shared" ca="1" si="604"/>
        <v>255</v>
      </c>
    </row>
    <row r="538" spans="2:63" x14ac:dyDescent="0.35">
      <c r="B538" s="512">
        <v>10</v>
      </c>
      <c r="C538" s="512" t="s">
        <v>2308</v>
      </c>
      <c r="D538" s="529" t="s">
        <v>2444</v>
      </c>
      <c r="E538" s="508" t="e">
        <f t="shared" ca="1" si="605"/>
        <v>#N/A</v>
      </c>
      <c r="F538" s="512">
        <v>1</v>
      </c>
      <c r="G538" s="594">
        <v>3.8E-3</v>
      </c>
      <c r="H538" s="170" t="e">
        <f t="shared" ca="1" si="568"/>
        <v>#N/A</v>
      </c>
      <c r="I538" s="508" t="e">
        <f t="shared" ca="1" si="569"/>
        <v>#N/A</v>
      </c>
      <c r="K538" s="512">
        <v>10</v>
      </c>
      <c r="L538" s="512" t="s">
        <v>2308</v>
      </c>
      <c r="M538" s="529" t="s">
        <v>2444</v>
      </c>
      <c r="N538" s="508" t="e">
        <f t="shared" ca="1" si="606"/>
        <v>#N/A</v>
      </c>
      <c r="O538" s="512">
        <v>1</v>
      </c>
      <c r="P538" s="625">
        <v>3.5000000000000001E-3</v>
      </c>
      <c r="Q538" s="170" t="e">
        <f t="shared" ca="1" si="573"/>
        <v>#N/A</v>
      </c>
      <c r="R538" s="508" t="e">
        <f t="shared" ca="1" si="574"/>
        <v>#N/A</v>
      </c>
      <c r="T538" s="512">
        <v>10</v>
      </c>
      <c r="U538" s="512" t="s">
        <v>2308</v>
      </c>
      <c r="V538" s="529" t="s">
        <v>2444</v>
      </c>
      <c r="W538" s="508" t="e">
        <f t="shared" ca="1" si="607"/>
        <v>#N/A</v>
      </c>
      <c r="X538" s="512">
        <v>1</v>
      </c>
      <c r="Y538" s="625">
        <v>3.5000000000000001E-3</v>
      </c>
      <c r="Z538" s="170" t="e">
        <f t="shared" ca="1" si="575"/>
        <v>#N/A</v>
      </c>
      <c r="AA538" s="508" t="e">
        <f t="shared" ca="1" si="576"/>
        <v>#N/A</v>
      </c>
      <c r="AC538" s="512">
        <v>10</v>
      </c>
      <c r="AD538" s="516" t="s">
        <v>2277</v>
      </c>
      <c r="AE538" s="529" t="s">
        <v>2444</v>
      </c>
      <c r="AF538" s="508" t="str">
        <f t="shared" ca="1" si="594"/>
        <v>T3部件</v>
      </c>
      <c r="AG538" s="594">
        <v>1</v>
      </c>
      <c r="AH538" s="625">
        <v>4.4999999999999997E-3</v>
      </c>
      <c r="AI538" s="170" t="e">
        <f t="shared" ca="1" si="587"/>
        <v>#VALUE!</v>
      </c>
      <c r="AJ538" s="508" t="e">
        <f t="shared" ca="1" si="588"/>
        <v>#VALUE!</v>
      </c>
      <c r="AL538" s="512">
        <v>10</v>
      </c>
      <c r="AM538" s="516" t="s">
        <v>2263</v>
      </c>
      <c r="AN538" s="529" t="s">
        <v>2444</v>
      </c>
      <c r="AO538" s="508" t="str">
        <f t="shared" ca="1" si="608"/>
        <v>T2部件</v>
      </c>
      <c r="AP538" s="565">
        <v>1.5</v>
      </c>
      <c r="AQ538" s="625">
        <v>3.5000000000000001E-3</v>
      </c>
      <c r="AR538" s="170" t="e">
        <f t="shared" ca="1" si="595"/>
        <v>#VALUE!</v>
      </c>
      <c r="AS538" s="508" t="e">
        <f t="shared" ca="1" si="596"/>
        <v>#VALUE!</v>
      </c>
      <c r="AU538" s="512">
        <v>10</v>
      </c>
      <c r="AV538" s="516" t="s">
        <v>634</v>
      </c>
      <c r="AW538" s="512" t="s">
        <v>2394</v>
      </c>
      <c r="AX538" s="508">
        <f t="shared" ca="1" si="597"/>
        <v>142.6</v>
      </c>
      <c r="AY538" s="565">
        <v>1</v>
      </c>
      <c r="AZ538" s="508">
        <f>宝箱设定!$H234</f>
        <v>3.6999999999999998E-2</v>
      </c>
      <c r="BA538" s="170">
        <f ca="1">AZ538*AV$4/AX538/AY538</f>
        <v>1.6865357643758766E-2</v>
      </c>
      <c r="BB538" s="508">
        <f ca="1">ROUND(BA538*10000,0)</f>
        <v>169</v>
      </c>
      <c r="BD538" s="512">
        <v>10</v>
      </c>
      <c r="BE538" s="516" t="s">
        <v>634</v>
      </c>
      <c r="BF538" s="512" t="s">
        <v>2394</v>
      </c>
      <c r="BG538" s="508">
        <f t="shared" ca="1" si="600"/>
        <v>142.6</v>
      </c>
      <c r="BH538" s="615">
        <v>1.5</v>
      </c>
      <c r="BI538" s="508">
        <f>宝箱设定!$H234</f>
        <v>3.6999999999999998E-2</v>
      </c>
      <c r="BJ538" s="170">
        <f t="shared" ca="1" si="603"/>
        <v>2.5514258999532493E-2</v>
      </c>
      <c r="BK538" s="379">
        <f t="shared" ca="1" si="604"/>
        <v>255</v>
      </c>
    </row>
    <row r="539" spans="2:63" x14ac:dyDescent="0.35">
      <c r="B539" s="512">
        <v>10</v>
      </c>
      <c r="C539" s="512" t="s">
        <v>2310</v>
      </c>
      <c r="D539" s="529" t="s">
        <v>2444</v>
      </c>
      <c r="E539" s="508" t="e">
        <f t="shared" ca="1" si="605"/>
        <v>#N/A</v>
      </c>
      <c r="F539" s="512">
        <v>1</v>
      </c>
      <c r="G539" s="594">
        <v>3.8999999999999998E-3</v>
      </c>
      <c r="H539" s="170" t="e">
        <f t="shared" ca="1" si="568"/>
        <v>#N/A</v>
      </c>
      <c r="I539" s="508" t="e">
        <f t="shared" ca="1" si="569"/>
        <v>#N/A</v>
      </c>
      <c r="K539" s="512">
        <v>10</v>
      </c>
      <c r="L539" s="512" t="s">
        <v>2310</v>
      </c>
      <c r="M539" s="529" t="s">
        <v>2444</v>
      </c>
      <c r="N539" s="508" t="e">
        <f t="shared" ca="1" si="606"/>
        <v>#N/A</v>
      </c>
      <c r="O539" s="512">
        <v>1</v>
      </c>
      <c r="P539" s="625">
        <v>3.5000000000000001E-3</v>
      </c>
      <c r="Q539" s="170" t="e">
        <f t="shared" ca="1" si="573"/>
        <v>#N/A</v>
      </c>
      <c r="R539" s="508" t="e">
        <f t="shared" ca="1" si="574"/>
        <v>#N/A</v>
      </c>
      <c r="T539" s="512">
        <v>10</v>
      </c>
      <c r="U539" s="512" t="s">
        <v>2310</v>
      </c>
      <c r="V539" s="529" t="s">
        <v>2444</v>
      </c>
      <c r="W539" s="508" t="e">
        <f t="shared" ca="1" si="607"/>
        <v>#N/A</v>
      </c>
      <c r="X539" s="512">
        <v>1</v>
      </c>
      <c r="Y539" s="625">
        <v>3.5000000000000001E-3</v>
      </c>
      <c r="Z539" s="170" t="e">
        <f t="shared" ca="1" si="575"/>
        <v>#N/A</v>
      </c>
      <c r="AA539" s="508" t="e">
        <f t="shared" ca="1" si="576"/>
        <v>#N/A</v>
      </c>
      <c r="AC539" s="512">
        <v>10</v>
      </c>
      <c r="AD539" s="516" t="s">
        <v>2279</v>
      </c>
      <c r="AE539" s="529" t="s">
        <v>2444</v>
      </c>
      <c r="AF539" s="508" t="str">
        <f t="shared" ca="1" si="594"/>
        <v>T3部件</v>
      </c>
      <c r="AG539" s="594">
        <v>1</v>
      </c>
      <c r="AH539" s="625">
        <v>4.4999999999999997E-3</v>
      </c>
      <c r="AI539" s="170" t="e">
        <f t="shared" ca="1" si="587"/>
        <v>#VALUE!</v>
      </c>
      <c r="AJ539" s="508" t="e">
        <f t="shared" ca="1" si="588"/>
        <v>#VALUE!</v>
      </c>
      <c r="AL539" s="512">
        <v>10</v>
      </c>
      <c r="AM539" s="516" t="s">
        <v>2265</v>
      </c>
      <c r="AN539" s="529" t="s">
        <v>2444</v>
      </c>
      <c r="AO539" s="508" t="str">
        <f t="shared" ca="1" si="608"/>
        <v>T2部件</v>
      </c>
      <c r="AP539" s="565">
        <v>1.5</v>
      </c>
      <c r="AQ539" s="625">
        <v>3.5000000000000001E-3</v>
      </c>
      <c r="AR539" s="170" t="e">
        <f t="shared" ca="1" si="595"/>
        <v>#VALUE!</v>
      </c>
      <c r="AS539" s="508" t="e">
        <f t="shared" ca="1" si="596"/>
        <v>#VALUE!</v>
      </c>
      <c r="AU539" s="512">
        <v>10</v>
      </c>
      <c r="AV539" s="516" t="s">
        <v>722</v>
      </c>
      <c r="AW539" s="512" t="s">
        <v>2394</v>
      </c>
      <c r="AX539" s="508">
        <f t="shared" ca="1" si="597"/>
        <v>142.6</v>
      </c>
      <c r="AY539" s="565">
        <v>1</v>
      </c>
      <c r="AZ539" s="508">
        <f>宝箱设定!$H235</f>
        <v>3.6999999999999998E-2</v>
      </c>
      <c r="BA539" s="170">
        <f ca="1">AZ539*AV$4/AX539/AY539</f>
        <v>1.6865357643758766E-2</v>
      </c>
      <c r="BB539" s="508">
        <f ca="1">ROUND(BA539*10000,0)</f>
        <v>169</v>
      </c>
      <c r="BD539" s="512">
        <v>10</v>
      </c>
      <c r="BE539" s="516" t="s">
        <v>722</v>
      </c>
      <c r="BF539" s="512" t="s">
        <v>2394</v>
      </c>
      <c r="BG539" s="508">
        <f t="shared" ca="1" si="600"/>
        <v>142.6</v>
      </c>
      <c r="BH539" s="615">
        <v>1.5</v>
      </c>
      <c r="BI539" s="508">
        <f>宝箱设定!$H235</f>
        <v>3.6999999999999998E-2</v>
      </c>
      <c r="BJ539" s="170">
        <f t="shared" ca="1" si="603"/>
        <v>2.5514258999532493E-2</v>
      </c>
      <c r="BK539" s="379">
        <f t="shared" ca="1" si="604"/>
        <v>255</v>
      </c>
    </row>
    <row r="540" spans="2:63" x14ac:dyDescent="0.35">
      <c r="B540" s="512">
        <v>10</v>
      </c>
      <c r="C540" s="516" t="s">
        <v>2295</v>
      </c>
      <c r="D540" s="529" t="s">
        <v>2444</v>
      </c>
      <c r="E540" s="508" t="e">
        <f t="shared" ca="1" si="605"/>
        <v>#N/A</v>
      </c>
      <c r="F540" s="512">
        <v>1</v>
      </c>
      <c r="G540" s="594">
        <v>3.8999999999999998E-3</v>
      </c>
      <c r="H540" s="170" t="e">
        <f t="shared" ca="1" si="568"/>
        <v>#N/A</v>
      </c>
      <c r="I540" s="508" t="e">
        <f t="shared" ca="1" si="569"/>
        <v>#N/A</v>
      </c>
      <c r="K540" s="512">
        <v>10</v>
      </c>
      <c r="L540" s="516" t="s">
        <v>2295</v>
      </c>
      <c r="M540" s="529" t="s">
        <v>2444</v>
      </c>
      <c r="N540" s="508" t="e">
        <f t="shared" ca="1" si="606"/>
        <v>#N/A</v>
      </c>
      <c r="O540" s="512">
        <v>1</v>
      </c>
      <c r="P540" s="625">
        <v>3.5000000000000001E-3</v>
      </c>
      <c r="Q540" s="170" t="e">
        <f t="shared" ca="1" si="573"/>
        <v>#N/A</v>
      </c>
      <c r="R540" s="508" t="e">
        <f t="shared" ca="1" si="574"/>
        <v>#N/A</v>
      </c>
      <c r="T540" s="512">
        <v>10</v>
      </c>
      <c r="U540" s="516" t="s">
        <v>2295</v>
      </c>
      <c r="V540" s="529" t="s">
        <v>2444</v>
      </c>
      <c r="W540" s="508" t="e">
        <f t="shared" ca="1" si="607"/>
        <v>#N/A</v>
      </c>
      <c r="X540" s="512">
        <v>1</v>
      </c>
      <c r="Y540" s="625">
        <v>3.5000000000000001E-3</v>
      </c>
      <c r="Z540" s="170" t="e">
        <f t="shared" ca="1" si="575"/>
        <v>#N/A</v>
      </c>
      <c r="AA540" s="508" t="e">
        <f t="shared" ca="1" si="576"/>
        <v>#N/A</v>
      </c>
      <c r="AC540" s="512">
        <v>10</v>
      </c>
      <c r="AD540" s="516" t="s">
        <v>2281</v>
      </c>
      <c r="AE540" s="529" t="s">
        <v>2444</v>
      </c>
      <c r="AF540" s="508" t="str">
        <f t="shared" ca="1" si="594"/>
        <v>T3部件</v>
      </c>
      <c r="AG540" s="594">
        <v>1</v>
      </c>
      <c r="AH540" s="625">
        <v>4.4999999999999997E-3</v>
      </c>
      <c r="AI540" s="170" t="e">
        <f t="shared" ca="1" si="587"/>
        <v>#VALUE!</v>
      </c>
      <c r="AJ540" s="508" t="e">
        <f t="shared" ca="1" si="588"/>
        <v>#VALUE!</v>
      </c>
      <c r="AL540" s="512">
        <v>10</v>
      </c>
      <c r="AM540" s="516" t="s">
        <v>2267</v>
      </c>
      <c r="AN540" s="529" t="s">
        <v>2444</v>
      </c>
      <c r="AO540" s="508" t="str">
        <f t="shared" ca="1" si="608"/>
        <v>T2部件</v>
      </c>
      <c r="AP540" s="565">
        <v>1.5</v>
      </c>
      <c r="AQ540" s="625">
        <v>3.5000000000000001E-3</v>
      </c>
      <c r="AR540" s="170" t="e">
        <f t="shared" ca="1" si="595"/>
        <v>#VALUE!</v>
      </c>
      <c r="AS540" s="508" t="e">
        <f t="shared" ca="1" si="596"/>
        <v>#VALUE!</v>
      </c>
      <c r="AU540" s="512">
        <v>10</v>
      </c>
      <c r="AV540" s="516" t="s">
        <v>2239</v>
      </c>
      <c r="AW540" s="529" t="s">
        <v>2452</v>
      </c>
      <c r="AX540" s="508">
        <f t="shared" ca="1" si="597"/>
        <v>7.4250000000000007</v>
      </c>
      <c r="AY540" s="615">
        <v>2</v>
      </c>
      <c r="AZ540" s="508">
        <v>3.5999999999999999E-3</v>
      </c>
      <c r="BA540" s="170">
        <f t="shared" ca="1" si="598"/>
        <v>1.5757575757575755E-2</v>
      </c>
      <c r="BB540" s="508">
        <f t="shared" ca="1" si="599"/>
        <v>158</v>
      </c>
      <c r="BD540" s="512">
        <v>10</v>
      </c>
      <c r="BE540" s="516" t="s">
        <v>2239</v>
      </c>
      <c r="BF540" s="529" t="s">
        <v>2452</v>
      </c>
      <c r="BG540" s="508">
        <f t="shared" ca="1" si="600"/>
        <v>7.4250000000000007</v>
      </c>
      <c r="BH540" s="615">
        <v>6</v>
      </c>
      <c r="BI540" s="600">
        <v>3.0000000000000001E-3</v>
      </c>
      <c r="BJ540" s="170">
        <f t="shared" ref="BJ540:BJ577" ca="1" si="609">BI540*BE$4/BG540/BH540</f>
        <v>9.9326599326599319E-3</v>
      </c>
      <c r="BK540" s="379">
        <f t="shared" ref="BK540:BK577" ca="1" si="610">ROUND(BJ540*10000,0)</f>
        <v>99</v>
      </c>
    </row>
    <row r="541" spans="2:63" x14ac:dyDescent="0.35">
      <c r="B541" s="512">
        <v>10</v>
      </c>
      <c r="C541" s="516" t="s">
        <v>2297</v>
      </c>
      <c r="D541" s="529" t="s">
        <v>2444</v>
      </c>
      <c r="E541" s="508" t="e">
        <f t="shared" ca="1" si="605"/>
        <v>#N/A</v>
      </c>
      <c r="F541" s="512">
        <v>1</v>
      </c>
      <c r="G541" s="594">
        <v>3.8999999999999998E-3</v>
      </c>
      <c r="H541" s="170" t="e">
        <f t="shared" ca="1" si="568"/>
        <v>#N/A</v>
      </c>
      <c r="I541" s="508" t="e">
        <f t="shared" ca="1" si="569"/>
        <v>#N/A</v>
      </c>
      <c r="K541" s="512">
        <v>10</v>
      </c>
      <c r="L541" s="516" t="s">
        <v>2297</v>
      </c>
      <c r="M541" s="529" t="s">
        <v>2444</v>
      </c>
      <c r="N541" s="508" t="e">
        <f t="shared" ca="1" si="606"/>
        <v>#N/A</v>
      </c>
      <c r="O541" s="512">
        <v>1</v>
      </c>
      <c r="P541" s="625">
        <v>3.5000000000000001E-3</v>
      </c>
      <c r="Q541" s="170" t="e">
        <f t="shared" ca="1" si="573"/>
        <v>#N/A</v>
      </c>
      <c r="R541" s="508" t="e">
        <f t="shared" ca="1" si="574"/>
        <v>#N/A</v>
      </c>
      <c r="T541" s="512">
        <v>10</v>
      </c>
      <c r="U541" s="516" t="s">
        <v>2297</v>
      </c>
      <c r="V541" s="529" t="s">
        <v>2444</v>
      </c>
      <c r="W541" s="508" t="e">
        <f t="shared" ca="1" si="607"/>
        <v>#N/A</v>
      </c>
      <c r="X541" s="512">
        <v>1</v>
      </c>
      <c r="Y541" s="625">
        <v>3.5000000000000001E-3</v>
      </c>
      <c r="Z541" s="170" t="e">
        <f t="shared" ca="1" si="575"/>
        <v>#N/A</v>
      </c>
      <c r="AA541" s="508" t="e">
        <f t="shared" ca="1" si="576"/>
        <v>#N/A</v>
      </c>
      <c r="AC541" s="512">
        <v>10</v>
      </c>
      <c r="AD541" s="516" t="s">
        <v>2283</v>
      </c>
      <c r="AE541" s="529" t="s">
        <v>2444</v>
      </c>
      <c r="AF541" s="508" t="str">
        <f t="shared" ca="1" si="594"/>
        <v>T3部件</v>
      </c>
      <c r="AG541" s="594">
        <v>1</v>
      </c>
      <c r="AH541" s="625">
        <v>4.4999999999999997E-3</v>
      </c>
      <c r="AI541" s="170" t="e">
        <f t="shared" ca="1" si="587"/>
        <v>#VALUE!</v>
      </c>
      <c r="AJ541" s="508" t="e">
        <f t="shared" ca="1" si="588"/>
        <v>#VALUE!</v>
      </c>
      <c r="AL541" s="512">
        <v>10</v>
      </c>
      <c r="AM541" s="516" t="s">
        <v>2269</v>
      </c>
      <c r="AN541" s="529" t="s">
        <v>2444</v>
      </c>
      <c r="AO541" s="508" t="str">
        <f t="shared" ca="1" si="608"/>
        <v>T2部件</v>
      </c>
      <c r="AP541" s="565">
        <v>1.5</v>
      </c>
      <c r="AQ541" s="625">
        <v>3.5000000000000001E-3</v>
      </c>
      <c r="AR541" s="170" t="e">
        <f t="shared" ca="1" si="595"/>
        <v>#VALUE!</v>
      </c>
      <c r="AS541" s="508" t="e">
        <f t="shared" ca="1" si="596"/>
        <v>#VALUE!</v>
      </c>
      <c r="AU541" s="512">
        <v>10</v>
      </c>
      <c r="AV541" s="516" t="s">
        <v>2242</v>
      </c>
      <c r="AW541" s="529" t="s">
        <v>2452</v>
      </c>
      <c r="AX541" s="508">
        <f t="shared" ca="1" si="597"/>
        <v>7.4250000000000007</v>
      </c>
      <c r="AY541" s="632">
        <v>2</v>
      </c>
      <c r="AZ541" s="565">
        <v>3.5999999999999999E-3</v>
      </c>
      <c r="BA541" s="170">
        <f t="shared" ca="1" si="598"/>
        <v>1.5757575757575755E-2</v>
      </c>
      <c r="BB541" s="508">
        <f t="shared" ca="1" si="599"/>
        <v>158</v>
      </c>
      <c r="BD541" s="512">
        <v>10</v>
      </c>
      <c r="BE541" s="516" t="s">
        <v>2242</v>
      </c>
      <c r="BF541" s="529" t="s">
        <v>2452</v>
      </c>
      <c r="BG541" s="508">
        <f t="shared" ca="1" si="600"/>
        <v>7.4250000000000007</v>
      </c>
      <c r="BH541" s="615">
        <v>6</v>
      </c>
      <c r="BI541" s="615">
        <v>3.0000000000000001E-3</v>
      </c>
      <c r="BJ541" s="170">
        <f t="shared" ca="1" si="609"/>
        <v>9.9326599326599319E-3</v>
      </c>
      <c r="BK541" s="379">
        <f t="shared" ca="1" si="610"/>
        <v>99</v>
      </c>
    </row>
    <row r="542" spans="2:63" x14ac:dyDescent="0.35">
      <c r="B542" s="512">
        <v>10</v>
      </c>
      <c r="C542" s="516" t="s">
        <v>2299</v>
      </c>
      <c r="D542" s="529" t="s">
        <v>2444</v>
      </c>
      <c r="E542" s="508" t="e">
        <f t="shared" ca="1" si="605"/>
        <v>#N/A</v>
      </c>
      <c r="F542" s="512">
        <v>1</v>
      </c>
      <c r="G542" s="594">
        <v>3.8999999999999998E-3</v>
      </c>
      <c r="H542" s="170" t="e">
        <f t="shared" ca="1" si="568"/>
        <v>#N/A</v>
      </c>
      <c r="I542" s="508" t="e">
        <f t="shared" ca="1" si="569"/>
        <v>#N/A</v>
      </c>
      <c r="K542" s="512">
        <v>10</v>
      </c>
      <c r="L542" s="516" t="s">
        <v>2299</v>
      </c>
      <c r="M542" s="529" t="s">
        <v>2444</v>
      </c>
      <c r="N542" s="508" t="e">
        <f t="shared" ca="1" si="606"/>
        <v>#N/A</v>
      </c>
      <c r="O542" s="512">
        <v>1</v>
      </c>
      <c r="P542" s="625">
        <v>3.5000000000000001E-3</v>
      </c>
      <c r="Q542" s="170" t="e">
        <f t="shared" ca="1" si="573"/>
        <v>#N/A</v>
      </c>
      <c r="R542" s="508" t="e">
        <f t="shared" ca="1" si="574"/>
        <v>#N/A</v>
      </c>
      <c r="T542" s="512">
        <v>10</v>
      </c>
      <c r="U542" s="516" t="s">
        <v>2299</v>
      </c>
      <c r="V542" s="529" t="s">
        <v>2444</v>
      </c>
      <c r="W542" s="508" t="e">
        <f t="shared" ca="1" si="607"/>
        <v>#N/A</v>
      </c>
      <c r="X542" s="512">
        <v>1</v>
      </c>
      <c r="Y542" s="625">
        <v>3.5000000000000001E-3</v>
      </c>
      <c r="Z542" s="170" t="e">
        <f t="shared" ca="1" si="575"/>
        <v>#N/A</v>
      </c>
      <c r="AA542" s="508" t="e">
        <f t="shared" ca="1" si="576"/>
        <v>#N/A</v>
      </c>
      <c r="AC542" s="512">
        <v>10</v>
      </c>
      <c r="AD542" s="516" t="s">
        <v>2285</v>
      </c>
      <c r="AE542" s="529" t="s">
        <v>2444</v>
      </c>
      <c r="AF542" s="508" t="str">
        <f t="shared" ca="1" si="594"/>
        <v>T3部件</v>
      </c>
      <c r="AG542" s="594">
        <v>1</v>
      </c>
      <c r="AH542" s="625">
        <v>4.4999999999999997E-3</v>
      </c>
      <c r="AI542" s="170" t="e">
        <f t="shared" ca="1" si="587"/>
        <v>#VALUE!</v>
      </c>
      <c r="AJ542" s="508" t="e">
        <f t="shared" ca="1" si="588"/>
        <v>#VALUE!</v>
      </c>
      <c r="AL542" s="512">
        <v>10</v>
      </c>
      <c r="AM542" s="516" t="s">
        <v>2271</v>
      </c>
      <c r="AN542" s="529" t="s">
        <v>2444</v>
      </c>
      <c r="AO542" s="508" t="str">
        <f t="shared" ca="1" si="608"/>
        <v>T2部件</v>
      </c>
      <c r="AP542" s="565">
        <v>1.5</v>
      </c>
      <c r="AQ542" s="625">
        <v>3.5000000000000001E-3</v>
      </c>
      <c r="AR542" s="170" t="e">
        <f t="shared" ca="1" si="595"/>
        <v>#VALUE!</v>
      </c>
      <c r="AS542" s="508" t="e">
        <f t="shared" ca="1" si="596"/>
        <v>#VALUE!</v>
      </c>
      <c r="AU542" s="512">
        <v>10</v>
      </c>
      <c r="AV542" s="516" t="s">
        <v>2244</v>
      </c>
      <c r="AW542" s="529" t="s">
        <v>2452</v>
      </c>
      <c r="AX542" s="508">
        <f t="shared" ca="1" si="597"/>
        <v>7.4250000000000007</v>
      </c>
      <c r="AY542" s="632">
        <v>2</v>
      </c>
      <c r="AZ542" s="565">
        <v>3.5999999999999999E-3</v>
      </c>
      <c r="BA542" s="170">
        <f t="shared" ca="1" si="598"/>
        <v>1.5757575757575755E-2</v>
      </c>
      <c r="BB542" s="508">
        <f t="shared" ca="1" si="599"/>
        <v>158</v>
      </c>
      <c r="BD542" s="512">
        <v>10</v>
      </c>
      <c r="BE542" s="516" t="s">
        <v>2244</v>
      </c>
      <c r="BF542" s="529" t="s">
        <v>2452</v>
      </c>
      <c r="BG542" s="508">
        <f t="shared" ca="1" si="600"/>
        <v>7.4250000000000007</v>
      </c>
      <c r="BH542" s="615">
        <v>6</v>
      </c>
      <c r="BI542" s="615">
        <v>3.0000000000000001E-3</v>
      </c>
      <c r="BJ542" s="170">
        <f t="shared" ca="1" si="609"/>
        <v>9.9326599326599319E-3</v>
      </c>
      <c r="BK542" s="379">
        <f t="shared" ca="1" si="610"/>
        <v>99</v>
      </c>
    </row>
    <row r="543" spans="2:63" x14ac:dyDescent="0.35">
      <c r="B543" s="512">
        <v>10</v>
      </c>
      <c r="C543" s="516" t="s">
        <v>2301</v>
      </c>
      <c r="D543" s="529" t="s">
        <v>2444</v>
      </c>
      <c r="E543" s="508" t="e">
        <f t="shared" ca="1" si="605"/>
        <v>#N/A</v>
      </c>
      <c r="F543" s="512">
        <v>1</v>
      </c>
      <c r="G543" s="594">
        <v>3.8999999999999998E-3</v>
      </c>
      <c r="H543" s="170" t="e">
        <f t="shared" ca="1" si="568"/>
        <v>#N/A</v>
      </c>
      <c r="I543" s="508" t="e">
        <f t="shared" ca="1" si="569"/>
        <v>#N/A</v>
      </c>
      <c r="K543" s="512">
        <v>10</v>
      </c>
      <c r="L543" s="516" t="s">
        <v>2301</v>
      </c>
      <c r="M543" s="529" t="s">
        <v>2444</v>
      </c>
      <c r="N543" s="508" t="e">
        <f t="shared" ca="1" si="606"/>
        <v>#N/A</v>
      </c>
      <c r="O543" s="512">
        <v>1</v>
      </c>
      <c r="P543" s="625">
        <v>3.5000000000000001E-3</v>
      </c>
      <c r="Q543" s="170" t="e">
        <f t="shared" ca="1" si="573"/>
        <v>#N/A</v>
      </c>
      <c r="R543" s="508" t="e">
        <f t="shared" ca="1" si="574"/>
        <v>#N/A</v>
      </c>
      <c r="T543" s="512">
        <v>10</v>
      </c>
      <c r="U543" s="516" t="s">
        <v>2301</v>
      </c>
      <c r="V543" s="529" t="s">
        <v>2444</v>
      </c>
      <c r="W543" s="508" t="e">
        <f t="shared" ca="1" si="607"/>
        <v>#N/A</v>
      </c>
      <c r="X543" s="512">
        <v>1</v>
      </c>
      <c r="Y543" s="625">
        <v>3.5000000000000001E-3</v>
      </c>
      <c r="Z543" s="170" t="e">
        <f t="shared" ca="1" si="575"/>
        <v>#N/A</v>
      </c>
      <c r="AA543" s="508" t="e">
        <f t="shared" ca="1" si="576"/>
        <v>#N/A</v>
      </c>
      <c r="AC543" s="512">
        <v>10</v>
      </c>
      <c r="AD543" s="516" t="s">
        <v>2287</v>
      </c>
      <c r="AE543" s="529" t="s">
        <v>2444</v>
      </c>
      <c r="AF543" s="508" t="str">
        <f t="shared" ca="1" si="594"/>
        <v>T3部件</v>
      </c>
      <c r="AG543" s="594">
        <v>1</v>
      </c>
      <c r="AH543" s="625">
        <v>4.4999999999999997E-3</v>
      </c>
      <c r="AI543" s="170" t="e">
        <f t="shared" ca="1" si="587"/>
        <v>#VALUE!</v>
      </c>
      <c r="AJ543" s="508" t="e">
        <f t="shared" ca="1" si="588"/>
        <v>#VALUE!</v>
      </c>
      <c r="AL543" s="512">
        <v>10</v>
      </c>
      <c r="AM543" s="512" t="s">
        <v>2273</v>
      </c>
      <c r="AN543" s="529" t="s">
        <v>2444</v>
      </c>
      <c r="AO543" s="508" t="str">
        <f t="shared" ca="1" si="608"/>
        <v>T2部件</v>
      </c>
      <c r="AP543" s="565">
        <v>1.5</v>
      </c>
      <c r="AQ543" s="625">
        <v>3.5000000000000001E-3</v>
      </c>
      <c r="AR543" s="170" t="e">
        <f t="shared" ca="1" si="595"/>
        <v>#VALUE!</v>
      </c>
      <c r="AS543" s="508" t="e">
        <f t="shared" ca="1" si="596"/>
        <v>#VALUE!</v>
      </c>
      <c r="AU543" s="512">
        <v>10</v>
      </c>
      <c r="AV543" s="516" t="s">
        <v>2246</v>
      </c>
      <c r="AW543" s="529" t="s">
        <v>2452</v>
      </c>
      <c r="AX543" s="508">
        <f t="shared" ca="1" si="597"/>
        <v>7.4250000000000007</v>
      </c>
      <c r="AY543" s="632">
        <v>2</v>
      </c>
      <c r="AZ543" s="565">
        <v>3.5999999999999999E-3</v>
      </c>
      <c r="BA543" s="170">
        <f t="shared" ca="1" si="598"/>
        <v>1.5757575757575755E-2</v>
      </c>
      <c r="BB543" s="508">
        <f t="shared" ca="1" si="599"/>
        <v>158</v>
      </c>
      <c r="BD543" s="512">
        <v>10</v>
      </c>
      <c r="BE543" s="516" t="s">
        <v>2246</v>
      </c>
      <c r="BF543" s="529" t="s">
        <v>2452</v>
      </c>
      <c r="BG543" s="508">
        <f t="shared" ca="1" si="600"/>
        <v>7.4250000000000007</v>
      </c>
      <c r="BH543" s="615">
        <v>6</v>
      </c>
      <c r="BI543" s="615">
        <v>3.0000000000000001E-3</v>
      </c>
      <c r="BJ543" s="170">
        <f t="shared" ca="1" si="609"/>
        <v>9.9326599326599319E-3</v>
      </c>
      <c r="BK543" s="394">
        <f t="shared" ca="1" si="610"/>
        <v>99</v>
      </c>
    </row>
    <row r="544" spans="2:63" x14ac:dyDescent="0.35">
      <c r="B544" s="512">
        <v>10</v>
      </c>
      <c r="C544" s="516" t="s">
        <v>2303</v>
      </c>
      <c r="D544" s="529" t="s">
        <v>2444</v>
      </c>
      <c r="E544" s="508" t="e">
        <f t="shared" ca="1" si="605"/>
        <v>#N/A</v>
      </c>
      <c r="F544" s="512">
        <v>1</v>
      </c>
      <c r="G544" s="594">
        <v>3.8999999999999998E-3</v>
      </c>
      <c r="H544" s="170" t="e">
        <f t="shared" ca="1" si="568"/>
        <v>#N/A</v>
      </c>
      <c r="I544" s="508" t="e">
        <f t="shared" ca="1" si="569"/>
        <v>#N/A</v>
      </c>
      <c r="K544" s="512">
        <v>10</v>
      </c>
      <c r="L544" s="516" t="s">
        <v>2303</v>
      </c>
      <c r="M544" s="529" t="s">
        <v>2444</v>
      </c>
      <c r="N544" s="508" t="e">
        <f t="shared" ca="1" si="606"/>
        <v>#N/A</v>
      </c>
      <c r="O544" s="512">
        <v>1</v>
      </c>
      <c r="P544" s="625">
        <v>3.5000000000000001E-3</v>
      </c>
      <c r="Q544" s="170" t="e">
        <f t="shared" ca="1" si="573"/>
        <v>#N/A</v>
      </c>
      <c r="R544" s="508" t="e">
        <f t="shared" ca="1" si="574"/>
        <v>#N/A</v>
      </c>
      <c r="T544" s="512">
        <v>10</v>
      </c>
      <c r="U544" s="516" t="s">
        <v>2303</v>
      </c>
      <c r="V544" s="529" t="s">
        <v>2444</v>
      </c>
      <c r="W544" s="508" t="e">
        <f t="shared" ca="1" si="607"/>
        <v>#N/A</v>
      </c>
      <c r="X544" s="512">
        <v>1</v>
      </c>
      <c r="Y544" s="625">
        <v>3.5000000000000001E-3</v>
      </c>
      <c r="Z544" s="170" t="e">
        <f t="shared" ca="1" si="575"/>
        <v>#N/A</v>
      </c>
      <c r="AA544" s="508" t="e">
        <f t="shared" ca="1" si="576"/>
        <v>#N/A</v>
      </c>
      <c r="AC544" s="512">
        <v>10</v>
      </c>
      <c r="AD544" s="516" t="s">
        <v>2289</v>
      </c>
      <c r="AE544" s="529" t="s">
        <v>2444</v>
      </c>
      <c r="AF544" s="508" t="str">
        <f t="shared" ca="1" si="594"/>
        <v>T3部件</v>
      </c>
      <c r="AG544" s="594">
        <v>1</v>
      </c>
      <c r="AH544" s="625">
        <v>4.4999999999999997E-3</v>
      </c>
      <c r="AI544" s="170" t="e">
        <f t="shared" ca="1" si="587"/>
        <v>#VALUE!</v>
      </c>
      <c r="AJ544" s="508" t="e">
        <f t="shared" ca="1" si="588"/>
        <v>#VALUE!</v>
      </c>
      <c r="AL544" s="512">
        <v>10</v>
      </c>
      <c r="AM544" s="512" t="s">
        <v>2275</v>
      </c>
      <c r="AN544" s="529" t="s">
        <v>2444</v>
      </c>
      <c r="AO544" s="508" t="str">
        <f t="shared" ca="1" si="608"/>
        <v>T2部件</v>
      </c>
      <c r="AP544" s="565">
        <v>1.5</v>
      </c>
      <c r="AQ544" s="625">
        <v>3.5000000000000001E-3</v>
      </c>
      <c r="AR544" s="170" t="e">
        <f t="shared" ca="1" si="595"/>
        <v>#VALUE!</v>
      </c>
      <c r="AS544" s="508" t="e">
        <f t="shared" ca="1" si="596"/>
        <v>#VALUE!</v>
      </c>
      <c r="AU544" s="512">
        <v>10</v>
      </c>
      <c r="AV544" s="516" t="s">
        <v>2248</v>
      </c>
      <c r="AW544" s="529" t="s">
        <v>2452</v>
      </c>
      <c r="AX544" s="508">
        <f t="shared" ca="1" si="597"/>
        <v>7.4250000000000007</v>
      </c>
      <c r="AY544" s="632">
        <v>2</v>
      </c>
      <c r="AZ544" s="565">
        <v>3.5999999999999999E-3</v>
      </c>
      <c r="BA544" s="170">
        <f t="shared" ca="1" si="598"/>
        <v>1.5757575757575755E-2</v>
      </c>
      <c r="BB544" s="508">
        <f t="shared" ca="1" si="599"/>
        <v>158</v>
      </c>
      <c r="BD544" s="512">
        <v>10</v>
      </c>
      <c r="BE544" s="516" t="s">
        <v>2248</v>
      </c>
      <c r="BF544" s="529" t="s">
        <v>2452</v>
      </c>
      <c r="BG544" s="508">
        <f t="shared" ca="1" si="600"/>
        <v>7.4250000000000007</v>
      </c>
      <c r="BH544" s="615">
        <v>6</v>
      </c>
      <c r="BI544" s="615">
        <v>3.0000000000000001E-3</v>
      </c>
      <c r="BJ544" s="170">
        <f t="shared" ca="1" si="609"/>
        <v>9.9326599326599319E-3</v>
      </c>
      <c r="BK544" s="394">
        <f t="shared" ca="1" si="610"/>
        <v>99</v>
      </c>
    </row>
    <row r="545" spans="2:63" x14ac:dyDescent="0.35">
      <c r="B545" s="512">
        <v>10</v>
      </c>
      <c r="C545" s="516" t="s">
        <v>2305</v>
      </c>
      <c r="D545" s="529" t="s">
        <v>2444</v>
      </c>
      <c r="E545" s="508" t="e">
        <f t="shared" ca="1" si="605"/>
        <v>#N/A</v>
      </c>
      <c r="F545" s="512">
        <v>1</v>
      </c>
      <c r="G545" s="594">
        <v>3.8999999999999998E-3</v>
      </c>
      <c r="H545" s="170" t="e">
        <f t="shared" ca="1" si="568"/>
        <v>#N/A</v>
      </c>
      <c r="I545" s="508" t="e">
        <f t="shared" ca="1" si="569"/>
        <v>#N/A</v>
      </c>
      <c r="K545" s="512">
        <v>10</v>
      </c>
      <c r="L545" s="516" t="s">
        <v>2305</v>
      </c>
      <c r="M545" s="529" t="s">
        <v>2444</v>
      </c>
      <c r="N545" s="508" t="e">
        <f t="shared" ca="1" si="606"/>
        <v>#N/A</v>
      </c>
      <c r="O545" s="512">
        <v>1</v>
      </c>
      <c r="P545" s="625">
        <v>3.5000000000000001E-3</v>
      </c>
      <c r="Q545" s="170" t="e">
        <f t="shared" ca="1" si="573"/>
        <v>#N/A</v>
      </c>
      <c r="R545" s="508" t="e">
        <f t="shared" ca="1" si="574"/>
        <v>#N/A</v>
      </c>
      <c r="T545" s="512">
        <v>10</v>
      </c>
      <c r="U545" s="516" t="s">
        <v>2305</v>
      </c>
      <c r="V545" s="529" t="s">
        <v>2444</v>
      </c>
      <c r="W545" s="508" t="e">
        <f t="shared" ca="1" si="607"/>
        <v>#N/A</v>
      </c>
      <c r="X545" s="512">
        <v>1</v>
      </c>
      <c r="Y545" s="625">
        <v>3.5000000000000001E-3</v>
      </c>
      <c r="Z545" s="170" t="e">
        <f t="shared" ca="1" si="575"/>
        <v>#N/A</v>
      </c>
      <c r="AA545" s="508" t="e">
        <f t="shared" ca="1" si="576"/>
        <v>#N/A</v>
      </c>
      <c r="AC545" s="512">
        <v>10</v>
      </c>
      <c r="AD545" s="512" t="s">
        <v>2291</v>
      </c>
      <c r="AE545" s="529" t="s">
        <v>2444</v>
      </c>
      <c r="AF545" s="508" t="str">
        <f t="shared" ca="1" si="594"/>
        <v>T3部件</v>
      </c>
      <c r="AG545" s="594">
        <v>1</v>
      </c>
      <c r="AH545" s="625">
        <v>4.4999999999999997E-3</v>
      </c>
      <c r="AI545" s="170" t="e">
        <f t="shared" ca="1" si="587"/>
        <v>#VALUE!</v>
      </c>
      <c r="AJ545" s="508" t="e">
        <f t="shared" ca="1" si="588"/>
        <v>#VALUE!</v>
      </c>
      <c r="AL545" s="512">
        <v>10</v>
      </c>
      <c r="AM545" s="516" t="s">
        <v>2276</v>
      </c>
      <c r="AN545" s="529" t="s">
        <v>2444</v>
      </c>
      <c r="AO545" s="508" t="str">
        <f t="shared" ca="1" si="608"/>
        <v>T3部件</v>
      </c>
      <c r="AP545" s="508">
        <v>1</v>
      </c>
      <c r="AQ545" s="565">
        <v>4.3E-3</v>
      </c>
      <c r="AR545" s="170" t="e">
        <f t="shared" ca="1" si="595"/>
        <v>#VALUE!</v>
      </c>
      <c r="AS545" s="508" t="e">
        <f t="shared" ca="1" si="596"/>
        <v>#VALUE!</v>
      </c>
      <c r="AU545" s="512">
        <v>10</v>
      </c>
      <c r="AV545" s="516" t="s">
        <v>2250</v>
      </c>
      <c r="AW545" s="529" t="s">
        <v>2452</v>
      </c>
      <c r="AX545" s="508">
        <f t="shared" ca="1" si="597"/>
        <v>7.4250000000000007</v>
      </c>
      <c r="AY545" s="632">
        <v>2</v>
      </c>
      <c r="AZ545" s="565">
        <v>3.5999999999999999E-3</v>
      </c>
      <c r="BA545" s="170">
        <f t="shared" ca="1" si="598"/>
        <v>1.5757575757575755E-2</v>
      </c>
      <c r="BB545" s="508">
        <f t="shared" ca="1" si="599"/>
        <v>158</v>
      </c>
      <c r="BD545" s="512">
        <v>10</v>
      </c>
      <c r="BE545" s="516" t="s">
        <v>2250</v>
      </c>
      <c r="BF545" s="529" t="s">
        <v>2452</v>
      </c>
      <c r="BG545" s="508">
        <f t="shared" ca="1" si="600"/>
        <v>7.4250000000000007</v>
      </c>
      <c r="BH545" s="615">
        <v>6</v>
      </c>
      <c r="BI545" s="615">
        <v>3.0000000000000001E-3</v>
      </c>
      <c r="BJ545" s="170">
        <f t="shared" ca="1" si="609"/>
        <v>9.9326599326599319E-3</v>
      </c>
      <c r="BK545" s="394">
        <f t="shared" ca="1" si="610"/>
        <v>99</v>
      </c>
    </row>
    <row r="546" spans="2:63" x14ac:dyDescent="0.35">
      <c r="B546" s="512">
        <v>10</v>
      </c>
      <c r="C546" s="516" t="s">
        <v>2307</v>
      </c>
      <c r="D546" s="529" t="s">
        <v>2444</v>
      </c>
      <c r="E546" s="508" t="e">
        <f t="shared" ca="1" si="605"/>
        <v>#N/A</v>
      </c>
      <c r="F546" s="512">
        <v>1</v>
      </c>
      <c r="G546" s="594">
        <v>3.8999999999999998E-3</v>
      </c>
      <c r="H546" s="170" t="e">
        <f t="shared" ca="1" si="568"/>
        <v>#N/A</v>
      </c>
      <c r="I546" s="508" t="e">
        <f t="shared" ca="1" si="569"/>
        <v>#N/A</v>
      </c>
      <c r="K546" s="512">
        <v>10</v>
      </c>
      <c r="L546" s="516" t="s">
        <v>2307</v>
      </c>
      <c r="M546" s="529" t="s">
        <v>2444</v>
      </c>
      <c r="N546" s="508" t="e">
        <f t="shared" ca="1" si="606"/>
        <v>#N/A</v>
      </c>
      <c r="O546" s="512">
        <v>1</v>
      </c>
      <c r="P546" s="625">
        <v>3.5000000000000001E-3</v>
      </c>
      <c r="Q546" s="170" t="e">
        <f t="shared" ca="1" si="573"/>
        <v>#N/A</v>
      </c>
      <c r="R546" s="508" t="e">
        <f t="shared" ca="1" si="574"/>
        <v>#N/A</v>
      </c>
      <c r="T546" s="512">
        <v>10</v>
      </c>
      <c r="U546" s="516" t="s">
        <v>2307</v>
      </c>
      <c r="V546" s="529" t="s">
        <v>2444</v>
      </c>
      <c r="W546" s="508" t="e">
        <f t="shared" ca="1" si="607"/>
        <v>#N/A</v>
      </c>
      <c r="X546" s="512">
        <v>1</v>
      </c>
      <c r="Y546" s="625">
        <v>3.5000000000000001E-3</v>
      </c>
      <c r="Z546" s="170" t="e">
        <f t="shared" ca="1" si="575"/>
        <v>#N/A</v>
      </c>
      <c r="AA546" s="508" t="e">
        <f t="shared" ca="1" si="576"/>
        <v>#N/A</v>
      </c>
      <c r="AC546" s="512">
        <v>10</v>
      </c>
      <c r="AD546" s="512" t="s">
        <v>2293</v>
      </c>
      <c r="AE546" s="529" t="s">
        <v>2444</v>
      </c>
      <c r="AF546" s="508" t="str">
        <f t="shared" ca="1" si="594"/>
        <v>T3部件</v>
      </c>
      <c r="AG546" s="594">
        <v>1</v>
      </c>
      <c r="AH546" s="625">
        <v>4.4999999999999997E-3</v>
      </c>
      <c r="AI546" s="170" t="e">
        <f t="shared" ca="1" si="587"/>
        <v>#VALUE!</v>
      </c>
      <c r="AJ546" s="508" t="e">
        <f t="shared" ca="1" si="588"/>
        <v>#VALUE!</v>
      </c>
      <c r="AL546" s="512">
        <v>10</v>
      </c>
      <c r="AM546" s="516" t="s">
        <v>2278</v>
      </c>
      <c r="AN546" s="529" t="s">
        <v>2444</v>
      </c>
      <c r="AO546" s="508" t="str">
        <f t="shared" ca="1" si="608"/>
        <v>T3部件</v>
      </c>
      <c r="AP546" s="508">
        <v>1</v>
      </c>
      <c r="AQ546" s="565">
        <v>4.3E-3</v>
      </c>
      <c r="AR546" s="170" t="e">
        <f t="shared" ca="1" si="595"/>
        <v>#VALUE!</v>
      </c>
      <c r="AS546" s="508" t="e">
        <f t="shared" ca="1" si="596"/>
        <v>#VALUE!</v>
      </c>
      <c r="AU546" s="512">
        <v>10</v>
      </c>
      <c r="AV546" s="516" t="s">
        <v>2252</v>
      </c>
      <c r="AW546" s="529" t="s">
        <v>2452</v>
      </c>
      <c r="AX546" s="508">
        <f t="shared" ca="1" si="597"/>
        <v>7.4250000000000007</v>
      </c>
      <c r="AY546" s="632">
        <v>2</v>
      </c>
      <c r="AZ546" s="565">
        <v>3.5999999999999999E-3</v>
      </c>
      <c r="BA546" s="170">
        <f t="shared" ca="1" si="598"/>
        <v>1.5757575757575755E-2</v>
      </c>
      <c r="BB546" s="508">
        <f t="shared" ca="1" si="599"/>
        <v>158</v>
      </c>
      <c r="BD546" s="512">
        <v>10</v>
      </c>
      <c r="BE546" s="516" t="s">
        <v>2252</v>
      </c>
      <c r="BF546" s="529" t="s">
        <v>2452</v>
      </c>
      <c r="BG546" s="508">
        <f t="shared" ca="1" si="600"/>
        <v>7.4250000000000007</v>
      </c>
      <c r="BH546" s="615">
        <v>6</v>
      </c>
      <c r="BI546" s="615">
        <v>3.0000000000000001E-3</v>
      </c>
      <c r="BJ546" s="170">
        <f t="shared" ca="1" si="609"/>
        <v>9.9326599326599319E-3</v>
      </c>
      <c r="BK546" s="394">
        <f t="shared" ca="1" si="610"/>
        <v>99</v>
      </c>
    </row>
    <row r="547" spans="2:63" x14ac:dyDescent="0.35">
      <c r="B547" s="512">
        <v>10</v>
      </c>
      <c r="C547" s="512" t="s">
        <v>2309</v>
      </c>
      <c r="D547" s="529" t="s">
        <v>2444</v>
      </c>
      <c r="E547" s="508" t="e">
        <f t="shared" ca="1" si="605"/>
        <v>#N/A</v>
      </c>
      <c r="F547" s="512">
        <v>1</v>
      </c>
      <c r="G547" s="594">
        <v>3.8999999999999998E-3</v>
      </c>
      <c r="H547" s="170" t="e">
        <f t="shared" ref="H547:H548" ca="1" si="611">G547*$C$4/E547/F547</f>
        <v>#N/A</v>
      </c>
      <c r="I547" s="508" t="e">
        <f t="shared" ref="I547:I548" ca="1" si="612">ROUND(H547*10000,0)</f>
        <v>#N/A</v>
      </c>
      <c r="K547" s="512">
        <v>10</v>
      </c>
      <c r="L547" s="512" t="s">
        <v>2309</v>
      </c>
      <c r="M547" s="529" t="s">
        <v>2444</v>
      </c>
      <c r="N547" s="508" t="e">
        <f t="shared" ca="1" si="606"/>
        <v>#N/A</v>
      </c>
      <c r="O547" s="512">
        <v>1</v>
      </c>
      <c r="P547" s="625">
        <v>3.5000000000000001E-3</v>
      </c>
      <c r="Q547" s="170" t="e">
        <f t="shared" ca="1" si="573"/>
        <v>#N/A</v>
      </c>
      <c r="R547" s="508" t="e">
        <f t="shared" ca="1" si="574"/>
        <v>#N/A</v>
      </c>
      <c r="T547" s="512">
        <v>10</v>
      </c>
      <c r="U547" s="512" t="s">
        <v>2309</v>
      </c>
      <c r="V547" s="529" t="s">
        <v>2444</v>
      </c>
      <c r="W547" s="508" t="e">
        <f t="shared" ca="1" si="607"/>
        <v>#N/A</v>
      </c>
      <c r="X547" s="512">
        <v>1</v>
      </c>
      <c r="Y547" s="625">
        <v>3.5000000000000001E-3</v>
      </c>
      <c r="Z547" s="170" t="e">
        <f t="shared" ca="1" si="575"/>
        <v>#N/A</v>
      </c>
      <c r="AA547" s="508" t="e">
        <f t="shared" ca="1" si="576"/>
        <v>#N/A</v>
      </c>
      <c r="AC547" s="512">
        <v>10</v>
      </c>
      <c r="AD547" s="516" t="s">
        <v>2294</v>
      </c>
      <c r="AE547" s="529" t="s">
        <v>2444</v>
      </c>
      <c r="AF547" s="508" t="e">
        <f t="shared" ca="1" si="594"/>
        <v>#N/A</v>
      </c>
      <c r="AG547" s="594">
        <v>1</v>
      </c>
      <c r="AH547" s="565">
        <v>4.8999999999999998E-3</v>
      </c>
      <c r="AI547" s="170" t="e">
        <f t="shared" ca="1" si="587"/>
        <v>#N/A</v>
      </c>
      <c r="AJ547" s="508" t="e">
        <f t="shared" ca="1" si="588"/>
        <v>#N/A</v>
      </c>
      <c r="AL547" s="512">
        <v>10</v>
      </c>
      <c r="AM547" s="516" t="s">
        <v>2280</v>
      </c>
      <c r="AN547" s="529" t="s">
        <v>2444</v>
      </c>
      <c r="AO547" s="508" t="str">
        <f t="shared" ca="1" si="608"/>
        <v>T3部件</v>
      </c>
      <c r="AP547" s="508">
        <v>1</v>
      </c>
      <c r="AQ547" s="565">
        <v>4.3E-3</v>
      </c>
      <c r="AR547" s="170" t="e">
        <f t="shared" ca="1" si="595"/>
        <v>#VALUE!</v>
      </c>
      <c r="AS547" s="508" t="e">
        <f t="shared" ca="1" si="596"/>
        <v>#VALUE!</v>
      </c>
      <c r="AU547" s="512">
        <v>10</v>
      </c>
      <c r="AV547" s="512" t="s">
        <v>2254</v>
      </c>
      <c r="AW547" s="529" t="s">
        <v>2452</v>
      </c>
      <c r="AX547" s="508">
        <f t="shared" ca="1" si="597"/>
        <v>7.4250000000000007</v>
      </c>
      <c r="AY547" s="632">
        <v>2</v>
      </c>
      <c r="AZ547" s="565">
        <v>3.5999999999999999E-3</v>
      </c>
      <c r="BA547" s="170">
        <f t="shared" ca="1" si="598"/>
        <v>1.5757575757575755E-2</v>
      </c>
      <c r="BB547" s="508">
        <f t="shared" ca="1" si="599"/>
        <v>158</v>
      </c>
      <c r="BD547" s="512">
        <v>10</v>
      </c>
      <c r="BE547" s="512" t="s">
        <v>2254</v>
      </c>
      <c r="BF547" s="529" t="s">
        <v>2452</v>
      </c>
      <c r="BG547" s="508">
        <f t="shared" ca="1" si="600"/>
        <v>7.4250000000000007</v>
      </c>
      <c r="BH547" s="615">
        <v>6</v>
      </c>
      <c r="BI547" s="615">
        <v>3.0000000000000001E-3</v>
      </c>
      <c r="BJ547" s="170">
        <f t="shared" ca="1" si="609"/>
        <v>9.9326599326599319E-3</v>
      </c>
      <c r="BK547" s="394">
        <f t="shared" ca="1" si="610"/>
        <v>99</v>
      </c>
    </row>
    <row r="548" spans="2:63" x14ac:dyDescent="0.35">
      <c r="B548" s="512">
        <v>10</v>
      </c>
      <c r="C548" s="512" t="s">
        <v>2311</v>
      </c>
      <c r="D548" s="529" t="s">
        <v>2444</v>
      </c>
      <c r="E548" s="508" t="e">
        <f t="shared" ca="1" si="605"/>
        <v>#N/A</v>
      </c>
      <c r="F548" s="512">
        <v>1</v>
      </c>
      <c r="G548" s="594">
        <v>3.8999999999999998E-3</v>
      </c>
      <c r="H548" s="170" t="e">
        <f t="shared" ca="1" si="611"/>
        <v>#N/A</v>
      </c>
      <c r="I548" s="508" t="e">
        <f t="shared" ca="1" si="612"/>
        <v>#N/A</v>
      </c>
      <c r="K548" s="512">
        <v>10</v>
      </c>
      <c r="L548" s="512" t="s">
        <v>2311</v>
      </c>
      <c r="M548" s="529" t="s">
        <v>2444</v>
      </c>
      <c r="N548" s="508" t="e">
        <f t="shared" ca="1" si="606"/>
        <v>#N/A</v>
      </c>
      <c r="O548" s="512">
        <v>1</v>
      </c>
      <c r="P548" s="625">
        <v>3.5000000000000001E-3</v>
      </c>
      <c r="Q548" s="170" t="e">
        <f t="shared" ca="1" si="573"/>
        <v>#N/A</v>
      </c>
      <c r="R548" s="508" t="e">
        <f t="shared" ca="1" si="574"/>
        <v>#N/A</v>
      </c>
      <c r="T548" s="512">
        <v>10</v>
      </c>
      <c r="U548" s="512" t="s">
        <v>2311</v>
      </c>
      <c r="V548" s="529" t="s">
        <v>2444</v>
      </c>
      <c r="W548" s="508" t="e">
        <f t="shared" ca="1" si="607"/>
        <v>#N/A</v>
      </c>
      <c r="X548" s="512">
        <v>1</v>
      </c>
      <c r="Y548" s="625">
        <v>3.5000000000000001E-3</v>
      </c>
      <c r="Z548" s="170" t="e">
        <f t="shared" ca="1" si="575"/>
        <v>#N/A</v>
      </c>
      <c r="AA548" s="508" t="e">
        <f t="shared" ca="1" si="576"/>
        <v>#N/A</v>
      </c>
      <c r="AC548" s="512">
        <v>10</v>
      </c>
      <c r="AD548" s="516" t="s">
        <v>2296</v>
      </c>
      <c r="AE548" s="529" t="s">
        <v>2444</v>
      </c>
      <c r="AF548" s="508" t="e">
        <f t="shared" ref="AF548:AF566" ca="1" si="613">IF(AE548="部件",VLOOKUP(AC548,INDIRECT(AE548&amp;"价值"),MATCH(LEFT(AD548,2)&amp;"部件",INDIRECT(AE548&amp;"价值标头"),0),FALSE),IF(AE548="加速道具",VLOOKUP(AD548,INDIRECT(AE548&amp;"价值"),MATCH("价格",INDIRECT(AE548&amp;"价值标头"),0),FALSE),VLOOKUP(AC548,INDIRECT(AE548&amp;"价值"),MATCH(AD548,INDIRECT(AE548&amp;"价值标头"),0),FALSE)))</f>
        <v>#N/A</v>
      </c>
      <c r="AG548" s="594">
        <v>1</v>
      </c>
      <c r="AH548" s="565">
        <v>4.8999999999999998E-3</v>
      </c>
      <c r="AI548" s="170" t="e">
        <f t="shared" ca="1" si="587"/>
        <v>#N/A</v>
      </c>
      <c r="AJ548" s="508" t="e">
        <f t="shared" ca="1" si="588"/>
        <v>#N/A</v>
      </c>
      <c r="AL548" s="512">
        <v>10</v>
      </c>
      <c r="AM548" s="516" t="s">
        <v>2282</v>
      </c>
      <c r="AN548" s="529" t="s">
        <v>2444</v>
      </c>
      <c r="AO548" s="508" t="str">
        <f t="shared" ca="1" si="608"/>
        <v>T3部件</v>
      </c>
      <c r="AP548" s="508">
        <v>1</v>
      </c>
      <c r="AQ548" s="565">
        <v>4.3E-3</v>
      </c>
      <c r="AR548" s="170" t="e">
        <f t="shared" ca="1" si="595"/>
        <v>#VALUE!</v>
      </c>
      <c r="AS548" s="508" t="e">
        <f t="shared" ca="1" si="596"/>
        <v>#VALUE!</v>
      </c>
      <c r="AU548" s="512">
        <v>10</v>
      </c>
      <c r="AV548" s="512" t="s">
        <v>2256</v>
      </c>
      <c r="AW548" s="529" t="s">
        <v>2452</v>
      </c>
      <c r="AX548" s="508">
        <f t="shared" ca="1" si="597"/>
        <v>7.4250000000000007</v>
      </c>
      <c r="AY548" s="632">
        <v>2</v>
      </c>
      <c r="AZ548" s="565">
        <v>3.5999999999999999E-3</v>
      </c>
      <c r="BA548" s="170">
        <f t="shared" ca="1" si="598"/>
        <v>1.5757575757575755E-2</v>
      </c>
      <c r="BB548" s="508">
        <f t="shared" ca="1" si="599"/>
        <v>158</v>
      </c>
      <c r="BD548" s="512">
        <v>10</v>
      </c>
      <c r="BE548" s="512" t="s">
        <v>2256</v>
      </c>
      <c r="BF548" s="529" t="s">
        <v>2452</v>
      </c>
      <c r="BG548" s="508">
        <f t="shared" ca="1" si="600"/>
        <v>7.4250000000000007</v>
      </c>
      <c r="BH548" s="615">
        <v>6</v>
      </c>
      <c r="BI548" s="615">
        <v>3.0000000000000001E-3</v>
      </c>
      <c r="BJ548" s="170">
        <f t="shared" ca="1" si="609"/>
        <v>9.9326599326599319E-3</v>
      </c>
      <c r="BK548" s="394">
        <f t="shared" ca="1" si="610"/>
        <v>99</v>
      </c>
    </row>
    <row r="549" spans="2:63" x14ac:dyDescent="0.35">
      <c r="AC549" s="512">
        <v>10</v>
      </c>
      <c r="AD549" s="516" t="s">
        <v>2298</v>
      </c>
      <c r="AE549" s="529" t="s">
        <v>2444</v>
      </c>
      <c r="AF549" s="508" t="e">
        <f t="shared" ca="1" si="613"/>
        <v>#N/A</v>
      </c>
      <c r="AG549" s="594">
        <v>1</v>
      </c>
      <c r="AH549" s="565">
        <v>4.8999999999999998E-3</v>
      </c>
      <c r="AI549" s="170" t="e">
        <f t="shared" ca="1" si="587"/>
        <v>#N/A</v>
      </c>
      <c r="AJ549" s="508" t="e">
        <f t="shared" ca="1" si="588"/>
        <v>#N/A</v>
      </c>
      <c r="AL549" s="512">
        <v>10</v>
      </c>
      <c r="AM549" s="516" t="s">
        <v>2284</v>
      </c>
      <c r="AN549" s="529" t="s">
        <v>2444</v>
      </c>
      <c r="AO549" s="508" t="str">
        <f t="shared" ca="1" si="608"/>
        <v>T3部件</v>
      </c>
      <c r="AP549" s="508">
        <v>1</v>
      </c>
      <c r="AQ549" s="565">
        <v>4.3E-3</v>
      </c>
      <c r="AR549" s="170" t="e">
        <f t="shared" ca="1" si="595"/>
        <v>#VALUE!</v>
      </c>
      <c r="AS549" s="508" t="e">
        <f t="shared" ca="1" si="596"/>
        <v>#VALUE!</v>
      </c>
      <c r="AU549" s="512">
        <v>10</v>
      </c>
      <c r="AV549" s="516" t="s">
        <v>2241</v>
      </c>
      <c r="AW549" s="529" t="s">
        <v>2452</v>
      </c>
      <c r="AX549" s="508">
        <f t="shared" ca="1" si="597"/>
        <v>7.4250000000000007</v>
      </c>
      <c r="AY549" s="632">
        <v>2</v>
      </c>
      <c r="AZ549" s="565">
        <v>3.5999999999999999E-3</v>
      </c>
      <c r="BA549" s="170">
        <f t="shared" ca="1" si="598"/>
        <v>1.5757575757575755E-2</v>
      </c>
      <c r="BB549" s="508">
        <f t="shared" ca="1" si="599"/>
        <v>158</v>
      </c>
      <c r="BD549" s="512">
        <v>10</v>
      </c>
      <c r="BE549" s="516" t="s">
        <v>2241</v>
      </c>
      <c r="BF549" s="529" t="s">
        <v>2452</v>
      </c>
      <c r="BG549" s="508">
        <f t="shared" ca="1" si="600"/>
        <v>7.4250000000000007</v>
      </c>
      <c r="BH549" s="615">
        <v>6</v>
      </c>
      <c r="BI549" s="615">
        <v>3.0000000000000001E-3</v>
      </c>
      <c r="BJ549" s="170">
        <f t="shared" ca="1" si="609"/>
        <v>9.9326599326599319E-3</v>
      </c>
      <c r="BK549" s="394">
        <f t="shared" ca="1" si="610"/>
        <v>99</v>
      </c>
    </row>
    <row r="550" spans="2:63" x14ac:dyDescent="0.35">
      <c r="AC550" s="512">
        <v>10</v>
      </c>
      <c r="AD550" s="516" t="s">
        <v>2300</v>
      </c>
      <c r="AE550" s="529" t="s">
        <v>2444</v>
      </c>
      <c r="AF550" s="508" t="e">
        <f t="shared" ca="1" si="613"/>
        <v>#N/A</v>
      </c>
      <c r="AG550" s="594">
        <v>1</v>
      </c>
      <c r="AH550" s="565">
        <v>4.8999999999999998E-3</v>
      </c>
      <c r="AI550" s="170" t="e">
        <f t="shared" ca="1" si="587"/>
        <v>#N/A</v>
      </c>
      <c r="AJ550" s="508" t="e">
        <f t="shared" ca="1" si="588"/>
        <v>#N/A</v>
      </c>
      <c r="AL550" s="512">
        <v>10</v>
      </c>
      <c r="AM550" s="516" t="s">
        <v>2286</v>
      </c>
      <c r="AN550" s="529" t="s">
        <v>2444</v>
      </c>
      <c r="AO550" s="508" t="str">
        <f t="shared" ca="1" si="608"/>
        <v>T3部件</v>
      </c>
      <c r="AP550" s="508">
        <v>1</v>
      </c>
      <c r="AQ550" s="565">
        <v>4.3E-3</v>
      </c>
      <c r="AR550" s="170" t="e">
        <f t="shared" ca="1" si="595"/>
        <v>#VALUE!</v>
      </c>
      <c r="AS550" s="508" t="e">
        <f t="shared" ca="1" si="596"/>
        <v>#VALUE!</v>
      </c>
      <c r="AU550" s="512">
        <v>10</v>
      </c>
      <c r="AV550" s="516" t="s">
        <v>2243</v>
      </c>
      <c r="AW550" s="529" t="s">
        <v>2452</v>
      </c>
      <c r="AX550" s="508">
        <f t="shared" ca="1" si="597"/>
        <v>7.4250000000000007</v>
      </c>
      <c r="AY550" s="632">
        <v>2</v>
      </c>
      <c r="AZ550" s="565">
        <v>3.5999999999999999E-3</v>
      </c>
      <c r="BA550" s="170">
        <f t="shared" ca="1" si="598"/>
        <v>1.5757575757575755E-2</v>
      </c>
      <c r="BB550" s="508">
        <f t="shared" ca="1" si="599"/>
        <v>158</v>
      </c>
      <c r="BD550" s="512">
        <v>10</v>
      </c>
      <c r="BE550" s="516" t="s">
        <v>2243</v>
      </c>
      <c r="BF550" s="529" t="s">
        <v>2452</v>
      </c>
      <c r="BG550" s="508">
        <f t="shared" ca="1" si="600"/>
        <v>7.4250000000000007</v>
      </c>
      <c r="BH550" s="615">
        <v>6</v>
      </c>
      <c r="BI550" s="615">
        <v>3.0000000000000001E-3</v>
      </c>
      <c r="BJ550" s="170">
        <f t="shared" ca="1" si="609"/>
        <v>9.9326599326599319E-3</v>
      </c>
      <c r="BK550" s="394">
        <f t="shared" ca="1" si="610"/>
        <v>99</v>
      </c>
    </row>
    <row r="551" spans="2:63" x14ac:dyDescent="0.35">
      <c r="AC551" s="512">
        <v>10</v>
      </c>
      <c r="AD551" s="516" t="s">
        <v>2302</v>
      </c>
      <c r="AE551" s="529" t="s">
        <v>2444</v>
      </c>
      <c r="AF551" s="508" t="e">
        <f t="shared" ca="1" si="613"/>
        <v>#N/A</v>
      </c>
      <c r="AG551" s="594">
        <v>1</v>
      </c>
      <c r="AH551" s="565">
        <v>4.8999999999999998E-3</v>
      </c>
      <c r="AI551" s="170" t="e">
        <f t="shared" ca="1" si="587"/>
        <v>#N/A</v>
      </c>
      <c r="AJ551" s="508" t="e">
        <f t="shared" ca="1" si="588"/>
        <v>#N/A</v>
      </c>
      <c r="AL551" s="512">
        <v>10</v>
      </c>
      <c r="AM551" s="516" t="s">
        <v>2288</v>
      </c>
      <c r="AN551" s="529" t="s">
        <v>2444</v>
      </c>
      <c r="AO551" s="508" t="str">
        <f t="shared" ca="1" si="608"/>
        <v>T3部件</v>
      </c>
      <c r="AP551" s="508">
        <v>1</v>
      </c>
      <c r="AQ551" s="565">
        <v>4.3E-3</v>
      </c>
      <c r="AR551" s="170" t="e">
        <f t="shared" ca="1" si="595"/>
        <v>#VALUE!</v>
      </c>
      <c r="AS551" s="508" t="e">
        <f t="shared" ca="1" si="596"/>
        <v>#VALUE!</v>
      </c>
      <c r="AU551" s="512">
        <v>10</v>
      </c>
      <c r="AV551" s="516" t="s">
        <v>2245</v>
      </c>
      <c r="AW551" s="529" t="s">
        <v>2452</v>
      </c>
      <c r="AX551" s="508">
        <f t="shared" ca="1" si="597"/>
        <v>7.4250000000000007</v>
      </c>
      <c r="AY551" s="632">
        <v>2</v>
      </c>
      <c r="AZ551" s="565">
        <v>3.5999999999999999E-3</v>
      </c>
      <c r="BA551" s="170">
        <f t="shared" ca="1" si="598"/>
        <v>1.5757575757575755E-2</v>
      </c>
      <c r="BB551" s="508">
        <f t="shared" ca="1" si="599"/>
        <v>158</v>
      </c>
      <c r="BD551" s="512">
        <v>10</v>
      </c>
      <c r="BE551" s="516" t="s">
        <v>2245</v>
      </c>
      <c r="BF551" s="529" t="s">
        <v>2452</v>
      </c>
      <c r="BG551" s="508">
        <f t="shared" ca="1" si="600"/>
        <v>7.4250000000000007</v>
      </c>
      <c r="BH551" s="615">
        <v>6</v>
      </c>
      <c r="BI551" s="615">
        <v>3.0000000000000001E-3</v>
      </c>
      <c r="BJ551" s="170">
        <f t="shared" ca="1" si="609"/>
        <v>9.9326599326599319E-3</v>
      </c>
      <c r="BK551" s="394">
        <f t="shared" ca="1" si="610"/>
        <v>99</v>
      </c>
    </row>
    <row r="552" spans="2:63" x14ac:dyDescent="0.35">
      <c r="AC552" s="512">
        <v>10</v>
      </c>
      <c r="AD552" s="516" t="s">
        <v>2304</v>
      </c>
      <c r="AE552" s="529" t="s">
        <v>2444</v>
      </c>
      <c r="AF552" s="508" t="e">
        <f t="shared" ca="1" si="613"/>
        <v>#N/A</v>
      </c>
      <c r="AG552" s="594">
        <v>1</v>
      </c>
      <c r="AH552" s="565">
        <v>4.8999999999999998E-3</v>
      </c>
      <c r="AI552" s="170" t="e">
        <f t="shared" ca="1" si="587"/>
        <v>#N/A</v>
      </c>
      <c r="AJ552" s="508" t="e">
        <f t="shared" ca="1" si="588"/>
        <v>#N/A</v>
      </c>
      <c r="AL552" s="512">
        <v>10</v>
      </c>
      <c r="AM552" s="512" t="s">
        <v>2290</v>
      </c>
      <c r="AN552" s="529" t="s">
        <v>2444</v>
      </c>
      <c r="AO552" s="508" t="str">
        <f t="shared" ca="1" si="608"/>
        <v>T3部件</v>
      </c>
      <c r="AP552" s="508">
        <v>1</v>
      </c>
      <c r="AQ552" s="565">
        <v>4.3E-3</v>
      </c>
      <c r="AR552" s="170" t="e">
        <f t="shared" ca="1" si="595"/>
        <v>#VALUE!</v>
      </c>
      <c r="AS552" s="508" t="e">
        <f t="shared" ca="1" si="596"/>
        <v>#VALUE!</v>
      </c>
      <c r="AU552" s="512">
        <v>10</v>
      </c>
      <c r="AV552" s="516" t="s">
        <v>2247</v>
      </c>
      <c r="AW552" s="529" t="s">
        <v>2452</v>
      </c>
      <c r="AX552" s="508">
        <f t="shared" ca="1" si="597"/>
        <v>7.4250000000000007</v>
      </c>
      <c r="AY552" s="632">
        <v>2</v>
      </c>
      <c r="AZ552" s="565">
        <v>3.5999999999999999E-3</v>
      </c>
      <c r="BA552" s="170">
        <f t="shared" ca="1" si="598"/>
        <v>1.5757575757575755E-2</v>
      </c>
      <c r="BB552" s="508">
        <f t="shared" ca="1" si="599"/>
        <v>158</v>
      </c>
      <c r="BD552" s="512">
        <v>10</v>
      </c>
      <c r="BE552" s="516" t="s">
        <v>2247</v>
      </c>
      <c r="BF552" s="529" t="s">
        <v>2452</v>
      </c>
      <c r="BG552" s="508">
        <f t="shared" ca="1" si="600"/>
        <v>7.4250000000000007</v>
      </c>
      <c r="BH552" s="615">
        <v>6</v>
      </c>
      <c r="BI552" s="615">
        <v>3.0000000000000001E-3</v>
      </c>
      <c r="BJ552" s="170">
        <f t="shared" ca="1" si="609"/>
        <v>9.9326599326599319E-3</v>
      </c>
      <c r="BK552" s="394">
        <f t="shared" ca="1" si="610"/>
        <v>99</v>
      </c>
    </row>
    <row r="553" spans="2:63" x14ac:dyDescent="0.35">
      <c r="AC553" s="512">
        <v>10</v>
      </c>
      <c r="AD553" s="516" t="s">
        <v>2306</v>
      </c>
      <c r="AE553" s="529" t="s">
        <v>2444</v>
      </c>
      <c r="AF553" s="508" t="e">
        <f t="shared" ca="1" si="613"/>
        <v>#N/A</v>
      </c>
      <c r="AG553" s="594">
        <v>1</v>
      </c>
      <c r="AH553" s="565">
        <v>4.8999999999999998E-3</v>
      </c>
      <c r="AI553" s="170" t="e">
        <f t="shared" ca="1" si="587"/>
        <v>#N/A</v>
      </c>
      <c r="AJ553" s="508" t="e">
        <f t="shared" ca="1" si="588"/>
        <v>#N/A</v>
      </c>
      <c r="AL553" s="512">
        <v>10</v>
      </c>
      <c r="AM553" s="512" t="s">
        <v>2292</v>
      </c>
      <c r="AN553" s="529" t="s">
        <v>2444</v>
      </c>
      <c r="AO553" s="508" t="str">
        <f t="shared" ca="1" si="608"/>
        <v>T3部件</v>
      </c>
      <c r="AP553" s="508">
        <v>1</v>
      </c>
      <c r="AQ553" s="565">
        <v>4.3E-3</v>
      </c>
      <c r="AR553" s="170" t="e">
        <f t="shared" ca="1" si="595"/>
        <v>#VALUE!</v>
      </c>
      <c r="AS553" s="508" t="e">
        <f t="shared" ca="1" si="596"/>
        <v>#VALUE!</v>
      </c>
      <c r="AU553" s="512">
        <v>10</v>
      </c>
      <c r="AV553" s="516" t="s">
        <v>2249</v>
      </c>
      <c r="AW553" s="529" t="s">
        <v>2452</v>
      </c>
      <c r="AX553" s="508">
        <f t="shared" ca="1" si="597"/>
        <v>7.4250000000000007</v>
      </c>
      <c r="AY553" s="632">
        <v>2</v>
      </c>
      <c r="AZ553" s="565">
        <v>3.5999999999999999E-3</v>
      </c>
      <c r="BA553" s="170">
        <f t="shared" ca="1" si="598"/>
        <v>1.5757575757575755E-2</v>
      </c>
      <c r="BB553" s="508">
        <f t="shared" ca="1" si="599"/>
        <v>158</v>
      </c>
      <c r="BD553" s="512">
        <v>10</v>
      </c>
      <c r="BE553" s="516" t="s">
        <v>2249</v>
      </c>
      <c r="BF553" s="529" t="s">
        <v>2452</v>
      </c>
      <c r="BG553" s="508">
        <f t="shared" ca="1" si="600"/>
        <v>7.4250000000000007</v>
      </c>
      <c r="BH553" s="615">
        <v>6</v>
      </c>
      <c r="BI553" s="615">
        <v>3.0000000000000001E-3</v>
      </c>
      <c r="BJ553" s="170">
        <f t="shared" ca="1" si="609"/>
        <v>9.9326599326599319E-3</v>
      </c>
      <c r="BK553" s="394">
        <f t="shared" ca="1" si="610"/>
        <v>99</v>
      </c>
    </row>
    <row r="554" spans="2:63" x14ac:dyDescent="0.35">
      <c r="AC554" s="512">
        <v>10</v>
      </c>
      <c r="AD554" s="512" t="s">
        <v>2308</v>
      </c>
      <c r="AE554" s="529" t="s">
        <v>2444</v>
      </c>
      <c r="AF554" s="508" t="e">
        <f t="shared" ca="1" si="613"/>
        <v>#N/A</v>
      </c>
      <c r="AG554" s="594">
        <v>1</v>
      </c>
      <c r="AH554" s="565">
        <v>4.8999999999999998E-3</v>
      </c>
      <c r="AI554" s="170" t="e">
        <f t="shared" ca="1" si="587"/>
        <v>#N/A</v>
      </c>
      <c r="AJ554" s="508" t="e">
        <f t="shared" ca="1" si="588"/>
        <v>#N/A</v>
      </c>
      <c r="AL554" s="512">
        <v>10</v>
      </c>
      <c r="AM554" s="516" t="s">
        <v>2277</v>
      </c>
      <c r="AN554" s="529" t="s">
        <v>2444</v>
      </c>
      <c r="AO554" s="508" t="str">
        <f t="shared" ca="1" si="608"/>
        <v>T3部件</v>
      </c>
      <c r="AP554" s="508">
        <v>1</v>
      </c>
      <c r="AQ554" s="565">
        <v>4.3E-3</v>
      </c>
      <c r="AR554" s="170" t="e">
        <f t="shared" ca="1" si="595"/>
        <v>#VALUE!</v>
      </c>
      <c r="AS554" s="508" t="e">
        <f t="shared" ca="1" si="596"/>
        <v>#VALUE!</v>
      </c>
      <c r="AU554" s="512">
        <v>10</v>
      </c>
      <c r="AV554" s="516" t="s">
        <v>2251</v>
      </c>
      <c r="AW554" s="529" t="s">
        <v>2452</v>
      </c>
      <c r="AX554" s="508">
        <f t="shared" ref="AX554:AX585" ca="1" si="614">IF(AW554="部件",VLOOKUP(AU554,INDIRECT(AW554&amp;"价值"),MATCH(LEFT(AV554,2)&amp;"部件",INDIRECT(AW554&amp;"价值标头"),0),FALSE),IF(AW554="加速道具",VLOOKUP(AV554,INDIRECT(AW554&amp;"价值"),MATCH("价格",INDIRECT(AW554&amp;"价值标头"),0),FALSE),VLOOKUP(AU554,INDIRECT(AW554&amp;"价值"),MATCH(AV554,INDIRECT(AW554&amp;"价值标头"),0),FALSE)))</f>
        <v>7.4250000000000007</v>
      </c>
      <c r="AY554" s="632">
        <v>2</v>
      </c>
      <c r="AZ554" s="565">
        <v>3.5999999999999999E-3</v>
      </c>
      <c r="BA554" s="170">
        <f t="shared" ca="1" si="598"/>
        <v>1.5757575757575755E-2</v>
      </c>
      <c r="BB554" s="508">
        <f t="shared" ca="1" si="599"/>
        <v>158</v>
      </c>
      <c r="BD554" s="512">
        <v>10</v>
      </c>
      <c r="BE554" s="516" t="s">
        <v>2251</v>
      </c>
      <c r="BF554" s="529" t="s">
        <v>2452</v>
      </c>
      <c r="BG554" s="508">
        <f t="shared" ref="BG554:BG585" ca="1" si="615">IF(BF554="部件",VLOOKUP(BD554,INDIRECT(BF554&amp;"价值"),MATCH(LEFT(BE554,2)&amp;"部件",INDIRECT(BF554&amp;"价值标头"),0),FALSE),IF(BF554="加速道具",VLOOKUP(BE554,INDIRECT(BF554&amp;"价值"),MATCH("价格",INDIRECT(BF554&amp;"价值标头"),0),FALSE),VLOOKUP(BD554,INDIRECT(BF554&amp;"价值"),MATCH(BE554,INDIRECT(BF554&amp;"价值标头"),0),FALSE)))</f>
        <v>7.4250000000000007</v>
      </c>
      <c r="BH554" s="615">
        <v>6</v>
      </c>
      <c r="BI554" s="615">
        <v>3.0000000000000001E-3</v>
      </c>
      <c r="BJ554" s="170">
        <f t="shared" ca="1" si="609"/>
        <v>9.9326599326599319E-3</v>
      </c>
      <c r="BK554" s="394">
        <f t="shared" ca="1" si="610"/>
        <v>99</v>
      </c>
    </row>
    <row r="555" spans="2:63" x14ac:dyDescent="0.35">
      <c r="AC555" s="512">
        <v>10</v>
      </c>
      <c r="AD555" s="512" t="s">
        <v>2310</v>
      </c>
      <c r="AE555" s="529" t="s">
        <v>2444</v>
      </c>
      <c r="AF555" s="508" t="e">
        <f t="shared" ca="1" si="613"/>
        <v>#N/A</v>
      </c>
      <c r="AG555" s="594">
        <v>1</v>
      </c>
      <c r="AH555" s="565">
        <v>4.8999999999999998E-3</v>
      </c>
      <c r="AI555" s="170" t="e">
        <f t="shared" ca="1" si="587"/>
        <v>#N/A</v>
      </c>
      <c r="AJ555" s="508" t="e">
        <f t="shared" ca="1" si="588"/>
        <v>#N/A</v>
      </c>
      <c r="AL555" s="512">
        <v>10</v>
      </c>
      <c r="AM555" s="516" t="s">
        <v>2279</v>
      </c>
      <c r="AN555" s="529" t="s">
        <v>2444</v>
      </c>
      <c r="AO555" s="508" t="str">
        <f t="shared" ca="1" si="608"/>
        <v>T3部件</v>
      </c>
      <c r="AP555" s="508">
        <v>1</v>
      </c>
      <c r="AQ555" s="565">
        <v>4.3E-3</v>
      </c>
      <c r="AR555" s="170" t="e">
        <f t="shared" ca="1" si="595"/>
        <v>#VALUE!</v>
      </c>
      <c r="AS555" s="508" t="e">
        <f t="shared" ca="1" si="596"/>
        <v>#VALUE!</v>
      </c>
      <c r="AU555" s="512">
        <v>10</v>
      </c>
      <c r="AV555" s="516" t="s">
        <v>2253</v>
      </c>
      <c r="AW555" s="529" t="s">
        <v>2452</v>
      </c>
      <c r="AX555" s="508">
        <f t="shared" ca="1" si="614"/>
        <v>7.4250000000000007</v>
      </c>
      <c r="AY555" s="632">
        <v>2</v>
      </c>
      <c r="AZ555" s="565">
        <v>3.5999999999999999E-3</v>
      </c>
      <c r="BA555" s="170">
        <f t="shared" ca="1" si="598"/>
        <v>1.5757575757575755E-2</v>
      </c>
      <c r="BB555" s="508">
        <f t="shared" ca="1" si="599"/>
        <v>158</v>
      </c>
      <c r="BD555" s="512">
        <v>10</v>
      </c>
      <c r="BE555" s="516" t="s">
        <v>2253</v>
      </c>
      <c r="BF555" s="529" t="s">
        <v>2452</v>
      </c>
      <c r="BG555" s="508">
        <f t="shared" ca="1" si="615"/>
        <v>7.4250000000000007</v>
      </c>
      <c r="BH555" s="615">
        <v>6</v>
      </c>
      <c r="BI555" s="615">
        <v>3.0000000000000001E-3</v>
      </c>
      <c r="BJ555" s="170">
        <f t="shared" ca="1" si="609"/>
        <v>9.9326599326599319E-3</v>
      </c>
      <c r="BK555" s="394">
        <f t="shared" ca="1" si="610"/>
        <v>99</v>
      </c>
    </row>
    <row r="556" spans="2:63" x14ac:dyDescent="0.35">
      <c r="AC556" s="512">
        <v>10</v>
      </c>
      <c r="AD556" s="516" t="s">
        <v>2295</v>
      </c>
      <c r="AE556" s="529" t="s">
        <v>2444</v>
      </c>
      <c r="AF556" s="508" t="e">
        <f t="shared" ca="1" si="613"/>
        <v>#N/A</v>
      </c>
      <c r="AG556" s="594">
        <v>1</v>
      </c>
      <c r="AH556" s="565">
        <v>4.8999999999999998E-3</v>
      </c>
      <c r="AI556" s="170" t="e">
        <f t="shared" ca="1" si="587"/>
        <v>#N/A</v>
      </c>
      <c r="AJ556" s="508" t="e">
        <f t="shared" ca="1" si="588"/>
        <v>#N/A</v>
      </c>
      <c r="AL556" s="512">
        <v>10</v>
      </c>
      <c r="AM556" s="516" t="s">
        <v>2281</v>
      </c>
      <c r="AN556" s="529" t="s">
        <v>2444</v>
      </c>
      <c r="AO556" s="508" t="str">
        <f t="shared" ca="1" si="608"/>
        <v>T3部件</v>
      </c>
      <c r="AP556" s="508">
        <v>1</v>
      </c>
      <c r="AQ556" s="565">
        <v>4.3E-3</v>
      </c>
      <c r="AR556" s="170" t="e">
        <f t="shared" ca="1" si="595"/>
        <v>#VALUE!</v>
      </c>
      <c r="AS556" s="508" t="e">
        <f t="shared" ca="1" si="596"/>
        <v>#VALUE!</v>
      </c>
      <c r="AU556" s="512">
        <v>10</v>
      </c>
      <c r="AV556" s="512" t="s">
        <v>2255</v>
      </c>
      <c r="AW556" s="529" t="s">
        <v>2452</v>
      </c>
      <c r="AX556" s="508">
        <f t="shared" ca="1" si="614"/>
        <v>7.4250000000000007</v>
      </c>
      <c r="AY556" s="632">
        <v>2</v>
      </c>
      <c r="AZ556" s="565">
        <v>3.5999999999999999E-3</v>
      </c>
      <c r="BA556" s="170">
        <f t="shared" ca="1" si="598"/>
        <v>1.5757575757575755E-2</v>
      </c>
      <c r="BB556" s="508">
        <f t="shared" ca="1" si="599"/>
        <v>158</v>
      </c>
      <c r="BD556" s="512">
        <v>10</v>
      </c>
      <c r="BE556" s="512" t="s">
        <v>2255</v>
      </c>
      <c r="BF556" s="529" t="s">
        <v>2452</v>
      </c>
      <c r="BG556" s="508">
        <f t="shared" ca="1" si="615"/>
        <v>7.4250000000000007</v>
      </c>
      <c r="BH556" s="615">
        <v>6</v>
      </c>
      <c r="BI556" s="615">
        <v>3.0000000000000001E-3</v>
      </c>
      <c r="BJ556" s="170">
        <f t="shared" ca="1" si="609"/>
        <v>9.9326599326599319E-3</v>
      </c>
      <c r="BK556" s="394">
        <f t="shared" ca="1" si="610"/>
        <v>99</v>
      </c>
    </row>
    <row r="557" spans="2:63" x14ac:dyDescent="0.35">
      <c r="AC557" s="512">
        <v>10</v>
      </c>
      <c r="AD557" s="516" t="s">
        <v>2297</v>
      </c>
      <c r="AE557" s="529" t="s">
        <v>2444</v>
      </c>
      <c r="AF557" s="508" t="e">
        <f t="shared" ca="1" si="613"/>
        <v>#N/A</v>
      </c>
      <c r="AG557" s="594">
        <v>1</v>
      </c>
      <c r="AH557" s="565">
        <v>4.8999999999999998E-3</v>
      </c>
      <c r="AI557" s="170" t="e">
        <f t="shared" ca="1" si="587"/>
        <v>#N/A</v>
      </c>
      <c r="AJ557" s="508" t="e">
        <f t="shared" ca="1" si="588"/>
        <v>#N/A</v>
      </c>
      <c r="AL557" s="512">
        <v>10</v>
      </c>
      <c r="AM557" s="516" t="s">
        <v>2283</v>
      </c>
      <c r="AN557" s="529" t="s">
        <v>2444</v>
      </c>
      <c r="AO557" s="508" t="str">
        <f t="shared" ca="1" si="608"/>
        <v>T3部件</v>
      </c>
      <c r="AP557" s="508">
        <v>1</v>
      </c>
      <c r="AQ557" s="565">
        <v>4.3E-3</v>
      </c>
      <c r="AR557" s="170" t="e">
        <f t="shared" ca="1" si="595"/>
        <v>#VALUE!</v>
      </c>
      <c r="AS557" s="508" t="e">
        <f t="shared" ca="1" si="596"/>
        <v>#VALUE!</v>
      </c>
      <c r="AU557" s="512">
        <v>10</v>
      </c>
      <c r="AV557" s="512" t="s">
        <v>2257</v>
      </c>
      <c r="AW557" s="529" t="s">
        <v>2452</v>
      </c>
      <c r="AX557" s="508">
        <f t="shared" ca="1" si="614"/>
        <v>7.4250000000000007</v>
      </c>
      <c r="AY557" s="632">
        <v>2</v>
      </c>
      <c r="AZ557" s="565">
        <v>3.5999999999999999E-3</v>
      </c>
      <c r="BA557" s="170">
        <f t="shared" ca="1" si="598"/>
        <v>1.5757575757575755E-2</v>
      </c>
      <c r="BB557" s="508">
        <f t="shared" ca="1" si="599"/>
        <v>158</v>
      </c>
      <c r="BD557" s="512">
        <v>10</v>
      </c>
      <c r="BE557" s="512" t="s">
        <v>2257</v>
      </c>
      <c r="BF557" s="529" t="s">
        <v>2452</v>
      </c>
      <c r="BG557" s="508">
        <f t="shared" ca="1" si="615"/>
        <v>7.4250000000000007</v>
      </c>
      <c r="BH557" s="615">
        <v>6</v>
      </c>
      <c r="BI557" s="615">
        <v>3.0000000000000001E-3</v>
      </c>
      <c r="BJ557" s="170">
        <f t="shared" ca="1" si="609"/>
        <v>9.9326599326599319E-3</v>
      </c>
      <c r="BK557" s="394">
        <f t="shared" ca="1" si="610"/>
        <v>99</v>
      </c>
    </row>
    <row r="558" spans="2:63" x14ac:dyDescent="0.35">
      <c r="AC558" s="512">
        <v>10</v>
      </c>
      <c r="AD558" s="516" t="s">
        <v>2299</v>
      </c>
      <c r="AE558" s="529" t="s">
        <v>2444</v>
      </c>
      <c r="AF558" s="508" t="e">
        <f t="shared" ca="1" si="613"/>
        <v>#N/A</v>
      </c>
      <c r="AG558" s="594">
        <v>1</v>
      </c>
      <c r="AH558" s="565">
        <v>4.8999999999999998E-3</v>
      </c>
      <c r="AI558" s="170" t="e">
        <f t="shared" ca="1" si="587"/>
        <v>#N/A</v>
      </c>
      <c r="AJ558" s="508" t="e">
        <f t="shared" ca="1" si="588"/>
        <v>#N/A</v>
      </c>
      <c r="AL558" s="512">
        <v>10</v>
      </c>
      <c r="AM558" s="516" t="s">
        <v>2285</v>
      </c>
      <c r="AN558" s="529" t="s">
        <v>2444</v>
      </c>
      <c r="AO558" s="508" t="str">
        <f t="shared" ca="1" si="608"/>
        <v>T3部件</v>
      </c>
      <c r="AP558" s="508">
        <v>1</v>
      </c>
      <c r="AQ558" s="565">
        <v>4.3E-3</v>
      </c>
      <c r="AR558" s="170" t="e">
        <f t="shared" ca="1" si="595"/>
        <v>#VALUE!</v>
      </c>
      <c r="AS558" s="508" t="e">
        <f t="shared" ca="1" si="596"/>
        <v>#VALUE!</v>
      </c>
      <c r="AU558" s="512">
        <v>10</v>
      </c>
      <c r="AV558" s="516" t="s">
        <v>2258</v>
      </c>
      <c r="AW558" s="529" t="s">
        <v>2452</v>
      </c>
      <c r="AX558" s="508" t="str">
        <f t="shared" ca="1" si="614"/>
        <v>T2部件</v>
      </c>
      <c r="AY558" s="615">
        <v>1.5</v>
      </c>
      <c r="AZ558" s="565">
        <v>4.4000000000000003E-3</v>
      </c>
      <c r="BA558" s="170" t="e">
        <f t="shared" ca="1" si="598"/>
        <v>#VALUE!</v>
      </c>
      <c r="BB558" s="508" t="e">
        <f t="shared" ca="1" si="599"/>
        <v>#VALUE!</v>
      </c>
      <c r="BD558" s="512">
        <v>10</v>
      </c>
      <c r="BE558" s="516" t="s">
        <v>2258</v>
      </c>
      <c r="BF558" s="529" t="s">
        <v>2452</v>
      </c>
      <c r="BG558" s="508" t="str">
        <f t="shared" ca="1" si="615"/>
        <v>T2部件</v>
      </c>
      <c r="BH558" s="615">
        <v>2.5</v>
      </c>
      <c r="BI558" s="600">
        <v>5.0000000000000001E-3</v>
      </c>
      <c r="BJ558" s="170" t="e">
        <f t="shared" ca="1" si="609"/>
        <v>#VALUE!</v>
      </c>
      <c r="BK558" s="394" t="e">
        <f t="shared" ca="1" si="610"/>
        <v>#VALUE!</v>
      </c>
    </row>
    <row r="559" spans="2:63" x14ac:dyDescent="0.35">
      <c r="AC559" s="512">
        <v>10</v>
      </c>
      <c r="AD559" s="516" t="s">
        <v>2301</v>
      </c>
      <c r="AE559" s="529" t="s">
        <v>2444</v>
      </c>
      <c r="AF559" s="508" t="e">
        <f t="shared" ca="1" si="613"/>
        <v>#N/A</v>
      </c>
      <c r="AG559" s="594">
        <v>1</v>
      </c>
      <c r="AH559" s="565">
        <v>4.8999999999999998E-3</v>
      </c>
      <c r="AI559" s="170" t="e">
        <f t="shared" ca="1" si="587"/>
        <v>#N/A</v>
      </c>
      <c r="AJ559" s="508" t="e">
        <f t="shared" ca="1" si="588"/>
        <v>#N/A</v>
      </c>
      <c r="AL559" s="512">
        <v>10</v>
      </c>
      <c r="AM559" s="516" t="s">
        <v>2287</v>
      </c>
      <c r="AN559" s="529" t="s">
        <v>2444</v>
      </c>
      <c r="AO559" s="508" t="str">
        <f t="shared" ca="1" si="608"/>
        <v>T3部件</v>
      </c>
      <c r="AP559" s="508">
        <v>1</v>
      </c>
      <c r="AQ559" s="565">
        <v>4.3E-3</v>
      </c>
      <c r="AR559" s="170" t="e">
        <f t="shared" ca="1" si="595"/>
        <v>#VALUE!</v>
      </c>
      <c r="AS559" s="508" t="e">
        <f t="shared" ca="1" si="596"/>
        <v>#VALUE!</v>
      </c>
      <c r="AU559" s="512">
        <v>10</v>
      </c>
      <c r="AV559" s="516" t="s">
        <v>2260</v>
      </c>
      <c r="AW559" s="529" t="s">
        <v>2452</v>
      </c>
      <c r="AX559" s="508" t="str">
        <f t="shared" ca="1" si="614"/>
        <v>T2部件</v>
      </c>
      <c r="AY559" s="632">
        <v>1.5</v>
      </c>
      <c r="AZ559" s="600">
        <v>4.4000000000000003E-3</v>
      </c>
      <c r="BA559" s="170" t="e">
        <f t="shared" ca="1" si="598"/>
        <v>#VALUE!</v>
      </c>
      <c r="BB559" s="508" t="e">
        <f t="shared" ca="1" si="599"/>
        <v>#VALUE!</v>
      </c>
      <c r="BD559" s="512">
        <v>10</v>
      </c>
      <c r="BE559" s="516" t="s">
        <v>2260</v>
      </c>
      <c r="BF559" s="529" t="s">
        <v>2452</v>
      </c>
      <c r="BG559" s="508" t="str">
        <f t="shared" ca="1" si="615"/>
        <v>T2部件</v>
      </c>
      <c r="BH559" s="615">
        <v>2.5</v>
      </c>
      <c r="BI559" s="615">
        <v>5.0000000000000001E-3</v>
      </c>
      <c r="BJ559" s="170" t="e">
        <f t="shared" ca="1" si="609"/>
        <v>#VALUE!</v>
      </c>
      <c r="BK559" s="394" t="e">
        <f t="shared" ca="1" si="610"/>
        <v>#VALUE!</v>
      </c>
    </row>
    <row r="560" spans="2:63" x14ac:dyDescent="0.35">
      <c r="AC560" s="512">
        <v>10</v>
      </c>
      <c r="AD560" s="516" t="s">
        <v>2303</v>
      </c>
      <c r="AE560" s="529" t="s">
        <v>2444</v>
      </c>
      <c r="AF560" s="508" t="e">
        <f t="shared" ca="1" si="613"/>
        <v>#N/A</v>
      </c>
      <c r="AG560" s="594">
        <v>1</v>
      </c>
      <c r="AH560" s="565">
        <v>4.8999999999999998E-3</v>
      </c>
      <c r="AI560" s="170" t="e">
        <f t="shared" ca="1" si="587"/>
        <v>#N/A</v>
      </c>
      <c r="AJ560" s="508" t="e">
        <f t="shared" ca="1" si="588"/>
        <v>#N/A</v>
      </c>
      <c r="AL560" s="512">
        <v>10</v>
      </c>
      <c r="AM560" s="516" t="s">
        <v>2289</v>
      </c>
      <c r="AN560" s="529" t="s">
        <v>2444</v>
      </c>
      <c r="AO560" s="508" t="str">
        <f t="shared" ca="1" si="608"/>
        <v>T3部件</v>
      </c>
      <c r="AP560" s="508">
        <v>1</v>
      </c>
      <c r="AQ560" s="565">
        <v>4.3E-3</v>
      </c>
      <c r="AR560" s="170" t="e">
        <f t="shared" ca="1" si="595"/>
        <v>#VALUE!</v>
      </c>
      <c r="AS560" s="508" t="e">
        <f t="shared" ca="1" si="596"/>
        <v>#VALUE!</v>
      </c>
      <c r="AU560" s="512">
        <v>10</v>
      </c>
      <c r="AV560" s="516" t="s">
        <v>2262</v>
      </c>
      <c r="AW560" s="529" t="s">
        <v>2452</v>
      </c>
      <c r="AX560" s="508" t="str">
        <f t="shared" ca="1" si="614"/>
        <v>T2部件</v>
      </c>
      <c r="AY560" s="632">
        <v>1.5</v>
      </c>
      <c r="AZ560" s="600">
        <v>4.4000000000000003E-3</v>
      </c>
      <c r="BA560" s="170" t="e">
        <f t="shared" ca="1" si="598"/>
        <v>#VALUE!</v>
      </c>
      <c r="BB560" s="508" t="e">
        <f t="shared" ca="1" si="599"/>
        <v>#VALUE!</v>
      </c>
      <c r="BD560" s="512">
        <v>10</v>
      </c>
      <c r="BE560" s="516" t="s">
        <v>2262</v>
      </c>
      <c r="BF560" s="529" t="s">
        <v>2452</v>
      </c>
      <c r="BG560" s="508" t="str">
        <f t="shared" ca="1" si="615"/>
        <v>T2部件</v>
      </c>
      <c r="BH560" s="615">
        <v>2.5</v>
      </c>
      <c r="BI560" s="615">
        <v>5.0000000000000001E-3</v>
      </c>
      <c r="BJ560" s="170" t="e">
        <f t="shared" ca="1" si="609"/>
        <v>#VALUE!</v>
      </c>
      <c r="BK560" s="394" t="e">
        <f t="shared" ca="1" si="610"/>
        <v>#VALUE!</v>
      </c>
    </row>
    <row r="561" spans="29:63" x14ac:dyDescent="0.35">
      <c r="AC561" s="512">
        <v>10</v>
      </c>
      <c r="AD561" s="516" t="s">
        <v>2305</v>
      </c>
      <c r="AE561" s="529" t="s">
        <v>2444</v>
      </c>
      <c r="AF561" s="508" t="e">
        <f t="shared" ca="1" si="613"/>
        <v>#N/A</v>
      </c>
      <c r="AG561" s="594">
        <v>1</v>
      </c>
      <c r="AH561" s="565">
        <v>4.8999999999999998E-3</v>
      </c>
      <c r="AI561" s="170" t="e">
        <f t="shared" ca="1" si="587"/>
        <v>#N/A</v>
      </c>
      <c r="AJ561" s="508" t="e">
        <f t="shared" ca="1" si="588"/>
        <v>#N/A</v>
      </c>
      <c r="AL561" s="512">
        <v>10</v>
      </c>
      <c r="AM561" s="512" t="s">
        <v>2291</v>
      </c>
      <c r="AN561" s="529" t="s">
        <v>2444</v>
      </c>
      <c r="AO561" s="508" t="str">
        <f t="shared" ca="1" si="608"/>
        <v>T3部件</v>
      </c>
      <c r="AP561" s="508">
        <v>1</v>
      </c>
      <c r="AQ561" s="565">
        <v>4.3E-3</v>
      </c>
      <c r="AR561" s="170" t="e">
        <f t="shared" ca="1" si="595"/>
        <v>#VALUE!</v>
      </c>
      <c r="AS561" s="508" t="e">
        <f t="shared" ca="1" si="596"/>
        <v>#VALUE!</v>
      </c>
      <c r="AU561" s="512">
        <v>10</v>
      </c>
      <c r="AV561" s="516" t="s">
        <v>2264</v>
      </c>
      <c r="AW561" s="529" t="s">
        <v>2452</v>
      </c>
      <c r="AX561" s="508" t="str">
        <f t="shared" ca="1" si="614"/>
        <v>T2部件</v>
      </c>
      <c r="AY561" s="632">
        <v>1.5</v>
      </c>
      <c r="AZ561" s="600">
        <v>4.4000000000000003E-3</v>
      </c>
      <c r="BA561" s="170" t="e">
        <f t="shared" ca="1" si="598"/>
        <v>#VALUE!</v>
      </c>
      <c r="BB561" s="508" t="e">
        <f t="shared" ca="1" si="599"/>
        <v>#VALUE!</v>
      </c>
      <c r="BD561" s="512">
        <v>10</v>
      </c>
      <c r="BE561" s="516" t="s">
        <v>2264</v>
      </c>
      <c r="BF561" s="529" t="s">
        <v>2452</v>
      </c>
      <c r="BG561" s="508" t="str">
        <f t="shared" ca="1" si="615"/>
        <v>T2部件</v>
      </c>
      <c r="BH561" s="615">
        <v>2.5</v>
      </c>
      <c r="BI561" s="615">
        <v>5.0000000000000001E-3</v>
      </c>
      <c r="BJ561" s="170" t="e">
        <f t="shared" ca="1" si="609"/>
        <v>#VALUE!</v>
      </c>
      <c r="BK561" s="394" t="e">
        <f t="shared" ca="1" si="610"/>
        <v>#VALUE!</v>
      </c>
    </row>
    <row r="562" spans="29:63" x14ac:dyDescent="0.35">
      <c r="AC562" s="512">
        <v>10</v>
      </c>
      <c r="AD562" s="516" t="s">
        <v>2307</v>
      </c>
      <c r="AE562" s="529" t="s">
        <v>2444</v>
      </c>
      <c r="AF562" s="508" t="e">
        <f t="shared" ca="1" si="613"/>
        <v>#N/A</v>
      </c>
      <c r="AG562" s="594">
        <v>1</v>
      </c>
      <c r="AH562" s="565">
        <v>4.8999999999999998E-3</v>
      </c>
      <c r="AI562" s="170" t="e">
        <f t="shared" ca="1" si="587"/>
        <v>#N/A</v>
      </c>
      <c r="AJ562" s="508" t="e">
        <f t="shared" ca="1" si="588"/>
        <v>#N/A</v>
      </c>
      <c r="AL562" s="512">
        <v>10</v>
      </c>
      <c r="AM562" s="512" t="s">
        <v>2293</v>
      </c>
      <c r="AN562" s="529" t="s">
        <v>2444</v>
      </c>
      <c r="AO562" s="508" t="str">
        <f t="shared" ca="1" si="608"/>
        <v>T3部件</v>
      </c>
      <c r="AP562" s="508">
        <v>1</v>
      </c>
      <c r="AQ562" s="565">
        <v>4.3E-3</v>
      </c>
      <c r="AR562" s="170" t="e">
        <f t="shared" ca="1" si="595"/>
        <v>#VALUE!</v>
      </c>
      <c r="AS562" s="508" t="e">
        <f t="shared" ca="1" si="596"/>
        <v>#VALUE!</v>
      </c>
      <c r="AU562" s="512">
        <v>10</v>
      </c>
      <c r="AV562" s="516" t="s">
        <v>2266</v>
      </c>
      <c r="AW562" s="529" t="s">
        <v>2452</v>
      </c>
      <c r="AX562" s="508" t="str">
        <f t="shared" ca="1" si="614"/>
        <v>T2部件</v>
      </c>
      <c r="AY562" s="632">
        <v>1.5</v>
      </c>
      <c r="AZ562" s="600">
        <v>4.4000000000000003E-3</v>
      </c>
      <c r="BA562" s="170" t="e">
        <f t="shared" ca="1" si="598"/>
        <v>#VALUE!</v>
      </c>
      <c r="BB562" s="508" t="e">
        <f t="shared" ca="1" si="599"/>
        <v>#VALUE!</v>
      </c>
      <c r="BD562" s="512">
        <v>10</v>
      </c>
      <c r="BE562" s="516" t="s">
        <v>2266</v>
      </c>
      <c r="BF562" s="529" t="s">
        <v>2452</v>
      </c>
      <c r="BG562" s="508" t="str">
        <f t="shared" ca="1" si="615"/>
        <v>T2部件</v>
      </c>
      <c r="BH562" s="615">
        <v>2.5</v>
      </c>
      <c r="BI562" s="615">
        <v>5.0000000000000001E-3</v>
      </c>
      <c r="BJ562" s="170" t="e">
        <f t="shared" ca="1" si="609"/>
        <v>#VALUE!</v>
      </c>
      <c r="BK562" s="394" t="e">
        <f t="shared" ca="1" si="610"/>
        <v>#VALUE!</v>
      </c>
    </row>
    <row r="563" spans="29:63" x14ac:dyDescent="0.35">
      <c r="AC563" s="512">
        <v>10</v>
      </c>
      <c r="AD563" s="512" t="s">
        <v>2309</v>
      </c>
      <c r="AE563" s="529" t="s">
        <v>2444</v>
      </c>
      <c r="AF563" s="508" t="e">
        <f t="shared" ca="1" si="613"/>
        <v>#N/A</v>
      </c>
      <c r="AG563" s="594">
        <v>1</v>
      </c>
      <c r="AH563" s="565">
        <v>4.8999999999999998E-3</v>
      </c>
      <c r="AI563" s="170" t="e">
        <f t="shared" ca="1" si="587"/>
        <v>#N/A</v>
      </c>
      <c r="AJ563" s="508" t="e">
        <f t="shared" ca="1" si="588"/>
        <v>#N/A</v>
      </c>
      <c r="AL563" s="512">
        <v>10</v>
      </c>
      <c r="AM563" s="516" t="s">
        <v>2294</v>
      </c>
      <c r="AN563" s="529" t="s">
        <v>2444</v>
      </c>
      <c r="AO563" s="508" t="e">
        <f t="shared" ca="1" si="608"/>
        <v>#N/A</v>
      </c>
      <c r="AP563" s="508">
        <v>1</v>
      </c>
      <c r="AQ563" s="565">
        <v>5.4000000000000003E-3</v>
      </c>
      <c r="AR563" s="170" t="e">
        <f t="shared" ca="1" si="595"/>
        <v>#N/A</v>
      </c>
      <c r="AS563" s="508" t="e">
        <f t="shared" ca="1" si="596"/>
        <v>#N/A</v>
      </c>
      <c r="AU563" s="512">
        <v>10</v>
      </c>
      <c r="AV563" s="516" t="s">
        <v>2268</v>
      </c>
      <c r="AW563" s="529" t="s">
        <v>2452</v>
      </c>
      <c r="AX563" s="508" t="str">
        <f t="shared" ca="1" si="614"/>
        <v>T2部件</v>
      </c>
      <c r="AY563" s="632">
        <v>1.5</v>
      </c>
      <c r="AZ563" s="600">
        <v>4.4000000000000003E-3</v>
      </c>
      <c r="BA563" s="170" t="e">
        <f t="shared" ca="1" si="598"/>
        <v>#VALUE!</v>
      </c>
      <c r="BB563" s="508" t="e">
        <f t="shared" ca="1" si="599"/>
        <v>#VALUE!</v>
      </c>
      <c r="BD563" s="512">
        <v>10</v>
      </c>
      <c r="BE563" s="516" t="s">
        <v>2268</v>
      </c>
      <c r="BF563" s="529" t="s">
        <v>2452</v>
      </c>
      <c r="BG563" s="508" t="str">
        <f t="shared" ca="1" si="615"/>
        <v>T2部件</v>
      </c>
      <c r="BH563" s="615">
        <v>2.5</v>
      </c>
      <c r="BI563" s="615">
        <v>5.0000000000000001E-3</v>
      </c>
      <c r="BJ563" s="170" t="e">
        <f t="shared" ca="1" si="609"/>
        <v>#VALUE!</v>
      </c>
      <c r="BK563" s="394" t="e">
        <f t="shared" ca="1" si="610"/>
        <v>#VALUE!</v>
      </c>
    </row>
    <row r="564" spans="29:63" x14ac:dyDescent="0.35">
      <c r="AC564" s="512">
        <v>10</v>
      </c>
      <c r="AD564" s="512" t="s">
        <v>2311</v>
      </c>
      <c r="AE564" s="529" t="s">
        <v>2444</v>
      </c>
      <c r="AF564" s="508" t="e">
        <f t="shared" ca="1" si="613"/>
        <v>#N/A</v>
      </c>
      <c r="AG564" s="594">
        <v>1</v>
      </c>
      <c r="AH564" s="565">
        <v>4.8999999999999998E-3</v>
      </c>
      <c r="AI564" s="170" t="e">
        <f t="shared" ca="1" si="587"/>
        <v>#N/A</v>
      </c>
      <c r="AJ564" s="508" t="e">
        <f t="shared" ca="1" si="588"/>
        <v>#N/A</v>
      </c>
      <c r="AL564" s="512">
        <v>10</v>
      </c>
      <c r="AM564" s="516" t="s">
        <v>2296</v>
      </c>
      <c r="AN564" s="529" t="s">
        <v>2444</v>
      </c>
      <c r="AO564" s="508" t="e">
        <f t="shared" ref="AO564:AO580" ca="1" si="616">IF(AN564="部件",VLOOKUP(AL564,INDIRECT(AN564&amp;"价值"),MATCH(LEFT(AM564,2)&amp;"部件",INDIRECT(AN564&amp;"价值标头"),0),FALSE),IF(AN564="加速道具",VLOOKUP(AM564,INDIRECT(AN564&amp;"价值"),MATCH("价格",INDIRECT(AN564&amp;"价值标头"),0),FALSE),VLOOKUP(AL564,INDIRECT(AN564&amp;"价值"),MATCH(AM564,INDIRECT(AN564&amp;"价值标头"),0),FALSE)))</f>
        <v>#N/A</v>
      </c>
      <c r="AP564" s="508">
        <v>1</v>
      </c>
      <c r="AQ564" s="625">
        <v>5.4000000000000003E-3</v>
      </c>
      <c r="AR564" s="170" t="e">
        <f t="shared" ca="1" si="595"/>
        <v>#N/A</v>
      </c>
      <c r="AS564" s="508" t="e">
        <f t="shared" ca="1" si="596"/>
        <v>#N/A</v>
      </c>
      <c r="AU564" s="512">
        <v>10</v>
      </c>
      <c r="AV564" s="516" t="s">
        <v>2270</v>
      </c>
      <c r="AW564" s="529" t="s">
        <v>2452</v>
      </c>
      <c r="AX564" s="508" t="str">
        <f t="shared" ca="1" si="614"/>
        <v>T2部件</v>
      </c>
      <c r="AY564" s="632">
        <v>1.5</v>
      </c>
      <c r="AZ564" s="600">
        <v>4.4000000000000003E-3</v>
      </c>
      <c r="BA564" s="170" t="e">
        <f t="shared" ca="1" si="598"/>
        <v>#VALUE!</v>
      </c>
      <c r="BB564" s="508" t="e">
        <f t="shared" ca="1" si="599"/>
        <v>#VALUE!</v>
      </c>
      <c r="BD564" s="512">
        <v>10</v>
      </c>
      <c r="BE564" s="516" t="s">
        <v>2270</v>
      </c>
      <c r="BF564" s="529" t="s">
        <v>2452</v>
      </c>
      <c r="BG564" s="508" t="str">
        <f t="shared" ca="1" si="615"/>
        <v>T2部件</v>
      </c>
      <c r="BH564" s="615">
        <v>2.5</v>
      </c>
      <c r="BI564" s="615">
        <v>5.0000000000000001E-3</v>
      </c>
      <c r="BJ564" s="170" t="e">
        <f t="shared" ca="1" si="609"/>
        <v>#VALUE!</v>
      </c>
      <c r="BK564" s="394" t="e">
        <f t="shared" ca="1" si="610"/>
        <v>#VALUE!</v>
      </c>
    </row>
    <row r="565" spans="29:63" x14ac:dyDescent="0.35">
      <c r="AC565" s="595">
        <v>10</v>
      </c>
      <c r="AD565" s="601" t="s">
        <v>2878</v>
      </c>
      <c r="AE565" s="601" t="s">
        <v>2879</v>
      </c>
      <c r="AF565" s="594">
        <f t="shared" ca="1" si="613"/>
        <v>35</v>
      </c>
      <c r="AG565" s="594">
        <v>1</v>
      </c>
      <c r="AH565" s="594">
        <v>1.7999999999999999E-2</v>
      </c>
      <c r="AI565" s="170">
        <f ca="1">AH565*AD$4/AF565/AG565</f>
        <v>3.2914285714285708E-2</v>
      </c>
      <c r="AJ565" s="594">
        <f ca="1">ROUND(AI565*10000,0)</f>
        <v>329</v>
      </c>
      <c r="AL565" s="512">
        <v>10</v>
      </c>
      <c r="AM565" s="516" t="s">
        <v>2298</v>
      </c>
      <c r="AN565" s="529" t="s">
        <v>2444</v>
      </c>
      <c r="AO565" s="508" t="e">
        <f t="shared" ca="1" si="616"/>
        <v>#N/A</v>
      </c>
      <c r="AP565" s="508">
        <v>1</v>
      </c>
      <c r="AQ565" s="625">
        <v>5.4000000000000003E-3</v>
      </c>
      <c r="AR565" s="170" t="e">
        <f t="shared" ca="1" si="595"/>
        <v>#N/A</v>
      </c>
      <c r="AS565" s="508" t="e">
        <f t="shared" ca="1" si="596"/>
        <v>#N/A</v>
      </c>
      <c r="AU565" s="512">
        <v>10</v>
      </c>
      <c r="AV565" s="512" t="s">
        <v>2272</v>
      </c>
      <c r="AW565" s="529" t="s">
        <v>2452</v>
      </c>
      <c r="AX565" s="508" t="str">
        <f t="shared" ca="1" si="614"/>
        <v>T2部件</v>
      </c>
      <c r="AY565" s="632">
        <v>1.5</v>
      </c>
      <c r="AZ565" s="600">
        <v>4.4000000000000003E-3</v>
      </c>
      <c r="BA565" s="170" t="e">
        <f t="shared" ca="1" si="598"/>
        <v>#VALUE!</v>
      </c>
      <c r="BB565" s="508" t="e">
        <f t="shared" ca="1" si="599"/>
        <v>#VALUE!</v>
      </c>
      <c r="BD565" s="512">
        <v>10</v>
      </c>
      <c r="BE565" s="512" t="s">
        <v>2272</v>
      </c>
      <c r="BF565" s="529" t="s">
        <v>2452</v>
      </c>
      <c r="BG565" s="508" t="str">
        <f t="shared" ca="1" si="615"/>
        <v>T2部件</v>
      </c>
      <c r="BH565" s="615">
        <v>2.5</v>
      </c>
      <c r="BI565" s="615">
        <v>5.0000000000000001E-3</v>
      </c>
      <c r="BJ565" s="170" t="e">
        <f t="shared" ca="1" si="609"/>
        <v>#VALUE!</v>
      </c>
      <c r="BK565" s="394" t="e">
        <f t="shared" ca="1" si="610"/>
        <v>#VALUE!</v>
      </c>
    </row>
    <row r="566" spans="29:63" x14ac:dyDescent="0.35">
      <c r="AC566" s="595">
        <v>10</v>
      </c>
      <c r="AD566" s="601" t="s">
        <v>2880</v>
      </c>
      <c r="AE566" s="601" t="s">
        <v>2879</v>
      </c>
      <c r="AF566" s="594">
        <f t="shared" ca="1" si="613"/>
        <v>60</v>
      </c>
      <c r="AG566" s="594">
        <v>1</v>
      </c>
      <c r="AH566" s="594">
        <v>1.9E-2</v>
      </c>
      <c r="AI566" s="170">
        <f ca="1">AH566*AD$4/AF566/AG566</f>
        <v>2.0266666666666665E-2</v>
      </c>
      <c r="AJ566" s="594">
        <f ca="1">ROUND(AI566*10000,0)</f>
        <v>203</v>
      </c>
      <c r="AL566" s="512">
        <v>10</v>
      </c>
      <c r="AM566" s="516" t="s">
        <v>2300</v>
      </c>
      <c r="AN566" s="529" t="s">
        <v>2444</v>
      </c>
      <c r="AO566" s="508" t="e">
        <f t="shared" ca="1" si="616"/>
        <v>#N/A</v>
      </c>
      <c r="AP566" s="508">
        <v>1</v>
      </c>
      <c r="AQ566" s="625">
        <v>5.4000000000000003E-3</v>
      </c>
      <c r="AR566" s="170" t="e">
        <f t="shared" ca="1" si="595"/>
        <v>#N/A</v>
      </c>
      <c r="AS566" s="508" t="e">
        <f t="shared" ca="1" si="596"/>
        <v>#N/A</v>
      </c>
      <c r="AU566" s="512">
        <v>10</v>
      </c>
      <c r="AV566" s="512" t="s">
        <v>2274</v>
      </c>
      <c r="AW566" s="529" t="s">
        <v>2452</v>
      </c>
      <c r="AX566" s="508" t="str">
        <f t="shared" ca="1" si="614"/>
        <v>T2部件</v>
      </c>
      <c r="AY566" s="632">
        <v>1.5</v>
      </c>
      <c r="AZ566" s="600">
        <v>4.4000000000000003E-3</v>
      </c>
      <c r="BA566" s="170" t="e">
        <f t="shared" ca="1" si="598"/>
        <v>#VALUE!</v>
      </c>
      <c r="BB566" s="508" t="e">
        <f t="shared" ca="1" si="599"/>
        <v>#VALUE!</v>
      </c>
      <c r="BD566" s="512">
        <v>10</v>
      </c>
      <c r="BE566" s="512" t="s">
        <v>2274</v>
      </c>
      <c r="BF566" s="529" t="s">
        <v>2452</v>
      </c>
      <c r="BG566" s="508" t="str">
        <f t="shared" ca="1" si="615"/>
        <v>T2部件</v>
      </c>
      <c r="BH566" s="615">
        <v>2.5</v>
      </c>
      <c r="BI566" s="615">
        <v>5.0000000000000001E-3</v>
      </c>
      <c r="BJ566" s="170" t="e">
        <f t="shared" ca="1" si="609"/>
        <v>#VALUE!</v>
      </c>
      <c r="BK566" s="394" t="e">
        <f t="shared" ca="1" si="610"/>
        <v>#VALUE!</v>
      </c>
    </row>
    <row r="567" spans="29:63" x14ac:dyDescent="0.35">
      <c r="AC567" s="276"/>
      <c r="AD567" s="276"/>
      <c r="AE567" s="556"/>
      <c r="AF567" s="157"/>
      <c r="AG567" s="157"/>
      <c r="AH567" s="157"/>
      <c r="AI567" s="538"/>
      <c r="AJ567" s="157"/>
      <c r="AL567" s="512">
        <v>10</v>
      </c>
      <c r="AM567" s="516" t="s">
        <v>2302</v>
      </c>
      <c r="AN567" s="529" t="s">
        <v>2444</v>
      </c>
      <c r="AO567" s="508" t="e">
        <f t="shared" ca="1" si="616"/>
        <v>#N/A</v>
      </c>
      <c r="AP567" s="508">
        <v>1</v>
      </c>
      <c r="AQ567" s="625">
        <v>5.4000000000000003E-3</v>
      </c>
      <c r="AR567" s="170" t="e">
        <f t="shared" ca="1" si="595"/>
        <v>#N/A</v>
      </c>
      <c r="AS567" s="508" t="e">
        <f t="shared" ca="1" si="596"/>
        <v>#N/A</v>
      </c>
      <c r="AU567" s="512">
        <v>10</v>
      </c>
      <c r="AV567" s="516" t="s">
        <v>2259</v>
      </c>
      <c r="AW567" s="529" t="s">
        <v>2452</v>
      </c>
      <c r="AX567" s="508" t="str">
        <f t="shared" ca="1" si="614"/>
        <v>T2部件</v>
      </c>
      <c r="AY567" s="632">
        <v>1.5</v>
      </c>
      <c r="AZ567" s="600">
        <v>4.4000000000000003E-3</v>
      </c>
      <c r="BA567" s="170" t="e">
        <f t="shared" ca="1" si="598"/>
        <v>#VALUE!</v>
      </c>
      <c r="BB567" s="508" t="e">
        <f t="shared" ca="1" si="599"/>
        <v>#VALUE!</v>
      </c>
      <c r="BD567" s="512">
        <v>10</v>
      </c>
      <c r="BE567" s="516" t="s">
        <v>2259</v>
      </c>
      <c r="BF567" s="529" t="s">
        <v>2452</v>
      </c>
      <c r="BG567" s="508" t="str">
        <f t="shared" ca="1" si="615"/>
        <v>T2部件</v>
      </c>
      <c r="BH567" s="615">
        <v>2.5</v>
      </c>
      <c r="BI567" s="615">
        <v>5.0000000000000001E-3</v>
      </c>
      <c r="BJ567" s="170" t="e">
        <f t="shared" ca="1" si="609"/>
        <v>#VALUE!</v>
      </c>
      <c r="BK567" s="394" t="e">
        <f t="shared" ca="1" si="610"/>
        <v>#VALUE!</v>
      </c>
    </row>
    <row r="568" spans="29:63" x14ac:dyDescent="0.35">
      <c r="AL568" s="512">
        <v>10</v>
      </c>
      <c r="AM568" s="516" t="s">
        <v>2304</v>
      </c>
      <c r="AN568" s="529" t="s">
        <v>2444</v>
      </c>
      <c r="AO568" s="508" t="e">
        <f t="shared" ca="1" si="616"/>
        <v>#N/A</v>
      </c>
      <c r="AP568" s="508">
        <v>1</v>
      </c>
      <c r="AQ568" s="625">
        <v>5.4000000000000003E-3</v>
      </c>
      <c r="AR568" s="170" t="e">
        <f t="shared" ca="1" si="595"/>
        <v>#N/A</v>
      </c>
      <c r="AS568" s="508" t="e">
        <f t="shared" ca="1" si="596"/>
        <v>#N/A</v>
      </c>
      <c r="AU568" s="512">
        <v>10</v>
      </c>
      <c r="AV568" s="516" t="s">
        <v>2261</v>
      </c>
      <c r="AW568" s="529" t="s">
        <v>2452</v>
      </c>
      <c r="AX568" s="508" t="str">
        <f t="shared" ca="1" si="614"/>
        <v>T2部件</v>
      </c>
      <c r="AY568" s="632">
        <v>1.5</v>
      </c>
      <c r="AZ568" s="565">
        <v>4.3E-3</v>
      </c>
      <c r="BA568" s="170" t="e">
        <f t="shared" ca="1" si="598"/>
        <v>#VALUE!</v>
      </c>
      <c r="BB568" s="508" t="e">
        <f t="shared" ca="1" si="599"/>
        <v>#VALUE!</v>
      </c>
      <c r="BD568" s="512">
        <v>10</v>
      </c>
      <c r="BE568" s="516" t="s">
        <v>2261</v>
      </c>
      <c r="BF568" s="529" t="s">
        <v>2452</v>
      </c>
      <c r="BG568" s="508" t="str">
        <f t="shared" ca="1" si="615"/>
        <v>T2部件</v>
      </c>
      <c r="BH568" s="615">
        <v>2.5</v>
      </c>
      <c r="BI568" s="615">
        <v>5.0000000000000001E-3</v>
      </c>
      <c r="BJ568" s="170" t="e">
        <f t="shared" ca="1" si="609"/>
        <v>#VALUE!</v>
      </c>
      <c r="BK568" s="394" t="e">
        <f t="shared" ca="1" si="610"/>
        <v>#VALUE!</v>
      </c>
    </row>
    <row r="569" spans="29:63" x14ac:dyDescent="0.35">
      <c r="AL569" s="512">
        <v>10</v>
      </c>
      <c r="AM569" s="516" t="s">
        <v>2306</v>
      </c>
      <c r="AN569" s="529" t="s">
        <v>2444</v>
      </c>
      <c r="AO569" s="508" t="e">
        <f t="shared" ca="1" si="616"/>
        <v>#N/A</v>
      </c>
      <c r="AP569" s="508">
        <v>1</v>
      </c>
      <c r="AQ569" s="625">
        <v>5.4000000000000003E-3</v>
      </c>
      <c r="AR569" s="170" t="e">
        <f t="shared" ca="1" si="595"/>
        <v>#N/A</v>
      </c>
      <c r="AS569" s="508" t="e">
        <f t="shared" ca="1" si="596"/>
        <v>#N/A</v>
      </c>
      <c r="AU569" s="512">
        <v>10</v>
      </c>
      <c r="AV569" s="516" t="s">
        <v>2263</v>
      </c>
      <c r="AW569" s="529" t="s">
        <v>2452</v>
      </c>
      <c r="AX569" s="508" t="str">
        <f t="shared" ca="1" si="614"/>
        <v>T2部件</v>
      </c>
      <c r="AY569" s="632">
        <v>1.5</v>
      </c>
      <c r="AZ569" s="565">
        <v>4.3E-3</v>
      </c>
      <c r="BA569" s="170" t="e">
        <f t="shared" ca="1" si="598"/>
        <v>#VALUE!</v>
      </c>
      <c r="BB569" s="508" t="e">
        <f t="shared" ca="1" si="599"/>
        <v>#VALUE!</v>
      </c>
      <c r="BD569" s="512">
        <v>10</v>
      </c>
      <c r="BE569" s="516" t="s">
        <v>2263</v>
      </c>
      <c r="BF569" s="529" t="s">
        <v>2452</v>
      </c>
      <c r="BG569" s="508" t="str">
        <f t="shared" ca="1" si="615"/>
        <v>T2部件</v>
      </c>
      <c r="BH569" s="615">
        <v>2.5</v>
      </c>
      <c r="BI569" s="615">
        <v>5.0000000000000001E-3</v>
      </c>
      <c r="BJ569" s="170" t="e">
        <f t="shared" ca="1" si="609"/>
        <v>#VALUE!</v>
      </c>
      <c r="BK569" s="394" t="e">
        <f t="shared" ca="1" si="610"/>
        <v>#VALUE!</v>
      </c>
    </row>
    <row r="570" spans="29:63" x14ac:dyDescent="0.35">
      <c r="AL570" s="512">
        <v>10</v>
      </c>
      <c r="AM570" s="512" t="s">
        <v>2308</v>
      </c>
      <c r="AN570" s="529" t="s">
        <v>2444</v>
      </c>
      <c r="AO570" s="508" t="e">
        <f t="shared" ca="1" si="616"/>
        <v>#N/A</v>
      </c>
      <c r="AP570" s="508">
        <v>1</v>
      </c>
      <c r="AQ570" s="625">
        <v>5.4000000000000003E-3</v>
      </c>
      <c r="AR570" s="170" t="e">
        <f t="shared" ca="1" si="595"/>
        <v>#N/A</v>
      </c>
      <c r="AS570" s="508" t="e">
        <f t="shared" ca="1" si="596"/>
        <v>#N/A</v>
      </c>
      <c r="AU570" s="512">
        <v>10</v>
      </c>
      <c r="AV570" s="516" t="s">
        <v>2265</v>
      </c>
      <c r="AW570" s="529" t="s">
        <v>2452</v>
      </c>
      <c r="AX570" s="508" t="str">
        <f t="shared" ca="1" si="614"/>
        <v>T2部件</v>
      </c>
      <c r="AY570" s="632">
        <v>1.5</v>
      </c>
      <c r="AZ570" s="565">
        <v>4.3E-3</v>
      </c>
      <c r="BA570" s="170" t="e">
        <f t="shared" ca="1" si="598"/>
        <v>#VALUE!</v>
      </c>
      <c r="BB570" s="508" t="e">
        <f t="shared" ca="1" si="599"/>
        <v>#VALUE!</v>
      </c>
      <c r="BD570" s="512">
        <v>10</v>
      </c>
      <c r="BE570" s="516" t="s">
        <v>2265</v>
      </c>
      <c r="BF570" s="529" t="s">
        <v>2452</v>
      </c>
      <c r="BG570" s="508" t="str">
        <f t="shared" ca="1" si="615"/>
        <v>T2部件</v>
      </c>
      <c r="BH570" s="615">
        <v>2.5</v>
      </c>
      <c r="BI570" s="615">
        <v>5.0000000000000001E-3</v>
      </c>
      <c r="BJ570" s="170" t="e">
        <f t="shared" ca="1" si="609"/>
        <v>#VALUE!</v>
      </c>
      <c r="BK570" s="394" t="e">
        <f t="shared" ca="1" si="610"/>
        <v>#VALUE!</v>
      </c>
    </row>
    <row r="571" spans="29:63" x14ac:dyDescent="0.35">
      <c r="AL571" s="512">
        <v>10</v>
      </c>
      <c r="AM571" s="512" t="s">
        <v>2310</v>
      </c>
      <c r="AN571" s="529" t="s">
        <v>2444</v>
      </c>
      <c r="AO571" s="508" t="e">
        <f t="shared" ca="1" si="616"/>
        <v>#N/A</v>
      </c>
      <c r="AP571" s="508">
        <v>1</v>
      </c>
      <c r="AQ571" s="625">
        <v>5.4000000000000003E-3</v>
      </c>
      <c r="AR571" s="170" t="e">
        <f t="shared" ca="1" si="595"/>
        <v>#N/A</v>
      </c>
      <c r="AS571" s="508" t="e">
        <f t="shared" ca="1" si="596"/>
        <v>#N/A</v>
      </c>
      <c r="AU571" s="512">
        <v>10</v>
      </c>
      <c r="AV571" s="516" t="s">
        <v>2267</v>
      </c>
      <c r="AW571" s="529" t="s">
        <v>2452</v>
      </c>
      <c r="AX571" s="508" t="str">
        <f t="shared" ca="1" si="614"/>
        <v>T2部件</v>
      </c>
      <c r="AY571" s="632">
        <v>1.5</v>
      </c>
      <c r="AZ571" s="565">
        <v>4.3E-3</v>
      </c>
      <c r="BA571" s="170" t="e">
        <f t="shared" ca="1" si="598"/>
        <v>#VALUE!</v>
      </c>
      <c r="BB571" s="508" t="e">
        <f t="shared" ca="1" si="599"/>
        <v>#VALUE!</v>
      </c>
      <c r="BD571" s="512">
        <v>10</v>
      </c>
      <c r="BE571" s="516" t="s">
        <v>2267</v>
      </c>
      <c r="BF571" s="529" t="s">
        <v>2452</v>
      </c>
      <c r="BG571" s="508" t="str">
        <f t="shared" ca="1" si="615"/>
        <v>T2部件</v>
      </c>
      <c r="BH571" s="615">
        <v>2.5</v>
      </c>
      <c r="BI571" s="615">
        <v>5.0000000000000001E-3</v>
      </c>
      <c r="BJ571" s="170" t="e">
        <f t="shared" ca="1" si="609"/>
        <v>#VALUE!</v>
      </c>
      <c r="BK571" s="394" t="e">
        <f t="shared" ca="1" si="610"/>
        <v>#VALUE!</v>
      </c>
    </row>
    <row r="572" spans="29:63" x14ac:dyDescent="0.35">
      <c r="AL572" s="512">
        <v>10</v>
      </c>
      <c r="AM572" s="516" t="s">
        <v>2295</v>
      </c>
      <c r="AN572" s="529" t="s">
        <v>2444</v>
      </c>
      <c r="AO572" s="508" t="e">
        <f t="shared" ca="1" si="616"/>
        <v>#N/A</v>
      </c>
      <c r="AP572" s="508">
        <v>1</v>
      </c>
      <c r="AQ572" s="625">
        <v>5.4000000000000003E-3</v>
      </c>
      <c r="AR572" s="170" t="e">
        <f t="shared" ca="1" si="595"/>
        <v>#N/A</v>
      </c>
      <c r="AS572" s="508" t="e">
        <f t="shared" ca="1" si="596"/>
        <v>#N/A</v>
      </c>
      <c r="AU572" s="512">
        <v>10</v>
      </c>
      <c r="AV572" s="516" t="s">
        <v>2269</v>
      </c>
      <c r="AW572" s="529" t="s">
        <v>2452</v>
      </c>
      <c r="AX572" s="508" t="str">
        <f t="shared" ca="1" si="614"/>
        <v>T2部件</v>
      </c>
      <c r="AY572" s="632">
        <v>1.5</v>
      </c>
      <c r="AZ572" s="565">
        <v>4.3E-3</v>
      </c>
      <c r="BA572" s="170" t="e">
        <f t="shared" ca="1" si="598"/>
        <v>#VALUE!</v>
      </c>
      <c r="BB572" s="508" t="e">
        <f t="shared" ca="1" si="599"/>
        <v>#VALUE!</v>
      </c>
      <c r="BD572" s="512">
        <v>10</v>
      </c>
      <c r="BE572" s="516" t="s">
        <v>2269</v>
      </c>
      <c r="BF572" s="529" t="s">
        <v>2452</v>
      </c>
      <c r="BG572" s="508" t="str">
        <f t="shared" ca="1" si="615"/>
        <v>T2部件</v>
      </c>
      <c r="BH572" s="615">
        <v>2.5</v>
      </c>
      <c r="BI572" s="615">
        <v>5.0000000000000001E-3</v>
      </c>
      <c r="BJ572" s="170" t="e">
        <f t="shared" ca="1" si="609"/>
        <v>#VALUE!</v>
      </c>
      <c r="BK572" s="394" t="e">
        <f t="shared" ca="1" si="610"/>
        <v>#VALUE!</v>
      </c>
    </row>
    <row r="573" spans="29:63" x14ac:dyDescent="0.35">
      <c r="AL573" s="512">
        <v>10</v>
      </c>
      <c r="AM573" s="516" t="s">
        <v>2297</v>
      </c>
      <c r="AN573" s="529" t="s">
        <v>2444</v>
      </c>
      <c r="AO573" s="508" t="e">
        <f t="shared" ca="1" si="616"/>
        <v>#N/A</v>
      </c>
      <c r="AP573" s="508">
        <v>1</v>
      </c>
      <c r="AQ573" s="625">
        <v>5.4000000000000003E-3</v>
      </c>
      <c r="AR573" s="170" t="e">
        <f t="shared" ca="1" si="595"/>
        <v>#N/A</v>
      </c>
      <c r="AS573" s="508" t="e">
        <f t="shared" ca="1" si="596"/>
        <v>#N/A</v>
      </c>
      <c r="AU573" s="512">
        <v>10</v>
      </c>
      <c r="AV573" s="516" t="s">
        <v>2271</v>
      </c>
      <c r="AW573" s="529" t="s">
        <v>2452</v>
      </c>
      <c r="AX573" s="508" t="str">
        <f t="shared" ca="1" si="614"/>
        <v>T2部件</v>
      </c>
      <c r="AY573" s="632">
        <v>1.5</v>
      </c>
      <c r="AZ573" s="565">
        <v>4.3E-3</v>
      </c>
      <c r="BA573" s="170" t="e">
        <f t="shared" ca="1" si="598"/>
        <v>#VALUE!</v>
      </c>
      <c r="BB573" s="508" t="e">
        <f t="shared" ca="1" si="599"/>
        <v>#VALUE!</v>
      </c>
      <c r="BD573" s="512">
        <v>10</v>
      </c>
      <c r="BE573" s="516" t="s">
        <v>2271</v>
      </c>
      <c r="BF573" s="529" t="s">
        <v>2452</v>
      </c>
      <c r="BG573" s="508" t="str">
        <f t="shared" ca="1" si="615"/>
        <v>T2部件</v>
      </c>
      <c r="BH573" s="615">
        <v>2.5</v>
      </c>
      <c r="BI573" s="615">
        <v>5.0000000000000001E-3</v>
      </c>
      <c r="BJ573" s="170" t="e">
        <f t="shared" ca="1" si="609"/>
        <v>#VALUE!</v>
      </c>
      <c r="BK573" s="394" t="e">
        <f t="shared" ca="1" si="610"/>
        <v>#VALUE!</v>
      </c>
    </row>
    <row r="574" spans="29:63" x14ac:dyDescent="0.35">
      <c r="AL574" s="512">
        <v>10</v>
      </c>
      <c r="AM574" s="516" t="s">
        <v>2299</v>
      </c>
      <c r="AN574" s="529" t="s">
        <v>2444</v>
      </c>
      <c r="AO574" s="508" t="e">
        <f t="shared" ca="1" si="616"/>
        <v>#N/A</v>
      </c>
      <c r="AP574" s="508">
        <v>1</v>
      </c>
      <c r="AQ574" s="625">
        <v>5.4000000000000003E-3</v>
      </c>
      <c r="AR574" s="170" t="e">
        <f t="shared" ca="1" si="595"/>
        <v>#N/A</v>
      </c>
      <c r="AS574" s="508" t="e">
        <f t="shared" ca="1" si="596"/>
        <v>#N/A</v>
      </c>
      <c r="AU574" s="512">
        <v>10</v>
      </c>
      <c r="AV574" s="512" t="s">
        <v>2273</v>
      </c>
      <c r="AW574" s="529" t="s">
        <v>2452</v>
      </c>
      <c r="AX574" s="508" t="str">
        <f t="shared" ca="1" si="614"/>
        <v>T2部件</v>
      </c>
      <c r="AY574" s="632">
        <v>1.5</v>
      </c>
      <c r="AZ574" s="565">
        <v>4.3E-3</v>
      </c>
      <c r="BA574" s="170" t="e">
        <f t="shared" ca="1" si="598"/>
        <v>#VALUE!</v>
      </c>
      <c r="BB574" s="508" t="e">
        <f t="shared" ca="1" si="599"/>
        <v>#VALUE!</v>
      </c>
      <c r="BD574" s="512">
        <v>10</v>
      </c>
      <c r="BE574" s="512" t="s">
        <v>2273</v>
      </c>
      <c r="BF574" s="529" t="s">
        <v>2452</v>
      </c>
      <c r="BG574" s="508" t="str">
        <f t="shared" ca="1" si="615"/>
        <v>T2部件</v>
      </c>
      <c r="BH574" s="615">
        <v>2.5</v>
      </c>
      <c r="BI574" s="615">
        <v>5.0000000000000001E-3</v>
      </c>
      <c r="BJ574" s="170" t="e">
        <f t="shared" ca="1" si="609"/>
        <v>#VALUE!</v>
      </c>
      <c r="BK574" s="394" t="e">
        <f t="shared" ca="1" si="610"/>
        <v>#VALUE!</v>
      </c>
    </row>
    <row r="575" spans="29:63" x14ac:dyDescent="0.35">
      <c r="AL575" s="512">
        <v>10</v>
      </c>
      <c r="AM575" s="516" t="s">
        <v>2301</v>
      </c>
      <c r="AN575" s="529" t="s">
        <v>2444</v>
      </c>
      <c r="AO575" s="508" t="e">
        <f t="shared" ca="1" si="616"/>
        <v>#N/A</v>
      </c>
      <c r="AP575" s="508">
        <v>1</v>
      </c>
      <c r="AQ575" s="625">
        <v>5.4000000000000003E-3</v>
      </c>
      <c r="AR575" s="170" t="e">
        <f t="shared" ca="1" si="595"/>
        <v>#N/A</v>
      </c>
      <c r="AS575" s="508" t="e">
        <f t="shared" ca="1" si="596"/>
        <v>#N/A</v>
      </c>
      <c r="AU575" s="512">
        <v>10</v>
      </c>
      <c r="AV575" s="512" t="s">
        <v>2275</v>
      </c>
      <c r="AW575" s="529" t="s">
        <v>2452</v>
      </c>
      <c r="AX575" s="508" t="str">
        <f t="shared" ca="1" si="614"/>
        <v>T2部件</v>
      </c>
      <c r="AY575" s="632">
        <v>1.5</v>
      </c>
      <c r="AZ575" s="565">
        <v>4.3E-3</v>
      </c>
      <c r="BA575" s="170" t="e">
        <f t="shared" ca="1" si="598"/>
        <v>#VALUE!</v>
      </c>
      <c r="BB575" s="508" t="e">
        <f t="shared" ca="1" si="599"/>
        <v>#VALUE!</v>
      </c>
      <c r="BD575" s="512">
        <v>10</v>
      </c>
      <c r="BE575" s="512" t="s">
        <v>2275</v>
      </c>
      <c r="BF575" s="529" t="s">
        <v>2452</v>
      </c>
      <c r="BG575" s="508" t="str">
        <f t="shared" ca="1" si="615"/>
        <v>T2部件</v>
      </c>
      <c r="BH575" s="615">
        <v>2.5</v>
      </c>
      <c r="BI575" s="615">
        <v>5.0000000000000001E-3</v>
      </c>
      <c r="BJ575" s="170" t="e">
        <f t="shared" ca="1" si="609"/>
        <v>#VALUE!</v>
      </c>
      <c r="BK575" s="394" t="e">
        <f t="shared" ca="1" si="610"/>
        <v>#VALUE!</v>
      </c>
    </row>
    <row r="576" spans="29:63" x14ac:dyDescent="0.35">
      <c r="AL576" s="512">
        <v>10</v>
      </c>
      <c r="AM576" s="516" t="s">
        <v>2303</v>
      </c>
      <c r="AN576" s="529" t="s">
        <v>2444</v>
      </c>
      <c r="AO576" s="508" t="e">
        <f t="shared" ca="1" si="616"/>
        <v>#N/A</v>
      </c>
      <c r="AP576" s="508">
        <v>1</v>
      </c>
      <c r="AQ576" s="625">
        <v>5.4000000000000003E-3</v>
      </c>
      <c r="AR576" s="170" t="e">
        <f t="shared" ca="1" si="595"/>
        <v>#N/A</v>
      </c>
      <c r="AS576" s="508" t="e">
        <f t="shared" ca="1" si="596"/>
        <v>#N/A</v>
      </c>
      <c r="AU576" s="512">
        <v>10</v>
      </c>
      <c r="AV576" s="516" t="s">
        <v>2276</v>
      </c>
      <c r="AW576" s="529" t="s">
        <v>2452</v>
      </c>
      <c r="AX576" s="508" t="str">
        <f t="shared" ca="1" si="614"/>
        <v>T3部件</v>
      </c>
      <c r="AY576" s="615">
        <v>1</v>
      </c>
      <c r="AZ576" s="600">
        <v>5.3E-3</v>
      </c>
      <c r="BA576" s="170" t="e">
        <f t="shared" ca="1" si="598"/>
        <v>#VALUE!</v>
      </c>
      <c r="BB576" s="508" t="e">
        <f t="shared" ca="1" si="599"/>
        <v>#VALUE!</v>
      </c>
      <c r="BD576" s="512">
        <v>10</v>
      </c>
      <c r="BE576" s="516" t="s">
        <v>2276</v>
      </c>
      <c r="BF576" s="529" t="s">
        <v>2452</v>
      </c>
      <c r="BG576" s="508" t="str">
        <f t="shared" ca="1" si="615"/>
        <v>T3部件</v>
      </c>
      <c r="BH576" s="615">
        <v>1</v>
      </c>
      <c r="BI576" s="615">
        <v>5.0000000000000001E-3</v>
      </c>
      <c r="BJ576" s="170" t="e">
        <f t="shared" ca="1" si="609"/>
        <v>#VALUE!</v>
      </c>
      <c r="BK576" s="394" t="e">
        <f t="shared" ca="1" si="610"/>
        <v>#VALUE!</v>
      </c>
    </row>
    <row r="577" spans="38:63" x14ac:dyDescent="0.35">
      <c r="AL577" s="512">
        <v>10</v>
      </c>
      <c r="AM577" s="516" t="s">
        <v>2305</v>
      </c>
      <c r="AN577" s="529" t="s">
        <v>2444</v>
      </c>
      <c r="AO577" s="508" t="e">
        <f t="shared" ca="1" si="616"/>
        <v>#N/A</v>
      </c>
      <c r="AP577" s="508">
        <v>1</v>
      </c>
      <c r="AQ577" s="625">
        <v>5.4000000000000003E-3</v>
      </c>
      <c r="AR577" s="170" t="e">
        <f t="shared" ca="1" si="595"/>
        <v>#N/A</v>
      </c>
      <c r="AS577" s="508" t="e">
        <f t="shared" ca="1" si="596"/>
        <v>#N/A</v>
      </c>
      <c r="AU577" s="512">
        <v>10</v>
      </c>
      <c r="AV577" s="516" t="s">
        <v>2278</v>
      </c>
      <c r="AW577" s="529" t="s">
        <v>2452</v>
      </c>
      <c r="AX577" s="508" t="str">
        <f t="shared" ca="1" si="614"/>
        <v>T3部件</v>
      </c>
      <c r="AY577" s="615">
        <v>1</v>
      </c>
      <c r="AZ577" s="600">
        <v>5.3E-3</v>
      </c>
      <c r="BA577" s="170" t="e">
        <f t="shared" ca="1" si="598"/>
        <v>#VALUE!</v>
      </c>
      <c r="BB577" s="508" t="e">
        <f t="shared" ca="1" si="599"/>
        <v>#VALUE!</v>
      </c>
      <c r="BD577" s="512">
        <v>10</v>
      </c>
      <c r="BE577" s="516" t="s">
        <v>2278</v>
      </c>
      <c r="BF577" s="529" t="s">
        <v>2452</v>
      </c>
      <c r="BG577" s="508" t="str">
        <f t="shared" ca="1" si="615"/>
        <v>T3部件</v>
      </c>
      <c r="BH577" s="615">
        <v>1</v>
      </c>
      <c r="BI577" s="615">
        <v>5.0000000000000001E-3</v>
      </c>
      <c r="BJ577" s="170" t="e">
        <f t="shared" ca="1" si="609"/>
        <v>#VALUE!</v>
      </c>
      <c r="BK577" s="394" t="e">
        <f t="shared" ca="1" si="610"/>
        <v>#VALUE!</v>
      </c>
    </row>
    <row r="578" spans="38:63" x14ac:dyDescent="0.35">
      <c r="AL578" s="512">
        <v>10</v>
      </c>
      <c r="AM578" s="516" t="s">
        <v>2307</v>
      </c>
      <c r="AN578" s="529" t="s">
        <v>2444</v>
      </c>
      <c r="AO578" s="508" t="e">
        <f t="shared" ca="1" si="616"/>
        <v>#N/A</v>
      </c>
      <c r="AP578" s="508">
        <v>1</v>
      </c>
      <c r="AQ578" s="625">
        <v>5.4000000000000003E-3</v>
      </c>
      <c r="AR578" s="170" t="e">
        <f t="shared" ca="1" si="595"/>
        <v>#N/A</v>
      </c>
      <c r="AS578" s="508" t="e">
        <f t="shared" ca="1" si="596"/>
        <v>#N/A</v>
      </c>
      <c r="AU578" s="512">
        <v>10</v>
      </c>
      <c r="AV578" s="516" t="s">
        <v>2280</v>
      </c>
      <c r="AW578" s="529" t="s">
        <v>2452</v>
      </c>
      <c r="AX578" s="508" t="str">
        <f t="shared" ca="1" si="614"/>
        <v>T3部件</v>
      </c>
      <c r="AY578" s="615">
        <v>1</v>
      </c>
      <c r="AZ578" s="600">
        <v>5.3E-3</v>
      </c>
      <c r="BA578" s="170" t="e">
        <f t="shared" ca="1" si="598"/>
        <v>#VALUE!</v>
      </c>
      <c r="BB578" s="508" t="e">
        <f t="shared" ca="1" si="599"/>
        <v>#VALUE!</v>
      </c>
      <c r="BD578" s="512">
        <v>10</v>
      </c>
      <c r="BE578" s="516" t="s">
        <v>2280</v>
      </c>
      <c r="BF578" s="529" t="s">
        <v>2452</v>
      </c>
      <c r="BG578" s="508" t="str">
        <f t="shared" ca="1" si="615"/>
        <v>T3部件</v>
      </c>
      <c r="BH578" s="615">
        <v>1</v>
      </c>
      <c r="BI578" s="615">
        <v>5.0000000000000001E-3</v>
      </c>
      <c r="BJ578" s="170" t="e">
        <f ca="1">BI578*BE$4/BG578/BH578</f>
        <v>#VALUE!</v>
      </c>
      <c r="BK578" s="379" t="e">
        <f ca="1">ROUND(BJ578*10000,0)</f>
        <v>#VALUE!</v>
      </c>
    </row>
    <row r="579" spans="38:63" x14ac:dyDescent="0.35">
      <c r="AL579" s="512">
        <v>10</v>
      </c>
      <c r="AM579" s="512" t="s">
        <v>2309</v>
      </c>
      <c r="AN579" s="529" t="s">
        <v>2444</v>
      </c>
      <c r="AO579" s="508" t="e">
        <f t="shared" ca="1" si="616"/>
        <v>#N/A</v>
      </c>
      <c r="AP579" s="508">
        <v>1</v>
      </c>
      <c r="AQ579" s="625">
        <v>5.4000000000000003E-3</v>
      </c>
      <c r="AR579" s="170" t="e">
        <f t="shared" ca="1" si="595"/>
        <v>#N/A</v>
      </c>
      <c r="AS579" s="508" t="e">
        <f t="shared" ca="1" si="596"/>
        <v>#N/A</v>
      </c>
      <c r="AU579" s="512">
        <v>10</v>
      </c>
      <c r="AV579" s="516" t="s">
        <v>2282</v>
      </c>
      <c r="AW579" s="529" t="s">
        <v>2452</v>
      </c>
      <c r="AX579" s="508" t="str">
        <f t="shared" ca="1" si="614"/>
        <v>T3部件</v>
      </c>
      <c r="AY579" s="615">
        <v>1</v>
      </c>
      <c r="AZ579" s="600">
        <v>5.3E-3</v>
      </c>
      <c r="BA579" s="170" t="e">
        <f t="shared" ca="1" si="598"/>
        <v>#VALUE!</v>
      </c>
      <c r="BB579" s="508" t="e">
        <f t="shared" ca="1" si="599"/>
        <v>#VALUE!</v>
      </c>
      <c r="BD579" s="512">
        <v>10</v>
      </c>
      <c r="BE579" s="516" t="s">
        <v>2282</v>
      </c>
      <c r="BF579" s="529" t="s">
        <v>2452</v>
      </c>
      <c r="BG579" s="508" t="str">
        <f t="shared" ca="1" si="615"/>
        <v>T3部件</v>
      </c>
      <c r="BH579" s="615">
        <v>1</v>
      </c>
      <c r="BI579" s="615">
        <v>5.0000000000000001E-3</v>
      </c>
      <c r="BJ579" s="170" t="e">
        <f t="shared" ref="BJ579:BJ611" ca="1" si="617">BI579*BE$4/BG579/BH579</f>
        <v>#VALUE!</v>
      </c>
      <c r="BK579" s="508" t="e">
        <f t="shared" ref="BK579:BK611" ca="1" si="618">ROUND(BJ579*10000,0)</f>
        <v>#VALUE!</v>
      </c>
    </row>
    <row r="580" spans="38:63" x14ac:dyDescent="0.35">
      <c r="AL580" s="512">
        <v>10</v>
      </c>
      <c r="AM580" s="512" t="s">
        <v>2311</v>
      </c>
      <c r="AN580" s="529" t="s">
        <v>2444</v>
      </c>
      <c r="AO580" s="508" t="e">
        <f t="shared" ca="1" si="616"/>
        <v>#N/A</v>
      </c>
      <c r="AP580" s="508">
        <v>1</v>
      </c>
      <c r="AQ580" s="625">
        <v>5.4000000000000003E-3</v>
      </c>
      <c r="AR580" s="170" t="e">
        <f t="shared" ca="1" si="595"/>
        <v>#N/A</v>
      </c>
      <c r="AS580" s="508" t="e">
        <f t="shared" ca="1" si="596"/>
        <v>#N/A</v>
      </c>
      <c r="AU580" s="512">
        <v>10</v>
      </c>
      <c r="AV580" s="516" t="s">
        <v>2284</v>
      </c>
      <c r="AW580" s="529" t="s">
        <v>2452</v>
      </c>
      <c r="AX580" s="508" t="str">
        <f t="shared" ca="1" si="614"/>
        <v>T3部件</v>
      </c>
      <c r="AY580" s="615">
        <v>1</v>
      </c>
      <c r="AZ580" s="600">
        <v>5.3E-3</v>
      </c>
      <c r="BA580" s="170" t="e">
        <f t="shared" ca="1" si="598"/>
        <v>#VALUE!</v>
      </c>
      <c r="BB580" s="508" t="e">
        <f t="shared" ca="1" si="599"/>
        <v>#VALUE!</v>
      </c>
      <c r="BD580" s="512">
        <v>10</v>
      </c>
      <c r="BE580" s="516" t="s">
        <v>2284</v>
      </c>
      <c r="BF580" s="529" t="s">
        <v>2452</v>
      </c>
      <c r="BG580" s="508" t="str">
        <f t="shared" ca="1" si="615"/>
        <v>T3部件</v>
      </c>
      <c r="BH580" s="615">
        <v>1</v>
      </c>
      <c r="BI580" s="615">
        <v>5.0000000000000001E-3</v>
      </c>
      <c r="BJ580" s="170" t="e">
        <f t="shared" ca="1" si="617"/>
        <v>#VALUE!</v>
      </c>
      <c r="BK580" s="508" t="e">
        <f t="shared" ca="1" si="618"/>
        <v>#VALUE!</v>
      </c>
    </row>
    <row r="581" spans="38:63" x14ac:dyDescent="0.35">
      <c r="AL581" s="595">
        <v>10</v>
      </c>
      <c r="AM581" s="601" t="s">
        <v>2878</v>
      </c>
      <c r="AN581" s="601" t="s">
        <v>2879</v>
      </c>
      <c r="AO581" s="594">
        <f t="shared" ref="AO581:AO584" ca="1" si="619">IF(AN581="部件",VLOOKUP(AL581,INDIRECT(AN581&amp;"价值"),MATCH(LEFT(AM581,2)&amp;"部件",INDIRECT(AN581&amp;"价值标头"),0),FALSE),IF(AN581="加速道具",VLOOKUP(AM581,INDIRECT(AN581&amp;"价值"),MATCH("价格",INDIRECT(AN581&amp;"价值标头"),0),FALSE),VLOOKUP(AL581,INDIRECT(AN581&amp;"价值"),MATCH(AM581,INDIRECT(AN581&amp;"价值标头"),0),FALSE)))</f>
        <v>35</v>
      </c>
      <c r="AP581" s="600">
        <v>1</v>
      </c>
      <c r="AQ581" s="594">
        <v>8.0000000000000002E-3</v>
      </c>
      <c r="AR581" s="170">
        <f t="shared" ca="1" si="595"/>
        <v>2.2171428571428571E-2</v>
      </c>
      <c r="AS581" s="594">
        <f t="shared" ca="1" si="596"/>
        <v>222</v>
      </c>
      <c r="AU581" s="512">
        <v>10</v>
      </c>
      <c r="AV581" s="516" t="s">
        <v>2286</v>
      </c>
      <c r="AW581" s="529" t="s">
        <v>2452</v>
      </c>
      <c r="AX581" s="508" t="str">
        <f t="shared" ca="1" si="614"/>
        <v>T3部件</v>
      </c>
      <c r="AY581" s="615">
        <v>1</v>
      </c>
      <c r="AZ581" s="600">
        <v>5.3E-3</v>
      </c>
      <c r="BA581" s="170" t="e">
        <f t="shared" ca="1" si="598"/>
        <v>#VALUE!</v>
      </c>
      <c r="BB581" s="508" t="e">
        <f t="shared" ca="1" si="599"/>
        <v>#VALUE!</v>
      </c>
      <c r="BD581" s="512">
        <v>10</v>
      </c>
      <c r="BE581" s="516" t="s">
        <v>2286</v>
      </c>
      <c r="BF581" s="529" t="s">
        <v>2452</v>
      </c>
      <c r="BG581" s="508" t="str">
        <f t="shared" ca="1" si="615"/>
        <v>T3部件</v>
      </c>
      <c r="BH581" s="615">
        <v>1</v>
      </c>
      <c r="BI581" s="615">
        <v>5.0000000000000001E-3</v>
      </c>
      <c r="BJ581" s="170" t="e">
        <f t="shared" ca="1" si="617"/>
        <v>#VALUE!</v>
      </c>
      <c r="BK581" s="508" t="e">
        <f t="shared" ca="1" si="618"/>
        <v>#VALUE!</v>
      </c>
    </row>
    <row r="582" spans="38:63" x14ac:dyDescent="0.35">
      <c r="AL582" s="595">
        <v>10</v>
      </c>
      <c r="AM582" s="601" t="s">
        <v>2880</v>
      </c>
      <c r="AN582" s="601" t="s">
        <v>2879</v>
      </c>
      <c r="AO582" s="594">
        <f t="shared" ca="1" si="619"/>
        <v>60</v>
      </c>
      <c r="AP582" s="600">
        <v>1</v>
      </c>
      <c r="AQ582" s="594">
        <v>8.9999999999999993E-3</v>
      </c>
      <c r="AR582" s="170">
        <f t="shared" ref="AR582:AR584" ca="1" si="620">AQ582*AM$4/AO582/AP582</f>
        <v>1.4549999999999999E-2</v>
      </c>
      <c r="AS582" s="594">
        <f t="shared" ref="AS582:AS584" ca="1" si="621">ROUND(AR582*10000,0)</f>
        <v>146</v>
      </c>
      <c r="AU582" s="512">
        <v>10</v>
      </c>
      <c r="AV582" s="516" t="s">
        <v>2288</v>
      </c>
      <c r="AW582" s="529" t="s">
        <v>2452</v>
      </c>
      <c r="AX582" s="508" t="str">
        <f t="shared" ca="1" si="614"/>
        <v>T3部件</v>
      </c>
      <c r="AY582" s="615">
        <v>1</v>
      </c>
      <c r="AZ582" s="600">
        <v>5.3E-3</v>
      </c>
      <c r="BA582" s="170" t="e">
        <f t="shared" ca="1" si="598"/>
        <v>#VALUE!</v>
      </c>
      <c r="BB582" s="508" t="e">
        <f t="shared" ca="1" si="599"/>
        <v>#VALUE!</v>
      </c>
      <c r="BD582" s="512">
        <v>10</v>
      </c>
      <c r="BE582" s="516" t="s">
        <v>2288</v>
      </c>
      <c r="BF582" s="529" t="s">
        <v>2452</v>
      </c>
      <c r="BG582" s="508" t="str">
        <f t="shared" ca="1" si="615"/>
        <v>T3部件</v>
      </c>
      <c r="BH582" s="615">
        <v>1</v>
      </c>
      <c r="BI582" s="615">
        <v>5.0000000000000001E-3</v>
      </c>
      <c r="BJ582" s="170" t="e">
        <f t="shared" ca="1" si="617"/>
        <v>#VALUE!</v>
      </c>
      <c r="BK582" s="508" t="e">
        <f t="shared" ca="1" si="618"/>
        <v>#VALUE!</v>
      </c>
    </row>
    <row r="583" spans="38:63" x14ac:dyDescent="0.35">
      <c r="AL583" s="595">
        <v>10</v>
      </c>
      <c r="AM583" s="601" t="s">
        <v>2881</v>
      </c>
      <c r="AN583" s="601" t="s">
        <v>2879</v>
      </c>
      <c r="AO583" s="594">
        <f t="shared" ca="1" si="619"/>
        <v>70</v>
      </c>
      <c r="AP583" s="600">
        <v>1</v>
      </c>
      <c r="AQ583" s="594">
        <v>0.01</v>
      </c>
      <c r="AR583" s="170">
        <f t="shared" ca="1" si="620"/>
        <v>1.3857142857142856E-2</v>
      </c>
      <c r="AS583" s="594">
        <f t="shared" ca="1" si="621"/>
        <v>139</v>
      </c>
      <c r="AU583" s="512">
        <v>10</v>
      </c>
      <c r="AV583" s="512" t="s">
        <v>2290</v>
      </c>
      <c r="AW583" s="529" t="s">
        <v>2452</v>
      </c>
      <c r="AX583" s="508" t="str">
        <f t="shared" ca="1" si="614"/>
        <v>T3部件</v>
      </c>
      <c r="AY583" s="615">
        <v>1</v>
      </c>
      <c r="AZ583" s="600">
        <v>5.3E-3</v>
      </c>
      <c r="BA583" s="170" t="e">
        <f t="shared" ca="1" si="598"/>
        <v>#VALUE!</v>
      </c>
      <c r="BB583" s="508" t="e">
        <f t="shared" ca="1" si="599"/>
        <v>#VALUE!</v>
      </c>
      <c r="BD583" s="512">
        <v>10</v>
      </c>
      <c r="BE583" s="512" t="s">
        <v>2290</v>
      </c>
      <c r="BF583" s="529" t="s">
        <v>2452</v>
      </c>
      <c r="BG583" s="508" t="str">
        <f t="shared" ca="1" si="615"/>
        <v>T3部件</v>
      </c>
      <c r="BH583" s="600">
        <v>1</v>
      </c>
      <c r="BI583" s="615">
        <v>5.0000000000000001E-3</v>
      </c>
      <c r="BJ583" s="170" t="e">
        <f t="shared" ca="1" si="617"/>
        <v>#VALUE!</v>
      </c>
      <c r="BK583" s="508" t="e">
        <f t="shared" ca="1" si="618"/>
        <v>#VALUE!</v>
      </c>
    </row>
    <row r="584" spans="38:63" x14ac:dyDescent="0.35">
      <c r="AL584" s="595">
        <v>10</v>
      </c>
      <c r="AM584" s="601" t="s">
        <v>2882</v>
      </c>
      <c r="AN584" s="601" t="s">
        <v>2879</v>
      </c>
      <c r="AO584" s="594">
        <f t="shared" ca="1" si="619"/>
        <v>125</v>
      </c>
      <c r="AP584" s="600">
        <v>1</v>
      </c>
      <c r="AQ584" s="594">
        <v>0.01</v>
      </c>
      <c r="AR584" s="170">
        <f t="shared" ca="1" si="620"/>
        <v>7.7599999999999995E-3</v>
      </c>
      <c r="AS584" s="594">
        <f t="shared" ca="1" si="621"/>
        <v>78</v>
      </c>
      <c r="AU584" s="512">
        <v>10</v>
      </c>
      <c r="AV584" s="512" t="s">
        <v>2292</v>
      </c>
      <c r="AW584" s="529" t="s">
        <v>2452</v>
      </c>
      <c r="AX584" s="508" t="str">
        <f t="shared" ca="1" si="614"/>
        <v>T3部件</v>
      </c>
      <c r="AY584" s="615">
        <v>1</v>
      </c>
      <c r="AZ584" s="600">
        <v>5.3E-3</v>
      </c>
      <c r="BA584" s="170" t="e">
        <f t="shared" ca="1" si="598"/>
        <v>#VALUE!</v>
      </c>
      <c r="BB584" s="508" t="e">
        <f t="shared" ca="1" si="599"/>
        <v>#VALUE!</v>
      </c>
      <c r="BD584" s="512">
        <v>10</v>
      </c>
      <c r="BE584" s="512" t="s">
        <v>2292</v>
      </c>
      <c r="BF584" s="529" t="s">
        <v>2452</v>
      </c>
      <c r="BG584" s="508" t="str">
        <f t="shared" ca="1" si="615"/>
        <v>T3部件</v>
      </c>
      <c r="BH584" s="600">
        <v>1</v>
      </c>
      <c r="BI584" s="615">
        <v>5.1000000000000004E-3</v>
      </c>
      <c r="BJ584" s="170" t="e">
        <f t="shared" ca="1" si="617"/>
        <v>#VALUE!</v>
      </c>
      <c r="BK584" s="508" t="e">
        <f t="shared" ca="1" si="618"/>
        <v>#VALUE!</v>
      </c>
    </row>
    <row r="585" spans="38:63" x14ac:dyDescent="0.35">
      <c r="AU585" s="512">
        <v>10</v>
      </c>
      <c r="AV585" s="516" t="s">
        <v>2277</v>
      </c>
      <c r="AW585" s="529" t="s">
        <v>2452</v>
      </c>
      <c r="AX585" s="508" t="str">
        <f t="shared" ca="1" si="614"/>
        <v>T3部件</v>
      </c>
      <c r="AY585" s="615">
        <v>1</v>
      </c>
      <c r="AZ585" s="600">
        <v>5.3E-3</v>
      </c>
      <c r="BA585" s="170" t="e">
        <f t="shared" ca="1" si="598"/>
        <v>#VALUE!</v>
      </c>
      <c r="BB585" s="508" t="e">
        <f t="shared" ca="1" si="599"/>
        <v>#VALUE!</v>
      </c>
      <c r="BD585" s="512">
        <v>10</v>
      </c>
      <c r="BE585" s="516" t="s">
        <v>2277</v>
      </c>
      <c r="BF585" s="529" t="s">
        <v>2452</v>
      </c>
      <c r="BG585" s="508" t="str">
        <f t="shared" ca="1" si="615"/>
        <v>T3部件</v>
      </c>
      <c r="BH585" s="600">
        <v>1</v>
      </c>
      <c r="BI585" s="615">
        <v>5.1000000000000004E-3</v>
      </c>
      <c r="BJ585" s="170" t="e">
        <f t="shared" ca="1" si="617"/>
        <v>#VALUE!</v>
      </c>
      <c r="BK585" s="508" t="e">
        <f t="shared" ca="1" si="618"/>
        <v>#VALUE!</v>
      </c>
    </row>
    <row r="586" spans="38:63" x14ac:dyDescent="0.35">
      <c r="AU586" s="512">
        <v>10</v>
      </c>
      <c r="AV586" s="516" t="s">
        <v>2279</v>
      </c>
      <c r="AW586" s="529" t="s">
        <v>2452</v>
      </c>
      <c r="AX586" s="508" t="str">
        <f t="shared" ref="AX586:AX611" ca="1" si="622">IF(AW586="部件",VLOOKUP(AU586,INDIRECT(AW586&amp;"价值"),MATCH(LEFT(AV586,2)&amp;"部件",INDIRECT(AW586&amp;"价值标头"),0),FALSE),IF(AW586="加速道具",VLOOKUP(AV586,INDIRECT(AW586&amp;"价值"),MATCH("价格",INDIRECT(AW586&amp;"价值标头"),0),FALSE),VLOOKUP(AU586,INDIRECT(AW586&amp;"价值"),MATCH(AV586,INDIRECT(AW586&amp;"价值标头"),0),FALSE)))</f>
        <v>T3部件</v>
      </c>
      <c r="AY586" s="615">
        <v>1</v>
      </c>
      <c r="AZ586" s="600">
        <v>5.3E-3</v>
      </c>
      <c r="BA586" s="170" t="e">
        <f t="shared" ca="1" si="598"/>
        <v>#VALUE!</v>
      </c>
      <c r="BB586" s="508" t="e">
        <f t="shared" ca="1" si="599"/>
        <v>#VALUE!</v>
      </c>
      <c r="BD586" s="512">
        <v>10</v>
      </c>
      <c r="BE586" s="516" t="s">
        <v>2279</v>
      </c>
      <c r="BF586" s="529" t="s">
        <v>2452</v>
      </c>
      <c r="BG586" s="508" t="str">
        <f t="shared" ref="BG586:BG611" ca="1" si="623">IF(BF586="部件",VLOOKUP(BD586,INDIRECT(BF586&amp;"价值"),MATCH(LEFT(BE586,2)&amp;"部件",INDIRECT(BF586&amp;"价值标头"),0),FALSE),IF(BF586="加速道具",VLOOKUP(BE586,INDIRECT(BF586&amp;"价值"),MATCH("价格",INDIRECT(BF586&amp;"价值标头"),0),FALSE),VLOOKUP(BD586,INDIRECT(BF586&amp;"价值"),MATCH(BE586,INDIRECT(BF586&amp;"价值标头"),0),FALSE)))</f>
        <v>T3部件</v>
      </c>
      <c r="BH586" s="600">
        <v>1</v>
      </c>
      <c r="BI586" s="615">
        <v>5.1000000000000004E-3</v>
      </c>
      <c r="BJ586" s="170" t="e">
        <f t="shared" ca="1" si="617"/>
        <v>#VALUE!</v>
      </c>
      <c r="BK586" s="508" t="e">
        <f t="shared" ca="1" si="618"/>
        <v>#VALUE!</v>
      </c>
    </row>
    <row r="587" spans="38:63" x14ac:dyDescent="0.35">
      <c r="AU587" s="512">
        <v>10</v>
      </c>
      <c r="AV587" s="516" t="s">
        <v>2281</v>
      </c>
      <c r="AW587" s="529" t="s">
        <v>2452</v>
      </c>
      <c r="AX587" s="508" t="str">
        <f t="shared" ca="1" si="622"/>
        <v>T3部件</v>
      </c>
      <c r="AY587" s="615">
        <v>1</v>
      </c>
      <c r="AZ587" s="600">
        <v>5.3E-3</v>
      </c>
      <c r="BA587" s="170" t="e">
        <f t="shared" ca="1" si="598"/>
        <v>#VALUE!</v>
      </c>
      <c r="BB587" s="508" t="e">
        <f t="shared" ca="1" si="599"/>
        <v>#VALUE!</v>
      </c>
      <c r="BD587" s="512">
        <v>10</v>
      </c>
      <c r="BE587" s="516" t="s">
        <v>2281</v>
      </c>
      <c r="BF587" s="529" t="s">
        <v>2452</v>
      </c>
      <c r="BG587" s="508" t="str">
        <f t="shared" ca="1" si="623"/>
        <v>T3部件</v>
      </c>
      <c r="BH587" s="600">
        <v>1</v>
      </c>
      <c r="BI587" s="615">
        <v>5.1000000000000004E-3</v>
      </c>
      <c r="BJ587" s="170" t="e">
        <f t="shared" ca="1" si="617"/>
        <v>#VALUE!</v>
      </c>
      <c r="BK587" s="508" t="e">
        <f t="shared" ca="1" si="618"/>
        <v>#VALUE!</v>
      </c>
    </row>
    <row r="588" spans="38:63" x14ac:dyDescent="0.35">
      <c r="AU588" s="512">
        <v>10</v>
      </c>
      <c r="AV588" s="516" t="s">
        <v>2283</v>
      </c>
      <c r="AW588" s="529" t="s">
        <v>2452</v>
      </c>
      <c r="AX588" s="508" t="str">
        <f t="shared" ca="1" si="622"/>
        <v>T3部件</v>
      </c>
      <c r="AY588" s="615">
        <v>1</v>
      </c>
      <c r="AZ588" s="600">
        <v>5.3E-3</v>
      </c>
      <c r="BA588" s="170" t="e">
        <f t="shared" ref="BA588:BA602" ca="1" si="624">AZ588*AV$4/AX588/AY588</f>
        <v>#VALUE!</v>
      </c>
      <c r="BB588" s="508" t="e">
        <f t="shared" ca="1" si="599"/>
        <v>#VALUE!</v>
      </c>
      <c r="BD588" s="512">
        <v>10</v>
      </c>
      <c r="BE588" s="516" t="s">
        <v>2283</v>
      </c>
      <c r="BF588" s="529" t="s">
        <v>2452</v>
      </c>
      <c r="BG588" s="508" t="str">
        <f t="shared" ca="1" si="623"/>
        <v>T3部件</v>
      </c>
      <c r="BH588" s="600">
        <v>1</v>
      </c>
      <c r="BI588" s="615">
        <v>5.1000000000000004E-3</v>
      </c>
      <c r="BJ588" s="170" t="e">
        <f t="shared" ca="1" si="617"/>
        <v>#VALUE!</v>
      </c>
      <c r="BK588" s="508" t="e">
        <f t="shared" ca="1" si="618"/>
        <v>#VALUE!</v>
      </c>
    </row>
    <row r="589" spans="38:63" x14ac:dyDescent="0.35">
      <c r="AU589" s="512">
        <v>10</v>
      </c>
      <c r="AV589" s="516" t="s">
        <v>2285</v>
      </c>
      <c r="AW589" s="529" t="s">
        <v>2452</v>
      </c>
      <c r="AX589" s="508" t="str">
        <f t="shared" ca="1" si="622"/>
        <v>T3部件</v>
      </c>
      <c r="AY589" s="615">
        <v>1</v>
      </c>
      <c r="AZ589" s="600">
        <v>5.3E-3</v>
      </c>
      <c r="BA589" s="170" t="e">
        <f t="shared" ca="1" si="624"/>
        <v>#VALUE!</v>
      </c>
      <c r="BB589" s="508" t="e">
        <f t="shared" ca="1" si="599"/>
        <v>#VALUE!</v>
      </c>
      <c r="BD589" s="512">
        <v>10</v>
      </c>
      <c r="BE589" s="516" t="s">
        <v>2285</v>
      </c>
      <c r="BF589" s="529" t="s">
        <v>2452</v>
      </c>
      <c r="BG589" s="508" t="str">
        <f t="shared" ca="1" si="623"/>
        <v>T3部件</v>
      </c>
      <c r="BH589" s="600">
        <v>1</v>
      </c>
      <c r="BI589" s="615">
        <v>5.1000000000000004E-3</v>
      </c>
      <c r="BJ589" s="170" t="e">
        <f t="shared" ca="1" si="617"/>
        <v>#VALUE!</v>
      </c>
      <c r="BK589" s="508" t="e">
        <f t="shared" ca="1" si="618"/>
        <v>#VALUE!</v>
      </c>
    </row>
    <row r="590" spans="38:63" x14ac:dyDescent="0.35">
      <c r="AU590" s="512">
        <v>10</v>
      </c>
      <c r="AV590" s="516" t="s">
        <v>2287</v>
      </c>
      <c r="AW590" s="529" t="s">
        <v>2452</v>
      </c>
      <c r="AX590" s="508" t="str">
        <f t="shared" ca="1" si="622"/>
        <v>T3部件</v>
      </c>
      <c r="AY590" s="615">
        <v>1</v>
      </c>
      <c r="AZ590" s="600">
        <v>5.3E-3</v>
      </c>
      <c r="BA590" s="170" t="e">
        <f t="shared" ca="1" si="624"/>
        <v>#VALUE!</v>
      </c>
      <c r="BB590" s="508" t="e">
        <f t="shared" ca="1" si="599"/>
        <v>#VALUE!</v>
      </c>
      <c r="BD590" s="512">
        <v>10</v>
      </c>
      <c r="BE590" s="516" t="s">
        <v>2287</v>
      </c>
      <c r="BF590" s="529" t="s">
        <v>2452</v>
      </c>
      <c r="BG590" s="508" t="str">
        <f t="shared" ca="1" si="623"/>
        <v>T3部件</v>
      </c>
      <c r="BH590" s="600">
        <v>1</v>
      </c>
      <c r="BI590" s="615">
        <v>5.1000000000000004E-3</v>
      </c>
      <c r="BJ590" s="170" t="e">
        <f t="shared" ca="1" si="617"/>
        <v>#VALUE!</v>
      </c>
      <c r="BK590" s="508" t="e">
        <f t="shared" ca="1" si="618"/>
        <v>#VALUE!</v>
      </c>
    </row>
    <row r="591" spans="38:63" x14ac:dyDescent="0.35">
      <c r="AU591" s="512">
        <v>10</v>
      </c>
      <c r="AV591" s="516" t="s">
        <v>2289</v>
      </c>
      <c r="AW591" s="529" t="s">
        <v>2452</v>
      </c>
      <c r="AX591" s="508" t="str">
        <f t="shared" ca="1" si="622"/>
        <v>T3部件</v>
      </c>
      <c r="AY591" s="615">
        <v>1</v>
      </c>
      <c r="AZ591" s="600">
        <v>5.3E-3</v>
      </c>
      <c r="BA591" s="170" t="e">
        <f t="shared" ca="1" si="624"/>
        <v>#VALUE!</v>
      </c>
      <c r="BB591" s="508" t="e">
        <f t="shared" ca="1" si="599"/>
        <v>#VALUE!</v>
      </c>
      <c r="BD591" s="512">
        <v>10</v>
      </c>
      <c r="BE591" s="516" t="s">
        <v>2289</v>
      </c>
      <c r="BF591" s="529" t="s">
        <v>2452</v>
      </c>
      <c r="BG591" s="508" t="str">
        <f t="shared" ca="1" si="623"/>
        <v>T3部件</v>
      </c>
      <c r="BH591" s="600">
        <v>1</v>
      </c>
      <c r="BI591" s="615">
        <v>5.1000000000000004E-3</v>
      </c>
      <c r="BJ591" s="170" t="e">
        <f t="shared" ca="1" si="617"/>
        <v>#VALUE!</v>
      </c>
      <c r="BK591" s="508" t="e">
        <f t="shared" ca="1" si="618"/>
        <v>#VALUE!</v>
      </c>
    </row>
    <row r="592" spans="38:63" x14ac:dyDescent="0.35">
      <c r="AU592" s="512">
        <v>10</v>
      </c>
      <c r="AV592" s="512" t="s">
        <v>2291</v>
      </c>
      <c r="AW592" s="529" t="s">
        <v>2452</v>
      </c>
      <c r="AX592" s="508" t="str">
        <f t="shared" ca="1" si="622"/>
        <v>T3部件</v>
      </c>
      <c r="AY592" s="615">
        <v>1</v>
      </c>
      <c r="AZ592" s="600">
        <v>5.3E-3</v>
      </c>
      <c r="BA592" s="170" t="e">
        <f t="shared" ca="1" si="624"/>
        <v>#VALUE!</v>
      </c>
      <c r="BB592" s="508" t="e">
        <f t="shared" ca="1" si="599"/>
        <v>#VALUE!</v>
      </c>
      <c r="BD592" s="512">
        <v>10</v>
      </c>
      <c r="BE592" s="512" t="s">
        <v>2291</v>
      </c>
      <c r="BF592" s="529" t="s">
        <v>2452</v>
      </c>
      <c r="BG592" s="508" t="str">
        <f t="shared" ca="1" si="623"/>
        <v>T3部件</v>
      </c>
      <c r="BH592" s="600">
        <v>1</v>
      </c>
      <c r="BI592" s="615">
        <v>5.1000000000000004E-3</v>
      </c>
      <c r="BJ592" s="170" t="e">
        <f t="shared" ca="1" si="617"/>
        <v>#VALUE!</v>
      </c>
      <c r="BK592" s="508" t="e">
        <f t="shared" ca="1" si="618"/>
        <v>#VALUE!</v>
      </c>
    </row>
    <row r="593" spans="47:63" x14ac:dyDescent="0.35">
      <c r="AU593" s="512">
        <v>10</v>
      </c>
      <c r="AV593" s="512" t="s">
        <v>2293</v>
      </c>
      <c r="AW593" s="529" t="s">
        <v>2452</v>
      </c>
      <c r="AX593" s="508" t="str">
        <f t="shared" ca="1" si="622"/>
        <v>T3部件</v>
      </c>
      <c r="AY593" s="615">
        <v>1</v>
      </c>
      <c r="AZ593" s="600">
        <v>5.3E-3</v>
      </c>
      <c r="BA593" s="170" t="e">
        <f t="shared" ca="1" si="624"/>
        <v>#VALUE!</v>
      </c>
      <c r="BB593" s="508" t="e">
        <f t="shared" ca="1" si="599"/>
        <v>#VALUE!</v>
      </c>
      <c r="BD593" s="512">
        <v>10</v>
      </c>
      <c r="BE593" s="512" t="s">
        <v>2293</v>
      </c>
      <c r="BF593" s="529" t="s">
        <v>2452</v>
      </c>
      <c r="BG593" s="508" t="str">
        <f t="shared" ca="1" si="623"/>
        <v>T3部件</v>
      </c>
      <c r="BH593" s="600">
        <v>1</v>
      </c>
      <c r="BI593" s="600">
        <v>5.1000000000000004E-3</v>
      </c>
      <c r="BJ593" s="170" t="e">
        <f t="shared" ca="1" si="617"/>
        <v>#VALUE!</v>
      </c>
      <c r="BK593" s="508" t="e">
        <f t="shared" ca="1" si="618"/>
        <v>#VALUE!</v>
      </c>
    </row>
    <row r="594" spans="47:63" x14ac:dyDescent="0.35">
      <c r="AU594" s="512">
        <v>10</v>
      </c>
      <c r="AV594" s="516" t="s">
        <v>2294</v>
      </c>
      <c r="AW594" s="529" t="s">
        <v>2444</v>
      </c>
      <c r="AX594" s="508" t="e">
        <f t="shared" ca="1" si="622"/>
        <v>#N/A</v>
      </c>
      <c r="AY594" s="615">
        <v>1</v>
      </c>
      <c r="AZ594" s="600">
        <v>5.3E-3</v>
      </c>
      <c r="BA594" s="170" t="e">
        <f t="shared" ca="1" si="624"/>
        <v>#N/A</v>
      </c>
      <c r="BB594" s="508" t="e">
        <f t="shared" ca="1" si="599"/>
        <v>#N/A</v>
      </c>
      <c r="BD594" s="512">
        <v>10</v>
      </c>
      <c r="BE594" s="516" t="s">
        <v>2294</v>
      </c>
      <c r="BF594" s="529" t="s">
        <v>2444</v>
      </c>
      <c r="BG594" s="508" t="e">
        <f t="shared" ca="1" si="623"/>
        <v>#N/A</v>
      </c>
      <c r="BH594" s="508">
        <v>1</v>
      </c>
      <c r="BI594" s="600">
        <v>5.4999999999999997E-3</v>
      </c>
      <c r="BJ594" s="170" t="e">
        <f t="shared" ca="1" si="617"/>
        <v>#N/A</v>
      </c>
      <c r="BK594" s="508" t="e">
        <f t="shared" ca="1" si="618"/>
        <v>#N/A</v>
      </c>
    </row>
    <row r="595" spans="47:63" x14ac:dyDescent="0.35">
      <c r="AU595" s="512">
        <v>10</v>
      </c>
      <c r="AV595" s="516" t="s">
        <v>2296</v>
      </c>
      <c r="AW595" s="529" t="s">
        <v>2444</v>
      </c>
      <c r="AX595" s="508" t="e">
        <f t="shared" ca="1" si="622"/>
        <v>#N/A</v>
      </c>
      <c r="AY595" s="615">
        <v>1</v>
      </c>
      <c r="AZ595" s="600">
        <v>5.3E-3</v>
      </c>
      <c r="BA595" s="170" t="e">
        <f t="shared" ca="1" si="624"/>
        <v>#N/A</v>
      </c>
      <c r="BB595" s="508" t="e">
        <f t="shared" ca="1" si="599"/>
        <v>#N/A</v>
      </c>
      <c r="BD595" s="512">
        <v>10</v>
      </c>
      <c r="BE595" s="516" t="s">
        <v>2296</v>
      </c>
      <c r="BF595" s="529" t="s">
        <v>2444</v>
      </c>
      <c r="BG595" s="508" t="e">
        <f t="shared" ca="1" si="623"/>
        <v>#N/A</v>
      </c>
      <c r="BH595" s="508">
        <v>1</v>
      </c>
      <c r="BI595" s="615">
        <v>5.4999999999999997E-3</v>
      </c>
      <c r="BJ595" s="170" t="e">
        <f t="shared" ca="1" si="617"/>
        <v>#N/A</v>
      </c>
      <c r="BK595" s="508" t="e">
        <f t="shared" ca="1" si="618"/>
        <v>#N/A</v>
      </c>
    </row>
    <row r="596" spans="47:63" x14ac:dyDescent="0.35">
      <c r="AU596" s="512">
        <v>10</v>
      </c>
      <c r="AV596" s="516" t="s">
        <v>2298</v>
      </c>
      <c r="AW596" s="529" t="s">
        <v>2444</v>
      </c>
      <c r="AX596" s="508" t="e">
        <f t="shared" ca="1" si="622"/>
        <v>#N/A</v>
      </c>
      <c r="AY596" s="615">
        <v>1</v>
      </c>
      <c r="AZ596" s="600">
        <v>5.3E-3</v>
      </c>
      <c r="BA596" s="170" t="e">
        <f t="shared" ca="1" si="624"/>
        <v>#N/A</v>
      </c>
      <c r="BB596" s="508" t="e">
        <f t="shared" ca="1" si="599"/>
        <v>#N/A</v>
      </c>
      <c r="BD596" s="512">
        <v>10</v>
      </c>
      <c r="BE596" s="516" t="s">
        <v>2298</v>
      </c>
      <c r="BF596" s="529" t="s">
        <v>2444</v>
      </c>
      <c r="BG596" s="508" t="e">
        <f t="shared" ca="1" si="623"/>
        <v>#N/A</v>
      </c>
      <c r="BH596" s="508">
        <v>1</v>
      </c>
      <c r="BI596" s="615">
        <v>5.4999999999999997E-3</v>
      </c>
      <c r="BJ596" s="170" t="e">
        <f t="shared" ca="1" si="617"/>
        <v>#N/A</v>
      </c>
      <c r="BK596" s="508" t="e">
        <f t="shared" ca="1" si="618"/>
        <v>#N/A</v>
      </c>
    </row>
    <row r="597" spans="47:63" x14ac:dyDescent="0.35">
      <c r="AU597" s="512">
        <v>10</v>
      </c>
      <c r="AV597" s="516" t="s">
        <v>2300</v>
      </c>
      <c r="AW597" s="529" t="s">
        <v>2444</v>
      </c>
      <c r="AX597" s="508" t="e">
        <f t="shared" ca="1" si="622"/>
        <v>#N/A</v>
      </c>
      <c r="AY597" s="615">
        <v>1</v>
      </c>
      <c r="AZ597" s="600">
        <v>5.3E-3</v>
      </c>
      <c r="BA597" s="170" t="e">
        <f t="shared" ca="1" si="624"/>
        <v>#N/A</v>
      </c>
      <c r="BB597" s="508" t="e">
        <f t="shared" ca="1" si="599"/>
        <v>#N/A</v>
      </c>
      <c r="BD597" s="512">
        <v>10</v>
      </c>
      <c r="BE597" s="516" t="s">
        <v>2300</v>
      </c>
      <c r="BF597" s="529" t="s">
        <v>2444</v>
      </c>
      <c r="BG597" s="508" t="e">
        <f t="shared" ca="1" si="623"/>
        <v>#N/A</v>
      </c>
      <c r="BH597" s="508">
        <v>1</v>
      </c>
      <c r="BI597" s="615">
        <v>5.4999999999999997E-3</v>
      </c>
      <c r="BJ597" s="170" t="e">
        <f t="shared" ca="1" si="617"/>
        <v>#N/A</v>
      </c>
      <c r="BK597" s="508" t="e">
        <f t="shared" ca="1" si="618"/>
        <v>#N/A</v>
      </c>
    </row>
    <row r="598" spans="47:63" x14ac:dyDescent="0.35">
      <c r="AU598" s="512">
        <v>10</v>
      </c>
      <c r="AV598" s="516" t="s">
        <v>2302</v>
      </c>
      <c r="AW598" s="529" t="s">
        <v>2444</v>
      </c>
      <c r="AX598" s="508" t="e">
        <f t="shared" ca="1" si="622"/>
        <v>#N/A</v>
      </c>
      <c r="AY598" s="615">
        <v>1</v>
      </c>
      <c r="AZ598" s="600">
        <v>5.3E-3</v>
      </c>
      <c r="BA598" s="170" t="e">
        <f t="shared" ca="1" si="624"/>
        <v>#N/A</v>
      </c>
      <c r="BB598" s="508" t="e">
        <f t="shared" ca="1" si="599"/>
        <v>#N/A</v>
      </c>
      <c r="BD598" s="512">
        <v>10</v>
      </c>
      <c r="BE598" s="516" t="s">
        <v>2302</v>
      </c>
      <c r="BF598" s="529" t="s">
        <v>2444</v>
      </c>
      <c r="BG598" s="508" t="e">
        <f t="shared" ca="1" si="623"/>
        <v>#N/A</v>
      </c>
      <c r="BH598" s="508">
        <v>1</v>
      </c>
      <c r="BI598" s="615">
        <v>5.4999999999999997E-3</v>
      </c>
      <c r="BJ598" s="170" t="e">
        <f t="shared" ca="1" si="617"/>
        <v>#N/A</v>
      </c>
      <c r="BK598" s="508" t="e">
        <f t="shared" ca="1" si="618"/>
        <v>#N/A</v>
      </c>
    </row>
    <row r="599" spans="47:63" x14ac:dyDescent="0.35">
      <c r="AU599" s="512">
        <v>10</v>
      </c>
      <c r="AV599" s="516" t="s">
        <v>2304</v>
      </c>
      <c r="AW599" s="529" t="s">
        <v>2444</v>
      </c>
      <c r="AX599" s="508" t="e">
        <f t="shared" ca="1" si="622"/>
        <v>#N/A</v>
      </c>
      <c r="AY599" s="615">
        <v>1</v>
      </c>
      <c r="AZ599" s="600">
        <v>5.3E-3</v>
      </c>
      <c r="BA599" s="170" t="e">
        <f t="shared" ca="1" si="624"/>
        <v>#N/A</v>
      </c>
      <c r="BB599" s="508" t="e">
        <f t="shared" ca="1" si="599"/>
        <v>#N/A</v>
      </c>
      <c r="BD599" s="512">
        <v>10</v>
      </c>
      <c r="BE599" s="516" t="s">
        <v>2304</v>
      </c>
      <c r="BF599" s="529" t="s">
        <v>2444</v>
      </c>
      <c r="BG599" s="508" t="e">
        <f t="shared" ca="1" si="623"/>
        <v>#N/A</v>
      </c>
      <c r="BH599" s="508">
        <v>1</v>
      </c>
      <c r="BI599" s="615">
        <v>5.4999999999999997E-3</v>
      </c>
      <c r="BJ599" s="170" t="e">
        <f t="shared" ca="1" si="617"/>
        <v>#N/A</v>
      </c>
      <c r="BK599" s="508" t="e">
        <f t="shared" ca="1" si="618"/>
        <v>#N/A</v>
      </c>
    </row>
    <row r="600" spans="47:63" x14ac:dyDescent="0.35">
      <c r="AU600" s="512">
        <v>10</v>
      </c>
      <c r="AV600" s="516" t="s">
        <v>2306</v>
      </c>
      <c r="AW600" s="529" t="s">
        <v>2444</v>
      </c>
      <c r="AX600" s="508" t="e">
        <f t="shared" ca="1" si="622"/>
        <v>#N/A</v>
      </c>
      <c r="AY600" s="615">
        <v>1</v>
      </c>
      <c r="AZ600" s="600">
        <v>5.3E-3</v>
      </c>
      <c r="BA600" s="170" t="e">
        <f t="shared" ca="1" si="624"/>
        <v>#N/A</v>
      </c>
      <c r="BB600" s="508" t="e">
        <f t="shared" ca="1" si="599"/>
        <v>#N/A</v>
      </c>
      <c r="BD600" s="512">
        <v>10</v>
      </c>
      <c r="BE600" s="516" t="s">
        <v>2306</v>
      </c>
      <c r="BF600" s="529" t="s">
        <v>2444</v>
      </c>
      <c r="BG600" s="508" t="e">
        <f t="shared" ca="1" si="623"/>
        <v>#N/A</v>
      </c>
      <c r="BH600" s="508">
        <v>1</v>
      </c>
      <c r="BI600" s="615">
        <v>5.4999999999999997E-3</v>
      </c>
      <c r="BJ600" s="170" t="e">
        <f t="shared" ca="1" si="617"/>
        <v>#N/A</v>
      </c>
      <c r="BK600" s="508" t="e">
        <f t="shared" ca="1" si="618"/>
        <v>#N/A</v>
      </c>
    </row>
    <row r="601" spans="47:63" x14ac:dyDescent="0.35">
      <c r="AU601" s="512">
        <v>10</v>
      </c>
      <c r="AV601" s="512" t="s">
        <v>2308</v>
      </c>
      <c r="AW601" s="529" t="s">
        <v>2444</v>
      </c>
      <c r="AX601" s="508" t="e">
        <f t="shared" ca="1" si="622"/>
        <v>#N/A</v>
      </c>
      <c r="AY601" s="615">
        <v>1</v>
      </c>
      <c r="AZ601" s="600">
        <v>5.3E-3</v>
      </c>
      <c r="BA601" s="170" t="e">
        <f t="shared" ca="1" si="624"/>
        <v>#N/A</v>
      </c>
      <c r="BB601" s="508" t="e">
        <f t="shared" ca="1" si="599"/>
        <v>#N/A</v>
      </c>
      <c r="BD601" s="512">
        <v>10</v>
      </c>
      <c r="BE601" s="512" t="s">
        <v>2308</v>
      </c>
      <c r="BF601" s="529" t="s">
        <v>2444</v>
      </c>
      <c r="BG601" s="508" t="e">
        <f t="shared" ca="1" si="623"/>
        <v>#N/A</v>
      </c>
      <c r="BH601" s="508">
        <v>1</v>
      </c>
      <c r="BI601" s="615">
        <v>5.4999999999999997E-3</v>
      </c>
      <c r="BJ601" s="170" t="e">
        <f t="shared" ca="1" si="617"/>
        <v>#N/A</v>
      </c>
      <c r="BK601" s="508" t="e">
        <f t="shared" ca="1" si="618"/>
        <v>#N/A</v>
      </c>
    </row>
    <row r="602" spans="47:63" x14ac:dyDescent="0.35">
      <c r="AU602" s="512">
        <v>10</v>
      </c>
      <c r="AV602" s="512" t="s">
        <v>2310</v>
      </c>
      <c r="AW602" s="529" t="s">
        <v>2444</v>
      </c>
      <c r="AX602" s="508" t="e">
        <f t="shared" ca="1" si="622"/>
        <v>#N/A</v>
      </c>
      <c r="AY602" s="615">
        <v>1</v>
      </c>
      <c r="AZ602" s="600">
        <v>5.3E-3</v>
      </c>
      <c r="BA602" s="170" t="e">
        <f t="shared" ca="1" si="624"/>
        <v>#N/A</v>
      </c>
      <c r="BB602" s="508" t="e">
        <f t="shared" ca="1" si="599"/>
        <v>#N/A</v>
      </c>
      <c r="BD602" s="512">
        <v>10</v>
      </c>
      <c r="BE602" s="512" t="s">
        <v>2310</v>
      </c>
      <c r="BF602" s="529" t="s">
        <v>2444</v>
      </c>
      <c r="BG602" s="508" t="e">
        <f t="shared" ca="1" si="623"/>
        <v>#N/A</v>
      </c>
      <c r="BH602" s="508">
        <v>1</v>
      </c>
      <c r="BI602" s="615">
        <v>5.4999999999999997E-3</v>
      </c>
      <c r="BJ602" s="170" t="e">
        <f t="shared" ca="1" si="617"/>
        <v>#N/A</v>
      </c>
      <c r="BK602" s="508" t="e">
        <f t="shared" ca="1" si="618"/>
        <v>#N/A</v>
      </c>
    </row>
    <row r="603" spans="47:63" x14ac:dyDescent="0.35">
      <c r="AU603" s="512">
        <v>10</v>
      </c>
      <c r="AV603" s="516" t="s">
        <v>2295</v>
      </c>
      <c r="AW603" s="529" t="s">
        <v>2444</v>
      </c>
      <c r="AX603" s="508" t="e">
        <f t="shared" ca="1" si="622"/>
        <v>#N/A</v>
      </c>
      <c r="AY603" s="565">
        <v>1</v>
      </c>
      <c r="AZ603" s="600">
        <v>5.3E-3</v>
      </c>
      <c r="BA603" s="170" t="e">
        <f t="shared" ref="BA603:BA611" ca="1" si="625">AZ603*AV$4/AX603/AY603</f>
        <v>#N/A</v>
      </c>
      <c r="BB603" s="508" t="e">
        <f t="shared" ref="BB603:BB611" ca="1" si="626">ROUND(BA603*10000,0)</f>
        <v>#N/A</v>
      </c>
      <c r="BD603" s="512">
        <v>10</v>
      </c>
      <c r="BE603" s="516" t="s">
        <v>2295</v>
      </c>
      <c r="BF603" s="529" t="s">
        <v>2444</v>
      </c>
      <c r="BG603" s="508" t="e">
        <f t="shared" ca="1" si="623"/>
        <v>#N/A</v>
      </c>
      <c r="BH603" s="508">
        <v>1</v>
      </c>
      <c r="BI603" s="615">
        <v>5.4999999999999997E-3</v>
      </c>
      <c r="BJ603" s="170" t="e">
        <f t="shared" ca="1" si="617"/>
        <v>#N/A</v>
      </c>
      <c r="BK603" s="508" t="e">
        <f t="shared" ca="1" si="618"/>
        <v>#N/A</v>
      </c>
    </row>
    <row r="604" spans="47:63" x14ac:dyDescent="0.35">
      <c r="AU604" s="512">
        <v>10</v>
      </c>
      <c r="AV604" s="516" t="s">
        <v>2297</v>
      </c>
      <c r="AW604" s="529" t="s">
        <v>2444</v>
      </c>
      <c r="AX604" s="508" t="e">
        <f t="shared" ca="1" si="622"/>
        <v>#N/A</v>
      </c>
      <c r="AY604" s="565">
        <v>1</v>
      </c>
      <c r="AZ604" s="600">
        <v>5.3E-3</v>
      </c>
      <c r="BA604" s="170" t="e">
        <f t="shared" ca="1" si="625"/>
        <v>#N/A</v>
      </c>
      <c r="BB604" s="508" t="e">
        <f t="shared" ca="1" si="626"/>
        <v>#N/A</v>
      </c>
      <c r="BD604" s="512">
        <v>10</v>
      </c>
      <c r="BE604" s="516" t="s">
        <v>2297</v>
      </c>
      <c r="BF604" s="529" t="s">
        <v>2444</v>
      </c>
      <c r="BG604" s="508" t="e">
        <f t="shared" ca="1" si="623"/>
        <v>#N/A</v>
      </c>
      <c r="BH604" s="508">
        <v>1</v>
      </c>
      <c r="BI604" s="615">
        <v>5.4999999999999997E-3</v>
      </c>
      <c r="BJ604" s="170" t="e">
        <f t="shared" ca="1" si="617"/>
        <v>#N/A</v>
      </c>
      <c r="BK604" s="508" t="e">
        <f t="shared" ca="1" si="618"/>
        <v>#N/A</v>
      </c>
    </row>
    <row r="605" spans="47:63" x14ac:dyDescent="0.35">
      <c r="AU605" s="512">
        <v>10</v>
      </c>
      <c r="AV605" s="516" t="s">
        <v>2299</v>
      </c>
      <c r="AW605" s="529" t="s">
        <v>2444</v>
      </c>
      <c r="AX605" s="508" t="e">
        <f t="shared" ca="1" si="622"/>
        <v>#N/A</v>
      </c>
      <c r="AY605" s="565">
        <v>1</v>
      </c>
      <c r="AZ605" s="600">
        <v>5.3E-3</v>
      </c>
      <c r="BA605" s="170" t="e">
        <f t="shared" ca="1" si="625"/>
        <v>#N/A</v>
      </c>
      <c r="BB605" s="508" t="e">
        <f t="shared" ca="1" si="626"/>
        <v>#N/A</v>
      </c>
      <c r="BD605" s="512">
        <v>10</v>
      </c>
      <c r="BE605" s="516" t="s">
        <v>2299</v>
      </c>
      <c r="BF605" s="529" t="s">
        <v>2444</v>
      </c>
      <c r="BG605" s="508" t="e">
        <f t="shared" ca="1" si="623"/>
        <v>#N/A</v>
      </c>
      <c r="BH605" s="508">
        <v>1</v>
      </c>
      <c r="BI605" s="615">
        <v>5.4999999999999997E-3</v>
      </c>
      <c r="BJ605" s="170" t="e">
        <f t="shared" ca="1" si="617"/>
        <v>#N/A</v>
      </c>
      <c r="BK605" s="508" t="e">
        <f t="shared" ca="1" si="618"/>
        <v>#N/A</v>
      </c>
    </row>
    <row r="606" spans="47:63" x14ac:dyDescent="0.35">
      <c r="AU606" s="512">
        <v>10</v>
      </c>
      <c r="AV606" s="516" t="s">
        <v>2301</v>
      </c>
      <c r="AW606" s="529" t="s">
        <v>2444</v>
      </c>
      <c r="AX606" s="508" t="e">
        <f t="shared" ca="1" si="622"/>
        <v>#N/A</v>
      </c>
      <c r="AY606" s="565">
        <v>1</v>
      </c>
      <c r="AZ606" s="600">
        <v>5.3E-3</v>
      </c>
      <c r="BA606" s="170" t="e">
        <f t="shared" ca="1" si="625"/>
        <v>#N/A</v>
      </c>
      <c r="BB606" s="508" t="e">
        <f t="shared" ca="1" si="626"/>
        <v>#N/A</v>
      </c>
      <c r="BD606" s="512">
        <v>10</v>
      </c>
      <c r="BE606" s="516" t="s">
        <v>2301</v>
      </c>
      <c r="BF606" s="529" t="s">
        <v>2444</v>
      </c>
      <c r="BG606" s="508" t="e">
        <f t="shared" ca="1" si="623"/>
        <v>#N/A</v>
      </c>
      <c r="BH606" s="508">
        <v>1</v>
      </c>
      <c r="BI606" s="615">
        <v>5.4999999999999997E-3</v>
      </c>
      <c r="BJ606" s="170" t="e">
        <f t="shared" ca="1" si="617"/>
        <v>#N/A</v>
      </c>
      <c r="BK606" s="508" t="e">
        <f t="shared" ca="1" si="618"/>
        <v>#N/A</v>
      </c>
    </row>
    <row r="607" spans="47:63" x14ac:dyDescent="0.35">
      <c r="AU607" s="512">
        <v>10</v>
      </c>
      <c r="AV607" s="516" t="s">
        <v>2303</v>
      </c>
      <c r="AW607" s="529" t="s">
        <v>2444</v>
      </c>
      <c r="AX607" s="508" t="e">
        <f t="shared" ca="1" si="622"/>
        <v>#N/A</v>
      </c>
      <c r="AY607" s="565">
        <v>1</v>
      </c>
      <c r="AZ607" s="600">
        <v>5.3E-3</v>
      </c>
      <c r="BA607" s="170" t="e">
        <f t="shared" ca="1" si="625"/>
        <v>#N/A</v>
      </c>
      <c r="BB607" s="508" t="e">
        <f t="shared" ca="1" si="626"/>
        <v>#N/A</v>
      </c>
      <c r="BD607" s="512">
        <v>10</v>
      </c>
      <c r="BE607" s="516" t="s">
        <v>2303</v>
      </c>
      <c r="BF607" s="529" t="s">
        <v>2444</v>
      </c>
      <c r="BG607" s="508" t="e">
        <f t="shared" ca="1" si="623"/>
        <v>#N/A</v>
      </c>
      <c r="BH607" s="508">
        <v>1</v>
      </c>
      <c r="BI607" s="615">
        <v>5.4999999999999997E-3</v>
      </c>
      <c r="BJ607" s="170" t="e">
        <f t="shared" ca="1" si="617"/>
        <v>#N/A</v>
      </c>
      <c r="BK607" s="508" t="e">
        <f t="shared" ca="1" si="618"/>
        <v>#N/A</v>
      </c>
    </row>
    <row r="608" spans="47:63" x14ac:dyDescent="0.35">
      <c r="AU608" s="512">
        <v>10</v>
      </c>
      <c r="AV608" s="516" t="s">
        <v>2305</v>
      </c>
      <c r="AW608" s="529" t="s">
        <v>2444</v>
      </c>
      <c r="AX608" s="508" t="e">
        <f t="shared" ca="1" si="622"/>
        <v>#N/A</v>
      </c>
      <c r="AY608" s="565">
        <v>1</v>
      </c>
      <c r="AZ608" s="600">
        <v>5.3E-3</v>
      </c>
      <c r="BA608" s="170" t="e">
        <f t="shared" ca="1" si="625"/>
        <v>#N/A</v>
      </c>
      <c r="BB608" s="508" t="e">
        <f t="shared" ca="1" si="626"/>
        <v>#N/A</v>
      </c>
      <c r="BD608" s="512">
        <v>10</v>
      </c>
      <c r="BE608" s="516" t="s">
        <v>2305</v>
      </c>
      <c r="BF608" s="529" t="s">
        <v>2444</v>
      </c>
      <c r="BG608" s="508" t="e">
        <f t="shared" ca="1" si="623"/>
        <v>#N/A</v>
      </c>
      <c r="BH608" s="508">
        <v>1</v>
      </c>
      <c r="BI608" s="615">
        <v>5.4999999999999997E-3</v>
      </c>
      <c r="BJ608" s="170" t="e">
        <f t="shared" ca="1" si="617"/>
        <v>#N/A</v>
      </c>
      <c r="BK608" s="508" t="e">
        <f t="shared" ca="1" si="618"/>
        <v>#N/A</v>
      </c>
    </row>
    <row r="609" spans="47:63" x14ac:dyDescent="0.35">
      <c r="AU609" s="512">
        <v>10</v>
      </c>
      <c r="AV609" s="516" t="s">
        <v>2307</v>
      </c>
      <c r="AW609" s="529" t="s">
        <v>2444</v>
      </c>
      <c r="AX609" s="508" t="e">
        <f t="shared" ca="1" si="622"/>
        <v>#N/A</v>
      </c>
      <c r="AY609" s="565">
        <v>1</v>
      </c>
      <c r="AZ609" s="600">
        <v>5.3E-3</v>
      </c>
      <c r="BA609" s="170" t="e">
        <f t="shared" ca="1" si="625"/>
        <v>#N/A</v>
      </c>
      <c r="BB609" s="508" t="e">
        <f t="shared" ca="1" si="626"/>
        <v>#N/A</v>
      </c>
      <c r="BD609" s="512">
        <v>10</v>
      </c>
      <c r="BE609" s="516" t="s">
        <v>2307</v>
      </c>
      <c r="BF609" s="529" t="s">
        <v>2444</v>
      </c>
      <c r="BG609" s="508" t="e">
        <f t="shared" ca="1" si="623"/>
        <v>#N/A</v>
      </c>
      <c r="BH609" s="508">
        <v>1</v>
      </c>
      <c r="BI609" s="615">
        <v>5.4999999999999997E-3</v>
      </c>
      <c r="BJ609" s="170" t="e">
        <f t="shared" ca="1" si="617"/>
        <v>#N/A</v>
      </c>
      <c r="BK609" s="508" t="e">
        <f t="shared" ca="1" si="618"/>
        <v>#N/A</v>
      </c>
    </row>
    <row r="610" spans="47:63" x14ac:dyDescent="0.35">
      <c r="AU610" s="512">
        <v>10</v>
      </c>
      <c r="AV610" s="512" t="s">
        <v>2309</v>
      </c>
      <c r="AW610" s="529" t="s">
        <v>2444</v>
      </c>
      <c r="AX610" s="508" t="e">
        <f t="shared" ca="1" si="622"/>
        <v>#N/A</v>
      </c>
      <c r="AY610" s="565">
        <v>1</v>
      </c>
      <c r="AZ610" s="600">
        <v>5.3E-3</v>
      </c>
      <c r="BA610" s="170" t="e">
        <f t="shared" ca="1" si="625"/>
        <v>#N/A</v>
      </c>
      <c r="BB610" s="508" t="e">
        <f t="shared" ca="1" si="626"/>
        <v>#N/A</v>
      </c>
      <c r="BD610" s="512">
        <v>10</v>
      </c>
      <c r="BE610" s="512" t="s">
        <v>2309</v>
      </c>
      <c r="BF610" s="529" t="s">
        <v>2444</v>
      </c>
      <c r="BG610" s="508" t="e">
        <f t="shared" ca="1" si="623"/>
        <v>#N/A</v>
      </c>
      <c r="BH610" s="508">
        <v>1</v>
      </c>
      <c r="BI610" s="615">
        <v>5.4999999999999997E-3</v>
      </c>
      <c r="BJ610" s="170" t="e">
        <f t="shared" ca="1" si="617"/>
        <v>#N/A</v>
      </c>
      <c r="BK610" s="508" t="e">
        <f t="shared" ca="1" si="618"/>
        <v>#N/A</v>
      </c>
    </row>
    <row r="611" spans="47:63" x14ac:dyDescent="0.35">
      <c r="AU611" s="512">
        <v>10</v>
      </c>
      <c r="AV611" s="512" t="s">
        <v>2311</v>
      </c>
      <c r="AW611" s="529" t="s">
        <v>2444</v>
      </c>
      <c r="AX611" s="508" t="e">
        <f t="shared" ca="1" si="622"/>
        <v>#N/A</v>
      </c>
      <c r="AY611" s="565">
        <v>1</v>
      </c>
      <c r="AZ611" s="600">
        <v>5.3E-3</v>
      </c>
      <c r="BA611" s="170" t="e">
        <f t="shared" ca="1" si="625"/>
        <v>#N/A</v>
      </c>
      <c r="BB611" s="508" t="e">
        <f t="shared" ca="1" si="626"/>
        <v>#N/A</v>
      </c>
      <c r="BD611" s="512">
        <v>10</v>
      </c>
      <c r="BE611" s="512" t="s">
        <v>2311</v>
      </c>
      <c r="BF611" s="529" t="s">
        <v>2444</v>
      </c>
      <c r="BG611" s="508" t="e">
        <f t="shared" ca="1" si="623"/>
        <v>#N/A</v>
      </c>
      <c r="BH611" s="508">
        <v>1</v>
      </c>
      <c r="BI611" s="615">
        <v>5.4999999999999997E-3</v>
      </c>
      <c r="BJ611" s="170" t="e">
        <f t="shared" ca="1" si="617"/>
        <v>#N/A</v>
      </c>
      <c r="BK611" s="508" t="e">
        <f t="shared" ca="1" si="618"/>
        <v>#N/A</v>
      </c>
    </row>
  </sheetData>
  <phoneticPr fontId="10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B2:R47"/>
  <sheetViews>
    <sheetView workbookViewId="0">
      <selection activeCell="V43" sqref="V43"/>
    </sheetView>
  </sheetViews>
  <sheetFormatPr defaultColWidth="9" defaultRowHeight="13" x14ac:dyDescent="0.35"/>
  <cols>
    <col min="1" max="16384" width="9" style="158"/>
  </cols>
  <sheetData>
    <row r="2" spans="2:14" x14ac:dyDescent="0.35">
      <c r="B2" s="156" t="s">
        <v>867</v>
      </c>
      <c r="C2" s="156">
        <f>SUM(C12:E15)</f>
        <v>600</v>
      </c>
    </row>
    <row r="3" spans="2:14" x14ac:dyDescent="0.35">
      <c r="B3" s="156" t="s">
        <v>876</v>
      </c>
      <c r="C3" s="53">
        <v>0.3</v>
      </c>
    </row>
    <row r="4" spans="2:14" x14ac:dyDescent="0.35">
      <c r="B4" s="156" t="s">
        <v>877</v>
      </c>
      <c r="C4" s="159">
        <f>C3*C2</f>
        <v>180</v>
      </c>
    </row>
    <row r="5" spans="2:14" x14ac:dyDescent="0.35">
      <c r="B5" s="167" t="s">
        <v>956</v>
      </c>
      <c r="C5" s="159">
        <f>基础经济系数!L17</f>
        <v>15</v>
      </c>
    </row>
    <row r="6" spans="2:14" x14ac:dyDescent="0.35">
      <c r="B6" s="224" t="s">
        <v>1167</v>
      </c>
      <c r="C6" s="219">
        <f>(H19*D19+H20*D20+H21*D21+H22*D22)/(C19*D19+C20*D20+C21*D21+C22*D22)</f>
        <v>5.416666666666667</v>
      </c>
    </row>
    <row r="7" spans="2:14" x14ac:dyDescent="0.35">
      <c r="B7" s="167" t="s">
        <v>957</v>
      </c>
      <c r="C7" s="159">
        <f>C2/C5</f>
        <v>40</v>
      </c>
    </row>
    <row r="8" spans="2:14" x14ac:dyDescent="0.35">
      <c r="B8" s="295" t="s">
        <v>1326</v>
      </c>
      <c r="C8" s="299">
        <v>3</v>
      </c>
    </row>
    <row r="10" spans="2:14" x14ac:dyDescent="0.35">
      <c r="B10" s="735" t="s">
        <v>868</v>
      </c>
      <c r="C10" s="736"/>
      <c r="D10" s="736"/>
      <c r="E10" s="736"/>
      <c r="F10" s="737"/>
      <c r="G10" s="782" t="s">
        <v>1315</v>
      </c>
      <c r="H10" s="736"/>
      <c r="I10" s="737"/>
    </row>
    <row r="11" spans="2:14" x14ac:dyDescent="0.35">
      <c r="B11" s="156" t="s">
        <v>863</v>
      </c>
      <c r="C11" s="156" t="s">
        <v>859</v>
      </c>
      <c r="D11" s="156" t="s">
        <v>860</v>
      </c>
      <c r="E11" s="156" t="s">
        <v>861</v>
      </c>
      <c r="F11" s="156" t="s">
        <v>862</v>
      </c>
      <c r="G11" s="295" t="s">
        <v>1325</v>
      </c>
      <c r="H11" s="295" t="s">
        <v>1323</v>
      </c>
      <c r="I11" s="295" t="s">
        <v>1324</v>
      </c>
    </row>
    <row r="12" spans="2:14" x14ac:dyDescent="0.35">
      <c r="B12" s="167" t="s">
        <v>951</v>
      </c>
      <c r="C12" s="8">
        <v>10</v>
      </c>
      <c r="D12" s="8">
        <v>10</v>
      </c>
      <c r="E12" s="8">
        <v>10</v>
      </c>
      <c r="F12" s="164">
        <f>C12+D12+E12</f>
        <v>30</v>
      </c>
      <c r="G12" s="279"/>
      <c r="H12" s="279"/>
      <c r="I12" s="279"/>
    </row>
    <row r="13" spans="2:14" x14ac:dyDescent="0.35">
      <c r="B13" s="156" t="s">
        <v>864</v>
      </c>
      <c r="C13" s="8">
        <v>50</v>
      </c>
      <c r="D13" s="8">
        <v>50</v>
      </c>
      <c r="E13" s="8">
        <v>50</v>
      </c>
      <c r="F13" s="425">
        <f>C13+D13+E13</f>
        <v>150</v>
      </c>
      <c r="G13" s="298">
        <f>G14*$F$13/$F$14</f>
        <v>0.27777777777777779</v>
      </c>
      <c r="H13" s="298">
        <f>H14*$F$13/$F$14</f>
        <v>0.27777777777777779</v>
      </c>
      <c r="I13" s="298">
        <f>I14*$F$13/$F$14</f>
        <v>0.27777777777777779</v>
      </c>
    </row>
    <row r="14" spans="2:14" x14ac:dyDescent="0.35">
      <c r="B14" s="156" t="s">
        <v>865</v>
      </c>
      <c r="C14" s="8">
        <v>60</v>
      </c>
      <c r="D14" s="8">
        <v>60</v>
      </c>
      <c r="E14" s="8">
        <v>60</v>
      </c>
      <c r="F14" s="425">
        <f>C14+D14+E14</f>
        <v>180</v>
      </c>
      <c r="G14" s="298">
        <f>C14/$F$14</f>
        <v>0.33333333333333331</v>
      </c>
      <c r="H14" s="298">
        <f>D14/$F$14</f>
        <v>0.33333333333333331</v>
      </c>
      <c r="I14" s="298">
        <f>E14/$F$14</f>
        <v>0.33333333333333331</v>
      </c>
      <c r="N14" s="441"/>
    </row>
    <row r="15" spans="2:14" x14ac:dyDescent="0.35">
      <c r="B15" s="156" t="s">
        <v>866</v>
      </c>
      <c r="C15" s="8">
        <v>80</v>
      </c>
      <c r="D15" s="8">
        <v>80</v>
      </c>
      <c r="E15" s="8">
        <v>80</v>
      </c>
      <c r="F15" s="425">
        <f>C15+D15+E15</f>
        <v>240</v>
      </c>
      <c r="G15" s="298">
        <f>G14*$F$15/$F$14</f>
        <v>0.44444444444444442</v>
      </c>
      <c r="H15" s="298">
        <f>H14*$F$15/$F$14</f>
        <v>0.44444444444444442</v>
      </c>
      <c r="I15" s="298">
        <f>I14*$F$15/$F$14</f>
        <v>0.44444444444444442</v>
      </c>
    </row>
    <row r="17" spans="2:18" x14ac:dyDescent="0.35">
      <c r="B17" s="735" t="s">
        <v>873</v>
      </c>
      <c r="C17" s="736"/>
      <c r="D17" s="736"/>
      <c r="E17" s="736"/>
      <c r="F17" s="736"/>
      <c r="G17" s="736"/>
      <c r="H17" s="737"/>
    </row>
    <row r="18" spans="2:18" x14ac:dyDescent="0.35">
      <c r="B18" s="156" t="s">
        <v>869</v>
      </c>
      <c r="C18" s="156" t="s">
        <v>870</v>
      </c>
      <c r="D18" s="156" t="s">
        <v>871</v>
      </c>
      <c r="E18" s="156" t="s">
        <v>872</v>
      </c>
      <c r="F18" s="156" t="s">
        <v>875</v>
      </c>
      <c r="G18" s="167" t="s">
        <v>958</v>
      </c>
      <c r="H18" s="167" t="s">
        <v>959</v>
      </c>
    </row>
    <row r="19" spans="2:18" x14ac:dyDescent="0.35">
      <c r="B19" s="156" t="s">
        <v>855</v>
      </c>
      <c r="C19" s="53">
        <v>0.3</v>
      </c>
      <c r="D19" s="8">
        <v>8</v>
      </c>
      <c r="E19" s="156">
        <f>ROUND(C19*$C$2,0)</f>
        <v>180</v>
      </c>
      <c r="F19" s="159">
        <f>E19*$C$3</f>
        <v>54</v>
      </c>
      <c r="G19" s="164">
        <f>ROUND(E19/$C$7,0)</f>
        <v>5</v>
      </c>
      <c r="H19" s="8">
        <v>2</v>
      </c>
    </row>
    <row r="20" spans="2:18" x14ac:dyDescent="0.35">
      <c r="B20" s="156" t="s">
        <v>856</v>
      </c>
      <c r="C20" s="53">
        <v>0.6</v>
      </c>
      <c r="D20" s="8">
        <v>4</v>
      </c>
      <c r="E20" s="164">
        <f>ROUND(C20*$C$2,0)</f>
        <v>360</v>
      </c>
      <c r="F20" s="159">
        <f>E20*$C$3</f>
        <v>108</v>
      </c>
      <c r="G20" s="164">
        <f>ROUND(E20/$C$7,0)</f>
        <v>9</v>
      </c>
      <c r="H20" s="8">
        <v>4</v>
      </c>
    </row>
    <row r="21" spans="2:18" x14ac:dyDescent="0.35">
      <c r="B21" s="156" t="s">
        <v>857</v>
      </c>
      <c r="C21" s="53">
        <v>1.2</v>
      </c>
      <c r="D21" s="8">
        <v>2</v>
      </c>
      <c r="E21" s="164">
        <f>ROUND(C21*$C$2,0)</f>
        <v>720</v>
      </c>
      <c r="F21" s="159">
        <f>E21*$C$3</f>
        <v>216</v>
      </c>
      <c r="G21" s="164">
        <f>ROUND(E21/$C$7,0)</f>
        <v>18</v>
      </c>
      <c r="H21" s="8">
        <v>6</v>
      </c>
    </row>
    <row r="22" spans="2:18" x14ac:dyDescent="0.35">
      <c r="B22" s="156" t="s">
        <v>858</v>
      </c>
      <c r="C22" s="53">
        <v>2.4</v>
      </c>
      <c r="D22" s="8">
        <v>1</v>
      </c>
      <c r="E22" s="164">
        <f>ROUND(C22*$C$2,0)</f>
        <v>1440</v>
      </c>
      <c r="F22" s="159">
        <f>E22*$C$3</f>
        <v>432</v>
      </c>
      <c r="G22" s="164">
        <f>ROUND(E22/$C$7,0)</f>
        <v>36</v>
      </c>
      <c r="H22" s="8">
        <v>8</v>
      </c>
    </row>
    <row r="25" spans="2:18" x14ac:dyDescent="0.35">
      <c r="B25" s="224" t="s">
        <v>1146</v>
      </c>
      <c r="C25" s="224" t="s">
        <v>1147</v>
      </c>
      <c r="D25" s="224" t="s">
        <v>1148</v>
      </c>
      <c r="E25" s="224" t="s">
        <v>1149</v>
      </c>
      <c r="F25" s="224" t="s">
        <v>1150</v>
      </c>
      <c r="G25" s="224" t="s">
        <v>1151</v>
      </c>
      <c r="H25" s="224" t="s">
        <v>1152</v>
      </c>
      <c r="I25" s="224" t="s">
        <v>1153</v>
      </c>
      <c r="J25" s="224" t="s">
        <v>1154</v>
      </c>
      <c r="K25" s="224" t="s">
        <v>1155</v>
      </c>
      <c r="L25" s="224" t="s">
        <v>1156</v>
      </c>
      <c r="M25" s="224" t="s">
        <v>1157</v>
      </c>
      <c r="N25" s="224" t="s">
        <v>1158</v>
      </c>
      <c r="O25" s="224" t="s">
        <v>1159</v>
      </c>
      <c r="P25" s="224" t="s">
        <v>1160</v>
      </c>
      <c r="Q25" s="224" t="s">
        <v>1161</v>
      </c>
      <c r="R25" s="836" t="s">
        <v>3417</v>
      </c>
    </row>
    <row r="26" spans="2:18" x14ac:dyDescent="0.35">
      <c r="B26" s="219">
        <v>1</v>
      </c>
      <c r="C26" s="219">
        <v>40002</v>
      </c>
      <c r="D26" s="219">
        <v>40003</v>
      </c>
      <c r="E26" s="219">
        <v>40003</v>
      </c>
      <c r="F26" s="219">
        <v>40005</v>
      </c>
      <c r="G26" s="219">
        <v>40003</v>
      </c>
      <c r="H26" s="219">
        <v>40002</v>
      </c>
      <c r="I26" s="219">
        <v>40002</v>
      </c>
      <c r="J26" s="219">
        <v>40003</v>
      </c>
      <c r="K26" s="219">
        <v>40004</v>
      </c>
      <c r="L26" s="219">
        <v>40002</v>
      </c>
      <c r="M26" s="219">
        <v>40002</v>
      </c>
      <c r="N26" s="219">
        <v>40002</v>
      </c>
      <c r="O26" s="219">
        <v>40002</v>
      </c>
      <c r="P26" s="219">
        <v>40004</v>
      </c>
      <c r="Q26" s="219">
        <v>40002</v>
      </c>
      <c r="R26" s="297" t="str">
        <f>CONCATENATE("[",C26,",",D26,",",E26,",",F26,",",G26,",",H26,",",I26,",",J26,",",K26,",",L26,",",M26,",",N26,",",O26,",",P26,",",Q26,"]")</f>
        <v>[40002,40003,40003,40005,40003,40002,40002,40003,40004,40002,40002,40002,40002,40004,40002]</v>
      </c>
    </row>
    <row r="27" spans="2:18" x14ac:dyDescent="0.35">
      <c r="B27" s="219">
        <v>2</v>
      </c>
      <c r="C27" s="219">
        <v>40002</v>
      </c>
      <c r="D27" s="219">
        <v>40003</v>
      </c>
      <c r="E27" s="219">
        <v>40002</v>
      </c>
      <c r="F27" s="219">
        <v>40003</v>
      </c>
      <c r="G27" s="219">
        <v>40002</v>
      </c>
      <c r="H27" s="219">
        <v>40004</v>
      </c>
      <c r="I27" s="219">
        <v>40002</v>
      </c>
      <c r="J27" s="219">
        <v>40002</v>
      </c>
      <c r="K27" s="219">
        <v>40002</v>
      </c>
      <c r="L27" s="219">
        <v>40005</v>
      </c>
      <c r="M27" s="219">
        <v>40002</v>
      </c>
      <c r="N27" s="219">
        <v>40003</v>
      </c>
      <c r="O27" s="219">
        <v>40003</v>
      </c>
      <c r="P27" s="219">
        <v>40004</v>
      </c>
      <c r="Q27" s="219">
        <v>40002</v>
      </c>
      <c r="R27" s="297" t="str">
        <f t="shared" ref="R27:R35" si="0">CONCATENATE("[",C27,",",D27,",",E27,",",F27,",",G27,",",H27,",",I27,",",J27,",",K27,",",L27,",",M27,",",N27,",",O27,",",P27,",",Q27,"]")</f>
        <v>[40002,40003,40002,40003,40002,40004,40002,40002,40002,40005,40002,40003,40003,40004,40002]</v>
      </c>
    </row>
    <row r="28" spans="2:18" x14ac:dyDescent="0.35">
      <c r="B28" s="219">
        <v>3</v>
      </c>
      <c r="C28" s="219">
        <v>40002</v>
      </c>
      <c r="D28" s="219">
        <v>40003</v>
      </c>
      <c r="E28" s="219">
        <v>40002</v>
      </c>
      <c r="F28" s="219">
        <v>40004</v>
      </c>
      <c r="G28" s="219">
        <v>40003</v>
      </c>
      <c r="H28" s="219">
        <v>40004</v>
      </c>
      <c r="I28" s="219">
        <v>40002</v>
      </c>
      <c r="J28" s="219">
        <v>40005</v>
      </c>
      <c r="K28" s="219">
        <v>40002</v>
      </c>
      <c r="L28" s="219">
        <v>40002</v>
      </c>
      <c r="M28" s="219">
        <v>40002</v>
      </c>
      <c r="N28" s="219">
        <v>40002</v>
      </c>
      <c r="O28" s="219">
        <v>40003</v>
      </c>
      <c r="P28" s="219">
        <v>40003</v>
      </c>
      <c r="Q28" s="219">
        <v>40002</v>
      </c>
      <c r="R28" s="297" t="str">
        <f t="shared" si="0"/>
        <v>[40002,40003,40002,40004,40003,40004,40002,40005,40002,40002,40002,40002,40003,40003,40002]</v>
      </c>
    </row>
    <row r="29" spans="2:18" x14ac:dyDescent="0.35">
      <c r="B29" s="219">
        <v>4</v>
      </c>
      <c r="C29" s="219">
        <v>40002</v>
      </c>
      <c r="D29" s="219">
        <v>40002</v>
      </c>
      <c r="E29" s="219">
        <v>40003</v>
      </c>
      <c r="F29" s="219">
        <v>40002</v>
      </c>
      <c r="G29" s="219">
        <v>40003</v>
      </c>
      <c r="H29" s="219">
        <v>40002</v>
      </c>
      <c r="I29" s="219">
        <v>40004</v>
      </c>
      <c r="J29" s="219">
        <v>40002</v>
      </c>
      <c r="K29" s="219">
        <v>40002</v>
      </c>
      <c r="L29" s="219">
        <v>40002</v>
      </c>
      <c r="M29" s="219">
        <v>40003</v>
      </c>
      <c r="N29" s="219">
        <v>40002</v>
      </c>
      <c r="O29" s="219">
        <v>40004</v>
      </c>
      <c r="P29" s="219">
        <v>40005</v>
      </c>
      <c r="Q29" s="219">
        <v>40003</v>
      </c>
      <c r="R29" s="297" t="str">
        <f t="shared" si="0"/>
        <v>[40002,40002,40003,40002,40003,40002,40004,40002,40002,40002,40003,40002,40004,40005,40003]</v>
      </c>
    </row>
    <row r="30" spans="2:18" x14ac:dyDescent="0.35">
      <c r="B30" s="219">
        <v>5</v>
      </c>
      <c r="C30" s="219">
        <v>40002</v>
      </c>
      <c r="D30" s="219">
        <v>40003</v>
      </c>
      <c r="E30" s="219">
        <v>40002</v>
      </c>
      <c r="F30" s="219">
        <v>40003</v>
      </c>
      <c r="G30" s="219">
        <v>40004</v>
      </c>
      <c r="H30" s="219">
        <v>40005</v>
      </c>
      <c r="I30" s="219">
        <v>40003</v>
      </c>
      <c r="J30" s="219">
        <v>40004</v>
      </c>
      <c r="K30" s="219">
        <v>40002</v>
      </c>
      <c r="L30" s="219">
        <v>40002</v>
      </c>
      <c r="M30" s="219">
        <v>40002</v>
      </c>
      <c r="N30" s="219">
        <v>40003</v>
      </c>
      <c r="O30" s="219">
        <v>40002</v>
      </c>
      <c r="P30" s="219">
        <v>40002</v>
      </c>
      <c r="Q30" s="219">
        <v>40002</v>
      </c>
      <c r="R30" s="297" t="str">
        <f t="shared" si="0"/>
        <v>[40002,40003,40002,40003,40004,40005,40003,40004,40002,40002,40002,40003,40002,40002,40002]</v>
      </c>
    </row>
    <row r="31" spans="2:18" x14ac:dyDescent="0.35">
      <c r="B31" s="219">
        <v>6</v>
      </c>
      <c r="C31" s="219">
        <v>40002</v>
      </c>
      <c r="D31" s="219">
        <v>40005</v>
      </c>
      <c r="E31" s="219">
        <v>40003</v>
      </c>
      <c r="F31" s="219">
        <v>40003</v>
      </c>
      <c r="G31" s="219">
        <v>40004</v>
      </c>
      <c r="H31" s="219">
        <v>40003</v>
      </c>
      <c r="I31" s="219">
        <v>40002</v>
      </c>
      <c r="J31" s="219">
        <v>40002</v>
      </c>
      <c r="K31" s="219">
        <v>40004</v>
      </c>
      <c r="L31" s="219">
        <v>40002</v>
      </c>
      <c r="M31" s="219">
        <v>40002</v>
      </c>
      <c r="N31" s="219">
        <v>40002</v>
      </c>
      <c r="O31" s="219">
        <v>40002</v>
      </c>
      <c r="P31" s="219">
        <v>40003</v>
      </c>
      <c r="Q31" s="219">
        <v>40002</v>
      </c>
      <c r="R31" s="297" t="str">
        <f t="shared" si="0"/>
        <v>[40002,40005,40003,40003,40004,40003,40002,40002,40004,40002,40002,40002,40002,40003,40002]</v>
      </c>
    </row>
    <row r="32" spans="2:18" x14ac:dyDescent="0.35">
      <c r="B32" s="219">
        <v>7</v>
      </c>
      <c r="C32" s="219">
        <v>40002</v>
      </c>
      <c r="D32" s="219">
        <v>40003</v>
      </c>
      <c r="E32" s="219">
        <v>40002</v>
      </c>
      <c r="F32" s="219">
        <v>40002</v>
      </c>
      <c r="G32" s="219">
        <v>40002</v>
      </c>
      <c r="H32" s="219">
        <v>40003</v>
      </c>
      <c r="I32" s="219">
        <v>40005</v>
      </c>
      <c r="J32" s="219">
        <v>40002</v>
      </c>
      <c r="K32" s="219">
        <v>40002</v>
      </c>
      <c r="L32" s="219">
        <v>40004</v>
      </c>
      <c r="M32" s="219">
        <v>40003</v>
      </c>
      <c r="N32" s="219">
        <v>40002</v>
      </c>
      <c r="O32" s="219">
        <v>40002</v>
      </c>
      <c r="P32" s="219">
        <v>40004</v>
      </c>
      <c r="Q32" s="219">
        <v>40003</v>
      </c>
      <c r="R32" s="297" t="str">
        <f t="shared" si="0"/>
        <v>[40002,40003,40002,40002,40002,40003,40005,40002,40002,40004,40003,40002,40002,40004,40003]</v>
      </c>
    </row>
    <row r="33" spans="2:18" x14ac:dyDescent="0.35">
      <c r="B33" s="219">
        <v>8</v>
      </c>
      <c r="C33" s="219">
        <v>40002</v>
      </c>
      <c r="D33" s="219">
        <v>40003</v>
      </c>
      <c r="E33" s="219">
        <v>40004</v>
      </c>
      <c r="F33" s="219">
        <v>40002</v>
      </c>
      <c r="G33" s="219">
        <v>40002</v>
      </c>
      <c r="H33" s="219">
        <v>40003</v>
      </c>
      <c r="I33" s="219">
        <v>40002</v>
      </c>
      <c r="J33" s="219">
        <v>40002</v>
      </c>
      <c r="K33" s="219">
        <v>40002</v>
      </c>
      <c r="L33" s="219">
        <v>40004</v>
      </c>
      <c r="M33" s="219">
        <v>40003</v>
      </c>
      <c r="N33" s="219">
        <v>40002</v>
      </c>
      <c r="O33" s="219">
        <v>40005</v>
      </c>
      <c r="P33" s="219">
        <v>40003</v>
      </c>
      <c r="Q33" s="219">
        <v>40002</v>
      </c>
      <c r="R33" s="297" t="str">
        <f t="shared" si="0"/>
        <v>[40002,40003,40004,40002,40002,40003,40002,40002,40002,40004,40003,40002,40005,40003,40002]</v>
      </c>
    </row>
    <row r="34" spans="2:18" x14ac:dyDescent="0.35">
      <c r="B34" s="219">
        <v>9</v>
      </c>
      <c r="C34" s="219">
        <v>40002</v>
      </c>
      <c r="D34" s="219">
        <v>40002</v>
      </c>
      <c r="E34" s="219">
        <v>40002</v>
      </c>
      <c r="F34" s="219">
        <v>40004</v>
      </c>
      <c r="G34" s="219">
        <v>40003</v>
      </c>
      <c r="H34" s="219">
        <v>40002</v>
      </c>
      <c r="I34" s="219">
        <v>40004</v>
      </c>
      <c r="J34" s="219">
        <v>40003</v>
      </c>
      <c r="K34" s="219">
        <v>40002</v>
      </c>
      <c r="L34" s="219">
        <v>40005</v>
      </c>
      <c r="M34" s="219">
        <v>40003</v>
      </c>
      <c r="N34" s="219">
        <v>40002</v>
      </c>
      <c r="O34" s="219">
        <v>40003</v>
      </c>
      <c r="P34" s="219">
        <v>40002</v>
      </c>
      <c r="Q34" s="219">
        <v>40002</v>
      </c>
      <c r="R34" s="297" t="str">
        <f t="shared" si="0"/>
        <v>[40002,40002,40002,40004,40003,40002,40004,40003,40002,40005,40003,40002,40003,40002,40002]</v>
      </c>
    </row>
    <row r="35" spans="2:18" x14ac:dyDescent="0.35">
      <c r="B35" s="219">
        <v>10</v>
      </c>
      <c r="C35" s="219">
        <v>40002</v>
      </c>
      <c r="D35" s="219">
        <v>40003</v>
      </c>
      <c r="E35" s="219">
        <v>40002</v>
      </c>
      <c r="F35" s="219">
        <v>40002</v>
      </c>
      <c r="G35" s="219">
        <v>40002</v>
      </c>
      <c r="H35" s="219">
        <v>40004</v>
      </c>
      <c r="I35" s="219">
        <v>40005</v>
      </c>
      <c r="J35" s="219">
        <v>40002</v>
      </c>
      <c r="K35" s="219">
        <v>40002</v>
      </c>
      <c r="L35" s="219">
        <v>40003</v>
      </c>
      <c r="M35" s="219">
        <v>40002</v>
      </c>
      <c r="N35" s="219">
        <v>40004</v>
      </c>
      <c r="O35" s="219">
        <v>40003</v>
      </c>
      <c r="P35" s="219">
        <v>40002</v>
      </c>
      <c r="Q35" s="219">
        <v>40003</v>
      </c>
      <c r="R35" s="297" t="str">
        <f t="shared" si="0"/>
        <v>[40002,40003,40002,40002,40002,40004,40005,40002,40002,40003,40002,40004,40003,40002,40003]</v>
      </c>
    </row>
    <row r="36" spans="2:18" x14ac:dyDescent="0.35">
      <c r="B36" s="157"/>
      <c r="C36" s="157"/>
      <c r="D36" s="157"/>
      <c r="E36" s="157"/>
      <c r="F36" s="157"/>
      <c r="G36" s="157"/>
      <c r="H36" s="157"/>
      <c r="I36" s="157"/>
      <c r="J36" s="157"/>
      <c r="K36" s="157"/>
      <c r="L36" s="157"/>
      <c r="M36" s="157"/>
      <c r="N36" s="157"/>
      <c r="O36" s="157"/>
      <c r="P36" s="157"/>
      <c r="Q36" s="157"/>
      <c r="R36" s="297"/>
    </row>
    <row r="37" spans="2:18" x14ac:dyDescent="0.35">
      <c r="B37" s="365" t="s">
        <v>1760</v>
      </c>
      <c r="C37" s="359">
        <v>40002</v>
      </c>
      <c r="D37" s="359">
        <v>40003</v>
      </c>
      <c r="E37" s="359">
        <v>40002</v>
      </c>
      <c r="F37" s="359">
        <v>40004</v>
      </c>
      <c r="G37" s="359">
        <v>40002</v>
      </c>
      <c r="H37" s="359">
        <v>40005</v>
      </c>
      <c r="I37" s="359">
        <v>40002</v>
      </c>
      <c r="J37" s="359">
        <v>40003</v>
      </c>
      <c r="K37" s="359">
        <v>40002</v>
      </c>
      <c r="L37" s="359">
        <v>40004</v>
      </c>
      <c r="M37" s="359">
        <v>40002</v>
      </c>
      <c r="N37" s="359">
        <v>40003</v>
      </c>
      <c r="O37" s="359">
        <v>40002</v>
      </c>
      <c r="P37" s="359">
        <v>40003</v>
      </c>
      <c r="Q37" s="359">
        <v>40002</v>
      </c>
      <c r="R37" s="297"/>
    </row>
    <row r="38" spans="2:18" x14ac:dyDescent="0.35">
      <c r="C38" s="158">
        <v>0.3</v>
      </c>
      <c r="D38" s="158">
        <v>0.6</v>
      </c>
      <c r="E38" s="158">
        <v>0.3</v>
      </c>
      <c r="F38" s="158">
        <v>1.2</v>
      </c>
      <c r="G38" s="158">
        <v>0.3</v>
      </c>
      <c r="H38" s="158">
        <v>2.4</v>
      </c>
    </row>
    <row r="40" spans="2:18" x14ac:dyDescent="0.35">
      <c r="B40" s="295" t="s">
        <v>1303</v>
      </c>
      <c r="C40" s="295" t="s">
        <v>1304</v>
      </c>
      <c r="D40" s="295" t="s">
        <v>1305</v>
      </c>
      <c r="E40" s="295" t="s">
        <v>1311</v>
      </c>
      <c r="F40" s="295" t="s">
        <v>1313</v>
      </c>
      <c r="G40" s="295" t="s">
        <v>1314</v>
      </c>
      <c r="H40" s="295" t="s">
        <v>1312</v>
      </c>
      <c r="I40" s="295" t="s">
        <v>1322</v>
      </c>
      <c r="J40" s="295" t="s">
        <v>1323</v>
      </c>
      <c r="K40" s="295" t="s">
        <v>1324</v>
      </c>
      <c r="L40" s="295" t="s">
        <v>1316</v>
      </c>
      <c r="M40" s="295" t="s">
        <v>1317</v>
      </c>
      <c r="N40" s="295" t="s">
        <v>1318</v>
      </c>
      <c r="O40" s="295" t="s">
        <v>1319</v>
      </c>
      <c r="P40" s="295" t="s">
        <v>1320</v>
      </c>
      <c r="Q40" s="295" t="s">
        <v>1321</v>
      </c>
      <c r="R40" s="297" t="s">
        <v>3418</v>
      </c>
    </row>
    <row r="41" spans="2:18" x14ac:dyDescent="0.35">
      <c r="B41" s="279">
        <v>1</v>
      </c>
      <c r="C41" s="520" t="s">
        <v>2223</v>
      </c>
      <c r="D41" s="295" t="s">
        <v>1306</v>
      </c>
      <c r="E41" s="295" t="s">
        <v>1309</v>
      </c>
      <c r="F41" s="279">
        <v>3</v>
      </c>
      <c r="G41" s="279">
        <v>5</v>
      </c>
      <c r="H41" s="279">
        <v>10</v>
      </c>
      <c r="I41" s="298">
        <f t="shared" ref="I41:K43" si="1">G13</f>
        <v>0.27777777777777779</v>
      </c>
      <c r="J41" s="298">
        <f t="shared" si="1"/>
        <v>0.27777777777777779</v>
      </c>
      <c r="K41" s="298">
        <f t="shared" si="1"/>
        <v>0.27777777777777779</v>
      </c>
      <c r="L41" s="279">
        <f>ROUND(基础经济系数!$I$83/$C$8*I41/50,0)*50</f>
        <v>850</v>
      </c>
      <c r="M41" s="420">
        <f>ROUND(基础经济系数!$I$83/$C$8*J41/50,0)*50</f>
        <v>850</v>
      </c>
      <c r="N41" s="420">
        <f>ROUND(基础经济系数!$I$83/$C$8*K41/50,0)*50</f>
        <v>850</v>
      </c>
      <c r="O41" s="279">
        <f t="shared" ref="O41:Q43" si="2">C13</f>
        <v>50</v>
      </c>
      <c r="P41" s="279">
        <f t="shared" si="2"/>
        <v>50</v>
      </c>
      <c r="Q41" s="279">
        <f t="shared" si="2"/>
        <v>50</v>
      </c>
      <c r="R41" s="297" t="str">
        <f>CONCATENATE("[(",O41,",",L41,"),(",P41,",",M41,"),(",Q41,",",N41,")]",)</f>
        <v>[(50,850),(50,850),(50,850)]</v>
      </c>
    </row>
    <row r="42" spans="2:18" x14ac:dyDescent="0.35">
      <c r="B42" s="279">
        <v>2</v>
      </c>
      <c r="C42" s="295" t="s">
        <v>1477</v>
      </c>
      <c r="D42" s="295" t="s">
        <v>1307</v>
      </c>
      <c r="E42" s="295" t="s">
        <v>1309</v>
      </c>
      <c r="F42" s="279">
        <v>1</v>
      </c>
      <c r="G42" s="279">
        <v>3</v>
      </c>
      <c r="H42" s="279">
        <v>5</v>
      </c>
      <c r="I42" s="298">
        <f t="shared" si="1"/>
        <v>0.33333333333333331</v>
      </c>
      <c r="J42" s="298">
        <f t="shared" si="1"/>
        <v>0.33333333333333331</v>
      </c>
      <c r="K42" s="298">
        <f t="shared" si="1"/>
        <v>0.33333333333333331</v>
      </c>
      <c r="L42" s="420">
        <f>ROUND(基础经济系数!$I$83/$C$8*I42/50,0)*50</f>
        <v>1000</v>
      </c>
      <c r="M42" s="420">
        <f>ROUND(基础经济系数!$I$83/$C$8*J42/50,0)*50</f>
        <v>1000</v>
      </c>
      <c r="N42" s="420">
        <f>ROUND(基础经济系数!$I$83/$C$8*K42/50,0)*50</f>
        <v>1000</v>
      </c>
      <c r="O42" s="279">
        <f t="shared" si="2"/>
        <v>60</v>
      </c>
      <c r="P42" s="279">
        <f t="shared" si="2"/>
        <v>60</v>
      </c>
      <c r="Q42" s="279">
        <f t="shared" si="2"/>
        <v>60</v>
      </c>
      <c r="R42" s="297" t="str">
        <f t="shared" ref="R42:R47" si="3">CONCATENATE("[(",O42,",",L42,"),(",P42,",",M42,"),(",Q42,",",N42,")]",)</f>
        <v>[(60,1000),(60,1000),(60,1000)]</v>
      </c>
    </row>
    <row r="43" spans="2:18" x14ac:dyDescent="0.35">
      <c r="B43" s="279">
        <v>3</v>
      </c>
      <c r="C43" s="295" t="s">
        <v>1478</v>
      </c>
      <c r="D43" s="295" t="s">
        <v>1308</v>
      </c>
      <c r="E43" s="295" t="s">
        <v>1309</v>
      </c>
      <c r="F43" s="301">
        <v>1</v>
      </c>
      <c r="G43" s="301">
        <v>2</v>
      </c>
      <c r="H43" s="301">
        <v>3</v>
      </c>
      <c r="I43" s="298">
        <f t="shared" si="1"/>
        <v>0.44444444444444442</v>
      </c>
      <c r="J43" s="298">
        <f t="shared" si="1"/>
        <v>0.44444444444444442</v>
      </c>
      <c r="K43" s="298">
        <f t="shared" si="1"/>
        <v>0.44444444444444442</v>
      </c>
      <c r="L43" s="420">
        <f>ROUND(基础经济系数!$I$83/$C$8*I43/50,0)*50</f>
        <v>1350</v>
      </c>
      <c r="M43" s="420">
        <f>ROUND(基础经济系数!$I$83/$C$8*J43/50,0)*50</f>
        <v>1350</v>
      </c>
      <c r="N43" s="420">
        <f>ROUND(基础经济系数!$I$83/$C$8*K43/50,0)*50</f>
        <v>1350</v>
      </c>
      <c r="O43" s="279">
        <f t="shared" si="2"/>
        <v>80</v>
      </c>
      <c r="P43" s="279">
        <f t="shared" si="2"/>
        <v>80</v>
      </c>
      <c r="Q43" s="279">
        <f t="shared" si="2"/>
        <v>80</v>
      </c>
      <c r="R43" s="297" t="str">
        <f t="shared" si="3"/>
        <v>[(80,1350),(80,1350),(80,1350)]</v>
      </c>
    </row>
    <row r="44" spans="2:18" x14ac:dyDescent="0.35">
      <c r="B44" s="279">
        <v>4</v>
      </c>
      <c r="C44" s="295" t="s">
        <v>1479</v>
      </c>
      <c r="D44" s="295" t="s">
        <v>22</v>
      </c>
      <c r="E44" s="295" t="s">
        <v>1309</v>
      </c>
      <c r="F44" s="279">
        <v>5</v>
      </c>
      <c r="G44" s="279">
        <v>10</v>
      </c>
      <c r="H44" s="279">
        <v>15</v>
      </c>
      <c r="I44" s="298">
        <f t="shared" ref="I44:K45" si="4">G14</f>
        <v>0.33333333333333331</v>
      </c>
      <c r="J44" s="298">
        <f t="shared" si="4"/>
        <v>0.33333333333333331</v>
      </c>
      <c r="K44" s="298">
        <f t="shared" si="4"/>
        <v>0.33333333333333331</v>
      </c>
      <c r="L44" s="420">
        <f>ROUND(基础经济系数!$I$83/$C$8*I44/50,0)*50</f>
        <v>1000</v>
      </c>
      <c r="M44" s="420">
        <f>ROUND(基础经济系数!$I$83/$C$8*J44/50,0)*50</f>
        <v>1000</v>
      </c>
      <c r="N44" s="420">
        <f>ROUND(基础经济系数!$I$83/$C$8*K44/50,0)*50</f>
        <v>1000</v>
      </c>
      <c r="O44" s="279">
        <f t="shared" ref="O44:Q45" si="5">O42</f>
        <v>60</v>
      </c>
      <c r="P44" s="420">
        <f t="shared" si="5"/>
        <v>60</v>
      </c>
      <c r="Q44" s="420">
        <f t="shared" si="5"/>
        <v>60</v>
      </c>
      <c r="R44" s="297" t="str">
        <f t="shared" si="3"/>
        <v>[(60,1000),(60,1000),(60,1000)]</v>
      </c>
    </row>
    <row r="45" spans="2:18" x14ac:dyDescent="0.35">
      <c r="B45" s="279">
        <v>5</v>
      </c>
      <c r="C45" s="295" t="s">
        <v>1480</v>
      </c>
      <c r="D45" s="295" t="s">
        <v>1308</v>
      </c>
      <c r="E45" s="311" t="s">
        <v>1482</v>
      </c>
      <c r="F45" s="301">
        <v>1</v>
      </c>
      <c r="G45" s="301">
        <v>3</v>
      </c>
      <c r="H45" s="301">
        <v>5</v>
      </c>
      <c r="I45" s="298">
        <f t="shared" si="4"/>
        <v>0.44444444444444442</v>
      </c>
      <c r="J45" s="298">
        <f t="shared" si="4"/>
        <v>0.44444444444444442</v>
      </c>
      <c r="K45" s="298">
        <f t="shared" si="4"/>
        <v>0.44444444444444442</v>
      </c>
      <c r="L45" s="420">
        <f>ROUND(基础经济系数!$I$83/$C$8*I45/50,0)*50</f>
        <v>1350</v>
      </c>
      <c r="M45" s="420">
        <f>ROUND(基础经济系数!$I$83/$C$8*J45/50,0)*50</f>
        <v>1350</v>
      </c>
      <c r="N45" s="420">
        <f>ROUND(基础经济系数!$I$83/$C$8*K45/50,0)*50</f>
        <v>1350</v>
      </c>
      <c r="O45" s="279">
        <f t="shared" si="5"/>
        <v>80</v>
      </c>
      <c r="P45" s="420">
        <f t="shared" si="5"/>
        <v>80</v>
      </c>
      <c r="Q45" s="420">
        <f t="shared" si="5"/>
        <v>80</v>
      </c>
      <c r="R45" s="297" t="str">
        <f t="shared" si="3"/>
        <v>[(80,1350),(80,1350),(80,1350)]</v>
      </c>
    </row>
    <row r="46" spans="2:18" x14ac:dyDescent="0.35">
      <c r="B46" s="279">
        <v>6</v>
      </c>
      <c r="C46" s="546" t="s">
        <v>2460</v>
      </c>
      <c r="D46" s="295" t="s">
        <v>22</v>
      </c>
      <c r="E46" s="311" t="s">
        <v>1310</v>
      </c>
      <c r="F46" s="301">
        <v>1</v>
      </c>
      <c r="G46" s="301">
        <v>3</v>
      </c>
      <c r="H46" s="301">
        <v>5</v>
      </c>
      <c r="I46" s="298">
        <f>G14</f>
        <v>0.33333333333333331</v>
      </c>
      <c r="J46" s="298">
        <f>H14</f>
        <v>0.33333333333333331</v>
      </c>
      <c r="K46" s="298">
        <f>I14</f>
        <v>0.33333333333333331</v>
      </c>
      <c r="L46" s="420">
        <f>ROUND(基础经济系数!$I$83/$C$8*I46/50,0)*50</f>
        <v>1000</v>
      </c>
      <c r="M46" s="420">
        <f>ROUND(基础经济系数!$I$83/$C$8*J46/50,0)*50</f>
        <v>1000</v>
      </c>
      <c r="N46" s="420">
        <f>ROUND(基础经济系数!$I$83/$C$8*K46/50,0)*50</f>
        <v>1000</v>
      </c>
      <c r="O46" s="279">
        <f>O42</f>
        <v>60</v>
      </c>
      <c r="P46" s="420">
        <f>P42</f>
        <v>60</v>
      </c>
      <c r="Q46" s="420">
        <f>Q42</f>
        <v>60</v>
      </c>
      <c r="R46" s="297" t="str">
        <f t="shared" si="3"/>
        <v>[(60,1000),(60,1000),(60,1000)]</v>
      </c>
    </row>
    <row r="47" spans="2:18" x14ac:dyDescent="0.35">
      <c r="B47" s="279">
        <v>7</v>
      </c>
      <c r="C47" s="295" t="s">
        <v>1481</v>
      </c>
      <c r="D47" s="295" t="s">
        <v>1306</v>
      </c>
      <c r="E47" s="295" t="s">
        <v>1309</v>
      </c>
      <c r="F47" s="279">
        <v>30</v>
      </c>
      <c r="G47" s="279">
        <v>60</v>
      </c>
      <c r="H47" s="279">
        <v>90</v>
      </c>
      <c r="I47" s="298">
        <f>G13</f>
        <v>0.27777777777777779</v>
      </c>
      <c r="J47" s="298">
        <f>H13</f>
        <v>0.27777777777777779</v>
      </c>
      <c r="K47" s="298">
        <f>I13</f>
        <v>0.27777777777777779</v>
      </c>
      <c r="L47" s="420">
        <f>ROUND(基础经济系数!$I$83/$C$8*I47/50,0)*50</f>
        <v>850</v>
      </c>
      <c r="M47" s="420">
        <f>ROUND(基础经济系数!$I$83/$C$8*J47/50,0)*50</f>
        <v>850</v>
      </c>
      <c r="N47" s="420">
        <f>ROUND(基础经济系数!$I$83/$C$8*K47/50,0)*50</f>
        <v>850</v>
      </c>
      <c r="O47" s="279">
        <f>O41</f>
        <v>50</v>
      </c>
      <c r="P47" s="420">
        <f>P41</f>
        <v>50</v>
      </c>
      <c r="Q47" s="420">
        <f>Q41</f>
        <v>50</v>
      </c>
      <c r="R47" s="297" t="str">
        <f t="shared" si="3"/>
        <v>[(50,850),(50,850),(50,850)]</v>
      </c>
    </row>
  </sheetData>
  <mergeCells count="3">
    <mergeCell ref="B10:F10"/>
    <mergeCell ref="B17:H17"/>
    <mergeCell ref="G10:I10"/>
  </mergeCells>
  <phoneticPr fontId="101" type="noConversion"/>
  <conditionalFormatting sqref="C36:Q36">
    <cfRule type="colorScale" priority="2">
      <colorScale>
        <cfvo type="min"/>
        <cfvo type="percentile" val="50"/>
        <cfvo type="max"/>
        <color rgb="FF63BE7B"/>
        <color rgb="FFFFEB84"/>
        <color rgb="FFF8696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B2:BN85"/>
  <sheetViews>
    <sheetView workbookViewId="0">
      <selection activeCell="H35" sqref="H35"/>
    </sheetView>
  </sheetViews>
  <sheetFormatPr defaultColWidth="9" defaultRowHeight="13" x14ac:dyDescent="0.35"/>
  <cols>
    <col min="1" max="46" width="9" style="492"/>
    <col min="47" max="47" width="12.26953125" style="492" bestFit="1" customWidth="1"/>
    <col min="48" max="16384" width="9" style="492"/>
  </cols>
  <sheetData>
    <row r="2" spans="2:66" ht="15.75" customHeight="1" x14ac:dyDescent="0.35">
      <c r="B2" s="493" t="s">
        <v>2140</v>
      </c>
      <c r="C2" s="228">
        <v>6</v>
      </c>
    </row>
    <row r="3" spans="2:66" x14ac:dyDescent="0.35">
      <c r="B3" s="493" t="s">
        <v>2141</v>
      </c>
      <c r="C3" s="228">
        <v>3</v>
      </c>
      <c r="Q3" s="648" t="s">
        <v>2134</v>
      </c>
      <c r="R3" s="671" t="s">
        <v>3186</v>
      </c>
      <c r="S3" s="671" t="s">
        <v>3187</v>
      </c>
      <c r="U3" s="671" t="s">
        <v>3192</v>
      </c>
      <c r="V3" s="671" t="s">
        <v>3184</v>
      </c>
      <c r="W3" s="671" t="s">
        <v>3185</v>
      </c>
      <c r="X3" s="696" t="s">
        <v>3354</v>
      </c>
      <c r="Y3" s="671" t="s">
        <v>3193</v>
      </c>
      <c r="AB3" s="648" t="s">
        <v>2134</v>
      </c>
      <c r="AC3" s="648" t="s">
        <v>2135</v>
      </c>
      <c r="AD3" s="671" t="s">
        <v>3190</v>
      </c>
      <c r="AE3" s="671" t="s">
        <v>3191</v>
      </c>
      <c r="AF3" s="671" t="s">
        <v>3200</v>
      </c>
      <c r="AG3" s="671" t="s">
        <v>3201</v>
      </c>
      <c r="AH3" s="689" t="s">
        <v>3252</v>
      </c>
      <c r="AI3" s="689" t="s">
        <v>3253</v>
      </c>
      <c r="AJ3" s="689" t="s">
        <v>3309</v>
      </c>
      <c r="AK3" s="689" t="s">
        <v>3310</v>
      </c>
      <c r="AM3" s="679" t="s">
        <v>3177</v>
      </c>
      <c r="AN3" s="689" t="s">
        <v>3254</v>
      </c>
      <c r="AO3" s="689" t="s">
        <v>3255</v>
      </c>
      <c r="AP3" s="689" t="s">
        <v>3259</v>
      </c>
      <c r="AQ3" s="689" t="s">
        <v>3257</v>
      </c>
      <c r="AR3" s="689" t="s">
        <v>3260</v>
      </c>
      <c r="AS3" s="689" t="s">
        <v>3258</v>
      </c>
      <c r="AT3" s="689" t="s">
        <v>3261</v>
      </c>
      <c r="AU3" s="689" t="s">
        <v>3262</v>
      </c>
      <c r="AV3" s="676"/>
      <c r="AW3" s="671" t="s">
        <v>3177</v>
      </c>
      <c r="AX3" s="671" t="s">
        <v>3178</v>
      </c>
      <c r="AY3" s="679" t="s">
        <v>3177</v>
      </c>
      <c r="AZ3" s="676"/>
      <c r="BA3" s="671" t="s">
        <v>3202</v>
      </c>
      <c r="BB3" s="689" t="s">
        <v>3264</v>
      </c>
      <c r="BC3" s="689" t="s">
        <v>3269</v>
      </c>
      <c r="BD3" s="689" t="s">
        <v>3257</v>
      </c>
      <c r="BE3" s="689" t="s">
        <v>3266</v>
      </c>
      <c r="BF3" s="689" t="s">
        <v>3265</v>
      </c>
      <c r="BG3" s="689" t="s">
        <v>3272</v>
      </c>
      <c r="BH3" s="689" t="s">
        <v>3285</v>
      </c>
      <c r="BI3" s="689" t="s">
        <v>3270</v>
      </c>
      <c r="BJ3" s="689" t="s">
        <v>3258</v>
      </c>
      <c r="BK3" s="689" t="s">
        <v>3268</v>
      </c>
      <c r="BL3" s="689" t="s">
        <v>3271</v>
      </c>
      <c r="BM3" s="689" t="s">
        <v>3273</v>
      </c>
    </row>
    <row r="4" spans="2:66" x14ac:dyDescent="0.35">
      <c r="B4" s="689" t="s">
        <v>3263</v>
      </c>
      <c r="C4" s="664">
        <f>基础经济系数!$F$33*(坦克部件!$G$4+坦克部件!$Z$4)/坦克部件!$J$4/坦克标准养成属性!$G$4</f>
        <v>13.5</v>
      </c>
      <c r="D4" s="492">
        <f>C4*18</f>
        <v>243</v>
      </c>
      <c r="Q4" s="648" t="s">
        <v>2136</v>
      </c>
      <c r="R4" s="8">
        <v>1</v>
      </c>
      <c r="S4" s="8">
        <v>2</v>
      </c>
      <c r="U4" s="648" t="str">
        <f>V4&amp;"星"</f>
        <v>1星</v>
      </c>
      <c r="V4" s="648">
        <v>1</v>
      </c>
      <c r="W4" s="8">
        <v>2</v>
      </c>
      <c r="X4" s="8">
        <v>1</v>
      </c>
      <c r="Y4" s="650">
        <v>1</v>
      </c>
      <c r="AB4" s="648" t="s">
        <v>2136</v>
      </c>
      <c r="AC4" s="648">
        <v>1</v>
      </c>
      <c r="AD4" s="650">
        <f>VLOOKUP($AC4&amp;"星",$U$3:$Y$10,MATCH(AD$3,$U$3:$Y$3,0),FALSE)</f>
        <v>1</v>
      </c>
      <c r="AE4" s="650">
        <f>VLOOKUP(AB4,$Q$3:$S$6,3,FALSE)</f>
        <v>2</v>
      </c>
      <c r="AF4" s="650">
        <f>VLOOKUP(AD4&amp;"星",$U$3:$Y$10,5,FALSE)*AE4</f>
        <v>2</v>
      </c>
      <c r="AG4" s="650">
        <f>SUMIF(AB$4:AB4,AB4,AF$4:AF4)</f>
        <v>2</v>
      </c>
      <c r="AH4" s="497">
        <f>1*$C$4/基础经济系数!$C$29</f>
        <v>0.10121836925960637</v>
      </c>
      <c r="AI4" s="497">
        <f t="shared" ref="AI4:AI35" si="0">IF(AB4&lt;&gt;AB3,AH4,AH4+AI3)</f>
        <v>0.10121836925960637</v>
      </c>
      <c r="AJ4" s="501">
        <f t="shared" ref="AJ4:AJ35" si="1">ROUND(AH4*VLOOKUP(AC4,$C$33:$E$57,2,FALSE)*$C$5/AK4,0)*AK4</f>
        <v>340</v>
      </c>
      <c r="AK4" s="501">
        <v>10</v>
      </c>
      <c r="AM4" s="667">
        <v>1</v>
      </c>
      <c r="AN4" s="41" t="e">
        <f t="shared" ref="AN4:AN9" si="2">IFERROR(VLOOKUP(AM4+1,$AC$3:$AI$57,MATCH("累计时长",$AC$3:$AI$3,0),FALSE),$AI$57+$AI$51)</f>
        <v>#N/A</v>
      </c>
      <c r="AO4" s="41" t="e">
        <f>AN4*$C$3*$C$2</f>
        <v>#N/A</v>
      </c>
      <c r="AP4" s="8">
        <v>0.33333333333333326</v>
      </c>
      <c r="AQ4" s="497" t="e">
        <f>AN4*AP4</f>
        <v>#N/A</v>
      </c>
      <c r="AR4" s="8">
        <v>1</v>
      </c>
      <c r="AS4" s="497" t="e">
        <f>AR4*AN4</f>
        <v>#N/A</v>
      </c>
      <c r="AT4" s="497" t="e">
        <f>AS4*基础经济系数!$F$22</f>
        <v>#N/A</v>
      </c>
      <c r="AU4" s="497" t="e">
        <f>AT4/AX4</f>
        <v>#N/A</v>
      </c>
      <c r="AV4" s="495"/>
      <c r="AW4" s="648">
        <v>1</v>
      </c>
      <c r="AX4" s="650">
        <f>坦克部件!N4</f>
        <v>5</v>
      </c>
      <c r="AY4" s="664">
        <v>1</v>
      </c>
      <c r="AZ4" s="495"/>
      <c r="BA4" s="648">
        <v>1</v>
      </c>
      <c r="BB4" s="664">
        <f>IFERROR(VLOOKUP(BA4-1,$AX$3:$AY$9,2,TRUE)+1,1)</f>
        <v>1</v>
      </c>
      <c r="BC4" s="8">
        <v>0.01</v>
      </c>
      <c r="BD4" s="690" t="e">
        <f>VLOOKUP($BB4,$AM$3:$AU$9,MATCH(BD$3,$AM$3:$AU$3,0),FALSE)*$BC4</f>
        <v>#N/A</v>
      </c>
      <c r="BE4" s="664" t="e">
        <f>ROUND(BD4*24*60/5,1)*5</f>
        <v>#N/A</v>
      </c>
      <c r="BF4" s="664" t="e">
        <f>BE4*60</f>
        <v>#N/A</v>
      </c>
      <c r="BG4" s="664" t="e">
        <f t="shared" ref="BG4:BG35" si="3">ROUNDUP((BF4-VLOOKUP(BF4,$C$21:$E$30,1,TRUE))/VLOOKUP(BF4,$C$21:$E$30,2,TRUE),0)+VLOOKUP(BF4,$C$21:$E$30,3,TRUE)</f>
        <v>#N/A</v>
      </c>
      <c r="BH4" s="664" t="e">
        <f>BG4</f>
        <v>#N/A</v>
      </c>
      <c r="BI4" s="8">
        <v>0.1</v>
      </c>
      <c r="BJ4" s="500" t="e">
        <f>VLOOKUP($BB4,$AM$3:$AU$9,MATCH(BJ$3,$AM$3:$AU$3,0),FALSE)*$BI4</f>
        <v>#N/A</v>
      </c>
      <c r="BK4" s="664" t="e">
        <f>ROUND(VLOOKUP(BB4,$C$33:$D$57,2,TRUE)*BJ4*$C$6/BL4,0)*BL4</f>
        <v>#N/A</v>
      </c>
      <c r="BL4" s="664">
        <v>10</v>
      </c>
      <c r="BM4" s="664" t="e">
        <f>BK4</f>
        <v>#N/A</v>
      </c>
    </row>
    <row r="5" spans="2:66" x14ac:dyDescent="0.35">
      <c r="B5" s="689" t="s">
        <v>3307</v>
      </c>
      <c r="C5" s="228">
        <v>0.4</v>
      </c>
      <c r="Q5" s="671" t="s">
        <v>3188</v>
      </c>
      <c r="R5" s="8">
        <v>2</v>
      </c>
      <c r="S5" s="8">
        <v>3</v>
      </c>
      <c r="U5" s="698" t="str">
        <f t="shared" ref="U5:U10" si="4">V5&amp;"星"</f>
        <v>2星</v>
      </c>
      <c r="V5" s="648">
        <f>V4+1</f>
        <v>2</v>
      </c>
      <c r="W5" s="8">
        <v>2</v>
      </c>
      <c r="X5" s="8">
        <v>2</v>
      </c>
      <c r="Y5" s="650">
        <f>W4*Y4</f>
        <v>2</v>
      </c>
      <c r="AB5" s="698" t="s">
        <v>921</v>
      </c>
      <c r="AC5" s="698">
        <v>1</v>
      </c>
      <c r="AD5" s="699">
        <f t="shared" ref="AD5:AD57" si="5">VLOOKUP($AC5&amp;"星",$U$3:$Y$10,MATCH(AD$3,$U$3:$Y$3,0),FALSE)</f>
        <v>1</v>
      </c>
      <c r="AE5" s="699">
        <f t="shared" ref="AE5:AE57" si="6">VLOOKUP(AB5,$Q$3:$S$6,3,FALSE)</f>
        <v>3</v>
      </c>
      <c r="AF5" s="699">
        <f t="shared" ref="AF5:AF57" si="7">VLOOKUP(AD5&amp;"星",$U$3:$Y$10,5,FALSE)*AE5</f>
        <v>3</v>
      </c>
      <c r="AG5" s="650">
        <f>SUMIF(AB$4:AB5,AB5,AF$4:AF5)</f>
        <v>3</v>
      </c>
      <c r="AH5" s="497">
        <f>IF(AF4=0,AF5,AF4)*$C$4/基础经济系数!$C$29</f>
        <v>0.20243673851921273</v>
      </c>
      <c r="AI5" s="497">
        <f t="shared" si="0"/>
        <v>0.20243673851921273</v>
      </c>
      <c r="AJ5" s="501">
        <f t="shared" si="1"/>
        <v>690</v>
      </c>
      <c r="AK5" s="501">
        <v>10</v>
      </c>
      <c r="AM5" s="667">
        <v>2</v>
      </c>
      <c r="AN5" s="41" t="e">
        <f t="shared" si="2"/>
        <v>#N/A</v>
      </c>
      <c r="AO5" s="41" t="e">
        <f t="shared" ref="AO5:AO9" si="8">AN5*$C$3*$C$2</f>
        <v>#N/A</v>
      </c>
      <c r="AP5" s="8">
        <v>0.27999999999999997</v>
      </c>
      <c r="AQ5" s="497" t="e">
        <f t="shared" ref="AQ5:AQ9" si="9">AN5*AP5</f>
        <v>#N/A</v>
      </c>
      <c r="AR5" s="8">
        <v>1</v>
      </c>
      <c r="AS5" s="497" t="e">
        <f t="shared" ref="AS5:AS9" si="10">AR5*AN5</f>
        <v>#N/A</v>
      </c>
      <c r="AT5" s="497" t="e">
        <f>AS5*基础经济系数!$F$22</f>
        <v>#N/A</v>
      </c>
      <c r="AU5" s="497" t="e">
        <f>AT5/(AX5-AX4)</f>
        <v>#N/A</v>
      </c>
      <c r="AV5" s="495"/>
      <c r="AW5" s="648">
        <v>2</v>
      </c>
      <c r="AX5" s="650">
        <f>坦克部件!N5</f>
        <v>10</v>
      </c>
      <c r="AY5" s="664">
        <v>2</v>
      </c>
      <c r="AZ5" s="495"/>
      <c r="BA5" s="648">
        <v>2</v>
      </c>
      <c r="BB5" s="664">
        <f t="shared" ref="BB5:BB63" si="11">IFERROR(VLOOKUP(BA5-1,$AX$3:$AY$9,2,TRUE)+1,1)</f>
        <v>1</v>
      </c>
      <c r="BC5" s="8">
        <v>0.1</v>
      </c>
      <c r="BD5" s="690" t="e">
        <f t="shared" ref="BD5:BD63" si="12">VLOOKUP($BB5,$AM$3:$AU$9,MATCH(BD$3,$AM$3:$AU$3,0),FALSE)*$BC5</f>
        <v>#N/A</v>
      </c>
      <c r="BE5" s="664" t="e">
        <f t="shared" ref="BE5:BE63" si="13">ROUND(BD5*24*60/5,1)*5</f>
        <v>#N/A</v>
      </c>
      <c r="BF5" s="664" t="e">
        <f t="shared" ref="BF5:BF63" si="14">BE5*60</f>
        <v>#N/A</v>
      </c>
      <c r="BG5" s="664" t="e">
        <f t="shared" si="3"/>
        <v>#N/A</v>
      </c>
      <c r="BH5" s="664" t="e">
        <f>BG5+BH4</f>
        <v>#N/A</v>
      </c>
      <c r="BI5" s="8">
        <v>0.15</v>
      </c>
      <c r="BJ5" s="500" t="e">
        <f t="shared" ref="BJ5:BJ63" si="15">VLOOKUP($BB5,$AM$3:$AU$9,MATCH(BJ$3,$AM$3:$AU$3,0),FALSE)*$BI5</f>
        <v>#N/A</v>
      </c>
      <c r="BK5" s="664" t="e">
        <f t="shared" ref="BK5:BK63" si="16">ROUND(VLOOKUP(BB5,$C$33:$D$57,2,TRUE)*BJ5*$C$6/BL5,0)*BL5</f>
        <v>#N/A</v>
      </c>
      <c r="BL5" s="664">
        <v>10</v>
      </c>
      <c r="BM5" s="664" t="e">
        <f>BK5+BM4</f>
        <v>#N/A</v>
      </c>
      <c r="BN5" s="495"/>
    </row>
    <row r="6" spans="2:66" x14ac:dyDescent="0.35">
      <c r="B6" s="689" t="s">
        <v>3308</v>
      </c>
      <c r="C6" s="664">
        <f>1-C5</f>
        <v>0.6</v>
      </c>
      <c r="Q6" s="671" t="s">
        <v>3189</v>
      </c>
      <c r="R6" s="8">
        <v>3</v>
      </c>
      <c r="S6" s="8">
        <v>5</v>
      </c>
      <c r="U6" s="698" t="str">
        <f t="shared" si="4"/>
        <v>3星</v>
      </c>
      <c r="V6" s="698">
        <f t="shared" ref="V6:V10" si="17">V5+1</f>
        <v>3</v>
      </c>
      <c r="W6" s="8">
        <v>3</v>
      </c>
      <c r="X6" s="8">
        <v>3</v>
      </c>
      <c r="Y6" s="699">
        <f t="shared" ref="Y6:Y10" si="18">W5*Y5</f>
        <v>4</v>
      </c>
      <c r="AB6" s="698" t="s">
        <v>922</v>
      </c>
      <c r="AC6" s="698">
        <v>1</v>
      </c>
      <c r="AD6" s="699">
        <f t="shared" si="5"/>
        <v>1</v>
      </c>
      <c r="AE6" s="699">
        <f t="shared" si="6"/>
        <v>5</v>
      </c>
      <c r="AF6" s="699">
        <f t="shared" si="7"/>
        <v>5</v>
      </c>
      <c r="AG6" s="650">
        <f>SUMIF(AB$4:AB6,AB6,AF$4:AF6)</f>
        <v>5</v>
      </c>
      <c r="AH6" s="497">
        <f>IF(AF5=0,AF6,AF5)*$C$4/基础经济系数!$C$29</f>
        <v>0.3036551077788191</v>
      </c>
      <c r="AI6" s="497">
        <f t="shared" si="0"/>
        <v>0.3036551077788191</v>
      </c>
      <c r="AJ6" s="501">
        <f t="shared" si="1"/>
        <v>1020</v>
      </c>
      <c r="AK6" s="501">
        <v>20</v>
      </c>
      <c r="AM6" s="667">
        <v>3</v>
      </c>
      <c r="AN6" s="41" t="e">
        <f t="shared" si="2"/>
        <v>#N/A</v>
      </c>
      <c r="AO6" s="41" t="e">
        <f t="shared" si="8"/>
        <v>#N/A</v>
      </c>
      <c r="AP6" s="8">
        <v>0.22666666666666663</v>
      </c>
      <c r="AQ6" s="497" t="e">
        <f t="shared" si="9"/>
        <v>#N/A</v>
      </c>
      <c r="AR6" s="8">
        <v>1</v>
      </c>
      <c r="AS6" s="497" t="e">
        <f t="shared" si="10"/>
        <v>#N/A</v>
      </c>
      <c r="AT6" s="497" t="e">
        <f>AS6*基础经济系数!$F$22</f>
        <v>#N/A</v>
      </c>
      <c r="AU6" s="497" t="e">
        <f t="shared" ref="AU6:AU9" si="19">AT6/(AX6-AX5)</f>
        <v>#N/A</v>
      </c>
      <c r="AV6" s="495"/>
      <c r="AW6" s="648">
        <v>3</v>
      </c>
      <c r="AX6" s="650">
        <f>坦克部件!N6</f>
        <v>20</v>
      </c>
      <c r="AY6" s="664">
        <v>3</v>
      </c>
      <c r="AZ6" s="495"/>
      <c r="BA6" s="648">
        <v>3</v>
      </c>
      <c r="BB6" s="664">
        <f t="shared" si="11"/>
        <v>1</v>
      </c>
      <c r="BC6" s="8">
        <v>0.2</v>
      </c>
      <c r="BD6" s="690" t="e">
        <f t="shared" si="12"/>
        <v>#N/A</v>
      </c>
      <c r="BE6" s="664" t="e">
        <f t="shared" si="13"/>
        <v>#N/A</v>
      </c>
      <c r="BF6" s="664" t="e">
        <f t="shared" si="14"/>
        <v>#N/A</v>
      </c>
      <c r="BG6" s="664" t="e">
        <f t="shared" si="3"/>
        <v>#N/A</v>
      </c>
      <c r="BH6" s="664" t="e">
        <f t="shared" ref="BH6:BH63" si="20">BG6+BH5</f>
        <v>#N/A</v>
      </c>
      <c r="BI6" s="8">
        <v>0.2</v>
      </c>
      <c r="BJ6" s="500" t="e">
        <f t="shared" si="15"/>
        <v>#N/A</v>
      </c>
      <c r="BK6" s="664" t="e">
        <f t="shared" si="16"/>
        <v>#N/A</v>
      </c>
      <c r="BL6" s="664">
        <v>10</v>
      </c>
      <c r="BM6" s="664" t="e">
        <f t="shared" ref="BM6:BM63" si="21">BK6+BM5</f>
        <v>#N/A</v>
      </c>
      <c r="BN6" s="495"/>
    </row>
    <row r="7" spans="2:66" x14ac:dyDescent="0.35">
      <c r="B7" s="495"/>
      <c r="C7" s="499"/>
      <c r="U7" s="698" t="str">
        <f t="shared" si="4"/>
        <v>4星</v>
      </c>
      <c r="V7" s="698">
        <f t="shared" si="17"/>
        <v>4</v>
      </c>
      <c r="W7" s="8">
        <v>3</v>
      </c>
      <c r="X7" s="8">
        <v>4</v>
      </c>
      <c r="Y7" s="699">
        <f t="shared" si="18"/>
        <v>12</v>
      </c>
      <c r="AB7" s="698" t="s">
        <v>923</v>
      </c>
      <c r="AC7" s="698">
        <v>1</v>
      </c>
      <c r="AD7" s="699">
        <f t="shared" si="5"/>
        <v>1</v>
      </c>
      <c r="AE7" s="699" t="e">
        <f t="shared" si="6"/>
        <v>#N/A</v>
      </c>
      <c r="AF7" s="699" t="e">
        <f t="shared" si="7"/>
        <v>#N/A</v>
      </c>
      <c r="AG7" s="650" t="e">
        <f>SUMIF(AB$4:AB7,AB7,AF$4:AF7)</f>
        <v>#N/A</v>
      </c>
      <c r="AH7" s="497">
        <f>IF(AF6=0,AF7,AF6)*$C$4/基础经济系数!$C$29</f>
        <v>0.50609184629803183</v>
      </c>
      <c r="AI7" s="497">
        <f t="shared" si="0"/>
        <v>0.50609184629803183</v>
      </c>
      <c r="AJ7" s="501">
        <f t="shared" si="1"/>
        <v>1700</v>
      </c>
      <c r="AK7" s="501">
        <v>50</v>
      </c>
      <c r="AL7" s="48"/>
      <c r="AM7" s="667">
        <v>4</v>
      </c>
      <c r="AN7" s="41" t="e">
        <f t="shared" si="2"/>
        <v>#N/A</v>
      </c>
      <c r="AO7" s="41" t="e">
        <f t="shared" si="8"/>
        <v>#N/A</v>
      </c>
      <c r="AP7" s="8">
        <v>0.17333333333333334</v>
      </c>
      <c r="AQ7" s="497" t="e">
        <f t="shared" si="9"/>
        <v>#N/A</v>
      </c>
      <c r="AR7" s="8">
        <v>1</v>
      </c>
      <c r="AS7" s="497" t="e">
        <f t="shared" si="10"/>
        <v>#N/A</v>
      </c>
      <c r="AT7" s="497" t="e">
        <f>AS7*基础经济系数!$F$22</f>
        <v>#N/A</v>
      </c>
      <c r="AU7" s="497" t="e">
        <f t="shared" si="19"/>
        <v>#N/A</v>
      </c>
      <c r="AV7" s="495"/>
      <c r="AW7" s="648">
        <v>4</v>
      </c>
      <c r="AX7" s="650">
        <f>坦克部件!N7</f>
        <v>30</v>
      </c>
      <c r="AY7" s="664">
        <v>4</v>
      </c>
      <c r="AZ7" s="495"/>
      <c r="BA7" s="648">
        <v>4</v>
      </c>
      <c r="BB7" s="664">
        <f t="shared" si="11"/>
        <v>1</v>
      </c>
      <c r="BC7" s="8">
        <v>0.3</v>
      </c>
      <c r="BD7" s="690" t="e">
        <f t="shared" si="12"/>
        <v>#N/A</v>
      </c>
      <c r="BE7" s="664" t="e">
        <f t="shared" si="13"/>
        <v>#N/A</v>
      </c>
      <c r="BF7" s="664" t="e">
        <f t="shared" si="14"/>
        <v>#N/A</v>
      </c>
      <c r="BG7" s="664" t="e">
        <f t="shared" si="3"/>
        <v>#N/A</v>
      </c>
      <c r="BH7" s="664" t="e">
        <f t="shared" si="20"/>
        <v>#N/A</v>
      </c>
      <c r="BI7" s="8">
        <v>0.25</v>
      </c>
      <c r="BJ7" s="500" t="e">
        <f t="shared" si="15"/>
        <v>#N/A</v>
      </c>
      <c r="BK7" s="664" t="e">
        <f t="shared" si="16"/>
        <v>#N/A</v>
      </c>
      <c r="BL7" s="664">
        <v>10</v>
      </c>
      <c r="BM7" s="664" t="e">
        <f t="shared" si="21"/>
        <v>#N/A</v>
      </c>
      <c r="BN7" s="48"/>
    </row>
    <row r="8" spans="2:66" x14ac:dyDescent="0.35">
      <c r="B8" s="750" t="s">
        <v>3239</v>
      </c>
      <c r="C8" s="786"/>
      <c r="D8" s="786"/>
      <c r="E8" s="786"/>
      <c r="F8" s="786"/>
      <c r="G8" s="786"/>
      <c r="H8" s="786"/>
      <c r="I8" s="786"/>
      <c r="J8" s="786"/>
      <c r="K8" s="786"/>
      <c r="L8" s="751"/>
      <c r="U8" s="698" t="str">
        <f t="shared" si="4"/>
        <v>5星</v>
      </c>
      <c r="V8" s="698">
        <f t="shared" si="17"/>
        <v>5</v>
      </c>
      <c r="W8" s="8">
        <v>4</v>
      </c>
      <c r="X8" s="8">
        <v>5</v>
      </c>
      <c r="Y8" s="699">
        <f t="shared" si="18"/>
        <v>36</v>
      </c>
      <c r="AB8" s="698" t="s">
        <v>924</v>
      </c>
      <c r="AC8" s="698">
        <v>1</v>
      </c>
      <c r="AD8" s="699">
        <f t="shared" si="5"/>
        <v>1</v>
      </c>
      <c r="AE8" s="699" t="e">
        <f t="shared" si="6"/>
        <v>#N/A</v>
      </c>
      <c r="AF8" s="699" t="e">
        <f t="shared" si="7"/>
        <v>#N/A</v>
      </c>
      <c r="AG8" s="650" t="e">
        <f>SUMIF(AB$4:AB8,AB8,AF$4:AF8)</f>
        <v>#N/A</v>
      </c>
      <c r="AH8" s="497" t="e">
        <f>IF(AF7=0,AF8,AF7)*$C$4/基础经济系数!$C$29</f>
        <v>#N/A</v>
      </c>
      <c r="AI8" s="497" t="e">
        <f t="shared" si="0"/>
        <v>#N/A</v>
      </c>
      <c r="AJ8" s="501" t="e">
        <f t="shared" si="1"/>
        <v>#N/A</v>
      </c>
      <c r="AK8" s="501">
        <v>50</v>
      </c>
      <c r="AL8" s="48"/>
      <c r="AM8" s="667">
        <v>5</v>
      </c>
      <c r="AN8" s="41" t="e">
        <f t="shared" si="2"/>
        <v>#N/A</v>
      </c>
      <c r="AO8" s="41" t="e">
        <f t="shared" si="8"/>
        <v>#N/A</v>
      </c>
      <c r="AP8" s="8">
        <v>0.12000000000000004</v>
      </c>
      <c r="AQ8" s="497" t="e">
        <f t="shared" si="9"/>
        <v>#N/A</v>
      </c>
      <c r="AR8" s="8">
        <v>1</v>
      </c>
      <c r="AS8" s="497" t="e">
        <f t="shared" si="10"/>
        <v>#N/A</v>
      </c>
      <c r="AT8" s="497" t="e">
        <f>AS8*基础经济系数!$F$22</f>
        <v>#N/A</v>
      </c>
      <c r="AU8" s="497" t="e">
        <f t="shared" si="19"/>
        <v>#N/A</v>
      </c>
      <c r="AV8" s="495"/>
      <c r="AW8" s="648">
        <v>5</v>
      </c>
      <c r="AX8" s="650">
        <f>坦克部件!N8</f>
        <v>45</v>
      </c>
      <c r="AY8" s="664">
        <v>5</v>
      </c>
      <c r="AZ8" s="495"/>
      <c r="BA8" s="648">
        <v>5</v>
      </c>
      <c r="BB8" s="664">
        <f t="shared" si="11"/>
        <v>1</v>
      </c>
      <c r="BC8" s="8">
        <v>0.39</v>
      </c>
      <c r="BD8" s="690" t="e">
        <f t="shared" si="12"/>
        <v>#N/A</v>
      </c>
      <c r="BE8" s="664" t="e">
        <f t="shared" si="13"/>
        <v>#N/A</v>
      </c>
      <c r="BF8" s="664" t="e">
        <f t="shared" si="14"/>
        <v>#N/A</v>
      </c>
      <c r="BG8" s="664" t="e">
        <f t="shared" si="3"/>
        <v>#N/A</v>
      </c>
      <c r="BH8" s="664" t="e">
        <f t="shared" si="20"/>
        <v>#N/A</v>
      </c>
      <c r="BI8" s="8">
        <v>0.3</v>
      </c>
      <c r="BJ8" s="500" t="e">
        <f t="shared" si="15"/>
        <v>#N/A</v>
      </c>
      <c r="BK8" s="664" t="e">
        <f t="shared" si="16"/>
        <v>#N/A</v>
      </c>
      <c r="BL8" s="664">
        <v>10</v>
      </c>
      <c r="BM8" s="664" t="e">
        <f t="shared" si="21"/>
        <v>#N/A</v>
      </c>
      <c r="BN8" s="48"/>
    </row>
    <row r="9" spans="2:66" x14ac:dyDescent="0.35">
      <c r="B9" s="685" t="s">
        <v>2134</v>
      </c>
      <c r="C9" s="686" t="s">
        <v>3194</v>
      </c>
      <c r="D9" s="686" t="s">
        <v>3195</v>
      </c>
      <c r="E9" s="686" t="s">
        <v>3196</v>
      </c>
      <c r="F9" s="686" t="s">
        <v>3197</v>
      </c>
      <c r="G9" s="686" t="s">
        <v>3198</v>
      </c>
      <c r="H9" s="686" t="s">
        <v>3199</v>
      </c>
      <c r="I9" s="686" t="s">
        <v>3200</v>
      </c>
      <c r="J9" s="671" t="s">
        <v>3241</v>
      </c>
      <c r="K9" s="671" t="s">
        <v>3242</v>
      </c>
      <c r="L9" s="671" t="s">
        <v>3243</v>
      </c>
      <c r="U9" s="698" t="str">
        <f t="shared" si="4"/>
        <v>6星</v>
      </c>
      <c r="V9" s="698">
        <f t="shared" si="17"/>
        <v>6</v>
      </c>
      <c r="W9" s="8">
        <v>4</v>
      </c>
      <c r="X9" s="8">
        <v>6</v>
      </c>
      <c r="Y9" s="699">
        <f t="shared" si="18"/>
        <v>144</v>
      </c>
      <c r="AB9" s="698" t="s">
        <v>3355</v>
      </c>
      <c r="AC9" s="698">
        <v>1</v>
      </c>
      <c r="AD9" s="699">
        <f t="shared" si="5"/>
        <v>1</v>
      </c>
      <c r="AE9" s="699" t="e">
        <f t="shared" si="6"/>
        <v>#N/A</v>
      </c>
      <c r="AF9" s="699" t="e">
        <f t="shared" si="7"/>
        <v>#N/A</v>
      </c>
      <c r="AG9" s="650" t="e">
        <f>SUMIF(AB$4:AB9,AB9,AF$4:AF9)</f>
        <v>#N/A</v>
      </c>
      <c r="AH9" s="497" t="e">
        <f>IF(AF8=0,AF9,AF8)*$C$4/基础经济系数!$C$29</f>
        <v>#N/A</v>
      </c>
      <c r="AI9" s="497" t="e">
        <f t="shared" si="0"/>
        <v>#N/A</v>
      </c>
      <c r="AJ9" s="501" t="e">
        <f t="shared" si="1"/>
        <v>#N/A</v>
      </c>
      <c r="AK9" s="501">
        <v>50</v>
      </c>
      <c r="AL9" s="48"/>
      <c r="AM9" s="667">
        <v>6</v>
      </c>
      <c r="AN9" s="41" t="e">
        <f t="shared" si="2"/>
        <v>#N/A</v>
      </c>
      <c r="AO9" s="41" t="e">
        <f t="shared" si="8"/>
        <v>#N/A</v>
      </c>
      <c r="AP9" s="8">
        <v>6.6666666666666721E-2</v>
      </c>
      <c r="AQ9" s="497" t="e">
        <f t="shared" si="9"/>
        <v>#N/A</v>
      </c>
      <c r="AR9" s="8">
        <v>1</v>
      </c>
      <c r="AS9" s="497" t="e">
        <f t="shared" si="10"/>
        <v>#N/A</v>
      </c>
      <c r="AT9" s="497" t="e">
        <f>AS9*基础经济系数!$F$22</f>
        <v>#N/A</v>
      </c>
      <c r="AU9" s="497" t="e">
        <f t="shared" si="19"/>
        <v>#N/A</v>
      </c>
      <c r="AV9" s="495"/>
      <c r="AW9" s="648">
        <v>6</v>
      </c>
      <c r="AX9" s="650">
        <f>坦克部件!N9</f>
        <v>60</v>
      </c>
      <c r="AY9" s="664">
        <v>6</v>
      </c>
      <c r="AZ9" s="495"/>
      <c r="BA9" s="648">
        <v>6</v>
      </c>
      <c r="BB9" s="664">
        <f t="shared" si="11"/>
        <v>2</v>
      </c>
      <c r="BC9" s="8">
        <v>0.1</v>
      </c>
      <c r="BD9" s="690" t="e">
        <f t="shared" si="12"/>
        <v>#N/A</v>
      </c>
      <c r="BE9" s="664" t="e">
        <f t="shared" si="13"/>
        <v>#N/A</v>
      </c>
      <c r="BF9" s="664" t="e">
        <f t="shared" si="14"/>
        <v>#N/A</v>
      </c>
      <c r="BG9" s="664" t="e">
        <f t="shared" si="3"/>
        <v>#N/A</v>
      </c>
      <c r="BH9" s="664" t="e">
        <f t="shared" si="20"/>
        <v>#N/A</v>
      </c>
      <c r="BI9" s="8">
        <v>0.1</v>
      </c>
      <c r="BJ9" s="500" t="e">
        <f t="shared" si="15"/>
        <v>#N/A</v>
      </c>
      <c r="BK9" s="664" t="e">
        <f t="shared" si="16"/>
        <v>#N/A</v>
      </c>
      <c r="BL9" s="664">
        <v>50</v>
      </c>
      <c r="BM9" s="664" t="e">
        <f t="shared" si="21"/>
        <v>#N/A</v>
      </c>
      <c r="BN9" s="48"/>
    </row>
    <row r="10" spans="2:66" x14ac:dyDescent="0.35">
      <c r="B10" s="648" t="s">
        <v>2136</v>
      </c>
      <c r="C10" s="648">
        <f t="shared" ref="C10:H12" si="22">SUMIFS($AE$4:$AE$57,$AB$4:$AB$57,$B10,$AD$4:$AD$57,LEFT(C$9,1)*1)</f>
        <v>2</v>
      </c>
      <c r="D10" s="648">
        <f t="shared" si="22"/>
        <v>0</v>
      </c>
      <c r="E10" s="648">
        <f t="shared" si="22"/>
        <v>0</v>
      </c>
      <c r="F10" s="648">
        <f t="shared" si="22"/>
        <v>0</v>
      </c>
      <c r="G10" s="648">
        <f t="shared" si="22"/>
        <v>0</v>
      </c>
      <c r="H10" s="648">
        <f t="shared" si="22"/>
        <v>0</v>
      </c>
      <c r="I10" s="648" t="e">
        <f>VLOOKUP(C$9,$Z$3:$Z$9,3,FALSE)*C10+VLOOKUP(D$9,$Z$3:$Z$9,3,FALSE)*D10+VLOOKUP(E$9,$Z$3:$Z$9,3,FALSE)*E10+VLOOKUP(F$9,$Z$3:$Z$9,3,FALSE)*F10+VLOOKUP(G$9,$Z$3:$Z$9,3,FALSE)*G10+VLOOKUP(H$9,$Z$3:$Z$9,3,FALSE)*H10+1</f>
        <v>#N/A</v>
      </c>
      <c r="J10" s="648" t="e">
        <f>I10*$C$2*$C$3</f>
        <v>#N/A</v>
      </c>
      <c r="K10" s="648" t="e">
        <f>J10*5</f>
        <v>#N/A</v>
      </c>
      <c r="L10" s="648" t="e">
        <f>K10/基础经济系数!$C$29</f>
        <v>#N/A</v>
      </c>
      <c r="U10" s="698" t="str">
        <f t="shared" si="4"/>
        <v>7星</v>
      </c>
      <c r="V10" s="698">
        <f t="shared" si="17"/>
        <v>7</v>
      </c>
      <c r="W10" s="8">
        <v>5</v>
      </c>
      <c r="X10" s="8">
        <v>7</v>
      </c>
      <c r="Y10" s="699">
        <f t="shared" si="18"/>
        <v>576</v>
      </c>
      <c r="AA10" s="10"/>
      <c r="AB10" s="698" t="s">
        <v>3356</v>
      </c>
      <c r="AC10" s="698">
        <v>1</v>
      </c>
      <c r="AD10" s="699">
        <f t="shared" si="5"/>
        <v>1</v>
      </c>
      <c r="AE10" s="699" t="e">
        <f t="shared" si="6"/>
        <v>#N/A</v>
      </c>
      <c r="AF10" s="699" t="e">
        <f t="shared" si="7"/>
        <v>#N/A</v>
      </c>
      <c r="AG10" s="650" t="e">
        <f>SUMIF(AB$4:AB10,AB10,AF$4:AF10)</f>
        <v>#N/A</v>
      </c>
      <c r="AH10" s="497" t="e">
        <f>IF(AF9=0,AF10,AF9)*$C$4/基础经济系数!$C$29</f>
        <v>#N/A</v>
      </c>
      <c r="AI10" s="497" t="e">
        <f t="shared" si="0"/>
        <v>#N/A</v>
      </c>
      <c r="AJ10" s="501" t="e">
        <f t="shared" si="1"/>
        <v>#N/A</v>
      </c>
      <c r="AK10" s="501">
        <v>100</v>
      </c>
      <c r="AL10" s="48"/>
      <c r="AM10" s="48"/>
      <c r="AN10" s="48"/>
      <c r="AO10" s="48"/>
      <c r="AP10" s="48"/>
      <c r="AQ10" s="48"/>
      <c r="AR10" s="48"/>
      <c r="AS10" s="48"/>
      <c r="AT10" s="48"/>
      <c r="AU10" s="48"/>
      <c r="AV10" s="48"/>
      <c r="AW10" s="48"/>
      <c r="AX10" s="48"/>
      <c r="AY10" s="48"/>
      <c r="AZ10" s="48"/>
      <c r="BA10" s="648">
        <v>7</v>
      </c>
      <c r="BB10" s="664">
        <f t="shared" si="11"/>
        <v>2</v>
      </c>
      <c r="BC10" s="8">
        <v>0.15</v>
      </c>
      <c r="BD10" s="690" t="e">
        <f t="shared" si="12"/>
        <v>#N/A</v>
      </c>
      <c r="BE10" s="664" t="e">
        <f t="shared" si="13"/>
        <v>#N/A</v>
      </c>
      <c r="BF10" s="664" t="e">
        <f t="shared" si="14"/>
        <v>#N/A</v>
      </c>
      <c r="BG10" s="664" t="e">
        <f t="shared" si="3"/>
        <v>#N/A</v>
      </c>
      <c r="BH10" s="664" t="e">
        <f t="shared" si="20"/>
        <v>#N/A</v>
      </c>
      <c r="BI10" s="8">
        <v>0.15</v>
      </c>
      <c r="BJ10" s="500" t="e">
        <f t="shared" si="15"/>
        <v>#N/A</v>
      </c>
      <c r="BK10" s="664" t="e">
        <f t="shared" si="16"/>
        <v>#N/A</v>
      </c>
      <c r="BL10" s="664">
        <v>50</v>
      </c>
      <c r="BM10" s="664" t="e">
        <f t="shared" si="21"/>
        <v>#N/A</v>
      </c>
      <c r="BN10" s="48"/>
    </row>
    <row r="11" spans="2:66" x14ac:dyDescent="0.35">
      <c r="B11" s="648" t="s">
        <v>921</v>
      </c>
      <c r="C11" s="648">
        <f t="shared" si="22"/>
        <v>3</v>
      </c>
      <c r="D11" s="648">
        <f t="shared" si="22"/>
        <v>0</v>
      </c>
      <c r="E11" s="648">
        <f t="shared" si="22"/>
        <v>0</v>
      </c>
      <c r="F11" s="648">
        <f t="shared" si="22"/>
        <v>0</v>
      </c>
      <c r="G11" s="648">
        <f t="shared" si="22"/>
        <v>0</v>
      </c>
      <c r="H11" s="648">
        <f t="shared" si="22"/>
        <v>0</v>
      </c>
      <c r="I11" s="648" t="e">
        <f>VLOOKUP(C$9,$Z$3:$Z$9,3,FALSE)*C11+VLOOKUP(D$9,$Z$3:$Z$9,3,FALSE)*D11+VLOOKUP(E$9,$Z$3:$Z$9,3,FALSE)*E11+VLOOKUP(F$9,$Z$3:$Z$9,3,FALSE)*F11+VLOOKUP(G$9,$Z$3:$Z$9,3,FALSE)*G11+VLOOKUP(H$9,$Z$3:$Z$9,3,FALSE)*H11+1</f>
        <v>#N/A</v>
      </c>
      <c r="J11" s="648" t="e">
        <f t="shared" ref="J11:J12" si="23">I11*$C$2*$C$3</f>
        <v>#N/A</v>
      </c>
      <c r="K11" s="648" t="e">
        <f t="shared" ref="K11:K12" si="24">J11*5</f>
        <v>#N/A</v>
      </c>
      <c r="L11" s="648" t="e">
        <f>K11/基础经济系数!$C$29</f>
        <v>#N/A</v>
      </c>
      <c r="Y11" s="10"/>
      <c r="Z11" s="10"/>
      <c r="AA11" s="10"/>
      <c r="AB11" s="698" t="s">
        <v>3357</v>
      </c>
      <c r="AC11" s="698">
        <v>1</v>
      </c>
      <c r="AD11" s="699">
        <f t="shared" si="5"/>
        <v>1</v>
      </c>
      <c r="AE11" s="699" t="e">
        <f t="shared" si="6"/>
        <v>#N/A</v>
      </c>
      <c r="AF11" s="699" t="e">
        <f t="shared" si="7"/>
        <v>#N/A</v>
      </c>
      <c r="AG11" s="650" t="e">
        <f>SUMIF(AB$4:AB11,AB11,AF$4:AF11)</f>
        <v>#N/A</v>
      </c>
      <c r="AH11" s="497" t="e">
        <f>IF(AF10=0,AF11,AF10)*$C$4/基础经济系数!$C$29</f>
        <v>#N/A</v>
      </c>
      <c r="AI11" s="497" t="e">
        <f t="shared" si="0"/>
        <v>#N/A</v>
      </c>
      <c r="AJ11" s="501" t="e">
        <f t="shared" si="1"/>
        <v>#N/A</v>
      </c>
      <c r="AK11" s="501">
        <v>100</v>
      </c>
      <c r="AL11" s="48"/>
      <c r="AM11" s="48"/>
      <c r="AN11" s="48"/>
      <c r="AO11" s="48"/>
      <c r="AP11" s="48"/>
      <c r="AQ11" s="48"/>
      <c r="AR11" s="48"/>
      <c r="AS11" s="48"/>
      <c r="AT11" s="48"/>
      <c r="AU11" s="48"/>
      <c r="AV11" s="48"/>
      <c r="AW11" s="48"/>
      <c r="AX11" s="48"/>
      <c r="AY11" s="48"/>
      <c r="AZ11" s="48"/>
      <c r="BA11" s="648">
        <v>8</v>
      </c>
      <c r="BB11" s="664">
        <f t="shared" si="11"/>
        <v>2</v>
      </c>
      <c r="BC11" s="8">
        <v>0.2</v>
      </c>
      <c r="BD11" s="690" t="e">
        <f t="shared" si="12"/>
        <v>#N/A</v>
      </c>
      <c r="BE11" s="664" t="e">
        <f t="shared" si="13"/>
        <v>#N/A</v>
      </c>
      <c r="BF11" s="664" t="e">
        <f t="shared" si="14"/>
        <v>#N/A</v>
      </c>
      <c r="BG11" s="664" t="e">
        <f t="shared" si="3"/>
        <v>#N/A</v>
      </c>
      <c r="BH11" s="664" t="e">
        <f t="shared" si="20"/>
        <v>#N/A</v>
      </c>
      <c r="BI11" s="8">
        <v>0.2</v>
      </c>
      <c r="BJ11" s="500" t="e">
        <f t="shared" si="15"/>
        <v>#N/A</v>
      </c>
      <c r="BK11" s="664" t="e">
        <f t="shared" si="16"/>
        <v>#N/A</v>
      </c>
      <c r="BL11" s="664">
        <v>50</v>
      </c>
      <c r="BM11" s="664" t="e">
        <f t="shared" si="21"/>
        <v>#N/A</v>
      </c>
      <c r="BN11" s="48"/>
    </row>
    <row r="12" spans="2:66" x14ac:dyDescent="0.35">
      <c r="B12" s="648" t="s">
        <v>922</v>
      </c>
      <c r="C12" s="648">
        <f t="shared" si="22"/>
        <v>5</v>
      </c>
      <c r="D12" s="648">
        <f t="shared" si="22"/>
        <v>0</v>
      </c>
      <c r="E12" s="648">
        <f t="shared" si="22"/>
        <v>0</v>
      </c>
      <c r="F12" s="648">
        <f t="shared" si="22"/>
        <v>0</v>
      </c>
      <c r="G12" s="648">
        <f t="shared" si="22"/>
        <v>0</v>
      </c>
      <c r="H12" s="648">
        <f t="shared" si="22"/>
        <v>0</v>
      </c>
      <c r="I12" s="648" t="e">
        <f>VLOOKUP(C$9,$Z$3:$Z$9,3,FALSE)*C12+VLOOKUP(D$9,$Z$3:$Z$9,3,FALSE)*D12+VLOOKUP(E$9,$Z$3:$Z$9,3,FALSE)*E12+VLOOKUP(F$9,$Z$3:$Z$9,3,FALSE)*F12+VLOOKUP(G$9,$Z$3:$Z$9,3,FALSE)*G12+VLOOKUP(H$9,$Z$3:$Z$9,3,FALSE)*H12+1</f>
        <v>#N/A</v>
      </c>
      <c r="J12" s="648" t="e">
        <f t="shared" si="23"/>
        <v>#N/A</v>
      </c>
      <c r="K12" s="648" t="e">
        <f t="shared" si="24"/>
        <v>#N/A</v>
      </c>
      <c r="L12" s="648" t="e">
        <f>K12/基础经济系数!$C$29</f>
        <v>#N/A</v>
      </c>
      <c r="Y12" s="10"/>
      <c r="Z12" s="10"/>
      <c r="AA12" s="10"/>
      <c r="AB12" s="698" t="s">
        <v>3358</v>
      </c>
      <c r="AC12" s="698">
        <v>1</v>
      </c>
      <c r="AD12" s="699">
        <f t="shared" si="5"/>
        <v>1</v>
      </c>
      <c r="AE12" s="699" t="e">
        <f t="shared" si="6"/>
        <v>#N/A</v>
      </c>
      <c r="AF12" s="699" t="e">
        <f t="shared" si="7"/>
        <v>#N/A</v>
      </c>
      <c r="AG12" s="650" t="e">
        <f>SUMIF(AB$4:AB12,AB12,AF$4:AF12)</f>
        <v>#N/A</v>
      </c>
      <c r="AH12" s="497" t="e">
        <f>IF(AF11=0,AF12,AF11)*$C$4/基础经济系数!$C$29</f>
        <v>#N/A</v>
      </c>
      <c r="AI12" s="497" t="e">
        <f t="shared" si="0"/>
        <v>#N/A</v>
      </c>
      <c r="AJ12" s="501" t="e">
        <f t="shared" si="1"/>
        <v>#N/A</v>
      </c>
      <c r="AK12" s="501">
        <v>100</v>
      </c>
      <c r="BA12" s="648">
        <v>9</v>
      </c>
      <c r="BB12" s="664">
        <f t="shared" si="11"/>
        <v>2</v>
      </c>
      <c r="BC12" s="8">
        <v>0.25</v>
      </c>
      <c r="BD12" s="690" t="e">
        <f t="shared" si="12"/>
        <v>#N/A</v>
      </c>
      <c r="BE12" s="664" t="e">
        <f t="shared" si="13"/>
        <v>#N/A</v>
      </c>
      <c r="BF12" s="664" t="e">
        <f t="shared" si="14"/>
        <v>#N/A</v>
      </c>
      <c r="BG12" s="664" t="e">
        <f t="shared" si="3"/>
        <v>#N/A</v>
      </c>
      <c r="BH12" s="664" t="e">
        <f t="shared" si="20"/>
        <v>#N/A</v>
      </c>
      <c r="BI12" s="8">
        <v>0.25</v>
      </c>
      <c r="BJ12" s="500" t="e">
        <f t="shared" si="15"/>
        <v>#N/A</v>
      </c>
      <c r="BK12" s="664" t="e">
        <f t="shared" si="16"/>
        <v>#N/A</v>
      </c>
      <c r="BL12" s="664">
        <v>50</v>
      </c>
      <c r="BM12" s="664" t="e">
        <f t="shared" si="21"/>
        <v>#N/A</v>
      </c>
    </row>
    <row r="13" spans="2:66" x14ac:dyDescent="0.35">
      <c r="Y13" s="10"/>
      <c r="Z13" s="10"/>
      <c r="AA13" s="10"/>
      <c r="AB13" s="698" t="s">
        <v>3359</v>
      </c>
      <c r="AC13" s="698">
        <v>1</v>
      </c>
      <c r="AD13" s="699">
        <f t="shared" si="5"/>
        <v>1</v>
      </c>
      <c r="AE13" s="699" t="e">
        <f t="shared" si="6"/>
        <v>#N/A</v>
      </c>
      <c r="AF13" s="699" t="e">
        <f t="shared" si="7"/>
        <v>#N/A</v>
      </c>
      <c r="AG13" s="650" t="e">
        <f>SUMIF(AB$4:AB13,AB13,AF$4:AF13)</f>
        <v>#N/A</v>
      </c>
      <c r="AH13" s="497" t="e">
        <f>IF(AF12=0,AF13,AF12)*$C$4/基础经济系数!$C$29</f>
        <v>#N/A</v>
      </c>
      <c r="AI13" s="497" t="e">
        <f t="shared" si="0"/>
        <v>#N/A</v>
      </c>
      <c r="AJ13" s="501" t="e">
        <f t="shared" si="1"/>
        <v>#N/A</v>
      </c>
      <c r="AK13" s="501">
        <v>100</v>
      </c>
      <c r="AL13" s="495"/>
      <c r="AM13" s="495"/>
      <c r="AN13" s="495"/>
      <c r="AO13" s="495"/>
      <c r="AP13" s="495"/>
      <c r="AQ13" s="495"/>
      <c r="AR13" s="495"/>
      <c r="AS13" s="495"/>
      <c r="AT13" s="495"/>
      <c r="AU13" s="495"/>
      <c r="AV13" s="495"/>
      <c r="AW13" s="495"/>
      <c r="AX13" s="495"/>
      <c r="AY13" s="495"/>
      <c r="AZ13" s="495"/>
      <c r="BA13" s="648">
        <v>10</v>
      </c>
      <c r="BB13" s="664">
        <f t="shared" si="11"/>
        <v>2</v>
      </c>
      <c r="BC13" s="8">
        <v>0.3</v>
      </c>
      <c r="BD13" s="690" t="e">
        <f t="shared" si="12"/>
        <v>#N/A</v>
      </c>
      <c r="BE13" s="664" t="e">
        <f t="shared" si="13"/>
        <v>#N/A</v>
      </c>
      <c r="BF13" s="664" t="e">
        <f t="shared" si="14"/>
        <v>#N/A</v>
      </c>
      <c r="BG13" s="664" t="e">
        <f t="shared" si="3"/>
        <v>#N/A</v>
      </c>
      <c r="BH13" s="664" t="e">
        <f t="shared" si="20"/>
        <v>#N/A</v>
      </c>
      <c r="BI13" s="8">
        <v>0.3</v>
      </c>
      <c r="BJ13" s="500" t="e">
        <f t="shared" si="15"/>
        <v>#N/A</v>
      </c>
      <c r="BK13" s="664" t="e">
        <f t="shared" si="16"/>
        <v>#N/A</v>
      </c>
      <c r="BL13" s="664">
        <v>50</v>
      </c>
      <c r="BM13" s="664" t="e">
        <f t="shared" si="21"/>
        <v>#N/A</v>
      </c>
      <c r="BN13" s="495"/>
    </row>
    <row r="14" spans="2:66" x14ac:dyDescent="0.35">
      <c r="B14" s="777" t="s">
        <v>3286</v>
      </c>
      <c r="C14" s="784"/>
      <c r="D14" s="784"/>
      <c r="E14" s="784"/>
      <c r="F14" s="784"/>
      <c r="G14" s="784"/>
      <c r="H14" s="784"/>
      <c r="I14" s="784"/>
      <c r="J14" s="784"/>
      <c r="K14" s="784"/>
      <c r="L14" s="784"/>
      <c r="M14" s="784"/>
      <c r="N14" s="784"/>
      <c r="O14" s="785"/>
      <c r="P14" s="48"/>
      <c r="Y14" s="10"/>
      <c r="Z14" s="10"/>
      <c r="AA14" s="10"/>
      <c r="AB14" s="698" t="s">
        <v>3360</v>
      </c>
      <c r="AC14" s="698">
        <v>1</v>
      </c>
      <c r="AD14" s="699">
        <f t="shared" si="5"/>
        <v>1</v>
      </c>
      <c r="AE14" s="699" t="e">
        <f t="shared" si="6"/>
        <v>#N/A</v>
      </c>
      <c r="AF14" s="699" t="e">
        <f t="shared" si="7"/>
        <v>#N/A</v>
      </c>
      <c r="AG14" s="650" t="e">
        <f>SUMIF(AB$4:AB14,AB14,AF$4:AF14)</f>
        <v>#N/A</v>
      </c>
      <c r="AH14" s="497" t="e">
        <f>IF(AF13=0,AF14,AF13)*$C$4/基础经济系数!$C$29</f>
        <v>#N/A</v>
      </c>
      <c r="AI14" s="497" t="e">
        <f t="shared" si="0"/>
        <v>#N/A</v>
      </c>
      <c r="AJ14" s="501" t="e">
        <f t="shared" si="1"/>
        <v>#N/A</v>
      </c>
      <c r="AK14" s="501">
        <v>500</v>
      </c>
      <c r="AL14" s="217"/>
      <c r="AM14" s="217"/>
      <c r="AN14" s="217"/>
      <c r="AO14" s="217"/>
      <c r="AP14" s="217"/>
      <c r="AQ14" s="217"/>
      <c r="AR14" s="217"/>
      <c r="AS14" s="217"/>
      <c r="AT14" s="217"/>
      <c r="AU14" s="217"/>
      <c r="AV14" s="217"/>
      <c r="AW14" s="217"/>
      <c r="AX14" s="217"/>
      <c r="AY14" s="217"/>
      <c r="AZ14" s="217"/>
      <c r="BA14" s="648">
        <v>11</v>
      </c>
      <c r="BB14" s="664">
        <f t="shared" si="11"/>
        <v>3</v>
      </c>
      <c r="BC14" s="8">
        <v>0.01</v>
      </c>
      <c r="BD14" s="690" t="e">
        <f t="shared" si="12"/>
        <v>#N/A</v>
      </c>
      <c r="BE14" s="664" t="e">
        <f t="shared" si="13"/>
        <v>#N/A</v>
      </c>
      <c r="BF14" s="664" t="e">
        <f t="shared" si="14"/>
        <v>#N/A</v>
      </c>
      <c r="BG14" s="664" t="e">
        <f t="shared" si="3"/>
        <v>#N/A</v>
      </c>
      <c r="BH14" s="664" t="e">
        <f t="shared" si="20"/>
        <v>#N/A</v>
      </c>
      <c r="BI14" s="8">
        <v>0.01</v>
      </c>
      <c r="BJ14" s="500" t="e">
        <f t="shared" si="15"/>
        <v>#N/A</v>
      </c>
      <c r="BK14" s="664" t="e">
        <f t="shared" si="16"/>
        <v>#N/A</v>
      </c>
      <c r="BL14" s="664">
        <v>50</v>
      </c>
      <c r="BM14" s="664" t="e">
        <f t="shared" si="21"/>
        <v>#N/A</v>
      </c>
      <c r="BN14" s="217"/>
    </row>
    <row r="15" spans="2:66" x14ac:dyDescent="0.35">
      <c r="B15" s="664" t="s">
        <v>2134</v>
      </c>
      <c r="C15" s="667" t="s">
        <v>3274</v>
      </c>
      <c r="D15" s="689" t="s">
        <v>3279</v>
      </c>
      <c r="E15" s="689" t="s">
        <v>3256</v>
      </c>
      <c r="F15" s="689" t="s">
        <v>3281</v>
      </c>
      <c r="G15" s="689" t="s">
        <v>3280</v>
      </c>
      <c r="H15" s="689" t="s">
        <v>3282</v>
      </c>
      <c r="I15" s="667" t="s">
        <v>3254</v>
      </c>
      <c r="J15" s="667" t="s">
        <v>3283</v>
      </c>
      <c r="K15" s="667" t="s">
        <v>3284</v>
      </c>
      <c r="L15" s="667" t="s">
        <v>3275</v>
      </c>
      <c r="M15" s="667" t="s">
        <v>3276</v>
      </c>
      <c r="N15" s="667" t="s">
        <v>3277</v>
      </c>
      <c r="O15" s="667" t="s">
        <v>3278</v>
      </c>
      <c r="P15" s="48"/>
      <c r="Y15" s="10"/>
      <c r="Z15" s="10"/>
      <c r="AA15" s="10"/>
      <c r="AB15" s="698" t="s">
        <v>3361</v>
      </c>
      <c r="AC15" s="698">
        <v>1</v>
      </c>
      <c r="AD15" s="699">
        <f t="shared" si="5"/>
        <v>1</v>
      </c>
      <c r="AE15" s="699" t="e">
        <f t="shared" si="6"/>
        <v>#N/A</v>
      </c>
      <c r="AF15" s="699" t="e">
        <f t="shared" si="7"/>
        <v>#N/A</v>
      </c>
      <c r="AG15" s="650" t="e">
        <f>SUMIF(AB$4:AB15,AB15,AF$4:AF15)</f>
        <v>#N/A</v>
      </c>
      <c r="AH15" s="497" t="e">
        <f>IF(AF14=0,AF15,AF14)*$C$4/基础经济系数!$C$29</f>
        <v>#N/A</v>
      </c>
      <c r="AI15" s="497" t="e">
        <f t="shared" si="0"/>
        <v>#N/A</v>
      </c>
      <c r="AJ15" s="501" t="e">
        <f t="shared" si="1"/>
        <v>#N/A</v>
      </c>
      <c r="AK15" s="501">
        <v>500</v>
      </c>
      <c r="AL15" s="215"/>
      <c r="AM15" s="215"/>
      <c r="AN15" s="215"/>
      <c r="AO15" s="215"/>
      <c r="AP15" s="215"/>
      <c r="AQ15" s="215"/>
      <c r="AR15" s="215"/>
      <c r="AS15" s="215"/>
      <c r="AT15" s="215"/>
      <c r="AU15" s="215"/>
      <c r="AV15" s="215"/>
      <c r="AW15" s="215"/>
      <c r="AX15" s="215"/>
      <c r="AY15" s="215"/>
      <c r="AZ15" s="215"/>
      <c r="BA15" s="648">
        <v>12</v>
      </c>
      <c r="BB15" s="664">
        <f t="shared" si="11"/>
        <v>3</v>
      </c>
      <c r="BC15" s="8">
        <v>0.03</v>
      </c>
      <c r="BD15" s="690" t="e">
        <f t="shared" si="12"/>
        <v>#N/A</v>
      </c>
      <c r="BE15" s="664" t="e">
        <f t="shared" si="13"/>
        <v>#N/A</v>
      </c>
      <c r="BF15" s="664" t="e">
        <f t="shared" si="14"/>
        <v>#N/A</v>
      </c>
      <c r="BG15" s="664" t="e">
        <f t="shared" si="3"/>
        <v>#N/A</v>
      </c>
      <c r="BH15" s="664" t="e">
        <f t="shared" si="20"/>
        <v>#N/A</v>
      </c>
      <c r="BI15" s="8">
        <v>0.03</v>
      </c>
      <c r="BJ15" s="500" t="e">
        <f t="shared" si="15"/>
        <v>#N/A</v>
      </c>
      <c r="BK15" s="664" t="e">
        <f t="shared" si="16"/>
        <v>#N/A</v>
      </c>
      <c r="BL15" s="664">
        <v>50</v>
      </c>
      <c r="BM15" s="664" t="e">
        <f t="shared" si="21"/>
        <v>#N/A</v>
      </c>
      <c r="BN15" s="215"/>
    </row>
    <row r="16" spans="2:66" x14ac:dyDescent="0.35">
      <c r="B16" s="664" t="s">
        <v>925</v>
      </c>
      <c r="C16" s="41">
        <f>AH4</f>
        <v>0.10121836925960637</v>
      </c>
      <c r="D16" s="664">
        <f>C4</f>
        <v>13.5</v>
      </c>
      <c r="E16" s="228">
        <v>1</v>
      </c>
      <c r="F16" s="497">
        <f>C16*E16</f>
        <v>0.10121836925960637</v>
      </c>
      <c r="G16" s="664">
        <f>D16*E16</f>
        <v>13.5</v>
      </c>
      <c r="H16" s="664">
        <f>VLOOKUP(VLOOKUP(B16,$Q$3:$S$6,3,FALSE),$AW$3:$AY$9,2,FALSE)</f>
        <v>10</v>
      </c>
      <c r="I16" s="41" t="e">
        <f>AI17</f>
        <v>#N/A</v>
      </c>
      <c r="J16" s="667" t="e">
        <f t="shared" ref="J16:K18" si="25">VLOOKUP($H16,$BA$3:$BM$63,MATCH(J$15,$BA$3:$BM$3,0),FALSE)</f>
        <v>#N/A</v>
      </c>
      <c r="K16" s="667" t="e">
        <f t="shared" si="25"/>
        <v>#N/A</v>
      </c>
      <c r="L16" s="667" t="e">
        <f>J16*$C$2</f>
        <v>#N/A</v>
      </c>
      <c r="M16" s="667" t="e">
        <f>K16*$C$2</f>
        <v>#N/A</v>
      </c>
      <c r="N16" s="667" t="e">
        <f>L16*$C$3</f>
        <v>#N/A</v>
      </c>
      <c r="O16" s="667" t="e">
        <f>M16*$C$3</f>
        <v>#N/A</v>
      </c>
      <c r="P16" s="48"/>
      <c r="Y16" s="10"/>
      <c r="Z16" s="10"/>
      <c r="AA16" s="10"/>
      <c r="AB16" s="698" t="s">
        <v>3362</v>
      </c>
      <c r="AC16" s="698">
        <v>1</v>
      </c>
      <c r="AD16" s="699">
        <f t="shared" si="5"/>
        <v>1</v>
      </c>
      <c r="AE16" s="699" t="e">
        <f t="shared" si="6"/>
        <v>#N/A</v>
      </c>
      <c r="AF16" s="699" t="e">
        <f t="shared" si="7"/>
        <v>#N/A</v>
      </c>
      <c r="AG16" s="650" t="e">
        <f>SUMIF(AB$4:AB16,AB16,AF$4:AF16)</f>
        <v>#N/A</v>
      </c>
      <c r="AH16" s="497" t="e">
        <f>IF(AF15=0,AF16,AF15)*$C$4/基础经济系数!$C$29</f>
        <v>#N/A</v>
      </c>
      <c r="AI16" s="497" t="e">
        <f t="shared" si="0"/>
        <v>#N/A</v>
      </c>
      <c r="AJ16" s="501" t="e">
        <f t="shared" si="1"/>
        <v>#N/A</v>
      </c>
      <c r="AK16" s="501">
        <v>500</v>
      </c>
      <c r="AL16" s="215"/>
      <c r="AM16" s="215"/>
      <c r="AN16" s="215"/>
      <c r="AO16" s="215"/>
      <c r="AP16" s="215"/>
      <c r="AQ16" s="215"/>
      <c r="AR16" s="215"/>
      <c r="AS16" s="215"/>
      <c r="AT16" s="215"/>
      <c r="AU16" s="215"/>
      <c r="AV16" s="215"/>
      <c r="AW16" s="215"/>
      <c r="AX16" s="215"/>
      <c r="AY16" s="215"/>
      <c r="AZ16" s="215"/>
      <c r="BA16" s="648">
        <v>13</v>
      </c>
      <c r="BB16" s="664">
        <f t="shared" si="11"/>
        <v>3</v>
      </c>
      <c r="BC16" s="8">
        <v>0.05</v>
      </c>
      <c r="BD16" s="690" t="e">
        <f t="shared" si="12"/>
        <v>#N/A</v>
      </c>
      <c r="BE16" s="664" t="e">
        <f t="shared" si="13"/>
        <v>#N/A</v>
      </c>
      <c r="BF16" s="664" t="e">
        <f t="shared" si="14"/>
        <v>#N/A</v>
      </c>
      <c r="BG16" s="664" t="e">
        <f t="shared" si="3"/>
        <v>#N/A</v>
      </c>
      <c r="BH16" s="664" t="e">
        <f t="shared" si="20"/>
        <v>#N/A</v>
      </c>
      <c r="BI16" s="8">
        <v>0.05</v>
      </c>
      <c r="BJ16" s="500" t="e">
        <f t="shared" si="15"/>
        <v>#N/A</v>
      </c>
      <c r="BK16" s="664" t="e">
        <f t="shared" si="16"/>
        <v>#N/A</v>
      </c>
      <c r="BL16" s="664">
        <v>50</v>
      </c>
      <c r="BM16" s="664" t="e">
        <f t="shared" si="21"/>
        <v>#N/A</v>
      </c>
      <c r="BN16" s="215"/>
    </row>
    <row r="17" spans="2:66" x14ac:dyDescent="0.35">
      <c r="B17" s="679" t="s">
        <v>3188</v>
      </c>
      <c r="C17" s="41" t="e">
        <f>AH18</f>
        <v>#N/A</v>
      </c>
      <c r="D17" s="664" t="e">
        <f>C17*$D$16/$C$16</f>
        <v>#N/A</v>
      </c>
      <c r="E17" s="228">
        <v>5</v>
      </c>
      <c r="F17" s="497" t="e">
        <f t="shared" ref="F17:F18" si="26">C17*E17</f>
        <v>#N/A</v>
      </c>
      <c r="G17" s="664" t="e">
        <f>E17*D17</f>
        <v>#N/A</v>
      </c>
      <c r="H17" s="664">
        <f>VLOOKUP(VLOOKUP(B17,$Q$3:$S$6,3,FALSE),$AW$3:$AY$9,2,FALSE)</f>
        <v>20</v>
      </c>
      <c r="I17" s="41" t="e">
        <f>AI35</f>
        <v>#N/A</v>
      </c>
      <c r="J17" s="667" t="e">
        <f t="shared" si="25"/>
        <v>#N/A</v>
      </c>
      <c r="K17" s="667" t="e">
        <f t="shared" si="25"/>
        <v>#N/A</v>
      </c>
      <c r="L17" s="667" t="e">
        <f t="shared" ref="L17:L18" si="27">J17*$C$2</f>
        <v>#N/A</v>
      </c>
      <c r="M17" s="667" t="e">
        <f t="shared" ref="M17:M18" si="28">K17*$C$2</f>
        <v>#N/A</v>
      </c>
      <c r="N17" s="667" t="e">
        <f t="shared" ref="N17:O18" si="29">L17*$C$3</f>
        <v>#N/A</v>
      </c>
      <c r="O17" s="667" t="e">
        <f t="shared" si="29"/>
        <v>#N/A</v>
      </c>
      <c r="P17" s="48"/>
      <c r="Y17" s="10"/>
      <c r="Z17" s="10"/>
      <c r="AA17" s="10"/>
      <c r="AB17" s="698" t="s">
        <v>3363</v>
      </c>
      <c r="AC17" s="698">
        <v>1</v>
      </c>
      <c r="AD17" s="699">
        <f t="shared" si="5"/>
        <v>1</v>
      </c>
      <c r="AE17" s="699" t="e">
        <f t="shared" si="6"/>
        <v>#N/A</v>
      </c>
      <c r="AF17" s="699" t="e">
        <f t="shared" si="7"/>
        <v>#N/A</v>
      </c>
      <c r="AG17" s="650" t="e">
        <f>SUMIF(AB$4:AB17,AB17,AF$4:AF17)</f>
        <v>#N/A</v>
      </c>
      <c r="AH17" s="497" t="e">
        <f>IF(AF16=0,AF17,AF16)*$C$4/基础经济系数!$C$29</f>
        <v>#N/A</v>
      </c>
      <c r="AI17" s="497" t="e">
        <f t="shared" si="0"/>
        <v>#N/A</v>
      </c>
      <c r="AJ17" s="501" t="e">
        <f t="shared" si="1"/>
        <v>#N/A</v>
      </c>
      <c r="AK17" s="501">
        <v>500</v>
      </c>
      <c r="AL17" s="215"/>
      <c r="AM17" s="215"/>
      <c r="AN17" s="215"/>
      <c r="AO17" s="215"/>
      <c r="AP17" s="215"/>
      <c r="AQ17" s="215"/>
      <c r="AR17" s="215"/>
      <c r="AS17" s="215"/>
      <c r="AT17" s="215"/>
      <c r="AU17" s="215"/>
      <c r="AV17" s="215"/>
      <c r="AW17" s="215"/>
      <c r="AX17" s="215"/>
      <c r="AY17" s="215"/>
      <c r="AZ17" s="215"/>
      <c r="BA17" s="648">
        <v>14</v>
      </c>
      <c r="BB17" s="664">
        <f t="shared" si="11"/>
        <v>3</v>
      </c>
      <c r="BC17" s="8">
        <v>7.0000000000000007E-2</v>
      </c>
      <c r="BD17" s="690" t="e">
        <f t="shared" si="12"/>
        <v>#N/A</v>
      </c>
      <c r="BE17" s="664" t="e">
        <f t="shared" si="13"/>
        <v>#N/A</v>
      </c>
      <c r="BF17" s="664" t="e">
        <f t="shared" si="14"/>
        <v>#N/A</v>
      </c>
      <c r="BG17" s="664" t="e">
        <f t="shared" si="3"/>
        <v>#N/A</v>
      </c>
      <c r="BH17" s="664" t="e">
        <f t="shared" si="20"/>
        <v>#N/A</v>
      </c>
      <c r="BI17" s="8">
        <v>7.0000000000000007E-2</v>
      </c>
      <c r="BJ17" s="500" t="e">
        <f t="shared" si="15"/>
        <v>#N/A</v>
      </c>
      <c r="BK17" s="664" t="e">
        <f t="shared" si="16"/>
        <v>#N/A</v>
      </c>
      <c r="BL17" s="664">
        <v>50</v>
      </c>
      <c r="BM17" s="664" t="e">
        <f t="shared" si="21"/>
        <v>#N/A</v>
      </c>
      <c r="BN17" s="215"/>
    </row>
    <row r="18" spans="2:66" x14ac:dyDescent="0.35">
      <c r="B18" s="679" t="s">
        <v>3189</v>
      </c>
      <c r="C18" s="41" t="e">
        <f>AH36</f>
        <v>#N/A</v>
      </c>
      <c r="D18" s="664" t="e">
        <f>C18*$D$16/$C$16</f>
        <v>#N/A</v>
      </c>
      <c r="E18" s="228">
        <v>10</v>
      </c>
      <c r="F18" s="497" t="e">
        <f t="shared" si="26"/>
        <v>#N/A</v>
      </c>
      <c r="G18" s="664" t="e">
        <f>E18*D18</f>
        <v>#N/A</v>
      </c>
      <c r="H18" s="664">
        <f>VLOOKUP(VLOOKUP(B18,$Q$3:$S$6,3,FALSE),$AW$3:$AY$9,2,FALSE)</f>
        <v>45</v>
      </c>
      <c r="I18" s="41" t="e">
        <f>AI57</f>
        <v>#N/A</v>
      </c>
      <c r="J18" s="667" t="e">
        <f t="shared" si="25"/>
        <v>#N/A</v>
      </c>
      <c r="K18" s="667" t="e">
        <f t="shared" si="25"/>
        <v>#N/A</v>
      </c>
      <c r="L18" s="667" t="e">
        <f t="shared" si="27"/>
        <v>#N/A</v>
      </c>
      <c r="M18" s="667" t="e">
        <f t="shared" si="28"/>
        <v>#N/A</v>
      </c>
      <c r="N18" s="667" t="e">
        <f t="shared" si="29"/>
        <v>#N/A</v>
      </c>
      <c r="O18" s="667" t="e">
        <f t="shared" si="29"/>
        <v>#N/A</v>
      </c>
      <c r="P18" s="48"/>
      <c r="Y18" s="10"/>
      <c r="Z18" s="10"/>
      <c r="AA18" s="10"/>
      <c r="AB18" s="698" t="s">
        <v>3364</v>
      </c>
      <c r="AC18" s="698">
        <v>1</v>
      </c>
      <c r="AD18" s="699">
        <f t="shared" si="5"/>
        <v>1</v>
      </c>
      <c r="AE18" s="699" t="e">
        <f t="shared" si="6"/>
        <v>#N/A</v>
      </c>
      <c r="AF18" s="699" t="e">
        <f t="shared" si="7"/>
        <v>#N/A</v>
      </c>
      <c r="AG18" s="650" t="e">
        <f>SUMIF(AB$4:AB18,AB18,AF$4:AF18)</f>
        <v>#N/A</v>
      </c>
      <c r="AH18" s="497" t="e">
        <f>IF(AF17=0,AF18,AF17)*$C$4/基础经济系数!$C$29</f>
        <v>#N/A</v>
      </c>
      <c r="AI18" s="497" t="e">
        <f t="shared" si="0"/>
        <v>#N/A</v>
      </c>
      <c r="AJ18" s="501" t="e">
        <f t="shared" si="1"/>
        <v>#N/A</v>
      </c>
      <c r="AK18" s="501">
        <v>50</v>
      </c>
      <c r="AL18" s="215"/>
      <c r="AM18" s="215"/>
      <c r="AN18" s="215"/>
      <c r="AO18" s="215"/>
      <c r="AP18" s="215"/>
      <c r="AQ18" s="215"/>
      <c r="AR18" s="215"/>
      <c r="AS18" s="215"/>
      <c r="AT18" s="215"/>
      <c r="AU18" s="215"/>
      <c r="AV18" s="215"/>
      <c r="AW18" s="215"/>
      <c r="AX18" s="215"/>
      <c r="AY18" s="215"/>
      <c r="AZ18" s="215"/>
      <c r="BA18" s="648">
        <v>15</v>
      </c>
      <c r="BB18" s="664">
        <f t="shared" si="11"/>
        <v>3</v>
      </c>
      <c r="BC18" s="8">
        <v>0.09</v>
      </c>
      <c r="BD18" s="690" t="e">
        <f t="shared" si="12"/>
        <v>#N/A</v>
      </c>
      <c r="BE18" s="664" t="e">
        <f t="shared" si="13"/>
        <v>#N/A</v>
      </c>
      <c r="BF18" s="664" t="e">
        <f t="shared" si="14"/>
        <v>#N/A</v>
      </c>
      <c r="BG18" s="664" t="e">
        <f t="shared" si="3"/>
        <v>#N/A</v>
      </c>
      <c r="BH18" s="664" t="e">
        <f t="shared" si="20"/>
        <v>#N/A</v>
      </c>
      <c r="BI18" s="8">
        <v>0.09</v>
      </c>
      <c r="BJ18" s="500" t="e">
        <f t="shared" si="15"/>
        <v>#N/A</v>
      </c>
      <c r="BK18" s="664" t="e">
        <f t="shared" si="16"/>
        <v>#N/A</v>
      </c>
      <c r="BL18" s="664">
        <v>50</v>
      </c>
      <c r="BM18" s="664" t="e">
        <f t="shared" si="21"/>
        <v>#N/A</v>
      </c>
      <c r="BN18" s="215"/>
    </row>
    <row r="19" spans="2:66" x14ac:dyDescent="0.35">
      <c r="Y19" s="10"/>
      <c r="Z19" s="10"/>
      <c r="AA19" s="10"/>
      <c r="AB19" s="698" t="s">
        <v>3365</v>
      </c>
      <c r="AC19" s="698">
        <v>1</v>
      </c>
      <c r="AD19" s="699">
        <f t="shared" si="5"/>
        <v>1</v>
      </c>
      <c r="AE19" s="699" t="e">
        <f t="shared" si="6"/>
        <v>#N/A</v>
      </c>
      <c r="AF19" s="699" t="e">
        <f t="shared" si="7"/>
        <v>#N/A</v>
      </c>
      <c r="AG19" s="650" t="e">
        <f>SUMIF(AB$4:AB19,AB19,AF$4:AF19)</f>
        <v>#N/A</v>
      </c>
      <c r="AH19" s="497" t="e">
        <f>IF(AF18=0,AF19,AF18)*$C$4/基础经济系数!$C$29</f>
        <v>#N/A</v>
      </c>
      <c r="AI19" s="497" t="e">
        <f t="shared" si="0"/>
        <v>#N/A</v>
      </c>
      <c r="AJ19" s="501" t="e">
        <f t="shared" si="1"/>
        <v>#N/A</v>
      </c>
      <c r="AK19" s="501">
        <v>50</v>
      </c>
      <c r="AL19" s="215"/>
      <c r="AM19" s="215"/>
      <c r="AN19" s="215"/>
      <c r="AO19" s="215"/>
      <c r="AP19" s="215"/>
      <c r="AQ19" s="215"/>
      <c r="AR19" s="215"/>
      <c r="AS19" s="215"/>
      <c r="AT19" s="215"/>
      <c r="AU19" s="215"/>
      <c r="AV19" s="215"/>
      <c r="AW19" s="215"/>
      <c r="AX19" s="215"/>
      <c r="AY19" s="215"/>
      <c r="AZ19" s="215"/>
      <c r="BA19" s="648">
        <v>16</v>
      </c>
      <c r="BB19" s="664">
        <f t="shared" si="11"/>
        <v>3</v>
      </c>
      <c r="BC19" s="8">
        <v>0.11</v>
      </c>
      <c r="BD19" s="690" t="e">
        <f t="shared" si="12"/>
        <v>#N/A</v>
      </c>
      <c r="BE19" s="664" t="e">
        <f t="shared" si="13"/>
        <v>#N/A</v>
      </c>
      <c r="BF19" s="664" t="e">
        <f t="shared" si="14"/>
        <v>#N/A</v>
      </c>
      <c r="BG19" s="664" t="e">
        <f t="shared" si="3"/>
        <v>#N/A</v>
      </c>
      <c r="BH19" s="664" t="e">
        <f t="shared" si="20"/>
        <v>#N/A</v>
      </c>
      <c r="BI19" s="8">
        <v>0.11</v>
      </c>
      <c r="BJ19" s="500" t="e">
        <f t="shared" si="15"/>
        <v>#N/A</v>
      </c>
      <c r="BK19" s="664" t="e">
        <f t="shared" si="16"/>
        <v>#N/A</v>
      </c>
      <c r="BL19" s="664">
        <v>50</v>
      </c>
      <c r="BM19" s="664" t="e">
        <f t="shared" si="21"/>
        <v>#N/A</v>
      </c>
      <c r="BN19" s="215"/>
    </row>
    <row r="20" spans="2:66" x14ac:dyDescent="0.35">
      <c r="B20" s="761" t="s">
        <v>2145</v>
      </c>
      <c r="C20" s="761"/>
      <c r="D20" s="761"/>
      <c r="E20" s="761"/>
      <c r="F20" s="761"/>
      <c r="G20" s="495"/>
      <c r="H20" s="495"/>
      <c r="I20" s="495"/>
      <c r="J20" s="495"/>
      <c r="K20" s="495"/>
      <c r="L20" s="495"/>
      <c r="M20" s="495"/>
      <c r="N20" s="495"/>
      <c r="O20" s="495"/>
      <c r="P20" s="495"/>
      <c r="Y20" s="10"/>
      <c r="Z20" s="10"/>
      <c r="AA20" s="10"/>
      <c r="AB20" s="698" t="s">
        <v>3366</v>
      </c>
      <c r="AC20" s="698">
        <v>1</v>
      </c>
      <c r="AD20" s="699">
        <f t="shared" si="5"/>
        <v>1</v>
      </c>
      <c r="AE20" s="699" t="e">
        <f t="shared" si="6"/>
        <v>#N/A</v>
      </c>
      <c r="AF20" s="699" t="e">
        <f t="shared" si="7"/>
        <v>#N/A</v>
      </c>
      <c r="AG20" s="650" t="e">
        <f>SUMIF(AB$4:AB20,AB20,AF$4:AF20)</f>
        <v>#N/A</v>
      </c>
      <c r="AH20" s="497" t="e">
        <f>IF(AF19=0,AF20,AF19)*$C$4/基础经济系数!$C$29</f>
        <v>#N/A</v>
      </c>
      <c r="AI20" s="497" t="e">
        <f t="shared" si="0"/>
        <v>#N/A</v>
      </c>
      <c r="AJ20" s="501" t="e">
        <f t="shared" si="1"/>
        <v>#N/A</v>
      </c>
      <c r="AK20" s="501">
        <v>50</v>
      </c>
      <c r="AL20" s="215"/>
      <c r="AM20" s="215"/>
      <c r="AN20" s="215"/>
      <c r="AO20" s="215"/>
      <c r="AP20" s="215"/>
      <c r="AQ20" s="215"/>
      <c r="AR20" s="215"/>
      <c r="AS20" s="215"/>
      <c r="AT20" s="215"/>
      <c r="AU20" s="215"/>
      <c r="AV20" s="215"/>
      <c r="AW20" s="215"/>
      <c r="AX20" s="215"/>
      <c r="AY20" s="215"/>
      <c r="AZ20" s="215"/>
      <c r="BA20" s="648">
        <v>17</v>
      </c>
      <c r="BB20" s="664">
        <f t="shared" si="11"/>
        <v>3</v>
      </c>
      <c r="BC20" s="8">
        <v>0.13</v>
      </c>
      <c r="BD20" s="690" t="e">
        <f t="shared" si="12"/>
        <v>#N/A</v>
      </c>
      <c r="BE20" s="664" t="e">
        <f t="shared" si="13"/>
        <v>#N/A</v>
      </c>
      <c r="BF20" s="664" t="e">
        <f t="shared" si="14"/>
        <v>#N/A</v>
      </c>
      <c r="BG20" s="664" t="e">
        <f t="shared" si="3"/>
        <v>#N/A</v>
      </c>
      <c r="BH20" s="664" t="e">
        <f t="shared" si="20"/>
        <v>#N/A</v>
      </c>
      <c r="BI20" s="8">
        <v>0.13</v>
      </c>
      <c r="BJ20" s="500" t="e">
        <f t="shared" si="15"/>
        <v>#N/A</v>
      </c>
      <c r="BK20" s="664" t="e">
        <f t="shared" si="16"/>
        <v>#N/A</v>
      </c>
      <c r="BL20" s="664">
        <v>50</v>
      </c>
      <c r="BM20" s="664" t="e">
        <f t="shared" si="21"/>
        <v>#N/A</v>
      </c>
      <c r="BN20" s="215"/>
    </row>
    <row r="21" spans="2:66" x14ac:dyDescent="0.35">
      <c r="B21" s="477" t="s">
        <v>952</v>
      </c>
      <c r="C21" s="477" t="s">
        <v>954</v>
      </c>
      <c r="D21" s="477" t="s">
        <v>953</v>
      </c>
      <c r="E21" s="477" t="s">
        <v>955</v>
      </c>
      <c r="F21" s="216" t="s">
        <v>2694</v>
      </c>
      <c r="G21" s="590"/>
      <c r="H21" s="217"/>
      <c r="I21" s="217"/>
      <c r="J21" s="217"/>
      <c r="K21" s="217"/>
      <c r="L21" s="217"/>
      <c r="M21" s="217"/>
      <c r="N21" s="217"/>
      <c r="O21" s="217"/>
      <c r="P21" s="217"/>
      <c r="Y21" s="10"/>
      <c r="Z21" s="10"/>
      <c r="AA21" s="10"/>
      <c r="AB21" s="698" t="s">
        <v>3367</v>
      </c>
      <c r="AC21" s="698">
        <v>1</v>
      </c>
      <c r="AD21" s="699">
        <f t="shared" si="5"/>
        <v>1</v>
      </c>
      <c r="AE21" s="699" t="e">
        <f t="shared" si="6"/>
        <v>#N/A</v>
      </c>
      <c r="AF21" s="699" t="e">
        <f t="shared" si="7"/>
        <v>#N/A</v>
      </c>
      <c r="AG21" s="650" t="e">
        <f>SUMIF(AB$4:AB21,AB21,AF$4:AF21)</f>
        <v>#N/A</v>
      </c>
      <c r="AH21" s="497" t="e">
        <f>IF(AF20=0,AF21,AF20)*$C$4/基础经济系数!$C$29</f>
        <v>#N/A</v>
      </c>
      <c r="AI21" s="497" t="e">
        <f t="shared" si="0"/>
        <v>#N/A</v>
      </c>
      <c r="AJ21" s="501" t="e">
        <f t="shared" si="1"/>
        <v>#N/A</v>
      </c>
      <c r="AK21" s="501">
        <v>100</v>
      </c>
      <c r="AL21" s="215"/>
      <c r="AM21" s="215"/>
      <c r="AN21" s="215"/>
      <c r="AO21" s="215"/>
      <c r="AP21" s="215"/>
      <c r="AQ21" s="215"/>
      <c r="AR21" s="215"/>
      <c r="AS21" s="215"/>
      <c r="AT21" s="215"/>
      <c r="AU21" s="215"/>
      <c r="AV21" s="215"/>
      <c r="AW21" s="215"/>
      <c r="AX21" s="215"/>
      <c r="AY21" s="215"/>
      <c r="AZ21" s="215"/>
      <c r="BA21" s="648">
        <v>18</v>
      </c>
      <c r="BB21" s="664">
        <f t="shared" si="11"/>
        <v>3</v>
      </c>
      <c r="BC21" s="8">
        <v>0.15</v>
      </c>
      <c r="BD21" s="690" t="e">
        <f t="shared" si="12"/>
        <v>#N/A</v>
      </c>
      <c r="BE21" s="664" t="e">
        <f t="shared" si="13"/>
        <v>#N/A</v>
      </c>
      <c r="BF21" s="664" t="e">
        <f t="shared" si="14"/>
        <v>#N/A</v>
      </c>
      <c r="BG21" s="664" t="e">
        <f t="shared" si="3"/>
        <v>#N/A</v>
      </c>
      <c r="BH21" s="664" t="e">
        <f t="shared" si="20"/>
        <v>#N/A</v>
      </c>
      <c r="BI21" s="8">
        <v>0.15</v>
      </c>
      <c r="BJ21" s="500" t="e">
        <f t="shared" si="15"/>
        <v>#N/A</v>
      </c>
      <c r="BK21" s="664" t="e">
        <f t="shared" si="16"/>
        <v>#N/A</v>
      </c>
      <c r="BL21" s="664">
        <v>100</v>
      </c>
      <c r="BM21" s="664" t="e">
        <f t="shared" si="21"/>
        <v>#N/A</v>
      </c>
      <c r="BN21" s="215"/>
    </row>
    <row r="22" spans="2:66" x14ac:dyDescent="0.35">
      <c r="B22" s="478">
        <v>0</v>
      </c>
      <c r="C22" s="478">
        <v>0</v>
      </c>
      <c r="D22" s="8">
        <v>60</v>
      </c>
      <c r="E22" s="478">
        <v>0</v>
      </c>
      <c r="F22" s="591">
        <f>C23/E23</f>
        <v>60</v>
      </c>
      <c r="G22" s="215"/>
      <c r="H22" s="215"/>
      <c r="I22" s="217"/>
      <c r="J22" s="217"/>
      <c r="K22" s="215"/>
      <c r="L22" s="215"/>
      <c r="M22" s="215"/>
      <c r="N22" s="215"/>
      <c r="O22" s="215"/>
      <c r="P22" s="215"/>
      <c r="Y22" s="10"/>
      <c r="Z22" s="10"/>
      <c r="AA22" s="10"/>
      <c r="AB22" s="698" t="s">
        <v>3368</v>
      </c>
      <c r="AC22" s="698">
        <v>1</v>
      </c>
      <c r="AD22" s="699">
        <f t="shared" si="5"/>
        <v>1</v>
      </c>
      <c r="AE22" s="699" t="e">
        <f t="shared" si="6"/>
        <v>#N/A</v>
      </c>
      <c r="AF22" s="699" t="e">
        <f t="shared" si="7"/>
        <v>#N/A</v>
      </c>
      <c r="AG22" s="650" t="e">
        <f>SUMIF(AB$4:AB22,AB22,AF$4:AF22)</f>
        <v>#N/A</v>
      </c>
      <c r="AH22" s="497" t="e">
        <f>IF(AF21=0,AF22,AF21)*$C$4/基础经济系数!$C$29</f>
        <v>#N/A</v>
      </c>
      <c r="AI22" s="497" t="e">
        <f t="shared" si="0"/>
        <v>#N/A</v>
      </c>
      <c r="AJ22" s="501" t="e">
        <f t="shared" si="1"/>
        <v>#N/A</v>
      </c>
      <c r="AK22" s="501">
        <v>100</v>
      </c>
      <c r="AL22" s="215"/>
      <c r="AM22" s="215"/>
      <c r="AN22" s="215"/>
      <c r="AO22" s="215"/>
      <c r="AP22" s="215"/>
      <c r="AQ22" s="215"/>
      <c r="AR22" s="215"/>
      <c r="AS22" s="215"/>
      <c r="AT22" s="215"/>
      <c r="AU22" s="215"/>
      <c r="AV22" s="215"/>
      <c r="AW22" s="215"/>
      <c r="AX22" s="215"/>
      <c r="AY22" s="215"/>
      <c r="AZ22" s="215"/>
      <c r="BA22" s="648">
        <v>19</v>
      </c>
      <c r="BB22" s="664">
        <f t="shared" si="11"/>
        <v>3</v>
      </c>
      <c r="BC22" s="8">
        <v>0.17</v>
      </c>
      <c r="BD22" s="690" t="e">
        <f t="shared" si="12"/>
        <v>#N/A</v>
      </c>
      <c r="BE22" s="664" t="e">
        <f t="shared" si="13"/>
        <v>#N/A</v>
      </c>
      <c r="BF22" s="664" t="e">
        <f t="shared" si="14"/>
        <v>#N/A</v>
      </c>
      <c r="BG22" s="664" t="e">
        <f t="shared" si="3"/>
        <v>#N/A</v>
      </c>
      <c r="BH22" s="664" t="e">
        <f t="shared" si="20"/>
        <v>#N/A</v>
      </c>
      <c r="BI22" s="8">
        <v>0.17</v>
      </c>
      <c r="BJ22" s="500" t="e">
        <f t="shared" si="15"/>
        <v>#N/A</v>
      </c>
      <c r="BK22" s="664" t="e">
        <f t="shared" si="16"/>
        <v>#N/A</v>
      </c>
      <c r="BL22" s="664">
        <v>100</v>
      </c>
      <c r="BM22" s="664" t="e">
        <f t="shared" si="21"/>
        <v>#N/A</v>
      </c>
      <c r="BN22" s="215"/>
    </row>
    <row r="23" spans="2:66" x14ac:dyDescent="0.35">
      <c r="B23" s="478">
        <v>10</v>
      </c>
      <c r="C23" s="478">
        <f>B23*60</f>
        <v>600</v>
      </c>
      <c r="D23" s="8">
        <v>80</v>
      </c>
      <c r="E23" s="478">
        <f>ROUNDUP((C23-C22)/D22,0)+E22</f>
        <v>10</v>
      </c>
      <c r="F23" s="591">
        <f t="shared" ref="F23:F29" si="30">C24/E24</f>
        <v>75</v>
      </c>
      <c r="G23" s="215"/>
      <c r="H23" s="215"/>
      <c r="I23" s="217"/>
      <c r="J23" s="217"/>
      <c r="K23" s="215"/>
      <c r="L23" s="215"/>
      <c r="M23" s="215"/>
      <c r="N23" s="215"/>
      <c r="O23" s="215"/>
      <c r="P23" s="215"/>
      <c r="Y23" s="10"/>
      <c r="Z23" s="10"/>
      <c r="AA23" s="10"/>
      <c r="AB23" s="698" t="s">
        <v>3369</v>
      </c>
      <c r="AC23" s="698">
        <v>1</v>
      </c>
      <c r="AD23" s="699">
        <f t="shared" si="5"/>
        <v>1</v>
      </c>
      <c r="AE23" s="699" t="e">
        <f t="shared" si="6"/>
        <v>#N/A</v>
      </c>
      <c r="AF23" s="699" t="e">
        <f t="shared" si="7"/>
        <v>#N/A</v>
      </c>
      <c r="AG23" s="650" t="e">
        <f>SUMIF(AB$4:AB23,AB23,AF$4:AF23)</f>
        <v>#N/A</v>
      </c>
      <c r="AH23" s="497" t="e">
        <f>IF(AF22=0,AF23,AF22)*$C$4/基础经济系数!$C$29</f>
        <v>#N/A</v>
      </c>
      <c r="AI23" s="497" t="e">
        <f t="shared" si="0"/>
        <v>#N/A</v>
      </c>
      <c r="AJ23" s="501" t="e">
        <f t="shared" si="1"/>
        <v>#N/A</v>
      </c>
      <c r="AK23" s="501">
        <v>100</v>
      </c>
      <c r="AL23" s="215"/>
      <c r="AM23" s="215"/>
      <c r="AN23" s="215"/>
      <c r="AO23" s="215"/>
      <c r="AP23" s="215"/>
      <c r="AQ23" s="215"/>
      <c r="AR23" s="215"/>
      <c r="AS23" s="215"/>
      <c r="AT23" s="215"/>
      <c r="AU23" s="215"/>
      <c r="AV23" s="215"/>
      <c r="AW23" s="215"/>
      <c r="AX23" s="215"/>
      <c r="AY23" s="215"/>
      <c r="AZ23" s="215"/>
      <c r="BA23" s="648">
        <v>20</v>
      </c>
      <c r="BB23" s="664">
        <f t="shared" si="11"/>
        <v>3</v>
      </c>
      <c r="BC23" s="8">
        <v>0.19</v>
      </c>
      <c r="BD23" s="690" t="e">
        <f t="shared" si="12"/>
        <v>#N/A</v>
      </c>
      <c r="BE23" s="664" t="e">
        <f t="shared" si="13"/>
        <v>#N/A</v>
      </c>
      <c r="BF23" s="664" t="e">
        <f t="shared" si="14"/>
        <v>#N/A</v>
      </c>
      <c r="BG23" s="664" t="e">
        <f t="shared" si="3"/>
        <v>#N/A</v>
      </c>
      <c r="BH23" s="664" t="e">
        <f t="shared" si="20"/>
        <v>#N/A</v>
      </c>
      <c r="BI23" s="8">
        <v>0.19</v>
      </c>
      <c r="BJ23" s="500" t="e">
        <f t="shared" si="15"/>
        <v>#N/A</v>
      </c>
      <c r="BK23" s="664" t="e">
        <f t="shared" si="16"/>
        <v>#N/A</v>
      </c>
      <c r="BL23" s="664">
        <v>100</v>
      </c>
      <c r="BM23" s="664" t="e">
        <f t="shared" si="21"/>
        <v>#N/A</v>
      </c>
      <c r="BN23" s="215"/>
    </row>
    <row r="24" spans="2:66" x14ac:dyDescent="0.35">
      <c r="B24" s="478">
        <v>60</v>
      </c>
      <c r="C24" s="478">
        <f t="shared" ref="C24:C30" si="31">B24*60</f>
        <v>3600</v>
      </c>
      <c r="D24" s="8">
        <v>100</v>
      </c>
      <c r="E24" s="478">
        <f t="shared" ref="E24:E30" si="32">ROUNDUP((C24-C23)/D23,0)+E23</f>
        <v>48</v>
      </c>
      <c r="F24" s="591">
        <f t="shared" si="30"/>
        <v>90</v>
      </c>
      <c r="G24" s="215"/>
      <c r="H24" s="215"/>
      <c r="I24" s="217"/>
      <c r="J24" s="217"/>
      <c r="K24" s="215"/>
      <c r="L24" s="215"/>
      <c r="M24" s="215"/>
      <c r="N24" s="215"/>
      <c r="O24" s="215"/>
      <c r="P24" s="215"/>
      <c r="Y24" s="10"/>
      <c r="Z24" s="10"/>
      <c r="AA24" s="10"/>
      <c r="AB24" s="698" t="s">
        <v>3370</v>
      </c>
      <c r="AC24" s="698">
        <v>1</v>
      </c>
      <c r="AD24" s="699">
        <f t="shared" si="5"/>
        <v>1</v>
      </c>
      <c r="AE24" s="699" t="e">
        <f t="shared" si="6"/>
        <v>#N/A</v>
      </c>
      <c r="AF24" s="699" t="e">
        <f t="shared" si="7"/>
        <v>#N/A</v>
      </c>
      <c r="AG24" s="650" t="e">
        <f>SUMIF(AB$4:AB24,AB24,AF$4:AF24)</f>
        <v>#N/A</v>
      </c>
      <c r="AH24" s="497" t="e">
        <f>IF(AF23=0,AF24,AF23)*$C$4/基础经济系数!$C$29</f>
        <v>#N/A</v>
      </c>
      <c r="AI24" s="497" t="e">
        <f t="shared" si="0"/>
        <v>#N/A</v>
      </c>
      <c r="AJ24" s="501" t="e">
        <f t="shared" si="1"/>
        <v>#N/A</v>
      </c>
      <c r="AK24" s="501">
        <v>100</v>
      </c>
      <c r="BA24" s="648">
        <v>21</v>
      </c>
      <c r="BB24" s="664">
        <f t="shared" si="11"/>
        <v>4</v>
      </c>
      <c r="BC24" s="8">
        <v>0.01</v>
      </c>
      <c r="BD24" s="690" t="e">
        <f t="shared" si="12"/>
        <v>#N/A</v>
      </c>
      <c r="BE24" s="664" t="e">
        <f t="shared" si="13"/>
        <v>#N/A</v>
      </c>
      <c r="BF24" s="664" t="e">
        <f t="shared" si="14"/>
        <v>#N/A</v>
      </c>
      <c r="BG24" s="664" t="e">
        <f t="shared" si="3"/>
        <v>#N/A</v>
      </c>
      <c r="BH24" s="664" t="e">
        <f t="shared" si="20"/>
        <v>#N/A</v>
      </c>
      <c r="BI24" s="8">
        <v>0.01</v>
      </c>
      <c r="BJ24" s="500" t="e">
        <f t="shared" si="15"/>
        <v>#N/A</v>
      </c>
      <c r="BK24" s="664" t="e">
        <f t="shared" si="16"/>
        <v>#N/A</v>
      </c>
      <c r="BL24" s="664">
        <v>100</v>
      </c>
      <c r="BM24" s="664" t="e">
        <f t="shared" si="21"/>
        <v>#N/A</v>
      </c>
    </row>
    <row r="25" spans="2:66" x14ac:dyDescent="0.35">
      <c r="B25" s="478">
        <v>180</v>
      </c>
      <c r="C25" s="478">
        <f t="shared" si="31"/>
        <v>10800</v>
      </c>
      <c r="D25" s="8">
        <v>120</v>
      </c>
      <c r="E25" s="478">
        <f t="shared" si="32"/>
        <v>120</v>
      </c>
      <c r="F25" s="591">
        <f t="shared" si="30"/>
        <v>110.76923076923077</v>
      </c>
      <c r="G25" s="215"/>
      <c r="H25" s="215"/>
      <c r="I25" s="215"/>
      <c r="J25" s="215"/>
      <c r="K25" s="215"/>
      <c r="L25" s="215"/>
      <c r="M25" s="215"/>
      <c r="N25" s="215"/>
      <c r="O25" s="215"/>
      <c r="P25" s="215"/>
      <c r="Y25" s="10"/>
      <c r="Z25" s="10"/>
      <c r="AA25" s="10"/>
      <c r="AB25" s="698" t="s">
        <v>3371</v>
      </c>
      <c r="AC25" s="698">
        <v>1</v>
      </c>
      <c r="AD25" s="699">
        <f t="shared" si="5"/>
        <v>1</v>
      </c>
      <c r="AE25" s="699" t="e">
        <f t="shared" si="6"/>
        <v>#N/A</v>
      </c>
      <c r="AF25" s="699" t="e">
        <f t="shared" si="7"/>
        <v>#N/A</v>
      </c>
      <c r="AG25" s="650" t="e">
        <f>SUMIF(AB$4:AB25,AB25,AF$4:AF25)</f>
        <v>#N/A</v>
      </c>
      <c r="AH25" s="497" t="e">
        <f>IF(AF24=0,AF25,AF24)*$C$4/基础经济系数!$C$29</f>
        <v>#N/A</v>
      </c>
      <c r="AI25" s="497" t="e">
        <f t="shared" si="0"/>
        <v>#N/A</v>
      </c>
      <c r="AJ25" s="501" t="e">
        <f t="shared" si="1"/>
        <v>#N/A</v>
      </c>
      <c r="AK25" s="501">
        <v>500</v>
      </c>
      <c r="BA25" s="648">
        <v>22</v>
      </c>
      <c r="BB25" s="664">
        <f t="shared" si="11"/>
        <v>4</v>
      </c>
      <c r="BC25" s="8">
        <v>0.03</v>
      </c>
      <c r="BD25" s="690" t="e">
        <f t="shared" si="12"/>
        <v>#N/A</v>
      </c>
      <c r="BE25" s="664" t="e">
        <f t="shared" si="13"/>
        <v>#N/A</v>
      </c>
      <c r="BF25" s="664" t="e">
        <f t="shared" si="14"/>
        <v>#N/A</v>
      </c>
      <c r="BG25" s="664" t="e">
        <f t="shared" si="3"/>
        <v>#N/A</v>
      </c>
      <c r="BH25" s="664" t="e">
        <f t="shared" si="20"/>
        <v>#N/A</v>
      </c>
      <c r="BI25" s="8">
        <v>0.03</v>
      </c>
      <c r="BJ25" s="500" t="e">
        <f t="shared" si="15"/>
        <v>#N/A</v>
      </c>
      <c r="BK25" s="664" t="e">
        <f t="shared" si="16"/>
        <v>#N/A</v>
      </c>
      <c r="BL25" s="664">
        <v>100</v>
      </c>
      <c r="BM25" s="664" t="e">
        <f t="shared" si="21"/>
        <v>#N/A</v>
      </c>
    </row>
    <row r="26" spans="2:66" x14ac:dyDescent="0.35">
      <c r="B26" s="478">
        <v>720</v>
      </c>
      <c r="C26" s="478">
        <f t="shared" si="31"/>
        <v>43200</v>
      </c>
      <c r="D26" s="8">
        <v>140</v>
      </c>
      <c r="E26" s="478">
        <f t="shared" si="32"/>
        <v>390</v>
      </c>
      <c r="F26" s="591">
        <f t="shared" si="30"/>
        <v>123.60515021459227</v>
      </c>
      <c r="G26" s="215"/>
      <c r="H26" s="215"/>
      <c r="I26" s="215"/>
      <c r="J26" s="215"/>
      <c r="K26" s="215"/>
      <c r="L26" s="215"/>
      <c r="M26" s="215"/>
      <c r="N26" s="215"/>
      <c r="O26" s="215"/>
      <c r="P26" s="215"/>
      <c r="Y26" s="10"/>
      <c r="Z26" s="10"/>
      <c r="AA26" s="10"/>
      <c r="AB26" s="698" t="s">
        <v>3372</v>
      </c>
      <c r="AC26" s="698">
        <v>1</v>
      </c>
      <c r="AD26" s="699">
        <f t="shared" si="5"/>
        <v>1</v>
      </c>
      <c r="AE26" s="699" t="e">
        <f t="shared" si="6"/>
        <v>#N/A</v>
      </c>
      <c r="AF26" s="699" t="e">
        <f t="shared" si="7"/>
        <v>#N/A</v>
      </c>
      <c r="AG26" s="650" t="e">
        <f>SUMIF(AB$4:AB26,AB26,AF$4:AF26)</f>
        <v>#N/A</v>
      </c>
      <c r="AH26" s="497" t="e">
        <f>IF(AF25=0,AF26,AF25)*$C$4/基础经济系数!$C$29</f>
        <v>#N/A</v>
      </c>
      <c r="AI26" s="497" t="e">
        <f t="shared" si="0"/>
        <v>#N/A</v>
      </c>
      <c r="AJ26" s="501" t="e">
        <f t="shared" si="1"/>
        <v>#N/A</v>
      </c>
      <c r="AK26" s="501">
        <v>500</v>
      </c>
      <c r="BA26" s="648">
        <v>23</v>
      </c>
      <c r="BB26" s="664">
        <f t="shared" si="11"/>
        <v>4</v>
      </c>
      <c r="BC26" s="8">
        <v>0.05</v>
      </c>
      <c r="BD26" s="690" t="e">
        <f t="shared" si="12"/>
        <v>#N/A</v>
      </c>
      <c r="BE26" s="664" t="e">
        <f t="shared" si="13"/>
        <v>#N/A</v>
      </c>
      <c r="BF26" s="664" t="e">
        <f t="shared" si="14"/>
        <v>#N/A</v>
      </c>
      <c r="BG26" s="664" t="e">
        <f t="shared" si="3"/>
        <v>#N/A</v>
      </c>
      <c r="BH26" s="664" t="e">
        <f t="shared" si="20"/>
        <v>#N/A</v>
      </c>
      <c r="BI26" s="8">
        <v>0.05</v>
      </c>
      <c r="BJ26" s="500" t="e">
        <f t="shared" si="15"/>
        <v>#N/A</v>
      </c>
      <c r="BK26" s="664" t="e">
        <f t="shared" si="16"/>
        <v>#N/A</v>
      </c>
      <c r="BL26" s="664">
        <v>200</v>
      </c>
      <c r="BM26" s="664" t="e">
        <f t="shared" si="21"/>
        <v>#N/A</v>
      </c>
    </row>
    <row r="27" spans="2:66" x14ac:dyDescent="0.35">
      <c r="B27" s="478">
        <v>1440</v>
      </c>
      <c r="C27" s="478">
        <f t="shared" si="31"/>
        <v>86400</v>
      </c>
      <c r="D27" s="8">
        <v>160</v>
      </c>
      <c r="E27" s="478">
        <f t="shared" si="32"/>
        <v>699</v>
      </c>
      <c r="F27" s="591">
        <f t="shared" si="30"/>
        <v>139.46731234866829</v>
      </c>
      <c r="G27" s="215"/>
      <c r="H27" s="215"/>
      <c r="I27" s="215"/>
      <c r="J27" s="215"/>
      <c r="K27" s="215"/>
      <c r="L27" s="215"/>
      <c r="M27" s="215"/>
      <c r="N27" s="215"/>
      <c r="O27" s="215"/>
      <c r="P27" s="215"/>
      <c r="Y27" s="10"/>
      <c r="Z27" s="10"/>
      <c r="AA27" s="10"/>
      <c r="AB27" s="698" t="s">
        <v>3373</v>
      </c>
      <c r="AC27" s="698">
        <v>1</v>
      </c>
      <c r="AD27" s="699">
        <f t="shared" si="5"/>
        <v>1</v>
      </c>
      <c r="AE27" s="699" t="e">
        <f t="shared" si="6"/>
        <v>#N/A</v>
      </c>
      <c r="AF27" s="699" t="e">
        <f t="shared" si="7"/>
        <v>#N/A</v>
      </c>
      <c r="AG27" s="650" t="e">
        <f>SUMIF(AB$4:AB27,AB27,AF$4:AF27)</f>
        <v>#N/A</v>
      </c>
      <c r="AH27" s="497" t="e">
        <f>IF(AF26=0,AF27,AF26)*$C$4/基础经济系数!$C$29</f>
        <v>#N/A</v>
      </c>
      <c r="AI27" s="497" t="e">
        <f t="shared" si="0"/>
        <v>#N/A</v>
      </c>
      <c r="AJ27" s="501" t="e">
        <f t="shared" si="1"/>
        <v>#N/A</v>
      </c>
      <c r="AK27" s="501">
        <v>500</v>
      </c>
      <c r="BA27" s="648">
        <v>24</v>
      </c>
      <c r="BB27" s="664">
        <f t="shared" si="11"/>
        <v>4</v>
      </c>
      <c r="BC27" s="8">
        <v>7.0000000000000007E-2</v>
      </c>
      <c r="BD27" s="690" t="e">
        <f t="shared" si="12"/>
        <v>#N/A</v>
      </c>
      <c r="BE27" s="664" t="e">
        <f t="shared" si="13"/>
        <v>#N/A</v>
      </c>
      <c r="BF27" s="664" t="e">
        <f t="shared" si="14"/>
        <v>#N/A</v>
      </c>
      <c r="BG27" s="664" t="e">
        <f t="shared" si="3"/>
        <v>#N/A</v>
      </c>
      <c r="BH27" s="664" t="e">
        <f t="shared" si="20"/>
        <v>#N/A</v>
      </c>
      <c r="BI27" s="8">
        <v>7.0000000000000007E-2</v>
      </c>
      <c r="BJ27" s="500" t="e">
        <f t="shared" si="15"/>
        <v>#N/A</v>
      </c>
      <c r="BK27" s="664" t="e">
        <f t="shared" si="16"/>
        <v>#N/A</v>
      </c>
      <c r="BL27" s="664">
        <v>200</v>
      </c>
      <c r="BM27" s="664" t="e">
        <f t="shared" si="21"/>
        <v>#N/A</v>
      </c>
    </row>
    <row r="28" spans="2:66" x14ac:dyDescent="0.35">
      <c r="B28" s="478">
        <v>2880</v>
      </c>
      <c r="C28" s="478">
        <f t="shared" si="31"/>
        <v>172800</v>
      </c>
      <c r="D28" s="8">
        <v>180</v>
      </c>
      <c r="E28" s="478">
        <f t="shared" si="32"/>
        <v>1239</v>
      </c>
      <c r="F28" s="591">
        <f t="shared" si="30"/>
        <v>157.16234652114596</v>
      </c>
      <c r="G28" s="215"/>
      <c r="H28" s="215"/>
      <c r="I28" s="215"/>
      <c r="J28" s="215"/>
      <c r="K28" s="215"/>
      <c r="L28" s="215"/>
      <c r="M28" s="215"/>
      <c r="N28" s="215"/>
      <c r="O28" s="215"/>
      <c r="P28" s="215"/>
      <c r="Y28" s="10"/>
      <c r="Z28" s="10"/>
      <c r="AA28" s="10"/>
      <c r="AB28" s="698" t="s">
        <v>3374</v>
      </c>
      <c r="AC28" s="698">
        <v>1</v>
      </c>
      <c r="AD28" s="699">
        <f t="shared" si="5"/>
        <v>1</v>
      </c>
      <c r="AE28" s="699" t="e">
        <f t="shared" si="6"/>
        <v>#N/A</v>
      </c>
      <c r="AF28" s="699" t="e">
        <f t="shared" si="7"/>
        <v>#N/A</v>
      </c>
      <c r="AG28" s="650" t="e">
        <f>SUMIF(AB$4:AB28,AB28,AF$4:AF28)</f>
        <v>#N/A</v>
      </c>
      <c r="AH28" s="497" t="e">
        <f>IF(AF27=0,AF28,AF27)*$C$4/基础经济系数!$C$29</f>
        <v>#N/A</v>
      </c>
      <c r="AI28" s="497" t="e">
        <f t="shared" si="0"/>
        <v>#N/A</v>
      </c>
      <c r="AJ28" s="501" t="e">
        <f t="shared" si="1"/>
        <v>#N/A</v>
      </c>
      <c r="AK28" s="501">
        <v>500</v>
      </c>
      <c r="BA28" s="648">
        <v>25</v>
      </c>
      <c r="BB28" s="664">
        <f t="shared" si="11"/>
        <v>4</v>
      </c>
      <c r="BC28" s="8">
        <v>0.09</v>
      </c>
      <c r="BD28" s="690" t="e">
        <f t="shared" si="12"/>
        <v>#N/A</v>
      </c>
      <c r="BE28" s="664" t="e">
        <f t="shared" si="13"/>
        <v>#N/A</v>
      </c>
      <c r="BF28" s="664" t="e">
        <f t="shared" si="14"/>
        <v>#N/A</v>
      </c>
      <c r="BG28" s="664" t="e">
        <f t="shared" si="3"/>
        <v>#N/A</v>
      </c>
      <c r="BH28" s="664" t="e">
        <f t="shared" si="20"/>
        <v>#N/A</v>
      </c>
      <c r="BI28" s="8">
        <v>0.09</v>
      </c>
      <c r="BJ28" s="500" t="e">
        <f t="shared" si="15"/>
        <v>#N/A</v>
      </c>
      <c r="BK28" s="664" t="e">
        <f t="shared" si="16"/>
        <v>#N/A</v>
      </c>
      <c r="BL28" s="664">
        <v>200</v>
      </c>
      <c r="BM28" s="664" t="e">
        <f t="shared" si="21"/>
        <v>#N/A</v>
      </c>
    </row>
    <row r="29" spans="2:66" ht="15.75" customHeight="1" x14ac:dyDescent="0.35">
      <c r="B29" s="478">
        <v>5760</v>
      </c>
      <c r="C29" s="478">
        <f t="shared" si="31"/>
        <v>345600</v>
      </c>
      <c r="D29" s="8">
        <v>200</v>
      </c>
      <c r="E29" s="478">
        <f t="shared" si="32"/>
        <v>2199</v>
      </c>
      <c r="F29" s="591">
        <f t="shared" si="30"/>
        <v>176.01222307104661</v>
      </c>
      <c r="G29" s="215"/>
      <c r="H29" s="215"/>
      <c r="I29" s="215"/>
      <c r="J29" s="215"/>
      <c r="K29" s="215"/>
      <c r="L29" s="215"/>
      <c r="M29" s="215"/>
      <c r="N29" s="215"/>
      <c r="O29" s="215"/>
      <c r="P29" s="215"/>
      <c r="Y29" s="10"/>
      <c r="Z29" s="10"/>
      <c r="AA29" s="10"/>
      <c r="AB29" s="698" t="s">
        <v>3375</v>
      </c>
      <c r="AC29" s="698">
        <v>1</v>
      </c>
      <c r="AD29" s="699">
        <f t="shared" si="5"/>
        <v>1</v>
      </c>
      <c r="AE29" s="699" t="e">
        <f t="shared" si="6"/>
        <v>#N/A</v>
      </c>
      <c r="AF29" s="699" t="e">
        <f t="shared" si="7"/>
        <v>#N/A</v>
      </c>
      <c r="AG29" s="650" t="e">
        <f>SUMIF(AB$4:AB29,AB29,AF$4:AF29)</f>
        <v>#N/A</v>
      </c>
      <c r="AH29" s="497" t="e">
        <f>IF(AF28=0,AF29,AF28)*$C$4/基础经济系数!$C$29</f>
        <v>#N/A</v>
      </c>
      <c r="AI29" s="497" t="e">
        <f t="shared" si="0"/>
        <v>#N/A</v>
      </c>
      <c r="AJ29" s="501" t="e">
        <f t="shared" si="1"/>
        <v>#N/A</v>
      </c>
      <c r="AK29" s="501">
        <v>500</v>
      </c>
      <c r="BA29" s="648">
        <v>26</v>
      </c>
      <c r="BB29" s="664">
        <f t="shared" si="11"/>
        <v>4</v>
      </c>
      <c r="BC29" s="8">
        <v>0.11</v>
      </c>
      <c r="BD29" s="690" t="e">
        <f t="shared" si="12"/>
        <v>#N/A</v>
      </c>
      <c r="BE29" s="664" t="e">
        <f t="shared" si="13"/>
        <v>#N/A</v>
      </c>
      <c r="BF29" s="664" t="e">
        <f t="shared" si="14"/>
        <v>#N/A</v>
      </c>
      <c r="BG29" s="664" t="e">
        <f t="shared" si="3"/>
        <v>#N/A</v>
      </c>
      <c r="BH29" s="664" t="e">
        <f t="shared" si="20"/>
        <v>#N/A</v>
      </c>
      <c r="BI29" s="8">
        <v>0.11</v>
      </c>
      <c r="BJ29" s="500" t="e">
        <f t="shared" si="15"/>
        <v>#N/A</v>
      </c>
      <c r="BK29" s="664" t="e">
        <f t="shared" si="16"/>
        <v>#N/A</v>
      </c>
      <c r="BL29" s="664">
        <v>200</v>
      </c>
      <c r="BM29" s="664" t="e">
        <f t="shared" si="21"/>
        <v>#N/A</v>
      </c>
    </row>
    <row r="30" spans="2:66" x14ac:dyDescent="0.35">
      <c r="B30" s="478">
        <v>11520</v>
      </c>
      <c r="C30" s="478">
        <f t="shared" si="31"/>
        <v>691200</v>
      </c>
      <c r="D30" s="8">
        <v>220</v>
      </c>
      <c r="E30" s="478">
        <f t="shared" si="32"/>
        <v>3927</v>
      </c>
      <c r="F30" s="591">
        <f>F29</f>
        <v>176.01222307104661</v>
      </c>
      <c r="G30" s="215"/>
      <c r="H30" s="215"/>
      <c r="I30" s="215"/>
      <c r="J30" s="215"/>
      <c r="K30" s="215"/>
      <c r="L30" s="215"/>
      <c r="M30" s="215"/>
      <c r="N30" s="215"/>
      <c r="O30" s="215"/>
      <c r="P30" s="215"/>
      <c r="Y30" s="10"/>
      <c r="Z30" s="10"/>
      <c r="AA30" s="10"/>
      <c r="AB30" s="698" t="s">
        <v>3376</v>
      </c>
      <c r="AC30" s="698">
        <v>1</v>
      </c>
      <c r="AD30" s="699">
        <f t="shared" si="5"/>
        <v>1</v>
      </c>
      <c r="AE30" s="699" t="e">
        <f t="shared" si="6"/>
        <v>#N/A</v>
      </c>
      <c r="AF30" s="699" t="e">
        <f t="shared" si="7"/>
        <v>#N/A</v>
      </c>
      <c r="AG30" s="650" t="e">
        <f>SUMIF(AB$4:AB30,AB30,AF$4:AF30)</f>
        <v>#N/A</v>
      </c>
      <c r="AH30" s="497" t="e">
        <f>IF(AF29=0,AF30,AF29)*$C$4/基础经济系数!$C$29</f>
        <v>#N/A</v>
      </c>
      <c r="AI30" s="497" t="e">
        <f t="shared" si="0"/>
        <v>#N/A</v>
      </c>
      <c r="AJ30" s="501" t="e">
        <f t="shared" si="1"/>
        <v>#N/A</v>
      </c>
      <c r="AK30" s="501">
        <v>500</v>
      </c>
      <c r="BA30" s="648">
        <v>27</v>
      </c>
      <c r="BB30" s="664">
        <f t="shared" si="11"/>
        <v>4</v>
      </c>
      <c r="BC30" s="8">
        <v>0.13</v>
      </c>
      <c r="BD30" s="690" t="e">
        <f t="shared" si="12"/>
        <v>#N/A</v>
      </c>
      <c r="BE30" s="664" t="e">
        <f t="shared" si="13"/>
        <v>#N/A</v>
      </c>
      <c r="BF30" s="664" t="e">
        <f t="shared" si="14"/>
        <v>#N/A</v>
      </c>
      <c r="BG30" s="664" t="e">
        <f t="shared" si="3"/>
        <v>#N/A</v>
      </c>
      <c r="BH30" s="664" t="e">
        <f t="shared" si="20"/>
        <v>#N/A</v>
      </c>
      <c r="BI30" s="8">
        <v>0.13</v>
      </c>
      <c r="BJ30" s="500" t="e">
        <f t="shared" si="15"/>
        <v>#N/A</v>
      </c>
      <c r="BK30" s="664" t="e">
        <f t="shared" si="16"/>
        <v>#N/A</v>
      </c>
      <c r="BL30" s="664">
        <v>200</v>
      </c>
      <c r="BM30" s="664" t="e">
        <f t="shared" si="21"/>
        <v>#N/A</v>
      </c>
    </row>
    <row r="31" spans="2:66" x14ac:dyDescent="0.35">
      <c r="AB31" s="698" t="s">
        <v>3377</v>
      </c>
      <c r="AC31" s="698">
        <v>1</v>
      </c>
      <c r="AD31" s="699">
        <f t="shared" si="5"/>
        <v>1</v>
      </c>
      <c r="AE31" s="699" t="e">
        <f t="shared" si="6"/>
        <v>#N/A</v>
      </c>
      <c r="AF31" s="699" t="e">
        <f t="shared" si="7"/>
        <v>#N/A</v>
      </c>
      <c r="AG31" s="650" t="e">
        <f>SUMIF(AB$4:AB31,AB31,AF$4:AF31)</f>
        <v>#N/A</v>
      </c>
      <c r="AH31" s="497" t="e">
        <f>IF(AF30=0,AF31,AF30)*$C$4/基础经济系数!$C$29</f>
        <v>#N/A</v>
      </c>
      <c r="AI31" s="497" t="e">
        <f t="shared" si="0"/>
        <v>#N/A</v>
      </c>
      <c r="AJ31" s="501" t="e">
        <f t="shared" si="1"/>
        <v>#N/A</v>
      </c>
      <c r="AK31" s="501">
        <v>1000</v>
      </c>
      <c r="BA31" s="648">
        <v>28</v>
      </c>
      <c r="BB31" s="664">
        <f t="shared" si="11"/>
        <v>4</v>
      </c>
      <c r="BC31" s="8">
        <v>0.15</v>
      </c>
      <c r="BD31" s="690" t="e">
        <f t="shared" si="12"/>
        <v>#N/A</v>
      </c>
      <c r="BE31" s="664" t="e">
        <f t="shared" si="13"/>
        <v>#N/A</v>
      </c>
      <c r="BF31" s="664" t="e">
        <f t="shared" si="14"/>
        <v>#N/A</v>
      </c>
      <c r="BG31" s="664" t="e">
        <f t="shared" si="3"/>
        <v>#N/A</v>
      </c>
      <c r="BH31" s="664" t="e">
        <f t="shared" si="20"/>
        <v>#N/A</v>
      </c>
      <c r="BI31" s="8">
        <v>0.15</v>
      </c>
      <c r="BJ31" s="500" t="e">
        <f t="shared" si="15"/>
        <v>#N/A</v>
      </c>
      <c r="BK31" s="664" t="e">
        <f t="shared" si="16"/>
        <v>#N/A</v>
      </c>
      <c r="BL31" s="664">
        <v>500</v>
      </c>
      <c r="BM31" s="664" t="e">
        <f t="shared" si="21"/>
        <v>#N/A</v>
      </c>
    </row>
    <row r="32" spans="2:66" x14ac:dyDescent="0.35">
      <c r="B32" s="783" t="s">
        <v>2144</v>
      </c>
      <c r="C32" s="784"/>
      <c r="D32" s="784"/>
      <c r="E32" s="785"/>
      <c r="G32" s="754" t="s">
        <v>1141</v>
      </c>
      <c r="H32" s="756"/>
      <c r="I32" s="560"/>
      <c r="AB32" s="698" t="s">
        <v>3378</v>
      </c>
      <c r="AC32" s="698">
        <v>1</v>
      </c>
      <c r="AD32" s="699">
        <f t="shared" si="5"/>
        <v>1</v>
      </c>
      <c r="AE32" s="699" t="e">
        <f t="shared" si="6"/>
        <v>#N/A</v>
      </c>
      <c r="AF32" s="699" t="e">
        <f t="shared" si="7"/>
        <v>#N/A</v>
      </c>
      <c r="AG32" s="650" t="e">
        <f>SUMIF(AB$4:AB32,AB32,AF$4:AF32)</f>
        <v>#N/A</v>
      </c>
      <c r="AH32" s="497" t="e">
        <f>IF(AF31=0,AF32,AF31)*$C$4/基础经济系数!$C$29</f>
        <v>#N/A</v>
      </c>
      <c r="AI32" s="497" t="e">
        <f t="shared" si="0"/>
        <v>#N/A</v>
      </c>
      <c r="AJ32" s="501" t="e">
        <f t="shared" si="1"/>
        <v>#N/A</v>
      </c>
      <c r="AK32" s="501">
        <v>1000</v>
      </c>
      <c r="BA32" s="648">
        <v>29</v>
      </c>
      <c r="BB32" s="664">
        <f t="shared" si="11"/>
        <v>4</v>
      </c>
      <c r="BC32" s="8">
        <v>0.17</v>
      </c>
      <c r="BD32" s="690" t="e">
        <f t="shared" si="12"/>
        <v>#N/A</v>
      </c>
      <c r="BE32" s="664" t="e">
        <f t="shared" si="13"/>
        <v>#N/A</v>
      </c>
      <c r="BF32" s="664" t="e">
        <f t="shared" si="14"/>
        <v>#N/A</v>
      </c>
      <c r="BG32" s="664" t="e">
        <f t="shared" si="3"/>
        <v>#N/A</v>
      </c>
      <c r="BH32" s="664" t="e">
        <f t="shared" si="20"/>
        <v>#N/A</v>
      </c>
      <c r="BI32" s="8">
        <v>0.17</v>
      </c>
      <c r="BJ32" s="500" t="e">
        <f t="shared" si="15"/>
        <v>#N/A</v>
      </c>
      <c r="BK32" s="664" t="e">
        <f t="shared" si="16"/>
        <v>#N/A</v>
      </c>
      <c r="BL32" s="664">
        <v>500</v>
      </c>
      <c r="BM32" s="664" t="e">
        <f t="shared" si="21"/>
        <v>#N/A</v>
      </c>
    </row>
    <row r="33" spans="2:65" x14ac:dyDescent="0.35">
      <c r="B33" s="493" t="s">
        <v>2142</v>
      </c>
      <c r="C33" s="689" t="s">
        <v>3267</v>
      </c>
      <c r="D33" s="493" t="s">
        <v>2143</v>
      </c>
      <c r="E33" s="529" t="s">
        <v>2409</v>
      </c>
      <c r="G33" s="555" t="s">
        <v>574</v>
      </c>
      <c r="H33" s="555" t="s">
        <v>1140</v>
      </c>
      <c r="AB33" s="698" t="s">
        <v>3379</v>
      </c>
      <c r="AC33" s="698">
        <v>1</v>
      </c>
      <c r="AD33" s="699">
        <f t="shared" si="5"/>
        <v>1</v>
      </c>
      <c r="AE33" s="699" t="e">
        <f t="shared" si="6"/>
        <v>#N/A</v>
      </c>
      <c r="AF33" s="699" t="e">
        <f t="shared" si="7"/>
        <v>#N/A</v>
      </c>
      <c r="AG33" s="650" t="e">
        <f>SUMIF(AB$4:AB33,AB33,AF$4:AF33)</f>
        <v>#N/A</v>
      </c>
      <c r="AH33" s="497" t="e">
        <f>IF(AF32=0,AF33,AF32)*$C$4/基础经济系数!$C$29</f>
        <v>#N/A</v>
      </c>
      <c r="AI33" s="497" t="e">
        <f t="shared" si="0"/>
        <v>#N/A</v>
      </c>
      <c r="AJ33" s="501" t="e">
        <f t="shared" si="1"/>
        <v>#N/A</v>
      </c>
      <c r="AK33" s="501">
        <v>1000</v>
      </c>
      <c r="BA33" s="648">
        <v>30</v>
      </c>
      <c r="BB33" s="664">
        <f t="shared" si="11"/>
        <v>4</v>
      </c>
      <c r="BC33" s="8">
        <v>0.19</v>
      </c>
      <c r="BD33" s="690" t="e">
        <f t="shared" si="12"/>
        <v>#N/A</v>
      </c>
      <c r="BE33" s="664" t="e">
        <f t="shared" si="13"/>
        <v>#N/A</v>
      </c>
      <c r="BF33" s="664" t="e">
        <f t="shared" si="14"/>
        <v>#N/A</v>
      </c>
      <c r="BG33" s="664" t="e">
        <f t="shared" si="3"/>
        <v>#N/A</v>
      </c>
      <c r="BH33" s="664" t="e">
        <f t="shared" si="20"/>
        <v>#N/A</v>
      </c>
      <c r="BI33" s="8">
        <v>0.19</v>
      </c>
      <c r="BJ33" s="500" t="e">
        <f t="shared" si="15"/>
        <v>#N/A</v>
      </c>
      <c r="BK33" s="664" t="e">
        <f t="shared" si="16"/>
        <v>#N/A</v>
      </c>
      <c r="BL33" s="664">
        <v>500</v>
      </c>
      <c r="BM33" s="664" t="e">
        <f t="shared" si="21"/>
        <v>#N/A</v>
      </c>
    </row>
    <row r="34" spans="2:65" x14ac:dyDescent="0.35">
      <c r="B34" s="493">
        <v>1</v>
      </c>
      <c r="C34" s="493">
        <v>1</v>
      </c>
      <c r="D34" s="494">
        <f>E34*基础经济系数!$F$22</f>
        <v>8465.6249999999982</v>
      </c>
      <c r="E34" s="515">
        <f>基础经济系数!G83</f>
        <v>225</v>
      </c>
      <c r="G34" s="554" t="s">
        <v>1102</v>
      </c>
      <c r="H34" s="554">
        <f>游戏时长规划!D67</f>
        <v>7</v>
      </c>
      <c r="AB34" s="698" t="s">
        <v>3380</v>
      </c>
      <c r="AC34" s="698">
        <v>1</v>
      </c>
      <c r="AD34" s="699">
        <f t="shared" si="5"/>
        <v>1</v>
      </c>
      <c r="AE34" s="699" t="e">
        <f t="shared" si="6"/>
        <v>#N/A</v>
      </c>
      <c r="AF34" s="699" t="e">
        <f t="shared" si="7"/>
        <v>#N/A</v>
      </c>
      <c r="AG34" s="650" t="e">
        <f>SUMIF(AB$4:AB34,AB34,AF$4:AF34)</f>
        <v>#N/A</v>
      </c>
      <c r="AH34" s="497" t="e">
        <f>IF(AF33=0,AF34,AF33)*$C$4/基础经济系数!$C$29</f>
        <v>#N/A</v>
      </c>
      <c r="AI34" s="497" t="e">
        <f t="shared" si="0"/>
        <v>#N/A</v>
      </c>
      <c r="AJ34" s="501" t="e">
        <f t="shared" si="1"/>
        <v>#N/A</v>
      </c>
      <c r="AK34" s="501">
        <v>1000</v>
      </c>
      <c r="BA34" s="648">
        <v>31</v>
      </c>
      <c r="BB34" s="664">
        <f t="shared" si="11"/>
        <v>5</v>
      </c>
      <c r="BC34" s="8">
        <v>1.7999999999999999E-2</v>
      </c>
      <c r="BD34" s="690" t="e">
        <f t="shared" si="12"/>
        <v>#N/A</v>
      </c>
      <c r="BE34" s="664" t="e">
        <f t="shared" si="13"/>
        <v>#N/A</v>
      </c>
      <c r="BF34" s="664" t="e">
        <f t="shared" si="14"/>
        <v>#N/A</v>
      </c>
      <c r="BG34" s="664" t="e">
        <f t="shared" si="3"/>
        <v>#N/A</v>
      </c>
      <c r="BH34" s="664" t="e">
        <f t="shared" si="20"/>
        <v>#N/A</v>
      </c>
      <c r="BI34" s="8">
        <v>1.7999999999999999E-2</v>
      </c>
      <c r="BJ34" s="500" t="e">
        <f t="shared" si="15"/>
        <v>#N/A</v>
      </c>
      <c r="BK34" s="664" t="e">
        <f t="shared" si="16"/>
        <v>#N/A</v>
      </c>
      <c r="BL34" s="664">
        <v>500</v>
      </c>
      <c r="BM34" s="664" t="e">
        <f t="shared" si="21"/>
        <v>#N/A</v>
      </c>
    </row>
    <row r="35" spans="2:65" x14ac:dyDescent="0.35">
      <c r="B35" s="493">
        <v>2</v>
      </c>
      <c r="C35" s="493">
        <v>2</v>
      </c>
      <c r="D35" s="494">
        <f>E35*基础经济系数!$F$22</f>
        <v>9218.1249999999982</v>
      </c>
      <c r="E35" s="515">
        <f>基础经济系数!G84</f>
        <v>245</v>
      </c>
      <c r="G35" s="554" t="s">
        <v>1103</v>
      </c>
      <c r="H35" s="554">
        <f>游戏时长规划!D68</f>
        <v>16.2</v>
      </c>
      <c r="AB35" s="698" t="s">
        <v>3381</v>
      </c>
      <c r="AC35" s="698">
        <v>1</v>
      </c>
      <c r="AD35" s="699">
        <f t="shared" si="5"/>
        <v>1</v>
      </c>
      <c r="AE35" s="699" t="e">
        <f t="shared" si="6"/>
        <v>#N/A</v>
      </c>
      <c r="AF35" s="699" t="e">
        <f t="shared" si="7"/>
        <v>#N/A</v>
      </c>
      <c r="AG35" s="650" t="e">
        <f>SUMIF(AB$4:AB35,AB35,AF$4:AF35)</f>
        <v>#N/A</v>
      </c>
      <c r="AH35" s="497" t="e">
        <f>IF(AF34=0,AF35,AF34)*$C$4/基础经济系数!$C$29</f>
        <v>#N/A</v>
      </c>
      <c r="AI35" s="497" t="e">
        <f t="shared" si="0"/>
        <v>#N/A</v>
      </c>
      <c r="AJ35" s="501" t="e">
        <f t="shared" si="1"/>
        <v>#N/A</v>
      </c>
      <c r="AK35" s="501">
        <v>1000</v>
      </c>
      <c r="BA35" s="648">
        <v>32</v>
      </c>
      <c r="BB35" s="664">
        <f t="shared" si="11"/>
        <v>5</v>
      </c>
      <c r="BC35" s="8">
        <v>2.5000000000000001E-2</v>
      </c>
      <c r="BD35" s="690" t="e">
        <f t="shared" si="12"/>
        <v>#N/A</v>
      </c>
      <c r="BE35" s="664" t="e">
        <f t="shared" si="13"/>
        <v>#N/A</v>
      </c>
      <c r="BF35" s="664" t="e">
        <f t="shared" si="14"/>
        <v>#N/A</v>
      </c>
      <c r="BG35" s="664" t="e">
        <f t="shared" si="3"/>
        <v>#N/A</v>
      </c>
      <c r="BH35" s="664" t="e">
        <f t="shared" si="20"/>
        <v>#N/A</v>
      </c>
      <c r="BI35" s="8">
        <v>2.5000000000000001E-2</v>
      </c>
      <c r="BJ35" s="500" t="e">
        <f t="shared" si="15"/>
        <v>#N/A</v>
      </c>
      <c r="BK35" s="664" t="e">
        <f t="shared" si="16"/>
        <v>#N/A</v>
      </c>
      <c r="BL35" s="664">
        <v>1000</v>
      </c>
      <c r="BM35" s="664" t="e">
        <f t="shared" si="21"/>
        <v>#N/A</v>
      </c>
    </row>
    <row r="36" spans="2:65" x14ac:dyDescent="0.35">
      <c r="B36" s="493">
        <v>3</v>
      </c>
      <c r="C36" s="493">
        <v>2</v>
      </c>
      <c r="D36" s="494">
        <f>E36*基础经济系数!$F$22</f>
        <v>9970.6249999999982</v>
      </c>
      <c r="E36" s="515">
        <f>基础经济系数!G85</f>
        <v>265</v>
      </c>
      <c r="G36" s="554" t="s">
        <v>1104</v>
      </c>
      <c r="H36" s="554">
        <f>游戏时长规划!D69</f>
        <v>48.6</v>
      </c>
      <c r="AB36" s="698" t="s">
        <v>3382</v>
      </c>
      <c r="AC36" s="698">
        <v>1</v>
      </c>
      <c r="AD36" s="699">
        <f t="shared" si="5"/>
        <v>1</v>
      </c>
      <c r="AE36" s="699" t="e">
        <f t="shared" si="6"/>
        <v>#N/A</v>
      </c>
      <c r="AF36" s="699" t="e">
        <f t="shared" si="7"/>
        <v>#N/A</v>
      </c>
      <c r="AG36" s="650" t="e">
        <f>SUMIF(AB$4:AB36,AB36,AF$4:AF36)</f>
        <v>#N/A</v>
      </c>
      <c r="AH36" s="497" t="e">
        <f>IF(AF35=0,AF36,AF35)*$C$4/基础经济系数!$C$29</f>
        <v>#N/A</v>
      </c>
      <c r="AI36" s="497" t="e">
        <f t="shared" ref="AI36:AI57" si="33">IF(AB36&lt;&gt;AB35,AH36,AH36+AI35)</f>
        <v>#N/A</v>
      </c>
      <c r="AJ36" s="501" t="e">
        <f t="shared" ref="AJ36:AJ57" si="34">ROUND(AH36*VLOOKUP(AC36,$C$33:$E$57,2,FALSE)*$C$5/AK36,0)*AK36</f>
        <v>#N/A</v>
      </c>
      <c r="AK36" s="501">
        <v>100</v>
      </c>
      <c r="BA36" s="648">
        <v>33</v>
      </c>
      <c r="BB36" s="664">
        <f t="shared" si="11"/>
        <v>5</v>
      </c>
      <c r="BC36" s="8">
        <v>3.2000000000000001E-2</v>
      </c>
      <c r="BD36" s="690" t="e">
        <f t="shared" si="12"/>
        <v>#N/A</v>
      </c>
      <c r="BE36" s="664" t="e">
        <f t="shared" si="13"/>
        <v>#N/A</v>
      </c>
      <c r="BF36" s="664" t="e">
        <f t="shared" si="14"/>
        <v>#N/A</v>
      </c>
      <c r="BG36" s="664" t="e">
        <f t="shared" ref="BG36:BG63" si="35">ROUNDUP((BF36-VLOOKUP(BF36,$C$21:$E$30,1,TRUE))/VLOOKUP(BF36,$C$21:$E$30,2,TRUE),0)+VLOOKUP(BF36,$C$21:$E$30,3,TRUE)</f>
        <v>#N/A</v>
      </c>
      <c r="BH36" s="664" t="e">
        <f t="shared" si="20"/>
        <v>#N/A</v>
      </c>
      <c r="BI36" s="8">
        <v>3.2000000000000001E-2</v>
      </c>
      <c r="BJ36" s="500" t="e">
        <f t="shared" si="15"/>
        <v>#N/A</v>
      </c>
      <c r="BK36" s="664" t="e">
        <f t="shared" si="16"/>
        <v>#N/A</v>
      </c>
      <c r="BL36" s="664">
        <v>1000</v>
      </c>
      <c r="BM36" s="664" t="e">
        <f t="shared" si="21"/>
        <v>#N/A</v>
      </c>
    </row>
    <row r="37" spans="2:65" x14ac:dyDescent="0.35">
      <c r="B37" s="493">
        <v>4</v>
      </c>
      <c r="C37" s="493">
        <v>3</v>
      </c>
      <c r="D37" s="494">
        <f>E37*基础经济系数!$F$22</f>
        <v>10534.999999999998</v>
      </c>
      <c r="E37" s="515">
        <f>基础经济系数!G86</f>
        <v>280</v>
      </c>
      <c r="G37" s="554" t="s">
        <v>1105</v>
      </c>
      <c r="H37" s="554">
        <f>游戏时长规划!D70</f>
        <v>36.700000000000003</v>
      </c>
      <c r="AB37" s="698" t="s">
        <v>3383</v>
      </c>
      <c r="AC37" s="698">
        <v>1</v>
      </c>
      <c r="AD37" s="699">
        <f t="shared" si="5"/>
        <v>1</v>
      </c>
      <c r="AE37" s="699" t="e">
        <f t="shared" si="6"/>
        <v>#N/A</v>
      </c>
      <c r="AF37" s="699" t="e">
        <f t="shared" si="7"/>
        <v>#N/A</v>
      </c>
      <c r="AG37" s="650" t="e">
        <f>SUMIF(AB$4:AB37,AB37,AF$4:AF37)</f>
        <v>#N/A</v>
      </c>
      <c r="AH37" s="497" t="e">
        <f>IF(AF36=0,AF37,AF36)*$C$4/基础经济系数!$C$29</f>
        <v>#N/A</v>
      </c>
      <c r="AI37" s="497" t="e">
        <f t="shared" si="33"/>
        <v>#N/A</v>
      </c>
      <c r="AJ37" s="501" t="e">
        <f t="shared" si="34"/>
        <v>#N/A</v>
      </c>
      <c r="AK37" s="501">
        <v>100</v>
      </c>
      <c r="BA37" s="648">
        <v>34</v>
      </c>
      <c r="BB37" s="664">
        <f t="shared" si="11"/>
        <v>5</v>
      </c>
      <c r="BC37" s="8">
        <v>3.9E-2</v>
      </c>
      <c r="BD37" s="690" t="e">
        <f t="shared" si="12"/>
        <v>#N/A</v>
      </c>
      <c r="BE37" s="664" t="e">
        <f t="shared" si="13"/>
        <v>#N/A</v>
      </c>
      <c r="BF37" s="664" t="e">
        <f t="shared" si="14"/>
        <v>#N/A</v>
      </c>
      <c r="BG37" s="664" t="e">
        <f t="shared" si="35"/>
        <v>#N/A</v>
      </c>
      <c r="BH37" s="664" t="e">
        <f t="shared" si="20"/>
        <v>#N/A</v>
      </c>
      <c r="BI37" s="8">
        <v>3.9E-2</v>
      </c>
      <c r="BJ37" s="500" t="e">
        <f t="shared" si="15"/>
        <v>#N/A</v>
      </c>
      <c r="BK37" s="664" t="e">
        <f t="shared" si="16"/>
        <v>#N/A</v>
      </c>
      <c r="BL37" s="664">
        <v>1000</v>
      </c>
      <c r="BM37" s="664" t="e">
        <f t="shared" si="21"/>
        <v>#N/A</v>
      </c>
    </row>
    <row r="38" spans="2:65" x14ac:dyDescent="0.35">
      <c r="B38" s="493">
        <v>5</v>
      </c>
      <c r="C38" s="493">
        <v>3</v>
      </c>
      <c r="D38" s="494">
        <f>E38*基础经济系数!$F$22</f>
        <v>11287.499999999998</v>
      </c>
      <c r="E38" s="515">
        <f>基础经济系数!G87</f>
        <v>300</v>
      </c>
      <c r="G38" s="554" t="s">
        <v>1106</v>
      </c>
      <c r="H38" s="554">
        <f>游戏时长规划!D71</f>
        <v>110.4</v>
      </c>
      <c r="AB38" s="698" t="s">
        <v>3384</v>
      </c>
      <c r="AC38" s="698">
        <v>1</v>
      </c>
      <c r="AD38" s="699">
        <f t="shared" si="5"/>
        <v>1</v>
      </c>
      <c r="AE38" s="699" t="e">
        <f t="shared" si="6"/>
        <v>#N/A</v>
      </c>
      <c r="AF38" s="699" t="e">
        <f t="shared" si="7"/>
        <v>#N/A</v>
      </c>
      <c r="AG38" s="650" t="e">
        <f>SUMIF(AB$4:AB38,AB38,AF$4:AF38)</f>
        <v>#N/A</v>
      </c>
      <c r="AH38" s="497" t="e">
        <f>IF(AF37=0,AF38,AF37)*$C$4/基础经济系数!$C$29</f>
        <v>#N/A</v>
      </c>
      <c r="AI38" s="497" t="e">
        <f t="shared" si="33"/>
        <v>#N/A</v>
      </c>
      <c r="AJ38" s="501" t="e">
        <f t="shared" si="34"/>
        <v>#N/A</v>
      </c>
      <c r="AK38" s="501">
        <v>100</v>
      </c>
      <c r="BA38" s="648">
        <v>35</v>
      </c>
      <c r="BB38" s="664">
        <f t="shared" si="11"/>
        <v>5</v>
      </c>
      <c r="BC38" s="8">
        <v>4.5999999999999999E-2</v>
      </c>
      <c r="BD38" s="690" t="e">
        <f t="shared" si="12"/>
        <v>#N/A</v>
      </c>
      <c r="BE38" s="664" t="e">
        <f t="shared" si="13"/>
        <v>#N/A</v>
      </c>
      <c r="BF38" s="664" t="e">
        <f t="shared" si="14"/>
        <v>#N/A</v>
      </c>
      <c r="BG38" s="664" t="e">
        <f t="shared" si="35"/>
        <v>#N/A</v>
      </c>
      <c r="BH38" s="664" t="e">
        <f t="shared" si="20"/>
        <v>#N/A</v>
      </c>
      <c r="BI38" s="8">
        <v>4.5999999999999999E-2</v>
      </c>
      <c r="BJ38" s="500" t="e">
        <f t="shared" si="15"/>
        <v>#N/A</v>
      </c>
      <c r="BK38" s="664" t="e">
        <f t="shared" si="16"/>
        <v>#N/A</v>
      </c>
      <c r="BL38" s="664">
        <v>2000</v>
      </c>
      <c r="BM38" s="664" t="e">
        <f t="shared" si="21"/>
        <v>#N/A</v>
      </c>
    </row>
    <row r="39" spans="2:65" x14ac:dyDescent="0.35">
      <c r="B39" s="493">
        <v>6</v>
      </c>
      <c r="C39" s="493">
        <v>3</v>
      </c>
      <c r="D39" s="494">
        <f>E39*基础经济系数!$F$22</f>
        <v>12039.999999999998</v>
      </c>
      <c r="E39" s="515">
        <f>基础经济系数!G88</f>
        <v>320</v>
      </c>
      <c r="G39" s="554" t="s">
        <v>1107</v>
      </c>
      <c r="H39" s="554">
        <f>游戏时长规划!D72</f>
        <v>133.4</v>
      </c>
      <c r="AB39" s="698" t="s">
        <v>3385</v>
      </c>
      <c r="AC39" s="698">
        <v>1</v>
      </c>
      <c r="AD39" s="699">
        <f t="shared" si="5"/>
        <v>1</v>
      </c>
      <c r="AE39" s="699" t="e">
        <f t="shared" si="6"/>
        <v>#N/A</v>
      </c>
      <c r="AF39" s="699" t="e">
        <f t="shared" si="7"/>
        <v>#N/A</v>
      </c>
      <c r="AG39" s="650" t="e">
        <f>SUMIF(AB$4:AB39,AB39,AF$4:AF39)</f>
        <v>#N/A</v>
      </c>
      <c r="AH39" s="497" t="e">
        <f>IF(AF38=0,AF39,AF38)*$C$4/基础经济系数!$C$29</f>
        <v>#N/A</v>
      </c>
      <c r="AI39" s="497" t="e">
        <f t="shared" si="33"/>
        <v>#N/A</v>
      </c>
      <c r="AJ39" s="501" t="e">
        <f t="shared" si="34"/>
        <v>#N/A</v>
      </c>
      <c r="AK39" s="501">
        <v>500</v>
      </c>
      <c r="BA39" s="648">
        <v>36</v>
      </c>
      <c r="BB39" s="664">
        <f t="shared" si="11"/>
        <v>5</v>
      </c>
      <c r="BC39" s="8">
        <v>5.2999999999999999E-2</v>
      </c>
      <c r="BD39" s="690" t="e">
        <f t="shared" si="12"/>
        <v>#N/A</v>
      </c>
      <c r="BE39" s="664" t="e">
        <f t="shared" si="13"/>
        <v>#N/A</v>
      </c>
      <c r="BF39" s="664" t="e">
        <f t="shared" si="14"/>
        <v>#N/A</v>
      </c>
      <c r="BG39" s="664" t="e">
        <f t="shared" si="35"/>
        <v>#N/A</v>
      </c>
      <c r="BH39" s="664" t="e">
        <f t="shared" si="20"/>
        <v>#N/A</v>
      </c>
      <c r="BI39" s="8">
        <v>5.2999999999999999E-2</v>
      </c>
      <c r="BJ39" s="500" t="e">
        <f t="shared" si="15"/>
        <v>#N/A</v>
      </c>
      <c r="BK39" s="664" t="e">
        <f t="shared" si="16"/>
        <v>#N/A</v>
      </c>
      <c r="BL39" s="664">
        <v>2000</v>
      </c>
      <c r="BM39" s="664" t="e">
        <f t="shared" si="21"/>
        <v>#N/A</v>
      </c>
    </row>
    <row r="40" spans="2:65" x14ac:dyDescent="0.35">
      <c r="B40" s="493">
        <v>7</v>
      </c>
      <c r="C40" s="493">
        <v>4</v>
      </c>
      <c r="D40" s="494">
        <f>E40*基础经济系数!$F$22</f>
        <v>12792.499999999998</v>
      </c>
      <c r="E40" s="515">
        <f>基础经济系数!G89</f>
        <v>340</v>
      </c>
      <c r="G40" s="554" t="s">
        <v>1108</v>
      </c>
      <c r="H40" s="554">
        <f>游戏时长规划!D73</f>
        <v>88.6</v>
      </c>
      <c r="AB40" s="698" t="s">
        <v>3386</v>
      </c>
      <c r="AC40" s="698">
        <v>1</v>
      </c>
      <c r="AD40" s="699">
        <f t="shared" si="5"/>
        <v>1</v>
      </c>
      <c r="AE40" s="699" t="e">
        <f t="shared" si="6"/>
        <v>#N/A</v>
      </c>
      <c r="AF40" s="699" t="e">
        <f t="shared" si="7"/>
        <v>#N/A</v>
      </c>
      <c r="AG40" s="650" t="e">
        <f>SUMIF(AB$4:AB40,AB40,AF$4:AF40)</f>
        <v>#N/A</v>
      </c>
      <c r="AH40" s="497" t="e">
        <f>IF(AF39=0,AF40,AF39)*$C$4/基础经济系数!$C$29</f>
        <v>#N/A</v>
      </c>
      <c r="AI40" s="497" t="e">
        <f t="shared" si="33"/>
        <v>#N/A</v>
      </c>
      <c r="AJ40" s="501" t="e">
        <f t="shared" si="34"/>
        <v>#N/A</v>
      </c>
      <c r="AK40" s="501">
        <v>500</v>
      </c>
      <c r="BA40" s="648">
        <v>37</v>
      </c>
      <c r="BB40" s="664">
        <f t="shared" si="11"/>
        <v>5</v>
      </c>
      <c r="BC40" s="8">
        <v>0.06</v>
      </c>
      <c r="BD40" s="690" t="e">
        <f t="shared" si="12"/>
        <v>#N/A</v>
      </c>
      <c r="BE40" s="664" t="e">
        <f t="shared" si="13"/>
        <v>#N/A</v>
      </c>
      <c r="BF40" s="664" t="e">
        <f t="shared" si="14"/>
        <v>#N/A</v>
      </c>
      <c r="BG40" s="664" t="e">
        <f t="shared" si="35"/>
        <v>#N/A</v>
      </c>
      <c r="BH40" s="664" t="e">
        <f t="shared" si="20"/>
        <v>#N/A</v>
      </c>
      <c r="BI40" s="8">
        <v>0.06</v>
      </c>
      <c r="BJ40" s="500" t="e">
        <f t="shared" si="15"/>
        <v>#N/A</v>
      </c>
      <c r="BK40" s="664" t="e">
        <f t="shared" si="16"/>
        <v>#N/A</v>
      </c>
      <c r="BL40" s="664">
        <v>2000</v>
      </c>
      <c r="BM40" s="664" t="e">
        <f t="shared" si="21"/>
        <v>#N/A</v>
      </c>
    </row>
    <row r="41" spans="2:65" x14ac:dyDescent="0.35">
      <c r="B41" s="493">
        <v>8</v>
      </c>
      <c r="C41" s="493">
        <v>4</v>
      </c>
      <c r="D41" s="494">
        <f>E41*基础经济系数!$F$22</f>
        <v>13356.874999999998</v>
      </c>
      <c r="E41" s="515">
        <f>基础经济系数!G90</f>
        <v>355</v>
      </c>
      <c r="G41" s="554" t="s">
        <v>1109</v>
      </c>
      <c r="H41" s="554">
        <f>游戏时长规划!D74</f>
        <v>217.1</v>
      </c>
      <c r="AB41" s="698" t="s">
        <v>3387</v>
      </c>
      <c r="AC41" s="698">
        <v>1</v>
      </c>
      <c r="AD41" s="699">
        <f t="shared" si="5"/>
        <v>1</v>
      </c>
      <c r="AE41" s="699" t="e">
        <f t="shared" si="6"/>
        <v>#N/A</v>
      </c>
      <c r="AF41" s="699" t="e">
        <f t="shared" si="7"/>
        <v>#N/A</v>
      </c>
      <c r="AG41" s="650" t="e">
        <f>SUMIF(AB$4:AB41,AB41,AF$4:AF41)</f>
        <v>#N/A</v>
      </c>
      <c r="AH41" s="497" t="e">
        <f>IF(AF40=0,AF41,AF40)*$C$4/基础经济系数!$C$29</f>
        <v>#N/A</v>
      </c>
      <c r="AI41" s="497" t="e">
        <f t="shared" si="33"/>
        <v>#N/A</v>
      </c>
      <c r="AJ41" s="501" t="e">
        <f t="shared" si="34"/>
        <v>#N/A</v>
      </c>
      <c r="AK41" s="501">
        <v>500</v>
      </c>
      <c r="BA41" s="648">
        <v>38</v>
      </c>
      <c r="BB41" s="664">
        <f t="shared" si="11"/>
        <v>5</v>
      </c>
      <c r="BC41" s="8">
        <v>6.7000000000000004E-2</v>
      </c>
      <c r="BD41" s="690" t="e">
        <f t="shared" si="12"/>
        <v>#N/A</v>
      </c>
      <c r="BE41" s="664" t="e">
        <f t="shared" si="13"/>
        <v>#N/A</v>
      </c>
      <c r="BF41" s="664" t="e">
        <f t="shared" si="14"/>
        <v>#N/A</v>
      </c>
      <c r="BG41" s="664" t="e">
        <f t="shared" si="35"/>
        <v>#N/A</v>
      </c>
      <c r="BH41" s="664" t="e">
        <f t="shared" si="20"/>
        <v>#N/A</v>
      </c>
      <c r="BI41" s="8">
        <v>6.7000000000000004E-2</v>
      </c>
      <c r="BJ41" s="500" t="e">
        <f t="shared" si="15"/>
        <v>#N/A</v>
      </c>
      <c r="BK41" s="664" t="e">
        <f t="shared" si="16"/>
        <v>#N/A</v>
      </c>
      <c r="BL41" s="664">
        <v>2000</v>
      </c>
      <c r="BM41" s="664" t="e">
        <f t="shared" si="21"/>
        <v>#N/A</v>
      </c>
    </row>
    <row r="42" spans="2:65" x14ac:dyDescent="0.35">
      <c r="B42" s="493">
        <v>9</v>
      </c>
      <c r="C42" s="493">
        <v>4</v>
      </c>
      <c r="D42" s="494">
        <f>E42*基础经济系数!$F$22</f>
        <v>14109.374999999998</v>
      </c>
      <c r="E42" s="515">
        <f>基础经济系数!G91</f>
        <v>375</v>
      </c>
      <c r="G42" s="554" t="s">
        <v>1110</v>
      </c>
      <c r="H42" s="554">
        <f>游戏时长规划!D75</f>
        <v>283.89999999999998</v>
      </c>
      <c r="AB42" s="698" t="s">
        <v>3388</v>
      </c>
      <c r="AC42" s="698">
        <v>1</v>
      </c>
      <c r="AD42" s="699">
        <f t="shared" si="5"/>
        <v>1</v>
      </c>
      <c r="AE42" s="699" t="e">
        <f t="shared" si="6"/>
        <v>#N/A</v>
      </c>
      <c r="AF42" s="699" t="e">
        <f t="shared" si="7"/>
        <v>#N/A</v>
      </c>
      <c r="AG42" s="650" t="e">
        <f>SUMIF(AB$4:AB42,AB42,AF$4:AF42)</f>
        <v>#N/A</v>
      </c>
      <c r="AH42" s="497" t="e">
        <f>IF(AF41=0,AF42,AF41)*$C$4/基础经济系数!$C$29</f>
        <v>#N/A</v>
      </c>
      <c r="AI42" s="497" t="e">
        <f t="shared" si="33"/>
        <v>#N/A</v>
      </c>
      <c r="AJ42" s="501" t="e">
        <f t="shared" si="34"/>
        <v>#N/A</v>
      </c>
      <c r="AK42" s="501">
        <v>500</v>
      </c>
      <c r="BA42" s="648">
        <v>39</v>
      </c>
      <c r="BB42" s="664">
        <f t="shared" si="11"/>
        <v>5</v>
      </c>
      <c r="BC42" s="8">
        <v>7.3999999999999996E-2</v>
      </c>
      <c r="BD42" s="690" t="e">
        <f t="shared" si="12"/>
        <v>#N/A</v>
      </c>
      <c r="BE42" s="664" t="e">
        <f t="shared" si="13"/>
        <v>#N/A</v>
      </c>
      <c r="BF42" s="664" t="e">
        <f t="shared" si="14"/>
        <v>#N/A</v>
      </c>
      <c r="BG42" s="664" t="e">
        <f t="shared" si="35"/>
        <v>#N/A</v>
      </c>
      <c r="BH42" s="664" t="e">
        <f t="shared" si="20"/>
        <v>#N/A</v>
      </c>
      <c r="BI42" s="8">
        <v>7.3999999999999996E-2</v>
      </c>
      <c r="BJ42" s="500" t="e">
        <f t="shared" si="15"/>
        <v>#N/A</v>
      </c>
      <c r="BK42" s="664" t="e">
        <f t="shared" si="16"/>
        <v>#N/A</v>
      </c>
      <c r="BL42" s="664">
        <v>2000</v>
      </c>
      <c r="BM42" s="664" t="e">
        <f t="shared" si="21"/>
        <v>#N/A</v>
      </c>
    </row>
    <row r="43" spans="2:65" x14ac:dyDescent="0.35">
      <c r="B43" s="493">
        <v>10</v>
      </c>
      <c r="C43" s="493">
        <v>4</v>
      </c>
      <c r="D43" s="494">
        <f>E43*基础经济系数!$F$22</f>
        <v>14861.874999999996</v>
      </c>
      <c r="E43" s="515">
        <f>基础经济系数!G92</f>
        <v>395</v>
      </c>
      <c r="G43" s="554" t="s">
        <v>1111</v>
      </c>
      <c r="H43" s="554">
        <f>游戏时长规划!D76</f>
        <v>207.6</v>
      </c>
      <c r="AB43" s="698" t="s">
        <v>3389</v>
      </c>
      <c r="AC43" s="698">
        <v>1</v>
      </c>
      <c r="AD43" s="699">
        <f t="shared" si="5"/>
        <v>1</v>
      </c>
      <c r="AE43" s="699" t="e">
        <f t="shared" si="6"/>
        <v>#N/A</v>
      </c>
      <c r="AF43" s="699" t="e">
        <f t="shared" si="7"/>
        <v>#N/A</v>
      </c>
      <c r="AG43" s="650" t="e">
        <f>SUMIF(AB$4:AB43,AB43,AF$4:AF43)</f>
        <v>#N/A</v>
      </c>
      <c r="AH43" s="497" t="e">
        <f>IF(AF42=0,AF43,AF42)*$C$4/基础经济系数!$C$29</f>
        <v>#N/A</v>
      </c>
      <c r="AI43" s="497" t="e">
        <f t="shared" si="33"/>
        <v>#N/A</v>
      </c>
      <c r="AJ43" s="501" t="e">
        <f t="shared" si="34"/>
        <v>#N/A</v>
      </c>
      <c r="AK43" s="501">
        <v>500</v>
      </c>
      <c r="BA43" s="648">
        <v>40</v>
      </c>
      <c r="BB43" s="664">
        <f t="shared" si="11"/>
        <v>5</v>
      </c>
      <c r="BC43" s="8">
        <v>8.1000000000000003E-2</v>
      </c>
      <c r="BD43" s="690" t="e">
        <f t="shared" si="12"/>
        <v>#N/A</v>
      </c>
      <c r="BE43" s="664" t="e">
        <f t="shared" si="13"/>
        <v>#N/A</v>
      </c>
      <c r="BF43" s="664" t="e">
        <f t="shared" si="14"/>
        <v>#N/A</v>
      </c>
      <c r="BG43" s="664" t="e">
        <f t="shared" si="35"/>
        <v>#N/A</v>
      </c>
      <c r="BH43" s="664" t="e">
        <f t="shared" si="20"/>
        <v>#N/A</v>
      </c>
      <c r="BI43" s="8">
        <v>8.1000000000000003E-2</v>
      </c>
      <c r="BJ43" s="500" t="e">
        <f t="shared" si="15"/>
        <v>#N/A</v>
      </c>
      <c r="BK43" s="664" t="e">
        <f t="shared" si="16"/>
        <v>#N/A</v>
      </c>
      <c r="BL43" s="664">
        <v>2000</v>
      </c>
      <c r="BM43" s="664" t="e">
        <f t="shared" si="21"/>
        <v>#N/A</v>
      </c>
    </row>
    <row r="44" spans="2:65" x14ac:dyDescent="0.35">
      <c r="B44" s="493">
        <v>11</v>
      </c>
      <c r="C44" s="493">
        <v>5</v>
      </c>
      <c r="D44" s="494">
        <f>E44*基础经济系数!$F$22</f>
        <v>15614.374999999996</v>
      </c>
      <c r="E44" s="515">
        <f>基础经济系数!G93</f>
        <v>415</v>
      </c>
      <c r="G44" s="554" t="s">
        <v>1112</v>
      </c>
      <c r="H44" s="554">
        <f>游戏时长规划!D77</f>
        <v>462.6</v>
      </c>
      <c r="AB44" s="698" t="s">
        <v>3390</v>
      </c>
      <c r="AC44" s="698">
        <v>1</v>
      </c>
      <c r="AD44" s="699">
        <f t="shared" si="5"/>
        <v>1</v>
      </c>
      <c r="AE44" s="699" t="e">
        <f t="shared" si="6"/>
        <v>#N/A</v>
      </c>
      <c r="AF44" s="699" t="e">
        <f t="shared" si="7"/>
        <v>#N/A</v>
      </c>
      <c r="AG44" s="650" t="e">
        <f>SUMIF(AB$4:AB44,AB44,AF$4:AF44)</f>
        <v>#N/A</v>
      </c>
      <c r="AH44" s="497" t="e">
        <f>IF(AF43=0,AF44,AF43)*$C$4/基础经济系数!$C$29</f>
        <v>#N/A</v>
      </c>
      <c r="AI44" s="497" t="e">
        <f t="shared" si="33"/>
        <v>#N/A</v>
      </c>
      <c r="AJ44" s="501" t="e">
        <f t="shared" si="34"/>
        <v>#N/A</v>
      </c>
      <c r="AK44" s="501">
        <v>500</v>
      </c>
      <c r="BA44" s="648">
        <v>41</v>
      </c>
      <c r="BB44" s="664">
        <f t="shared" si="11"/>
        <v>5</v>
      </c>
      <c r="BC44" s="8">
        <v>8.7999999999999995E-2</v>
      </c>
      <c r="BD44" s="690" t="e">
        <f t="shared" si="12"/>
        <v>#N/A</v>
      </c>
      <c r="BE44" s="664" t="e">
        <f t="shared" si="13"/>
        <v>#N/A</v>
      </c>
      <c r="BF44" s="664" t="e">
        <f t="shared" si="14"/>
        <v>#N/A</v>
      </c>
      <c r="BG44" s="664" t="e">
        <f t="shared" si="35"/>
        <v>#N/A</v>
      </c>
      <c r="BH44" s="664" t="e">
        <f t="shared" si="20"/>
        <v>#N/A</v>
      </c>
      <c r="BI44" s="8">
        <v>8.7999999999999995E-2</v>
      </c>
      <c r="BJ44" s="500" t="e">
        <f t="shared" si="15"/>
        <v>#N/A</v>
      </c>
      <c r="BK44" s="664" t="e">
        <f t="shared" si="16"/>
        <v>#N/A</v>
      </c>
      <c r="BL44" s="664">
        <v>5000</v>
      </c>
      <c r="BM44" s="664" t="e">
        <f t="shared" si="21"/>
        <v>#N/A</v>
      </c>
    </row>
    <row r="45" spans="2:65" x14ac:dyDescent="0.35">
      <c r="B45" s="493">
        <v>12</v>
      </c>
      <c r="C45" s="493">
        <v>5</v>
      </c>
      <c r="D45" s="494">
        <f>E45*基础经济系数!$F$22</f>
        <v>16178.749999999996</v>
      </c>
      <c r="E45" s="515">
        <f>基础经济系数!G94</f>
        <v>430</v>
      </c>
      <c r="G45" s="554" t="s">
        <v>1113</v>
      </c>
      <c r="H45" s="554">
        <f>游戏时长规划!D78</f>
        <v>622.1</v>
      </c>
      <c r="AB45" s="698" t="s">
        <v>3391</v>
      </c>
      <c r="AC45" s="698">
        <v>1</v>
      </c>
      <c r="AD45" s="699">
        <f t="shared" si="5"/>
        <v>1</v>
      </c>
      <c r="AE45" s="699" t="e">
        <f t="shared" si="6"/>
        <v>#N/A</v>
      </c>
      <c r="AF45" s="699" t="e">
        <f t="shared" si="7"/>
        <v>#N/A</v>
      </c>
      <c r="AG45" s="650" t="e">
        <f>SUMIF(AB$4:AB45,AB45,AF$4:AF45)</f>
        <v>#N/A</v>
      </c>
      <c r="AH45" s="497" t="e">
        <f>IF(AF44=0,AF45,AF44)*$C$4/基础经济系数!$C$29</f>
        <v>#N/A</v>
      </c>
      <c r="AI45" s="497" t="e">
        <f t="shared" si="33"/>
        <v>#N/A</v>
      </c>
      <c r="AJ45" s="501" t="e">
        <f t="shared" si="34"/>
        <v>#N/A</v>
      </c>
      <c r="AK45" s="501">
        <v>1000</v>
      </c>
      <c r="BA45" s="648">
        <v>42</v>
      </c>
      <c r="BB45" s="664">
        <f t="shared" si="11"/>
        <v>5</v>
      </c>
      <c r="BC45" s="8">
        <v>9.5000000000000001E-2</v>
      </c>
      <c r="BD45" s="690" t="e">
        <f t="shared" si="12"/>
        <v>#N/A</v>
      </c>
      <c r="BE45" s="664" t="e">
        <f t="shared" si="13"/>
        <v>#N/A</v>
      </c>
      <c r="BF45" s="664" t="e">
        <f t="shared" si="14"/>
        <v>#N/A</v>
      </c>
      <c r="BG45" s="664" t="e">
        <f t="shared" si="35"/>
        <v>#N/A</v>
      </c>
      <c r="BH45" s="664" t="e">
        <f t="shared" si="20"/>
        <v>#N/A</v>
      </c>
      <c r="BI45" s="8">
        <v>9.5000000000000001E-2</v>
      </c>
      <c r="BJ45" s="500" t="e">
        <f t="shared" si="15"/>
        <v>#N/A</v>
      </c>
      <c r="BK45" s="664" t="e">
        <f t="shared" si="16"/>
        <v>#N/A</v>
      </c>
      <c r="BL45" s="664">
        <v>5000</v>
      </c>
      <c r="BM45" s="664" t="e">
        <f t="shared" si="21"/>
        <v>#N/A</v>
      </c>
    </row>
    <row r="46" spans="2:65" x14ac:dyDescent="0.35">
      <c r="B46" s="493">
        <v>13</v>
      </c>
      <c r="C46" s="493">
        <v>5</v>
      </c>
      <c r="D46" s="494">
        <f>E46*基础经济系数!$F$22</f>
        <v>16931.249999999996</v>
      </c>
      <c r="E46" s="515">
        <f>基础经济系数!G95</f>
        <v>450</v>
      </c>
      <c r="AB46" s="698" t="s">
        <v>3392</v>
      </c>
      <c r="AC46" s="698">
        <v>1</v>
      </c>
      <c r="AD46" s="699">
        <f t="shared" si="5"/>
        <v>1</v>
      </c>
      <c r="AE46" s="699" t="e">
        <f t="shared" si="6"/>
        <v>#N/A</v>
      </c>
      <c r="AF46" s="699" t="e">
        <f t="shared" si="7"/>
        <v>#N/A</v>
      </c>
      <c r="AG46" s="650" t="e">
        <f>SUMIF(AB$4:AB46,AB46,AF$4:AF46)</f>
        <v>#N/A</v>
      </c>
      <c r="AH46" s="497" t="e">
        <f>IF(AF45=0,AF46,AF45)*$C$4/基础经济系数!$C$29</f>
        <v>#N/A</v>
      </c>
      <c r="AI46" s="497" t="e">
        <f t="shared" si="33"/>
        <v>#N/A</v>
      </c>
      <c r="AJ46" s="501" t="e">
        <f t="shared" si="34"/>
        <v>#N/A</v>
      </c>
      <c r="AK46" s="501">
        <v>1000</v>
      </c>
      <c r="BA46" s="648">
        <v>43</v>
      </c>
      <c r="BB46" s="664">
        <f t="shared" si="11"/>
        <v>5</v>
      </c>
      <c r="BC46" s="8">
        <v>0.10199999999999999</v>
      </c>
      <c r="BD46" s="690" t="e">
        <f t="shared" si="12"/>
        <v>#N/A</v>
      </c>
      <c r="BE46" s="664" t="e">
        <f t="shared" si="13"/>
        <v>#N/A</v>
      </c>
      <c r="BF46" s="664" t="e">
        <f t="shared" si="14"/>
        <v>#N/A</v>
      </c>
      <c r="BG46" s="664" t="e">
        <f t="shared" si="35"/>
        <v>#N/A</v>
      </c>
      <c r="BH46" s="664" t="e">
        <f t="shared" si="20"/>
        <v>#N/A</v>
      </c>
      <c r="BI46" s="8">
        <v>0.10199999999999999</v>
      </c>
      <c r="BJ46" s="500" t="e">
        <f t="shared" si="15"/>
        <v>#N/A</v>
      </c>
      <c r="BK46" s="664" t="e">
        <f t="shared" si="16"/>
        <v>#N/A</v>
      </c>
      <c r="BL46" s="664">
        <v>5000</v>
      </c>
      <c r="BM46" s="664" t="e">
        <f t="shared" si="21"/>
        <v>#N/A</v>
      </c>
    </row>
    <row r="47" spans="2:65" x14ac:dyDescent="0.35">
      <c r="B47" s="493">
        <v>14</v>
      </c>
      <c r="C47" s="493">
        <v>5</v>
      </c>
      <c r="D47" s="494">
        <f>E47*基础经济系数!$F$22</f>
        <v>17683.749999999996</v>
      </c>
      <c r="E47" s="515">
        <f>基础经济系数!G96</f>
        <v>470</v>
      </c>
      <c r="AB47" s="698" t="s">
        <v>3393</v>
      </c>
      <c r="AC47" s="698">
        <v>1</v>
      </c>
      <c r="AD47" s="699">
        <f t="shared" si="5"/>
        <v>1</v>
      </c>
      <c r="AE47" s="699" t="e">
        <f t="shared" si="6"/>
        <v>#N/A</v>
      </c>
      <c r="AF47" s="699" t="e">
        <f t="shared" si="7"/>
        <v>#N/A</v>
      </c>
      <c r="AG47" s="650" t="e">
        <f>SUMIF(AB$4:AB47,AB47,AF$4:AF47)</f>
        <v>#N/A</v>
      </c>
      <c r="AH47" s="497" t="e">
        <f>IF(AF46=0,AF47,AF46)*$C$4/基础经济系数!$C$29</f>
        <v>#N/A</v>
      </c>
      <c r="AI47" s="497" t="e">
        <f t="shared" si="33"/>
        <v>#N/A</v>
      </c>
      <c r="AJ47" s="501" t="e">
        <f t="shared" si="34"/>
        <v>#N/A</v>
      </c>
      <c r="AK47" s="501">
        <v>1000</v>
      </c>
      <c r="BA47" s="648">
        <v>44</v>
      </c>
      <c r="BB47" s="664">
        <f t="shared" si="11"/>
        <v>5</v>
      </c>
      <c r="BC47" s="8">
        <v>0.109</v>
      </c>
      <c r="BD47" s="690" t="e">
        <f t="shared" si="12"/>
        <v>#N/A</v>
      </c>
      <c r="BE47" s="664" t="e">
        <f t="shared" si="13"/>
        <v>#N/A</v>
      </c>
      <c r="BF47" s="664" t="e">
        <f t="shared" si="14"/>
        <v>#N/A</v>
      </c>
      <c r="BG47" s="664" t="e">
        <f t="shared" si="35"/>
        <v>#N/A</v>
      </c>
      <c r="BH47" s="664" t="e">
        <f t="shared" si="20"/>
        <v>#N/A</v>
      </c>
      <c r="BI47" s="8">
        <v>0.109</v>
      </c>
      <c r="BJ47" s="500" t="e">
        <f t="shared" si="15"/>
        <v>#N/A</v>
      </c>
      <c r="BK47" s="664" t="e">
        <f t="shared" si="16"/>
        <v>#N/A</v>
      </c>
      <c r="BL47" s="664">
        <v>5000</v>
      </c>
      <c r="BM47" s="664" t="e">
        <f t="shared" si="21"/>
        <v>#N/A</v>
      </c>
    </row>
    <row r="48" spans="2:65" x14ac:dyDescent="0.35">
      <c r="B48" s="664">
        <v>15</v>
      </c>
      <c r="C48" s="664">
        <v>5</v>
      </c>
      <c r="D48" s="494">
        <f>E48*基础经济系数!$F$22</f>
        <v>18436.249999999996</v>
      </c>
      <c r="E48" s="664">
        <f>基础经济系数!G97</f>
        <v>490</v>
      </c>
      <c r="AB48" s="698" t="s">
        <v>3394</v>
      </c>
      <c r="AC48" s="698">
        <v>1</v>
      </c>
      <c r="AD48" s="699">
        <f t="shared" si="5"/>
        <v>1</v>
      </c>
      <c r="AE48" s="699" t="e">
        <f t="shared" si="6"/>
        <v>#N/A</v>
      </c>
      <c r="AF48" s="699" t="e">
        <f t="shared" si="7"/>
        <v>#N/A</v>
      </c>
      <c r="AG48" s="650" t="e">
        <f>SUMIF(AB$4:AB48,AB48,AF$4:AF48)</f>
        <v>#N/A</v>
      </c>
      <c r="AH48" s="497" t="e">
        <f>IF(AF47=0,AF48,AF47)*$C$4/基础经济系数!$C$29</f>
        <v>#N/A</v>
      </c>
      <c r="AI48" s="497" t="e">
        <f t="shared" si="33"/>
        <v>#N/A</v>
      </c>
      <c r="AJ48" s="501" t="e">
        <f t="shared" si="34"/>
        <v>#N/A</v>
      </c>
      <c r="AK48" s="501">
        <v>1000</v>
      </c>
      <c r="BA48" s="648">
        <v>45</v>
      </c>
      <c r="BB48" s="664">
        <f t="shared" si="11"/>
        <v>5</v>
      </c>
      <c r="BC48" s="8">
        <v>0.11600000000000001</v>
      </c>
      <c r="BD48" s="690" t="e">
        <f t="shared" si="12"/>
        <v>#N/A</v>
      </c>
      <c r="BE48" s="664" t="e">
        <f t="shared" si="13"/>
        <v>#N/A</v>
      </c>
      <c r="BF48" s="664" t="e">
        <f t="shared" si="14"/>
        <v>#N/A</v>
      </c>
      <c r="BG48" s="664" t="e">
        <f t="shared" si="35"/>
        <v>#N/A</v>
      </c>
      <c r="BH48" s="664" t="e">
        <f t="shared" si="20"/>
        <v>#N/A</v>
      </c>
      <c r="BI48" s="8">
        <v>0.11600000000000001</v>
      </c>
      <c r="BJ48" s="500" t="e">
        <f t="shared" si="15"/>
        <v>#N/A</v>
      </c>
      <c r="BK48" s="664" t="e">
        <f t="shared" si="16"/>
        <v>#N/A</v>
      </c>
      <c r="BL48" s="664">
        <v>5000</v>
      </c>
      <c r="BM48" s="664" t="e">
        <f t="shared" si="21"/>
        <v>#N/A</v>
      </c>
    </row>
    <row r="49" spans="2:65" x14ac:dyDescent="0.35">
      <c r="B49" s="664">
        <v>16</v>
      </c>
      <c r="C49" s="664">
        <v>6</v>
      </c>
      <c r="D49" s="494">
        <f>E49*基础经济系数!$F$22</f>
        <v>19000.624999999996</v>
      </c>
      <c r="E49" s="664">
        <f>基础经济系数!G98</f>
        <v>505</v>
      </c>
      <c r="AB49" s="698" t="s">
        <v>3395</v>
      </c>
      <c r="AC49" s="698">
        <v>1</v>
      </c>
      <c r="AD49" s="699">
        <f t="shared" si="5"/>
        <v>1</v>
      </c>
      <c r="AE49" s="699" t="e">
        <f t="shared" si="6"/>
        <v>#N/A</v>
      </c>
      <c r="AF49" s="699" t="e">
        <f t="shared" si="7"/>
        <v>#N/A</v>
      </c>
      <c r="AG49" s="650" t="e">
        <f>SUMIF(AB$4:AB49,AB49,AF$4:AF49)</f>
        <v>#N/A</v>
      </c>
      <c r="AH49" s="497" t="e">
        <f>IF(AF48=0,AF49,AF48)*$C$4/基础经济系数!$C$29</f>
        <v>#N/A</v>
      </c>
      <c r="AI49" s="497" t="e">
        <f t="shared" si="33"/>
        <v>#N/A</v>
      </c>
      <c r="AJ49" s="501" t="e">
        <f t="shared" si="34"/>
        <v>#N/A</v>
      </c>
      <c r="AK49" s="501">
        <v>1000</v>
      </c>
      <c r="BA49" s="648">
        <v>46</v>
      </c>
      <c r="BB49" s="664">
        <f t="shared" si="11"/>
        <v>6</v>
      </c>
      <c r="BC49" s="8">
        <v>1.7999999999999999E-2</v>
      </c>
      <c r="BD49" s="690" t="e">
        <f t="shared" si="12"/>
        <v>#N/A</v>
      </c>
      <c r="BE49" s="664" t="e">
        <f t="shared" si="13"/>
        <v>#N/A</v>
      </c>
      <c r="BF49" s="664" t="e">
        <f t="shared" si="14"/>
        <v>#N/A</v>
      </c>
      <c r="BG49" s="664" t="e">
        <f t="shared" si="35"/>
        <v>#N/A</v>
      </c>
      <c r="BH49" s="664" t="e">
        <f t="shared" si="20"/>
        <v>#N/A</v>
      </c>
      <c r="BI49" s="8">
        <v>1.7999999999999999E-2</v>
      </c>
      <c r="BJ49" s="500" t="e">
        <f t="shared" si="15"/>
        <v>#N/A</v>
      </c>
      <c r="BK49" s="664" t="e">
        <f t="shared" si="16"/>
        <v>#N/A</v>
      </c>
      <c r="BL49" s="664">
        <v>10000</v>
      </c>
      <c r="BM49" s="664" t="e">
        <f t="shared" si="21"/>
        <v>#N/A</v>
      </c>
    </row>
    <row r="50" spans="2:65" x14ac:dyDescent="0.35">
      <c r="B50" s="664">
        <v>17</v>
      </c>
      <c r="C50" s="664">
        <v>6</v>
      </c>
      <c r="D50" s="494">
        <f>E50*基础经济系数!$F$22</f>
        <v>19753.124999999996</v>
      </c>
      <c r="E50" s="664">
        <f>基础经济系数!G99</f>
        <v>525</v>
      </c>
      <c r="AB50" s="698" t="s">
        <v>3396</v>
      </c>
      <c r="AC50" s="698">
        <v>1</v>
      </c>
      <c r="AD50" s="699">
        <f t="shared" si="5"/>
        <v>1</v>
      </c>
      <c r="AE50" s="699" t="e">
        <f t="shared" si="6"/>
        <v>#N/A</v>
      </c>
      <c r="AF50" s="699" t="e">
        <f t="shared" si="7"/>
        <v>#N/A</v>
      </c>
      <c r="AG50" s="650" t="e">
        <f>SUMIF(AB$4:AB50,AB50,AF$4:AF50)</f>
        <v>#N/A</v>
      </c>
      <c r="AH50" s="497" t="e">
        <f>IF(AF49=0,AF50,AF49)*$C$4/基础经济系数!$C$29</f>
        <v>#N/A</v>
      </c>
      <c r="AI50" s="497" t="e">
        <f t="shared" si="33"/>
        <v>#N/A</v>
      </c>
      <c r="AJ50" s="501" t="e">
        <f t="shared" si="34"/>
        <v>#N/A</v>
      </c>
      <c r="AK50" s="501">
        <v>1000</v>
      </c>
      <c r="BA50" s="648">
        <v>47</v>
      </c>
      <c r="BB50" s="664">
        <f t="shared" si="11"/>
        <v>6</v>
      </c>
      <c r="BC50" s="8">
        <v>2.5000000000000001E-2</v>
      </c>
      <c r="BD50" s="690" t="e">
        <f t="shared" si="12"/>
        <v>#N/A</v>
      </c>
      <c r="BE50" s="664" t="e">
        <f t="shared" si="13"/>
        <v>#N/A</v>
      </c>
      <c r="BF50" s="664" t="e">
        <f t="shared" si="14"/>
        <v>#N/A</v>
      </c>
      <c r="BG50" s="664" t="e">
        <f t="shared" si="35"/>
        <v>#N/A</v>
      </c>
      <c r="BH50" s="664" t="e">
        <f t="shared" si="20"/>
        <v>#N/A</v>
      </c>
      <c r="BI50" s="8">
        <v>2.5000000000000001E-2</v>
      </c>
      <c r="BJ50" s="500" t="e">
        <f t="shared" si="15"/>
        <v>#N/A</v>
      </c>
      <c r="BK50" s="664" t="e">
        <f t="shared" si="16"/>
        <v>#N/A</v>
      </c>
      <c r="BL50" s="664">
        <v>10000</v>
      </c>
      <c r="BM50" s="664" t="e">
        <f t="shared" si="21"/>
        <v>#N/A</v>
      </c>
    </row>
    <row r="51" spans="2:65" x14ac:dyDescent="0.35">
      <c r="B51" s="664">
        <v>18</v>
      </c>
      <c r="C51" s="664">
        <v>6</v>
      </c>
      <c r="D51" s="494">
        <f>E51*基础经济系数!$F$22</f>
        <v>20505.624999999996</v>
      </c>
      <c r="E51" s="664">
        <f>基础经济系数!G100</f>
        <v>545</v>
      </c>
      <c r="AB51" s="698" t="s">
        <v>3397</v>
      </c>
      <c r="AC51" s="698">
        <v>1</v>
      </c>
      <c r="AD51" s="699">
        <f t="shared" si="5"/>
        <v>1</v>
      </c>
      <c r="AE51" s="699" t="e">
        <f t="shared" si="6"/>
        <v>#N/A</v>
      </c>
      <c r="AF51" s="699" t="e">
        <f t="shared" si="7"/>
        <v>#N/A</v>
      </c>
      <c r="AG51" s="650" t="e">
        <f>SUMIF(AB$4:AB51,AB51,AF$4:AF51)</f>
        <v>#N/A</v>
      </c>
      <c r="AH51" s="497" t="e">
        <f>IF(AF50=0,AF51,AF50)*$C$4/基础经济系数!$C$29</f>
        <v>#N/A</v>
      </c>
      <c r="AI51" s="497" t="e">
        <f t="shared" si="33"/>
        <v>#N/A</v>
      </c>
      <c r="AJ51" s="501" t="e">
        <f t="shared" si="34"/>
        <v>#N/A</v>
      </c>
      <c r="AK51" s="501">
        <v>1000</v>
      </c>
      <c r="BA51" s="648">
        <v>48</v>
      </c>
      <c r="BB51" s="664">
        <f t="shared" si="11"/>
        <v>6</v>
      </c>
      <c r="BC51" s="8">
        <v>3.2000000000000001E-2</v>
      </c>
      <c r="BD51" s="690" t="e">
        <f t="shared" si="12"/>
        <v>#N/A</v>
      </c>
      <c r="BE51" s="664" t="e">
        <f t="shared" si="13"/>
        <v>#N/A</v>
      </c>
      <c r="BF51" s="664" t="e">
        <f t="shared" si="14"/>
        <v>#N/A</v>
      </c>
      <c r="BG51" s="664" t="e">
        <f t="shared" si="35"/>
        <v>#N/A</v>
      </c>
      <c r="BH51" s="664" t="e">
        <f t="shared" si="20"/>
        <v>#N/A</v>
      </c>
      <c r="BI51" s="8">
        <v>3.2000000000000001E-2</v>
      </c>
      <c r="BJ51" s="500" t="e">
        <f t="shared" si="15"/>
        <v>#N/A</v>
      </c>
      <c r="BK51" s="664" t="e">
        <f t="shared" si="16"/>
        <v>#N/A</v>
      </c>
      <c r="BL51" s="664">
        <v>10000</v>
      </c>
      <c r="BM51" s="664" t="e">
        <f t="shared" si="21"/>
        <v>#N/A</v>
      </c>
    </row>
    <row r="52" spans="2:65" ht="15.75" customHeight="1" x14ac:dyDescent="0.35">
      <c r="B52" s="664">
        <v>19</v>
      </c>
      <c r="C52" s="664">
        <v>6</v>
      </c>
      <c r="D52" s="494">
        <f>E52*基础经济系数!$F$22</f>
        <v>21258.124999999996</v>
      </c>
      <c r="E52" s="664">
        <f>基础经济系数!G101</f>
        <v>565</v>
      </c>
      <c r="AB52" s="698" t="s">
        <v>3398</v>
      </c>
      <c r="AC52" s="698">
        <v>1</v>
      </c>
      <c r="AD52" s="699">
        <f t="shared" si="5"/>
        <v>1</v>
      </c>
      <c r="AE52" s="699" t="e">
        <f t="shared" si="6"/>
        <v>#N/A</v>
      </c>
      <c r="AF52" s="699" t="e">
        <f t="shared" si="7"/>
        <v>#N/A</v>
      </c>
      <c r="AG52" s="650" t="e">
        <f>SUMIF(AB$4:AB52,AB52,AF$4:AF52)</f>
        <v>#N/A</v>
      </c>
      <c r="AH52" s="497" t="e">
        <f>IF(AF51=0,AF52,AF51)*$C$4/基础经济系数!$C$29</f>
        <v>#N/A</v>
      </c>
      <c r="AI52" s="497" t="e">
        <f t="shared" si="33"/>
        <v>#N/A</v>
      </c>
      <c r="AJ52" s="501" t="e">
        <f t="shared" si="34"/>
        <v>#N/A</v>
      </c>
      <c r="AK52" s="501">
        <v>5000</v>
      </c>
      <c r="BA52" s="648">
        <v>49</v>
      </c>
      <c r="BB52" s="664">
        <f t="shared" si="11"/>
        <v>6</v>
      </c>
      <c r="BC52" s="8">
        <v>3.9E-2</v>
      </c>
      <c r="BD52" s="690" t="e">
        <f t="shared" si="12"/>
        <v>#N/A</v>
      </c>
      <c r="BE52" s="664" t="e">
        <f t="shared" si="13"/>
        <v>#N/A</v>
      </c>
      <c r="BF52" s="664" t="e">
        <f t="shared" si="14"/>
        <v>#N/A</v>
      </c>
      <c r="BG52" s="664" t="e">
        <f t="shared" si="35"/>
        <v>#N/A</v>
      </c>
      <c r="BH52" s="664" t="e">
        <f t="shared" si="20"/>
        <v>#N/A</v>
      </c>
      <c r="BI52" s="8">
        <v>3.9E-2</v>
      </c>
      <c r="BJ52" s="500" t="e">
        <f t="shared" si="15"/>
        <v>#N/A</v>
      </c>
      <c r="BK52" s="664" t="e">
        <f t="shared" si="16"/>
        <v>#N/A</v>
      </c>
      <c r="BL52" s="664">
        <v>10000</v>
      </c>
      <c r="BM52" s="664" t="e">
        <f t="shared" si="21"/>
        <v>#N/A</v>
      </c>
    </row>
    <row r="53" spans="2:65" x14ac:dyDescent="0.35">
      <c r="B53" s="664">
        <v>20</v>
      </c>
      <c r="C53" s="664">
        <v>6</v>
      </c>
      <c r="D53" s="494">
        <f>E53*基础经济系数!$F$22</f>
        <v>21822.499999999996</v>
      </c>
      <c r="E53" s="664">
        <f>基础经济系数!G102</f>
        <v>580</v>
      </c>
      <c r="AB53" s="698" t="s">
        <v>3399</v>
      </c>
      <c r="AC53" s="698">
        <v>1</v>
      </c>
      <c r="AD53" s="699">
        <f t="shared" si="5"/>
        <v>1</v>
      </c>
      <c r="AE53" s="699" t="e">
        <f t="shared" si="6"/>
        <v>#N/A</v>
      </c>
      <c r="AF53" s="699" t="e">
        <f t="shared" si="7"/>
        <v>#N/A</v>
      </c>
      <c r="AG53" s="650" t="e">
        <f>SUMIF(AB$4:AB53,AB53,AF$4:AF53)</f>
        <v>#N/A</v>
      </c>
      <c r="AH53" s="497" t="e">
        <f>IF(AF52=0,AF53,AF52)*$C$4/基础经济系数!$C$29</f>
        <v>#N/A</v>
      </c>
      <c r="AI53" s="497" t="e">
        <f t="shared" si="33"/>
        <v>#N/A</v>
      </c>
      <c r="AJ53" s="501" t="e">
        <f t="shared" si="34"/>
        <v>#N/A</v>
      </c>
      <c r="AK53" s="501">
        <v>5000</v>
      </c>
      <c r="BA53" s="648">
        <v>50</v>
      </c>
      <c r="BB53" s="664">
        <f t="shared" si="11"/>
        <v>6</v>
      </c>
      <c r="BC53" s="8">
        <v>4.5999999999999999E-2</v>
      </c>
      <c r="BD53" s="690" t="e">
        <f t="shared" si="12"/>
        <v>#N/A</v>
      </c>
      <c r="BE53" s="664" t="e">
        <f t="shared" si="13"/>
        <v>#N/A</v>
      </c>
      <c r="BF53" s="664" t="e">
        <f t="shared" si="14"/>
        <v>#N/A</v>
      </c>
      <c r="BG53" s="664" t="e">
        <f t="shared" si="35"/>
        <v>#N/A</v>
      </c>
      <c r="BH53" s="664" t="e">
        <f t="shared" si="20"/>
        <v>#N/A</v>
      </c>
      <c r="BI53" s="8">
        <v>4.5999999999999999E-2</v>
      </c>
      <c r="BJ53" s="500" t="e">
        <f t="shared" si="15"/>
        <v>#N/A</v>
      </c>
      <c r="BK53" s="664" t="e">
        <f t="shared" si="16"/>
        <v>#N/A</v>
      </c>
      <c r="BL53" s="664">
        <v>50000</v>
      </c>
      <c r="BM53" s="664" t="e">
        <f t="shared" si="21"/>
        <v>#N/A</v>
      </c>
    </row>
    <row r="54" spans="2:65" x14ac:dyDescent="0.35">
      <c r="B54" s="664">
        <v>21</v>
      </c>
      <c r="C54" s="664">
        <v>6</v>
      </c>
      <c r="D54" s="494">
        <f>E54*基础经济系数!$F$22</f>
        <v>22574.999999999996</v>
      </c>
      <c r="E54" s="664">
        <f>基础经济系数!G103</f>
        <v>600</v>
      </c>
      <c r="AB54" s="698" t="s">
        <v>3400</v>
      </c>
      <c r="AC54" s="698">
        <v>1</v>
      </c>
      <c r="AD54" s="699">
        <f t="shared" si="5"/>
        <v>1</v>
      </c>
      <c r="AE54" s="699" t="e">
        <f t="shared" si="6"/>
        <v>#N/A</v>
      </c>
      <c r="AF54" s="699" t="e">
        <f t="shared" si="7"/>
        <v>#N/A</v>
      </c>
      <c r="AG54" s="650" t="e">
        <f>SUMIF(AB$4:AB54,AB54,AF$4:AF54)</f>
        <v>#N/A</v>
      </c>
      <c r="AH54" s="497" t="e">
        <f>IF(AF53=0,AF54,AF53)*$C$4/基础经济系数!$C$29</f>
        <v>#N/A</v>
      </c>
      <c r="AI54" s="497" t="e">
        <f t="shared" si="33"/>
        <v>#N/A</v>
      </c>
      <c r="AJ54" s="501" t="e">
        <f t="shared" si="34"/>
        <v>#N/A</v>
      </c>
      <c r="AK54" s="501">
        <v>5000</v>
      </c>
      <c r="BA54" s="648">
        <v>51</v>
      </c>
      <c r="BB54" s="664">
        <f t="shared" si="11"/>
        <v>6</v>
      </c>
      <c r="BC54" s="8">
        <v>5.2999999999999999E-2</v>
      </c>
      <c r="BD54" s="690" t="e">
        <f t="shared" si="12"/>
        <v>#N/A</v>
      </c>
      <c r="BE54" s="664" t="e">
        <f t="shared" si="13"/>
        <v>#N/A</v>
      </c>
      <c r="BF54" s="664" t="e">
        <f t="shared" si="14"/>
        <v>#N/A</v>
      </c>
      <c r="BG54" s="664" t="e">
        <f t="shared" si="35"/>
        <v>#N/A</v>
      </c>
      <c r="BH54" s="664" t="e">
        <f t="shared" si="20"/>
        <v>#N/A</v>
      </c>
      <c r="BI54" s="8">
        <v>5.2999999999999999E-2</v>
      </c>
      <c r="BJ54" s="500" t="e">
        <f t="shared" si="15"/>
        <v>#N/A</v>
      </c>
      <c r="BK54" s="664" t="e">
        <f t="shared" si="16"/>
        <v>#N/A</v>
      </c>
      <c r="BL54" s="664">
        <v>50000</v>
      </c>
      <c r="BM54" s="664" t="e">
        <f t="shared" si="21"/>
        <v>#N/A</v>
      </c>
    </row>
    <row r="55" spans="2:65" x14ac:dyDescent="0.35">
      <c r="B55" s="664">
        <v>22</v>
      </c>
      <c r="C55" s="664">
        <v>6</v>
      </c>
      <c r="D55" s="494">
        <f>E55*基础经济系数!$F$22</f>
        <v>23327.499999999996</v>
      </c>
      <c r="E55" s="664">
        <f>基础经济系数!G104</f>
        <v>620</v>
      </c>
      <c r="AB55" s="698" t="s">
        <v>3401</v>
      </c>
      <c r="AC55" s="698">
        <v>1</v>
      </c>
      <c r="AD55" s="699">
        <f t="shared" si="5"/>
        <v>1</v>
      </c>
      <c r="AE55" s="699" t="e">
        <f t="shared" si="6"/>
        <v>#N/A</v>
      </c>
      <c r="AF55" s="699" t="e">
        <f t="shared" si="7"/>
        <v>#N/A</v>
      </c>
      <c r="AG55" s="650" t="e">
        <f>SUMIF(AB$4:AB55,AB55,AF$4:AF55)</f>
        <v>#N/A</v>
      </c>
      <c r="AH55" s="497" t="e">
        <f>IF(AF54=0,AF55,AF54)*$C$4/基础经济系数!$C$29</f>
        <v>#N/A</v>
      </c>
      <c r="AI55" s="497" t="e">
        <f t="shared" si="33"/>
        <v>#N/A</v>
      </c>
      <c r="AJ55" s="501" t="e">
        <f t="shared" si="34"/>
        <v>#N/A</v>
      </c>
      <c r="AK55" s="501">
        <v>5000</v>
      </c>
      <c r="BA55" s="648">
        <v>52</v>
      </c>
      <c r="BB55" s="664">
        <f t="shared" si="11"/>
        <v>6</v>
      </c>
      <c r="BC55" s="8">
        <v>0.06</v>
      </c>
      <c r="BD55" s="690" t="e">
        <f t="shared" si="12"/>
        <v>#N/A</v>
      </c>
      <c r="BE55" s="664" t="e">
        <f t="shared" si="13"/>
        <v>#N/A</v>
      </c>
      <c r="BF55" s="664" t="e">
        <f t="shared" si="14"/>
        <v>#N/A</v>
      </c>
      <c r="BG55" s="664" t="e">
        <f t="shared" si="35"/>
        <v>#N/A</v>
      </c>
      <c r="BH55" s="664" t="e">
        <f t="shared" si="20"/>
        <v>#N/A</v>
      </c>
      <c r="BI55" s="8">
        <v>0.06</v>
      </c>
      <c r="BJ55" s="500" t="e">
        <f t="shared" si="15"/>
        <v>#N/A</v>
      </c>
      <c r="BK55" s="664" t="e">
        <f t="shared" si="16"/>
        <v>#N/A</v>
      </c>
      <c r="BL55" s="664">
        <v>50000</v>
      </c>
      <c r="BM55" s="664" t="e">
        <f t="shared" si="21"/>
        <v>#N/A</v>
      </c>
    </row>
    <row r="56" spans="2:65" x14ac:dyDescent="0.35">
      <c r="B56" s="664">
        <v>23</v>
      </c>
      <c r="C56" s="664">
        <v>6</v>
      </c>
      <c r="D56" s="494">
        <f>E56*基础经济系数!$F$22</f>
        <v>24079.999999999996</v>
      </c>
      <c r="E56" s="664">
        <f>基础经济系数!G105</f>
        <v>640</v>
      </c>
      <c r="AB56" s="698" t="s">
        <v>3402</v>
      </c>
      <c r="AC56" s="698">
        <v>1</v>
      </c>
      <c r="AD56" s="699">
        <f t="shared" si="5"/>
        <v>1</v>
      </c>
      <c r="AE56" s="699" t="e">
        <f t="shared" si="6"/>
        <v>#N/A</v>
      </c>
      <c r="AF56" s="699" t="e">
        <f t="shared" si="7"/>
        <v>#N/A</v>
      </c>
      <c r="AG56" s="650" t="e">
        <f>SUMIF(AB$4:AB56,AB56,AF$4:AF56)</f>
        <v>#N/A</v>
      </c>
      <c r="AH56" s="497" t="e">
        <f>IF(AF55=0,AF56,AF55)*$C$4/基础经济系数!$C$29</f>
        <v>#N/A</v>
      </c>
      <c r="AI56" s="497" t="e">
        <f t="shared" si="33"/>
        <v>#N/A</v>
      </c>
      <c r="AJ56" s="501" t="e">
        <f t="shared" si="34"/>
        <v>#N/A</v>
      </c>
      <c r="AK56" s="501">
        <v>5000</v>
      </c>
      <c r="BA56" s="648">
        <v>53</v>
      </c>
      <c r="BB56" s="664">
        <f t="shared" si="11"/>
        <v>6</v>
      </c>
      <c r="BC56" s="8">
        <v>6.7000000000000004E-2</v>
      </c>
      <c r="BD56" s="690" t="e">
        <f t="shared" si="12"/>
        <v>#N/A</v>
      </c>
      <c r="BE56" s="664" t="e">
        <f t="shared" si="13"/>
        <v>#N/A</v>
      </c>
      <c r="BF56" s="664" t="e">
        <f t="shared" si="14"/>
        <v>#N/A</v>
      </c>
      <c r="BG56" s="664" t="e">
        <f t="shared" si="35"/>
        <v>#N/A</v>
      </c>
      <c r="BH56" s="664" t="e">
        <f t="shared" si="20"/>
        <v>#N/A</v>
      </c>
      <c r="BI56" s="8">
        <v>6.7000000000000004E-2</v>
      </c>
      <c r="BJ56" s="500" t="e">
        <f t="shared" si="15"/>
        <v>#N/A</v>
      </c>
      <c r="BK56" s="664" t="e">
        <f t="shared" si="16"/>
        <v>#N/A</v>
      </c>
      <c r="BL56" s="664">
        <v>50000</v>
      </c>
      <c r="BM56" s="664" t="e">
        <f t="shared" si="21"/>
        <v>#N/A</v>
      </c>
    </row>
    <row r="57" spans="2:65" x14ac:dyDescent="0.35">
      <c r="B57" s="664">
        <v>24</v>
      </c>
      <c r="C57" s="664">
        <v>6</v>
      </c>
      <c r="D57" s="494">
        <f>E57*基础经济系数!$F$22</f>
        <v>24644.374999999996</v>
      </c>
      <c r="E57" s="664">
        <f>基础经济系数!G106</f>
        <v>655</v>
      </c>
      <c r="AB57" s="698" t="s">
        <v>3403</v>
      </c>
      <c r="AC57" s="698">
        <v>1</v>
      </c>
      <c r="AD57" s="699">
        <f t="shared" si="5"/>
        <v>1</v>
      </c>
      <c r="AE57" s="699" t="e">
        <f t="shared" si="6"/>
        <v>#N/A</v>
      </c>
      <c r="AF57" s="699" t="e">
        <f t="shared" si="7"/>
        <v>#N/A</v>
      </c>
      <c r="AG57" s="650" t="e">
        <f>SUMIF(AB$4:AB57,AB57,AF$4:AF57)</f>
        <v>#N/A</v>
      </c>
      <c r="AH57" s="497" t="e">
        <f>IF(AF56=0,AF57,AF56)*$C$4/基础经济系数!$C$29</f>
        <v>#N/A</v>
      </c>
      <c r="AI57" s="497" t="e">
        <f t="shared" si="33"/>
        <v>#N/A</v>
      </c>
      <c r="AJ57" s="501" t="e">
        <f t="shared" si="34"/>
        <v>#N/A</v>
      </c>
      <c r="AK57" s="501">
        <v>5000</v>
      </c>
      <c r="BA57" s="648">
        <v>54</v>
      </c>
      <c r="BB57" s="664">
        <f t="shared" si="11"/>
        <v>6</v>
      </c>
      <c r="BC57" s="8">
        <v>7.3999999999999996E-2</v>
      </c>
      <c r="BD57" s="690" t="e">
        <f t="shared" si="12"/>
        <v>#N/A</v>
      </c>
      <c r="BE57" s="664" t="e">
        <f t="shared" si="13"/>
        <v>#N/A</v>
      </c>
      <c r="BF57" s="664" t="e">
        <f t="shared" si="14"/>
        <v>#N/A</v>
      </c>
      <c r="BG57" s="664" t="e">
        <f t="shared" si="35"/>
        <v>#N/A</v>
      </c>
      <c r="BH57" s="664" t="e">
        <f t="shared" si="20"/>
        <v>#N/A</v>
      </c>
      <c r="BI57" s="8">
        <v>7.3999999999999996E-2</v>
      </c>
      <c r="BJ57" s="500" t="e">
        <f t="shared" si="15"/>
        <v>#N/A</v>
      </c>
      <c r="BK57" s="664" t="e">
        <f t="shared" si="16"/>
        <v>#N/A</v>
      </c>
      <c r="BL57" s="664">
        <v>50000</v>
      </c>
      <c r="BM57" s="664" t="e">
        <f t="shared" si="21"/>
        <v>#N/A</v>
      </c>
    </row>
    <row r="58" spans="2:65" x14ac:dyDescent="0.35">
      <c r="BA58" s="648">
        <v>55</v>
      </c>
      <c r="BB58" s="664">
        <f t="shared" si="11"/>
        <v>6</v>
      </c>
      <c r="BC58" s="8">
        <v>8.1000000000000003E-2</v>
      </c>
      <c r="BD58" s="690" t="e">
        <f t="shared" si="12"/>
        <v>#N/A</v>
      </c>
      <c r="BE58" s="664" t="e">
        <f t="shared" si="13"/>
        <v>#N/A</v>
      </c>
      <c r="BF58" s="664" t="e">
        <f t="shared" si="14"/>
        <v>#N/A</v>
      </c>
      <c r="BG58" s="664" t="e">
        <f t="shared" si="35"/>
        <v>#N/A</v>
      </c>
      <c r="BH58" s="664" t="e">
        <f t="shared" si="20"/>
        <v>#N/A</v>
      </c>
      <c r="BI58" s="8">
        <v>8.1000000000000003E-2</v>
      </c>
      <c r="BJ58" s="500" t="e">
        <f t="shared" si="15"/>
        <v>#N/A</v>
      </c>
      <c r="BK58" s="664" t="e">
        <f t="shared" si="16"/>
        <v>#N/A</v>
      </c>
      <c r="BL58" s="664">
        <v>100000</v>
      </c>
      <c r="BM58" s="664" t="e">
        <f t="shared" si="21"/>
        <v>#N/A</v>
      </c>
    </row>
    <row r="59" spans="2:65" x14ac:dyDescent="0.35">
      <c r="BA59" s="648">
        <v>56</v>
      </c>
      <c r="BB59" s="664">
        <f t="shared" si="11"/>
        <v>6</v>
      </c>
      <c r="BC59" s="8">
        <v>8.7999999999999995E-2</v>
      </c>
      <c r="BD59" s="690" t="e">
        <f t="shared" si="12"/>
        <v>#N/A</v>
      </c>
      <c r="BE59" s="664" t="e">
        <f t="shared" si="13"/>
        <v>#N/A</v>
      </c>
      <c r="BF59" s="664" t="e">
        <f t="shared" si="14"/>
        <v>#N/A</v>
      </c>
      <c r="BG59" s="664" t="e">
        <f t="shared" si="35"/>
        <v>#N/A</v>
      </c>
      <c r="BH59" s="664" t="e">
        <f t="shared" si="20"/>
        <v>#N/A</v>
      </c>
      <c r="BI59" s="8">
        <v>8.7999999999999995E-2</v>
      </c>
      <c r="BJ59" s="500" t="e">
        <f t="shared" si="15"/>
        <v>#N/A</v>
      </c>
      <c r="BK59" s="664" t="e">
        <f t="shared" si="16"/>
        <v>#N/A</v>
      </c>
      <c r="BL59" s="664">
        <v>100000</v>
      </c>
      <c r="BM59" s="664" t="e">
        <f t="shared" si="21"/>
        <v>#N/A</v>
      </c>
    </row>
    <row r="60" spans="2:65" x14ac:dyDescent="0.35">
      <c r="BA60" s="648">
        <v>57</v>
      </c>
      <c r="BB60" s="664">
        <f t="shared" si="11"/>
        <v>6</v>
      </c>
      <c r="BC60" s="8">
        <v>9.5000000000000001E-2</v>
      </c>
      <c r="BD60" s="690" t="e">
        <f t="shared" si="12"/>
        <v>#N/A</v>
      </c>
      <c r="BE60" s="664" t="e">
        <f t="shared" si="13"/>
        <v>#N/A</v>
      </c>
      <c r="BF60" s="664" t="e">
        <f t="shared" si="14"/>
        <v>#N/A</v>
      </c>
      <c r="BG60" s="664" t="e">
        <f t="shared" si="35"/>
        <v>#N/A</v>
      </c>
      <c r="BH60" s="664" t="e">
        <f t="shared" si="20"/>
        <v>#N/A</v>
      </c>
      <c r="BI60" s="8">
        <v>9.5000000000000001E-2</v>
      </c>
      <c r="BJ60" s="500" t="e">
        <f t="shared" si="15"/>
        <v>#N/A</v>
      </c>
      <c r="BK60" s="664" t="e">
        <f t="shared" si="16"/>
        <v>#N/A</v>
      </c>
      <c r="BL60" s="664">
        <v>100000</v>
      </c>
      <c r="BM60" s="664" t="e">
        <f t="shared" si="21"/>
        <v>#N/A</v>
      </c>
    </row>
    <row r="61" spans="2:65" x14ac:dyDescent="0.35">
      <c r="BA61" s="648">
        <v>58</v>
      </c>
      <c r="BB61" s="664">
        <f t="shared" si="11"/>
        <v>6</v>
      </c>
      <c r="BC61" s="8">
        <v>0.10199999999999999</v>
      </c>
      <c r="BD61" s="690" t="e">
        <f t="shared" si="12"/>
        <v>#N/A</v>
      </c>
      <c r="BE61" s="664" t="e">
        <f t="shared" si="13"/>
        <v>#N/A</v>
      </c>
      <c r="BF61" s="664" t="e">
        <f t="shared" si="14"/>
        <v>#N/A</v>
      </c>
      <c r="BG61" s="664" t="e">
        <f t="shared" si="35"/>
        <v>#N/A</v>
      </c>
      <c r="BH61" s="664" t="e">
        <f t="shared" si="20"/>
        <v>#N/A</v>
      </c>
      <c r="BI61" s="8">
        <v>0.10199999999999999</v>
      </c>
      <c r="BJ61" s="500" t="e">
        <f t="shared" si="15"/>
        <v>#N/A</v>
      </c>
      <c r="BK61" s="664" t="e">
        <f t="shared" si="16"/>
        <v>#N/A</v>
      </c>
      <c r="BL61" s="664">
        <v>100000</v>
      </c>
      <c r="BM61" s="664" t="e">
        <f t="shared" si="21"/>
        <v>#N/A</v>
      </c>
    </row>
    <row r="62" spans="2:65" x14ac:dyDescent="0.35">
      <c r="BA62" s="648">
        <v>59</v>
      </c>
      <c r="BB62" s="664">
        <f t="shared" si="11"/>
        <v>6</v>
      </c>
      <c r="BC62" s="8">
        <v>0.109</v>
      </c>
      <c r="BD62" s="690" t="e">
        <f t="shared" si="12"/>
        <v>#N/A</v>
      </c>
      <c r="BE62" s="664" t="e">
        <f t="shared" si="13"/>
        <v>#N/A</v>
      </c>
      <c r="BF62" s="664" t="e">
        <f t="shared" si="14"/>
        <v>#N/A</v>
      </c>
      <c r="BG62" s="664" t="e">
        <f t="shared" si="35"/>
        <v>#N/A</v>
      </c>
      <c r="BH62" s="664" t="e">
        <f t="shared" si="20"/>
        <v>#N/A</v>
      </c>
      <c r="BI62" s="8">
        <v>0.109</v>
      </c>
      <c r="BJ62" s="500" t="e">
        <f t="shared" si="15"/>
        <v>#N/A</v>
      </c>
      <c r="BK62" s="664" t="e">
        <f t="shared" si="16"/>
        <v>#N/A</v>
      </c>
      <c r="BL62" s="664">
        <v>100000</v>
      </c>
      <c r="BM62" s="664" t="e">
        <f t="shared" si="21"/>
        <v>#N/A</v>
      </c>
    </row>
    <row r="63" spans="2:65" x14ac:dyDescent="0.35">
      <c r="BA63" s="648">
        <v>60</v>
      </c>
      <c r="BB63" s="664">
        <f t="shared" si="11"/>
        <v>6</v>
      </c>
      <c r="BC63" s="8">
        <v>0.11600000000000001</v>
      </c>
      <c r="BD63" s="690" t="e">
        <f t="shared" si="12"/>
        <v>#N/A</v>
      </c>
      <c r="BE63" s="664" t="e">
        <f t="shared" si="13"/>
        <v>#N/A</v>
      </c>
      <c r="BF63" s="664" t="e">
        <f t="shared" si="14"/>
        <v>#N/A</v>
      </c>
      <c r="BG63" s="664" t="e">
        <f t="shared" si="35"/>
        <v>#N/A</v>
      </c>
      <c r="BH63" s="664" t="e">
        <f t="shared" si="20"/>
        <v>#N/A</v>
      </c>
      <c r="BI63" s="8">
        <v>0.11600000000000001</v>
      </c>
      <c r="BJ63" s="500" t="e">
        <f t="shared" si="15"/>
        <v>#N/A</v>
      </c>
      <c r="BK63" s="664" t="e">
        <f t="shared" si="16"/>
        <v>#N/A</v>
      </c>
      <c r="BL63" s="664">
        <v>100000</v>
      </c>
      <c r="BM63" s="664" t="e">
        <f t="shared" si="21"/>
        <v>#N/A</v>
      </c>
    </row>
    <row r="71" ht="15.75" customHeight="1" x14ac:dyDescent="0.35"/>
    <row r="85" ht="15.75" customHeight="1" x14ac:dyDescent="0.35"/>
  </sheetData>
  <mergeCells count="5">
    <mergeCell ref="B20:F20"/>
    <mergeCell ref="B32:E32"/>
    <mergeCell ref="G32:H32"/>
    <mergeCell ref="B8:L8"/>
    <mergeCell ref="B14:O14"/>
  </mergeCells>
  <phoneticPr fontId="101"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3:T92"/>
  <sheetViews>
    <sheetView workbookViewId="0">
      <selection activeCell="U65" sqref="U65"/>
    </sheetView>
  </sheetViews>
  <sheetFormatPr defaultColWidth="9" defaultRowHeight="13" x14ac:dyDescent="0.35"/>
  <cols>
    <col min="1" max="2" width="9" style="2"/>
    <col min="3" max="3" width="10" style="2" customWidth="1"/>
    <col min="4" max="4" width="17" style="2" customWidth="1"/>
    <col min="5" max="5" width="18.26953125" style="2" customWidth="1"/>
    <col min="6" max="20" width="9" style="2"/>
    <col min="21" max="21" width="13.36328125" style="2" customWidth="1"/>
    <col min="22" max="16384" width="9" style="2"/>
  </cols>
  <sheetData>
    <row r="3" spans="2:8" x14ac:dyDescent="0.35">
      <c r="B3" s="4" t="s">
        <v>186</v>
      </c>
      <c r="C3" s="4" t="s">
        <v>187</v>
      </c>
      <c r="D3" s="4" t="s">
        <v>188</v>
      </c>
      <c r="E3" s="4" t="s">
        <v>191</v>
      </c>
      <c r="G3" s="4" t="s">
        <v>45</v>
      </c>
      <c r="H3" s="5" t="s">
        <v>213</v>
      </c>
    </row>
    <row r="4" spans="2:8" x14ac:dyDescent="0.35">
      <c r="B4" s="4">
        <v>1</v>
      </c>
      <c r="C4" s="6" t="s">
        <v>57</v>
      </c>
      <c r="D4" s="435" t="s">
        <v>2019</v>
      </c>
      <c r="E4" s="4" t="s">
        <v>193</v>
      </c>
      <c r="G4" s="13" t="s">
        <v>376</v>
      </c>
      <c r="H4" s="6" t="s">
        <v>199</v>
      </c>
    </row>
    <row r="5" spans="2:8" x14ac:dyDescent="0.35">
      <c r="B5" s="4">
        <v>2</v>
      </c>
      <c r="C5" s="6" t="s">
        <v>59</v>
      </c>
      <c r="D5" s="6" t="s">
        <v>60</v>
      </c>
      <c r="E5" s="4"/>
      <c r="G5" s="13" t="s">
        <v>374</v>
      </c>
      <c r="H5" s="6" t="s">
        <v>200</v>
      </c>
    </row>
    <row r="6" spans="2:8" x14ac:dyDescent="0.35">
      <c r="B6" s="4">
        <v>3</v>
      </c>
      <c r="C6" s="6" t="s">
        <v>61</v>
      </c>
      <c r="D6" s="6" t="s">
        <v>62</v>
      </c>
      <c r="E6" s="4" t="s">
        <v>205</v>
      </c>
      <c r="G6" s="20" t="s">
        <v>380</v>
      </c>
      <c r="H6" s="22" t="s">
        <v>201</v>
      </c>
    </row>
    <row r="7" spans="2:8" x14ac:dyDescent="0.35">
      <c r="B7" s="4">
        <v>4</v>
      </c>
      <c r="C7" s="6" t="s">
        <v>63</v>
      </c>
      <c r="D7" s="6" t="s">
        <v>189</v>
      </c>
      <c r="E7" s="4" t="s">
        <v>206</v>
      </c>
      <c r="G7" s="13" t="s">
        <v>378</v>
      </c>
      <c r="H7" s="6" t="s">
        <v>202</v>
      </c>
    </row>
    <row r="8" spans="2:8" x14ac:dyDescent="0.35">
      <c r="B8" s="4">
        <v>5</v>
      </c>
      <c r="C8" s="6" t="s">
        <v>64</v>
      </c>
      <c r="D8" s="6" t="s">
        <v>65</v>
      </c>
      <c r="E8" s="4"/>
      <c r="G8" s="21" t="s">
        <v>192</v>
      </c>
      <c r="H8" s="22" t="s">
        <v>203</v>
      </c>
    </row>
    <row r="9" spans="2:8" x14ac:dyDescent="0.35">
      <c r="B9" s="4">
        <v>7</v>
      </c>
      <c r="C9" s="6" t="s">
        <v>66</v>
      </c>
      <c r="D9" s="6" t="s">
        <v>190</v>
      </c>
      <c r="E9" s="4" t="s">
        <v>207</v>
      </c>
      <c r="G9" s="13" t="s">
        <v>372</v>
      </c>
      <c r="H9" s="6" t="s">
        <v>204</v>
      </c>
    </row>
    <row r="10" spans="2:8" x14ac:dyDescent="0.35">
      <c r="B10" s="4">
        <v>8</v>
      </c>
      <c r="C10" s="6" t="s">
        <v>67</v>
      </c>
      <c r="D10" s="6" t="s">
        <v>68</v>
      </c>
      <c r="E10" s="5" t="s">
        <v>219</v>
      </c>
    </row>
    <row r="11" spans="2:8" x14ac:dyDescent="0.35">
      <c r="B11" s="4">
        <v>9</v>
      </c>
      <c r="C11" s="6" t="s">
        <v>69</v>
      </c>
      <c r="D11" s="6" t="s">
        <v>70</v>
      </c>
      <c r="E11" s="4" t="s">
        <v>208</v>
      </c>
    </row>
    <row r="12" spans="2:8" x14ac:dyDescent="0.35">
      <c r="B12" s="4">
        <v>10</v>
      </c>
      <c r="C12" s="435" t="s">
        <v>2018</v>
      </c>
      <c r="D12" s="6" t="s">
        <v>71</v>
      </c>
      <c r="E12" s="5" t="s">
        <v>219</v>
      </c>
    </row>
    <row r="13" spans="2:8" x14ac:dyDescent="0.35">
      <c r="B13" s="4">
        <v>11</v>
      </c>
      <c r="C13" s="6" t="s">
        <v>72</v>
      </c>
      <c r="D13" s="6" t="s">
        <v>73</v>
      </c>
      <c r="E13" s="5" t="s">
        <v>220</v>
      </c>
    </row>
    <row r="14" spans="2:8" x14ac:dyDescent="0.35">
      <c r="B14" s="4">
        <v>12</v>
      </c>
      <c r="C14" s="6" t="s">
        <v>74</v>
      </c>
      <c r="D14" s="6" t="s">
        <v>75</v>
      </c>
      <c r="E14" s="5" t="s">
        <v>219</v>
      </c>
    </row>
    <row r="15" spans="2:8" x14ac:dyDescent="0.35">
      <c r="B15" s="4">
        <v>13</v>
      </c>
      <c r="C15" s="122" t="s">
        <v>772</v>
      </c>
      <c r="D15" s="6" t="s">
        <v>76</v>
      </c>
      <c r="E15" s="4"/>
    </row>
    <row r="16" spans="2:8" x14ac:dyDescent="0.35">
      <c r="B16" s="4">
        <v>14</v>
      </c>
      <c r="C16" s="6" t="s">
        <v>77</v>
      </c>
      <c r="D16" s="6" t="s">
        <v>78</v>
      </c>
      <c r="E16" s="5" t="s">
        <v>219</v>
      </c>
      <c r="H16" s="450"/>
    </row>
    <row r="17" spans="2:20" x14ac:dyDescent="0.35">
      <c r="B17" s="4">
        <v>15</v>
      </c>
      <c r="C17" s="404" t="s">
        <v>1847</v>
      </c>
      <c r="D17" s="6" t="s">
        <v>79</v>
      </c>
      <c r="E17" s="5" t="s">
        <v>219</v>
      </c>
    </row>
    <row r="18" spans="2:20" x14ac:dyDescent="0.35">
      <c r="B18" s="4">
        <v>16</v>
      </c>
      <c r="C18" s="6" t="s">
        <v>80</v>
      </c>
      <c r="D18" s="6" t="s">
        <v>81</v>
      </c>
      <c r="E18" s="4" t="s">
        <v>209</v>
      </c>
    </row>
    <row r="19" spans="2:20" x14ac:dyDescent="0.35">
      <c r="B19" s="4">
        <v>17</v>
      </c>
      <c r="C19" s="6" t="s">
        <v>82</v>
      </c>
      <c r="D19" s="6" t="s">
        <v>83</v>
      </c>
      <c r="E19" s="4" t="s">
        <v>209</v>
      </c>
    </row>
    <row r="20" spans="2:20" x14ac:dyDescent="0.35">
      <c r="B20" s="4">
        <v>18</v>
      </c>
      <c r="C20" s="6" t="s">
        <v>84</v>
      </c>
      <c r="D20" s="6" t="s">
        <v>85</v>
      </c>
      <c r="E20" s="4" t="s">
        <v>209</v>
      </c>
    </row>
    <row r="21" spans="2:20" x14ac:dyDescent="0.35">
      <c r="B21" s="4">
        <v>19</v>
      </c>
      <c r="C21" s="6" t="s">
        <v>86</v>
      </c>
      <c r="D21" s="6" t="s">
        <v>87</v>
      </c>
      <c r="E21" s="4"/>
    </row>
    <row r="22" spans="2:20" x14ac:dyDescent="0.35">
      <c r="B22" s="4">
        <v>20</v>
      </c>
      <c r="C22" s="6" t="s">
        <v>88</v>
      </c>
      <c r="D22" s="6" t="s">
        <v>89</v>
      </c>
      <c r="E22" s="4"/>
    </row>
    <row r="23" spans="2:20" x14ac:dyDescent="0.35">
      <c r="B23" s="4">
        <v>21</v>
      </c>
      <c r="C23" s="6" t="s">
        <v>90</v>
      </c>
      <c r="D23" s="6" t="s">
        <v>91</v>
      </c>
      <c r="E23" s="4"/>
    </row>
    <row r="24" spans="2:20" x14ac:dyDescent="0.35">
      <c r="B24" s="4">
        <v>22</v>
      </c>
      <c r="C24" s="6" t="s">
        <v>92</v>
      </c>
      <c r="D24" s="6" t="s">
        <v>93</v>
      </c>
      <c r="E24" s="5" t="s">
        <v>214</v>
      </c>
    </row>
    <row r="25" spans="2:20" x14ac:dyDescent="0.35">
      <c r="B25" s="4">
        <v>23</v>
      </c>
      <c r="C25" s="6" t="s">
        <v>94</v>
      </c>
      <c r="D25" s="6" t="s">
        <v>95</v>
      </c>
      <c r="E25" s="4"/>
    </row>
    <row r="26" spans="2:20" x14ac:dyDescent="0.35">
      <c r="B26" s="4">
        <v>27</v>
      </c>
      <c r="C26" s="404" t="s">
        <v>1848</v>
      </c>
      <c r="D26" s="6" t="s">
        <v>96</v>
      </c>
      <c r="E26" s="5" t="s">
        <v>219</v>
      </c>
    </row>
    <row r="27" spans="2:20" x14ac:dyDescent="0.35">
      <c r="B27" s="4">
        <v>28</v>
      </c>
      <c r="C27" s="6" t="s">
        <v>97</v>
      </c>
      <c r="D27" s="6" t="s">
        <v>98</v>
      </c>
      <c r="E27" s="5" t="s">
        <v>219</v>
      </c>
      <c r="T27" s="434"/>
    </row>
    <row r="28" spans="2:20" x14ac:dyDescent="0.35">
      <c r="B28" s="4">
        <v>29</v>
      </c>
      <c r="C28" s="404" t="s">
        <v>773</v>
      </c>
      <c r="D28" s="6" t="s">
        <v>99</v>
      </c>
      <c r="E28" s="4" t="s">
        <v>209</v>
      </c>
    </row>
    <row r="29" spans="2:20" x14ac:dyDescent="0.35">
      <c r="B29" s="4">
        <v>30</v>
      </c>
      <c r="C29" s="6" t="s">
        <v>100</v>
      </c>
      <c r="D29" s="6" t="s">
        <v>101</v>
      </c>
      <c r="E29" s="4" t="s">
        <v>209</v>
      </c>
    </row>
    <row r="30" spans="2:20" x14ac:dyDescent="0.35">
      <c r="B30" s="4">
        <v>31</v>
      </c>
      <c r="C30" s="6" t="s">
        <v>102</v>
      </c>
      <c r="D30" s="6" t="s">
        <v>103</v>
      </c>
      <c r="E30" s="4"/>
    </row>
    <row r="31" spans="2:20" x14ac:dyDescent="0.35">
      <c r="B31" s="4">
        <v>32</v>
      </c>
      <c r="C31" s="6" t="s">
        <v>104</v>
      </c>
      <c r="D31" s="6" t="s">
        <v>105</v>
      </c>
      <c r="E31" s="4"/>
    </row>
    <row r="32" spans="2:20" x14ac:dyDescent="0.35">
      <c r="B32" s="4">
        <v>33</v>
      </c>
      <c r="C32" s="404" t="s">
        <v>1849</v>
      </c>
      <c r="D32" s="6" t="s">
        <v>106</v>
      </c>
      <c r="E32" s="5" t="s">
        <v>219</v>
      </c>
    </row>
    <row r="33" spans="2:5" x14ac:dyDescent="0.35">
      <c r="B33" s="4">
        <v>34</v>
      </c>
      <c r="C33" s="6" t="s">
        <v>107</v>
      </c>
      <c r="D33" s="6" t="s">
        <v>108</v>
      </c>
      <c r="E33" s="4" t="s">
        <v>209</v>
      </c>
    </row>
    <row r="34" spans="2:5" x14ac:dyDescent="0.35">
      <c r="B34" s="4">
        <v>35</v>
      </c>
      <c r="C34" s="6" t="s">
        <v>109</v>
      </c>
      <c r="D34" s="6" t="s">
        <v>110</v>
      </c>
      <c r="E34" s="4" t="s">
        <v>209</v>
      </c>
    </row>
    <row r="35" spans="2:5" x14ac:dyDescent="0.35">
      <c r="B35" s="4">
        <v>36</v>
      </c>
      <c r="C35" s="6" t="s">
        <v>111</v>
      </c>
      <c r="D35" s="6" t="s">
        <v>112</v>
      </c>
      <c r="E35" s="4" t="s">
        <v>209</v>
      </c>
    </row>
    <row r="36" spans="2:5" x14ac:dyDescent="0.35">
      <c r="B36" s="4">
        <v>37</v>
      </c>
      <c r="C36" s="6" t="s">
        <v>113</v>
      </c>
      <c r="D36" s="6" t="s">
        <v>114</v>
      </c>
      <c r="E36" s="4" t="s">
        <v>209</v>
      </c>
    </row>
    <row r="37" spans="2:5" x14ac:dyDescent="0.35">
      <c r="B37" s="4">
        <v>38</v>
      </c>
      <c r="C37" s="6" t="s">
        <v>115</v>
      </c>
      <c r="D37" s="6" t="s">
        <v>116</v>
      </c>
      <c r="E37" s="4"/>
    </row>
    <row r="38" spans="2:5" x14ac:dyDescent="0.35">
      <c r="B38" s="4">
        <v>39</v>
      </c>
      <c r="C38" s="6" t="s">
        <v>117</v>
      </c>
      <c r="D38" s="6" t="s">
        <v>118</v>
      </c>
      <c r="E38" s="4"/>
    </row>
    <row r="39" spans="2:5" x14ac:dyDescent="0.35">
      <c r="B39" s="4">
        <v>40</v>
      </c>
      <c r="C39" s="6" t="s">
        <v>119</v>
      </c>
      <c r="D39" s="6" t="s">
        <v>120</v>
      </c>
      <c r="E39" s="4"/>
    </row>
    <row r="40" spans="2:5" x14ac:dyDescent="0.35">
      <c r="B40" s="4">
        <v>41</v>
      </c>
      <c r="C40" s="6" t="s">
        <v>121</v>
      </c>
      <c r="D40" s="6" t="s">
        <v>122</v>
      </c>
      <c r="E40" s="4"/>
    </row>
    <row r="41" spans="2:5" x14ac:dyDescent="0.35">
      <c r="B41" s="4">
        <v>42</v>
      </c>
      <c r="C41" s="6" t="s">
        <v>123</v>
      </c>
      <c r="D41" s="6" t="s">
        <v>13</v>
      </c>
      <c r="E41" s="4"/>
    </row>
    <row r="42" spans="2:5" x14ac:dyDescent="0.35">
      <c r="B42" s="4">
        <v>44</v>
      </c>
      <c r="C42" s="6" t="s">
        <v>124</v>
      </c>
      <c r="D42" s="6" t="s">
        <v>125</v>
      </c>
      <c r="E42" s="4"/>
    </row>
    <row r="43" spans="2:5" x14ac:dyDescent="0.35">
      <c r="B43" s="4">
        <v>45</v>
      </c>
      <c r="C43" s="6" t="s">
        <v>126</v>
      </c>
      <c r="D43" s="6" t="s">
        <v>127</v>
      </c>
      <c r="E43" s="4"/>
    </row>
    <row r="44" spans="2:5" x14ac:dyDescent="0.35">
      <c r="B44" s="4">
        <v>46</v>
      </c>
      <c r="C44" s="6" t="s">
        <v>128</v>
      </c>
      <c r="D44" s="6" t="s">
        <v>129</v>
      </c>
      <c r="E44" s="4"/>
    </row>
    <row r="45" spans="2:5" x14ac:dyDescent="0.35">
      <c r="B45" s="4">
        <v>48</v>
      </c>
      <c r="C45" s="6" t="s">
        <v>130</v>
      </c>
      <c r="D45" s="6" t="s">
        <v>131</v>
      </c>
      <c r="E45" s="5" t="s">
        <v>214</v>
      </c>
    </row>
    <row r="46" spans="2:5" x14ac:dyDescent="0.35">
      <c r="B46" s="4">
        <v>49</v>
      </c>
      <c r="C46" s="439" t="s">
        <v>2023</v>
      </c>
      <c r="D46" s="6" t="s">
        <v>132</v>
      </c>
      <c r="E46" s="4" t="s">
        <v>209</v>
      </c>
    </row>
    <row r="47" spans="2:5" x14ac:dyDescent="0.35">
      <c r="B47" s="4">
        <v>50</v>
      </c>
      <c r="C47" s="6" t="s">
        <v>133</v>
      </c>
      <c r="D47" s="6" t="s">
        <v>134</v>
      </c>
      <c r="E47" s="4" t="s">
        <v>209</v>
      </c>
    </row>
    <row r="48" spans="2:5" x14ac:dyDescent="0.35">
      <c r="B48" s="4">
        <v>51</v>
      </c>
      <c r="C48" s="6" t="s">
        <v>135</v>
      </c>
      <c r="D48" s="6" t="s">
        <v>136</v>
      </c>
      <c r="E48" s="4"/>
    </row>
    <row r="49" spans="2:5" x14ac:dyDescent="0.35">
      <c r="B49" s="4">
        <v>52</v>
      </c>
      <c r="C49" s="6" t="s">
        <v>137</v>
      </c>
      <c r="D49" s="6" t="s">
        <v>138</v>
      </c>
      <c r="E49" s="4"/>
    </row>
    <row r="50" spans="2:5" x14ac:dyDescent="0.35">
      <c r="B50" s="4">
        <v>53</v>
      </c>
      <c r="C50" s="6" t="s">
        <v>139</v>
      </c>
      <c r="D50" s="6" t="s">
        <v>140</v>
      </c>
      <c r="E50" s="5" t="s">
        <v>214</v>
      </c>
    </row>
    <row r="51" spans="2:5" x14ac:dyDescent="0.35">
      <c r="B51" s="4">
        <v>54</v>
      </c>
      <c r="C51" s="6" t="s">
        <v>141</v>
      </c>
      <c r="D51" s="6" t="s">
        <v>142</v>
      </c>
      <c r="E51" s="5" t="s">
        <v>214</v>
      </c>
    </row>
    <row r="52" spans="2:5" x14ac:dyDescent="0.35">
      <c r="B52" s="4">
        <v>55</v>
      </c>
      <c r="C52" s="6" t="s">
        <v>143</v>
      </c>
      <c r="D52" s="6" t="s">
        <v>144</v>
      </c>
      <c r="E52" s="5" t="s">
        <v>214</v>
      </c>
    </row>
    <row r="53" spans="2:5" x14ac:dyDescent="0.35">
      <c r="B53" s="4">
        <v>57</v>
      </c>
      <c r="C53" s="6" t="s">
        <v>145</v>
      </c>
      <c r="D53" s="6" t="s">
        <v>146</v>
      </c>
      <c r="E53" s="4"/>
    </row>
    <row r="54" spans="2:5" x14ac:dyDescent="0.35">
      <c r="B54" s="4">
        <v>58</v>
      </c>
      <c r="C54" s="6" t="s">
        <v>147</v>
      </c>
      <c r="D54" s="6" t="s">
        <v>148</v>
      </c>
      <c r="E54" s="4"/>
    </row>
    <row r="55" spans="2:5" x14ac:dyDescent="0.35">
      <c r="B55" s="4">
        <v>62</v>
      </c>
      <c r="C55" s="6" t="s">
        <v>149</v>
      </c>
      <c r="D55" s="6" t="s">
        <v>150</v>
      </c>
      <c r="E55" s="4"/>
    </row>
    <row r="56" spans="2:5" x14ac:dyDescent="0.35">
      <c r="B56" s="4">
        <v>68</v>
      </c>
      <c r="C56" s="6" t="s">
        <v>151</v>
      </c>
      <c r="D56" s="6" t="s">
        <v>152</v>
      </c>
      <c r="E56" s="4"/>
    </row>
    <row r="57" spans="2:5" x14ac:dyDescent="0.35">
      <c r="B57" s="4">
        <v>69</v>
      </c>
      <c r="C57" s="6" t="s">
        <v>153</v>
      </c>
      <c r="D57" s="6" t="s">
        <v>154</v>
      </c>
      <c r="E57" s="4"/>
    </row>
    <row r="58" spans="2:5" x14ac:dyDescent="0.35">
      <c r="B58" s="4">
        <v>70</v>
      </c>
      <c r="C58" s="6" t="s">
        <v>155</v>
      </c>
      <c r="D58" s="6" t="s">
        <v>156</v>
      </c>
      <c r="E58" s="4"/>
    </row>
    <row r="59" spans="2:5" x14ac:dyDescent="0.35">
      <c r="B59" s="4">
        <v>71</v>
      </c>
      <c r="C59" s="6" t="s">
        <v>157</v>
      </c>
      <c r="D59" s="6" t="s">
        <v>158</v>
      </c>
      <c r="E59" s="4" t="s">
        <v>209</v>
      </c>
    </row>
    <row r="60" spans="2:5" x14ac:dyDescent="0.35">
      <c r="B60" s="4">
        <v>72</v>
      </c>
      <c r="C60" s="6" t="s">
        <v>159</v>
      </c>
      <c r="D60" s="6" t="s">
        <v>160</v>
      </c>
      <c r="E60" s="4" t="s">
        <v>209</v>
      </c>
    </row>
    <row r="61" spans="2:5" x14ac:dyDescent="0.35">
      <c r="B61" s="4">
        <v>73</v>
      </c>
      <c r="C61" s="6" t="s">
        <v>161</v>
      </c>
      <c r="D61" s="6" t="s">
        <v>162</v>
      </c>
      <c r="E61" s="4"/>
    </row>
    <row r="62" spans="2:5" x14ac:dyDescent="0.35">
      <c r="B62" s="4">
        <v>74</v>
      </c>
      <c r="C62" s="6" t="s">
        <v>163</v>
      </c>
      <c r="D62" s="6" t="s">
        <v>164</v>
      </c>
      <c r="E62" s="4"/>
    </row>
    <row r="63" spans="2:5" x14ac:dyDescent="0.35">
      <c r="B63" s="4">
        <v>75</v>
      </c>
      <c r="C63" s="444" t="s">
        <v>774</v>
      </c>
      <c r="D63" s="6" t="s">
        <v>165</v>
      </c>
      <c r="E63" s="5" t="s">
        <v>214</v>
      </c>
    </row>
    <row r="64" spans="2:5" x14ac:dyDescent="0.35">
      <c r="B64" s="4">
        <v>76</v>
      </c>
      <c r="C64" s="6" t="s">
        <v>166</v>
      </c>
      <c r="D64" s="6" t="s">
        <v>167</v>
      </c>
      <c r="E64" s="5" t="s">
        <v>214</v>
      </c>
    </row>
    <row r="65" spans="2:5" x14ac:dyDescent="0.35">
      <c r="B65" s="4">
        <v>77</v>
      </c>
      <c r="C65" s="6" t="s">
        <v>168</v>
      </c>
      <c r="D65" s="6" t="s">
        <v>169</v>
      </c>
      <c r="E65" s="4"/>
    </row>
    <row r="66" spans="2:5" x14ac:dyDescent="0.35">
      <c r="B66" s="4">
        <v>78</v>
      </c>
      <c r="C66" s="6" t="s">
        <v>170</v>
      </c>
      <c r="D66" s="6" t="s">
        <v>165</v>
      </c>
      <c r="E66" s="5" t="s">
        <v>214</v>
      </c>
    </row>
    <row r="67" spans="2:5" x14ac:dyDescent="0.35">
      <c r="B67" s="4">
        <v>79</v>
      </c>
      <c r="C67" s="6" t="s">
        <v>171</v>
      </c>
      <c r="D67" s="6" t="s">
        <v>167</v>
      </c>
      <c r="E67" s="5" t="s">
        <v>214</v>
      </c>
    </row>
    <row r="68" spans="2:5" x14ac:dyDescent="0.35">
      <c r="B68" s="4">
        <v>80</v>
      </c>
      <c r="C68" s="6" t="s">
        <v>172</v>
      </c>
      <c r="D68" s="6" t="s">
        <v>173</v>
      </c>
      <c r="E68" s="4">
        <v>0</v>
      </c>
    </row>
    <row r="69" spans="2:5" x14ac:dyDescent="0.35">
      <c r="B69" s="4">
        <v>81</v>
      </c>
      <c r="C69" s="6" t="s">
        <v>174</v>
      </c>
      <c r="D69" s="6" t="s">
        <v>165</v>
      </c>
      <c r="E69" s="4">
        <v>0</v>
      </c>
    </row>
    <row r="70" spans="2:5" x14ac:dyDescent="0.35">
      <c r="B70" s="4">
        <v>82</v>
      </c>
      <c r="C70" s="6" t="s">
        <v>175</v>
      </c>
      <c r="D70" s="6" t="s">
        <v>167</v>
      </c>
      <c r="E70" s="4">
        <v>0</v>
      </c>
    </row>
    <row r="71" spans="2:5" x14ac:dyDescent="0.35">
      <c r="B71" s="4">
        <v>83</v>
      </c>
      <c r="C71" s="6" t="s">
        <v>176</v>
      </c>
      <c r="D71" s="6" t="s">
        <v>177</v>
      </c>
      <c r="E71" s="4"/>
    </row>
    <row r="72" spans="2:5" x14ac:dyDescent="0.35">
      <c r="B72" s="4">
        <v>84</v>
      </c>
      <c r="C72" s="6" t="s">
        <v>178</v>
      </c>
      <c r="D72" s="6" t="s">
        <v>165</v>
      </c>
      <c r="E72" s="5" t="s">
        <v>214</v>
      </c>
    </row>
    <row r="73" spans="2:5" x14ac:dyDescent="0.35">
      <c r="B73" s="4">
        <v>85</v>
      </c>
      <c r="C73" s="6" t="s">
        <v>179</v>
      </c>
      <c r="D73" s="6" t="s">
        <v>167</v>
      </c>
      <c r="E73" s="5" t="s">
        <v>214</v>
      </c>
    </row>
    <row r="74" spans="2:5" x14ac:dyDescent="0.35">
      <c r="B74" s="4">
        <v>86</v>
      </c>
      <c r="C74" s="6" t="s">
        <v>180</v>
      </c>
      <c r="D74" s="6" t="s">
        <v>181</v>
      </c>
      <c r="E74" s="4"/>
    </row>
    <row r="75" spans="2:5" x14ac:dyDescent="0.35">
      <c r="B75" s="4">
        <v>87</v>
      </c>
      <c r="C75" s="6" t="s">
        <v>182</v>
      </c>
      <c r="D75" s="6" t="s">
        <v>183</v>
      </c>
      <c r="E75" s="4"/>
    </row>
    <row r="76" spans="2:5" x14ac:dyDescent="0.35">
      <c r="B76" s="4">
        <v>88</v>
      </c>
      <c r="C76" s="6" t="s">
        <v>184</v>
      </c>
      <c r="D76" s="6" t="s">
        <v>185</v>
      </c>
      <c r="E76" s="5" t="s">
        <v>218</v>
      </c>
    </row>
    <row r="77" spans="2:5" x14ac:dyDescent="0.35">
      <c r="B77" s="116">
        <v>89</v>
      </c>
      <c r="C77" s="122" t="s">
        <v>906</v>
      </c>
      <c r="D77" s="122" t="s">
        <v>907</v>
      </c>
      <c r="E77" s="5" t="s">
        <v>209</v>
      </c>
    </row>
    <row r="78" spans="2:5" x14ac:dyDescent="0.35">
      <c r="B78" s="116">
        <v>90</v>
      </c>
      <c r="C78" s="122" t="s">
        <v>908</v>
      </c>
      <c r="D78" s="122" t="s">
        <v>909</v>
      </c>
      <c r="E78" s="5" t="s">
        <v>209</v>
      </c>
    </row>
    <row r="79" spans="2:5" x14ac:dyDescent="0.35">
      <c r="B79" s="116">
        <v>91</v>
      </c>
      <c r="C79" s="122" t="s">
        <v>910</v>
      </c>
      <c r="D79" s="122" t="s">
        <v>911</v>
      </c>
      <c r="E79" s="5" t="s">
        <v>209</v>
      </c>
    </row>
    <row r="80" spans="2:5" x14ac:dyDescent="0.35">
      <c r="B80" s="116">
        <v>92</v>
      </c>
      <c r="C80" s="122" t="s">
        <v>912</v>
      </c>
      <c r="D80" s="122" t="s">
        <v>913</v>
      </c>
      <c r="E80" s="5" t="s">
        <v>209</v>
      </c>
    </row>
    <row r="81" spans="2:5" x14ac:dyDescent="0.35">
      <c r="B81" s="440">
        <v>93</v>
      </c>
      <c r="C81" s="440" t="s">
        <v>2024</v>
      </c>
      <c r="D81" s="6" t="s">
        <v>2025</v>
      </c>
      <c r="E81" s="5" t="s">
        <v>209</v>
      </c>
    </row>
    <row r="82" spans="2:5" x14ac:dyDescent="0.35">
      <c r="B82" s="440">
        <v>94</v>
      </c>
      <c r="C82" s="440" t="s">
        <v>2026</v>
      </c>
      <c r="D82" s="537" t="s">
        <v>2407</v>
      </c>
      <c r="E82" s="5" t="s">
        <v>209</v>
      </c>
    </row>
    <row r="83" spans="2:5" x14ac:dyDescent="0.35">
      <c r="B83" s="440">
        <v>95</v>
      </c>
      <c r="C83" s="440" t="s">
        <v>2027</v>
      </c>
      <c r="D83" s="6" t="s">
        <v>2028</v>
      </c>
      <c r="E83" s="5" t="s">
        <v>209</v>
      </c>
    </row>
    <row r="84" spans="2:5" x14ac:dyDescent="0.35">
      <c r="B84" s="440">
        <v>96</v>
      </c>
      <c r="C84" s="440" t="s">
        <v>2029</v>
      </c>
      <c r="D84" s="6" t="s">
        <v>2030</v>
      </c>
      <c r="E84" s="5" t="s">
        <v>209</v>
      </c>
    </row>
    <row r="85" spans="2:5" x14ac:dyDescent="0.35">
      <c r="B85" s="440">
        <v>97</v>
      </c>
      <c r="C85" s="440" t="s">
        <v>2031</v>
      </c>
      <c r="D85" s="6" t="s">
        <v>2032</v>
      </c>
      <c r="E85" s="5" t="s">
        <v>209</v>
      </c>
    </row>
    <row r="86" spans="2:5" x14ac:dyDescent="0.35">
      <c r="B86" s="440">
        <v>98</v>
      </c>
      <c r="C86" s="440" t="s">
        <v>2033</v>
      </c>
      <c r="D86" s="6" t="s">
        <v>2034</v>
      </c>
      <c r="E86" s="5" t="s">
        <v>209</v>
      </c>
    </row>
    <row r="87" spans="2:5" x14ac:dyDescent="0.35">
      <c r="B87" s="440">
        <v>99</v>
      </c>
      <c r="C87" s="440" t="s">
        <v>2035</v>
      </c>
      <c r="D87" s="6" t="s">
        <v>2036</v>
      </c>
      <c r="E87" s="440"/>
    </row>
    <row r="88" spans="2:5" x14ac:dyDescent="0.35">
      <c r="B88" s="440">
        <v>100</v>
      </c>
      <c r="C88" s="440" t="s">
        <v>2037</v>
      </c>
      <c r="D88" s="6" t="s">
        <v>2038</v>
      </c>
      <c r="E88" s="440"/>
    </row>
    <row r="89" spans="2:5" x14ac:dyDescent="0.35">
      <c r="B89" s="440">
        <v>101</v>
      </c>
      <c r="C89" s="440" t="s">
        <v>2039</v>
      </c>
      <c r="D89" s="6" t="s">
        <v>2040</v>
      </c>
      <c r="E89" s="440"/>
    </row>
    <row r="90" spans="2:5" x14ac:dyDescent="0.35">
      <c r="B90" s="440">
        <v>102</v>
      </c>
      <c r="C90" s="440" t="s">
        <v>2041</v>
      </c>
      <c r="D90" s="6" t="s">
        <v>2042</v>
      </c>
      <c r="E90" s="440"/>
    </row>
    <row r="91" spans="2:5" x14ac:dyDescent="0.35">
      <c r="B91" s="440">
        <v>103</v>
      </c>
      <c r="C91" s="440" t="s">
        <v>2043</v>
      </c>
      <c r="D91" s="6" t="s">
        <v>2044</v>
      </c>
      <c r="E91" s="440"/>
    </row>
    <row r="92" spans="2:5" x14ac:dyDescent="0.35">
      <c r="B92" s="506">
        <v>104</v>
      </c>
      <c r="C92" s="529" t="s">
        <v>2405</v>
      </c>
      <c r="D92" s="537" t="s">
        <v>2406</v>
      </c>
      <c r="E92" s="5" t="s">
        <v>209</v>
      </c>
    </row>
  </sheetData>
  <phoneticPr fontId="10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1"/>
  <dimension ref="B1:DH65"/>
  <sheetViews>
    <sheetView zoomScaleNormal="100" workbookViewId="0">
      <selection activeCell="L33" sqref="L4:L33"/>
    </sheetView>
  </sheetViews>
  <sheetFormatPr defaultColWidth="9" defaultRowHeight="13" x14ac:dyDescent="0.35"/>
  <cols>
    <col min="1" max="17" width="9" style="76"/>
    <col min="18" max="31" width="9" style="76" customWidth="1"/>
    <col min="32" max="36" width="9" style="76"/>
    <col min="37" max="37" width="10.453125" style="76" bestFit="1" customWidth="1"/>
    <col min="38" max="39" width="9" style="76"/>
    <col min="40" max="40" width="10.08984375" style="76" bestFit="1" customWidth="1"/>
    <col min="41" max="41" width="10.453125" style="76" bestFit="1" customWidth="1"/>
    <col min="42" max="16384" width="9" style="76"/>
  </cols>
  <sheetData>
    <row r="1" spans="2:112" x14ac:dyDescent="0.35">
      <c r="I1" s="84"/>
      <c r="J1" s="84"/>
      <c r="K1" s="84"/>
      <c r="L1" s="84"/>
      <c r="M1" s="84"/>
      <c r="N1" s="84"/>
      <c r="O1" s="84"/>
    </row>
    <row r="2" spans="2:112" ht="15.75" customHeight="1" x14ac:dyDescent="0.35">
      <c r="B2" s="787" t="s">
        <v>225</v>
      </c>
      <c r="C2" s="787"/>
      <c r="D2" s="787"/>
      <c r="E2" s="787"/>
      <c r="F2" s="787"/>
      <c r="G2" s="787"/>
      <c r="H2" s="787"/>
      <c r="I2" s="787"/>
      <c r="J2" s="788" t="s">
        <v>2095</v>
      </c>
      <c r="K2" s="787"/>
      <c r="L2" s="787"/>
      <c r="M2" s="787"/>
      <c r="N2" s="787"/>
      <c r="O2" s="787"/>
      <c r="P2" s="787"/>
      <c r="Q2" s="787"/>
      <c r="R2" s="787"/>
      <c r="S2" s="787"/>
      <c r="T2" s="787"/>
      <c r="U2" s="787"/>
      <c r="V2" s="787"/>
      <c r="W2" s="787"/>
      <c r="X2" s="787"/>
      <c r="Y2" s="787"/>
      <c r="Z2" s="787"/>
      <c r="AA2" s="787"/>
      <c r="AB2" s="787"/>
      <c r="AC2" s="787"/>
      <c r="AD2" s="787"/>
      <c r="AE2" s="787"/>
      <c r="AF2" s="787"/>
      <c r="AG2" s="84"/>
      <c r="AH2" s="787" t="s">
        <v>231</v>
      </c>
      <c r="AI2" s="787"/>
      <c r="AJ2" s="787"/>
      <c r="AK2" s="787"/>
      <c r="AM2" s="794" t="s">
        <v>2124</v>
      </c>
      <c r="AN2" s="787"/>
      <c r="AO2" s="787"/>
      <c r="AP2" s="84"/>
      <c r="AQ2" s="728" t="s">
        <v>2105</v>
      </c>
      <c r="AR2" s="789"/>
      <c r="AS2" s="789"/>
      <c r="AT2" s="789"/>
      <c r="AU2" s="789"/>
      <c r="AV2" s="789"/>
      <c r="AW2" s="789"/>
      <c r="AX2" s="790"/>
      <c r="AZ2" s="792" t="s">
        <v>250</v>
      </c>
      <c r="BA2" s="789"/>
      <c r="BB2" s="789"/>
      <c r="BC2" s="789"/>
      <c r="BD2" s="789"/>
      <c r="BE2" s="790"/>
      <c r="BI2" s="787" t="s">
        <v>216</v>
      </c>
      <c r="BJ2" s="787"/>
      <c r="BK2" s="787"/>
      <c r="BM2" s="787" t="s">
        <v>267</v>
      </c>
      <c r="BN2" s="787"/>
      <c r="BO2" s="787"/>
      <c r="BP2" s="787"/>
      <c r="BQ2" s="787"/>
      <c r="BR2" s="787"/>
      <c r="BS2" s="787"/>
      <c r="BT2" s="787"/>
      <c r="BU2" s="787"/>
      <c r="BV2" s="787"/>
      <c r="BZ2" s="787" t="s">
        <v>288</v>
      </c>
      <c r="CA2" s="787"/>
      <c r="CB2" s="787"/>
      <c r="CC2" s="787"/>
      <c r="CD2" s="787"/>
      <c r="CQ2" s="787" t="s">
        <v>287</v>
      </c>
      <c r="CR2" s="787"/>
      <c r="CS2" s="787"/>
      <c r="CT2" s="787"/>
      <c r="CU2" s="787"/>
      <c r="CV2" s="787"/>
      <c r="CW2" s="787"/>
      <c r="CX2" s="787"/>
      <c r="CY2" s="787"/>
      <c r="DE2" s="787" t="s">
        <v>338</v>
      </c>
      <c r="DF2" s="787"/>
      <c r="DG2" s="787"/>
      <c r="DH2" s="787"/>
    </row>
    <row r="3" spans="2:112" x14ac:dyDescent="0.35">
      <c r="B3" s="77" t="s">
        <v>571</v>
      </c>
      <c r="C3" s="77" t="s">
        <v>223</v>
      </c>
      <c r="D3" s="77" t="s">
        <v>221</v>
      </c>
      <c r="E3" s="77" t="s">
        <v>222</v>
      </c>
      <c r="F3" s="77" t="s">
        <v>226</v>
      </c>
      <c r="G3" s="454" t="s">
        <v>2062</v>
      </c>
      <c r="H3" s="454" t="s">
        <v>2061</v>
      </c>
      <c r="I3" s="454" t="s">
        <v>2063</v>
      </c>
      <c r="J3" s="463" t="s">
        <v>2093</v>
      </c>
      <c r="K3" s="463" t="s">
        <v>2075</v>
      </c>
      <c r="L3" s="454" t="s">
        <v>2076</v>
      </c>
      <c r="M3" s="529" t="s">
        <v>2384</v>
      </c>
      <c r="N3" s="529" t="s">
        <v>2383</v>
      </c>
      <c r="O3" s="454" t="s">
        <v>2077</v>
      </c>
      <c r="P3" s="454" t="s">
        <v>2078</v>
      </c>
      <c r="Q3" s="454" t="s">
        <v>2079</v>
      </c>
      <c r="R3" s="454" t="s">
        <v>2064</v>
      </c>
      <c r="S3" s="454" t="s">
        <v>2068</v>
      </c>
      <c r="T3" s="529" t="s">
        <v>2385</v>
      </c>
      <c r="U3" s="529" t="s">
        <v>2386</v>
      </c>
      <c r="V3" s="454" t="s">
        <v>2069</v>
      </c>
      <c r="W3" s="454" t="s">
        <v>2070</v>
      </c>
      <c r="X3" s="454" t="s">
        <v>2071</v>
      </c>
      <c r="Y3" s="454" t="s">
        <v>2074</v>
      </c>
      <c r="Z3" s="454" t="s">
        <v>2073</v>
      </c>
      <c r="AA3" s="529" t="s">
        <v>2387</v>
      </c>
      <c r="AB3" s="529" t="s">
        <v>2388</v>
      </c>
      <c r="AC3" s="454" t="s">
        <v>2080</v>
      </c>
      <c r="AD3" s="454" t="s">
        <v>2081</v>
      </c>
      <c r="AE3" s="454" t="s">
        <v>2082</v>
      </c>
      <c r="AF3" s="454" t="s">
        <v>2083</v>
      </c>
      <c r="AG3" s="456"/>
      <c r="AH3" s="77" t="s">
        <v>210</v>
      </c>
      <c r="AI3" s="77" t="s">
        <v>221</v>
      </c>
      <c r="AJ3" s="77" t="s">
        <v>222</v>
      </c>
      <c r="AK3" s="77" t="s">
        <v>230</v>
      </c>
      <c r="AM3" s="77" t="s">
        <v>210</v>
      </c>
      <c r="AN3" s="77" t="s">
        <v>246</v>
      </c>
      <c r="AO3" s="77" t="s">
        <v>247</v>
      </c>
      <c r="AP3" s="84"/>
      <c r="AQ3" s="448" t="s">
        <v>4</v>
      </c>
      <c r="AR3" s="463" t="s">
        <v>2100</v>
      </c>
      <c r="AS3" s="463" t="s">
        <v>2099</v>
      </c>
      <c r="AT3" s="463" t="s">
        <v>2104</v>
      </c>
      <c r="AU3" s="463" t="s">
        <v>50</v>
      </c>
      <c r="AV3" s="463" t="s">
        <v>2101</v>
      </c>
      <c r="AW3" s="463" t="s">
        <v>2102</v>
      </c>
      <c r="AX3" s="463" t="s">
        <v>2103</v>
      </c>
      <c r="AZ3" s="77" t="s">
        <v>251</v>
      </c>
      <c r="BA3" s="77" t="s">
        <v>252</v>
      </c>
      <c r="BB3" s="77" t="s">
        <v>248</v>
      </c>
      <c r="BC3" s="77" t="s">
        <v>241</v>
      </c>
      <c r="BD3" s="77" t="s">
        <v>253</v>
      </c>
      <c r="BE3" s="77" t="s">
        <v>254</v>
      </c>
      <c r="BI3" s="77" t="s">
        <v>210</v>
      </c>
      <c r="BJ3" s="77" t="s">
        <v>217</v>
      </c>
      <c r="BK3" s="77" t="s">
        <v>265</v>
      </c>
      <c r="BM3" s="77" t="s">
        <v>251</v>
      </c>
      <c r="BN3" s="77" t="s">
        <v>268</v>
      </c>
      <c r="BO3" s="77" t="s">
        <v>269</v>
      </c>
      <c r="BP3" s="77" t="s">
        <v>273</v>
      </c>
      <c r="BQ3" s="77" t="s">
        <v>272</v>
      </c>
      <c r="BR3" s="77" t="s">
        <v>270</v>
      </c>
      <c r="BS3" s="77" t="s">
        <v>274</v>
      </c>
      <c r="BT3" s="77" t="s">
        <v>271</v>
      </c>
      <c r="BU3" s="77" t="s">
        <v>257</v>
      </c>
      <c r="BV3" s="77" t="s">
        <v>275</v>
      </c>
      <c r="BZ3" s="77" t="s">
        <v>251</v>
      </c>
      <c r="CA3" s="77" t="s">
        <v>293</v>
      </c>
      <c r="CB3" s="77" t="s">
        <v>294</v>
      </c>
      <c r="CC3" s="77" t="s">
        <v>295</v>
      </c>
      <c r="CD3" s="77" t="s">
        <v>296</v>
      </c>
      <c r="CQ3" s="77" t="s">
        <v>251</v>
      </c>
      <c r="CR3" s="77" t="s">
        <v>316</v>
      </c>
      <c r="CS3" s="77" t="s">
        <v>317</v>
      </c>
      <c r="CT3" s="77" t="s">
        <v>314</v>
      </c>
      <c r="CU3" s="77" t="s">
        <v>318</v>
      </c>
      <c r="CV3" s="77" t="s">
        <v>249</v>
      </c>
      <c r="CW3" s="77" t="s">
        <v>315</v>
      </c>
      <c r="CX3" s="77" t="s">
        <v>302</v>
      </c>
      <c r="CY3" s="77" t="s">
        <v>301</v>
      </c>
      <c r="DE3" s="77" t="s">
        <v>210</v>
      </c>
      <c r="DF3" s="77" t="s">
        <v>339</v>
      </c>
      <c r="DG3" s="77" t="s">
        <v>645</v>
      </c>
      <c r="DH3" s="77" t="s">
        <v>541</v>
      </c>
    </row>
    <row r="4" spans="2:112" x14ac:dyDescent="0.35">
      <c r="B4" s="77" t="s">
        <v>615</v>
      </c>
      <c r="C4" s="85" t="s">
        <v>211</v>
      </c>
      <c r="D4" s="9">
        <v>4.74</v>
      </c>
      <c r="E4" s="9">
        <v>2.11</v>
      </c>
      <c r="F4" s="77">
        <f>ROUND(SQRT(D4^2+E4^2),2)</f>
        <v>5.19</v>
      </c>
      <c r="G4" s="228">
        <v>1.1000000000000001</v>
      </c>
      <c r="H4" s="228">
        <v>1.1000000000000001</v>
      </c>
      <c r="I4" s="442">
        <f>ROUND(SQRT(G4^2+H4^2),2)</f>
        <v>1.56</v>
      </c>
      <c r="J4" s="87">
        <f>VLOOKUP(C4,基础属性系数!$B$97:$E$100,4,FALSE)*SQRT(VLOOKUP(C4,基础属性系数!$B$97:$E$100,2,FALSE)/F4)</f>
        <v>2.0437271043034304</v>
      </c>
      <c r="K4" s="457">
        <v>2.1</v>
      </c>
      <c r="L4" s="457">
        <v>1.7000000000000002</v>
      </c>
      <c r="M4" s="457">
        <v>1.4000000000000001</v>
      </c>
      <c r="N4" s="457">
        <v>1.4000000000000001</v>
      </c>
      <c r="O4" s="457">
        <v>1.2</v>
      </c>
      <c r="P4" s="457">
        <v>1</v>
      </c>
      <c r="Q4" s="457">
        <v>0.85000000000000009</v>
      </c>
      <c r="R4" s="81">
        <f>基础属性系数!$E$61*2/F4</f>
        <v>0.13487475915221578</v>
      </c>
      <c r="S4" s="81">
        <f>(H4/基础属性系数!$C$94-H4/基础属性系数!$C$94/I4*基础属性系数!$E$61*2)/F4</f>
        <v>7.3026283286398902E-2</v>
      </c>
      <c r="T4" s="81">
        <f>(G4/基础属性系数!$C$94-G4/基础属性系数!$C$94/I4*基础属性系数!$E$61*2)/F4*2</f>
        <v>0.1460525665727978</v>
      </c>
      <c r="U4" s="81">
        <f>(H4/基础属性系数!$C$94-H4/基础属性系数!$C$94/I4*基础属性系数!$E$61*2)/F4</f>
        <v>7.3026283286398902E-2</v>
      </c>
      <c r="V4" s="81">
        <f>(E4/基础属性系数!$C$94-I4*E4/基础属性系数!$C$94/F4)/F4</f>
        <v>0.17771921324913403</v>
      </c>
      <c r="W4" s="81">
        <f>(D4/基础属性系数!$C$94-I4*D4/基础属性系数!$C$94/F4)/F4*2</f>
        <v>0.798473052891844</v>
      </c>
      <c r="X4" s="81">
        <f>(E4/基础属性系数!$C$94-I4*E4/基础属性系数!$C$94/F4)/F4</f>
        <v>0.17771921324913403</v>
      </c>
      <c r="Y4" s="81">
        <f t="shared" ref="Y4:Y33" si="0">R4*K4</f>
        <v>0.28323699421965315</v>
      </c>
      <c r="Z4" s="81">
        <f t="shared" ref="Z4:Z33" si="1">S4*L4</f>
        <v>0.12414468158687815</v>
      </c>
      <c r="AA4" s="81">
        <f>T4*M4</f>
        <v>0.20447359320191694</v>
      </c>
      <c r="AB4" s="81">
        <f t="shared" ref="AB4:AB33" si="2">U4*N4</f>
        <v>0.10223679660095847</v>
      </c>
      <c r="AC4" s="81">
        <f t="shared" ref="AC4:AC33" si="3">V4*O4</f>
        <v>0.21326305589896083</v>
      </c>
      <c r="AD4" s="81">
        <f t="shared" ref="AD4:AD33" si="4">W4*P4</f>
        <v>0.798473052891844</v>
      </c>
      <c r="AE4" s="81">
        <f t="shared" ref="AE4:AE33" si="5">X4*Q4</f>
        <v>0.15106133126176394</v>
      </c>
      <c r="AF4" s="81">
        <f>SUM(Y4:AE4)</f>
        <v>1.8768895056619754</v>
      </c>
      <c r="AH4" s="77" t="s">
        <v>227</v>
      </c>
      <c r="AI4" s="77">
        <f>ROUND(AVERAGE(D4:D13),2)</f>
        <v>5.54</v>
      </c>
      <c r="AJ4" s="77">
        <f>ROUND(AVERAGE(E4:E13),2)</f>
        <v>2.69</v>
      </c>
      <c r="AK4" s="77">
        <f>ROUND(AVERAGE(F4:F13),2)</f>
        <v>6.17</v>
      </c>
      <c r="AM4" s="77" t="s">
        <v>408</v>
      </c>
      <c r="AN4" s="8">
        <v>0.2</v>
      </c>
      <c r="AO4" s="8">
        <v>0.4</v>
      </c>
      <c r="AP4" s="10"/>
      <c r="AQ4" s="448" t="s">
        <v>408</v>
      </c>
      <c r="AR4" s="228">
        <v>1.8</v>
      </c>
      <c r="AS4" s="228">
        <v>2</v>
      </c>
      <c r="AT4" s="448">
        <f>标准坦克设计!D14/AS4</f>
        <v>3</v>
      </c>
      <c r="AU4" s="448">
        <f t="shared" ref="AU4:AU10" si="6">AVERAGE(AN4:AO4)</f>
        <v>0.30000000000000004</v>
      </c>
      <c r="AV4" s="448">
        <f t="shared" ref="AV4:AV10" si="7">(AU4*(AS4-1)*AW4+AR4)/AS4</f>
        <v>1.08</v>
      </c>
      <c r="AW4" s="8">
        <v>1.2</v>
      </c>
      <c r="AX4" s="448">
        <f t="shared" ref="AX4:AX10" si="8">AR4/AW4</f>
        <v>1.5</v>
      </c>
      <c r="AZ4" s="77" t="s">
        <v>408</v>
      </c>
      <c r="BA4" s="8">
        <v>0.5</v>
      </c>
      <c r="BB4" s="81">
        <f t="shared" ref="BB4:BB10" si="9">$AW$4</f>
        <v>1.2</v>
      </c>
      <c r="BC4" s="81">
        <f>BA4*BB4</f>
        <v>0.6</v>
      </c>
      <c r="BD4" s="81">
        <f t="shared" ref="BD4:BD10" si="10">BC4*$BJ$5</f>
        <v>0.44999999999999996</v>
      </c>
      <c r="BE4" s="81">
        <f t="shared" ref="BE4:BE10" si="11">BC4*$BJ$6</f>
        <v>0.3</v>
      </c>
      <c r="BI4" s="77" t="s">
        <v>211</v>
      </c>
      <c r="BJ4" s="11">
        <v>1</v>
      </c>
      <c r="BK4" s="81">
        <f>MIN($BG$14:$BG$20)</f>
        <v>2.1563141881038952</v>
      </c>
      <c r="BM4" s="77" t="s">
        <v>408</v>
      </c>
      <c r="BN4" s="77">
        <f>VLOOKUP(LEFT(BM4,2),$AH$15:$AK$18,4,FALSE)</f>
        <v>0.78</v>
      </c>
      <c r="BO4" s="77">
        <f t="shared" ref="BO4:BO10" si="12">BN4+AV4</f>
        <v>1.86</v>
      </c>
      <c r="BP4" s="81">
        <f>BO4/BN4</f>
        <v>2.3846153846153846</v>
      </c>
      <c r="BQ4" s="8">
        <v>2.1</v>
      </c>
      <c r="BR4" s="77">
        <f>(BQ4-1)*BN4</f>
        <v>0.8580000000000001</v>
      </c>
      <c r="BS4" s="86">
        <f>AI24</f>
        <v>0.26478591686179787</v>
      </c>
      <c r="BT4" s="87">
        <f>TAN(RADIANS(BR4+BN4))*$AI$10*2/$AK$4</f>
        <v>0.55616760139447796</v>
      </c>
      <c r="BU4" s="81">
        <f t="shared" ref="BU4:BU10" si="13">BR4/AW4</f>
        <v>0.71500000000000008</v>
      </c>
      <c r="BV4" s="77">
        <f>BR4/基础属性系数!$C$18*3</f>
        <v>0.17160000000000003</v>
      </c>
      <c r="BZ4" s="77" t="s">
        <v>289</v>
      </c>
      <c r="CA4" s="8">
        <v>12</v>
      </c>
      <c r="CB4" s="77">
        <f>基础属性系数!$C$19/2</f>
        <v>200</v>
      </c>
      <c r="CC4" s="81">
        <f>CB4/CA4</f>
        <v>16.666666666666668</v>
      </c>
      <c r="CD4" s="81">
        <f>CC4</f>
        <v>16.666666666666668</v>
      </c>
      <c r="CQ4" s="77" t="s">
        <v>289</v>
      </c>
      <c r="CR4" s="77">
        <f>AI10</f>
        <v>60</v>
      </c>
      <c r="CS4" s="8">
        <v>0.2</v>
      </c>
      <c r="CT4" s="81">
        <f>(AK4/2/(CR4*2*PI()))*360/CS4</f>
        <v>14.729789983154914</v>
      </c>
      <c r="CU4" s="77">
        <f>CR4/2</f>
        <v>30</v>
      </c>
      <c r="CV4" s="8">
        <v>0.1</v>
      </c>
      <c r="CW4" s="81">
        <f>(AK4/2/(CU4*2*PI()))*360/CV4</f>
        <v>58.919159932619657</v>
      </c>
      <c r="CX4" s="8">
        <v>0.75</v>
      </c>
      <c r="CY4" s="81">
        <f>(CW4-CT4)/CX4</f>
        <v>58.919159932619657</v>
      </c>
      <c r="DE4" s="77" t="s">
        <v>211</v>
      </c>
      <c r="DF4" s="8">
        <v>50</v>
      </c>
      <c r="DG4" s="77">
        <f>DF4-5</f>
        <v>45</v>
      </c>
      <c r="DH4" s="77">
        <f>DF4+5</f>
        <v>55</v>
      </c>
    </row>
    <row r="5" spans="2:112" x14ac:dyDescent="0.35">
      <c r="B5" s="77" t="s">
        <v>616</v>
      </c>
      <c r="C5" s="85" t="s">
        <v>211</v>
      </c>
      <c r="D5" s="9">
        <v>4.8099999999999996</v>
      </c>
      <c r="E5" s="9">
        <v>2.2599999999999998</v>
      </c>
      <c r="F5" s="77">
        <f t="shared" ref="F5:F33" si="14">ROUND(SQRT(D5^2+E5^2),2)</f>
        <v>5.31</v>
      </c>
      <c r="G5" s="228">
        <v>1.6</v>
      </c>
      <c r="H5" s="228">
        <v>1.4</v>
      </c>
      <c r="I5" s="442">
        <f t="shared" ref="I5:I33" si="15">ROUND(SQRT(G5^2+H5^2),2)</f>
        <v>2.13</v>
      </c>
      <c r="J5" s="87">
        <f>VLOOKUP(C5,基础属性系数!$B$97:$E$100,4,FALSE)*SQRT(VLOOKUP(C5,基础属性系数!$B$97:$E$100,2,FALSE)/F5)</f>
        <v>2.0205021785829649</v>
      </c>
      <c r="K5" s="457">
        <v>2</v>
      </c>
      <c r="L5" s="457">
        <v>1.6500000000000001</v>
      </c>
      <c r="M5" s="457">
        <v>1.3</v>
      </c>
      <c r="N5" s="457">
        <v>1.3</v>
      </c>
      <c r="O5" s="457">
        <v>1.1000000000000001</v>
      </c>
      <c r="P5" s="457">
        <v>0.95</v>
      </c>
      <c r="Q5" s="457">
        <v>0.85000000000000009</v>
      </c>
      <c r="R5" s="81">
        <f>基础属性系数!$E$61*2/F5</f>
        <v>0.13182674199623351</v>
      </c>
      <c r="S5" s="81">
        <f>(H5/基础属性系数!$C$94-H5/基础属性系数!$C$94/I5*基础属性系数!$E$61*2)/F5</f>
        <v>0.11062924944519596</v>
      </c>
      <c r="T5" s="81">
        <f>(G5/基础属性系数!$C$94-G5/基础属性系数!$C$94/I5*基础属性系数!$E$61*2)/F5*2</f>
        <v>0.25286685587473368</v>
      </c>
      <c r="U5" s="81">
        <f>(H5/基础属性系数!$C$94-H5/基础属性系数!$C$94/I5*基础属性系数!$E$61*2)/F5</f>
        <v>0.11062924944519596</v>
      </c>
      <c r="V5" s="81">
        <f>(E5/基础属性系数!$C$94-I5*E5/基础属性系数!$C$94/F5)/F5</f>
        <v>0.15930394629044442</v>
      </c>
      <c r="W5" s="81">
        <f>(D5/基础属性系数!$C$94-I5*D5/基础属性系数!$C$94/F5)/F5*2</f>
        <v>0.67809909881153774</v>
      </c>
      <c r="X5" s="81">
        <f>(E5/基础属性系数!$C$94-I5*E5/基础属性系数!$C$94/F5)/F5</f>
        <v>0.15930394629044442</v>
      </c>
      <c r="Y5" s="81">
        <f t="shared" si="0"/>
        <v>0.26365348399246702</v>
      </c>
      <c r="Z5" s="81">
        <f t="shared" si="1"/>
        <v>0.18253826158457334</v>
      </c>
      <c r="AA5" s="81">
        <f t="shared" ref="AA5:AA33" si="16">T5*M5</f>
        <v>0.32872691263715381</v>
      </c>
      <c r="AB5" s="81">
        <f t="shared" si="2"/>
        <v>0.14381802427875476</v>
      </c>
      <c r="AC5" s="81">
        <f t="shared" si="3"/>
        <v>0.17523434091948889</v>
      </c>
      <c r="AD5" s="81">
        <f t="shared" si="4"/>
        <v>0.64419414387096086</v>
      </c>
      <c r="AE5" s="81">
        <f t="shared" si="5"/>
        <v>0.13540835434687779</v>
      </c>
      <c r="AF5" s="81">
        <f t="shared" ref="AF5:AF33" si="17">SUM(Y5:AE5)</f>
        <v>1.8735735216302765</v>
      </c>
      <c r="AH5" s="77" t="s">
        <v>228</v>
      </c>
      <c r="AI5" s="77">
        <f>ROUND(AVERAGE(D14:D23),2)</f>
        <v>6.57</v>
      </c>
      <c r="AJ5" s="77">
        <f>ROUND(AVERAGE(E14:E23),2)</f>
        <v>3.13</v>
      </c>
      <c r="AK5" s="77">
        <f>ROUND(AVERAGE(F14:F23),2)</f>
        <v>7.28</v>
      </c>
      <c r="AM5" s="77" t="s">
        <v>242</v>
      </c>
      <c r="AN5" s="8">
        <v>0.2</v>
      </c>
      <c r="AO5" s="8">
        <v>0.4</v>
      </c>
      <c r="AP5" s="10"/>
      <c r="AQ5" s="448" t="s">
        <v>242</v>
      </c>
      <c r="AR5" s="228">
        <v>1.8</v>
      </c>
      <c r="AS5" s="228">
        <v>3</v>
      </c>
      <c r="AT5" s="448">
        <f>标准坦克设计!D15/AS5</f>
        <v>3</v>
      </c>
      <c r="AU5" s="448">
        <f t="shared" si="6"/>
        <v>0.30000000000000004</v>
      </c>
      <c r="AV5" s="448">
        <f t="shared" si="7"/>
        <v>0.84</v>
      </c>
      <c r="AW5" s="8">
        <v>1.2</v>
      </c>
      <c r="AX5" s="448">
        <f t="shared" si="8"/>
        <v>1.5</v>
      </c>
      <c r="AZ5" s="77" t="s">
        <v>242</v>
      </c>
      <c r="BA5" s="8">
        <v>0.4</v>
      </c>
      <c r="BB5" s="81">
        <f t="shared" si="9"/>
        <v>1.2</v>
      </c>
      <c r="BC5" s="81">
        <f t="shared" ref="BC5:BC10" si="18">BA5*BB5</f>
        <v>0.48</v>
      </c>
      <c r="BD5" s="81">
        <f t="shared" si="10"/>
        <v>0.36</v>
      </c>
      <c r="BE5" s="81">
        <f t="shared" si="11"/>
        <v>0.24</v>
      </c>
      <c r="BI5" s="77" t="s">
        <v>7</v>
      </c>
      <c r="BJ5" s="11">
        <v>0.75</v>
      </c>
      <c r="BK5" s="81">
        <f>MIN($BG$24:$BG$30)</f>
        <v>1.6422918151337649</v>
      </c>
      <c r="BM5" s="77" t="s">
        <v>242</v>
      </c>
      <c r="BN5" s="77">
        <f t="shared" ref="BN5:BN10" si="19">VLOOKUP(LEFT(BM5,2),$AH$15:$AK$18,4,FALSE)</f>
        <v>0.78</v>
      </c>
      <c r="BO5" s="448">
        <f t="shared" si="12"/>
        <v>1.62</v>
      </c>
      <c r="BP5" s="81">
        <f t="shared" ref="BP5:BP10" si="20">BO5/BN5</f>
        <v>2.0769230769230771</v>
      </c>
      <c r="BQ5" s="8">
        <v>1.75</v>
      </c>
      <c r="BR5" s="77">
        <f t="shared" ref="BR5:BR10" si="21">(BQ5-1)*BN5</f>
        <v>0.58499999999999996</v>
      </c>
      <c r="BS5" s="86">
        <f>AI24</f>
        <v>0.26478591686179787</v>
      </c>
      <c r="BT5" s="87">
        <f>TAN(RADIANS(BR5+BN5))*$AI$10*2/$AK$4</f>
        <v>0.46343440908322664</v>
      </c>
      <c r="BU5" s="81">
        <f t="shared" si="13"/>
        <v>0.48749999999999999</v>
      </c>
      <c r="BV5" s="77">
        <f>BR5/基础属性系数!$C$18*3</f>
        <v>0.11699999999999999</v>
      </c>
      <c r="BZ5" s="77" t="s">
        <v>290</v>
      </c>
      <c r="CA5" s="8">
        <v>14</v>
      </c>
      <c r="CB5" s="77">
        <f>基础属性系数!$C$19/2</f>
        <v>200</v>
      </c>
      <c r="CC5" s="81">
        <f>CB5/CA5</f>
        <v>14.285714285714286</v>
      </c>
      <c r="CD5" s="81">
        <f>CC5</f>
        <v>14.285714285714286</v>
      </c>
      <c r="CQ5" s="77" t="s">
        <v>290</v>
      </c>
      <c r="CR5" s="77">
        <f>AI11</f>
        <v>75</v>
      </c>
      <c r="CS5" s="8">
        <v>0.2</v>
      </c>
      <c r="CT5" s="81">
        <f>(AK5/2/(CR5*2*PI()))*360/CS5</f>
        <v>13.903775828507978</v>
      </c>
      <c r="CU5" s="77">
        <f>CR5/2</f>
        <v>37.5</v>
      </c>
      <c r="CV5" s="8">
        <v>0.1</v>
      </c>
      <c r="CW5" s="81">
        <f>(AK5/2/(CU5*2*PI()))*360/CV5</f>
        <v>55.615103314031913</v>
      </c>
      <c r="CX5" s="8">
        <v>0.75</v>
      </c>
      <c r="CY5" s="81">
        <f>(CW5-CT5)/CX5</f>
        <v>55.61510331403192</v>
      </c>
      <c r="DE5" s="77" t="s">
        <v>228</v>
      </c>
      <c r="DF5" s="8">
        <v>45</v>
      </c>
      <c r="DG5" s="77">
        <f>DF5-5</f>
        <v>40</v>
      </c>
      <c r="DH5" s="77">
        <f>DF5+5</f>
        <v>50</v>
      </c>
    </row>
    <row r="6" spans="2:112" x14ac:dyDescent="0.35">
      <c r="B6" s="77" t="s">
        <v>617</v>
      </c>
      <c r="C6" s="85" t="s">
        <v>211</v>
      </c>
      <c r="D6" s="9">
        <v>6.71</v>
      </c>
      <c r="E6" s="9">
        <v>2.59</v>
      </c>
      <c r="F6" s="77">
        <f t="shared" si="14"/>
        <v>7.19</v>
      </c>
      <c r="G6" s="228">
        <v>2</v>
      </c>
      <c r="H6" s="228">
        <v>1.5</v>
      </c>
      <c r="I6" s="442">
        <f t="shared" si="15"/>
        <v>2.5</v>
      </c>
      <c r="J6" s="87">
        <f>VLOOKUP(C6,基础属性系数!$B$97:$E$100,4,FALSE)*SQRT(VLOOKUP(C6,基础属性系数!$B$97:$E$100,2,FALSE)/F6)</f>
        <v>1.7363694588895786</v>
      </c>
      <c r="K6" s="457">
        <v>2.1</v>
      </c>
      <c r="L6" s="457">
        <v>1.6500000000000001</v>
      </c>
      <c r="M6" s="457">
        <v>1.35</v>
      </c>
      <c r="N6" s="457">
        <v>1.35</v>
      </c>
      <c r="O6" s="457">
        <v>1.1500000000000001</v>
      </c>
      <c r="P6" s="457">
        <v>1</v>
      </c>
      <c r="Q6" s="457">
        <v>0.85000000000000009</v>
      </c>
      <c r="R6" s="81">
        <f>基础属性系数!$E$61*2/F6</f>
        <v>9.7357440890125158E-2</v>
      </c>
      <c r="S6" s="81">
        <f>(H6/基础属性系数!$C$94-H6/基础属性系数!$C$94/I6*基础属性系数!$E$61*2)/F6</f>
        <v>9.3880389429763567E-2</v>
      </c>
      <c r="T6" s="81">
        <f>(G6/基础属性系数!$C$94-G6/基础属性系数!$C$94/I6*基础属性系数!$E$61*2)/F6*2</f>
        <v>0.25034770514603616</v>
      </c>
      <c r="U6" s="81">
        <f>(H6/基础属性系数!$C$94-H6/基础属性系数!$C$94/I6*基础属性系数!$E$61*2)/F6</f>
        <v>9.3880389429763567E-2</v>
      </c>
      <c r="V6" s="81">
        <f>(E6/基础属性系数!$C$94-I6*E6/基础属性系数!$C$94/F6)/F6</f>
        <v>0.14685706465284618</v>
      </c>
      <c r="W6" s="81">
        <f>(D6/基础属性系数!$C$94-I6*D6/基础属性系数!$C$94/F6)/F6*2</f>
        <v>0.76093506086532636</v>
      </c>
      <c r="X6" s="81">
        <f>(E6/基础属性系数!$C$94-I6*E6/基础属性系数!$C$94/F6)/F6</f>
        <v>0.14685706465284618</v>
      </c>
      <c r="Y6" s="81">
        <f t="shared" si="0"/>
        <v>0.20445062586926285</v>
      </c>
      <c r="Z6" s="81">
        <f t="shared" si="1"/>
        <v>0.1549026425591099</v>
      </c>
      <c r="AA6" s="81">
        <f t="shared" si="16"/>
        <v>0.33796940194714886</v>
      </c>
      <c r="AB6" s="81">
        <f t="shared" si="2"/>
        <v>0.12673852573018082</v>
      </c>
      <c r="AC6" s="81">
        <f t="shared" si="3"/>
        <v>0.16888562435077312</v>
      </c>
      <c r="AD6" s="81">
        <f t="shared" si="4"/>
        <v>0.76093506086532636</v>
      </c>
      <c r="AE6" s="81">
        <f t="shared" si="5"/>
        <v>0.12482850495491926</v>
      </c>
      <c r="AF6" s="81">
        <f t="shared" si="17"/>
        <v>1.8787103862767212</v>
      </c>
      <c r="AH6" s="77" t="s">
        <v>229</v>
      </c>
      <c r="AI6" s="77">
        <f>ROUND(AVERAGE(D24:D33),2)</f>
        <v>6.91</v>
      </c>
      <c r="AJ6" s="77">
        <f>ROUND(AVERAGE(E24:E33),2)</f>
        <v>3.37</v>
      </c>
      <c r="AK6" s="77">
        <f>ROUND(AVERAGE(F24:F33),2)</f>
        <v>7.69</v>
      </c>
      <c r="AM6" s="77" t="s">
        <v>604</v>
      </c>
      <c r="AN6" s="8">
        <v>0</v>
      </c>
      <c r="AO6" s="8">
        <v>0</v>
      </c>
      <c r="AP6" s="10"/>
      <c r="AQ6" s="448" t="s">
        <v>605</v>
      </c>
      <c r="AR6" s="228">
        <v>1.8</v>
      </c>
      <c r="AS6" s="228">
        <v>1</v>
      </c>
      <c r="AT6" s="448">
        <f>标准坦克设计!D16/AS6</f>
        <v>1</v>
      </c>
      <c r="AU6" s="448">
        <f t="shared" si="6"/>
        <v>0</v>
      </c>
      <c r="AV6" s="448">
        <f t="shared" si="7"/>
        <v>1.8</v>
      </c>
      <c r="AW6" s="8">
        <v>1</v>
      </c>
      <c r="AX6" s="448">
        <f t="shared" si="8"/>
        <v>1.8</v>
      </c>
      <c r="AZ6" s="77" t="s">
        <v>606</v>
      </c>
      <c r="BA6" s="8">
        <v>1.5</v>
      </c>
      <c r="BB6" s="81">
        <f t="shared" si="9"/>
        <v>1.2</v>
      </c>
      <c r="BC6" s="81">
        <f t="shared" si="18"/>
        <v>1.7999999999999998</v>
      </c>
      <c r="BD6" s="81">
        <f t="shared" si="10"/>
        <v>1.3499999999999999</v>
      </c>
      <c r="BE6" s="81">
        <f t="shared" si="11"/>
        <v>0.89999999999999991</v>
      </c>
      <c r="BI6" s="77" t="s">
        <v>212</v>
      </c>
      <c r="BJ6" s="11">
        <v>0.5</v>
      </c>
      <c r="BK6" s="81">
        <f>MIN($BG$34:$BG$40)</f>
        <v>1.3221033219826164</v>
      </c>
      <c r="BM6" s="77" t="s">
        <v>607</v>
      </c>
      <c r="BN6" s="77">
        <f t="shared" si="19"/>
        <v>0.78</v>
      </c>
      <c r="BO6" s="448">
        <f t="shared" si="12"/>
        <v>2.58</v>
      </c>
      <c r="BP6" s="81">
        <f t="shared" si="20"/>
        <v>3.3076923076923075</v>
      </c>
      <c r="BQ6" s="8">
        <v>3</v>
      </c>
      <c r="BR6" s="77">
        <f>(BQ6-1)*BN6</f>
        <v>1.56</v>
      </c>
      <c r="BS6" s="86">
        <f>AI25</f>
        <v>0.30127565677255386</v>
      </c>
      <c r="BT6" s="87">
        <f>TAN(RADIANS(BR6+BN6))*$AI$10*2/$AK$4</f>
        <v>0.79475059811837956</v>
      </c>
      <c r="BU6" s="81">
        <f t="shared" si="13"/>
        <v>1.56</v>
      </c>
      <c r="BV6" s="77">
        <f>BR6/基础属性系数!$C$18*3</f>
        <v>0.31200000000000006</v>
      </c>
      <c r="BZ6" s="77" t="s">
        <v>291</v>
      </c>
      <c r="CA6" s="8">
        <v>16</v>
      </c>
      <c r="CB6" s="77">
        <f>基础属性系数!$C$19/2</f>
        <v>200</v>
      </c>
      <c r="CC6" s="81">
        <f>CB6/CA6</f>
        <v>12.5</v>
      </c>
      <c r="CD6" s="81">
        <f>CC6</f>
        <v>12.5</v>
      </c>
      <c r="CQ6" s="77" t="s">
        <v>291</v>
      </c>
      <c r="CR6" s="77">
        <f>AI12</f>
        <v>90</v>
      </c>
      <c r="CS6" s="8">
        <v>0.2</v>
      </c>
      <c r="CT6" s="81">
        <f>(AK6/2/(CR6*2*PI()))*360/CS6</f>
        <v>12.239015123766752</v>
      </c>
      <c r="CU6" s="77">
        <f>CR6/2</f>
        <v>45</v>
      </c>
      <c r="CV6" s="8">
        <v>0.1</v>
      </c>
      <c r="CW6" s="81">
        <f>(AK6/2/(CU6*2*PI()))*360/CV6</f>
        <v>48.956060495067007</v>
      </c>
      <c r="CX6" s="8">
        <v>0.75</v>
      </c>
      <c r="CY6" s="81">
        <f>(CW6-CT6)/CX6</f>
        <v>48.956060495067014</v>
      </c>
      <c r="DE6" s="77" t="s">
        <v>212</v>
      </c>
      <c r="DF6" s="8">
        <v>40</v>
      </c>
      <c r="DG6" s="77">
        <f>DF6-5</f>
        <v>35</v>
      </c>
      <c r="DH6" s="77">
        <f>DF6+5</f>
        <v>45</v>
      </c>
    </row>
    <row r="7" spans="2:112" x14ac:dyDescent="0.35">
      <c r="B7" s="77" t="s">
        <v>618</v>
      </c>
      <c r="C7" s="85" t="s">
        <v>211</v>
      </c>
      <c r="D7" s="9">
        <v>4.83</v>
      </c>
      <c r="E7" s="9">
        <v>2.11</v>
      </c>
      <c r="F7" s="77">
        <f t="shared" si="14"/>
        <v>5.27</v>
      </c>
      <c r="G7" s="228">
        <v>1.4</v>
      </c>
      <c r="H7" s="228">
        <v>1.3</v>
      </c>
      <c r="I7" s="442">
        <f t="shared" si="15"/>
        <v>1.91</v>
      </c>
      <c r="J7" s="87">
        <f>VLOOKUP(C7,基础属性系数!$B$97:$E$100,4,FALSE)*SQRT(VLOOKUP(C7,基础属性系数!$B$97:$E$100,2,FALSE)/F7)</f>
        <v>2.02815562332724</v>
      </c>
      <c r="K7" s="457">
        <v>2.1</v>
      </c>
      <c r="L7" s="457">
        <v>1.6</v>
      </c>
      <c r="M7" s="457">
        <v>1.4000000000000001</v>
      </c>
      <c r="N7" s="457">
        <v>1.4000000000000001</v>
      </c>
      <c r="O7" s="457">
        <v>1.1000000000000001</v>
      </c>
      <c r="P7" s="457">
        <v>0.95</v>
      </c>
      <c r="Q7" s="457">
        <v>0.85000000000000009</v>
      </c>
      <c r="R7" s="81">
        <f>基础属性系数!$E$61*2/F7</f>
        <v>0.13282732447817838</v>
      </c>
      <c r="S7" s="81">
        <f>(H7/基础属性系数!$C$94-H7/基础属性系数!$C$94/I7*基础属性系数!$E$61*2)/F7</f>
        <v>9.76708028254369E-2</v>
      </c>
      <c r="T7" s="81">
        <f>(G7/基础属性系数!$C$94-G7/基础属性系数!$C$94/I7*基础属性系数!$E$61*2)/F7*2</f>
        <v>0.21036788300863327</v>
      </c>
      <c r="U7" s="81">
        <f>(H7/基础属性系数!$C$94-H7/基础属性系数!$C$94/I7*基础属性系数!$E$61*2)/F7</f>
        <v>9.76708028254369E-2</v>
      </c>
      <c r="V7" s="81">
        <f>(E7/基础属性系数!$C$94-I7*E7/基础属性系数!$C$94/F7)/F7</f>
        <v>0.15954401592919717</v>
      </c>
      <c r="W7" s="81">
        <f>(D7/基础属性系数!$C$94-I7*D7/基础属性系数!$C$94/F7)/F7*2</f>
        <v>0.73042426250049508</v>
      </c>
      <c r="X7" s="81">
        <f>(E7/基础属性系数!$C$94-I7*E7/基础属性系数!$C$94/F7)/F7</f>
        <v>0.15954401592919717</v>
      </c>
      <c r="Y7" s="81">
        <f t="shared" si="0"/>
        <v>0.27893738140417462</v>
      </c>
      <c r="Z7" s="81">
        <f t="shared" si="1"/>
        <v>0.15627328452069905</v>
      </c>
      <c r="AA7" s="81">
        <f t="shared" si="16"/>
        <v>0.29451503621208658</v>
      </c>
      <c r="AB7" s="81">
        <f t="shared" si="2"/>
        <v>0.13673912395561166</v>
      </c>
      <c r="AC7" s="81">
        <f t="shared" si="3"/>
        <v>0.1754984175221169</v>
      </c>
      <c r="AD7" s="81">
        <f t="shared" si="4"/>
        <v>0.69390304937547032</v>
      </c>
      <c r="AE7" s="81">
        <f t="shared" si="5"/>
        <v>0.13561241353981762</v>
      </c>
      <c r="AF7" s="81">
        <f t="shared" si="17"/>
        <v>1.8714787065299767</v>
      </c>
      <c r="AM7" s="77" t="s">
        <v>243</v>
      </c>
      <c r="AN7" s="8">
        <v>0</v>
      </c>
      <c r="AO7" s="8">
        <v>0</v>
      </c>
      <c r="AQ7" s="448" t="s">
        <v>243</v>
      </c>
      <c r="AR7" s="228">
        <v>2.4</v>
      </c>
      <c r="AS7" s="228">
        <v>1</v>
      </c>
      <c r="AT7" s="448">
        <f>标准坦克设计!D18/AS7</f>
        <v>1</v>
      </c>
      <c r="AU7" s="448">
        <f t="shared" si="6"/>
        <v>0</v>
      </c>
      <c r="AV7" s="448">
        <f t="shared" si="7"/>
        <v>2.4</v>
      </c>
      <c r="AW7" s="8">
        <v>1</v>
      </c>
      <c r="AX7" s="448">
        <f t="shared" si="8"/>
        <v>2.4</v>
      </c>
      <c r="AZ7" s="77" t="s">
        <v>243</v>
      </c>
      <c r="BA7" s="8">
        <v>2</v>
      </c>
      <c r="BB7" s="81">
        <f t="shared" si="9"/>
        <v>1.2</v>
      </c>
      <c r="BC7" s="81">
        <f t="shared" si="18"/>
        <v>2.4</v>
      </c>
      <c r="BD7" s="81">
        <f t="shared" si="10"/>
        <v>1.7999999999999998</v>
      </c>
      <c r="BE7" s="81">
        <f t="shared" si="11"/>
        <v>1.2</v>
      </c>
      <c r="BM7" s="77" t="s">
        <v>243</v>
      </c>
      <c r="BN7" s="77">
        <f t="shared" si="19"/>
        <v>0.71</v>
      </c>
      <c r="BO7" s="448">
        <f t="shared" si="12"/>
        <v>3.11</v>
      </c>
      <c r="BP7" s="81">
        <f t="shared" si="20"/>
        <v>4.380281690140845</v>
      </c>
      <c r="BQ7" s="8">
        <v>5</v>
      </c>
      <c r="BR7" s="77">
        <f t="shared" si="21"/>
        <v>2.84</v>
      </c>
      <c r="BS7" s="86">
        <f>AJ25</f>
        <v>0.25533939591849686</v>
      </c>
      <c r="BT7" s="87">
        <f>TAN(RADIANS(BR7+BN7))*$AI$11*2/$AK$5</f>
        <v>1.2782677803938258</v>
      </c>
      <c r="BU7" s="81">
        <f t="shared" si="13"/>
        <v>2.84</v>
      </c>
      <c r="BV7" s="77">
        <f>BR7/基础属性系数!$C$18*3</f>
        <v>0.56799999999999995</v>
      </c>
      <c r="CQ7" s="84"/>
      <c r="CR7" s="84"/>
      <c r="CS7" s="10"/>
      <c r="CT7" s="88"/>
      <c r="CU7" s="84"/>
      <c r="CV7" s="10"/>
      <c r="CW7" s="88"/>
      <c r="CX7" s="84"/>
      <c r="CY7" s="88"/>
    </row>
    <row r="8" spans="2:112" x14ac:dyDescent="0.35">
      <c r="B8" s="77" t="s">
        <v>619</v>
      </c>
      <c r="C8" s="85" t="s">
        <v>211</v>
      </c>
      <c r="D8" s="9">
        <v>5.91</v>
      </c>
      <c r="E8" s="9">
        <v>2.67</v>
      </c>
      <c r="F8" s="77">
        <f t="shared" si="14"/>
        <v>6.49</v>
      </c>
      <c r="G8" s="228">
        <v>2.1</v>
      </c>
      <c r="H8" s="228">
        <v>1.8</v>
      </c>
      <c r="I8" s="442">
        <f t="shared" si="15"/>
        <v>2.77</v>
      </c>
      <c r="J8" s="87">
        <f>VLOOKUP(C8,基础属性系数!$B$97:$E$100,4,FALSE)*SQRT(VLOOKUP(C8,基础属性系数!$B$97:$E$100,2,FALSE)/F8)</f>
        <v>1.8276129857605512</v>
      </c>
      <c r="K8" s="457">
        <v>2</v>
      </c>
      <c r="L8" s="457">
        <v>1.55</v>
      </c>
      <c r="M8" s="457">
        <v>1.25</v>
      </c>
      <c r="N8" s="457">
        <v>1.25</v>
      </c>
      <c r="O8" s="457">
        <v>1.1000000000000001</v>
      </c>
      <c r="P8" s="457">
        <v>0.95</v>
      </c>
      <c r="Q8" s="457">
        <v>0.8</v>
      </c>
      <c r="R8" s="81">
        <f>基础属性系数!$E$61*2/F8</f>
        <v>0.10785824345146378</v>
      </c>
      <c r="S8" s="81">
        <f>(H8/基础属性系数!$C$94-H8/基础属性系数!$C$94/I8*基础属性系数!$E$61*2)/F8</f>
        <v>0.12953836226797127</v>
      </c>
      <c r="T8" s="81">
        <f>(G8/基础属性系数!$C$94-G8/基础属性系数!$C$94/I8*基础属性系数!$E$61*2)/F8*2</f>
        <v>0.30225617862526627</v>
      </c>
      <c r="U8" s="81">
        <f>(H8/基础属性系数!$C$94-H8/基础属性系数!$C$94/I8*基础属性系数!$E$61*2)/F8</f>
        <v>0.12953836226797127</v>
      </c>
      <c r="V8" s="81">
        <f>(E8/基础属性系数!$C$94-I8*E8/基础属性系数!$C$94/F8)/F8</f>
        <v>0.14738212872239145</v>
      </c>
      <c r="W8" s="81">
        <f>(D8/基础属性系数!$C$94-I8*D8/基础属性系数!$C$94/F8)/F8*2</f>
        <v>0.65245571591710372</v>
      </c>
      <c r="X8" s="81">
        <f>(E8/基础属性系数!$C$94-I8*E8/基础属性系数!$C$94/F8)/F8</f>
        <v>0.14738212872239145</v>
      </c>
      <c r="Y8" s="81">
        <f t="shared" si="0"/>
        <v>0.21571648690292755</v>
      </c>
      <c r="Z8" s="81">
        <f t="shared" si="1"/>
        <v>0.20078446151535548</v>
      </c>
      <c r="AA8" s="81">
        <f t="shared" si="16"/>
        <v>0.37782022328158282</v>
      </c>
      <c r="AB8" s="81">
        <f t="shared" si="2"/>
        <v>0.16192295283496411</v>
      </c>
      <c r="AC8" s="81">
        <f t="shared" si="3"/>
        <v>0.16212034159463062</v>
      </c>
      <c r="AD8" s="81">
        <f t="shared" si="4"/>
        <v>0.61983293012124852</v>
      </c>
      <c r="AE8" s="81">
        <f t="shared" si="5"/>
        <v>0.11790570297791317</v>
      </c>
      <c r="AF8" s="81">
        <f t="shared" si="17"/>
        <v>1.8561030992286223</v>
      </c>
      <c r="AH8" s="787" t="s">
        <v>27</v>
      </c>
      <c r="AI8" s="787"/>
      <c r="AJ8" s="787"/>
      <c r="AK8" s="787"/>
      <c r="AM8" s="77" t="s">
        <v>244</v>
      </c>
      <c r="AN8" s="8">
        <v>0.4</v>
      </c>
      <c r="AO8" s="8">
        <v>1.2</v>
      </c>
      <c r="AQ8" s="448" t="s">
        <v>244</v>
      </c>
      <c r="AR8" s="228">
        <v>2.4</v>
      </c>
      <c r="AS8" s="228">
        <v>2</v>
      </c>
      <c r="AT8" s="448">
        <f>标准坦克设计!D17/AS8</f>
        <v>2</v>
      </c>
      <c r="AU8" s="448">
        <f t="shared" si="6"/>
        <v>0.8</v>
      </c>
      <c r="AV8" s="448">
        <f t="shared" si="7"/>
        <v>1.68</v>
      </c>
      <c r="AW8" s="8">
        <v>1.2</v>
      </c>
      <c r="AX8" s="448">
        <f t="shared" si="8"/>
        <v>2</v>
      </c>
      <c r="AZ8" s="77" t="s">
        <v>244</v>
      </c>
      <c r="BA8" s="8">
        <v>1</v>
      </c>
      <c r="BB8" s="81">
        <f t="shared" si="9"/>
        <v>1.2</v>
      </c>
      <c r="BC8" s="81">
        <f t="shared" si="18"/>
        <v>1.2</v>
      </c>
      <c r="BD8" s="81">
        <f t="shared" si="10"/>
        <v>0.89999999999999991</v>
      </c>
      <c r="BE8" s="81">
        <f t="shared" si="11"/>
        <v>0.6</v>
      </c>
      <c r="BM8" s="77" t="s">
        <v>244</v>
      </c>
      <c r="BN8" s="77">
        <f t="shared" si="19"/>
        <v>0.71</v>
      </c>
      <c r="BO8" s="448">
        <f t="shared" si="12"/>
        <v>2.3899999999999997</v>
      </c>
      <c r="BP8" s="81">
        <f t="shared" si="20"/>
        <v>3.3661971830985911</v>
      </c>
      <c r="BQ8" s="8">
        <v>3</v>
      </c>
      <c r="BR8" s="77">
        <f t="shared" si="21"/>
        <v>1.42</v>
      </c>
      <c r="BS8" s="86">
        <f>AJ25</f>
        <v>0.25533939591849686</v>
      </c>
      <c r="BT8" s="87">
        <f>TAN(RADIANS(BR8+BN8))*$AI$11*2/$AK$5</f>
        <v>0.76633203899024205</v>
      </c>
      <c r="BU8" s="81">
        <f t="shared" si="13"/>
        <v>1.1833333333333333</v>
      </c>
      <c r="BV8" s="77">
        <f>BR8/基础属性系数!$C$18*3</f>
        <v>0.28399999999999997</v>
      </c>
      <c r="BZ8" s="793" t="s">
        <v>687</v>
      </c>
      <c r="CA8" s="787"/>
      <c r="CB8" s="787"/>
      <c r="CC8" s="787"/>
      <c r="CD8" s="787"/>
      <c r="CE8" s="787"/>
      <c r="CF8" s="787"/>
      <c r="CG8" s="84"/>
      <c r="CH8" s="84"/>
      <c r="CI8" s="84"/>
      <c r="CJ8" s="84"/>
      <c r="CK8" s="84"/>
      <c r="CL8" s="84"/>
      <c r="CM8" s="84"/>
      <c r="CN8" s="84"/>
      <c r="CO8" s="84"/>
      <c r="CQ8" s="787" t="s">
        <v>413</v>
      </c>
      <c r="CR8" s="787"/>
      <c r="CS8" s="787"/>
      <c r="CT8" s="787"/>
      <c r="CU8" s="787"/>
      <c r="CV8" s="795" t="s">
        <v>490</v>
      </c>
      <c r="CW8" s="795"/>
      <c r="CX8" s="795"/>
      <c r="CY8" s="795"/>
      <c r="DE8" s="792" t="s">
        <v>340</v>
      </c>
      <c r="DF8" s="789"/>
      <c r="DG8" s="789"/>
      <c r="DH8" s="790"/>
    </row>
    <row r="9" spans="2:112" x14ac:dyDescent="0.35">
      <c r="B9" s="77" t="s">
        <v>716</v>
      </c>
      <c r="C9" s="85" t="s">
        <v>211</v>
      </c>
      <c r="D9" s="9">
        <v>4.9400000000000004</v>
      </c>
      <c r="E9" s="9">
        <v>2.54</v>
      </c>
      <c r="F9" s="77">
        <f t="shared" si="14"/>
        <v>5.55</v>
      </c>
      <c r="G9" s="228">
        <v>2.1</v>
      </c>
      <c r="H9" s="228">
        <v>1.8</v>
      </c>
      <c r="I9" s="442">
        <f t="shared" si="15"/>
        <v>2.77</v>
      </c>
      <c r="J9" s="87">
        <f>VLOOKUP(C9,基础属性系数!$B$97:$E$100,4,FALSE)*SQRT(VLOOKUP(C9,基础属性系数!$B$97:$E$100,2,FALSE)/F9)</f>
        <v>1.976332861910632</v>
      </c>
      <c r="K9" s="457">
        <v>1.9</v>
      </c>
      <c r="L9" s="457">
        <v>1.55</v>
      </c>
      <c r="M9" s="457">
        <v>1.25</v>
      </c>
      <c r="N9" s="457">
        <v>1.25</v>
      </c>
      <c r="O9" s="457">
        <v>1.1000000000000001</v>
      </c>
      <c r="P9" s="457">
        <v>0.89999999999999991</v>
      </c>
      <c r="Q9" s="457">
        <v>0.75</v>
      </c>
      <c r="R9" s="81">
        <f>基础属性系数!$E$61*2/F9</f>
        <v>0.12612612612612611</v>
      </c>
      <c r="S9" s="81">
        <f>(H9/基础属性系数!$C$94-H9/基础属性系数!$C$94/I9*基础属性系数!$E$61*2)/F9</f>
        <v>0.15147819299443849</v>
      </c>
      <c r="T9" s="81">
        <f>(G9/基础属性系数!$C$94-G9/基础属性系数!$C$94/I9*基础属性系数!$E$61*2)/F9*2</f>
        <v>0.35344911698702314</v>
      </c>
      <c r="U9" s="81">
        <f>(H9/基础属性系数!$C$94-H9/基础属性系数!$C$94/I9*基础属性系数!$E$61*2)/F9</f>
        <v>0.15147819299443849</v>
      </c>
      <c r="V9" s="81">
        <f>(E9/基础属性系数!$C$94-I9*E9/基础属性系数!$C$94/F9)/F9</f>
        <v>0.14327570814057303</v>
      </c>
      <c r="W9" s="81">
        <f>(D9/基础属性系数!$C$94-I9*D9/基础属性系数!$C$94/F9)/F9*2</f>
        <v>0.5573086600113627</v>
      </c>
      <c r="X9" s="81">
        <f>(E9/基础属性系数!$C$94-I9*E9/基础属性系数!$C$94/F9)/F9</f>
        <v>0.14327570814057303</v>
      </c>
      <c r="Y9" s="81">
        <f t="shared" si="0"/>
        <v>0.23963963963963961</v>
      </c>
      <c r="Z9" s="81">
        <f t="shared" si="1"/>
        <v>0.23479119914137966</v>
      </c>
      <c r="AA9" s="81">
        <f t="shared" si="16"/>
        <v>0.44181139623377891</v>
      </c>
      <c r="AB9" s="81">
        <f t="shared" si="2"/>
        <v>0.1893477412430481</v>
      </c>
      <c r="AC9" s="81">
        <f t="shared" si="3"/>
        <v>0.15760327895463033</v>
      </c>
      <c r="AD9" s="81">
        <f t="shared" si="4"/>
        <v>0.5015777940102264</v>
      </c>
      <c r="AE9" s="81">
        <f t="shared" si="5"/>
        <v>0.10745678110542978</v>
      </c>
      <c r="AF9" s="81">
        <f t="shared" si="17"/>
        <v>1.872227830328133</v>
      </c>
      <c r="AH9" s="77" t="s">
        <v>23</v>
      </c>
      <c r="AI9" s="77" t="s">
        <v>3</v>
      </c>
      <c r="AJ9" s="77" t="s">
        <v>28</v>
      </c>
      <c r="AK9" s="77" t="s">
        <v>29</v>
      </c>
      <c r="AM9" s="77" t="s">
        <v>245</v>
      </c>
      <c r="AN9" s="8">
        <v>0</v>
      </c>
      <c r="AO9" s="8">
        <v>0</v>
      </c>
      <c r="AQ9" s="448" t="s">
        <v>245</v>
      </c>
      <c r="AR9" s="228">
        <v>3</v>
      </c>
      <c r="AS9" s="228">
        <v>1</v>
      </c>
      <c r="AT9" s="448">
        <f>标准坦克设计!D20/AS9</f>
        <v>1</v>
      </c>
      <c r="AU9" s="448">
        <f t="shared" si="6"/>
        <v>0</v>
      </c>
      <c r="AV9" s="448">
        <f t="shared" si="7"/>
        <v>3</v>
      </c>
      <c r="AW9" s="8">
        <v>1</v>
      </c>
      <c r="AX9" s="448">
        <f t="shared" si="8"/>
        <v>3</v>
      </c>
      <c r="AZ9" s="77" t="s">
        <v>245</v>
      </c>
      <c r="BA9" s="8">
        <v>2.5</v>
      </c>
      <c r="BB9" s="81">
        <f t="shared" si="9"/>
        <v>1.2</v>
      </c>
      <c r="BC9" s="81">
        <f t="shared" si="18"/>
        <v>3</v>
      </c>
      <c r="BD9" s="81">
        <f t="shared" si="10"/>
        <v>2.25</v>
      </c>
      <c r="BE9" s="81">
        <f t="shared" si="11"/>
        <v>1.5</v>
      </c>
      <c r="BM9" s="77" t="s">
        <v>245</v>
      </c>
      <c r="BN9" s="77">
        <f t="shared" si="19"/>
        <v>0.64</v>
      </c>
      <c r="BO9" s="448">
        <f t="shared" si="12"/>
        <v>3.64</v>
      </c>
      <c r="BP9" s="81">
        <f t="shared" si="20"/>
        <v>5.6875</v>
      </c>
      <c r="BQ9" s="8">
        <v>6</v>
      </c>
      <c r="BR9" s="77">
        <f t="shared" si="21"/>
        <v>3.2</v>
      </c>
      <c r="BS9" s="86">
        <f>AK26</f>
        <v>0.2614698211958108</v>
      </c>
      <c r="BT9" s="87">
        <f>TAN(RADIANS(BR9+BN9))*$AI$12*2/$AK$6</f>
        <v>1.5711067317511984</v>
      </c>
      <c r="BU9" s="81">
        <f t="shared" si="13"/>
        <v>3.2</v>
      </c>
      <c r="BV9" s="77">
        <f>BR9/基础属性系数!$C$18*3</f>
        <v>0.64</v>
      </c>
      <c r="BZ9" s="77" t="s">
        <v>251</v>
      </c>
      <c r="CA9" s="77" t="s">
        <v>297</v>
      </c>
      <c r="CB9" s="77" t="s">
        <v>298</v>
      </c>
      <c r="CC9" s="77" t="s">
        <v>302</v>
      </c>
      <c r="CD9" s="77" t="s">
        <v>301</v>
      </c>
      <c r="CE9" s="77" t="s">
        <v>299</v>
      </c>
      <c r="CF9" s="77" t="s">
        <v>300</v>
      </c>
      <c r="CG9" s="84"/>
      <c r="CH9" s="84"/>
      <c r="CI9" s="84"/>
      <c r="CJ9" s="84"/>
      <c r="CK9" s="84"/>
      <c r="CL9" s="84"/>
      <c r="CM9" s="84"/>
      <c r="CN9" s="84"/>
      <c r="CO9" s="84"/>
      <c r="CQ9" s="77" t="s">
        <v>4</v>
      </c>
      <c r="CR9" s="91" t="s">
        <v>677</v>
      </c>
      <c r="CS9" s="77" t="s">
        <v>410</v>
      </c>
      <c r="CT9" s="81" t="s">
        <v>411</v>
      </c>
      <c r="CU9" s="77" t="s">
        <v>412</v>
      </c>
      <c r="CV9" s="77" t="s">
        <v>489</v>
      </c>
      <c r="CW9" s="77" t="s">
        <v>410</v>
      </c>
      <c r="CX9" s="81" t="s">
        <v>411</v>
      </c>
      <c r="CY9" s="77" t="s">
        <v>412</v>
      </c>
      <c r="DE9" s="77" t="s">
        <v>210</v>
      </c>
      <c r="DF9" s="77" t="s">
        <v>341</v>
      </c>
      <c r="DG9" s="77" t="s">
        <v>342</v>
      </c>
      <c r="DH9" s="77" t="s">
        <v>343</v>
      </c>
    </row>
    <row r="10" spans="2:112" x14ac:dyDescent="0.35">
      <c r="B10" s="77" t="s">
        <v>620</v>
      </c>
      <c r="C10" s="85" t="s">
        <v>211</v>
      </c>
      <c r="D10" s="9">
        <v>4.8</v>
      </c>
      <c r="E10" s="9">
        <v>2.94</v>
      </c>
      <c r="F10" s="77">
        <f t="shared" si="14"/>
        <v>5.63</v>
      </c>
      <c r="G10" s="228">
        <v>2.1</v>
      </c>
      <c r="H10" s="228">
        <v>1.6</v>
      </c>
      <c r="I10" s="442">
        <f t="shared" si="15"/>
        <v>2.64</v>
      </c>
      <c r="J10" s="87">
        <f>VLOOKUP(C10,基础属性系数!$B$97:$E$100,4,FALSE)*SQRT(VLOOKUP(C10,基础属性系数!$B$97:$E$100,2,FALSE)/F10)</f>
        <v>1.9622411822602748</v>
      </c>
      <c r="K10" s="457">
        <v>1.85</v>
      </c>
      <c r="L10" s="457">
        <v>1.45</v>
      </c>
      <c r="M10" s="457">
        <v>1.1500000000000001</v>
      </c>
      <c r="N10" s="457">
        <v>1.1500000000000001</v>
      </c>
      <c r="O10" s="457">
        <v>1.05</v>
      </c>
      <c r="P10" s="457">
        <v>0.89999999999999991</v>
      </c>
      <c r="Q10" s="457">
        <v>0.75</v>
      </c>
      <c r="R10" s="81">
        <v>0.15</v>
      </c>
      <c r="S10" s="81">
        <f>(H10/基础属性系数!$C$94-H10/基础属性系数!$C$94/I10*基础属性系数!$E$61*2)/F10</f>
        <v>0.13052370956456213</v>
      </c>
      <c r="T10" s="81">
        <f>(G10/基础属性系数!$C$94-G10/基础属性系数!$C$94/I10*基础属性系数!$E$61*2)/F10*2</f>
        <v>0.34262473760697565</v>
      </c>
      <c r="U10" s="81">
        <f>(H10/基础属性系数!$C$94-H10/基础属性系数!$C$94/I10*基础属性系数!$E$61*2)/F10</f>
        <v>0.13052370956456213</v>
      </c>
      <c r="V10" s="81">
        <v>0.2</v>
      </c>
      <c r="W10" s="81">
        <v>0.55000000000000004</v>
      </c>
      <c r="X10" s="81">
        <v>0.2</v>
      </c>
      <c r="Y10" s="81">
        <f t="shared" si="0"/>
        <v>0.27750000000000002</v>
      </c>
      <c r="Z10" s="81">
        <f t="shared" si="1"/>
        <v>0.1892593788686151</v>
      </c>
      <c r="AA10" s="81">
        <f t="shared" si="16"/>
        <v>0.39401844824802207</v>
      </c>
      <c r="AB10" s="81">
        <f t="shared" si="2"/>
        <v>0.15010226599924648</v>
      </c>
      <c r="AC10" s="81">
        <f t="shared" si="3"/>
        <v>0.21000000000000002</v>
      </c>
      <c r="AD10" s="81">
        <f t="shared" si="4"/>
        <v>0.495</v>
      </c>
      <c r="AE10" s="81">
        <f t="shared" si="5"/>
        <v>0.15000000000000002</v>
      </c>
      <c r="AF10" s="81">
        <f t="shared" si="17"/>
        <v>1.8658800931158837</v>
      </c>
      <c r="AH10" s="77" t="s">
        <v>24</v>
      </c>
      <c r="AI10" s="77">
        <f>基础属性系数!C24</f>
        <v>60</v>
      </c>
      <c r="AJ10" s="77">
        <f>基础属性系数!D24</f>
        <v>40</v>
      </c>
      <c r="AK10" s="77">
        <f>基础属性系数!E24</f>
        <v>100</v>
      </c>
      <c r="AM10" s="77" t="s">
        <v>409</v>
      </c>
      <c r="AN10" s="8">
        <v>1.6</v>
      </c>
      <c r="AO10" s="8">
        <v>2</v>
      </c>
      <c r="AQ10" s="448" t="s">
        <v>409</v>
      </c>
      <c r="AR10" s="228">
        <v>3</v>
      </c>
      <c r="AS10" s="228">
        <v>2</v>
      </c>
      <c r="AT10" s="448">
        <f>标准坦克设计!D19/AS10</f>
        <v>1</v>
      </c>
      <c r="AU10" s="448">
        <f t="shared" si="6"/>
        <v>1.8</v>
      </c>
      <c r="AV10" s="448">
        <f t="shared" si="7"/>
        <v>2.58</v>
      </c>
      <c r="AW10" s="8">
        <v>1.2</v>
      </c>
      <c r="AX10" s="448">
        <f t="shared" si="8"/>
        <v>2.5</v>
      </c>
      <c r="AZ10" s="77" t="s">
        <v>409</v>
      </c>
      <c r="BA10" s="8">
        <v>1.5</v>
      </c>
      <c r="BB10" s="81">
        <f t="shared" si="9"/>
        <v>1.2</v>
      </c>
      <c r="BC10" s="81">
        <f t="shared" si="18"/>
        <v>1.7999999999999998</v>
      </c>
      <c r="BD10" s="81">
        <f t="shared" si="10"/>
        <v>1.3499999999999999</v>
      </c>
      <c r="BE10" s="81">
        <f t="shared" si="11"/>
        <v>0.89999999999999991</v>
      </c>
      <c r="BM10" s="77" t="s">
        <v>409</v>
      </c>
      <c r="BN10" s="77">
        <f t="shared" si="19"/>
        <v>0.64</v>
      </c>
      <c r="BO10" s="448">
        <f t="shared" si="12"/>
        <v>3.22</v>
      </c>
      <c r="BP10" s="81">
        <f t="shared" si="20"/>
        <v>5.03125</v>
      </c>
      <c r="BQ10" s="8">
        <v>4</v>
      </c>
      <c r="BR10" s="77">
        <f t="shared" si="21"/>
        <v>1.92</v>
      </c>
      <c r="BS10" s="86">
        <f>AK26</f>
        <v>0.2614698211958108</v>
      </c>
      <c r="BT10" s="87">
        <f>TAN(RADIANS(BR10+BN10))*$AI$12*2/$AK$6</f>
        <v>1.0465322902291301</v>
      </c>
      <c r="BU10" s="81">
        <f t="shared" si="13"/>
        <v>1.6</v>
      </c>
      <c r="BV10" s="77">
        <f>BR10/基础属性系数!$C$18*3</f>
        <v>0.38400000000000001</v>
      </c>
      <c r="BZ10" s="77" t="s">
        <v>289</v>
      </c>
      <c r="CA10" s="8">
        <v>14.6</v>
      </c>
      <c r="CB10" s="8">
        <v>18.600000000000001</v>
      </c>
      <c r="CC10" s="8">
        <v>0.7</v>
      </c>
      <c r="CD10" s="81">
        <f>AVERAGE(CA10:CB10)/CC10</f>
        <v>23.714285714285719</v>
      </c>
      <c r="CE10" s="81">
        <f>(CB4-CA10/CD10*CA10/2)/CA10+CA10/CD10</f>
        <v>14.006461462287506</v>
      </c>
      <c r="CF10" s="81">
        <f>(CB4-CB10/CD10*CB10/2)/CB10+CB10/CD10</f>
        <v>11.144856846741806</v>
      </c>
      <c r="CG10" s="88"/>
      <c r="CH10" s="88"/>
      <c r="CI10" s="88"/>
      <c r="CJ10" s="88"/>
      <c r="CK10" s="88"/>
      <c r="CL10" s="88"/>
      <c r="CM10" s="88"/>
      <c r="CN10" s="82"/>
      <c r="CO10" s="88"/>
      <c r="CQ10" s="77" t="s">
        <v>24</v>
      </c>
      <c r="CR10" s="81">
        <f>CT4</f>
        <v>14.729789983154914</v>
      </c>
      <c r="CS10" s="41">
        <f>$CC$4/(2*PI()*$CR10/360)</f>
        <v>64.829821717990285</v>
      </c>
      <c r="CT10" s="81">
        <f>$CC$5/(2*PI()*$CR10/360)</f>
        <v>55.568418615420242</v>
      </c>
      <c r="CU10" s="81">
        <f>$CC$6/(2*PI()*$CR10/360)</f>
        <v>48.622366288492707</v>
      </c>
      <c r="CV10" s="81">
        <f>CW4</f>
        <v>58.919159932619657</v>
      </c>
      <c r="CW10" s="41">
        <f>$CC$4/(2*PI()*$CV10/360)</f>
        <v>16.207455429497571</v>
      </c>
      <c r="CX10" s="81">
        <f>$CC$5/(2*PI()*$CV10/360)</f>
        <v>13.892104653855061</v>
      </c>
      <c r="CY10" s="81">
        <f>$CC$6/(2*PI()*$CV10/360)</f>
        <v>12.155591572123177</v>
      </c>
      <c r="DE10" s="77" t="s">
        <v>211</v>
      </c>
      <c r="DF10" s="8">
        <v>1</v>
      </c>
      <c r="DG10" s="8">
        <v>1</v>
      </c>
      <c r="DH10" s="8">
        <v>1</v>
      </c>
    </row>
    <row r="11" spans="2:112" x14ac:dyDescent="0.35">
      <c r="B11" s="77" t="s">
        <v>717</v>
      </c>
      <c r="C11" s="85" t="s">
        <v>211</v>
      </c>
      <c r="D11" s="9">
        <v>5.61</v>
      </c>
      <c r="E11" s="9">
        <v>3.21</v>
      </c>
      <c r="F11" s="77">
        <f t="shared" si="14"/>
        <v>6.46</v>
      </c>
      <c r="G11" s="228">
        <v>3.2</v>
      </c>
      <c r="H11" s="228">
        <v>1.7</v>
      </c>
      <c r="I11" s="442">
        <f t="shared" si="15"/>
        <v>3.62</v>
      </c>
      <c r="J11" s="87">
        <f>VLOOKUP(C11,基础属性系数!$B$97:$E$100,4,FALSE)*SQRT(VLOOKUP(C11,基础属性系数!$B$97:$E$100,2,FALSE)/F11)</f>
        <v>1.8318517536940233</v>
      </c>
      <c r="K11" s="457">
        <v>1.85</v>
      </c>
      <c r="L11" s="457">
        <v>1.35</v>
      </c>
      <c r="M11" s="457">
        <v>1.2</v>
      </c>
      <c r="N11" s="457">
        <v>1.2</v>
      </c>
      <c r="O11" s="457">
        <v>1.1500000000000001</v>
      </c>
      <c r="P11" s="457">
        <v>0.95</v>
      </c>
      <c r="Q11" s="457">
        <v>0.89999999999999991</v>
      </c>
      <c r="R11" s="81">
        <f>基础属性系数!$E$61*2/F11</f>
        <v>0.10835913312693497</v>
      </c>
      <c r="S11" s="81">
        <f>(H11/基础属性系数!$C$94-H11/基础属性系数!$C$94/I11*基础属性系数!$E$61*2)/F11</f>
        <v>0.13266938063390521</v>
      </c>
      <c r="T11" s="81">
        <f>(G11/基础属性系数!$C$94-G11/基础属性系数!$C$94/I11*基础属性系数!$E$61*2)/F11*2</f>
        <v>0.49946119768058428</v>
      </c>
      <c r="U11" s="81">
        <f>(H11/基础属性系数!$C$94-H11/基础属性系数!$C$94/I11*基础属性系数!$E$61*2)/F11</f>
        <v>0.13266938063390521</v>
      </c>
      <c r="V11" s="81">
        <f>(E11/基础属性系数!$C$94-I11*E11/基础属性系数!$C$94/F11)/F11</f>
        <v>0.13653322661963591</v>
      </c>
      <c r="W11" s="81">
        <f>(D11/基础属性系数!$C$94-I11*D11/基础属性系数!$C$94/F11)/F11*2</f>
        <v>0.47722828743685836</v>
      </c>
      <c r="X11" s="81">
        <f>(E11/基础属性系数!$C$94-I11*E11/基础属性系数!$C$94/F11)/F11</f>
        <v>0.13653322661963591</v>
      </c>
      <c r="Y11" s="81">
        <f t="shared" si="0"/>
        <v>0.2004643962848297</v>
      </c>
      <c r="Z11" s="81">
        <f t="shared" si="1"/>
        <v>0.17910366385577203</v>
      </c>
      <c r="AA11" s="81">
        <f t="shared" si="16"/>
        <v>0.59935343721670109</v>
      </c>
      <c r="AB11" s="81">
        <f t="shared" si="2"/>
        <v>0.15920325676068625</v>
      </c>
      <c r="AC11" s="81">
        <f t="shared" si="3"/>
        <v>0.15701321061258131</v>
      </c>
      <c r="AD11" s="81">
        <f t="shared" si="4"/>
        <v>0.45336687306501544</v>
      </c>
      <c r="AE11" s="81">
        <f t="shared" si="5"/>
        <v>0.1228799039576723</v>
      </c>
      <c r="AF11" s="81">
        <f t="shared" si="17"/>
        <v>1.8713847417532581</v>
      </c>
      <c r="AH11" s="77" t="s">
        <v>7</v>
      </c>
      <c r="AI11" s="77">
        <f>基础属性系数!C25</f>
        <v>75</v>
      </c>
      <c r="AJ11" s="77">
        <f>基础属性系数!D25</f>
        <v>55</v>
      </c>
      <c r="AK11" s="77">
        <f>基础属性系数!E25</f>
        <v>105</v>
      </c>
      <c r="BZ11" s="77" t="s">
        <v>290</v>
      </c>
      <c r="CA11" s="8">
        <v>12.3</v>
      </c>
      <c r="CB11" s="8">
        <v>16.3</v>
      </c>
      <c r="CC11" s="8">
        <v>1.4</v>
      </c>
      <c r="CD11" s="81">
        <f>AVERAGE(CA11:CB11)/CC11</f>
        <v>10.214285714285715</v>
      </c>
      <c r="CE11" s="81">
        <f>(CB5-CA11/CD11*CA11/2)/CA11+CA11/CD11</f>
        <v>16.862260503723917</v>
      </c>
      <c r="CF11" s="81">
        <f>(CB5-CB11/CD11*CB11/2)/CB11+CB11/CD11</f>
        <v>13.067840748208846</v>
      </c>
      <c r="CG11" s="88"/>
      <c r="CH11" s="88"/>
      <c r="CI11" s="88"/>
      <c r="CJ11" s="88"/>
      <c r="CK11" s="88"/>
      <c r="CL11" s="88"/>
      <c r="CM11" s="88"/>
      <c r="CN11" s="82"/>
      <c r="CO11" s="88"/>
      <c r="CQ11" s="77" t="s">
        <v>25</v>
      </c>
      <c r="CR11" s="81">
        <f>CT5</f>
        <v>13.903775828507978</v>
      </c>
      <c r="CS11" s="41">
        <f>$CC$4/(2*PI()*$CR11/360)</f>
        <v>68.681318681318672</v>
      </c>
      <c r="CT11" s="81">
        <f>$CC$5/(2*PI()*$CR11/360)</f>
        <v>58.869701726844582</v>
      </c>
      <c r="CU11" s="81">
        <f>$CC$6/(2*PI()*$CR11/360)</f>
        <v>51.510989010989007</v>
      </c>
      <c r="CV11" s="81">
        <f>CW5</f>
        <v>55.615103314031913</v>
      </c>
      <c r="CW11" s="41">
        <f>$CC$4/(2*PI()*$CV11/360)</f>
        <v>17.170329670329668</v>
      </c>
      <c r="CX11" s="81">
        <f>$CC$5/(2*PI()*$CV11/360)</f>
        <v>14.717425431711145</v>
      </c>
      <c r="CY11" s="81">
        <f>$CC$6/(2*PI()*$CV11/360)</f>
        <v>12.877747252747252</v>
      </c>
      <c r="DE11" s="77" t="s">
        <v>228</v>
      </c>
      <c r="DF11" s="8">
        <v>0.9</v>
      </c>
      <c r="DG11" s="8">
        <v>0.9</v>
      </c>
      <c r="DH11" s="8">
        <v>0.9</v>
      </c>
    </row>
    <row r="12" spans="2:112" x14ac:dyDescent="0.35">
      <c r="B12" s="77" t="s">
        <v>621</v>
      </c>
      <c r="C12" s="85" t="s">
        <v>211</v>
      </c>
      <c r="D12" s="9">
        <v>6.99</v>
      </c>
      <c r="E12" s="9">
        <v>3.24</v>
      </c>
      <c r="F12" s="77">
        <f t="shared" si="14"/>
        <v>7.7</v>
      </c>
      <c r="G12" s="228">
        <v>1.8</v>
      </c>
      <c r="H12" s="228">
        <v>1.8</v>
      </c>
      <c r="I12" s="442">
        <f t="shared" si="15"/>
        <v>2.5499999999999998</v>
      </c>
      <c r="J12" s="87">
        <f>VLOOKUP(C12,基础属性系数!$B$97:$E$100,4,FALSE)*SQRT(VLOOKUP(C12,基础属性系数!$B$97:$E$100,2,FALSE)/F12)</f>
        <v>1.6778812503422931</v>
      </c>
      <c r="K12" s="457">
        <v>2.15</v>
      </c>
      <c r="L12" s="457">
        <v>1.6500000000000001</v>
      </c>
      <c r="M12" s="457">
        <v>1.25</v>
      </c>
      <c r="N12" s="457">
        <v>1.25</v>
      </c>
      <c r="O12" s="457">
        <v>1.1500000000000001</v>
      </c>
      <c r="P12" s="457">
        <v>1</v>
      </c>
      <c r="Q12" s="457">
        <v>0.95</v>
      </c>
      <c r="R12" s="81">
        <f>基础属性系数!$E$61*2/F12</f>
        <v>9.0909090909090898E-2</v>
      </c>
      <c r="S12" s="81">
        <f>(H12/基础属性系数!$C$94-H12/基础属性系数!$C$94/I12*基础属性系数!$E$61*2)/F12</f>
        <v>0.10599694423223835</v>
      </c>
      <c r="T12" s="81">
        <f>(G12/基础属性系数!$C$94-G12/基础属性系数!$C$94/I12*基础属性系数!$E$61*2)/F12*2</f>
        <v>0.2119938884644767</v>
      </c>
      <c r="U12" s="81">
        <f>(H12/基础属性系数!$C$94-H12/基础属性系数!$C$94/I12*基础属性系数!$E$61*2)/F12</f>
        <v>0.10599694423223835</v>
      </c>
      <c r="V12" s="81">
        <f>(E12/基础属性系数!$C$94-I12*E12/基础属性系数!$C$94/F12)/F12</f>
        <v>0.17589391128352166</v>
      </c>
      <c r="W12" s="81">
        <f>(D12/基础属性系数!$C$94-I12*D12/基础属性系数!$C$94/F12)/F12*2</f>
        <v>0.75894965424186189</v>
      </c>
      <c r="X12" s="81">
        <f>(E12/基础属性系数!$C$94-I12*E12/基础属性系数!$C$94/F12)/F12</f>
        <v>0.17589391128352166</v>
      </c>
      <c r="Y12" s="81">
        <f t="shared" si="0"/>
        <v>0.19545454545454541</v>
      </c>
      <c r="Z12" s="81">
        <f t="shared" si="1"/>
        <v>0.17489495798319329</v>
      </c>
      <c r="AA12" s="81">
        <f t="shared" si="16"/>
        <v>0.26499236058059589</v>
      </c>
      <c r="AB12" s="81">
        <f t="shared" si="2"/>
        <v>0.13249618029029794</v>
      </c>
      <c r="AC12" s="81">
        <f t="shared" si="3"/>
        <v>0.20227799797604995</v>
      </c>
      <c r="AD12" s="81">
        <f t="shared" si="4"/>
        <v>0.75894965424186189</v>
      </c>
      <c r="AE12" s="81">
        <f t="shared" si="5"/>
        <v>0.16709921571934558</v>
      </c>
      <c r="AF12" s="81">
        <f t="shared" si="17"/>
        <v>1.8961649122458899</v>
      </c>
      <c r="AH12" s="77" t="s">
        <v>26</v>
      </c>
      <c r="AI12" s="77">
        <f>基础属性系数!C26</f>
        <v>90</v>
      </c>
      <c r="AJ12" s="77">
        <f>基础属性系数!D26</f>
        <v>70</v>
      </c>
      <c r="AK12" s="77">
        <f>基础属性系数!E26</f>
        <v>110</v>
      </c>
      <c r="AZ12" s="787" t="s">
        <v>258</v>
      </c>
      <c r="BA12" s="787"/>
      <c r="BB12" s="787"/>
      <c r="BC12" s="787"/>
      <c r="BD12" s="787"/>
      <c r="BE12" s="787"/>
      <c r="BF12" s="787"/>
      <c r="BG12" s="787"/>
      <c r="BM12" s="787" t="s">
        <v>276</v>
      </c>
      <c r="BN12" s="787"/>
      <c r="BO12" s="787"/>
      <c r="BP12" s="787"/>
      <c r="BQ12" s="787"/>
      <c r="BR12" s="787"/>
      <c r="BS12" s="787"/>
      <c r="BT12" s="787"/>
      <c r="BU12" s="787"/>
      <c r="BV12" s="787"/>
      <c r="BZ12" s="77" t="s">
        <v>291</v>
      </c>
      <c r="CA12" s="8">
        <v>10.5</v>
      </c>
      <c r="CB12" s="8">
        <v>14.5</v>
      </c>
      <c r="CC12" s="8">
        <v>2.1</v>
      </c>
      <c r="CD12" s="81">
        <f>AVERAGE(CA12:CB12)/CC12</f>
        <v>5.9523809523809526</v>
      </c>
      <c r="CE12" s="81">
        <f>(CB6-CA12/CD12*CA12/2)/CA12+CA12/CD12</f>
        <v>19.929619047619049</v>
      </c>
      <c r="CF12" s="81">
        <f>(CB6-CB12/CD12*CB12/2)/CB12+CB12/CD12</f>
        <v>15.011103448275861</v>
      </c>
      <c r="CG12" s="88"/>
      <c r="CH12" s="88"/>
      <c r="CI12" s="88"/>
      <c r="CJ12" s="88"/>
      <c r="CK12" s="88"/>
      <c r="CL12" s="88"/>
      <c r="CM12" s="88"/>
      <c r="CN12" s="82"/>
      <c r="CO12" s="88"/>
      <c r="CQ12" s="77" t="s">
        <v>6</v>
      </c>
      <c r="CR12" s="81">
        <f>CT6</f>
        <v>12.239015123766752</v>
      </c>
      <c r="CS12" s="41">
        <f>$CC$4/(2*PI()*$CR12/360)</f>
        <v>78.023407022106625</v>
      </c>
      <c r="CT12" s="81">
        <f>$CC$5/(2*PI()*$CR12/360)</f>
        <v>66.877206018948542</v>
      </c>
      <c r="CU12" s="81">
        <f>$CC$6/(2*PI()*$CR12/360)</f>
        <v>58.517555266579969</v>
      </c>
      <c r="CV12" s="81">
        <f>CW6</f>
        <v>48.956060495067007</v>
      </c>
      <c r="CW12" s="41">
        <f>$CC$4/(2*PI()*$CV12/360)</f>
        <v>19.505851755526656</v>
      </c>
      <c r="CX12" s="81">
        <f>$CC$5/(2*PI()*$CV12/360)</f>
        <v>16.719301504737135</v>
      </c>
      <c r="CY12" s="81">
        <f>$CC$6/(2*PI()*$CV12/360)</f>
        <v>14.629388816644992</v>
      </c>
      <c r="DE12" s="77" t="s">
        <v>212</v>
      </c>
      <c r="DF12" s="8">
        <v>0.8</v>
      </c>
      <c r="DG12" s="8">
        <v>0.8</v>
      </c>
      <c r="DH12" s="8">
        <v>0.8</v>
      </c>
    </row>
    <row r="13" spans="2:112" x14ac:dyDescent="0.35">
      <c r="B13" s="77" t="s">
        <v>622</v>
      </c>
      <c r="C13" s="85" t="s">
        <v>211</v>
      </c>
      <c r="D13" s="9">
        <v>6.05</v>
      </c>
      <c r="E13" s="9">
        <v>3.23</v>
      </c>
      <c r="F13" s="77">
        <f t="shared" si="14"/>
        <v>6.86</v>
      </c>
      <c r="G13" s="228">
        <v>2.1</v>
      </c>
      <c r="H13" s="228">
        <v>2.1</v>
      </c>
      <c r="I13" s="442">
        <f t="shared" si="15"/>
        <v>2.97</v>
      </c>
      <c r="J13" s="87">
        <f>VLOOKUP(C13,基础属性系数!$B$97:$E$100,4,FALSE)*SQRT(VLOOKUP(C13,基础属性系数!$B$97:$E$100,2,FALSE)/F13)</f>
        <v>1.7776429129020992</v>
      </c>
      <c r="K13" s="457">
        <v>1.9</v>
      </c>
      <c r="L13" s="457">
        <v>1.45</v>
      </c>
      <c r="M13" s="457">
        <v>1.2</v>
      </c>
      <c r="N13" s="457">
        <v>1.2</v>
      </c>
      <c r="O13" s="457">
        <v>1.1500000000000001</v>
      </c>
      <c r="P13" s="457">
        <v>1</v>
      </c>
      <c r="Q13" s="457">
        <v>0.85000000000000009</v>
      </c>
      <c r="R13" s="81">
        <f>基础属性系数!$E$61*2/F13</f>
        <v>0.1020408163265306</v>
      </c>
      <c r="S13" s="81">
        <f>(H13/基础属性系数!$C$94-H13/基础属性系数!$C$94/I13*基础属性系数!$E$61*2)/F13</f>
        <v>0.14623273551844981</v>
      </c>
      <c r="T13" s="81">
        <f>(G13/基础属性系数!$C$94-G13/基础属性系数!$C$94/I13*基础属性系数!$E$61*2)/F13*2</f>
        <v>0.29246547103689963</v>
      </c>
      <c r="U13" s="81">
        <f>(H13/基础属性系数!$C$94-H13/基础属性系数!$C$94/I13*基础属性系数!$E$61*2)/F13</f>
        <v>0.14623273551844981</v>
      </c>
      <c r="V13" s="81">
        <f>(E13/基础属性系数!$C$94-I13*E13/基础属性系数!$C$94/F13)/F13</f>
        <v>0.16687216848421998</v>
      </c>
      <c r="W13" s="81">
        <f>(D13/基础属性系数!$C$94-I13*D13/基础属性系数!$C$94/F13)/F13*2</f>
        <v>0.62512484169011195</v>
      </c>
      <c r="X13" s="81">
        <f>(E13/基础属性系数!$C$94-I13*E13/基础属性系数!$C$94/F13)/F13</f>
        <v>0.16687216848421998</v>
      </c>
      <c r="Y13" s="81">
        <f t="shared" si="0"/>
        <v>0.19387755102040813</v>
      </c>
      <c r="Z13" s="81">
        <f t="shared" si="1"/>
        <v>0.21203746650175223</v>
      </c>
      <c r="AA13" s="81">
        <f t="shared" si="16"/>
        <v>0.35095856524427954</v>
      </c>
      <c r="AB13" s="81">
        <f t="shared" si="2"/>
        <v>0.17547928262213977</v>
      </c>
      <c r="AC13" s="81">
        <f t="shared" si="3"/>
        <v>0.19190299375685302</v>
      </c>
      <c r="AD13" s="81">
        <f t="shared" si="4"/>
        <v>0.62512484169011195</v>
      </c>
      <c r="AE13" s="81">
        <f t="shared" si="5"/>
        <v>0.14184134321158701</v>
      </c>
      <c r="AF13" s="81">
        <f t="shared" si="17"/>
        <v>1.8912220440471317</v>
      </c>
      <c r="AZ13" s="77" t="s">
        <v>251</v>
      </c>
      <c r="BA13" s="77" t="s">
        <v>259</v>
      </c>
      <c r="BB13" s="77" t="s">
        <v>257</v>
      </c>
      <c r="BC13" s="77" t="s">
        <v>256</v>
      </c>
      <c r="BD13" s="77" t="s">
        <v>255</v>
      </c>
      <c r="BE13" s="77" t="s">
        <v>262</v>
      </c>
      <c r="BF13" s="77" t="s">
        <v>263</v>
      </c>
      <c r="BG13" s="77" t="s">
        <v>264</v>
      </c>
      <c r="BM13" s="77" t="s">
        <v>251</v>
      </c>
      <c r="BN13" s="77" t="s">
        <v>268</v>
      </c>
      <c r="BO13" s="77" t="s">
        <v>269</v>
      </c>
      <c r="BP13" s="77" t="s">
        <v>273</v>
      </c>
      <c r="BQ13" s="77" t="s">
        <v>272</v>
      </c>
      <c r="BR13" s="77" t="s">
        <v>270</v>
      </c>
      <c r="BS13" s="77" t="s">
        <v>274</v>
      </c>
      <c r="BT13" s="77" t="s">
        <v>271</v>
      </c>
      <c r="BU13" s="77" t="s">
        <v>257</v>
      </c>
      <c r="BV13" s="77" t="s">
        <v>275</v>
      </c>
    </row>
    <row r="14" spans="2:112" x14ac:dyDescent="0.35">
      <c r="B14" s="77" t="s">
        <v>623</v>
      </c>
      <c r="C14" s="85" t="s">
        <v>7</v>
      </c>
      <c r="D14" s="9">
        <v>4.37</v>
      </c>
      <c r="E14" s="9">
        <v>2.2799999999999998</v>
      </c>
      <c r="F14" s="77">
        <f t="shared" si="14"/>
        <v>4.93</v>
      </c>
      <c r="G14" s="228">
        <v>1.3</v>
      </c>
      <c r="H14" s="228">
        <v>1.3</v>
      </c>
      <c r="I14" s="442">
        <f t="shared" si="15"/>
        <v>1.84</v>
      </c>
      <c r="J14" s="87">
        <f>VLOOKUP(C14,基础属性系数!$B$97:$E$100,4,FALSE)*SQRT(VLOOKUP(C14,基础属性系数!$B$97:$E$100,2,FALSE)/F14)</f>
        <v>2.2783947871303809</v>
      </c>
      <c r="K14" s="457">
        <v>2</v>
      </c>
      <c r="L14" s="457">
        <v>1.9</v>
      </c>
      <c r="M14" s="457">
        <v>1.6</v>
      </c>
      <c r="N14" s="457">
        <v>1.6</v>
      </c>
      <c r="O14" s="457">
        <v>1.2</v>
      </c>
      <c r="P14" s="457">
        <v>0.85000000000000009</v>
      </c>
      <c r="Q14" s="457">
        <v>0.6</v>
      </c>
      <c r="R14" s="81">
        <f>基础属性系数!$E$61*2/F14</f>
        <v>0.14198782961460446</v>
      </c>
      <c r="S14" s="81">
        <f>(H14/基础属性系数!$C$94-H14/基础属性系数!$C$94/I14*基础属性系数!$E$61*2)/F14</f>
        <v>0.10210887203457096</v>
      </c>
      <c r="T14" s="81">
        <f>(G14/基础属性系数!$C$94-G14/基础属性系数!$C$94/I14*基础属性系数!$E$61*2)/F14*2</f>
        <v>0.20421774406914192</v>
      </c>
      <c r="U14" s="81">
        <f>(H14/基础属性系数!$C$94-H14/基础属性系数!$C$94/I14*基础属性系数!$E$61*2)/F14</f>
        <v>0.10210887203457096</v>
      </c>
      <c r="V14" s="81">
        <f>(E14/基础属性系数!$C$94-I14*E14/基础属性系数!$C$94/F14)/F14</f>
        <v>0.18116717205172617</v>
      </c>
      <c r="W14" s="81">
        <f>(D14/基础属性系数!$C$94-I14*D14/基础属性系数!$C$94/F14)/F14*2</f>
        <v>0.69447415953161695</v>
      </c>
      <c r="X14" s="81">
        <f>(E14/基础属性系数!$C$94-I14*E14/基础属性系数!$C$94/F14)/F14</f>
        <v>0.18116717205172617</v>
      </c>
      <c r="Y14" s="81">
        <f t="shared" si="0"/>
        <v>0.28397565922920892</v>
      </c>
      <c r="Z14" s="81">
        <f t="shared" si="1"/>
        <v>0.19400685686568481</v>
      </c>
      <c r="AA14" s="81">
        <f t="shared" si="16"/>
        <v>0.3267483905106271</v>
      </c>
      <c r="AB14" s="81">
        <f t="shared" si="2"/>
        <v>0.16337419525531355</v>
      </c>
      <c r="AC14" s="81">
        <f t="shared" si="3"/>
        <v>0.21740060646207141</v>
      </c>
      <c r="AD14" s="81">
        <f t="shared" si="4"/>
        <v>0.59030303560187447</v>
      </c>
      <c r="AE14" s="81">
        <f t="shared" si="5"/>
        <v>0.1087003032310357</v>
      </c>
      <c r="AF14" s="81">
        <f t="shared" si="17"/>
        <v>1.8845090471558161</v>
      </c>
      <c r="AH14" s="787" t="s">
        <v>232</v>
      </c>
      <c r="AI14" s="787"/>
      <c r="AJ14" s="787"/>
      <c r="AK14" s="787"/>
      <c r="AZ14" s="77" t="s">
        <v>408</v>
      </c>
      <c r="BA14" s="81">
        <f t="shared" ref="BA14:BA20" si="22">BC4</f>
        <v>0.6</v>
      </c>
      <c r="BB14" s="81">
        <f t="shared" ref="BB14:BB20" si="23">BA14/$AW$4</f>
        <v>0.5</v>
      </c>
      <c r="BC14" s="86">
        <f>$AI$24</f>
        <v>0.26478591686179787</v>
      </c>
      <c r="BD14" s="87">
        <f>TAN(RADIANS(BA14+$AK$16))*$AI$10*2/$AK$4</f>
        <v>0.46852905427890901</v>
      </c>
      <c r="BE14" s="87">
        <f>TAN(RADIANS(BA14*2+$AK$16))*$AI$10*2/$AK$4</f>
        <v>0.67237501877581207</v>
      </c>
      <c r="BF14" s="87">
        <f>TAN(RADIANS(BA14*3+$AK$16))*$AI$10*2/$AK$4</f>
        <v>0.87636863868024206</v>
      </c>
      <c r="BG14" s="81">
        <f>(1-BC14)/(BF14-BC14)*BA14*3</f>
        <v>2.1638697471928041</v>
      </c>
      <c r="BM14" s="77" t="s">
        <v>408</v>
      </c>
      <c r="BN14" s="77">
        <f>VLOOKUP(LEFT(BM14,2),$AH$15:$AK$18,4,FALSE)</f>
        <v>0.78</v>
      </c>
      <c r="BO14" s="77">
        <f t="shared" ref="BO14:BO20" si="24">BN14+AV4</f>
        <v>1.86</v>
      </c>
      <c r="BP14" s="81">
        <f>BO14/BN14</f>
        <v>2.3846153846153846</v>
      </c>
      <c r="BQ14" s="8">
        <v>2.1</v>
      </c>
      <c r="BR14" s="77">
        <f>(BQ14-1)*BN14</f>
        <v>0.8580000000000001</v>
      </c>
      <c r="BS14" s="86">
        <f>AI24</f>
        <v>0.26478591686179787</v>
      </c>
      <c r="BT14" s="87">
        <f>TAN(RADIANS(BR14+BN14))*$AI$10*2/$AK$4</f>
        <v>0.55616760139447796</v>
      </c>
      <c r="BU14" s="81">
        <f t="shared" ref="BU14:BU20" si="25">BR14/AW4</f>
        <v>0.71500000000000008</v>
      </c>
      <c r="BV14" s="77">
        <f>BR14/基础属性系数!$C$18*3</f>
        <v>0.17160000000000003</v>
      </c>
      <c r="BZ14" s="787" t="s">
        <v>312</v>
      </c>
      <c r="CA14" s="787"/>
      <c r="CB14" s="787"/>
      <c r="CC14" s="787"/>
      <c r="CD14" s="787"/>
      <c r="CE14" s="787"/>
      <c r="CF14" s="787"/>
      <c r="CG14" s="84"/>
      <c r="CH14" s="84"/>
      <c r="CI14" s="84"/>
      <c r="CJ14" s="84"/>
      <c r="CK14" s="84"/>
      <c r="CL14" s="84"/>
      <c r="CM14" s="84"/>
      <c r="CN14" s="84"/>
      <c r="CO14" s="84"/>
      <c r="CQ14" s="787" t="s">
        <v>327</v>
      </c>
      <c r="CR14" s="787"/>
      <c r="CS14" s="787"/>
      <c r="CT14" s="787"/>
      <c r="CU14" s="787"/>
      <c r="CV14" s="787"/>
      <c r="CW14" s="787"/>
      <c r="CX14" s="787"/>
      <c r="CY14" s="787"/>
      <c r="CZ14" s="787"/>
      <c r="DA14" s="787"/>
      <c r="DB14" s="787"/>
      <c r="DC14" s="787"/>
    </row>
    <row r="15" spans="2:112" x14ac:dyDescent="0.35">
      <c r="B15" s="77" t="s">
        <v>624</v>
      </c>
      <c r="C15" s="85" t="s">
        <v>7</v>
      </c>
      <c r="D15" s="9">
        <v>5.58</v>
      </c>
      <c r="E15" s="9">
        <v>2.84</v>
      </c>
      <c r="F15" s="77">
        <f t="shared" si="14"/>
        <v>6.26</v>
      </c>
      <c r="G15" s="228">
        <v>1.8</v>
      </c>
      <c r="H15" s="228">
        <v>1.5</v>
      </c>
      <c r="I15" s="442">
        <f t="shared" si="15"/>
        <v>2.34</v>
      </c>
      <c r="J15" s="87">
        <f>VLOOKUP(C15,基础属性系数!$B$97:$E$100,4,FALSE)*SQRT(VLOOKUP(C15,基础属性系数!$B$97:$E$100,2,FALSE)/F15)</f>
        <v>2.0219260672330948</v>
      </c>
      <c r="K15" s="457">
        <v>2.15</v>
      </c>
      <c r="L15" s="457">
        <v>1.9</v>
      </c>
      <c r="M15" s="457">
        <v>1.55</v>
      </c>
      <c r="N15" s="457">
        <v>1.55</v>
      </c>
      <c r="O15" s="457">
        <v>1.2</v>
      </c>
      <c r="P15" s="457">
        <v>0.8</v>
      </c>
      <c r="Q15" s="457">
        <v>0.55000000000000004</v>
      </c>
      <c r="R15" s="81">
        <f>基础属性系数!$E$61*2/F15</f>
        <v>0.11182108626198083</v>
      </c>
      <c r="S15" s="81">
        <f>(H15/基础属性系数!$C$94-H15/基础属性系数!$C$94/I15*基础属性系数!$E$61*2)/F15</f>
        <v>0.10496026869828787</v>
      </c>
      <c r="T15" s="81">
        <f>(G15/基础属性系数!$C$94-G15/基础属性系数!$C$94/I15*基础属性系数!$E$61*2)/F15*2</f>
        <v>0.25190464487589093</v>
      </c>
      <c r="U15" s="81">
        <f>(H15/基础属性系数!$C$94-H15/基础属性系数!$C$94/I15*基础属性系数!$E$61*2)/F15</f>
        <v>0.10496026869828787</v>
      </c>
      <c r="V15" s="81">
        <f>(E15/基础属性系数!$C$94-I15*E15/基础属性系数!$C$94/F15)/F15</f>
        <v>0.17755616572589289</v>
      </c>
      <c r="W15" s="81">
        <f>(D15/基础属性系数!$C$94-I15*D15/基础属性系数!$C$94/F15)/F15*2</f>
        <v>0.6977207075707621</v>
      </c>
      <c r="X15" s="81">
        <f>(E15/基础属性系数!$C$94-I15*E15/基础属性系数!$C$94/F15)/F15</f>
        <v>0.17755616572589289</v>
      </c>
      <c r="Y15" s="81">
        <f t="shared" si="0"/>
        <v>0.24041533546325877</v>
      </c>
      <c r="Z15" s="81">
        <f t="shared" si="1"/>
        <v>0.19942451052674695</v>
      </c>
      <c r="AA15" s="81">
        <f t="shared" si="16"/>
        <v>0.39045219955763094</v>
      </c>
      <c r="AB15" s="81">
        <f t="shared" si="2"/>
        <v>0.16268841648234619</v>
      </c>
      <c r="AC15" s="81">
        <f t="shared" si="3"/>
        <v>0.21306739887107146</v>
      </c>
      <c r="AD15" s="81">
        <f t="shared" si="4"/>
        <v>0.5581765660566097</v>
      </c>
      <c r="AE15" s="81">
        <f t="shared" si="5"/>
        <v>9.76558911492411E-2</v>
      </c>
      <c r="AF15" s="81">
        <f t="shared" si="17"/>
        <v>1.861880318106905</v>
      </c>
      <c r="AH15" s="77" t="s">
        <v>23</v>
      </c>
      <c r="AI15" s="77" t="s">
        <v>233</v>
      </c>
      <c r="AJ15" s="77" t="s">
        <v>234</v>
      </c>
      <c r="AK15" s="77" t="s">
        <v>235</v>
      </c>
      <c r="AZ15" s="77" t="s">
        <v>242</v>
      </c>
      <c r="BA15" s="81">
        <f t="shared" si="22"/>
        <v>0.48</v>
      </c>
      <c r="BB15" s="81">
        <f t="shared" si="23"/>
        <v>0.4</v>
      </c>
      <c r="BC15" s="86">
        <f>$AI$24</f>
        <v>0.26478591686179787</v>
      </c>
      <c r="BD15" s="87">
        <f>TAN(RADIANS(BA15+$AK$16))*$AI$10*2/$AK$4</f>
        <v>0.42777363329658946</v>
      </c>
      <c r="BE15" s="87">
        <f>TAN(RADIANS(BA15*2+$AK$16))*$AI$10*2/$AK$4</f>
        <v>0.59082142719647335</v>
      </c>
      <c r="BF15" s="87">
        <f>TAN(RADIANS(BA15*3+$AK$16))*$AI$10*2/$AK$4</f>
        <v>0.75395223376693188</v>
      </c>
      <c r="BG15" s="81">
        <f t="shared" ref="BG15:BG20" si="26">(1-BC15)/(BF15-BC15)*BA15*3</f>
        <v>2.1643114890192461</v>
      </c>
      <c r="BM15" s="77" t="s">
        <v>242</v>
      </c>
      <c r="BN15" s="77">
        <f t="shared" ref="BN15:BN20" si="27">VLOOKUP(LEFT(BM15,2),$AH$15:$AK$18,4,FALSE)</f>
        <v>0.78</v>
      </c>
      <c r="BO15" s="479">
        <f t="shared" si="24"/>
        <v>1.62</v>
      </c>
      <c r="BP15" s="81">
        <f t="shared" ref="BP15:BP20" si="28">BO15/BN15</f>
        <v>2.0769230769230771</v>
      </c>
      <c r="BQ15" s="8">
        <v>1.75</v>
      </c>
      <c r="BR15" s="77">
        <f t="shared" ref="BR15:BR20" si="29">(BQ15-1)*BN15</f>
        <v>0.58499999999999996</v>
      </c>
      <c r="BS15" s="86">
        <f>AI24</f>
        <v>0.26478591686179787</v>
      </c>
      <c r="BT15" s="87">
        <f>TAN(RADIANS(BR15+BN15))*$AI$10*2/$AK$4</f>
        <v>0.46343440908322664</v>
      </c>
      <c r="BU15" s="81">
        <f t="shared" si="25"/>
        <v>0.48749999999999999</v>
      </c>
      <c r="BV15" s="77">
        <f>BR15/基础属性系数!$C$18*3</f>
        <v>0.11699999999999999</v>
      </c>
      <c r="BZ15" s="77" t="s">
        <v>251</v>
      </c>
      <c r="CA15" s="77" t="s">
        <v>309</v>
      </c>
      <c r="CB15" s="77" t="s">
        <v>309</v>
      </c>
      <c r="CC15" s="77" t="s">
        <v>306</v>
      </c>
      <c r="CD15" s="77" t="s">
        <v>307</v>
      </c>
      <c r="CE15" s="77" t="s">
        <v>302</v>
      </c>
      <c r="CF15" s="77" t="s">
        <v>308</v>
      </c>
      <c r="CG15" s="84"/>
      <c r="CH15" s="84"/>
      <c r="CI15" s="84"/>
      <c r="CJ15" s="84"/>
      <c r="CK15" s="84"/>
      <c r="CL15" s="84"/>
      <c r="CM15" s="84"/>
      <c r="CN15" s="84"/>
      <c r="CO15" s="84"/>
      <c r="CQ15" s="77" t="s">
        <v>251</v>
      </c>
      <c r="CR15" s="77" t="s">
        <v>316</v>
      </c>
      <c r="CS15" s="77" t="s">
        <v>321</v>
      </c>
      <c r="CT15" s="77" t="s">
        <v>319</v>
      </c>
      <c r="CU15" s="77" t="s">
        <v>318</v>
      </c>
      <c r="CV15" s="77" t="s">
        <v>322</v>
      </c>
      <c r="CW15" s="77" t="s">
        <v>320</v>
      </c>
      <c r="CX15" s="77" t="s">
        <v>325</v>
      </c>
      <c r="CY15" s="77" t="s">
        <v>323</v>
      </c>
      <c r="CZ15" s="77" t="s">
        <v>324</v>
      </c>
      <c r="DA15" s="77" t="s">
        <v>326</v>
      </c>
      <c r="DB15" s="77" t="s">
        <v>323</v>
      </c>
      <c r="DC15" s="77" t="s">
        <v>324</v>
      </c>
    </row>
    <row r="16" spans="2:112" x14ac:dyDescent="0.35">
      <c r="B16" s="77" t="s">
        <v>626</v>
      </c>
      <c r="C16" s="85" t="s">
        <v>7</v>
      </c>
      <c r="D16" s="9">
        <v>5.97</v>
      </c>
      <c r="E16" s="9">
        <v>2.96</v>
      </c>
      <c r="F16" s="77">
        <f t="shared" si="14"/>
        <v>6.66</v>
      </c>
      <c r="G16" s="228">
        <v>2.4</v>
      </c>
      <c r="H16" s="228">
        <v>1.6</v>
      </c>
      <c r="I16" s="442">
        <f t="shared" si="15"/>
        <v>2.88</v>
      </c>
      <c r="J16" s="87">
        <f>VLOOKUP(C16,基础属性系数!$B$97:$E$100,4,FALSE)*SQRT(VLOOKUP(C16,基础属性系数!$B$97:$E$100,2,FALSE)/F16)</f>
        <v>1.9602674265103139</v>
      </c>
      <c r="K16" s="457">
        <v>2.2000000000000002</v>
      </c>
      <c r="L16" s="457">
        <v>1.85</v>
      </c>
      <c r="M16" s="457">
        <v>1.4000000000000001</v>
      </c>
      <c r="N16" s="457">
        <v>1.4000000000000001</v>
      </c>
      <c r="O16" s="457">
        <v>1.1500000000000001</v>
      </c>
      <c r="P16" s="457">
        <v>0.8</v>
      </c>
      <c r="Q16" s="457">
        <v>0.55000000000000004</v>
      </c>
      <c r="R16" s="81">
        <f>基础属性系数!$E$61*2/F16</f>
        <v>0.1051051051051051</v>
      </c>
      <c r="S16" s="81">
        <f>(H16/基础属性系数!$C$94-H16/基础属性系数!$C$94/I16*基础属性系数!$E$61*2)/F16</f>
        <v>0.11365532198865531</v>
      </c>
      <c r="T16" s="81">
        <f>(G16/基础属性系数!$C$94-G16/基础属性系数!$C$94/I16*基础属性系数!$E$61*2)/F16*2</f>
        <v>0.3409659659659659</v>
      </c>
      <c r="U16" s="81">
        <f>(H16/基础属性系数!$C$94-H16/基础属性系数!$C$94/I16*基础属性系数!$E$61*2)/F16</f>
        <v>0.11365532198865531</v>
      </c>
      <c r="V16" s="81">
        <f>(E16/基础属性系数!$C$94-I16*E16/基础属性系数!$C$94/F16)/F16</f>
        <v>0.15765765765765763</v>
      </c>
      <c r="W16" s="81">
        <f>(D16/基础属性系数!$C$94-I16*D16/基础属性系数!$C$94/F16)/F16*2</f>
        <v>0.63595690284879469</v>
      </c>
      <c r="X16" s="81">
        <f>(E16/基础属性系数!$C$94-I16*E16/基础属性系数!$C$94/F16)/F16</f>
        <v>0.15765765765765763</v>
      </c>
      <c r="Y16" s="81">
        <f t="shared" si="0"/>
        <v>0.23123123123123124</v>
      </c>
      <c r="Z16" s="81">
        <f t="shared" si="1"/>
        <v>0.21026234567901234</v>
      </c>
      <c r="AA16" s="81">
        <f t="shared" si="16"/>
        <v>0.47735235235235229</v>
      </c>
      <c r="AB16" s="81">
        <f t="shared" si="2"/>
        <v>0.15911745078411746</v>
      </c>
      <c r="AC16" s="81">
        <f t="shared" si="3"/>
        <v>0.18130630630630629</v>
      </c>
      <c r="AD16" s="81">
        <f t="shared" si="4"/>
        <v>0.50876552227903582</v>
      </c>
      <c r="AE16" s="81">
        <f t="shared" si="5"/>
        <v>8.67117117117117E-2</v>
      </c>
      <c r="AF16" s="81">
        <f t="shared" si="17"/>
        <v>1.8547469203437672</v>
      </c>
      <c r="AH16" s="77" t="s">
        <v>24</v>
      </c>
      <c r="AI16" s="8">
        <v>0.26500000000000001</v>
      </c>
      <c r="AJ16" s="77">
        <f>AI16/2</f>
        <v>0.13250000000000001</v>
      </c>
      <c r="AK16" s="77">
        <f>ROUND(DEGREES(ATAN(AJ16*AK4/AI10)),2)</f>
        <v>0.78</v>
      </c>
      <c r="AZ16" s="77" t="s">
        <v>606</v>
      </c>
      <c r="BA16" s="81">
        <f t="shared" si="22"/>
        <v>1.7999999999999998</v>
      </c>
      <c r="BB16" s="81">
        <f t="shared" si="23"/>
        <v>1.5</v>
      </c>
      <c r="BC16" s="86">
        <f>$AI$24</f>
        <v>0.26478591686179787</v>
      </c>
      <c r="BD16" s="87">
        <f>TAN(RADIANS(BA16+$AK$16))*$AI$10*2/$AK$4</f>
        <v>0.87636863868024206</v>
      </c>
      <c r="BE16" s="87">
        <f>TAN(RADIANS(BA16*2+$AK$16))*$AI$10*2/$AK$4</f>
        <v>1.4896858998499365</v>
      </c>
      <c r="BF16" s="87">
        <f>TAN(RADIANS(BA16*3+$AK$16))*$AI$10*2/$AK$4</f>
        <v>2.1059628987919474</v>
      </c>
      <c r="BG16" s="81">
        <f>(1-BC16)/(BF16-BC16)*BA16*3</f>
        <v>2.1563141881038952</v>
      </c>
      <c r="BM16" s="77" t="s">
        <v>607</v>
      </c>
      <c r="BN16" s="77">
        <f t="shared" si="27"/>
        <v>0.78</v>
      </c>
      <c r="BO16" s="479">
        <f t="shared" si="24"/>
        <v>2.58</v>
      </c>
      <c r="BP16" s="81">
        <f t="shared" si="28"/>
        <v>3.3076923076923075</v>
      </c>
      <c r="BQ16" s="8">
        <v>3</v>
      </c>
      <c r="BR16" s="77">
        <f>(BQ16-1)*BN16</f>
        <v>1.56</v>
      </c>
      <c r="BS16" s="86">
        <f>AI25</f>
        <v>0.30127565677255386</v>
      </c>
      <c r="BT16" s="87">
        <f>TAN(RADIANS(BR16+BN16))*$AI$10*2/$AK$4</f>
        <v>0.79475059811837956</v>
      </c>
      <c r="BU16" s="81">
        <f t="shared" si="25"/>
        <v>1.56</v>
      </c>
      <c r="BV16" s="77">
        <f>BR16/基础属性系数!$C$18*3</f>
        <v>0.31200000000000006</v>
      </c>
      <c r="BZ16" s="77" t="s">
        <v>289</v>
      </c>
      <c r="CA16" s="8">
        <v>1</v>
      </c>
      <c r="CB16" s="8">
        <v>1</v>
      </c>
      <c r="CC16" s="77">
        <f t="shared" ref="CC16:CD18" si="30">CA10*CA16</f>
        <v>14.6</v>
      </c>
      <c r="CD16" s="77">
        <f t="shared" si="30"/>
        <v>18.600000000000001</v>
      </c>
      <c r="CE16" s="8">
        <v>1</v>
      </c>
      <c r="CF16" s="81">
        <f>AVERAGE(CC16:CD16)/CE16</f>
        <v>16.600000000000001</v>
      </c>
      <c r="CG16" s="88"/>
      <c r="CH16" s="88"/>
      <c r="CI16" s="88"/>
      <c r="CJ16" s="88"/>
      <c r="CK16" s="88"/>
      <c r="CL16" s="88"/>
      <c r="CM16" s="88"/>
      <c r="CN16" s="88"/>
      <c r="CO16" s="88"/>
      <c r="CQ16" s="77" t="s">
        <v>289</v>
      </c>
      <c r="CR16" s="77">
        <f>CR4</f>
        <v>60</v>
      </c>
      <c r="CS16" s="81">
        <f>SQRT((AK4/2/(CR16*2*PI()))*360*2*CY4+CT4^2)</f>
        <v>23.751072684500215</v>
      </c>
      <c r="CT16" s="87">
        <f>(CS16-CT4)/CY4</f>
        <v>0.15311288741492751</v>
      </c>
      <c r="CU16" s="77">
        <f>CU4</f>
        <v>30</v>
      </c>
      <c r="CV16" s="81">
        <f>SQRT((AK4/2/(CU16*2*PI()))*360*2*CY4+CT4^2)</f>
        <v>30.187086550062656</v>
      </c>
      <c r="CW16" s="87">
        <f>(CV16-CT4)/CY4</f>
        <v>0.26234753829797997</v>
      </c>
      <c r="CX16" s="77">
        <v>45</v>
      </c>
      <c r="CY16" s="81">
        <f>SQRT(((AK4/2/(CU16*2*PI()))*360+CX16)*2*CY4+CT4^2)</f>
        <v>78.828830946023444</v>
      </c>
      <c r="CZ16" s="87">
        <f>(CY16-CT4)/CY4</f>
        <v>1.0879150523560184</v>
      </c>
      <c r="DA16" s="77">
        <v>90</v>
      </c>
      <c r="DB16" s="81">
        <f>SQRT(((AK4/2/(CU16*2*PI()))*360+DA16)*2*CY4+CT4^2)</f>
        <v>107.31593070114293</v>
      </c>
      <c r="DC16" s="87">
        <f>(DB16-CT4)/CY4</f>
        <v>1.5714097217928793</v>
      </c>
    </row>
    <row r="17" spans="2:107" x14ac:dyDescent="0.35">
      <c r="B17" s="77" t="s">
        <v>627</v>
      </c>
      <c r="C17" s="85" t="s">
        <v>7</v>
      </c>
      <c r="D17" s="9">
        <v>6.05</v>
      </c>
      <c r="E17" s="9">
        <v>2.57</v>
      </c>
      <c r="F17" s="77">
        <f t="shared" si="14"/>
        <v>6.57</v>
      </c>
      <c r="G17" s="228">
        <v>1.8</v>
      </c>
      <c r="H17" s="228">
        <v>1.6</v>
      </c>
      <c r="I17" s="442">
        <f t="shared" si="15"/>
        <v>2.41</v>
      </c>
      <c r="J17" s="87">
        <f>VLOOKUP(C17,基础属性系数!$B$97:$E$100,4,FALSE)*SQRT(VLOOKUP(C17,基础属性系数!$B$97:$E$100,2,FALSE)/F17)</f>
        <v>1.9736482468739371</v>
      </c>
      <c r="K17" s="457">
        <v>2.25</v>
      </c>
      <c r="L17" s="457">
        <v>2</v>
      </c>
      <c r="M17" s="457">
        <v>1.5</v>
      </c>
      <c r="N17" s="457">
        <v>1.5</v>
      </c>
      <c r="O17" s="457">
        <v>1.2</v>
      </c>
      <c r="P17" s="457">
        <v>0.85000000000000009</v>
      </c>
      <c r="Q17" s="457">
        <v>0.6</v>
      </c>
      <c r="R17" s="81">
        <f>基础属性系数!$E$61*2/F17</f>
        <v>0.106544901065449</v>
      </c>
      <c r="S17" s="81">
        <f>(H17/基础属性系数!$C$94-H17/基础属性系数!$C$94/I17*基础属性系数!$E$61*2)/F17</f>
        <v>0.1079974990052862</v>
      </c>
      <c r="T17" s="81">
        <f>(G17/基础属性系数!$C$94-G17/基础属性系数!$C$94/I17*基础属性系数!$E$61*2)/F17*2</f>
        <v>0.24299437276189395</v>
      </c>
      <c r="U17" s="81">
        <f>(H17/基础属性系数!$C$94-H17/基础属性系数!$C$94/I17*基础属性系数!$E$61*2)/F17</f>
        <v>0.1079974990052862</v>
      </c>
      <c r="V17" s="81">
        <f>(E17/基础属性系数!$C$94-I17*E17/基础属性系数!$C$94/F17)/F17</f>
        <v>0.15480170230905199</v>
      </c>
      <c r="W17" s="81">
        <f>(D17/基础属性系数!$C$94-I17*D17/基础属性系数!$C$94/F17)/F17*2</f>
        <v>0.72883291748619805</v>
      </c>
      <c r="X17" s="81">
        <f>(E17/基础属性系数!$C$94-I17*E17/基础属性系数!$C$94/F17)/F17</f>
        <v>0.15480170230905199</v>
      </c>
      <c r="Y17" s="81">
        <f t="shared" si="0"/>
        <v>0.23972602739726026</v>
      </c>
      <c r="Z17" s="81">
        <f t="shared" si="1"/>
        <v>0.2159949980105724</v>
      </c>
      <c r="AA17" s="81">
        <f t="shared" si="16"/>
        <v>0.36449155914284093</v>
      </c>
      <c r="AB17" s="81">
        <f t="shared" si="2"/>
        <v>0.16199624850792929</v>
      </c>
      <c r="AC17" s="81">
        <f t="shared" si="3"/>
        <v>0.18576204277086239</v>
      </c>
      <c r="AD17" s="81">
        <f t="shared" si="4"/>
        <v>0.61950797986326844</v>
      </c>
      <c r="AE17" s="81">
        <f t="shared" si="5"/>
        <v>9.2881021385431195E-2</v>
      </c>
      <c r="AF17" s="81">
        <f t="shared" si="17"/>
        <v>1.8803598770781649</v>
      </c>
      <c r="AH17" s="77" t="s">
        <v>7</v>
      </c>
      <c r="AI17" s="8">
        <v>0.255</v>
      </c>
      <c r="AJ17" s="77">
        <f>AI17/2</f>
        <v>0.1275</v>
      </c>
      <c r="AK17" s="77">
        <f>ROUND(DEGREES(ATAN(AJ17*AK5/AI11)),2)</f>
        <v>0.71</v>
      </c>
      <c r="AZ17" s="77" t="s">
        <v>243</v>
      </c>
      <c r="BA17" s="81">
        <f t="shared" si="22"/>
        <v>2.4</v>
      </c>
      <c r="BB17" s="81">
        <f t="shared" si="23"/>
        <v>2</v>
      </c>
      <c r="BC17" s="86">
        <f>$AJ$24</f>
        <v>0.22441333887874901</v>
      </c>
      <c r="BD17" s="87">
        <f>TAN(RADIANS(BA17+$AK$16))*$AI$10*2/$AK$5</f>
        <v>0.9157999396958767</v>
      </c>
      <c r="BE17" s="87">
        <f>TAN(RADIANS(BA17*2+$AK$16))*$AI$10*2/$AK$5</f>
        <v>1.6104139709423739</v>
      </c>
      <c r="BF17" s="87">
        <f>TAN(RADIANS(BA17*3+$AK$16))*$AI$10*2/$AK$5</f>
        <v>2.3107399721914761</v>
      </c>
      <c r="BG17" s="81">
        <f t="shared" si="26"/>
        <v>2.6765818309121716</v>
      </c>
      <c r="BM17" s="77" t="s">
        <v>243</v>
      </c>
      <c r="BN17" s="77">
        <f t="shared" si="27"/>
        <v>0.71</v>
      </c>
      <c r="BO17" s="479">
        <f t="shared" si="24"/>
        <v>3.11</v>
      </c>
      <c r="BP17" s="81">
        <f t="shared" si="28"/>
        <v>4.380281690140845</v>
      </c>
      <c r="BQ17" s="8">
        <v>2.5</v>
      </c>
      <c r="BR17" s="77">
        <f t="shared" si="29"/>
        <v>1.0649999999999999</v>
      </c>
      <c r="BS17" s="86">
        <f>AJ25</f>
        <v>0.25533939591849686</v>
      </c>
      <c r="BT17" s="87">
        <f>TAN(RADIANS(BR17+BN17))*$AI$11*2/$AK$5</f>
        <v>0.63852009818691136</v>
      </c>
      <c r="BU17" s="81">
        <f t="shared" si="25"/>
        <v>1.0649999999999999</v>
      </c>
      <c r="BV17" s="77">
        <f>BR17/基础属性系数!$C$18*3</f>
        <v>0.21299999999999997</v>
      </c>
      <c r="BZ17" s="77" t="s">
        <v>290</v>
      </c>
      <c r="CA17" s="8">
        <v>1</v>
      </c>
      <c r="CB17" s="8">
        <v>1</v>
      </c>
      <c r="CC17" s="77">
        <f t="shared" si="30"/>
        <v>12.3</v>
      </c>
      <c r="CD17" s="77">
        <f t="shared" si="30"/>
        <v>16.3</v>
      </c>
      <c r="CE17" s="8">
        <v>2</v>
      </c>
      <c r="CF17" s="81">
        <f>AVERAGE(CC17:CD17)/CE17</f>
        <v>7.15</v>
      </c>
      <c r="CG17" s="88"/>
      <c r="CH17" s="88"/>
      <c r="CI17" s="88"/>
      <c r="CJ17" s="88"/>
      <c r="CK17" s="88"/>
      <c r="CL17" s="88"/>
      <c r="CM17" s="88"/>
      <c r="CN17" s="88"/>
      <c r="CO17" s="88"/>
      <c r="CQ17" s="77" t="s">
        <v>290</v>
      </c>
      <c r="CR17" s="77">
        <f>CR5</f>
        <v>75</v>
      </c>
      <c r="CS17" s="81">
        <f>SQRT((AK5/2/(CR17*2*PI()))*360*2*CY5+CT5^2)</f>
        <v>22.419164880798906</v>
      </c>
      <c r="CT17" s="87">
        <f>(CS17-CT5)/CY5</f>
        <v>0.15311288741492746</v>
      </c>
      <c r="CU17" s="77">
        <f>CU5</f>
        <v>37.5</v>
      </c>
      <c r="CV17" s="81">
        <f>SQRT((AK5/2/(CU17*2*PI()))*360*2*CY5+CT5^2)</f>
        <v>28.494261275132075</v>
      </c>
      <c r="CW17" s="87">
        <f>(CV17-CT5)/CY5</f>
        <v>0.26234753829797985</v>
      </c>
      <c r="CX17" s="77">
        <v>45</v>
      </c>
      <c r="CY17" s="81">
        <f>SQRT(((AK5/2/(CU17*2*PI()))*360+CX17)*2*CY5+CT5^2)</f>
        <v>76.271110021281089</v>
      </c>
      <c r="CZ17" s="87">
        <f>(CY17-CT5)/CY5</f>
        <v>1.1214100213140767</v>
      </c>
      <c r="DA17" s="77">
        <v>90</v>
      </c>
      <c r="DB17" s="81">
        <f>SQRT(((AK5/2/(CU17*2*PI()))*360+DA17)*2*CY5+CT5^2)</f>
        <v>104.03192549473088</v>
      </c>
      <c r="DC17" s="87">
        <f>(DB17-CT5)/CY5</f>
        <v>1.6205696707477519</v>
      </c>
    </row>
    <row r="18" spans="2:107" x14ac:dyDescent="0.35">
      <c r="B18" s="77" t="s">
        <v>718</v>
      </c>
      <c r="C18" s="85" t="s">
        <v>7</v>
      </c>
      <c r="D18" s="9">
        <v>6.33</v>
      </c>
      <c r="E18" s="9">
        <v>2.85</v>
      </c>
      <c r="F18" s="77">
        <f t="shared" si="14"/>
        <v>6.94</v>
      </c>
      <c r="G18" s="228">
        <v>1.9</v>
      </c>
      <c r="H18" s="228">
        <v>1.9</v>
      </c>
      <c r="I18" s="442">
        <f t="shared" si="15"/>
        <v>2.69</v>
      </c>
      <c r="J18" s="87">
        <f>VLOOKUP(C18,基础属性系数!$B$97:$E$100,4,FALSE)*SQRT(VLOOKUP(C18,基础属性系数!$B$97:$E$100,2,FALSE)/F18)</f>
        <v>1.9203160100207239</v>
      </c>
      <c r="K18" s="457">
        <v>2.3000000000000003</v>
      </c>
      <c r="L18" s="457">
        <v>1.9</v>
      </c>
      <c r="M18" s="457">
        <v>1.45</v>
      </c>
      <c r="N18" s="457">
        <v>1.45</v>
      </c>
      <c r="O18" s="457">
        <v>1.2</v>
      </c>
      <c r="P18" s="457">
        <v>0.8</v>
      </c>
      <c r="Q18" s="457">
        <v>0.6</v>
      </c>
      <c r="R18" s="81">
        <f>基础属性系数!$E$61*2/F18</f>
        <v>0.10086455331412103</v>
      </c>
      <c r="S18" s="81">
        <f>(H18/基础属性系数!$C$94-H18/基础属性系数!$C$94/I18*基础属性系数!$E$61*2)/F18</f>
        <v>0.1265828717739948</v>
      </c>
      <c r="T18" s="81">
        <f>(G18/基础属性系数!$C$94-G18/基础属性系数!$C$94/I18*基础属性系数!$E$61*2)/F18*2</f>
        <v>0.2531657435479896</v>
      </c>
      <c r="U18" s="81">
        <f>(H18/基础属性系数!$C$94-H18/基础属性系数!$C$94/I18*基础属性系数!$E$61*2)/F18</f>
        <v>0.1265828717739948</v>
      </c>
      <c r="V18" s="81">
        <f>(E18/基础属性系数!$C$94-I18*E18/基础属性系数!$C$94/F18)/F18</f>
        <v>0.15717912489930158</v>
      </c>
      <c r="W18" s="81">
        <f>(D18/基础属性系数!$C$94-I18*D18/基础属性系数!$C$94/F18)/F18*2</f>
        <v>0.69820621797373938</v>
      </c>
      <c r="X18" s="81">
        <f>(E18/基础属性系数!$C$94-I18*E18/基础属性系数!$C$94/F18)/F18</f>
        <v>0.15717912489930158</v>
      </c>
      <c r="Y18" s="81">
        <f t="shared" si="0"/>
        <v>0.2319884726224784</v>
      </c>
      <c r="Z18" s="81">
        <f t="shared" si="1"/>
        <v>0.24050745637059009</v>
      </c>
      <c r="AA18" s="81">
        <f t="shared" si="16"/>
        <v>0.36709032814458492</v>
      </c>
      <c r="AB18" s="81">
        <f t="shared" si="2"/>
        <v>0.18354516407229246</v>
      </c>
      <c r="AC18" s="81">
        <f t="shared" si="3"/>
        <v>0.18861494987916189</v>
      </c>
      <c r="AD18" s="81">
        <f t="shared" si="4"/>
        <v>0.55856497437899155</v>
      </c>
      <c r="AE18" s="81">
        <f t="shared" si="5"/>
        <v>9.4307474939580943E-2</v>
      </c>
      <c r="AF18" s="81">
        <f t="shared" si="17"/>
        <v>1.8646188204076801</v>
      </c>
      <c r="AH18" s="77" t="s">
        <v>26</v>
      </c>
      <c r="AI18" s="8">
        <v>0.26</v>
      </c>
      <c r="AJ18" s="77">
        <f>AI18/2</f>
        <v>0.13</v>
      </c>
      <c r="AK18" s="77">
        <f>ROUND(DEGREES(ATAN(AJ18*AK6/AI12)),2)</f>
        <v>0.64</v>
      </c>
      <c r="AZ18" s="77" t="s">
        <v>244</v>
      </c>
      <c r="BA18" s="81">
        <f t="shared" si="22"/>
        <v>1.2</v>
      </c>
      <c r="BB18" s="81">
        <f t="shared" si="23"/>
        <v>1</v>
      </c>
      <c r="BC18" s="86">
        <f>$AJ$24</f>
        <v>0.22441333887874901</v>
      </c>
      <c r="BD18" s="87">
        <f>TAN(RADIANS(BA18+$AK$16))*$AI$10*2/$AK$5</f>
        <v>0.56985630025367584</v>
      </c>
      <c r="BE18" s="87">
        <f>TAN(RADIANS(BA18*2+$AK$16))*$AI$10*2/$AK$5</f>
        <v>0.9157999396958767</v>
      </c>
      <c r="BF18" s="87">
        <f>TAN(RADIANS(BA18*3+$AK$16))*$AI$10*2/$AK$5</f>
        <v>1.2625497255596301</v>
      </c>
      <c r="BG18" s="81">
        <f t="shared" si="26"/>
        <v>2.6895425455256561</v>
      </c>
      <c r="BM18" s="77" t="s">
        <v>244</v>
      </c>
      <c r="BN18" s="77">
        <f t="shared" si="27"/>
        <v>0.71</v>
      </c>
      <c r="BO18" s="479">
        <f t="shared" si="24"/>
        <v>2.3899999999999997</v>
      </c>
      <c r="BP18" s="81">
        <f t="shared" si="28"/>
        <v>3.3661971830985911</v>
      </c>
      <c r="BQ18" s="8">
        <v>1.5</v>
      </c>
      <c r="BR18" s="77">
        <f t="shared" si="29"/>
        <v>0.35499999999999998</v>
      </c>
      <c r="BS18" s="86">
        <f>AJ25</f>
        <v>0.25533939591849686</v>
      </c>
      <c r="BT18" s="87">
        <f>TAN(RADIANS(BR18+BN18))*$AI$11*2/$AK$5</f>
        <v>0.38303360333798825</v>
      </c>
      <c r="BU18" s="81">
        <f t="shared" si="25"/>
        <v>0.29583333333333334</v>
      </c>
      <c r="BV18" s="77">
        <f>BR18/基础属性系数!$C$18*3</f>
        <v>7.0999999999999994E-2</v>
      </c>
      <c r="BZ18" s="77" t="s">
        <v>291</v>
      </c>
      <c r="CA18" s="8">
        <v>1</v>
      </c>
      <c r="CB18" s="8">
        <v>1</v>
      </c>
      <c r="CC18" s="77">
        <f t="shared" si="30"/>
        <v>10.5</v>
      </c>
      <c r="CD18" s="77">
        <f t="shared" si="30"/>
        <v>14.5</v>
      </c>
      <c r="CE18" s="8">
        <v>3</v>
      </c>
      <c r="CF18" s="81">
        <f>AVERAGE(CC18:CD18)/CE18</f>
        <v>4.166666666666667</v>
      </c>
      <c r="CG18" s="88"/>
      <c r="CH18" s="88"/>
      <c r="CI18" s="88"/>
      <c r="CJ18" s="88"/>
      <c r="CK18" s="88"/>
      <c r="CL18" s="88"/>
      <c r="CM18" s="88"/>
      <c r="CN18" s="88"/>
      <c r="CO18" s="88"/>
      <c r="CQ18" s="77" t="s">
        <v>291</v>
      </c>
      <c r="CR18" s="77">
        <f>CR6</f>
        <v>90</v>
      </c>
      <c r="CS18" s="81">
        <f>SQRT((AK6/2/(CR18*2*PI()))*360*2*CY6+CT6^2)</f>
        <v>19.734818902626326</v>
      </c>
      <c r="CT18" s="87">
        <f>(CS18-CT6)/CY6</f>
        <v>0.15311288741492748</v>
      </c>
      <c r="CU18" s="77">
        <f>CU6</f>
        <v>45</v>
      </c>
      <c r="CV18" s="81">
        <f>SQRT((AK6/2/(CU18*2*PI()))*360*2*CY6+CT6^2)</f>
        <v>25.082517079414565</v>
      </c>
      <c r="CW18" s="87">
        <f>(CV18-CT6)/CY6</f>
        <v>0.26234753829797985</v>
      </c>
      <c r="CX18" s="77">
        <v>45</v>
      </c>
      <c r="CY18" s="81">
        <f>SQRT(((AK6/2/(CU18*2*PI()))*360+CX18)*2*CY6+CT6^2)</f>
        <v>70.958988913281132</v>
      </c>
      <c r="CZ18" s="87">
        <f>(CY18-CT6)/CY6</f>
        <v>1.1994423815092559</v>
      </c>
      <c r="DA18" s="77">
        <v>90</v>
      </c>
      <c r="DB18" s="81">
        <f>SQRT(((AK6/2/(CU18*2*PI()))*360+DA18)*2*CY6+CT6^2)</f>
        <v>97.165958813522678</v>
      </c>
      <c r="DC18" s="87">
        <f>(DB18-CT6)/CY6</f>
        <v>1.7347585330791369</v>
      </c>
    </row>
    <row r="19" spans="2:107" x14ac:dyDescent="0.35">
      <c r="B19" s="77" t="s">
        <v>625</v>
      </c>
      <c r="C19" s="85" t="s">
        <v>7</v>
      </c>
      <c r="D19" s="9">
        <v>6.68</v>
      </c>
      <c r="E19" s="9">
        <v>3.1</v>
      </c>
      <c r="F19" s="77">
        <f t="shared" si="14"/>
        <v>7.36</v>
      </c>
      <c r="G19" s="228">
        <v>2.4</v>
      </c>
      <c r="H19" s="228">
        <v>1.9</v>
      </c>
      <c r="I19" s="442">
        <f t="shared" si="15"/>
        <v>3.06</v>
      </c>
      <c r="J19" s="87">
        <f>VLOOKUP(C19,基础属性系数!$B$97:$E$100,4,FALSE)*SQRT(VLOOKUP(C19,基础属性系数!$B$97:$E$100,2,FALSE)/F19)</f>
        <v>1.864719578874718</v>
      </c>
      <c r="K19" s="457">
        <v>2.3000000000000003</v>
      </c>
      <c r="L19" s="457">
        <v>1.9</v>
      </c>
      <c r="M19" s="457">
        <v>1.4000000000000001</v>
      </c>
      <c r="N19" s="457">
        <v>1.4000000000000001</v>
      </c>
      <c r="O19" s="457">
        <v>1.2</v>
      </c>
      <c r="P19" s="457">
        <v>0.8</v>
      </c>
      <c r="Q19" s="457">
        <v>0.6</v>
      </c>
      <c r="R19" s="81">
        <f>基础属性系数!$E$61*2/F19</f>
        <v>9.5108695652173905E-2</v>
      </c>
      <c r="S19" s="81">
        <f>(H19/基础属性系数!$C$94-H19/基础属性系数!$C$94/I19*基础属性系数!$E$61*2)/F19</f>
        <v>0.1244360969025291</v>
      </c>
      <c r="T19" s="81">
        <f>(G19/基础属性系数!$C$94-G19/基础属性系数!$C$94/I19*基础属性系数!$E$61*2)/F19*2</f>
        <v>0.31436487638533672</v>
      </c>
      <c r="U19" s="81">
        <f>(H19/基础属性系数!$C$94-H19/基础属性系数!$C$94/I19*基础属性系数!$E$61*2)/F19</f>
        <v>0.1244360969025291</v>
      </c>
      <c r="V19" s="81">
        <f>(E19/基础属性系数!$C$94-I19*E19/基础属性系数!$C$94/F19)/F19</f>
        <v>0.15379936348062381</v>
      </c>
      <c r="W19" s="81">
        <f>(D19/基础属性系数!$C$94-I19*D19/基础属性系数!$C$94/F19)/F19*2</f>
        <v>0.66282564390359167</v>
      </c>
      <c r="X19" s="81">
        <f>(E19/基础属性系数!$C$94-I19*E19/基础属性系数!$C$94/F19)/F19</f>
        <v>0.15379936348062381</v>
      </c>
      <c r="Y19" s="81">
        <f t="shared" si="0"/>
        <v>0.21875</v>
      </c>
      <c r="Z19" s="81">
        <f t="shared" si="1"/>
        <v>0.23642858411480527</v>
      </c>
      <c r="AA19" s="81">
        <f t="shared" si="16"/>
        <v>0.44011082693947146</v>
      </c>
      <c r="AB19" s="81">
        <f t="shared" si="2"/>
        <v>0.17421053566354075</v>
      </c>
      <c r="AC19" s="81">
        <f t="shared" si="3"/>
        <v>0.18455923617674858</v>
      </c>
      <c r="AD19" s="81">
        <f t="shared" si="4"/>
        <v>0.53026051512287331</v>
      </c>
      <c r="AE19" s="81">
        <f t="shared" si="5"/>
        <v>9.2279618088374288E-2</v>
      </c>
      <c r="AF19" s="81">
        <f t="shared" si="17"/>
        <v>1.8765993161058137</v>
      </c>
      <c r="AH19" s="84"/>
      <c r="AI19" s="10"/>
      <c r="AJ19" s="84"/>
      <c r="AK19" s="84"/>
      <c r="AZ19" s="77" t="s">
        <v>245</v>
      </c>
      <c r="BA19" s="81">
        <f t="shared" si="22"/>
        <v>3</v>
      </c>
      <c r="BB19" s="81">
        <f t="shared" si="23"/>
        <v>2.5</v>
      </c>
      <c r="BC19" s="86">
        <f>$AK$24</f>
        <v>0.21244851847038917</v>
      </c>
      <c r="BD19" s="87">
        <f>TAN(RADIANS(BA19+$AK$16))*$AI$10*2/$AK$6</f>
        <v>1.0309908302361595</v>
      </c>
      <c r="BE19" s="87">
        <f>TAN(RADIANS(BA19*2+$AK$16))*$AI$10*2/$AK$6</f>
        <v>1.8552213197303735</v>
      </c>
      <c r="BF19" s="87">
        <f>TAN(RADIANS(BA19*3+$AK$16))*$AI$10*2/$AK$6</f>
        <v>2.6897872659065767</v>
      </c>
      <c r="BG19" s="81">
        <f t="shared" si="26"/>
        <v>2.8611199583027842</v>
      </c>
      <c r="BM19" s="77" t="s">
        <v>245</v>
      </c>
      <c r="BN19" s="77">
        <f t="shared" si="27"/>
        <v>0.64</v>
      </c>
      <c r="BO19" s="479">
        <f t="shared" si="24"/>
        <v>3.64</v>
      </c>
      <c r="BP19" s="81">
        <f t="shared" si="28"/>
        <v>5.6875</v>
      </c>
      <c r="BQ19" s="8">
        <v>3</v>
      </c>
      <c r="BR19" s="77">
        <f t="shared" si="29"/>
        <v>1.28</v>
      </c>
      <c r="BS19" s="86">
        <f>AK26</f>
        <v>0.2614698211958108</v>
      </c>
      <c r="BT19" s="87">
        <f>TAN(RADIANS(BR19+BN19))*$AI$12*2/$AK$6</f>
        <v>0.78467057446987354</v>
      </c>
      <c r="BU19" s="81">
        <f t="shared" si="25"/>
        <v>1.28</v>
      </c>
      <c r="BV19" s="77">
        <f>BR19/基础属性系数!$C$18*3</f>
        <v>0.25600000000000001</v>
      </c>
    </row>
    <row r="20" spans="2:107" ht="15.75" customHeight="1" x14ac:dyDescent="0.35">
      <c r="B20" s="77" t="s">
        <v>719</v>
      </c>
      <c r="C20" s="85" t="s">
        <v>7</v>
      </c>
      <c r="D20" s="9">
        <v>7.42</v>
      </c>
      <c r="E20" s="9">
        <v>3.89</v>
      </c>
      <c r="F20" s="77">
        <f t="shared" si="14"/>
        <v>8.3800000000000008</v>
      </c>
      <c r="G20" s="228">
        <v>3.4</v>
      </c>
      <c r="H20" s="228">
        <v>2.2000000000000002</v>
      </c>
      <c r="I20" s="442">
        <f t="shared" si="15"/>
        <v>4.05</v>
      </c>
      <c r="J20" s="87">
        <f>VLOOKUP(C20,基础属性系数!$B$97:$E$100,4,FALSE)*SQRT(VLOOKUP(C20,基础属性系数!$B$97:$E$100,2,FALSE)/F20)</f>
        <v>1.7475532924598367</v>
      </c>
      <c r="K20" s="457">
        <v>2.1</v>
      </c>
      <c r="L20" s="457">
        <v>1.75</v>
      </c>
      <c r="M20" s="457">
        <v>1.35</v>
      </c>
      <c r="N20" s="457">
        <v>1.35</v>
      </c>
      <c r="O20" s="457">
        <v>1.1000000000000001</v>
      </c>
      <c r="P20" s="457">
        <v>0.8</v>
      </c>
      <c r="Q20" s="457">
        <v>0.55000000000000004</v>
      </c>
      <c r="R20" s="81">
        <f>基础属性系数!$E$61*2/F20</f>
        <v>8.3532219570405714E-2</v>
      </c>
      <c r="S20" s="81">
        <f>(H20/基础属性系数!$C$94-H20/基础属性系数!$C$94/I20*基础属性系数!$E$61*2)/F20</f>
        <v>0.13572144140958778</v>
      </c>
      <c r="T20" s="81">
        <f>(G20/基础属性系数!$C$94-G20/基础属性系数!$C$94/I20*基础属性系数!$E$61*2)/F20*2</f>
        <v>0.4195026370841804</v>
      </c>
      <c r="U20" s="81">
        <f>(H20/基础属性系数!$C$94-H20/基础属性系数!$C$94/I20*基础属性系数!$E$61*2)/F20</f>
        <v>0.13572144140958778</v>
      </c>
      <c r="V20" s="81">
        <f>(E20/基础属性系数!$C$94-I20*E20/基础属性系数!$C$94/F20)/F20</f>
        <v>0.14990961118927323</v>
      </c>
      <c r="W20" s="81">
        <f>(D20/基础属性系数!$C$94-I20*D20/基础属性系数!$C$94/F20)/F20*2</f>
        <v>0.57189167867578772</v>
      </c>
      <c r="X20" s="81">
        <f>(E20/基础属性系数!$C$94-I20*E20/基础属性系数!$C$94/F20)/F20</f>
        <v>0.14990961118927323</v>
      </c>
      <c r="Y20" s="81">
        <f t="shared" si="0"/>
        <v>0.17541766109785201</v>
      </c>
      <c r="Z20" s="81">
        <f t="shared" si="1"/>
        <v>0.23751252246677862</v>
      </c>
      <c r="AA20" s="81">
        <f t="shared" si="16"/>
        <v>0.56632856006364363</v>
      </c>
      <c r="AB20" s="81">
        <f t="shared" si="2"/>
        <v>0.18322394590294352</v>
      </c>
      <c r="AC20" s="81">
        <f t="shared" si="3"/>
        <v>0.16490057230820057</v>
      </c>
      <c r="AD20" s="81">
        <f t="shared" si="4"/>
        <v>0.45751334294063017</v>
      </c>
      <c r="AE20" s="81">
        <f t="shared" si="5"/>
        <v>8.2450286154100286E-2</v>
      </c>
      <c r="AF20" s="81">
        <f t="shared" si="17"/>
        <v>1.8673468909341489</v>
      </c>
      <c r="AH20" s="463" t="s">
        <v>2096</v>
      </c>
      <c r="AI20" s="8">
        <v>0.64</v>
      </c>
      <c r="AJ20" s="463" t="s">
        <v>2097</v>
      </c>
      <c r="AK20" s="228">
        <v>5</v>
      </c>
      <c r="AZ20" s="77" t="s">
        <v>409</v>
      </c>
      <c r="BA20" s="81">
        <f t="shared" si="22"/>
        <v>1.7999999999999998</v>
      </c>
      <c r="BB20" s="81">
        <f t="shared" si="23"/>
        <v>1.5</v>
      </c>
      <c r="BC20" s="86">
        <f>$AK$24</f>
        <v>0.21244851847038917</v>
      </c>
      <c r="BD20" s="87">
        <f>TAN(RADIANS(BA20+$AK$16))*$AI$10*2/$AK$6</f>
        <v>0.70314622895410828</v>
      </c>
      <c r="BE20" s="87">
        <f>TAN(RADIANS(BA20*2+$AK$16))*$AI$10*2/$AK$6</f>
        <v>1.1952356309589216</v>
      </c>
      <c r="BF20" s="87">
        <f>TAN(RADIANS(BA20*3+$AK$16))*$AI$10*2/$AK$6</f>
        <v>1.6896997510463347</v>
      </c>
      <c r="BG20" s="81">
        <f t="shared" si="26"/>
        <v>2.8788454573459044</v>
      </c>
      <c r="BM20" s="77" t="s">
        <v>409</v>
      </c>
      <c r="BN20" s="77">
        <f t="shared" si="27"/>
        <v>0.64</v>
      </c>
      <c r="BO20" s="479">
        <f t="shared" si="24"/>
        <v>3.22</v>
      </c>
      <c r="BP20" s="81">
        <f t="shared" si="28"/>
        <v>5.03125</v>
      </c>
      <c r="BQ20" s="8">
        <v>2</v>
      </c>
      <c r="BR20" s="77">
        <f t="shared" si="29"/>
        <v>0.64</v>
      </c>
      <c r="BS20" s="86">
        <f>AK26</f>
        <v>0.2614698211958108</v>
      </c>
      <c r="BT20" s="87">
        <f>TAN(RADIANS(BR20+BN20))*$AI$12*2/$AK$6</f>
        <v>0.52300490381927234</v>
      </c>
      <c r="BU20" s="81">
        <f t="shared" si="25"/>
        <v>0.53333333333333333</v>
      </c>
      <c r="BV20" s="77">
        <f>BR20/基础属性系数!$C$18*3</f>
        <v>0.128</v>
      </c>
      <c r="BZ20" s="792" t="s">
        <v>313</v>
      </c>
      <c r="CA20" s="789"/>
      <c r="CB20" s="789"/>
      <c r="CC20" s="789"/>
      <c r="CD20" s="789"/>
      <c r="CE20" s="789"/>
      <c r="CF20" s="790"/>
      <c r="CG20" s="84"/>
      <c r="CH20" s="791" t="s">
        <v>688</v>
      </c>
      <c r="CI20" s="789"/>
      <c r="CJ20" s="789"/>
      <c r="CK20" s="789"/>
      <c r="CL20" s="789"/>
      <c r="CM20" s="789"/>
      <c r="CN20" s="790"/>
      <c r="CO20" s="84"/>
      <c r="CQ20" s="787" t="s">
        <v>336</v>
      </c>
      <c r="CR20" s="787"/>
      <c r="CS20" s="787"/>
      <c r="CT20" s="787"/>
      <c r="CU20" s="787"/>
      <c r="CV20" s="787"/>
      <c r="CW20" s="787"/>
      <c r="CX20" s="787"/>
      <c r="CY20" s="787"/>
      <c r="CZ20" s="787"/>
      <c r="DA20" s="787"/>
    </row>
    <row r="21" spans="2:107" x14ac:dyDescent="0.35">
      <c r="B21" s="77" t="s">
        <v>720</v>
      </c>
      <c r="C21" s="85" t="s">
        <v>7</v>
      </c>
      <c r="D21" s="9">
        <v>6.34</v>
      </c>
      <c r="E21" s="9">
        <v>3.42</v>
      </c>
      <c r="F21" s="77">
        <f t="shared" si="14"/>
        <v>7.2</v>
      </c>
      <c r="G21" s="228">
        <v>2.2999999999999998</v>
      </c>
      <c r="H21" s="228">
        <v>2</v>
      </c>
      <c r="I21" s="442">
        <f t="shared" si="15"/>
        <v>3.05</v>
      </c>
      <c r="J21" s="87">
        <f>VLOOKUP(C21,基础属性系数!$B$97:$E$100,4,FALSE)*SQRT(VLOOKUP(C21,基础属性系数!$B$97:$E$100,2,FALSE)/F21)</f>
        <v>1.8853248406254999</v>
      </c>
      <c r="K21" s="457">
        <v>2.25</v>
      </c>
      <c r="L21" s="457">
        <v>1.85</v>
      </c>
      <c r="M21" s="457">
        <v>1.4000000000000001</v>
      </c>
      <c r="N21" s="457">
        <v>1.4000000000000001</v>
      </c>
      <c r="O21" s="457">
        <v>1.1500000000000001</v>
      </c>
      <c r="P21" s="457">
        <v>0.8</v>
      </c>
      <c r="Q21" s="457">
        <v>0.55000000000000004</v>
      </c>
      <c r="R21" s="81">
        <f>基础属性系数!$E$61*2/F21</f>
        <v>9.722222222222221E-2</v>
      </c>
      <c r="S21" s="81">
        <f>(H21/基础属性系数!$C$94-H21/基础属性系数!$C$94/I21*基础属性系数!$E$61*2)/F21</f>
        <v>0.13376593806921674</v>
      </c>
      <c r="T21" s="81">
        <f>(G21/基础属性系数!$C$94-G21/基础属性系数!$C$94/I21*基础属性系数!$E$61*2)/F21*2</f>
        <v>0.3076616575591985</v>
      </c>
      <c r="U21" s="81">
        <f>(H21/基础属性系数!$C$94-H21/基础属性系数!$C$94/I21*基础属性系数!$E$61*2)/F21</f>
        <v>0.13376593806921674</v>
      </c>
      <c r="V21" s="81">
        <f>(E21/基础属性系数!$C$94-I21*E21/基础属性系数!$C$94/F21)/F21</f>
        <v>0.17111545138888887</v>
      </c>
      <c r="W21" s="81">
        <f>(D21/基础属性系数!$C$94-I21*D21/基础属性系数!$C$94/F21)/F21*2</f>
        <v>0.63442804783950613</v>
      </c>
      <c r="X21" s="81">
        <f>(E21/基础属性系数!$C$94-I21*E21/基础属性系数!$C$94/F21)/F21</f>
        <v>0.17111545138888887</v>
      </c>
      <c r="Y21" s="81">
        <f t="shared" si="0"/>
        <v>0.21874999999999997</v>
      </c>
      <c r="Z21" s="81">
        <f t="shared" si="1"/>
        <v>0.24746698542805098</v>
      </c>
      <c r="AA21" s="81">
        <f t="shared" si="16"/>
        <v>0.43072632058287796</v>
      </c>
      <c r="AB21" s="81">
        <f t="shared" si="2"/>
        <v>0.18727231329690347</v>
      </c>
      <c r="AC21" s="81">
        <f t="shared" si="3"/>
        <v>0.19678276909722223</v>
      </c>
      <c r="AD21" s="81">
        <f t="shared" si="4"/>
        <v>0.50754243827160495</v>
      </c>
      <c r="AE21" s="81">
        <f t="shared" si="5"/>
        <v>9.4113498263888887E-2</v>
      </c>
      <c r="AF21" s="81">
        <f t="shared" si="17"/>
        <v>1.8826543249405483</v>
      </c>
      <c r="BZ21" s="77" t="s">
        <v>251</v>
      </c>
      <c r="CA21" s="77" t="s">
        <v>303</v>
      </c>
      <c r="CB21" s="77" t="s">
        <v>304</v>
      </c>
      <c r="CC21" s="77" t="s">
        <v>305</v>
      </c>
      <c r="CD21" s="77" t="s">
        <v>310</v>
      </c>
      <c r="CE21" s="77" t="s">
        <v>307</v>
      </c>
      <c r="CF21" s="77" t="s">
        <v>311</v>
      </c>
      <c r="CG21" s="84"/>
      <c r="CH21" s="78" t="s">
        <v>210</v>
      </c>
      <c r="CI21" s="78" t="s">
        <v>304</v>
      </c>
      <c r="CJ21" s="91" t="s">
        <v>689</v>
      </c>
      <c r="CK21" s="78" t="s">
        <v>305</v>
      </c>
      <c r="CL21" s="78" t="s">
        <v>307</v>
      </c>
      <c r="CM21" s="91" t="s">
        <v>689</v>
      </c>
      <c r="CN21" s="78" t="s">
        <v>305</v>
      </c>
      <c r="CO21" s="84"/>
      <c r="CQ21" s="77" t="s">
        <v>251</v>
      </c>
      <c r="CR21" s="77" t="s">
        <v>318</v>
      </c>
      <c r="CS21" s="77" t="s">
        <v>328</v>
      </c>
      <c r="CT21" s="77" t="s">
        <v>329</v>
      </c>
      <c r="CU21" s="77" t="s">
        <v>330</v>
      </c>
      <c r="CV21" s="77" t="s">
        <v>646</v>
      </c>
      <c r="CW21" s="77" t="s">
        <v>331</v>
      </c>
      <c r="CX21" s="77" t="s">
        <v>332</v>
      </c>
      <c r="CY21" s="77" t="s">
        <v>333</v>
      </c>
      <c r="CZ21" s="77" t="s">
        <v>334</v>
      </c>
      <c r="DA21" s="77" t="s">
        <v>335</v>
      </c>
    </row>
    <row r="22" spans="2:107" x14ac:dyDescent="0.35">
      <c r="B22" s="77" t="s">
        <v>634</v>
      </c>
      <c r="C22" s="85" t="s">
        <v>7</v>
      </c>
      <c r="D22" s="9">
        <v>8.4700000000000006</v>
      </c>
      <c r="E22" s="9">
        <v>3.68</v>
      </c>
      <c r="F22" s="77">
        <f t="shared" si="14"/>
        <v>9.23</v>
      </c>
      <c r="G22" s="228">
        <v>2.7</v>
      </c>
      <c r="H22" s="228">
        <v>3</v>
      </c>
      <c r="I22" s="442">
        <f t="shared" si="15"/>
        <v>4.04</v>
      </c>
      <c r="J22" s="87">
        <f>VLOOKUP(C22,基础属性系数!$B$97:$E$100,4,FALSE)*SQRT(VLOOKUP(C22,基础属性系数!$B$97:$E$100,2,FALSE)/F22)</f>
        <v>1.6651431971872537</v>
      </c>
      <c r="K22" s="457">
        <v>2.4</v>
      </c>
      <c r="L22" s="457">
        <v>1.7999999999999998</v>
      </c>
      <c r="M22" s="457">
        <v>1.35</v>
      </c>
      <c r="N22" s="457">
        <v>1.35</v>
      </c>
      <c r="O22" s="457">
        <v>1.1500000000000001</v>
      </c>
      <c r="P22" s="457">
        <v>0.8</v>
      </c>
      <c r="Q22" s="457">
        <v>0.55000000000000004</v>
      </c>
      <c r="R22" s="81">
        <f>基础属性系数!$E$61*2/F22</f>
        <v>7.5839653304442034E-2</v>
      </c>
      <c r="S22" s="81">
        <f>(H22/基础属性系数!$C$94-H22/基础属性系数!$C$94/I22*基础属性系数!$E$61*2)/F22</f>
        <v>0.16794406959655878</v>
      </c>
      <c r="T22" s="81">
        <f>(G22/基础属性系数!$C$94-G22/基础属性系数!$C$94/I22*基础属性系数!$E$61*2)/F22*2</f>
        <v>0.30229932527380582</v>
      </c>
      <c r="U22" s="81">
        <f>(H22/基础属性系数!$C$94-H22/基础属性系数!$C$94/I22*基础属性系数!$E$61*2)/F22</f>
        <v>0.16794406959655878</v>
      </c>
      <c r="V22" s="81">
        <f>(E22/基础属性系数!$C$94-I22*E22/基础属性系数!$C$94/F22)/F22</f>
        <v>0.14011731024533733</v>
      </c>
      <c r="W22" s="81">
        <f>(D22/基础属性系数!$C$94-I22*D22/基础属性系数!$C$94/F22)/F22*2</f>
        <v>0.64499653140109103</v>
      </c>
      <c r="X22" s="81">
        <f>(E22/基础属性系数!$C$94-I22*E22/基础属性系数!$C$94/F22)/F22</f>
        <v>0.14011731024533733</v>
      </c>
      <c r="Y22" s="81">
        <f t="shared" si="0"/>
        <v>0.18201516793066089</v>
      </c>
      <c r="Z22" s="81">
        <f t="shared" si="1"/>
        <v>0.30229932527380576</v>
      </c>
      <c r="AA22" s="81">
        <f t="shared" si="16"/>
        <v>0.40810408911963786</v>
      </c>
      <c r="AB22" s="81">
        <f t="shared" si="2"/>
        <v>0.22672449395535435</v>
      </c>
      <c r="AC22" s="81">
        <f t="shared" si="3"/>
        <v>0.16113490678213796</v>
      </c>
      <c r="AD22" s="81">
        <f t="shared" si="4"/>
        <v>0.51599722512087287</v>
      </c>
      <c r="AE22" s="81">
        <f t="shared" si="5"/>
        <v>7.7064520634935532E-2</v>
      </c>
      <c r="AF22" s="81">
        <f t="shared" si="17"/>
        <v>1.8733397288174052</v>
      </c>
      <c r="AH22" s="787" t="s">
        <v>239</v>
      </c>
      <c r="AI22" s="787"/>
      <c r="AJ22" s="787"/>
      <c r="AK22" s="787"/>
      <c r="AZ22" s="787" t="s">
        <v>260</v>
      </c>
      <c r="BA22" s="787"/>
      <c r="BB22" s="787"/>
      <c r="BC22" s="787"/>
      <c r="BD22" s="787"/>
      <c r="BE22" s="787"/>
      <c r="BF22" s="787"/>
      <c r="BG22" s="787"/>
      <c r="BM22" s="787" t="s">
        <v>277</v>
      </c>
      <c r="BN22" s="787"/>
      <c r="BO22" s="787"/>
      <c r="BP22" s="787"/>
      <c r="BQ22" s="787"/>
      <c r="BR22" s="787"/>
      <c r="BS22" s="787"/>
      <c r="BT22" s="787"/>
      <c r="BU22" s="787"/>
      <c r="BV22" s="787"/>
      <c r="BW22" s="787"/>
      <c r="BX22" s="787"/>
      <c r="BZ22" s="77" t="s">
        <v>289</v>
      </c>
      <c r="CA22" s="77">
        <f t="shared" ref="CA22:CB24" si="31">CA10</f>
        <v>14.6</v>
      </c>
      <c r="CB22" s="77">
        <f t="shared" si="31"/>
        <v>18.600000000000001</v>
      </c>
      <c r="CC22" s="81">
        <f>CD10</f>
        <v>23.714285714285719</v>
      </c>
      <c r="CD22" s="77">
        <f t="shared" ref="CD22:CE24" si="32">CC16</f>
        <v>14.6</v>
      </c>
      <c r="CE22" s="77">
        <f t="shared" si="32"/>
        <v>18.600000000000001</v>
      </c>
      <c r="CF22" s="81">
        <f>CF16</f>
        <v>16.600000000000001</v>
      </c>
      <c r="CG22" s="88"/>
      <c r="CH22" s="78" t="s">
        <v>211</v>
      </c>
      <c r="CI22" s="78">
        <f>CB10</f>
        <v>18.600000000000001</v>
      </c>
      <c r="CJ22" s="8">
        <v>0.5</v>
      </c>
      <c r="CK22" s="81">
        <f>CI22/CJ22</f>
        <v>37.200000000000003</v>
      </c>
      <c r="CL22" s="78">
        <f>CD16</f>
        <v>18.600000000000001</v>
      </c>
      <c r="CM22" s="8">
        <v>0.3</v>
      </c>
      <c r="CN22" s="81">
        <f>CL22/CM22</f>
        <v>62.000000000000007</v>
      </c>
      <c r="CO22" s="88"/>
      <c r="CQ22" s="77" t="s">
        <v>289</v>
      </c>
      <c r="CR22" s="8">
        <v>30</v>
      </c>
      <c r="CS22" s="81">
        <f>MIN(IF(($CC$4+SQRT($CC$4^2+4*PI()*$CR22/360*($CT4^2/360*PI()*$CR22+$CY4*$AK$4/2-$CC$4*$CT4)))/2/PI()/$CR22*360&gt;$CT4,($CC$4+SQRT($CC$4^2+4*PI()*$CR22/360*($CT4^2/360*PI()*$CR22+$CY4*$AK$4/2-$CC$4*$CT4)))/2/PI()/$CR22*360,$CW4),IF(($CC$4-SQRT($CC$4^2+4*PI()*$CR22/360*($CT4^2/360*PI()*$CR22+$CY4*$AK$4/2-$CC$4*$CT4)))/2/PI()/$CR22*360&gt;$CT4,($CC$4-SQRT($CC$4^2+4*PI()*$CR22/360*($CT4^2/360*PI()*$CR22+$CY4*$AK$4/2-$CC$4*$CT4)))/2/PI()/$CR22*360,$CW4))</f>
        <v>58.919159932619657</v>
      </c>
      <c r="CT22" s="81">
        <f>MIN(IF(($CC$5+SQRT($CC$5^2+4*PI()*$CR22/360*($CT4^2/360*PI()*$CR22+$CY4*$AK$5/2-$CC$5*$CT4)))/2/PI()/$CR22*360&gt;$CT4,($CC$5+SQRT($CC$5^2+4*PI()*$CR22/360*($CT4^2/360*PI()*$CR22+$CY4*$AK$5/2-$CC$5*$CT4)))/2/PI()/$CR22*360,$CW4),IF(($CC$5-SQRT($CC$5^2+4*PI()*$CR22/360*($CT4^2/360*PI()*$CR22+$CY4*$AK$5/2-$CC$5*$CT4)))/2/PI()/$CR22*360&gt;$CT4,($CC$5-SQRT($CC$5^2+4*PI()*$CR22/360*($CT4^2/360*PI()*$CR22+$CY4*$AK$5/2-$CC$5*$CT4)))/2/PI()/$CR22*360,$CW4))</f>
        <v>58.537497294400232</v>
      </c>
      <c r="CU22" s="81">
        <f>MIN(IF(($CC$6+SQRT($CC$6^2+4*PI()*$CR22/360*($CT4^2/360*PI()*$CR22+$CY4*$AK$6/2-$CC$6*$CT4)))/2/PI()/$CR22*360&gt;$CT4,($CC$6+SQRT($CC$6^2+4*PI()*$CR22/360*($CT4^2/360*PI()*$CR22+$CY4*$AK$6/2-$CC$6*$CT4)))/2/PI()/$CR22*360,$CW4),IF(($CC$6-SQRT($CC$6^2+4*PI()*$CR22/360*($CT4^2/360*PI()*$CR22+$CY4*$AK$6/2-$CC$6*$CT4)))/2/PI()/$CR22*360&gt;$CT4,($CC$6-SQRT($CC$6^2+4*PI()*$CR22/360*($CT4^2/360*PI()*$CR22+$CY4*$AK$6/2-$CC$6*$CT4)))/2/PI()/$CR22*360,$CW4))</f>
        <v>54.678073753095354</v>
      </c>
      <c r="CV22" s="81">
        <f t="shared" ref="CV22:CX24" si="33">IF(45/AVERAGE($CT4,$CW4)+$CS28&gt;$CX4,$CW4,1)</f>
        <v>58.919159932619657</v>
      </c>
      <c r="CW22" s="81">
        <f t="shared" si="33"/>
        <v>58.919159932619657</v>
      </c>
      <c r="CX22" s="81">
        <f t="shared" si="33"/>
        <v>58.919159932619657</v>
      </c>
      <c r="CY22" s="81">
        <f t="shared" ref="CY22:DA24" si="34">IF(90/AVERAGE($CT4,$CW4)+$CS28&gt;$CX4,$CW4,1)</f>
        <v>58.919159932619657</v>
      </c>
      <c r="CZ22" s="81">
        <f t="shared" si="34"/>
        <v>58.919159932619657</v>
      </c>
      <c r="DA22" s="81">
        <f t="shared" si="34"/>
        <v>58.919159932619657</v>
      </c>
    </row>
    <row r="23" spans="2:107" x14ac:dyDescent="0.35">
      <c r="B23" s="77" t="s">
        <v>636</v>
      </c>
      <c r="C23" s="85" t="s">
        <v>7</v>
      </c>
      <c r="D23" s="9">
        <v>8.49</v>
      </c>
      <c r="E23" s="9">
        <v>3.73</v>
      </c>
      <c r="F23" s="77">
        <f t="shared" si="14"/>
        <v>9.27</v>
      </c>
      <c r="G23" s="228">
        <v>4.3</v>
      </c>
      <c r="H23" s="228">
        <v>3</v>
      </c>
      <c r="I23" s="442">
        <f t="shared" si="15"/>
        <v>5.24</v>
      </c>
      <c r="J23" s="87">
        <f>VLOOKUP(C23,基础属性系数!$B$97:$E$100,4,FALSE)*SQRT(VLOOKUP(C23,基础属性系数!$B$97:$E$100,2,FALSE)/F23)</f>
        <v>1.6615467713963177</v>
      </c>
      <c r="K23" s="457">
        <v>2.2000000000000002</v>
      </c>
      <c r="L23" s="457">
        <v>1.7000000000000002</v>
      </c>
      <c r="M23" s="457">
        <v>1.3</v>
      </c>
      <c r="N23" s="457">
        <v>1.3</v>
      </c>
      <c r="O23" s="457">
        <v>1.1000000000000001</v>
      </c>
      <c r="P23" s="457">
        <v>0.75</v>
      </c>
      <c r="Q23" s="457">
        <v>0.5</v>
      </c>
      <c r="R23" s="81">
        <f>基础属性系数!$E$61*2/F23</f>
        <v>7.5512405609492989E-2</v>
      </c>
      <c r="S23" s="81">
        <f>(H23/基础属性系数!$C$94-H23/基础属性系数!$C$94/I23*基础属性系数!$E$61*2)/F23</f>
        <v>0.17524518886336127</v>
      </c>
      <c r="T23" s="81">
        <f>(G23/基础属性系数!$C$94-G23/基础属性系数!$C$94/I23*基础属性系数!$E$61*2)/F23*2</f>
        <v>0.50236954140830226</v>
      </c>
      <c r="U23" s="81">
        <f>(H23/基础属性系数!$C$94-H23/基础属性系数!$C$94/I23*基础属性系数!$E$61*2)/F23</f>
        <v>0.17524518886336127</v>
      </c>
      <c r="V23" s="81">
        <f>(E23/基础属性系数!$C$94-I23*E23/基础属性系数!$C$94/F23)/F23</f>
        <v>0.1093287611613247</v>
      </c>
      <c r="W23" s="81">
        <f>(D23/基础属性系数!$C$94-I23*D23/基础属性系数!$C$94/F23)/F23*2</f>
        <v>0.49769500389257193</v>
      </c>
      <c r="X23" s="81">
        <f>(E23/基础属性系数!$C$94-I23*E23/基础属性系数!$C$94/F23)/F23</f>
        <v>0.1093287611613247</v>
      </c>
      <c r="Y23" s="81">
        <f t="shared" si="0"/>
        <v>0.16612729234088458</v>
      </c>
      <c r="Z23" s="81">
        <f t="shared" si="1"/>
        <v>0.29791682106771417</v>
      </c>
      <c r="AA23" s="81">
        <f t="shared" si="16"/>
        <v>0.65308040383079291</v>
      </c>
      <c r="AB23" s="81">
        <f t="shared" si="2"/>
        <v>0.22781874552236966</v>
      </c>
      <c r="AC23" s="81">
        <f t="shared" si="3"/>
        <v>0.12026163727745717</v>
      </c>
      <c r="AD23" s="81">
        <f t="shared" si="4"/>
        <v>0.37327125291942898</v>
      </c>
      <c r="AE23" s="81">
        <f t="shared" si="5"/>
        <v>5.466438058066235E-2</v>
      </c>
      <c r="AF23" s="81">
        <f t="shared" si="17"/>
        <v>1.8931405335393099</v>
      </c>
      <c r="AH23" s="77" t="s">
        <v>23</v>
      </c>
      <c r="AI23" s="77" t="s">
        <v>236</v>
      </c>
      <c r="AJ23" s="77" t="s">
        <v>237</v>
      </c>
      <c r="AK23" s="77" t="s">
        <v>238</v>
      </c>
      <c r="AZ23" s="77" t="s">
        <v>251</v>
      </c>
      <c r="BA23" s="77" t="s">
        <v>259</v>
      </c>
      <c r="BB23" s="77" t="s">
        <v>257</v>
      </c>
      <c r="BC23" s="77" t="s">
        <v>256</v>
      </c>
      <c r="BD23" s="77" t="s">
        <v>255</v>
      </c>
      <c r="BE23" s="77" t="s">
        <v>262</v>
      </c>
      <c r="BF23" s="77" t="s">
        <v>263</v>
      </c>
      <c r="BG23" s="77" t="s">
        <v>264</v>
      </c>
      <c r="BM23" s="77" t="s">
        <v>251</v>
      </c>
      <c r="BN23" s="77" t="s">
        <v>268</v>
      </c>
      <c r="BO23" s="77" t="s">
        <v>278</v>
      </c>
      <c r="BP23" s="77" t="s">
        <v>279</v>
      </c>
      <c r="BQ23" s="77" t="s">
        <v>282</v>
      </c>
      <c r="BR23" s="77" t="s">
        <v>283</v>
      </c>
      <c r="BS23" s="77" t="s">
        <v>284</v>
      </c>
      <c r="BT23" s="77" t="s">
        <v>280</v>
      </c>
      <c r="BU23" s="77" t="s">
        <v>285</v>
      </c>
      <c r="BV23" s="77" t="s">
        <v>286</v>
      </c>
      <c r="BW23" s="77" t="s">
        <v>282</v>
      </c>
      <c r="BX23" s="77" t="s">
        <v>281</v>
      </c>
      <c r="BZ23" s="77" t="s">
        <v>290</v>
      </c>
      <c r="CA23" s="142">
        <f t="shared" si="31"/>
        <v>12.3</v>
      </c>
      <c r="CB23" s="142">
        <f t="shared" si="31"/>
        <v>16.3</v>
      </c>
      <c r="CC23" s="81">
        <f>CD11</f>
        <v>10.214285714285715</v>
      </c>
      <c r="CD23" s="142">
        <f t="shared" si="32"/>
        <v>12.3</v>
      </c>
      <c r="CE23" s="142">
        <f t="shared" si="32"/>
        <v>16.3</v>
      </c>
      <c r="CF23" s="81">
        <f>CF17</f>
        <v>7.15</v>
      </c>
      <c r="CG23" s="88"/>
      <c r="CH23" s="78" t="s">
        <v>228</v>
      </c>
      <c r="CI23" s="78">
        <f>CB11</f>
        <v>16.3</v>
      </c>
      <c r="CJ23" s="8">
        <v>1</v>
      </c>
      <c r="CK23" s="81">
        <f>CI23/CJ23</f>
        <v>16.3</v>
      </c>
      <c r="CL23" s="78">
        <f>CD17</f>
        <v>16.3</v>
      </c>
      <c r="CM23" s="8">
        <v>0.6</v>
      </c>
      <c r="CN23" s="81">
        <f>CL23/CM23</f>
        <v>27.166666666666668</v>
      </c>
      <c r="CO23" s="88"/>
      <c r="CQ23" s="77" t="s">
        <v>290</v>
      </c>
      <c r="CR23" s="8">
        <v>35</v>
      </c>
      <c r="CS23" s="81">
        <f>MIN(IF(($CC$4+SQRT($CC$4^2+4*PI()*$CR23/360*($CT5^2/360*PI()*$CR23+$CY5*$AK$4/2-$CC$4*$CT5)))/2/PI()/$CR23*360&gt;$CT5,($CC$4+SQRT($CC$4^2+4*PI()*$CR23/360*($CT5^2/360*PI()*$CR23+$CY5*$AK$4/2-$CC$4*$CT5)))/2/PI()/$CR23*360,$CW5),IF(($CC$4-SQRT($CC$4^2+4*PI()*$CR23/360*($CT5^2/360*PI()*$CR23+$CY5*$AK$4/2-$CC$4*$CT5)))/2/PI()/$CR23*360&gt;$CT5,($CC$4-SQRT($CC$4^2+4*PI()*$CR23/360*($CT5^2/360*PI()*$CR23+$CY5*$AK$4/2-$CC$4*$CT5)))/2/PI()/$CR23*360,$CW5))</f>
        <v>54.500589112436487</v>
      </c>
      <c r="CT23" s="81">
        <f>MIN(IF(($CC$5+SQRT($CC$5^2+4*PI()*$CR23/360*($CT5^2/360*PI()*$CR23+$CY5*$AK$5/2-$CC$5*$CT5)))/2/PI()/$CR23*360&gt;$CT5,($CC$5+SQRT($CC$5^2+4*PI()*$CR23/360*($CT5^2/360*PI()*$CR23+$CY5*$AK$5/2-$CC$5*$CT5)))/2/PI()/$CR23*360,$CW5),IF(($CC$5-SQRT($CC$5^2+4*PI()*$CR23/360*($CT5^2/360*PI()*$CR23+$CY5*$AK$5/2-$CC$5*$CT5)))/2/PI()/$CR23*360&gt;$CT5,($CC$5-SQRT($CC$5^2+4*PI()*$CR23/360*($CT5^2/360*PI()*$CR23+$CY5*$AK$5/2-$CC$5*$CT5)))/2/PI()/$CR23*360,$CW5))</f>
        <v>50.821546222243924</v>
      </c>
      <c r="CU23" s="81">
        <f>MIN(IF(($CC$6+SQRT($CC$6^2+4*PI()*$CR23/360*($CT5^2/360*PI()*$CR23+$CY5*$AK$6/2-$CC$6*$CT5)))/2/PI()/$CR23*360&gt;$CT5,($CC$6+SQRT($CC$6^2+4*PI()*$CR23/360*($CT5^2/360*PI()*$CR23+$CY5*$AK$6/2-$CC$6*$CT5)))/2/PI()/$CR23*360,$CW5),IF(($CC$6-SQRT($CC$6^2+4*PI()*$CR23/360*($CT5^2/360*PI()*$CR23+$CY5*$AK$6/2-$CC$6*$CT5)))/2/PI()/$CR23*360&gt;$CT5,($CC$6-SQRT($CC$6^2+4*PI()*$CR23/360*($CT5^2/360*PI()*$CR23+$CY5*$AK$6/2-$CC$6*$CT5)))/2/PI()/$CR23*360,$CW5))</f>
        <v>47.723417356106069</v>
      </c>
      <c r="CV23" s="81">
        <f t="shared" si="33"/>
        <v>55.615103314031913</v>
      </c>
      <c r="CW23" s="81">
        <f t="shared" si="33"/>
        <v>55.615103314031913</v>
      </c>
      <c r="CX23" s="81">
        <f t="shared" si="33"/>
        <v>55.615103314031913</v>
      </c>
      <c r="CY23" s="81">
        <f t="shared" si="34"/>
        <v>55.615103314031913</v>
      </c>
      <c r="CZ23" s="81">
        <f t="shared" si="34"/>
        <v>55.615103314031913</v>
      </c>
      <c r="DA23" s="81">
        <f t="shared" si="34"/>
        <v>55.615103314031913</v>
      </c>
    </row>
    <row r="24" spans="2:107" x14ac:dyDescent="0.35">
      <c r="B24" s="77" t="s">
        <v>721</v>
      </c>
      <c r="C24" s="85" t="s">
        <v>6</v>
      </c>
      <c r="D24" s="9">
        <v>6.6</v>
      </c>
      <c r="E24" s="9">
        <v>3.26</v>
      </c>
      <c r="F24" s="77">
        <f t="shared" si="14"/>
        <v>7.36</v>
      </c>
      <c r="G24" s="228">
        <v>2.4</v>
      </c>
      <c r="H24" s="228">
        <v>1.8</v>
      </c>
      <c r="I24" s="442">
        <f t="shared" si="15"/>
        <v>3</v>
      </c>
      <c r="J24" s="87">
        <f>VLOOKUP(C24,基础属性系数!$B$97:$E$100,4,FALSE)*SQRT(VLOOKUP(C24,基础属性系数!$B$97:$E$100,2,FALSE)/F24)</f>
        <v>1.916406425899164</v>
      </c>
      <c r="K24" s="457">
        <v>2.5499999999999998</v>
      </c>
      <c r="L24" s="457">
        <v>2.0499999999999998</v>
      </c>
      <c r="M24" s="457">
        <v>1.5</v>
      </c>
      <c r="N24" s="457">
        <v>1.5</v>
      </c>
      <c r="O24" s="457">
        <v>1.1000000000000001</v>
      </c>
      <c r="P24" s="457">
        <v>0.75</v>
      </c>
      <c r="Q24" s="457">
        <v>0.4</v>
      </c>
      <c r="R24" s="81">
        <f>基础属性系数!$E$61*2/F24</f>
        <v>9.5108695652173905E-2</v>
      </c>
      <c r="S24" s="81">
        <f>(H24/基础属性系数!$C$94-H24/基础属性系数!$C$94/I24*基础属性系数!$E$61*2)/F24</f>
        <v>0.1171875</v>
      </c>
      <c r="T24" s="81">
        <f>(G24/基础属性系数!$C$94-G24/基础属性系数!$C$94/I24*基础属性系数!$E$61*2)/F24*2</f>
        <v>0.31249999999999994</v>
      </c>
      <c r="U24" s="81">
        <f>(H24/基础属性系数!$C$94-H24/基础属性系数!$C$94/I24*基础属性系数!$E$61*2)/F24</f>
        <v>0.1171875</v>
      </c>
      <c r="V24" s="81">
        <f>(E24/基础属性系数!$C$94-I24*E24/基础属性系数!$C$94/F24)/F24</f>
        <v>0.16399419600661622</v>
      </c>
      <c r="W24" s="81">
        <f>(D24/基础属性系数!$C$94-I24*D24/基础属性系数!$C$94/F24)/F24*2</f>
        <v>0.66402557892249514</v>
      </c>
      <c r="X24" s="81">
        <f>(E24/基础属性系数!$C$94-I24*E24/基础属性系数!$C$94/F24)/F24</f>
        <v>0.16399419600661622</v>
      </c>
      <c r="Y24" s="81">
        <f t="shared" si="0"/>
        <v>0.24252717391304343</v>
      </c>
      <c r="Z24" s="81">
        <f t="shared" si="1"/>
        <v>0.24023437499999997</v>
      </c>
      <c r="AA24" s="81">
        <f t="shared" si="16"/>
        <v>0.46874999999999989</v>
      </c>
      <c r="AB24" s="81">
        <f t="shared" si="2"/>
        <v>0.17578125</v>
      </c>
      <c r="AC24" s="81">
        <f t="shared" si="3"/>
        <v>0.18039361560727785</v>
      </c>
      <c r="AD24" s="81">
        <f t="shared" si="4"/>
        <v>0.49801918419187136</v>
      </c>
      <c r="AE24" s="81">
        <f t="shared" si="5"/>
        <v>6.5597678402646492E-2</v>
      </c>
      <c r="AF24" s="81">
        <f t="shared" si="17"/>
        <v>1.8713032771148388</v>
      </c>
      <c r="AH24" s="77" t="s">
        <v>24</v>
      </c>
      <c r="AI24" s="86">
        <f>TAN(RADIANS(AK16))*AI10*2/$AK$4</f>
        <v>0.26478591686179787</v>
      </c>
      <c r="AJ24" s="86">
        <f>TAN(RADIANS(AK16))*AI10*2/$AK$5</f>
        <v>0.22441333887874901</v>
      </c>
      <c r="AK24" s="86">
        <f>TAN(RADIANS(AK16))*AI10*2/$AK$6</f>
        <v>0.21244851847038917</v>
      </c>
      <c r="AZ24" s="77" t="s">
        <v>408</v>
      </c>
      <c r="BA24" s="81">
        <f>BD4</f>
        <v>0.44999999999999996</v>
      </c>
      <c r="BB24" s="81">
        <f t="shared" ref="BB24:BB30" si="35">BA24/$AW$8</f>
        <v>0.375</v>
      </c>
      <c r="BC24" s="86">
        <f>$AI$25</f>
        <v>0.30127565677255386</v>
      </c>
      <c r="BD24" s="87">
        <f>TAN(RADIANS(BA24+$AK$17))*$AI$11*2/$AK$4</f>
        <v>0.49226708228459082</v>
      </c>
      <c r="BE24" s="87">
        <f>TAN(RADIANS(BA24*2+$AK$17))*$AI$11*2/$AK$4</f>
        <v>0.68331926621379646</v>
      </c>
      <c r="BF24" s="87">
        <f>TAN(RADIANS(BA24*3+$AK$17))*$AI$11*2/$AK$4</f>
        <v>0.87445582135131517</v>
      </c>
      <c r="BG24" s="81">
        <f t="shared" ref="BG24:BG30" si="36">(1-BC24)/(BF24-BC24)*BA24*3</f>
        <v>1.6456917417061723</v>
      </c>
      <c r="BM24" s="77" t="s">
        <v>408</v>
      </c>
      <c r="BN24" s="77">
        <f>VLOOKUP(LEFT(BM24,2),$AH$15:$AK$18,4,FALSE)</f>
        <v>0.78</v>
      </c>
      <c r="BO24" s="77">
        <f t="shared" ref="BO24:BO30" si="37">BN24+BR4+BR14</f>
        <v>2.4960000000000004</v>
      </c>
      <c r="BP24" s="89">
        <f t="shared" ref="BP24:BP30" si="38">TAN(RADIANS(BO24))*$AI$10*2/$AK$4</f>
        <v>0.84779896664277588</v>
      </c>
      <c r="BQ24" s="89">
        <f>TAN(RADIANS(BO24))*$AI$10*2/$AK$5</f>
        <v>0.71853291541015474</v>
      </c>
      <c r="BR24" s="89">
        <f>TAN(RADIANS(BO24))*$AI$10*2/$AK$6</f>
        <v>0.68022361822963939</v>
      </c>
      <c r="BS24" s="81">
        <f>TAN(RADIANS(BO24))*$AI$11*2/$AK$4</f>
        <v>1.05974870830347</v>
      </c>
      <c r="BT24" s="81">
        <f>TAN(RADIANS(BO24))*$AI$11*2/$AK$5</f>
        <v>0.89816614426269359</v>
      </c>
      <c r="BU24" s="81">
        <f>TAN(RADIANS(BO24))*$AI$11*2/$AK$6</f>
        <v>0.85027952278704932</v>
      </c>
      <c r="BV24" s="81">
        <f>TAN(RADIANS(BO24))*$AI$12*2/$AK$4</f>
        <v>1.2716984499641639</v>
      </c>
      <c r="BW24" s="81">
        <f>TAN(RADIANS(BO24))*$AI$12*2/$AK$5</f>
        <v>1.0777993731152322</v>
      </c>
      <c r="BX24" s="81">
        <f t="shared" ref="BX24:BX30" si="39">TAN(RADIANS(BO24))*$AI$12*2/$AK$6</f>
        <v>1.0203354273444591</v>
      </c>
      <c r="BZ24" s="77" t="s">
        <v>291</v>
      </c>
      <c r="CA24" s="142">
        <f t="shared" si="31"/>
        <v>10.5</v>
      </c>
      <c r="CB24" s="142">
        <f t="shared" si="31"/>
        <v>14.5</v>
      </c>
      <c r="CC24" s="81">
        <f>CD12</f>
        <v>5.9523809523809526</v>
      </c>
      <c r="CD24" s="142">
        <f t="shared" si="32"/>
        <v>10.5</v>
      </c>
      <c r="CE24" s="142">
        <f t="shared" si="32"/>
        <v>14.5</v>
      </c>
      <c r="CF24" s="81">
        <f>CF18</f>
        <v>4.166666666666667</v>
      </c>
      <c r="CG24" s="88"/>
      <c r="CH24" s="78" t="s">
        <v>212</v>
      </c>
      <c r="CI24" s="78">
        <f>CB12</f>
        <v>14.5</v>
      </c>
      <c r="CJ24" s="8">
        <v>1.5</v>
      </c>
      <c r="CK24" s="81">
        <f>CI24/CJ24</f>
        <v>9.6666666666666661</v>
      </c>
      <c r="CL24" s="78">
        <f>CD18</f>
        <v>14.5</v>
      </c>
      <c r="CM24" s="8">
        <v>0.9</v>
      </c>
      <c r="CN24" s="81">
        <f>CL24/CM24</f>
        <v>16.111111111111111</v>
      </c>
      <c r="CO24" s="88"/>
      <c r="CQ24" s="77" t="s">
        <v>291</v>
      </c>
      <c r="CR24" s="8">
        <v>40</v>
      </c>
      <c r="CS24" s="81">
        <f>MIN(IF(($CC$4+SQRT($CC$4^2+4*PI()*$CR24/360*($CT6^2/360*PI()*$CR24+$CY6*$AK$4/2-$CC$4*$CT6)))/2/PI()/$CR24*360&gt;$CT6,($CC$4+SQRT($CC$4^2+4*PI()*$CR24/360*($CT6^2/360*PI()*$CR24+$CY6*$AK$4/2-$CC$4*$CT6)))/2/PI()/$CR24*360,$CW6),IF(($CC$4-SQRT($CC$4^2+4*PI()*$CR24/360*($CT6^2/360*PI()*$CR24+$CY6*$AK$4/2-$CC$4*$CT6)))/2/PI()/$CR24*360&gt;$CT6,($CC$4-SQRT($CC$4^2+4*PI()*$CR24/360*($CT6^2/360*PI()*$CR24+$CY6*$AK$4/2-$CC$4*$CT6)))/2/PI()/$CR24*360,$CW6))</f>
        <v>47.706468610516595</v>
      </c>
      <c r="CT24" s="81">
        <f>MIN(IF(($CC$5+SQRT($CC$5^2+4*PI()*$CR24/360*($CT6^2/360*PI()*$CR24+$CY6*$AK$5/2-$CC$5*$CT6)))/2/PI()/$CR24*360&gt;$CT6,($CC$5+SQRT($CC$5^2+4*PI()*$CR24/360*($CT6^2/360*PI()*$CR24+$CY6*$AK$5/2-$CC$5*$CT6)))/2/PI()/$CR24*360,$CW6),IF(($CC$5-SQRT($CC$5^2+4*PI()*$CR24/360*($CT6^2/360*PI()*$CR24+$CY6*$AK$5/2-$CC$5*$CT6)))/2/PI()/$CR24*360&gt;$CT6,($CC$5-SQRT($CC$5^2+4*PI()*$CR24/360*($CT6^2/360*PI()*$CR24+$CY6*$AK$5/2-$CC$5*$CT6)))/2/PI()/$CR24*360,$CW6))</f>
        <v>44.507234105875199</v>
      </c>
      <c r="CU24" s="81">
        <f>MIN(IF(($CC$6+SQRT($CC$6^2+4*PI()*$CR24/360*($CT6^2/360*PI()*$CR24+$CY6*$AK$6/2-$CC$6*$CT6)))/2/PI()/$CR24*360&gt;$CT6,($CC$6+SQRT($CC$6^2+4*PI()*$CR24/360*($CT6^2/360*PI()*$CR24+$CY6*$AK$6/2-$CC$6*$CT6)))/2/PI()/$CR24*360,$CW6),IF(($CC$6-SQRT($CC$6^2+4*PI()*$CR24/360*($CT6^2/360*PI()*$CR24+$CY6*$AK$6/2-$CC$6*$CT6)))/2/PI()/$CR24*360&gt;$CT6,($CC$6-SQRT($CC$6^2+4*PI()*$CR24/360*($CT6^2/360*PI()*$CR24+$CY6*$AK$6/2-$CC$6*$CT6)))/2/PI()/$CR24*360,$CW6))</f>
        <v>41.808051650278379</v>
      </c>
      <c r="CV24" s="81">
        <f t="shared" si="33"/>
        <v>48.956060495067007</v>
      </c>
      <c r="CW24" s="81">
        <f t="shared" si="33"/>
        <v>48.956060495067007</v>
      </c>
      <c r="CX24" s="81">
        <f t="shared" si="33"/>
        <v>48.956060495067007</v>
      </c>
      <c r="CY24" s="81">
        <f t="shared" si="34"/>
        <v>48.956060495067007</v>
      </c>
      <c r="CZ24" s="81">
        <f t="shared" si="34"/>
        <v>48.956060495067007</v>
      </c>
      <c r="DA24" s="81">
        <f t="shared" si="34"/>
        <v>48.956060495067007</v>
      </c>
    </row>
    <row r="25" spans="2:107" x14ac:dyDescent="0.35">
      <c r="B25" s="77" t="s">
        <v>630</v>
      </c>
      <c r="C25" s="85" t="s">
        <v>6</v>
      </c>
      <c r="D25" s="9">
        <v>6.44</v>
      </c>
      <c r="E25" s="9">
        <v>2.5099999999999998</v>
      </c>
      <c r="F25" s="77">
        <f t="shared" si="14"/>
        <v>6.91</v>
      </c>
      <c r="G25" s="228">
        <v>1.2</v>
      </c>
      <c r="H25" s="228">
        <v>1.2</v>
      </c>
      <c r="I25" s="442">
        <f t="shared" si="15"/>
        <v>1.7</v>
      </c>
      <c r="J25" s="87">
        <f>VLOOKUP(C25,基础属性系数!$B$97:$E$100,4,FALSE)*SQRT(VLOOKUP(C25,基础属性系数!$B$97:$E$100,2,FALSE)/F25)</f>
        <v>1.9778233594543662</v>
      </c>
      <c r="K25" s="457">
        <v>2.5499999999999998</v>
      </c>
      <c r="L25" s="457">
        <v>2.3499999999999996</v>
      </c>
      <c r="M25" s="457">
        <v>2.1</v>
      </c>
      <c r="N25" s="457">
        <v>2.1</v>
      </c>
      <c r="O25" s="457">
        <v>1.35</v>
      </c>
      <c r="P25" s="457">
        <v>0.85000000000000009</v>
      </c>
      <c r="Q25" s="457">
        <v>0.5</v>
      </c>
      <c r="R25" s="81">
        <f>基础属性系数!$E$61*2/F25</f>
        <v>0.10130246020260492</v>
      </c>
      <c r="S25" s="81">
        <f>(H25/基础属性系数!$C$94-H25/基础属性系数!$C$94/I25*基础属性系数!$E$61*2)/F25</f>
        <v>6.3846088362986289E-2</v>
      </c>
      <c r="T25" s="81">
        <f>(G25/基础属性系数!$C$94-G25/基础属性系数!$C$94/I25*基础属性系数!$E$61*2)/F25*2</f>
        <v>0.12769217672597258</v>
      </c>
      <c r="U25" s="81">
        <f>(H25/基础属性系数!$C$94-H25/基础属性系数!$C$94/I25*基础属性系数!$E$61*2)/F25</f>
        <v>6.3846088362986289E-2</v>
      </c>
      <c r="V25" s="81">
        <f>(E25/基础属性系数!$C$94-I25*E25/基础属性系数!$C$94/F25)/F25</f>
        <v>0.17117304144039239</v>
      </c>
      <c r="W25" s="81">
        <f>(D25/基础属性系数!$C$94-I25*D25/基础属性系数!$C$94/F25)/F25*2</f>
        <v>0.87837002938336817</v>
      </c>
      <c r="X25" s="81">
        <f>(E25/基础属性系数!$C$94-I25*E25/基础属性系数!$C$94/F25)/F25</f>
        <v>0.17117304144039239</v>
      </c>
      <c r="Y25" s="81">
        <f t="shared" si="0"/>
        <v>0.25832127351664252</v>
      </c>
      <c r="Z25" s="81">
        <f t="shared" si="1"/>
        <v>0.15003830765301776</v>
      </c>
      <c r="AA25" s="81">
        <f t="shared" si="16"/>
        <v>0.26815357112454241</v>
      </c>
      <c r="AB25" s="81">
        <f t="shared" si="2"/>
        <v>0.13407678556227121</v>
      </c>
      <c r="AC25" s="81">
        <f t="shared" si="3"/>
        <v>0.23108360594452973</v>
      </c>
      <c r="AD25" s="81">
        <f t="shared" si="4"/>
        <v>0.746614524975863</v>
      </c>
      <c r="AE25" s="81">
        <f t="shared" si="5"/>
        <v>8.5586520720196194E-2</v>
      </c>
      <c r="AF25" s="81">
        <f t="shared" si="17"/>
        <v>1.8738745894970628</v>
      </c>
      <c r="AH25" s="77" t="s">
        <v>7</v>
      </c>
      <c r="AI25" s="86">
        <f>TAN(RADIANS(AK17))*AI11*2/$AK$4</f>
        <v>0.30127565677255386</v>
      </c>
      <c r="AJ25" s="86">
        <f>TAN(RADIANS(AK17))*AI11*2/$AK$5</f>
        <v>0.25533939591849686</v>
      </c>
      <c r="AK25" s="86">
        <f>TAN(RADIANS(AK17))*AI11*2/$AK$6</f>
        <v>0.24172572201386958</v>
      </c>
      <c r="AZ25" s="77" t="s">
        <v>242</v>
      </c>
      <c r="BA25" s="81">
        <f t="shared" ref="BA25:BA30" si="40">BD5</f>
        <v>0.36</v>
      </c>
      <c r="BB25" s="81">
        <f t="shared" si="35"/>
        <v>0.3</v>
      </c>
      <c r="BC25" s="86">
        <f>$AI$25</f>
        <v>0.30127565677255386</v>
      </c>
      <c r="BD25" s="87">
        <f>TAN(RADIANS(BA25+$AK$17))*$AI$11*2/$AK$4</f>
        <v>0.45406469151611661</v>
      </c>
      <c r="BE25" s="87">
        <f>TAN(RADIANS(BA25*2+$AK$17))*$AI$11*2/$AK$4</f>
        <v>0.60688959122147423</v>
      </c>
      <c r="BF25" s="87">
        <f>TAN(RADIANS(BA25*3+$AK$17))*$AI$11*2/$AK$4</f>
        <v>0.75976244013257865</v>
      </c>
      <c r="BG25" s="81">
        <f t="shared" si="36"/>
        <v>1.6458975876150346</v>
      </c>
      <c r="BM25" s="77" t="s">
        <v>242</v>
      </c>
      <c r="BN25" s="77">
        <f t="shared" ref="BN25:BN30" si="41">VLOOKUP(LEFT(BM25,2),$AH$15:$AK$18,4,FALSE)</f>
        <v>0.78</v>
      </c>
      <c r="BO25" s="77">
        <f t="shared" si="37"/>
        <v>1.95</v>
      </c>
      <c r="BP25" s="89">
        <f t="shared" si="38"/>
        <v>0.66217958683072597</v>
      </c>
      <c r="BQ25" s="89">
        <f t="shared" ref="BQ25:BQ30" si="42">TAN(RADIANS(BO25))*$AI$10*2/$AK$5</f>
        <v>0.56121539158593114</v>
      </c>
      <c r="BR25" s="89">
        <f t="shared" ref="BR25:BR30" si="43">TAN(RADIANS(BO25))*$AI$10*2/$AK$6</f>
        <v>0.53129363468733148</v>
      </c>
      <c r="BS25" s="81">
        <f t="shared" ref="BS25:BS30" si="44">TAN(RADIANS(BO25))*$AI$11*2/$AK$4</f>
        <v>0.82772448353840744</v>
      </c>
      <c r="BT25" s="81">
        <f t="shared" ref="BT25:BT30" si="45">TAN(RADIANS(BO25))*$AI$11*2/$AK$5</f>
        <v>0.70151923948241401</v>
      </c>
      <c r="BU25" s="81">
        <f t="shared" ref="BU25:BU30" si="46">TAN(RADIANS(BO25))*$AI$11*2/$AK$6</f>
        <v>0.66411704335916433</v>
      </c>
      <c r="BV25" s="81">
        <f t="shared" ref="BV25:BV30" si="47">TAN(RADIANS(BO25))*$AI$12*2/$AK$4</f>
        <v>0.99326938024608902</v>
      </c>
      <c r="BW25" s="81">
        <f t="shared" ref="BW25:BW30" si="48">TAN(RADIANS(BO25))*$AI$12*2/$AK$5</f>
        <v>0.84182308737889677</v>
      </c>
      <c r="BX25" s="81">
        <f t="shared" si="39"/>
        <v>0.79694045203099717</v>
      </c>
    </row>
    <row r="26" spans="2:107" x14ac:dyDescent="0.35">
      <c r="B26" s="77" t="s">
        <v>631</v>
      </c>
      <c r="C26" s="85" t="s">
        <v>224</v>
      </c>
      <c r="D26" s="9">
        <v>7.18</v>
      </c>
      <c r="E26" s="9">
        <v>3.28</v>
      </c>
      <c r="F26" s="77">
        <f t="shared" si="14"/>
        <v>7.89</v>
      </c>
      <c r="G26" s="228">
        <v>2.5</v>
      </c>
      <c r="H26" s="228">
        <v>1.5</v>
      </c>
      <c r="I26" s="442">
        <f t="shared" si="15"/>
        <v>2.92</v>
      </c>
      <c r="J26" s="87">
        <f>VLOOKUP(C26,基础属性系数!$B$97:$E$100,4,FALSE)*SQRT(VLOOKUP(C26,基础属性系数!$B$97:$E$100,2,FALSE)/F26)</f>
        <v>1.8509216015944796</v>
      </c>
      <c r="K26" s="457">
        <v>2.5</v>
      </c>
      <c r="L26" s="457">
        <v>2.15</v>
      </c>
      <c r="M26" s="457">
        <v>1.6500000000000001</v>
      </c>
      <c r="N26" s="457">
        <v>1.6500000000000001</v>
      </c>
      <c r="O26" s="457">
        <v>1.2</v>
      </c>
      <c r="P26" s="457">
        <v>0.75</v>
      </c>
      <c r="Q26" s="457">
        <v>0.44999999999999996</v>
      </c>
      <c r="R26" s="81">
        <f>基础属性系数!$E$61*2/F26</f>
        <v>8.8719898605830169E-2</v>
      </c>
      <c r="S26" s="81">
        <f>(H26/基础属性系数!$C$94-H26/基础属性系数!$C$94/I26*基础属性系数!$E$61*2)/F26</f>
        <v>9.0336736288348346E-2</v>
      </c>
      <c r="T26" s="81">
        <f>(G26/基础属性系数!$C$94-G26/基础属性系数!$C$94/I26*基础属性系数!$E$61*2)/F26*2</f>
        <v>0.30112245429449452</v>
      </c>
      <c r="U26" s="81">
        <f>(H26/基础属性系数!$C$94-H26/基础属性系数!$C$94/I26*基础属性系数!$E$61*2)/F26</f>
        <v>9.0336736288348346E-2</v>
      </c>
      <c r="V26" s="81">
        <f>(E26/基础属性系数!$C$94-I26*E26/基础属性系数!$C$94/F26)/F26</f>
        <v>0.16366516149655996</v>
      </c>
      <c r="W26" s="81">
        <f>(D26/基础属性系数!$C$94-I26*D26/基础属性系数!$C$94/F26)/F26*2</f>
        <v>0.71653406069835401</v>
      </c>
      <c r="X26" s="81">
        <f>(E26/基础属性系数!$C$94-I26*E26/基础属性系数!$C$94/F26)/F26</f>
        <v>0.16366516149655996</v>
      </c>
      <c r="Y26" s="81">
        <f t="shared" si="0"/>
        <v>0.22179974651457543</v>
      </c>
      <c r="Z26" s="81">
        <f t="shared" si="1"/>
        <v>0.19422398301994895</v>
      </c>
      <c r="AA26" s="81">
        <f t="shared" si="16"/>
        <v>0.496852049585916</v>
      </c>
      <c r="AB26" s="81">
        <f t="shared" si="2"/>
        <v>0.14905561487577479</v>
      </c>
      <c r="AC26" s="81">
        <f t="shared" si="3"/>
        <v>0.19639819379587195</v>
      </c>
      <c r="AD26" s="81">
        <f t="shared" si="4"/>
        <v>0.53740054552376548</v>
      </c>
      <c r="AE26" s="81">
        <f t="shared" si="5"/>
        <v>7.3649322673451978E-2</v>
      </c>
      <c r="AF26" s="81">
        <f t="shared" si="17"/>
        <v>1.8693794559893044</v>
      </c>
      <c r="AH26" s="77" t="s">
        <v>26</v>
      </c>
      <c r="AI26" s="86">
        <f>TAN(RADIANS(AK18))*AI12*2/$AK$4</f>
        <v>0.3258837803882958</v>
      </c>
      <c r="AJ26" s="86">
        <f>TAN(RADIANS(AK18))*AI12*2/$AK$5</f>
        <v>0.27619545673019025</v>
      </c>
      <c r="AK26" s="86">
        <f>TAN(RADIANS(AK18))*AI12*2/$AK$6</f>
        <v>0.2614698211958108</v>
      </c>
      <c r="AZ26" s="77" t="s">
        <v>606</v>
      </c>
      <c r="BA26" s="81">
        <f t="shared" si="40"/>
        <v>1.3499999999999999</v>
      </c>
      <c r="BB26" s="81">
        <f t="shared" si="35"/>
        <v>1.125</v>
      </c>
      <c r="BC26" s="86">
        <f>$AI$25</f>
        <v>0.30127565677255386</v>
      </c>
      <c r="BD26" s="87">
        <f>TAN(RADIANS(BA26+$AK$17))*$AI$11*2/$AK$4</f>
        <v>0.87445582135131517</v>
      </c>
      <c r="BE26" s="87">
        <f>TAN(RADIANS(BA26*2+$AK$17))*$AI$11*2/$AK$4</f>
        <v>1.4486085377103002</v>
      </c>
      <c r="BF26" s="87">
        <f>TAN(RADIANS(BA26*3+$AK$17))*$AI$11*2/$AK$4</f>
        <v>2.0243759998383606</v>
      </c>
      <c r="BG26" s="81">
        <f t="shared" si="36"/>
        <v>1.6422918151337649</v>
      </c>
      <c r="BM26" s="77" t="s">
        <v>607</v>
      </c>
      <c r="BN26" s="77">
        <f>VLOOKUP(LEFT(BM26,2),$AH$15:$AK$18,4,FALSE)</f>
        <v>0.78</v>
      </c>
      <c r="BO26" s="77">
        <f t="shared" si="37"/>
        <v>3.9</v>
      </c>
      <c r="BP26" s="89">
        <f>TAN(RADIANS(BO26))*$AI$10*2/$AK$4</f>
        <v>1.3258961561682263</v>
      </c>
      <c r="BQ26" s="89">
        <f>TAN(RADIANS(BO26))*$AI$10*2/$AK$5</f>
        <v>1.1237334180711478</v>
      </c>
      <c r="BR26" s="89">
        <f>TAN(RADIANS(BO26))*$AI$10*2/$AK$6</f>
        <v>1.0638204529984339</v>
      </c>
      <c r="BS26" s="81">
        <f>TAN(RADIANS(BO26))*$AI$11*2/$AK$4</f>
        <v>1.6573701952102828</v>
      </c>
      <c r="BT26" s="81">
        <f>TAN(RADIANS(BO26))*$AI$11*2/$AK$5</f>
        <v>1.4046667725889348</v>
      </c>
      <c r="BU26" s="81">
        <f>TAN(RADIANS(BO26))*$AI$11*2/$AK$6</f>
        <v>1.3297755662480422</v>
      </c>
      <c r="BV26" s="81">
        <f>TAN(RADIANS(BO26))*$AI$12*2/$AK$4</f>
        <v>1.9888442342523396</v>
      </c>
      <c r="BW26" s="81">
        <f>TAN(RADIANS(BO26))*$AI$12*2/$AK$5</f>
        <v>1.6856001271067218</v>
      </c>
      <c r="BX26" s="81">
        <f>TAN(RADIANS(BO26))*$AI$12*2/$AK$6</f>
        <v>1.5957306794976509</v>
      </c>
      <c r="BZ26" s="792" t="s">
        <v>523</v>
      </c>
      <c r="CA26" s="789"/>
      <c r="CB26" s="789"/>
      <c r="CC26" s="789"/>
      <c r="CD26" s="789"/>
      <c r="CE26" s="789"/>
      <c r="CF26" s="790"/>
      <c r="CG26" s="84"/>
      <c r="CH26" s="84"/>
      <c r="CI26" s="84"/>
      <c r="CJ26" s="84"/>
      <c r="CK26" s="84"/>
      <c r="CL26" s="84"/>
      <c r="CM26" s="84"/>
      <c r="CN26" s="84"/>
      <c r="CO26" s="84"/>
      <c r="CQ26" s="787" t="s">
        <v>337</v>
      </c>
      <c r="CR26" s="787"/>
      <c r="CS26" s="787"/>
      <c r="CT26" s="787"/>
      <c r="CU26" s="787"/>
      <c r="CV26" s="787"/>
      <c r="CW26" s="787"/>
      <c r="CX26" s="787"/>
      <c r="CY26" s="787"/>
      <c r="CZ26" s="787"/>
      <c r="DA26" s="787"/>
    </row>
    <row r="27" spans="2:107" x14ac:dyDescent="0.35">
      <c r="B27" s="77" t="s">
        <v>628</v>
      </c>
      <c r="C27" s="85" t="s">
        <v>224</v>
      </c>
      <c r="D27" s="9">
        <v>6.86</v>
      </c>
      <c r="E27" s="9">
        <v>3.3</v>
      </c>
      <c r="F27" s="77">
        <f t="shared" si="14"/>
        <v>7.61</v>
      </c>
      <c r="G27" s="228">
        <v>2.5</v>
      </c>
      <c r="H27" s="228">
        <v>1.7</v>
      </c>
      <c r="I27" s="442">
        <f t="shared" si="15"/>
        <v>3.02</v>
      </c>
      <c r="J27" s="87">
        <f>VLOOKUP(C27,基础属性系数!$B$97:$E$100,4,FALSE)*SQRT(VLOOKUP(C27,基础属性系数!$B$97:$E$100,2,FALSE)/F27)</f>
        <v>1.8846651381292616</v>
      </c>
      <c r="K27" s="457">
        <v>2.6500000000000004</v>
      </c>
      <c r="L27" s="457">
        <v>2.1</v>
      </c>
      <c r="M27" s="457">
        <v>1.55</v>
      </c>
      <c r="N27" s="457">
        <v>1.55</v>
      </c>
      <c r="O27" s="457">
        <v>1.1500000000000001</v>
      </c>
      <c r="P27" s="457">
        <v>0.70000000000000007</v>
      </c>
      <c r="Q27" s="457">
        <v>0.44999999999999996</v>
      </c>
      <c r="R27" s="81">
        <f>基础属性系数!$E$61*2/F27</f>
        <v>9.1984231274638617E-2</v>
      </c>
      <c r="S27" s="81">
        <f>(H27/基础属性系数!$C$94-H27/基础属性系数!$C$94/I27*基础属性系数!$E$61*2)/F27</f>
        <v>0.10725692057331325</v>
      </c>
      <c r="T27" s="81">
        <f>(G27/基础属性系数!$C$94-G27/基础属性系数!$C$94/I27*基础属性系数!$E$61*2)/F27*2</f>
        <v>0.3154615310979802</v>
      </c>
      <c r="U27" s="81">
        <f>(H27/基础属性系数!$C$94-H27/基础属性系数!$C$94/I27*基础属性系数!$E$61*2)/F27</f>
        <v>0.10725692057331325</v>
      </c>
      <c r="V27" s="81">
        <f>(E27/基础属性系数!$C$94-I27*E27/基础属性系数!$C$94/F27)/F27</f>
        <v>0.16346972394370082</v>
      </c>
      <c r="W27" s="81">
        <f>(D27/基础属性系数!$C$94-I27*D27/基础属性系数!$C$94/F27)/F27*2</f>
        <v>0.67963776136593201</v>
      </c>
      <c r="X27" s="81">
        <f>(E27/基础属性系数!$C$94-I27*E27/基础属性系数!$C$94/F27)/F27</f>
        <v>0.16346972394370082</v>
      </c>
      <c r="Y27" s="81">
        <f t="shared" si="0"/>
        <v>0.24375821287779237</v>
      </c>
      <c r="Z27" s="81">
        <f t="shared" si="1"/>
        <v>0.22523953320395784</v>
      </c>
      <c r="AA27" s="81">
        <f t="shared" si="16"/>
        <v>0.48896537320186934</v>
      </c>
      <c r="AB27" s="81">
        <f t="shared" si="2"/>
        <v>0.16624822688863555</v>
      </c>
      <c r="AC27" s="81">
        <f t="shared" si="3"/>
        <v>0.18799018253525596</v>
      </c>
      <c r="AD27" s="81">
        <f t="shared" si="4"/>
        <v>0.47574643295615243</v>
      </c>
      <c r="AE27" s="81">
        <f t="shared" si="5"/>
        <v>7.3561375774665358E-2</v>
      </c>
      <c r="AF27" s="81">
        <f t="shared" si="17"/>
        <v>1.8615093374383289</v>
      </c>
      <c r="AH27" s="463" t="s">
        <v>2098</v>
      </c>
      <c r="AI27" s="86">
        <f>TAN(RADIANS(AK18/1.8))*AI12*2/$AK$4</f>
        <v>0.1810413387462832</v>
      </c>
      <c r="AJ27" s="86">
        <f>TAN(RADIANS(AK18/1.8))*AI12*2/$AK$5</f>
        <v>0.15343750825062735</v>
      </c>
      <c r="AK27" s="86">
        <f>TAN(RADIANS(AK18/1.8))*AI12*2/$AK$6</f>
        <v>0.14525683485885138</v>
      </c>
      <c r="AZ27" s="77" t="s">
        <v>243</v>
      </c>
      <c r="BA27" s="81">
        <f t="shared" si="40"/>
        <v>1.7999999999999998</v>
      </c>
      <c r="BB27" s="81">
        <f t="shared" si="35"/>
        <v>1.5</v>
      </c>
      <c r="BC27" s="86">
        <f>$AJ$25</f>
        <v>0.25533939591849686</v>
      </c>
      <c r="BD27" s="87">
        <f>TAN(RADIANS(BA27+$AK$17))*$AI$11*2/$AK$5</f>
        <v>0.90321036833005419</v>
      </c>
      <c r="BE27" s="87">
        <f>TAN(RADIANS(BA27*2+$AK$17))*$AI$11*2/$AK$5</f>
        <v>1.5528688118457292</v>
      </c>
      <c r="BF27" s="87">
        <f>TAN(RADIANS(BA27*3+$AK$17))*$AI$11*2/$AK$5</f>
        <v>2.205611952897196</v>
      </c>
      <c r="BG27" s="81">
        <f t="shared" si="36"/>
        <v>2.0618488670473742</v>
      </c>
      <c r="BM27" s="77" t="s">
        <v>243</v>
      </c>
      <c r="BN27" s="77">
        <f t="shared" si="41"/>
        <v>0.71</v>
      </c>
      <c r="BO27" s="77">
        <f t="shared" si="37"/>
        <v>4.6150000000000002</v>
      </c>
      <c r="BP27" s="81">
        <f t="shared" si="38"/>
        <v>1.5699498732887514</v>
      </c>
      <c r="BQ27" s="81">
        <f t="shared" si="42"/>
        <v>1.3305756481032411</v>
      </c>
      <c r="BR27" s="81">
        <f t="shared" si="43"/>
        <v>1.2596346837700385</v>
      </c>
      <c r="BS27" s="89">
        <f t="shared" si="44"/>
        <v>1.9624373416109393</v>
      </c>
      <c r="BT27" s="89">
        <f t="shared" si="45"/>
        <v>1.6632195601290514</v>
      </c>
      <c r="BU27" s="89">
        <f t="shared" si="46"/>
        <v>1.574543354712548</v>
      </c>
      <c r="BV27" s="81">
        <f t="shared" si="47"/>
        <v>2.3549248099331272</v>
      </c>
      <c r="BW27" s="81">
        <f t="shared" si="48"/>
        <v>1.9958634721548616</v>
      </c>
      <c r="BX27" s="81">
        <f t="shared" si="39"/>
        <v>1.8894520256550575</v>
      </c>
      <c r="BZ27" s="77" t="s">
        <v>210</v>
      </c>
      <c r="CA27" s="77" t="s">
        <v>316</v>
      </c>
      <c r="CB27" s="77" t="s">
        <v>297</v>
      </c>
      <c r="CC27" s="77" t="s">
        <v>509</v>
      </c>
      <c r="CD27" s="77" t="s">
        <v>508</v>
      </c>
      <c r="CE27" s="77" t="s">
        <v>510</v>
      </c>
      <c r="CF27" s="77" t="s">
        <v>511</v>
      </c>
      <c r="CG27" s="84"/>
      <c r="CH27" s="84"/>
      <c r="CI27" s="84"/>
      <c r="CJ27" s="84"/>
      <c r="CK27" s="84"/>
      <c r="CL27" s="84"/>
      <c r="CM27" s="84"/>
      <c r="CN27" s="84"/>
      <c r="CO27" s="84"/>
      <c r="CQ27" s="77" t="s">
        <v>251</v>
      </c>
      <c r="CR27" s="77" t="s">
        <v>318</v>
      </c>
      <c r="CS27" s="77" t="s">
        <v>328</v>
      </c>
      <c r="CT27" s="77" t="s">
        <v>329</v>
      </c>
      <c r="CU27" s="77" t="s">
        <v>330</v>
      </c>
      <c r="CV27" s="77" t="s">
        <v>646</v>
      </c>
      <c r="CW27" s="77" t="s">
        <v>331</v>
      </c>
      <c r="CX27" s="77" t="s">
        <v>332</v>
      </c>
      <c r="CY27" s="77" t="s">
        <v>333</v>
      </c>
      <c r="CZ27" s="77" t="s">
        <v>334</v>
      </c>
      <c r="DA27" s="77" t="s">
        <v>335</v>
      </c>
    </row>
    <row r="28" spans="2:107" x14ac:dyDescent="0.35">
      <c r="B28" s="77" t="s">
        <v>632</v>
      </c>
      <c r="C28" s="85" t="s">
        <v>224</v>
      </c>
      <c r="D28" s="9">
        <v>6.1</v>
      </c>
      <c r="E28" s="9">
        <v>3.48</v>
      </c>
      <c r="F28" s="77">
        <f t="shared" si="14"/>
        <v>7.02</v>
      </c>
      <c r="G28" s="228">
        <v>2.5</v>
      </c>
      <c r="H28" s="228">
        <v>2</v>
      </c>
      <c r="I28" s="442">
        <f t="shared" si="15"/>
        <v>3.2</v>
      </c>
      <c r="J28" s="87">
        <f>VLOOKUP(C28,基础属性系数!$B$97:$E$100,4,FALSE)*SQRT(VLOOKUP(C28,基础属性系数!$B$97:$E$100,2,FALSE)/F28)</f>
        <v>1.9622664093008726</v>
      </c>
      <c r="K28" s="457">
        <v>2.4</v>
      </c>
      <c r="L28" s="457">
        <v>1.9500000000000002</v>
      </c>
      <c r="M28" s="457">
        <v>1.45</v>
      </c>
      <c r="N28" s="457">
        <v>1.45</v>
      </c>
      <c r="O28" s="457">
        <v>1.05</v>
      </c>
      <c r="P28" s="457">
        <v>0.70000000000000007</v>
      </c>
      <c r="Q28" s="457">
        <v>0.35000000000000003</v>
      </c>
      <c r="R28" s="81">
        <f>基础属性系数!$E$61*2/F28</f>
        <v>9.9715099715099717E-2</v>
      </c>
      <c r="S28" s="81">
        <f>(H28/基础属性系数!$C$94-H28/基础属性系数!$C$94/I28*基础属性系数!$E$61*2)/F28</f>
        <v>0.13911146723646725</v>
      </c>
      <c r="T28" s="81">
        <f>(G28/基础属性系数!$C$94-G28/基础属性系数!$C$94/I28*基础属性系数!$E$61*2)/F28*2</f>
        <v>0.34777866809116809</v>
      </c>
      <c r="U28" s="81">
        <f>(H28/基础属性系数!$C$94-H28/基础属性系数!$C$94/I28*基础属性系数!$E$61*2)/F28</f>
        <v>0.13911146723646725</v>
      </c>
      <c r="V28" s="81">
        <f>(E28/基础属性系数!$C$94-I28*E28/基础属性系数!$C$94/F28)/F28</f>
        <v>0.16859643996396131</v>
      </c>
      <c r="W28" s="81">
        <f>(D28/基础属性系数!$C$94-I28*D28/基础属性系数!$C$94/F28)/F28*2</f>
        <v>0.59105648493112872</v>
      </c>
      <c r="X28" s="81">
        <f>(E28/基础属性系数!$C$94-I28*E28/基础属性系数!$C$94/F28)/F28</f>
        <v>0.16859643996396131</v>
      </c>
      <c r="Y28" s="81">
        <f t="shared" si="0"/>
        <v>0.2393162393162393</v>
      </c>
      <c r="Z28" s="81">
        <f t="shared" si="1"/>
        <v>0.27126736111111116</v>
      </c>
      <c r="AA28" s="81">
        <f t="shared" si="16"/>
        <v>0.50427906873219375</v>
      </c>
      <c r="AB28" s="81">
        <f t="shared" si="2"/>
        <v>0.20171162749287752</v>
      </c>
      <c r="AC28" s="81">
        <f t="shared" si="3"/>
        <v>0.1770262619621594</v>
      </c>
      <c r="AD28" s="81">
        <f t="shared" si="4"/>
        <v>0.41373953945179015</v>
      </c>
      <c r="AE28" s="81">
        <f t="shared" si="5"/>
        <v>5.9008753987386468E-2</v>
      </c>
      <c r="AF28" s="81">
        <f t="shared" si="17"/>
        <v>1.8663488520537579</v>
      </c>
      <c r="AZ28" s="77" t="s">
        <v>244</v>
      </c>
      <c r="BA28" s="81">
        <f t="shared" si="40"/>
        <v>0.89999999999999991</v>
      </c>
      <c r="BB28" s="81">
        <f t="shared" si="35"/>
        <v>0.75</v>
      </c>
      <c r="BC28" s="86">
        <f>$AJ$25</f>
        <v>0.25533939591849686</v>
      </c>
      <c r="BD28" s="87">
        <f>TAN(RADIANS(BA28+$AK$17))*$AI$11*2/$AK$5</f>
        <v>0.57913185062350603</v>
      </c>
      <c r="BE28" s="87">
        <f>TAN(RADIANS(BA28*2+$AK$17))*$AI$11*2/$AK$5</f>
        <v>0.90321036833005419</v>
      </c>
      <c r="BF28" s="87">
        <f>TAN(RADIANS(BA28*3+$AK$17))*$AI$11*2/$AK$5</f>
        <v>1.2277355326473285</v>
      </c>
      <c r="BG28" s="81">
        <f t="shared" si="36"/>
        <v>2.0676590075560348</v>
      </c>
      <c r="BM28" s="77" t="s">
        <v>244</v>
      </c>
      <c r="BN28" s="77">
        <f t="shared" si="41"/>
        <v>0.71</v>
      </c>
      <c r="BO28" s="77">
        <f t="shared" si="37"/>
        <v>2.4849999999999999</v>
      </c>
      <c r="BP28" s="81">
        <f t="shared" si="38"/>
        <v>0.84405797310472674</v>
      </c>
      <c r="BQ28" s="81">
        <f t="shared" si="42"/>
        <v>0.71536232061211047</v>
      </c>
      <c r="BR28" s="81">
        <f t="shared" si="43"/>
        <v>0.67722206684735553</v>
      </c>
      <c r="BS28" s="89">
        <f t="shared" si="44"/>
        <v>1.0550724663809086</v>
      </c>
      <c r="BT28" s="89">
        <f t="shared" si="45"/>
        <v>0.89420290076513809</v>
      </c>
      <c r="BU28" s="89">
        <f t="shared" si="46"/>
        <v>0.84652758355919444</v>
      </c>
      <c r="BV28" s="81">
        <f t="shared" si="47"/>
        <v>1.2660869596570903</v>
      </c>
      <c r="BW28" s="81">
        <f t="shared" si="48"/>
        <v>1.0730434809181657</v>
      </c>
      <c r="BX28" s="81">
        <f t="shared" si="39"/>
        <v>1.0158331002710332</v>
      </c>
      <c r="BZ28" s="77" t="s">
        <v>211</v>
      </c>
      <c r="CA28" s="77">
        <f>AI10</f>
        <v>60</v>
      </c>
      <c r="CB28" s="77">
        <f>CA10</f>
        <v>14.6</v>
      </c>
      <c r="CC28" s="77">
        <f>$CB28*1.05</f>
        <v>15.33</v>
      </c>
      <c r="CD28" s="77">
        <f>$CB28*1.1</f>
        <v>16.060000000000002</v>
      </c>
      <c r="CE28" s="77">
        <f>$CB28*1.15</f>
        <v>16.79</v>
      </c>
      <c r="CF28" s="77">
        <f>$CB28*1.2</f>
        <v>17.52</v>
      </c>
      <c r="CG28" s="84"/>
      <c r="CH28" s="84"/>
      <c r="CI28" s="84"/>
      <c r="CJ28" s="84"/>
      <c r="CK28" s="84"/>
      <c r="CL28" s="84"/>
      <c r="CM28" s="84"/>
      <c r="CN28" s="84"/>
      <c r="CO28" s="84"/>
      <c r="CQ28" s="77" t="s">
        <v>289</v>
      </c>
      <c r="CR28" s="8">
        <f>CR22</f>
        <v>30</v>
      </c>
      <c r="CS28" s="81">
        <f t="shared" ref="CS28:CU30" si="49">(CS22-$CT4)/$CY4</f>
        <v>0.75</v>
      </c>
      <c r="CT28" s="81">
        <f t="shared" si="49"/>
        <v>0.743522266124366</v>
      </c>
      <c r="CU28" s="81">
        <f t="shared" si="49"/>
        <v>0.67801855653789977</v>
      </c>
      <c r="CV28" s="81">
        <f>(180*$CY4*$AK$4+180*$CY4*PI()*$CR28+($CW4-$CT4)^2*PI()*$CR28)/(2*$CY4*$CW4*PI()*$CR28-360*$CY4*$CC$4)</f>
        <v>4.1517357676037765</v>
      </c>
      <c r="CW28" s="81">
        <f>(180*$CY4*$AK$5+180*$CY4*PI()*$CR28+($CW4-$CT4)^2*PI()*$CR28)/(2*$CY4*$CW4*PI()*$CR28-360*$CY4*$CC$5)</f>
        <v>3.5884706004909721</v>
      </c>
      <c r="CX28" s="81">
        <f>(180*$CY4*$AK$6+180*$CY4*PI()*$CR28+($CW4-$CT4)^2*PI()*$CR28)/(2*$CY4*$CW4*PI()*$CR28-360*$CY4*$CC$6)</f>
        <v>3.2504333680570507</v>
      </c>
      <c r="CY28" s="81">
        <f>(180*$CY4*$AK$4+360*$CY4*PI()*$CR28+($CW4-$CT4)^2*PI()*$CR28)/(2*$CY4*$CW4*PI()*$CR28-360*$CY4*$CC$4)</f>
        <v>7.4742191850312905</v>
      </c>
      <c r="CZ28" s="81">
        <f>(180*$CY4*$AK$5+360*$CY4*PI()*$CR28+($CW4-$CT4)^2*PI()*$CR28)/(2*$CY4*$CW4*PI()*$CR28-360*$CY4*$CC$5)</f>
        <v>6.433379859886645</v>
      </c>
      <c r="DA28" s="81">
        <f>(180*$CY4*$AK$6+360*$CY4*PI()*$CR28+($CW4-$CT4)^2*PI()*$CR28)/(2*$CY4*$CW4*PI()*$CR28-360*$CY4*$CC$6)</f>
        <v>5.818492757912467</v>
      </c>
    </row>
    <row r="29" spans="2:107" x14ac:dyDescent="0.35">
      <c r="B29" s="77" t="s">
        <v>633</v>
      </c>
      <c r="C29" s="85" t="s">
        <v>224</v>
      </c>
      <c r="D29" s="9">
        <v>6.54</v>
      </c>
      <c r="E29" s="9">
        <v>3.23</v>
      </c>
      <c r="F29" s="77">
        <f t="shared" si="14"/>
        <v>7.29</v>
      </c>
      <c r="G29" s="228">
        <v>2.5</v>
      </c>
      <c r="H29" s="228">
        <v>1.9</v>
      </c>
      <c r="I29" s="442">
        <f t="shared" si="15"/>
        <v>3.14</v>
      </c>
      <c r="J29" s="87">
        <f>VLOOKUP(C29,基础属性系数!$B$97:$E$100,4,FALSE)*SQRT(VLOOKUP(C29,基础属性系数!$B$97:$E$100,2,FALSE)/F29)</f>
        <v>1.9255852981081232</v>
      </c>
      <c r="K29" s="457">
        <v>2.5</v>
      </c>
      <c r="L29" s="457">
        <v>2</v>
      </c>
      <c r="M29" s="457">
        <v>1.5</v>
      </c>
      <c r="N29" s="457">
        <v>1.5</v>
      </c>
      <c r="O29" s="457">
        <v>1.1000000000000001</v>
      </c>
      <c r="P29" s="457">
        <v>0.70000000000000007</v>
      </c>
      <c r="Q29" s="457">
        <v>0.4</v>
      </c>
      <c r="R29" s="81">
        <f>基础属性系数!$E$61*2/F29</f>
        <v>9.6021947873799723E-2</v>
      </c>
      <c r="S29" s="81">
        <f>(H29/基础属性系数!$C$94-H29/基础属性系数!$C$94/I29*基础属性系数!$E$61*2)/F29</f>
        <v>0.12658034302290022</v>
      </c>
      <c r="T29" s="81">
        <f>(G29/基础属性系数!$C$94-G29/基础属性系数!$C$94/I29*基础属性系数!$E$61*2)/F29*2</f>
        <v>0.33310616584973746</v>
      </c>
      <c r="U29" s="81">
        <f>(H29/基础属性系数!$C$94-H29/基础属性系数!$C$94/I29*基础属性系数!$E$61*2)/F29</f>
        <v>0.12658034302290022</v>
      </c>
      <c r="V29" s="81">
        <f>(E29/基础属性系数!$C$94-I29*E29/基础属性系数!$C$94/F29)/F29</f>
        <v>0.15764332258896094</v>
      </c>
      <c r="W29" s="81">
        <f>(D29/基础属性系数!$C$94-I29*D29/基础属性系数!$C$94/F29)/F29*2</f>
        <v>0.63838224751195316</v>
      </c>
      <c r="X29" s="81">
        <f>(E29/基础属性系数!$C$94-I29*E29/基础属性系数!$C$94/F29)/F29</f>
        <v>0.15764332258896094</v>
      </c>
      <c r="Y29" s="81">
        <f t="shared" si="0"/>
        <v>0.24005486968449929</v>
      </c>
      <c r="Z29" s="81">
        <f t="shared" si="1"/>
        <v>0.25316068604580044</v>
      </c>
      <c r="AA29" s="81">
        <f t="shared" si="16"/>
        <v>0.49965924877460621</v>
      </c>
      <c r="AB29" s="81">
        <f t="shared" si="2"/>
        <v>0.18987051453435033</v>
      </c>
      <c r="AC29" s="81">
        <f t="shared" si="3"/>
        <v>0.17340765484785706</v>
      </c>
      <c r="AD29" s="81">
        <f t="shared" si="4"/>
        <v>0.44686757325836723</v>
      </c>
      <c r="AE29" s="81">
        <f t="shared" si="5"/>
        <v>6.3057329035584378E-2</v>
      </c>
      <c r="AF29" s="81">
        <f t="shared" si="17"/>
        <v>1.866077876181065</v>
      </c>
      <c r="AZ29" s="77" t="s">
        <v>245</v>
      </c>
      <c r="BA29" s="81">
        <f t="shared" si="40"/>
        <v>2.25</v>
      </c>
      <c r="BB29" s="81">
        <f t="shared" si="35"/>
        <v>1.875</v>
      </c>
      <c r="BC29" s="86">
        <f>$AK$25</f>
        <v>0.24172572201386958</v>
      </c>
      <c r="BD29" s="87">
        <f>TAN(RADIANS(BA29+$AK$17))*$AI$11*2/$AK$6</f>
        <v>1.0086038155269506</v>
      </c>
      <c r="BE29" s="87">
        <f>TAN(RADIANS(BA29*2+$AK$17))*$AI$11*2/$AK$6</f>
        <v>1.7786042364263315</v>
      </c>
      <c r="BF29" s="87">
        <f>TAN(RADIANS(BA29*3+$AK$17))*$AI$11*2/$AK$6</f>
        <v>2.5541416923120615</v>
      </c>
      <c r="BG29" s="81">
        <f t="shared" si="36"/>
        <v>2.2134215652153433</v>
      </c>
      <c r="BM29" s="77" t="s">
        <v>245</v>
      </c>
      <c r="BN29" s="77">
        <f t="shared" si="41"/>
        <v>0.64</v>
      </c>
      <c r="BO29" s="77">
        <f t="shared" si="37"/>
        <v>5.12</v>
      </c>
      <c r="BP29" s="81">
        <f t="shared" si="38"/>
        <v>1.742615485566346</v>
      </c>
      <c r="BQ29" s="81">
        <f t="shared" si="42"/>
        <v>1.4769144980692794</v>
      </c>
      <c r="BR29" s="81">
        <f t="shared" si="43"/>
        <v>1.3981713323724778</v>
      </c>
      <c r="BS29" s="81">
        <f t="shared" si="44"/>
        <v>2.1782693569579328</v>
      </c>
      <c r="BT29" s="81">
        <f t="shared" si="45"/>
        <v>1.8461431225865994</v>
      </c>
      <c r="BU29" s="81">
        <f t="shared" si="46"/>
        <v>1.7477141654655972</v>
      </c>
      <c r="BV29" s="89">
        <f t="shared" si="47"/>
        <v>2.6139232283495186</v>
      </c>
      <c r="BW29" s="89">
        <f t="shared" si="48"/>
        <v>2.2153717471039189</v>
      </c>
      <c r="BX29" s="89">
        <f t="shared" si="39"/>
        <v>2.0972569985587164</v>
      </c>
      <c r="BZ29" s="77" t="s">
        <v>228</v>
      </c>
      <c r="CA29" s="77">
        <f>AI11</f>
        <v>75</v>
      </c>
      <c r="CB29" s="77">
        <f>CA11</f>
        <v>12.3</v>
      </c>
      <c r="CC29" s="77">
        <f>$CB29*1.05</f>
        <v>12.915000000000001</v>
      </c>
      <c r="CD29" s="77">
        <f>$CB29*1.1</f>
        <v>13.530000000000001</v>
      </c>
      <c r="CE29" s="77">
        <f>$CB29*1.15</f>
        <v>14.145</v>
      </c>
      <c r="CF29" s="77">
        <f>$CB29*1.2</f>
        <v>14.76</v>
      </c>
      <c r="CG29" s="84"/>
      <c r="CH29" s="84"/>
      <c r="CI29" s="84"/>
      <c r="CJ29" s="84"/>
      <c r="CK29" s="84"/>
      <c r="CL29" s="84"/>
      <c r="CM29" s="84"/>
      <c r="CN29" s="84"/>
      <c r="CO29" s="84"/>
      <c r="CQ29" s="77" t="s">
        <v>290</v>
      </c>
      <c r="CR29" s="8">
        <f>CR23</f>
        <v>35</v>
      </c>
      <c r="CS29" s="81">
        <f t="shared" si="49"/>
        <v>0.72996022419841067</v>
      </c>
      <c r="CT29" s="81">
        <f t="shared" si="49"/>
        <v>0.66380835769159574</v>
      </c>
      <c r="CU29" s="81">
        <f t="shared" si="49"/>
        <v>0.60810174776867243</v>
      </c>
      <c r="CV29" s="81">
        <f>(180*$CY5*$AK$4+180*$CY5*PI()*$CR29+($CW5-$CT5)^2*PI()*$CR29)/(2*$CY5*$CW5*PI()*$CR29-360*$CY5*$CC$4)</f>
        <v>3.9070418781483847</v>
      </c>
      <c r="CW29" s="81">
        <f>(180*$CY5*$AK$5+180*$CY5*PI()*$CR29+($CW5-$CT5)^2*PI()*$CR29)/(2*$CY5*$CW5*PI()*$CR29-360*$CY5*$CC$5)</f>
        <v>3.4627280867701451</v>
      </c>
      <c r="CX29" s="81">
        <f>(180*$CY5*$AK$6+180*$CY5*PI()*$CR29+($CW5-$CT5)^2*PI()*$CR29)/(2*$CY5*$CW5*PI()*$CR29-360*$CY5*$CC$6)</f>
        <v>3.1843156521804428</v>
      </c>
      <c r="CY29" s="81">
        <f>(180*$CY5*$AK$4+360*$CY5*PI()*$CR29+($CW5-$CT5)^2*PI()*$CR29)/(2*$CY5*$CW5*PI()*$CR29-360*$CY5*$CC$4)</f>
        <v>7.0837293649254285</v>
      </c>
      <c r="CZ29" s="81">
        <f>(180*$CY5*$AK$5+360*$CY5*PI()*$CR29+($CW5-$CT5)^2*PI()*$CR29)/(2*$CY5*$CW5*PI()*$CR29-360*$CY5*$CC$5)</f>
        <v>6.2552380040356459</v>
      </c>
      <c r="DA29" s="81">
        <f>(180*$CY5*$AK$6+360*$CY5*PI()*$CR29+($CW5-$CT5)^2*PI()*$CR29)/(2*$CY5*$CW5*PI()*$CR29-360*$CY5*$CC$6)</f>
        <v>5.7446014999523163</v>
      </c>
    </row>
    <row r="30" spans="2:107" x14ac:dyDescent="0.35">
      <c r="B30" s="77" t="s">
        <v>635</v>
      </c>
      <c r="C30" s="85" t="s">
        <v>224</v>
      </c>
      <c r="D30" s="9">
        <v>7.74</v>
      </c>
      <c r="E30" s="9">
        <v>4.0199999999999996</v>
      </c>
      <c r="F30" s="77">
        <f t="shared" si="14"/>
        <v>8.7200000000000006</v>
      </c>
      <c r="G30" s="228">
        <v>3.4</v>
      </c>
      <c r="H30" s="228">
        <v>2.2999999999999998</v>
      </c>
      <c r="I30" s="442">
        <f t="shared" si="15"/>
        <v>4.0999999999999996</v>
      </c>
      <c r="J30" s="87">
        <f>VLOOKUP(C30,基础属性系数!$B$97:$E$100,4,FALSE)*SQRT(VLOOKUP(C30,基础属性系数!$B$97:$E$100,2,FALSE)/F30)</f>
        <v>1.760630751781507</v>
      </c>
      <c r="K30" s="457">
        <v>2.4500000000000002</v>
      </c>
      <c r="L30" s="457">
        <v>2</v>
      </c>
      <c r="M30" s="457">
        <v>1.4000000000000001</v>
      </c>
      <c r="N30" s="457">
        <v>1.4000000000000001</v>
      </c>
      <c r="O30" s="457">
        <v>1.05</v>
      </c>
      <c r="P30" s="457">
        <v>0.70000000000000007</v>
      </c>
      <c r="Q30" s="457">
        <v>0.4</v>
      </c>
      <c r="R30" s="81">
        <f>基础属性系数!$E$61*2/F30</f>
        <v>8.0275229357798156E-2</v>
      </c>
      <c r="S30" s="81">
        <f>(H30/基础属性系数!$C$94-H30/基础属性系数!$C$94/I30*基础属性系数!$E$61*2)/F30</f>
        <v>0.13670563884537926</v>
      </c>
      <c r="T30" s="81">
        <f>(G30/基础属性系数!$C$94-G30/基础属性系数!$C$94/I30*基础属性系数!$E$61*2)/F30*2</f>
        <v>0.40417319310807787</v>
      </c>
      <c r="U30" s="81">
        <f>(H30/基础属性系数!$C$94-H30/基础属性系数!$C$94/I30*基础属性系数!$E$61*2)/F30</f>
        <v>0.13670563884537926</v>
      </c>
      <c r="V30" s="81">
        <f>(E30/基础属性系数!$C$94-I30*E30/基础属性系数!$C$94/F30)/F30</f>
        <v>0.15265642096624865</v>
      </c>
      <c r="W30" s="81">
        <f>(D30/基础属性系数!$C$94-I30*D30/基础属性系数!$C$94/F30)/F30*2</f>
        <v>0.58784114342227078</v>
      </c>
      <c r="X30" s="81">
        <f>(E30/基础属性系数!$C$94-I30*E30/基础属性系数!$C$94/F30)/F30</f>
        <v>0.15265642096624865</v>
      </c>
      <c r="Y30" s="81">
        <f t="shared" si="0"/>
        <v>0.19667431192660551</v>
      </c>
      <c r="Z30" s="81">
        <f t="shared" si="1"/>
        <v>0.27341127769075851</v>
      </c>
      <c r="AA30" s="81">
        <f t="shared" si="16"/>
        <v>0.56584247035130908</v>
      </c>
      <c r="AB30" s="81">
        <f t="shared" si="2"/>
        <v>0.19138789438353099</v>
      </c>
      <c r="AC30" s="81">
        <f t="shared" si="3"/>
        <v>0.1602892420145611</v>
      </c>
      <c r="AD30" s="81">
        <f t="shared" si="4"/>
        <v>0.4114888003955896</v>
      </c>
      <c r="AE30" s="81">
        <f t="shared" si="5"/>
        <v>6.1062568386499462E-2</v>
      </c>
      <c r="AF30" s="81">
        <f t="shared" si="17"/>
        <v>1.8601565651488543</v>
      </c>
      <c r="AZ30" s="77" t="s">
        <v>409</v>
      </c>
      <c r="BA30" s="81">
        <f t="shared" si="40"/>
        <v>1.3499999999999999</v>
      </c>
      <c r="BB30" s="81">
        <f t="shared" si="35"/>
        <v>1.125</v>
      </c>
      <c r="BC30" s="86">
        <f>$AK$25</f>
        <v>0.24172572201386958</v>
      </c>
      <c r="BD30" s="87">
        <f>TAN(RADIANS(BA30+$AK$17))*$AI$11*2/$AK$6</f>
        <v>0.70161149775521636</v>
      </c>
      <c r="BE30" s="87">
        <f>TAN(RADIANS(BA30*2+$AK$17))*$AI$11*2/$AK$6</f>
        <v>1.1622775913748442</v>
      </c>
      <c r="BF30" s="87">
        <f>TAN(RADIANS(BA30*3+$AK$17))*$AI$11*2/$AK$6</f>
        <v>1.6242392612487235</v>
      </c>
      <c r="BG30" s="81">
        <f t="shared" si="36"/>
        <v>2.2213242320530657</v>
      </c>
      <c r="BM30" s="77" t="s">
        <v>409</v>
      </c>
      <c r="BN30" s="77">
        <f t="shared" si="41"/>
        <v>0.64</v>
      </c>
      <c r="BO30" s="77">
        <f t="shared" si="37"/>
        <v>3.2</v>
      </c>
      <c r="BP30" s="81">
        <f t="shared" si="38"/>
        <v>1.0873649233567695</v>
      </c>
      <c r="BQ30" s="81">
        <f t="shared" si="42"/>
        <v>0.92157164520759161</v>
      </c>
      <c r="BR30" s="81">
        <f t="shared" si="43"/>
        <v>0.87243713616531426</v>
      </c>
      <c r="BS30" s="81">
        <f t="shared" si="44"/>
        <v>1.3592061541959619</v>
      </c>
      <c r="BT30" s="81">
        <f t="shared" si="45"/>
        <v>1.1519645565094896</v>
      </c>
      <c r="BU30" s="81">
        <f t="shared" si="46"/>
        <v>1.0905464202066428</v>
      </c>
      <c r="BV30" s="89">
        <f t="shared" si="47"/>
        <v>1.6310473850351541</v>
      </c>
      <c r="BW30" s="89">
        <f t="shared" si="48"/>
        <v>1.3823574678113875</v>
      </c>
      <c r="BX30" s="89">
        <f t="shared" si="39"/>
        <v>1.3086557042479714</v>
      </c>
      <c r="BZ30" s="77" t="s">
        <v>212</v>
      </c>
      <c r="CA30" s="77">
        <f>AI12</f>
        <v>90</v>
      </c>
      <c r="CB30" s="77">
        <f>CA12</f>
        <v>10.5</v>
      </c>
      <c r="CC30" s="77">
        <f>$CB30*1.05</f>
        <v>11.025</v>
      </c>
      <c r="CD30" s="77">
        <f>$CB30*1.1</f>
        <v>11.55</v>
      </c>
      <c r="CE30" s="77">
        <f>$CB30*1.15</f>
        <v>12.074999999999999</v>
      </c>
      <c r="CF30" s="77">
        <f>$CB30*1.2</f>
        <v>12.6</v>
      </c>
      <c r="CG30" s="84"/>
      <c r="CH30" s="84"/>
      <c r="CI30" s="84"/>
      <c r="CJ30" s="84"/>
      <c r="CK30" s="84"/>
      <c r="CL30" s="84"/>
      <c r="CM30" s="84"/>
      <c r="CN30" s="84"/>
      <c r="CO30" s="84"/>
      <c r="CQ30" s="77" t="s">
        <v>291</v>
      </c>
      <c r="CR30" s="8">
        <f>CR24</f>
        <v>40</v>
      </c>
      <c r="CS30" s="81">
        <f t="shared" si="49"/>
        <v>0.72447523612165798</v>
      </c>
      <c r="CT30" s="81">
        <f t="shared" si="49"/>
        <v>0.65912613588178548</v>
      </c>
      <c r="CU30" s="81">
        <f t="shared" si="49"/>
        <v>0.60399133891688672</v>
      </c>
      <c r="CV30" s="81">
        <f>(180*$CY6*$AK$4+180*$CY6*PI()*$CR30+($CW6-$CT6)^2*PI()*$CR30)/(2*$CY6*$CW6*PI()*$CR30-360*$CY6*$CC$4)</f>
        <v>4.3132244774502713</v>
      </c>
      <c r="CW30" s="81">
        <f>(180*$CY6*$AK$5+180*$CY6*PI()*$CR30+($CW6-$CT6)^2*PI()*$CR30)/(2*$CY6*$CW6*PI()*$CR30-360*$CY6*$CC$5)</f>
        <v>3.8248597538486595</v>
      </c>
      <c r="CX30" s="81">
        <f>(180*$CY6*$AK$6+180*$CY6*PI()*$CR30+($CW6-$CT6)^2*PI()*$CR30)/(2*$CY6*$CW6*PI()*$CR30-360*$CY6*$CC$6)</f>
        <v>3.5192423251981682</v>
      </c>
      <c r="CY30" s="81">
        <f>(180*$CY6*$AK$4+360*$CY6*PI()*$CR30+($CW6-$CT6)^2*PI()*$CR30)/(2*$CY6*$CW6*PI()*$CR30-360*$CY6*$CC$4)</f>
        <v>7.9013379142914042</v>
      </c>
      <c r="CZ30" s="81">
        <f>(180*$CY6*$AK$5+360*$CY6*PI()*$CR30+($CW6-$CT6)^2*PI()*$CR30)/(2*$CY6*$CW6*PI()*$CR30-360*$CY6*$CC$5)</f>
        <v>6.9834990321148096</v>
      </c>
      <c r="DA30" s="81">
        <f>(180*$CY6*$AK$6+360*$CY6*PI()*$CR30+($CW6-$CT6)^2*PI()*$CR30)/(2*$CY6*$CW6*PI()*$CR30-360*$CY6*$CC$6)</f>
        <v>6.4176876232307807</v>
      </c>
    </row>
    <row r="31" spans="2:107" x14ac:dyDescent="0.35">
      <c r="B31" s="77" t="s">
        <v>629</v>
      </c>
      <c r="C31" s="85" t="s">
        <v>224</v>
      </c>
      <c r="D31" s="9">
        <v>6.6</v>
      </c>
      <c r="E31" s="9">
        <v>3.35</v>
      </c>
      <c r="F31" s="77">
        <f t="shared" si="14"/>
        <v>7.4</v>
      </c>
      <c r="G31" s="228">
        <v>2.8</v>
      </c>
      <c r="H31" s="228">
        <v>2.1</v>
      </c>
      <c r="I31" s="442">
        <f t="shared" si="15"/>
        <v>3.5</v>
      </c>
      <c r="J31" s="87">
        <f>VLOOKUP(C31,基础属性系数!$B$97:$E$100,4,FALSE)*SQRT(VLOOKUP(C31,基础属性系数!$B$97:$E$100,2,FALSE)/F31)</f>
        <v>1.9112199307982403</v>
      </c>
      <c r="K31" s="457">
        <v>2.4</v>
      </c>
      <c r="L31" s="457">
        <v>1.9500000000000002</v>
      </c>
      <c r="M31" s="457">
        <v>1.45</v>
      </c>
      <c r="N31" s="457">
        <v>1.45</v>
      </c>
      <c r="O31" s="457">
        <v>1.1000000000000001</v>
      </c>
      <c r="P31" s="457">
        <v>0.65</v>
      </c>
      <c r="Q31" s="457">
        <v>0.4</v>
      </c>
      <c r="R31" s="81">
        <f>基础属性系数!$E$61*2/F31</f>
        <v>9.4594594594594586E-2</v>
      </c>
      <c r="S31" s="81">
        <f>(H31/基础属性系数!$C$94-H31/基础属性系数!$C$94/I31*基础属性系数!$E$61*2)/F31</f>
        <v>0.14189189189189189</v>
      </c>
      <c r="T31" s="81">
        <f>(G31/基础属性系数!$C$94-G31/基础属性系数!$C$94/I31*基础属性系数!$E$61*2)/F31*2</f>
        <v>0.37837837837837834</v>
      </c>
      <c r="U31" s="81">
        <f>(H31/基础属性系数!$C$94-H31/基础属性系数!$C$94/I31*基础属性系数!$E$61*2)/F31</f>
        <v>0.14189189189189189</v>
      </c>
      <c r="V31" s="81">
        <f>(E31/基础属性系数!$C$94-I31*E31/基础属性系数!$C$94/F31)/F31</f>
        <v>0.14911659970781596</v>
      </c>
      <c r="W31" s="81">
        <f>(D31/基础属性系数!$C$94-I31*D31/基础属性系数!$C$94/F31)/F31*2</f>
        <v>0.58756391526661778</v>
      </c>
      <c r="X31" s="81">
        <f>(E31/基础属性系数!$C$94-I31*E31/基础属性系数!$C$94/F31)/F31</f>
        <v>0.14911659970781596</v>
      </c>
      <c r="Y31" s="81">
        <f t="shared" si="0"/>
        <v>0.22702702702702698</v>
      </c>
      <c r="Z31" s="81">
        <f t="shared" si="1"/>
        <v>0.27668918918918922</v>
      </c>
      <c r="AA31" s="81">
        <f t="shared" si="16"/>
        <v>0.5486486486486486</v>
      </c>
      <c r="AB31" s="81">
        <f t="shared" si="2"/>
        <v>0.20574324324324322</v>
      </c>
      <c r="AC31" s="81">
        <f t="shared" si="3"/>
        <v>0.16402825967859758</v>
      </c>
      <c r="AD31" s="81">
        <f t="shared" si="4"/>
        <v>0.38191654492330157</v>
      </c>
      <c r="AE31" s="81">
        <f t="shared" si="5"/>
        <v>5.9646639883126386E-2</v>
      </c>
      <c r="AF31" s="81">
        <f t="shared" si="17"/>
        <v>1.8636995525931337</v>
      </c>
      <c r="AJ31" s="251"/>
    </row>
    <row r="32" spans="2:107" x14ac:dyDescent="0.35">
      <c r="B32" s="77" t="s">
        <v>722</v>
      </c>
      <c r="C32" s="85" t="s">
        <v>224</v>
      </c>
      <c r="D32" s="9">
        <v>7.26</v>
      </c>
      <c r="E32" s="9">
        <v>3.78</v>
      </c>
      <c r="F32" s="77">
        <f t="shared" si="14"/>
        <v>8.19</v>
      </c>
      <c r="G32" s="228">
        <v>2.8</v>
      </c>
      <c r="H32" s="228">
        <v>1.9</v>
      </c>
      <c r="I32" s="442">
        <f t="shared" si="15"/>
        <v>3.38</v>
      </c>
      <c r="J32" s="87">
        <f>VLOOKUP(C32,基础属性系数!$B$97:$E$100,4,FALSE)*SQRT(VLOOKUP(C32,基础属性系数!$B$97:$E$100,2,FALSE)/F32)</f>
        <v>1.8167056828392603</v>
      </c>
      <c r="K32" s="457">
        <v>2.5499999999999998</v>
      </c>
      <c r="L32" s="457">
        <v>2.0499999999999998</v>
      </c>
      <c r="M32" s="457">
        <v>1.5</v>
      </c>
      <c r="N32" s="457">
        <v>1.5</v>
      </c>
      <c r="O32" s="457">
        <v>1.1000000000000001</v>
      </c>
      <c r="P32" s="457">
        <v>0.75</v>
      </c>
      <c r="Q32" s="457">
        <v>0.4</v>
      </c>
      <c r="R32" s="81">
        <f>基础属性系数!$E$61*2/F32</f>
        <v>8.5470085470085472E-2</v>
      </c>
      <c r="S32" s="81">
        <f>(H32/基础属性系数!$C$94-H32/基础属性系数!$C$94/I32*基础属性系数!$E$61*2)/F32</f>
        <v>0.1149655735454552</v>
      </c>
      <c r="T32" s="81">
        <f>(G32/基础属性系数!$C$94-G32/基础属性系数!$C$94/I32*基础属性系数!$E$61*2)/F32*2</f>
        <v>0.33884590097607847</v>
      </c>
      <c r="U32" s="81">
        <f>(H32/基础属性系数!$C$94-H32/基础属性系数!$C$94/I32*基础属性系数!$E$61*2)/F32</f>
        <v>0.1149655735454552</v>
      </c>
      <c r="V32" s="81">
        <f>(E32/基础属性系数!$C$94-I32*E32/基础属性系数!$C$94/F32)/F32</f>
        <v>0.16941391941391942</v>
      </c>
      <c r="W32" s="81">
        <f>(D32/基础属性系数!$C$94-I32*D32/基础属性系数!$C$94/F32)/F32*2</f>
        <v>0.65076457933600784</v>
      </c>
      <c r="X32" s="81">
        <f>(E32/基础属性系数!$C$94-I32*E32/基础属性系数!$C$94/F32)/F32</f>
        <v>0.16941391941391942</v>
      </c>
      <c r="Y32" s="81">
        <f t="shared" si="0"/>
        <v>0.21794871794871795</v>
      </c>
      <c r="Z32" s="81">
        <f t="shared" si="1"/>
        <v>0.23567942576818313</v>
      </c>
      <c r="AA32" s="81">
        <f t="shared" si="16"/>
        <v>0.50826885146411771</v>
      </c>
      <c r="AB32" s="81">
        <f t="shared" si="2"/>
        <v>0.17244836031818278</v>
      </c>
      <c r="AC32" s="81">
        <f t="shared" si="3"/>
        <v>0.18635531135531139</v>
      </c>
      <c r="AD32" s="81">
        <f t="shared" si="4"/>
        <v>0.48807343450200591</v>
      </c>
      <c r="AE32" s="81">
        <f t="shared" si="5"/>
        <v>6.7765567765567775E-2</v>
      </c>
      <c r="AF32" s="81">
        <f t="shared" si="17"/>
        <v>1.8765396691220866</v>
      </c>
      <c r="AZ32" s="787" t="s">
        <v>261</v>
      </c>
      <c r="BA32" s="787"/>
      <c r="BB32" s="787"/>
      <c r="BC32" s="787"/>
      <c r="BD32" s="787"/>
      <c r="BE32" s="787"/>
      <c r="BF32" s="787"/>
      <c r="BG32" s="787"/>
      <c r="BZ32" s="787" t="s">
        <v>528</v>
      </c>
      <c r="CA32" s="787"/>
      <c r="CB32" s="787"/>
      <c r="CC32" s="787"/>
      <c r="CD32" s="787"/>
      <c r="CE32" s="787"/>
      <c r="CF32" s="787"/>
      <c r="CG32" s="787"/>
      <c r="CH32" s="787"/>
      <c r="CI32" s="787"/>
      <c r="CJ32" s="787"/>
      <c r="CK32" s="787"/>
      <c r="CL32" s="787"/>
      <c r="CM32" s="787"/>
      <c r="CN32" s="787"/>
      <c r="CO32" s="787"/>
    </row>
    <row r="33" spans="2:93" x14ac:dyDescent="0.35">
      <c r="B33" s="77" t="s">
        <v>637</v>
      </c>
      <c r="C33" s="85" t="s">
        <v>224</v>
      </c>
      <c r="D33" s="9">
        <v>7.75</v>
      </c>
      <c r="E33" s="9">
        <v>3.46</v>
      </c>
      <c r="F33" s="77">
        <f t="shared" si="14"/>
        <v>8.49</v>
      </c>
      <c r="G33" s="228">
        <v>5</v>
      </c>
      <c r="H33" s="228">
        <v>2.8</v>
      </c>
      <c r="I33" s="442">
        <f t="shared" si="15"/>
        <v>5.73</v>
      </c>
      <c r="J33" s="87">
        <f>VLOOKUP(C33,基础属性系数!$B$97:$E$100,4,FALSE)*SQRT(VLOOKUP(C33,基础属性系数!$B$97:$E$100,2,FALSE)/F33)</f>
        <v>1.7843197413979439</v>
      </c>
      <c r="K33" s="457">
        <v>2.4</v>
      </c>
      <c r="L33" s="457">
        <v>1.6500000000000001</v>
      </c>
      <c r="M33" s="457">
        <v>1.25</v>
      </c>
      <c r="N33" s="457">
        <v>1.25</v>
      </c>
      <c r="O33" s="457">
        <v>0.95</v>
      </c>
      <c r="P33" s="457">
        <v>0.65</v>
      </c>
      <c r="Q33" s="457">
        <v>0.4</v>
      </c>
      <c r="R33" s="81">
        <f>基础属性系数!$E$61*2/F33</f>
        <v>8.2449941107184913E-2</v>
      </c>
      <c r="S33" s="81">
        <f>(H33/基础属性系数!$C$94-H33/基础属性系数!$C$94/I33*基础属性系数!$E$61*2)/F33</f>
        <v>0.18094380618199832</v>
      </c>
      <c r="T33" s="81">
        <f>(G33/基础属性系数!$C$94-G33/基础属性系数!$C$94/I33*基础属性系数!$E$61*2)/F33*2</f>
        <v>0.64622787922142266</v>
      </c>
      <c r="U33" s="81">
        <f>(H33/基础属性系数!$C$94-H33/基础属性系数!$C$94/I33*基础属性系数!$E$61*2)/F33</f>
        <v>0.18094380618199832</v>
      </c>
      <c r="V33" s="81">
        <f>(E33/基础属性系数!$C$94-I33*E33/基础属性系数!$C$94/F33)/F33</f>
        <v>8.2803714201284365E-2</v>
      </c>
      <c r="W33" s="81">
        <f>(D33/基础属性系数!$C$94-I33*D33/基础属性系数!$C$94/F33)/F33*2</f>
        <v>0.37094149425430867</v>
      </c>
      <c r="X33" s="81">
        <f>(E33/基础属性系数!$C$94-I33*E33/基础属性系数!$C$94/F33)/F33</f>
        <v>8.2803714201284365E-2</v>
      </c>
      <c r="Y33" s="81">
        <f t="shared" si="0"/>
        <v>0.19787985865724378</v>
      </c>
      <c r="Z33" s="81">
        <f t="shared" si="1"/>
        <v>0.29855728020029726</v>
      </c>
      <c r="AA33" s="81">
        <f t="shared" si="16"/>
        <v>0.80778484902677827</v>
      </c>
      <c r="AB33" s="81">
        <f t="shared" si="2"/>
        <v>0.2261797577274979</v>
      </c>
      <c r="AC33" s="81">
        <f t="shared" si="3"/>
        <v>7.8663528491220144E-2</v>
      </c>
      <c r="AD33" s="81">
        <f t="shared" si="4"/>
        <v>0.24111197126530065</v>
      </c>
      <c r="AE33" s="81">
        <f t="shared" si="5"/>
        <v>3.3121485680513749E-2</v>
      </c>
      <c r="AF33" s="81">
        <f t="shared" si="17"/>
        <v>1.8832987310488518</v>
      </c>
      <c r="AZ33" s="77" t="s">
        <v>251</v>
      </c>
      <c r="BA33" s="77" t="s">
        <v>259</v>
      </c>
      <c r="BB33" s="77" t="s">
        <v>257</v>
      </c>
      <c r="BC33" s="77" t="s">
        <v>256</v>
      </c>
      <c r="BD33" s="77" t="s">
        <v>255</v>
      </c>
      <c r="BE33" s="77" t="s">
        <v>262</v>
      </c>
      <c r="BF33" s="77" t="s">
        <v>263</v>
      </c>
      <c r="BG33" s="77" t="s">
        <v>264</v>
      </c>
      <c r="BZ33" s="77" t="s">
        <v>507</v>
      </c>
      <c r="CA33" s="77" t="s">
        <v>512</v>
      </c>
      <c r="CB33" s="77" t="s">
        <v>513</v>
      </c>
      <c r="CC33" s="77" t="s">
        <v>514</v>
      </c>
      <c r="CD33" s="77" t="s">
        <v>515</v>
      </c>
      <c r="CE33" s="77" t="s">
        <v>516</v>
      </c>
      <c r="CF33" s="77" t="s">
        <v>524</v>
      </c>
      <c r="CG33" s="77" t="s">
        <v>518</v>
      </c>
      <c r="CH33" s="77" t="s">
        <v>517</v>
      </c>
      <c r="CI33" s="77" t="s">
        <v>519</v>
      </c>
      <c r="CJ33" s="77" t="s">
        <v>520</v>
      </c>
      <c r="CK33" s="77" t="s">
        <v>521</v>
      </c>
      <c r="CL33" s="77" t="s">
        <v>522</v>
      </c>
      <c r="CM33" s="77" t="s">
        <v>525</v>
      </c>
      <c r="CN33" s="77" t="s">
        <v>526</v>
      </c>
      <c r="CO33" s="77" t="s">
        <v>527</v>
      </c>
    </row>
    <row r="34" spans="2:93" x14ac:dyDescent="0.35">
      <c r="AZ34" s="77" t="s">
        <v>408</v>
      </c>
      <c r="BA34" s="81">
        <f>BE4</f>
        <v>0.3</v>
      </c>
      <c r="BB34" s="81">
        <f t="shared" ref="BB34:BB40" si="50">BA34/$AW$10</f>
        <v>0.25</v>
      </c>
      <c r="BC34" s="86">
        <f>$AI$26</f>
        <v>0.3258837803882958</v>
      </c>
      <c r="BD34" s="87">
        <f>TAN(RADIANS(BA34+$AK$18))*$AI$12*2/$AK$4</f>
        <v>0.47866484193313791</v>
      </c>
      <c r="BE34" s="87">
        <f>TAN(RADIANS(BA34*2+$AK$18))*$AI$12*2/$AK$4</f>
        <v>0.63147215676041057</v>
      </c>
      <c r="BF34" s="87">
        <f>TAN(RADIANS(BA34*3+$AK$18))*$AI$12*2/$AK$4</f>
        <v>0.78431411277909868</v>
      </c>
      <c r="BG34" s="81">
        <f>(1-BC34)/(BF34-BC34)*BA34*3</f>
        <v>1.3234390370428848</v>
      </c>
      <c r="BZ34" s="77" t="s">
        <v>5</v>
      </c>
      <c r="CA34" s="90">
        <f>(MIN(IF(($CB$28+SQRT($CB$28^2+4*PI()*$CA28/360*($CT4^2/360*PI()*$CA28+$CY4*$AK$4/2-$CB$28*$CT4)))/2/PI()/$CA28*360&gt;$CT4,($CB$28+SQRT($CB$28^2+4*PI()*$CA28/360*($CT4^2/360*PI()*$CA28+$CY4*$AK$4/2-$CB$28*$CT4)))/2/PI()/$CA28*360,$CW4),IF(($CB$28-SQRT($CB$28^2+4*PI()*$CA28/360*($CT4^2/360*PI()*$CA28+$CY4*$AK$4/2-$CB$28*$CT4)))/2/PI()/$CA28*360&gt;$CT4,($CB$28-SQRT($CB$28^2+4*PI()*$CA28/360*($CT4^2/360*PI()*$CA28+$CY4*$AK$4/2-$CB$28*$CT4)))/2/PI()/$CA28*360,$CW4))-CT4)/CY4</f>
        <v>0.30313917717771177</v>
      </c>
      <c r="CB34" s="90">
        <f>(MIN(IF(($CB$29+SQRT($CB$29^2+4*PI()*$CA28/360*($CT4^2/360*PI()*$CA28+$CY4*$AK$5/2-$CB$29*$CT4)))/2/PI()/$CA28*360&gt;$CT4,($CB$29+SQRT($CB$29^2+4*PI()*$CA28/360*($CT4^2/360*PI()*$CA28+$CY4*$AK$5/2-$CB$29*$CT4)))/2/PI()/$CA28*360,$CW4),IF(($CB$29-SQRT($CB$29^2+4*PI()*$CA28/360*($CT4^2/360*PI()*$CA28+$CY4*$AK$5/2-$CB$29*$CT4)))/2/PI()/$CA28*360&gt;$CT4,($CB$29-SQRT($CB$29^2+4*PI()*$CA28/360*($CT4^2/360*PI()*$CA28+$CY4*$AK$5/2-$CB$29*$CT4)))/2/PI()/$CA28*360,$CW4))-CT4)/CY4</f>
        <v>0.29656276963498218</v>
      </c>
      <c r="CC34" s="90">
        <f>(MIN(IF(($CB$30+SQRT($CB$30^2+4*PI()*$CA28/360*($CT4^2/360*PI()*$CA28+$CY4*$AK$6/2-$CB$30*$CT4)))/2/PI()/$CA28*360&gt;$CT4,($CB$30+SQRT($CB$30^2+4*PI()*$CA28/360*($CT4^2/360*PI()*$CA28+$CY4*$AK$6/2-$CB$30*$CT4)))/2/PI()/$CA28*360,$CW4),IF(($CB$30-SQRT($CB$30^2+4*PI()*$CA28/360*($CT4^2/360*PI()*$CA28+$CY4*$AK$6/2-$CB$30*$CT4)))/2/PI()/$CA28*360&gt;$CT4,($CB$30-SQRT($CB$30^2+4*PI()*$CA28/360*($CT4^2/360*PI()*$CA28+$CY4*$AK$6/2-$CB$30*$CT4)))/2/PI()/$CA28*360,$CW4))-CT4)/CY4</f>
        <v>0.28212695090595802</v>
      </c>
      <c r="CD34" s="81">
        <f>(MIN(IF(($CC$28+SQRT($CC$28^2+4*PI()*$CA28/360*($CT4^2/360*PI()*$CA28+$CY4*$AK$4/2-$CC$28*$CT4)))/2/PI()/$CA28*360&gt;$CT4,($CC$28+SQRT($CC$28^2+4*PI()*$CA28/360*($CT4^2/360*PI()*$CA28+$CY4*$AK$4/2-$CC$28*$CT4)))/2/PI()/$CA28*360,$CW4),IF(($CC$28-SQRT($CC$28^2+4*PI()*$CA28/360*($CT4^2/360*PI()*$CA28+$CY4*$AK$4/2-$CC$28*$CT4)))/2/PI()/$CA28*360&gt;$CT4,($CC$28-SQRT($CC$28^2+4*PI()*$CA28/360*($CT4^2/360*PI()*$CA28+$CY4*$AK$4/2-$CC$28*$CT4)))/2/PI()/$CA28*360,$CW4))-CT4)/CY4</f>
        <v>0.31469180613708536</v>
      </c>
      <c r="CE34" s="81">
        <f>(MIN(IF(($CC$29+SQRT($CC$29^2+4*PI()*$CA28/360*($CT4^2/360*PI()*$CA28+$CY4*$AK$5/2-$CC$29*$CT4)))/2/PI()/$CA28*360&gt;$CT4,($CC$29+SQRT($CC$29^2+4*PI()*$CA28/360*($CT4^2/360*PI()*$CA28+$CY4*$AK$5/2-$CC$29*$CT4)))/2/PI()/$CA28*360,$CW4),IF(($CC$29-SQRT($CC$29^2+4*PI()*$CA28/360*($CT4^2/360*PI()*$CA28+$CY4*$AK$5/2-$CC$29*$CT4)))/2/PI()/$CA28*360&gt;$CT4,($CC$29-SQRT($CC$29^2+4*PI()*$CA28/360*($CT4^2/360*PI()*$CA28+$CY4*$AK$5/2-$CC$29*$CT4)))/2/PI()/$CA28*360,$CW4))-CT4)/CY4</f>
        <v>0.30521695374375146</v>
      </c>
      <c r="CF34" s="81">
        <f>(MIN(IF(($CC$30+SQRT($CC$30^2+4*PI()*$CA28/360*($CT4^2/360*PI()*$CA28+$CY4*$AK$6/2-$CC$30*$CT4)))/2/PI()/$CA28*360&gt;$CT4,($CC$30+SQRT($CC$30^2+4*PI()*$CA28/360*($CT4^2/360*PI()*$CA28+$CY4*$AK$6/2-$CC$30*$CT4)))/2/PI()/$CA28*360,$CW4),IF(($CC$30-SQRT($CC$30^2+4*PI()*$CA28/360*($CT4^2/360*PI()*$CA28+$CY4*$AK$6/2-$CC$30*$CT4)))/2/PI()/$CA28*360&gt;$CT4,($CC$30-SQRT($CC$30^2+4*PI()*$CA28/360*($CT4^2/360*PI()*$CA28+$CY4*$AK$6/2-$CC$30*$CT4)))/2/PI()/$CA28*360,$CW4))-CT4)/CY4</f>
        <v>0.28885500179453322</v>
      </c>
      <c r="CG34" s="81">
        <f>(MIN(IF(($CD$28+SQRT($CD$28^2+4*PI()*$CA28/360*($CT4^2/360*PI()*$CA28+$CY4*$AK$4/2-$CD$28*$CT4)))/2/PI()/$CA28*360&gt;$CT4,($CD$28+SQRT($CD$28^2+4*PI()*$CA28/360*($CT4^2/360*PI()*$CA28+$CY4*$AK$4/2-$CD$28*$CT4)))/2/PI()/$CA28*360,$CW4),IF(($CD$28-SQRT($CD$28^2+4*PI()*$CA28/360*($CT4^2/360*PI()*$CA28+$CY4*$AK$4/2-$CD$28*$CT4)))/2/PI()/$CA28*360&gt;$CT4,($CD$28-SQRT($CD$28^2+4*PI()*$CA28/360*($CT4^2/360*PI()*$CA28+$CY4*$AK$4/2-$CD$28*$CT4)))/2/PI()/$CA28*360,$CW4))-CT4)/CY4</f>
        <v>0.3266869297883036</v>
      </c>
      <c r="CH34" s="81">
        <f>(MIN(IF(($CD$29+SQRT($CD$29^2+4*PI()*$CA28/360*($CT4^2/360*PI()*$CA28+$CY4*$AK$5/2-$CD$29*$CT4)))/2/PI()/$CA28*360&gt;$CT4,($CD$29+SQRT($CD$29^2+4*PI()*$CA28/360*($CT4^2/360*PI()*$CA28+$CY4*$AK$5/2-$CD$29*$CT4)))/2/PI()/$CA28*360,$CW4),IF(($CD$29-SQRT($CD$29^2+4*PI()*$CA28/360*($CT4^2/360*PI()*$CA28+$CY4*$AK$5/2-$CD$29*$CT4)))/2/PI()/$CA28*360&gt;$CT4,($CD$29-SQRT($CD$29^2+4*PI()*$CA28/360*($CT4^2/360*PI()*$CA28+$CY4*$AK$5/2-$CD$29*$CT4)))/2/PI()/$CA28*360,$CW4))-CT4)/CY4</f>
        <v>0.31415434181100838</v>
      </c>
      <c r="CI34" s="81">
        <f>(MIN(IF(($CD$30+SQRT($CD$30^2+4*PI()*$CA28/360*($CT4^2/360*PI()*$CA28+$CY4*$AK$6/2-$CD$30*$CT4)))/2/PI()/$CA28*360&gt;$CT4,($CD$30+SQRT($CD$30^2+4*PI()*$CA28/360*($CT4^2/360*PI()*$CA28+$CY4*$AK$6/2-$CD$30*$CT4)))/2/PI()/$CA28*360,$CW4),IF(($CD$30-SQRT($CD$30^2+4*PI()*$CA28/360*($CT4^2/360*PI()*$CA28+$CY4*$AK$6/2-$CD$30*$CT4)))/2/PI()/$CA28*360&gt;$CT4,($CD$30-SQRT($CD$30^2+4*PI()*$CA28/360*($CT4^2/360*PI()*$CA28+$CY4*$AK$6/2-$CD$30*$CT4)))/2/PI()/$CA28*360,$CW4))-CT4)/CY4</f>
        <v>0.29577617215712348</v>
      </c>
      <c r="CJ34" s="81">
        <f>(MIN(IF(($CE$28+SQRT($CE$28^2+4*PI()*$CA28/360*($CT4^2/360*PI()*$CA28+$CY4*$AK$4/2-$CE$28*$CT4)))/2/PI()/$CA28*360&gt;$CT4,($CE$28+SQRT($CE$28^2+4*PI()*$CA28/360*($CT4^2/360*PI()*$CA28+$CY4*$AK$4/2-$CE$28*$CT4)))/2/PI()/$CA28*360,$CW4),IF(($CE$28-SQRT($CE$28^2+4*PI()*$CA28/360*($CT4^2/360*PI()*$CA28+$CY4*$AK$4/2-$CE$28*$CT4)))/2/PI()/$CA28*360&gt;$CT4,($CE$28-SQRT($CE$28^2+4*PI()*$CA28/360*($CT4^2/360*PI()*$CA28+$CY4*$AK$4/2-$CE$28*$CT4)))/2/PI()/$CA28*360,$CW4))-CT4)/CY4</f>
        <v>0.33912386269456823</v>
      </c>
      <c r="CK34" s="81">
        <f>(MIN(IF(($CE$29+SQRT($CE$29^2+4*PI()*$CA28/360*($CT4^2/360*PI()*$CA28+$CY4*$AK$5/2-$CE$29*$CT4)))/2/PI()/$CA28*360&gt;$CT4,($CE$29+SQRT($CE$29^2+4*PI()*$CA28/360*($CT4^2/360*PI()*$CA28+$CY4*$AK$5/2-$CE$29*$CT4)))/2/PI()/$CA28*360,$CW4),IF(($CE$29-SQRT($CE$29^2+4*PI()*$CA28/360*($CT4^2/360*PI()*$CA28+$CY4*$AK$5/2-$CE$29*$CT4)))/2/PI()/$CA28*360&gt;$CT4,($CE$29-SQRT($CE$29^2+4*PI()*$CA28/360*($CT4^2/360*PI()*$CA28+$CY4*$AK$5/2-$CE$29*$CT4)))/2/PI()/$CA28*360,$CW4))-CT4)/CY4</f>
        <v>0.3233774773191907</v>
      </c>
      <c r="CL34" s="81">
        <f>(MIN(IF(($CE$30+SQRT($CE$30^2+4*PI()*$CA28/360*($CT4^2/360*PI()*$CA28+$CY4*$AK$6/2-$CE$30*$CT4)))/2/PI()/$CA28*360&gt;$CT4,($CE$30+SQRT($CE$30^2+4*PI()*$CA28/360*($CT4^2/360*PI()*$CA28+$CY4*$AK$6/2-$CE$30*$CT4)))/2/PI()/$CA28*360,$CW4),IF(($CE$30-SQRT($CE$30^2+4*PI()*$CA28/360*($CT4^2/360*PI()*$CA28+$CY4*$AK$6/2-$CE$30*$CT4)))/2/PI()/$CA28*360&gt;$CT4,($CE$30-SQRT($CE$30^2+4*PI()*$CA28/360*($CT4^2/360*PI()*$CA28+$CY4*$AK$6/2-$CE$30*$CT4)))/2/PI()/$CA28*360,$CW4))-CT4)/CY4</f>
        <v>0.30289303732097822</v>
      </c>
      <c r="CM34" s="81">
        <f>(MIN(IF(($CF$28+SQRT($CF$28^2+4*PI()*$CA28/360*($CT4^2/360*PI()*$CA28+$CY4*$AK$4/2-$CF$28*$CT4)))/2/PI()/$CA28*360&gt;$CT4,($CF$28+SQRT($CF$28^2+4*PI()*$CA28/360*($CT4^2/360*PI()*$CA28+$CY4*$AK$4/2-$CF$28*$CT4)))/2/PI()/$CA28*360,$CW4),IF(($CF$28-SQRT($CF$28^2+4*PI()*$CA28/360*($CT4^2/360*PI()*$CA28+$CY4*$AK$4/2-$CF$28*$CT4)))/2/PI()/$CA28*360&gt;$CT4,($CF$28-SQRT($CF$28^2+4*PI()*$CA28/360*($CT4^2/360*PI()*$CA28+$CY4*$AK$4/2-$CF$28*$CT4)))/2/PI()/$CA28*360,$CW4))-CT4)/CY4</f>
        <v>0.35200008153529938</v>
      </c>
      <c r="CN34" s="81">
        <f>(MIN(IF(($CF$29+SQRT($CF$29^2+4*PI()*$CA28/360*($CT4^2/360*PI()*$CA28+$CY4*$AK$5/2-$CF$29*$CT4)))/2/PI()/$CA28*360&gt;$CT4,($CF$29+SQRT($CF$29^2+4*PI()*$CA28/360*($CT4^2/360*PI()*$CA28+$CY4*$AK$5/2-$CF$29*$CT4)))/2/PI()/$CA28*360,$CW4),IF(($CF$29-SQRT($CF$29^2+4*PI()*$CA28/360*($CT4^2/360*PI()*$CA28+$CY4*$AK$5/2-$CF$29*$CT4)))/2/PI()/$CA28*360&gt;$CT4,($CF$29-SQRT($CF$29^2+4*PI()*$CA28/360*($CT4^2/360*PI()*$CA28+$CY4*$AK$5/2-$CF$29*$CT4)))/2/PI()/$CA28*360,$CW4))-CT4)/CY4</f>
        <v>0.33288821723141665</v>
      </c>
      <c r="CO34" s="81">
        <f>(MIN(IF(($CF$30+SQRT($CF$30^2+4*PI()*$CA28/360*($CT4^2/360*PI()*$CA28+$CY4*$AK$6/2-$CF$30*$CT4)))/2/PI()/$CA28*360&gt;$CT4,($CF$30+SQRT($CF$30^2+4*PI()*$CA28/360*($CT4^2/360*PI()*$CA28+$CY4*$AK$6/2-$CF$30*$CT4)))/2/PI()/$CA28*360,$CW4),IF(($CF$30-SQRT($CF$30^2+4*PI()*$CA28/360*($CT4^2/360*PI()*$CA28+$CY4*$AK$6/2-$CF$30*$CT4)))/2/PI()/$CA28*360&gt;$CT4,($CF$30-SQRT($CF$30^2+4*PI()*$CA28/360*($CT4^2/360*PI()*$CA28+$CY4*$AK$6/2-$CF$30*$CT4)))/2/PI()/$CA28*360,$CW4))-CT4)/CY4</f>
        <v>0.31020789297916856</v>
      </c>
    </row>
    <row r="35" spans="2:93" x14ac:dyDescent="0.35">
      <c r="AZ35" s="77" t="s">
        <v>242</v>
      </c>
      <c r="BA35" s="81">
        <f t="shared" ref="BA35:BA40" si="51">BE5</f>
        <v>0.24</v>
      </c>
      <c r="BB35" s="81">
        <f t="shared" si="50"/>
        <v>0.2</v>
      </c>
      <c r="BC35" s="86">
        <f>$AI$26</f>
        <v>0.3258837803882958</v>
      </c>
      <c r="BD35" s="87">
        <f>TAN(RADIANS(BA35+$AK$18))*$AI$12*2/$AK$4</f>
        <v>0.44810679766160927</v>
      </c>
      <c r="BE35" s="87">
        <f>TAN(RADIANS(BA35*2+$AK$18))*$AI$12*2/$AK$4</f>
        <v>0.57034554375992397</v>
      </c>
      <c r="BF35" s="87">
        <f>TAN(RADIANS(BA35*3+$AK$18))*$AI$12*2/$AK$4</f>
        <v>0.6926043122663702</v>
      </c>
      <c r="BG35" s="81">
        <f t="shared" ref="BG35:BG40" si="52">(1-BC35)/(BF35-BC35)*BA35*3</f>
        <v>1.323524689590597</v>
      </c>
      <c r="BZ35" s="77" t="s">
        <v>7</v>
      </c>
      <c r="CA35" s="90">
        <f>(MIN(IF(($CB$28+SQRT($CB$28^2+4*PI()*$CA29/360*($CT5^2/360*PI()*$CA29+$CY5*$AK$4/2-$CB$28*$CT5)))/2/PI()/$CA29*360&gt;$CT5,($CB$28+SQRT($CB$28^2+4*PI()*$CA29/360*($CT5^2/360*PI()*$CA29+$CY5*$AK$4/2-$CB$28*$CT5)))/2/PI()/$CA29*360,$CW5),IF(($CB$28-SQRT($CB$28^2+4*PI()*$CA29/360*($CT5^2/360*PI()*$CA29+$CY5*$AK$4/2-$CB$28*$CT5)))/2/PI()/$CA29*360&gt;$CT5,($CB$28-SQRT($CB$28^2+4*PI()*$CA29/360*($CT5^2/360*PI()*$CA29+$CY5*$AK$4/2-$CB$28*$CT5)))/2/PI()/$CA29*360,$CW5))-CT5)/CY5</f>
        <v>0.24584270156225035</v>
      </c>
      <c r="CB35" s="90">
        <f>(MIN(IF(($CB$29+SQRT($CB$29^2+4*PI()*$CA29/360*($CT5^2/360*PI()*$CA29+$CY5*$AK$5/2-$CB$29*$CT5)))/2/PI()/$CA29*360&gt;$CT5,($CB$29+SQRT($CB$29^2+4*PI()*$CA29/360*($CT5^2/360*PI()*$CA29+$CY5*$AK$5/2-$CB$29*$CT5)))/2/PI()/$CA29*360,$CW5),IF(($CB$29-SQRT($CB$29^2+4*PI()*$CA29/360*($CT5^2/360*PI()*$CA29+$CY5*$AK$5/2-$CB$29*$CT5)))/2/PI()/$CA29*360&gt;$CT5,($CB$29-SQRT($CB$29^2+4*PI()*$CA29/360*($CT5^2/360*PI()*$CA29+$CY5*$AK$5/2-$CB$29*$CT5)))/2/PI()/$CA29*360,$CW5))-CT5)/CY5</f>
        <v>0.24540377761528481</v>
      </c>
      <c r="CC35" s="90">
        <f>(MIN(IF(($CB$30+SQRT($CB$30^2+4*PI()*$CA29/360*($CT5^2/360*PI()*$CA29+$CY5*$AK$6/2-$CB$30*$CT5)))/2/PI()/$CA29*360&gt;$CT5,($CB$30+SQRT($CB$30^2+4*PI()*$CA29/360*($CT5^2/360*PI()*$CA29+$CY5*$AK$6/2-$CB$30*$CT5)))/2/PI()/$CA29*360,$CW5),IF(($CB$30-SQRT($CB$30^2+4*PI()*$CA29/360*($CT5^2/360*PI()*$CA29+$CY5*$AK$6/2-$CB$30*$CT5)))/2/PI()/$CA29*360&gt;$CT5,($CB$30-SQRT($CB$30^2+4*PI()*$CA29/360*($CT5^2/360*PI()*$CA29+$CY5*$AK$6/2-$CB$30*$CT5)))/2/PI()/$CA29*360,$CW5))-CT5)/CY5</f>
        <v>0.2360187127123714</v>
      </c>
      <c r="CD35" s="81">
        <f>(MIN(IF(($CC$28+SQRT($CC$28^2+4*PI()*$CA29/360*($CT5^2/360*PI()*$CA29+$CY5*$AK$4/2-$CC$28*$CT5)))/2/PI()/$CA29*360&gt;$CT5,($CC$28+SQRT($CC$28^2+4*PI()*$CA29/360*($CT5^2/360*PI()*$CA29+$CY5*$AK$4/2-$CC$28*$CT5)))/2/PI()/$CA29*360,$CW5),IF(($CC$28-SQRT($CC$28^2+4*PI()*$CA29/360*($CT5^2/360*PI()*$CA29+$CY5*$AK$4/2-$CC$28*$CT5)))/2/PI()/$CA29*360&gt;$CT5,($CC$28-SQRT($CC$28^2+4*PI()*$CA29/360*($CT5^2/360*PI()*$CA29+$CY5*$AK$4/2-$CC$28*$CT5)))/2/PI()/$CA29*360,$CW5))-CT5)/CY5</f>
        <v>0.2543573278809706</v>
      </c>
      <c r="CE35" s="81">
        <f>(MIN(IF(($CC$29+SQRT($CC$29^2+4*PI()*$CA29/360*($CT5^2/360*PI()*$CA29+$CY5*$AK$5/2-$CC$29*$CT5)))/2/PI()/$CA29*360&gt;$CT5,($CC$29+SQRT($CC$29^2+4*PI()*$CA29/360*($CT5^2/360*PI()*$CA29+$CY5*$AK$5/2-$CC$29*$CT5)))/2/PI()/$CA29*360,$CW5),IF(($CC$29-SQRT($CC$29^2+4*PI()*$CA29/360*($CT5^2/360*PI()*$CA29+$CY5*$AK$5/2-$CC$29*$CT5)))/2/PI()/$CA29*360&gt;$CT5,($CC$29-SQRT($CC$29^2+4*PI()*$CA29/360*($CT5^2/360*PI()*$CA29+$CY5*$AK$5/2-$CC$29*$CT5)))/2/PI()/$CA29*360,$CW5))-CT5)/CY5</f>
        <v>0.25185754324058668</v>
      </c>
      <c r="CF35" s="81">
        <f>(MIN(IF(($CC$30+SQRT($CC$30^2+4*PI()*$CA29/360*($CT5^2/360*PI()*$CA29+$CY5*$AK$6/2-$CC$30*$CT5)))/2/PI()/$CA29*360&gt;$CT5,($CC$30+SQRT($CC$30^2+4*PI()*$CA29/360*($CT5^2/360*PI()*$CA29+$CY5*$AK$6/2-$CC$30*$CT5)))/2/PI()/$CA29*360,$CW5),IF(($CC$30-SQRT($CC$30^2+4*PI()*$CA29/360*($CT5^2/360*PI()*$CA29+$CY5*$AK$6/2-$CC$30*$CT5)))/2/PI()/$CA29*360&gt;$CT5,($CC$30-SQRT($CC$30^2+4*PI()*$CA29/360*($CT5^2/360*PI()*$CA29+$CY5*$AK$6/2-$CC$30*$CT5)))/2/PI()/$CA29*360,$CW5))-CT5)/CY5</f>
        <v>0.24106781740099537</v>
      </c>
      <c r="CG35" s="81">
        <f>(MIN(IF(($CD$28+SQRT($CD$28^2+4*PI()*$CA29/360*($CT5^2/360*PI()*$CA29+$CY5*$AK$4/2-$CD$28*$CT5)))/2/PI()/$CA29*360&gt;$CT5,($CD$28+SQRT($CD$28^2+4*PI()*$CA29/360*($CT5^2/360*PI()*$CA29+$CY5*$AK$4/2-$CD$28*$CT5)))/2/PI()/$CA29*360,$CW5),IF(($CD$28-SQRT($CD$28^2+4*PI()*$CA29/360*($CT5^2/360*PI()*$CA29+$CY5*$AK$4/2-$CD$28*$CT5)))/2/PI()/$CA29*360&gt;$CT5,($CD$28-SQRT($CD$28^2+4*PI()*$CA29/360*($CT5^2/360*PI()*$CA29+$CY5*$AK$4/2-$CD$28*$CT5)))/2/PI()/$CA29*360,$CW5))-CT5)/CY5</f>
        <v>0.26320796497860888</v>
      </c>
      <c r="CH35" s="81">
        <f>(MIN(IF(($CD$29+SQRT($CD$29^2+4*PI()*$CA29/360*($CT5^2/360*PI()*$CA29+$CY5*$AK$5/2-$CD$29*$CT5)))/2/PI()/$CA29*360&gt;$CT5,($CD$29+SQRT($CD$29^2+4*PI()*$CA29/360*($CT5^2/360*PI()*$CA29+$CY5*$AK$5/2-$CD$29*$CT5)))/2/PI()/$CA29*360,$CW5),IF(($CD$29-SQRT($CD$29^2+4*PI()*$CA29/360*($CT5^2/360*PI()*$CA29+$CY5*$AK$5/2-$CD$29*$CT5)))/2/PI()/$CA29*360&gt;$CT5,($CD$29-SQRT($CD$29^2+4*PI()*$CA29/360*($CT5^2/360*PI()*$CA29+$CY5*$AK$5/2-$CD$29*$CT5)))/2/PI()/$CA29*360,$CW5))-CT5)/CY5</f>
        <v>0.25852022602725738</v>
      </c>
      <c r="CI35" s="81">
        <f>(MIN(IF(($CD$30+SQRT($CD$30^2+4*PI()*$CA29/360*($CT5^2/360*PI()*$CA29+$CY5*$AK$6/2-$CD$30*$CT5)))/2/PI()/$CA29*360&gt;$CT5,($CD$30+SQRT($CD$30^2+4*PI()*$CA29/360*($CT5^2/360*PI()*$CA29+$CY5*$AK$6/2-$CD$30*$CT5)))/2/PI()/$CA29*360,$CW5),IF(($CD$30-SQRT($CD$30^2+4*PI()*$CA29/360*($CT5^2/360*PI()*$CA29+$CY5*$AK$6/2-$CD$30*$CT5)))/2/PI()/$CA29*360&gt;$CT5,($CD$30-SQRT($CD$30^2+4*PI()*$CA29/360*($CT5^2/360*PI()*$CA29+$CY5*$AK$6/2-$CD$30*$CT5)))/2/PI()/$CA29*360,$CW5))-CT5)/CY5</f>
        <v>0.24625714583314925</v>
      </c>
      <c r="CJ35" s="81">
        <f>(MIN(IF(($CE$28+SQRT($CE$28^2+4*PI()*$CA29/360*($CT5^2/360*PI()*$CA29+$CY5*$AK$4/2-$CE$28*$CT5)))/2/PI()/$CA29*360&gt;$CT5,($CE$28+SQRT($CE$28^2+4*PI()*$CA29/360*($CT5^2/360*PI()*$CA29+$CY5*$AK$4/2-$CE$28*$CT5)))/2/PI()/$CA29*360,$CW5),IF(($CE$28-SQRT($CE$28^2+4*PI()*$CA29/360*($CT5^2/360*PI()*$CA29+$CY5*$AK$4/2-$CE$28*$CT5)))/2/PI()/$CA29*360&gt;$CT5,($CE$28-SQRT($CE$28^2+4*PI()*$CA29/360*($CT5^2/360*PI()*$CA29+$CY5*$AK$4/2-$CE$28*$CT5)))/2/PI()/$CA29*360,$CW5))-CT5)/CY5</f>
        <v>0.2723986787611935</v>
      </c>
      <c r="CK35" s="81">
        <f>(MIN(IF(($CE$29+SQRT($CE$29^2+4*PI()*$CA29/360*($CT5^2/360*PI()*$CA29+$CY5*$AK$5/2-$CE$29*$CT5)))/2/PI()/$CA29*360&gt;$CT5,($CE$29+SQRT($CE$29^2+4*PI()*$CA29/360*($CT5^2/360*PI()*$CA29+$CY5*$AK$5/2-$CE$29*$CT5)))/2/PI()/$CA29*360,$CW5),IF(($CE$29-SQRT($CE$29^2+4*PI()*$CA29/360*($CT5^2/360*PI()*$CA29+$CY5*$AK$5/2-$CE$29*$CT5)))/2/PI()/$CA29*360&gt;$CT5,($CE$29-SQRT($CE$29^2+4*PI()*$CA29/360*($CT5^2/360*PI()*$CA29+$CY5*$AK$5/2-$CE$29*$CT5)))/2/PI()/$CA29*360,$CW5))-CT5)/CY5</f>
        <v>0.26539531039366138</v>
      </c>
      <c r="CL35" s="81">
        <f>(MIN(IF(($CE$30+SQRT($CE$30^2+4*PI()*$CA29/360*($CT5^2/360*PI()*$CA29+$CY5*$AK$6/2-$CE$30*$CT5)))/2/PI()/$CA29*360&gt;$CT5,($CE$30+SQRT($CE$30^2+4*PI()*$CA29/360*($CT5^2/360*PI()*$CA29+$CY5*$AK$6/2-$CE$30*$CT5)))/2/PI()/$CA29*360,$CW5),IF(($CE$30-SQRT($CE$30^2+4*PI()*$CA29/360*($CT5^2/360*PI()*$CA29+$CY5*$AK$6/2-$CE$30*$CT5)))/2/PI()/$CA29*360&gt;$CT5,($CE$30-SQRT($CE$30^2+4*PI()*$CA29/360*($CT5^2/360*PI()*$CA29+$CY5*$AK$6/2-$CE$30*$CT5)))/2/PI()/$CA29*360,$CW5))-CT5)/CY5</f>
        <v>0.25158923190327881</v>
      </c>
      <c r="CM35" s="81">
        <f>(MIN(IF(($CF$28+SQRT($CF$28^2+4*PI()*$CA29/360*($CT5^2/360*PI()*$CA29+$CY5*$AK$4/2-$CF$28*$CT5)))/2/PI()/$CA29*360&gt;$CT5,($CF$28+SQRT($CF$28^2+4*PI()*$CA29/360*($CT5^2/360*PI()*$CA29+$CY5*$AK$4/2-$CF$28*$CT5)))/2/PI()/$CA29*360,$CW5),IF(($CF$28-SQRT($CF$28^2+4*PI()*$CA29/360*($CT5^2/360*PI()*$CA29+$CY5*$AK$4/2-$CF$28*$CT5)))/2/PI()/$CA29*360&gt;$CT5,($CF$28-SQRT($CF$28^2+4*PI()*$CA29/360*($CT5^2/360*PI()*$CA29+$CY5*$AK$4/2-$CF$28*$CT5)))/2/PI()/$CA29*360,$CW5))-CT5)/CY5</f>
        <v>0.28193240012359227</v>
      </c>
      <c r="CN35" s="81">
        <f>(MIN(IF(($CF$29+SQRT($CF$29^2+4*PI()*$CA29/360*($CT5^2/360*PI()*$CA29+$CY5*$AK$5/2-$CF$29*$CT5)))/2/PI()/$CA29*360&gt;$CT5,($CF$29+SQRT($CF$29^2+4*PI()*$CA29/360*($CT5^2/360*PI()*$CA29+$CY5*$AK$5/2-$CF$29*$CT5)))/2/PI()/$CA29*360,$CW5),IF(($CF$29-SQRT($CF$29^2+4*PI()*$CA29/360*($CT5^2/360*PI()*$CA29+$CY5*$AK$5/2-$CF$29*$CT5)))/2/PI()/$CA29*360&gt;$CT5,($CF$29-SQRT($CF$29^2+4*PI()*$CA29/360*($CT5^2/360*PI()*$CA29+$CY5*$AK$5/2-$CF$29*$CT5)))/2/PI()/$CA29*360,$CW5))-CT5)/CY5</f>
        <v>0.27248593061236803</v>
      </c>
      <c r="CO35" s="81">
        <f>(MIN(IF(($CF$30+SQRT($CF$30^2+4*PI()*$CA29/360*($CT5^2/360*PI()*$CA29+$CY5*$AK$6/2-$CF$30*$CT5)))/2/PI()/$CA29*360&gt;$CT5,($CF$30+SQRT($CF$30^2+4*PI()*$CA29/360*($CT5^2/360*PI()*$CA29+$CY5*$AK$6/2-$CF$30*$CT5)))/2/PI()/$CA29*360,$CW5),IF(($CF$30-SQRT($CF$30^2+4*PI()*$CA29/360*($CT5^2/360*PI()*$CA29+$CY5*$AK$6/2-$CF$30*$CT5)))/2/PI()/$CA29*360&gt;$CT5,($CF$30-SQRT($CF$30^2+4*PI()*$CA29/360*($CT5^2/360*PI()*$CA29+$CY5*$AK$6/2-$CF$30*$CT5)))/2/PI()/$CA29*360,$CW5))-CT5)/CY5</f>
        <v>0.25706648563117684</v>
      </c>
    </row>
    <row r="36" spans="2:93" x14ac:dyDescent="0.35">
      <c r="B36" s="579" t="s">
        <v>2658</v>
      </c>
      <c r="AZ36" s="77" t="s">
        <v>606</v>
      </c>
      <c r="BA36" s="81">
        <f t="shared" si="51"/>
        <v>0.89999999999999991</v>
      </c>
      <c r="BB36" s="81">
        <f t="shared" si="50"/>
        <v>0.75</v>
      </c>
      <c r="BC36" s="86">
        <f>$AI$26</f>
        <v>0.3258837803882958</v>
      </c>
      <c r="BD36" s="87">
        <f>TAN(RADIANS(BA36+$AK$18))*$AI$12*2/$AK$4</f>
        <v>0.78431411277909868</v>
      </c>
      <c r="BE36" s="87">
        <f>TAN(RADIANS(BA36*2+$AK$18))*$AI$12*2/$AK$4</f>
        <v>1.2431318322078135</v>
      </c>
      <c r="BF36" s="87">
        <f>TAN(RADIANS(BA36*3+$AK$18))*$AI$12*2/$AK$4</f>
        <v>1.7025642278908193</v>
      </c>
      <c r="BG36" s="81">
        <f>(1-BC36)/(BF36-BC36)*BA36*3</f>
        <v>1.3221033219826164</v>
      </c>
      <c r="BZ36" s="77" t="s">
        <v>6</v>
      </c>
      <c r="CA36" s="90">
        <f>(MIN(IF(($CB$28+SQRT($CB$28^2+4*PI()*$CA30/360*($CT6^2/360*PI()*$CA30+$CY6*$AK$4/2-$CB$28*$CT6)))/2/PI()/$CA30*360&gt;$CT6,($CB$28+SQRT($CB$28^2+4*PI()*$CA30/360*($CT6^2/360*PI()*$CA30+$CY6*$AK$4/2-$CB$28*$CT6)))/2/PI()/$CA30*360,$CW6),IF(($CB$28-SQRT($CB$28^2+4*PI()*$CA30/360*($CT6^2/360*PI()*$CA30+$CY6*$AK$4/2-$CB$28*$CT6)))/2/PI()/$CA30*360&gt;$CT6,($CB$28-SQRT($CB$28^2+4*PI()*$CA30/360*($CT6^2/360*PI()*$CA30+$CY6*$AK$4/2-$CB$28*$CT6)))/2/PI()/$CA30*360,$CW6))-CT6)/CY6</f>
        <v>0.22942777024322808</v>
      </c>
      <c r="CB36" s="90">
        <f>(MIN(IF(($CB$29+SQRT($CB$29^2+4*PI()*$CA30/360*($CT6^2/360*PI()*$CA30+$CY6*$AK$5/2-$CB$29*$CT6)))/2/PI()/$CA30*360&gt;$CT6,($CB$29+SQRT($CB$29^2+4*PI()*$CA30/360*($CT6^2/360*PI()*$CA30+$CY6*$AK$5/2-$CB$29*$CT6)))/2/PI()/$CA30*360,$CW6),IF(($CB$29-SQRT($CB$29^2+4*PI()*$CA30/360*($CT6^2/360*PI()*$CA30+$CY6*$AK$5/2-$CB$29*$CT6)))/2/PI()/$CA30*360&gt;$CT6,($CB$29-SQRT($CB$29^2+4*PI()*$CA30/360*($CT6^2/360*PI()*$CA30+$CY6*$AK$5/2-$CB$29*$CT6)))/2/PI()/$CA30*360,$CW6))-CT6)/CY6</f>
        <v>0.23053770044157901</v>
      </c>
      <c r="CC36" s="90">
        <f>(MIN(IF(($CB$30+SQRT($CB$30^2+4*PI()*$CA30/360*($CT6^2/360*PI()*$CA30+$CY6*$AK$6/2-$CB$30*$CT6)))/2/PI()/$CA30*360&gt;$CT6,($CB$30+SQRT($CB$30^2+4*PI()*$CA30/360*($CT6^2/360*PI()*$CA30+$CY6*$AK$6/2-$CB$30*$CT6)))/2/PI()/$CA30*360,$CW6),IF(($CB$30-SQRT($CB$30^2+4*PI()*$CA30/360*($CT6^2/360*PI()*$CA30+$CY6*$AK$6/2-$CB$30*$CT6)))/2/PI()/$CA30*360&gt;$CT6,($CB$30-SQRT($CB$30^2+4*PI()*$CA30/360*($CT6^2/360*PI()*$CA30+$CY6*$AK$6/2-$CB$30*$CT6)))/2/PI()/$CA30*360,$CW6))-CT6)/CY6</f>
        <v>0.22250666476198569</v>
      </c>
      <c r="CD36" s="81">
        <f>(MIN(IF(($CC$28+SQRT($CC$28^2+4*PI()*$CA30/360*($CT6^2/360*PI()*$CA30+$CY6*$AK$4/2-$CC$28*$CT6)))/2/PI()/$CA30*360&gt;$CT6,($CC$28+SQRT($CC$28^2+4*PI()*$CA30/360*($CT6^2/360*PI()*$CA30+$CY6*$AK$4/2-$CC$28*$CT6)))/2/PI()/$CA30*360,$CW6),IF(($CC$28-SQRT($CC$28^2+4*PI()*$CA30/360*($CT6^2/360*PI()*$CA30+$CY6*$AK$4/2-$CC$28*$CT6)))/2/PI()/$CA30*360&gt;$CT6,($CC$28-SQRT($CC$28^2+4*PI()*$CA30/360*($CT6^2/360*PI()*$CA30+$CY6*$AK$4/2-$CC$28*$CT6)))/2/PI()/$CA30*360,$CW6))-CT6)/CY6</f>
        <v>0.23709884921536387</v>
      </c>
      <c r="CE36" s="81">
        <f>(MIN(IF(($CC$29+SQRT($CC$29^2+4*PI()*$CA30/360*($CT6^2/360*PI()*$CA30+$CY6*$AK$5/2-$CC$29*$CT6)))/2/PI()/$CA30*360&gt;$CT6,($CC$29+SQRT($CC$29^2+4*PI()*$CA30/360*($CT6^2/360*PI()*$CA30+$CY6*$AK$5/2-$CC$29*$CT6)))/2/PI()/$CA30*360,$CW6),IF(($CC$29-SQRT($CC$29^2+4*PI()*$CA30/360*($CT6^2/360*PI()*$CA30+$CY6*$AK$5/2-$CC$29*$CT6)))/2/PI()/$CA30*360&gt;$CT6,($CC$29-SQRT($CC$29^2+4*PI()*$CA30/360*($CT6^2/360*PI()*$CA30+$CY6*$AK$5/2-$CC$29*$CT6)))/2/PI()/$CA30*360,$CW6))-CT6)/CY6</f>
        <v>0.2363811865491009</v>
      </c>
      <c r="CF36" s="81">
        <f>(MIN(IF(($CC$30+SQRT($CC$30^2+4*PI()*$CA30/360*($CT6^2/360*PI()*$CA30+$CY6*$AK$6/2-$CC$30*$CT6)))/2/PI()/$CA30*360&gt;$CT6,($CC$30+SQRT($CC$30^2+4*PI()*$CA30/360*($CT6^2/360*PI()*$CA30+$CY6*$AK$6/2-$CC$30*$CT6)))/2/PI()/$CA30*360,$CW6),IF(($CC$30-SQRT($CC$30^2+4*PI()*$CA30/360*($CT6^2/360*PI()*$CA30+$CY6*$AK$6/2-$CC$30*$CT6)))/2/PI()/$CA30*360&gt;$CT6,($CC$30-SQRT($CC$30^2+4*PI()*$CA30/360*($CT6^2/360*PI()*$CA30+$CY6*$AK$6/2-$CC$30*$CT6)))/2/PI()/$CA30*360,$CW6))-CT6)/CY6</f>
        <v>0.22709002227136577</v>
      </c>
      <c r="CG36" s="81">
        <f>(MIN(IF(($CD$28+SQRT($CD$28^2+4*PI()*$CA30/360*($CT6^2/360*PI()*$CA30+$CY6*$AK$4/2-$CD$28*$CT6)))/2/PI()/$CA30*360&gt;$CT6,($CD$28+SQRT($CD$28^2+4*PI()*$CA30/360*($CT6^2/360*PI()*$CA30+$CY6*$AK$4/2-$CD$28*$CT6)))/2/PI()/$CA30*360,$CW6),IF(($CD$28-SQRT($CD$28^2+4*PI()*$CA30/360*($CT6^2/360*PI()*$CA30+$CY6*$AK$4/2-$CD$28*$CT6)))/2/PI()/$CA30*360&gt;$CT6,($CD$28-SQRT($CD$28^2+4*PI()*$CA30/360*($CT6^2/360*PI()*$CA30+$CY6*$AK$4/2-$CD$28*$CT6)))/2/PI()/$CA30*360,$CW6))-CT6)/CY6</f>
        <v>0.24507332454495467</v>
      </c>
      <c r="CH36" s="81">
        <f>(MIN(IF(($CD$29+SQRT($CD$29^2+4*PI()*$CA30/360*($CT6^2/360*PI()*$CA30+$CY6*$AK$5/2-$CD$29*$CT6)))/2/PI()/$CA30*360&gt;$CT6,($CD$29+SQRT($CD$29^2+4*PI()*$CA30/360*($CT6^2/360*PI()*$CA30+$CY6*$AK$5/2-$CD$29*$CT6)))/2/PI()/$CA30*360,$CW6),IF(($CD$29-SQRT($CD$29^2+4*PI()*$CA30/360*($CT6^2/360*PI()*$CA30+$CY6*$AK$5/2-$CD$29*$CT6)))/2/PI()/$CA30*360&gt;$CT6,($CD$29-SQRT($CD$29^2+4*PI()*$CA30/360*($CT6^2/360*PI()*$CA30+$CY6*$AK$5/2-$CD$29*$CT6)))/2/PI()/$CA30*360,$CW6))-CT6)/CY6</f>
        <v>0.24241216829638634</v>
      </c>
      <c r="CI36" s="81">
        <f>(MIN(IF(($CD$30+SQRT($CD$30^2+4*PI()*$CA30/360*($CT6^2/360*PI()*$CA30+$CY6*$AK$6/2-$CD$30*$CT6)))/2/PI()/$CA30*360&gt;$CT6,($CD$30+SQRT($CD$30^2+4*PI()*$CA30/360*($CT6^2/360*PI()*$CA30+$CY6*$AK$6/2-$CD$30*$CT6)))/2/PI()/$CA30*360,$CW6),IF(($CD$30-SQRT($CD$30^2+4*PI()*$CA30/360*($CT6^2/360*PI()*$CA30+$CY6*$AK$6/2-$CD$30*$CT6)))/2/PI()/$CA30*360&gt;$CT6,($CD$30-SQRT($CD$30^2+4*PI()*$CA30/360*($CT6^2/360*PI()*$CA30+$CY6*$AK$6/2-$CD$30*$CT6)))/2/PI()/$CA30*360,$CW6))-CT6)/CY6</f>
        <v>0.23179877735121701</v>
      </c>
      <c r="CJ36" s="81">
        <f>(MIN(IF(($CE$28+SQRT($CE$28^2+4*PI()*$CA30/360*($CT6^2/360*PI()*$CA30+$CY6*$AK$4/2-$CE$28*$CT6)))/2/PI()/$CA30*360&gt;$CT6,($CE$28+SQRT($CE$28^2+4*PI()*$CA30/360*($CT6^2/360*PI()*$CA30+$CY6*$AK$4/2-$CE$28*$CT6)))/2/PI()/$CA30*360,$CW6),IF(($CE$28-SQRT($CE$28^2+4*PI()*$CA30/360*($CT6^2/360*PI()*$CA30+$CY6*$AK$4/2-$CE$28*$CT6)))/2/PI()/$CA30*360&gt;$CT6,($CE$28-SQRT($CE$28^2+4*PI()*$CA30/360*($CT6^2/360*PI()*$CA30+$CY6*$AK$4/2-$CE$28*$CT6)))/2/PI()/$CA30*360,$CW6))-CT6)/CY6</f>
        <v>0.25335604506785647</v>
      </c>
      <c r="CK36" s="81">
        <f>(MIN(IF(($CE$29+SQRT($CE$29^2+4*PI()*$CA30/360*($CT6^2/360*PI()*$CA30+$CY6*$AK$5/2-$CE$29*$CT6)))/2/PI()/$CA30*360&gt;$CT6,($CE$29+SQRT($CE$29^2+4*PI()*$CA30/360*($CT6^2/360*PI()*$CA30+$CY6*$AK$5/2-$CE$29*$CT6)))/2/PI()/$CA30*360,$CW6),IF(($CE$29-SQRT($CE$29^2+4*PI()*$CA30/360*($CT6^2/360*PI()*$CA30+$CY6*$AK$5/2-$CE$29*$CT6)))/2/PI()/$CA30*360&gt;$CT6,($CE$29-SQRT($CE$29^2+4*PI()*$CA30/360*($CT6^2/360*PI()*$CA30+$CY6*$AK$5/2-$CE$29*$CT6)))/2/PI()/$CA30*360,$CW6))-CT6)/CY6</f>
        <v>0.2486341604957891</v>
      </c>
      <c r="CL36" s="81">
        <f>(MIN(IF(($CE$30+SQRT($CE$30^2+4*PI()*$CA30/360*($CT6^2/360*PI()*$CA30+$CY6*$AK$6/2-$CE$30*$CT6)))/2/PI()/$CA30*360&gt;$CT6,($CE$30+SQRT($CE$30^2+4*PI()*$CA30/360*($CT6^2/360*PI()*$CA30+$CY6*$AK$6/2-$CE$30*$CT6)))/2/PI()/$CA30*360,$CW6),IF(($CE$30-SQRT($CE$30^2+4*PI()*$CA30/360*($CT6^2/360*PI()*$CA30+$CY6*$AK$6/2-$CE$30*$CT6)))/2/PI()/$CA30*360&gt;$CT6,($CE$30-SQRT($CE$30^2+4*PI()*$CA30/360*($CT6^2/360*PI()*$CA30+$CY6*$AK$6/2-$CE$30*$CT6)))/2/PI()/$CA30*360,$CW6))-CT6)/CY6</f>
        <v>0.23663534765114697</v>
      </c>
      <c r="CM36" s="81">
        <f>(MIN(IF(($CF$28+SQRT($CF$28^2+4*PI()*$CA30/360*($CT6^2/360*PI()*$CA30+$CY6*$AK$4/2-$CF$28*$CT6)))/2/PI()/$CA30*360&gt;$CT6,($CF$28+SQRT($CF$28^2+4*PI()*$CA30/360*($CT6^2/360*PI()*$CA30+$CY6*$AK$4/2-$CF$28*$CT6)))/2/PI()/$CA30*360,$CW6),IF(($CF$28-SQRT($CF$28^2+4*PI()*$CA30/360*($CT6^2/360*PI()*$CA30+$CY6*$AK$4/2-$CF$28*$CT6)))/2/PI()/$CA30*360&gt;$CT6,($CF$28-SQRT($CF$28^2+4*PI()*$CA30/360*($CT6^2/360*PI()*$CA30+$CY6*$AK$4/2-$CF$28*$CT6)))/2/PI()/$CA30*360,$CW6))-CT6)/CY6</f>
        <v>0.2619509494202511</v>
      </c>
      <c r="CN36" s="81">
        <f>(MIN(IF(($CF$29+SQRT($CF$29^2+4*PI()*$CA30/360*($CT6^2/360*PI()*$CA30+$CY6*$AK$5/2-$CF$29*$CT6)))/2/PI()/$CA30*360&gt;$CT6,($CF$29+SQRT($CF$29^2+4*PI()*$CA30/360*($CT6^2/360*PI()*$CA30+$CY6*$AK$5/2-$CF$29*$CT6)))/2/PI()/$CA30*360,$CW6),IF(($CF$29-SQRT($CF$29^2+4*PI()*$CA30/360*($CT6^2/360*PI()*$CA30+$CY6*$AK$5/2-$CF$29*$CT6)))/2/PI()/$CA30*360&gt;$CT6,($CF$29-SQRT($CF$29^2+4*PI()*$CA30/360*($CT6^2/360*PI()*$CA30+$CY6*$AK$5/2-$CF$29*$CT6)))/2/PI()/$CA30*360,$CW6))-CT6)/CY6</f>
        <v>0.25505041235676545</v>
      </c>
      <c r="CO36" s="81">
        <f>(MIN(IF(($CF$30+SQRT($CF$30^2+4*PI()*$CA30/360*($CT6^2/360*PI()*$CA30+$CY6*$AK$6/2-$CF$30*$CT6)))/2/PI()/$CA30*360&gt;$CT6,($CF$30+SQRT($CF$30^2+4*PI()*$CA30/360*($CT6^2/360*PI()*$CA30+$CY6*$AK$6/2-$CF$30*$CT6)))/2/PI()/$CA30*360,$CW6),IF(($CF$30-SQRT($CF$30^2+4*PI()*$CA30/360*($CT6^2/360*PI()*$CA30+$CY6*$AK$6/2-$CF$30*$CT6)))/2/PI()/$CA30*360&gt;$CT6,($CF$30-SQRT($CF$30^2+4*PI()*$CA30/360*($CT6^2/360*PI()*$CA30+$CY6*$AK$6/2-$CF$30*$CT6)))/2/PI()/$CA30*360,$CW6))-CT6)/CY6</f>
        <v>0.24160206188517921</v>
      </c>
    </row>
    <row r="37" spans="2:93" x14ac:dyDescent="0.35">
      <c r="B37" s="578" t="s">
        <v>5</v>
      </c>
      <c r="C37" s="92">
        <f>MIN($Q$4:$Q$33)</f>
        <v>0.35000000000000003</v>
      </c>
      <c r="D37" s="92">
        <f>MAX($L$4:$L$33)</f>
        <v>2.3499999999999996</v>
      </c>
      <c r="E37" s="576">
        <f>标准坦克设计!C4</f>
        <v>1.05</v>
      </c>
      <c r="F37" s="576">
        <f>标准坦克设计!E4*E37</f>
        <v>0.73499999999999999</v>
      </c>
      <c r="G37" s="85">
        <f>标准坦克设计!E34</f>
        <v>1</v>
      </c>
      <c r="H37" s="576">
        <f>E37/$G$37*D37</f>
        <v>2.4674999999999998</v>
      </c>
      <c r="I37" s="576">
        <f>F37/$G$39*C37</f>
        <v>0.18375000000000002</v>
      </c>
      <c r="J37" s="576">
        <f>F37/$G$37*D37</f>
        <v>1.7272499999999997</v>
      </c>
      <c r="K37" s="576">
        <f>ROUND(I37/5,2)*5</f>
        <v>0.2</v>
      </c>
      <c r="L37" s="576">
        <f>ROUND(J37/5,2)*5</f>
        <v>1.75</v>
      </c>
      <c r="AZ37" s="77" t="s">
        <v>243</v>
      </c>
      <c r="BA37" s="81">
        <f t="shared" si="51"/>
        <v>1.2</v>
      </c>
      <c r="BB37" s="81">
        <f t="shared" si="50"/>
        <v>1</v>
      </c>
      <c r="BC37" s="86">
        <f>$AJ$26</f>
        <v>0.27619545673019025</v>
      </c>
      <c r="BD37" s="87">
        <f>TAN(RADIANS(BA37+$AK$18))*$AI$12*2/$AK$5</f>
        <v>0.79430198914081418</v>
      </c>
      <c r="BE37" s="87">
        <f>TAN(RADIANS(BA37*2+$AK$18))*$AI$12*2/$AK$5</f>
        <v>1.3131062847418815</v>
      </c>
      <c r="BF37" s="87">
        <f>TAN(RADIANS(BA37*3+$AK$18))*$AI$12*2/$AK$5</f>
        <v>1.8330661545362483</v>
      </c>
      <c r="BG37" s="81">
        <f t="shared" si="52"/>
        <v>1.6736755078268619</v>
      </c>
      <c r="CL37" s="82"/>
    </row>
    <row r="38" spans="2:93" x14ac:dyDescent="0.35">
      <c r="B38" s="578" t="s">
        <v>2657</v>
      </c>
      <c r="C38" s="92">
        <f t="shared" ref="C38:C39" si="53">MIN($Q$4:$Q$33)</f>
        <v>0.35000000000000003</v>
      </c>
      <c r="D38" s="92">
        <f t="shared" ref="D38:D39" si="54">MAX($L$4:$L$33)</f>
        <v>2.3499999999999996</v>
      </c>
      <c r="E38" s="576">
        <f>标准坦克设计!C5</f>
        <v>1.1499999999999999</v>
      </c>
      <c r="F38" s="576">
        <f>标准坦克设计!E7*E38</f>
        <v>0.86249999999999993</v>
      </c>
      <c r="G38" s="85">
        <f>标准坦克设计!E35</f>
        <v>1.2</v>
      </c>
      <c r="H38" s="576">
        <f t="shared" ref="H38:H39" si="55">E38/$G$37*D38</f>
        <v>2.7024999999999992</v>
      </c>
      <c r="I38" s="576">
        <f t="shared" ref="I38:I39" si="56">F38/$G$39*C38</f>
        <v>0.21562500000000004</v>
      </c>
      <c r="J38" s="576">
        <f t="shared" ref="J38:J39" si="57">F38/$G$37*D38</f>
        <v>2.0268749999999995</v>
      </c>
      <c r="K38" s="576">
        <f t="shared" ref="K38:L39" si="58">ROUND(I38/5,2)*5</f>
        <v>0.2</v>
      </c>
      <c r="L38" s="576">
        <f t="shared" si="58"/>
        <v>2.0499999999999998</v>
      </c>
      <c r="AZ38" s="77" t="s">
        <v>244</v>
      </c>
      <c r="BA38" s="81">
        <f t="shared" si="51"/>
        <v>0.6</v>
      </c>
      <c r="BB38" s="81">
        <f t="shared" si="50"/>
        <v>0.5</v>
      </c>
      <c r="BC38" s="86">
        <f>$AJ$26</f>
        <v>0.27619545673019025</v>
      </c>
      <c r="BD38" s="87">
        <f>TAN(RADIANS(BA38+$AK$18))*$AI$12*2/$AK$5</f>
        <v>0.53519000099062264</v>
      </c>
      <c r="BE38" s="87">
        <f>TAN(RADIANS(BA38*2+$AK$18))*$AI$12*2/$AK$5</f>
        <v>0.79430198914081418</v>
      </c>
      <c r="BF38" s="87">
        <f>TAN(RADIANS(BA38*3+$AK$18))*$AI$12*2/$AK$5</f>
        <v>1.0535883797695342</v>
      </c>
      <c r="BG38" s="81">
        <f t="shared" si="52"/>
        <v>1.6759197817134233</v>
      </c>
      <c r="BZ38" s="77"/>
      <c r="CA38" s="787" t="s">
        <v>533</v>
      </c>
      <c r="CB38" s="787"/>
      <c r="CC38" s="787"/>
      <c r="CD38" s="787"/>
      <c r="CE38" s="787" t="s">
        <v>534</v>
      </c>
      <c r="CF38" s="787"/>
      <c r="CG38" s="787"/>
      <c r="CH38" s="787"/>
      <c r="CI38" s="787" t="s">
        <v>535</v>
      </c>
      <c r="CJ38" s="787"/>
      <c r="CK38" s="787"/>
      <c r="CL38" s="787"/>
    </row>
    <row r="39" spans="2:93" x14ac:dyDescent="0.35">
      <c r="B39" s="578" t="s">
        <v>6</v>
      </c>
      <c r="C39" s="92">
        <f t="shared" si="53"/>
        <v>0.35000000000000003</v>
      </c>
      <c r="D39" s="92">
        <f t="shared" si="54"/>
        <v>2.3499999999999996</v>
      </c>
      <c r="E39" s="576">
        <f>标准坦克设计!C6</f>
        <v>1.25</v>
      </c>
      <c r="F39" s="576">
        <f>标准坦克设计!E9*E39</f>
        <v>1</v>
      </c>
      <c r="G39" s="85">
        <f>标准坦克设计!E36</f>
        <v>1.4</v>
      </c>
      <c r="H39" s="576">
        <f t="shared" si="55"/>
        <v>2.9374999999999996</v>
      </c>
      <c r="I39" s="576">
        <f t="shared" si="56"/>
        <v>0.25000000000000006</v>
      </c>
      <c r="J39" s="576">
        <f t="shared" si="57"/>
        <v>2.3499999999999996</v>
      </c>
      <c r="K39" s="576">
        <f t="shared" si="58"/>
        <v>0.25</v>
      </c>
      <c r="L39" s="576">
        <f t="shared" si="58"/>
        <v>2.3499999999999996</v>
      </c>
      <c r="AZ39" s="77" t="s">
        <v>245</v>
      </c>
      <c r="BA39" s="81">
        <f t="shared" si="51"/>
        <v>1.5</v>
      </c>
      <c r="BB39" s="81">
        <f t="shared" si="50"/>
        <v>1.25</v>
      </c>
      <c r="BC39" s="86">
        <f>$AK$26</f>
        <v>0.2614698211958108</v>
      </c>
      <c r="BD39" s="87">
        <f>TAN(RADIANS(BA39+$AK$18))*$AI$12*2/$AK$6</f>
        <v>0.87466011458036763</v>
      </c>
      <c r="BE39" s="87">
        <f>TAN(RADIANS(BA39*2+$AK$18))*$AI$12*2/$AK$6</f>
        <v>1.4890515972587606</v>
      </c>
      <c r="BF39" s="87">
        <f>TAN(RADIANS(BA39*3+$AK$18))*$AI$12*2/$AK$6</f>
        <v>2.1054934426326652</v>
      </c>
      <c r="BG39" s="81">
        <f t="shared" si="52"/>
        <v>1.8022468725369605</v>
      </c>
      <c r="BZ39" s="77" t="s">
        <v>4</v>
      </c>
      <c r="CA39" s="77" t="s">
        <v>529</v>
      </c>
      <c r="CB39" s="77" t="s">
        <v>530</v>
      </c>
      <c r="CC39" s="77" t="s">
        <v>531</v>
      </c>
      <c r="CD39" s="77" t="s">
        <v>532</v>
      </c>
      <c r="CE39" s="77" t="s">
        <v>529</v>
      </c>
      <c r="CF39" s="77" t="s">
        <v>530</v>
      </c>
      <c r="CG39" s="77" t="s">
        <v>531</v>
      </c>
      <c r="CH39" s="77" t="s">
        <v>532</v>
      </c>
      <c r="CI39" s="77" t="s">
        <v>529</v>
      </c>
      <c r="CJ39" s="77" t="s">
        <v>530</v>
      </c>
      <c r="CK39" s="77" t="s">
        <v>531</v>
      </c>
      <c r="CL39" s="77" t="s">
        <v>532</v>
      </c>
    </row>
    <row r="40" spans="2:93" x14ac:dyDescent="0.35">
      <c r="F40" s="468"/>
      <c r="G40" s="468"/>
      <c r="AZ40" s="77" t="s">
        <v>409</v>
      </c>
      <c r="BA40" s="81">
        <f t="shared" si="51"/>
        <v>0.89999999999999991</v>
      </c>
      <c r="BB40" s="81">
        <f t="shared" si="50"/>
        <v>0.75</v>
      </c>
      <c r="BC40" s="86">
        <f>$AK$26</f>
        <v>0.2614698211958108</v>
      </c>
      <c r="BD40" s="87">
        <f>TAN(RADIANS(BA40+$AK$18))*$AI$12*2/$AK$6</f>
        <v>0.62928713600091524</v>
      </c>
      <c r="BE40" s="87">
        <f>TAN(RADIANS(BA40*2+$AK$18))*$AI$12*2/$AK$6</f>
        <v>0.99741526719404527</v>
      </c>
      <c r="BF40" s="87">
        <f>TAN(RADIANS(BA40*3+$AK$18))*$AI$12*2/$AK$6</f>
        <v>1.3660365781646755</v>
      </c>
      <c r="BG40" s="81">
        <f t="shared" si="52"/>
        <v>1.8052611761042867</v>
      </c>
      <c r="BZ40" s="77" t="s">
        <v>5</v>
      </c>
      <c r="CA40" s="81">
        <f>VLOOKUP($BZ$40,$BZ$33:$CO$36,MATCH(LEFT(CA$39,2)&amp;$BZ40&amp;(RIGHT(CA$39,1)*1+1),$BZ$33:$CO$33,0),FALSE)/VLOOKUP($BZ$40,$BZ$33:$CO$36,MATCH(LEFT(CA$39,2)&amp;$BZ40&amp;1,$BZ$33:$CO$33,0),FALSE)</f>
        <v>1.0381099832325567</v>
      </c>
      <c r="CB40" s="81">
        <f t="shared" ref="CB40:CD42" si="59">VLOOKUP($BZ$40,$BZ$33:$CO$36,MATCH(LEFT(CB$39,2)&amp;$BZ40&amp;(RIGHT(CB$39,1)*1+1),$BZ$33:$CO$33,0),FALSE)/VLOOKUP($BZ$40,$BZ$33:$CO$36,MATCH(LEFT(CB$39,2)&amp;$BZ40&amp;1,$BZ$33:$CO$33,0),FALSE)</f>
        <v>1.0776796744974577</v>
      </c>
      <c r="CC40" s="81">
        <f t="shared" si="59"/>
        <v>1.1187068126656583</v>
      </c>
      <c r="CD40" s="81">
        <f t="shared" si="59"/>
        <v>1.1611830737699189</v>
      </c>
      <c r="CE40" s="81">
        <f t="shared" ref="CE40:CH42" si="60">VLOOKUP($BZ$41,$BZ$33:$CO$36,MATCH(LEFT(CA$39,2)&amp;$BZ40&amp;(RIGHT(CA$39,1)*1+1),$BZ$33:$CO$33,0),FALSE)/VLOOKUP($BZ$41,$BZ$33:$CO$36,MATCH(LEFT(CA$39,2)&amp;$BZ40&amp;1,$BZ$33:$CO$33,0),FALSE)</f>
        <v>1.0346344482248713</v>
      </c>
      <c r="CF40" s="81">
        <f t="shared" si="60"/>
        <v>1.0706356678722122</v>
      </c>
      <c r="CG40" s="81">
        <f t="shared" si="60"/>
        <v>1.1080201975905266</v>
      </c>
      <c r="CH40" s="81">
        <f t="shared" si="60"/>
        <v>1.1467999592097045</v>
      </c>
      <c r="CI40" s="81">
        <f t="shared" ref="CI40:CL42" si="61">VLOOKUP($BZ$42,$BZ$33:$CO$36,MATCH(LEFT(CA$39,2)&amp;$BZ40&amp;(RIGHT(CA$39,1)*1+1),$BZ$33:$CO$33,0),FALSE)/VLOOKUP($BZ$42,$BZ$33:$CO$36,MATCH(LEFT(CA$39,2)&amp;$BZ40&amp;1,$BZ$33:$CO$33,0),FALSE)</f>
        <v>1.0334357038121553</v>
      </c>
      <c r="CJ40" s="81">
        <f t="shared" si="61"/>
        <v>1.0681938123058945</v>
      </c>
      <c r="CK40" s="81">
        <f t="shared" si="61"/>
        <v>1.1042954599578805</v>
      </c>
      <c r="CL40" s="81">
        <f t="shared" si="61"/>
        <v>1.1417578139845213</v>
      </c>
    </row>
    <row r="41" spans="2:93" x14ac:dyDescent="0.35">
      <c r="F41" s="468"/>
      <c r="G41" s="468"/>
      <c r="BZ41" s="77" t="s">
        <v>7</v>
      </c>
      <c r="CA41" s="81">
        <f>VLOOKUP($BZ$40,$BZ$33:$CO$36,MATCH(LEFT(CA$39,2)&amp;$BZ41&amp;(RIGHT(CA$39,1)*1+1),$BZ$33:$CO$33,0),FALSE)/VLOOKUP($BZ$40,$BZ$33:$CO$36,MATCH(LEFT(CA$39,2)&amp;$BZ41&amp;1,$BZ$33:$CO$33,0),FALSE)</f>
        <v>1.0291816269433318</v>
      </c>
      <c r="CB41" s="81">
        <f t="shared" si="59"/>
        <v>1.0593182084105783</v>
      </c>
      <c r="CC41" s="81">
        <f t="shared" si="59"/>
        <v>1.0904183209416773</v>
      </c>
      <c r="CD41" s="81">
        <f t="shared" si="59"/>
        <v>1.1224882261557809</v>
      </c>
      <c r="CE41" s="81">
        <f t="shared" si="60"/>
        <v>1.0262985585960267</v>
      </c>
      <c r="CF41" s="81">
        <f t="shared" si="60"/>
        <v>1.0534484372629951</v>
      </c>
      <c r="CG41" s="81">
        <f t="shared" si="60"/>
        <v>1.0814638347161751</v>
      </c>
      <c r="CH41" s="81">
        <f t="shared" si="60"/>
        <v>1.1103575228558193</v>
      </c>
      <c r="CI41" s="81">
        <f t="shared" si="61"/>
        <v>1.0253472039337996</v>
      </c>
      <c r="CJ41" s="81">
        <f t="shared" si="61"/>
        <v>1.0515077049526502</v>
      </c>
      <c r="CK41" s="81">
        <f t="shared" si="61"/>
        <v>1.0784967492065183</v>
      </c>
      <c r="CL41" s="81">
        <f t="shared" si="61"/>
        <v>1.1063284307435792</v>
      </c>
    </row>
    <row r="42" spans="2:93" x14ac:dyDescent="0.35">
      <c r="F42" s="468"/>
      <c r="G42" s="468"/>
      <c r="BZ42" s="77" t="s">
        <v>6</v>
      </c>
      <c r="CA42" s="81">
        <f>VLOOKUP($BZ$40,$BZ$33:$CO$36,MATCH(LEFT(CA$39,2)&amp;$BZ42&amp;(RIGHT(CA$39,1)*1+1),$BZ$33:$CO$33,0),FALSE)/VLOOKUP($BZ$40,$BZ$33:$CO$36,MATCH(LEFT(CA$39,2)&amp;$BZ42&amp;1,$BZ$33:$CO$33,0),FALSE)</f>
        <v>1.0238476007590565</v>
      </c>
      <c r="CB42" s="81">
        <f t="shared" si="59"/>
        <v>1.048379714193683</v>
      </c>
      <c r="CC42" s="81">
        <f t="shared" si="59"/>
        <v>1.0736054685606489</v>
      </c>
      <c r="CD42" s="81">
        <f t="shared" si="59"/>
        <v>1.0995330009523649</v>
      </c>
      <c r="CE42" s="81">
        <f t="shared" si="60"/>
        <v>1.0213928151314728</v>
      </c>
      <c r="CF42" s="81">
        <f t="shared" si="60"/>
        <v>1.0433797515591703</v>
      </c>
      <c r="CG42" s="81">
        <f t="shared" si="60"/>
        <v>1.065971545272695</v>
      </c>
      <c r="CH42" s="81">
        <f t="shared" si="60"/>
        <v>1.0891784074106687</v>
      </c>
      <c r="CI42" s="81">
        <f t="shared" si="61"/>
        <v>1.0205987425782632</v>
      </c>
      <c r="CJ42" s="81">
        <f t="shared" si="61"/>
        <v>1.0417610528618144</v>
      </c>
      <c r="CK42" s="81">
        <f t="shared" si="61"/>
        <v>1.0634977963661207</v>
      </c>
      <c r="CL42" s="81">
        <f t="shared" si="61"/>
        <v>1.0858194389081324</v>
      </c>
    </row>
    <row r="43" spans="2:93" x14ac:dyDescent="0.35">
      <c r="F43" s="468"/>
      <c r="G43" s="468"/>
    </row>
    <row r="44" spans="2:93" x14ac:dyDescent="0.35">
      <c r="F44" s="468"/>
      <c r="G44" s="468"/>
      <c r="BZ44" s="77"/>
      <c r="CA44" s="787" t="s">
        <v>537</v>
      </c>
      <c r="CB44" s="787"/>
      <c r="CC44" s="787"/>
      <c r="CD44" s="787"/>
      <c r="CE44" s="787" t="s">
        <v>538</v>
      </c>
      <c r="CF44" s="787"/>
      <c r="CG44" s="787"/>
      <c r="CH44" s="787"/>
      <c r="CI44" s="787" t="s">
        <v>539</v>
      </c>
      <c r="CJ44" s="787"/>
      <c r="CK44" s="787"/>
      <c r="CL44" s="787"/>
      <c r="CM44" s="77"/>
    </row>
    <row r="45" spans="2:93" x14ac:dyDescent="0.35">
      <c r="F45" s="468"/>
      <c r="G45" s="468"/>
      <c r="BZ45" s="77" t="s">
        <v>4</v>
      </c>
      <c r="CA45" s="77" t="s">
        <v>536</v>
      </c>
      <c r="CB45" s="77" t="s">
        <v>536</v>
      </c>
      <c r="CC45" s="77" t="s">
        <v>536</v>
      </c>
      <c r="CD45" s="77" t="s">
        <v>536</v>
      </c>
      <c r="CE45" s="77" t="s">
        <v>536</v>
      </c>
      <c r="CF45" s="77" t="s">
        <v>536</v>
      </c>
      <c r="CG45" s="77" t="s">
        <v>536</v>
      </c>
      <c r="CH45" s="77" t="s">
        <v>536</v>
      </c>
      <c r="CI45" s="77" t="s">
        <v>536</v>
      </c>
      <c r="CJ45" s="77" t="s">
        <v>536</v>
      </c>
      <c r="CK45" s="77" t="s">
        <v>536</v>
      </c>
      <c r="CL45" s="77" t="s">
        <v>536</v>
      </c>
      <c r="CM45" s="77" t="s">
        <v>540</v>
      </c>
    </row>
    <row r="46" spans="2:93" x14ac:dyDescent="0.35">
      <c r="F46" s="468"/>
      <c r="G46" s="468"/>
      <c r="BZ46" s="77" t="s">
        <v>5</v>
      </c>
      <c r="CA46" s="81">
        <f>(CA40-1)/0.05</f>
        <v>0.76219966465113309</v>
      </c>
      <c r="CB46" s="81">
        <f>(CB40-1)/0.1</f>
        <v>0.77679674497457718</v>
      </c>
      <c r="CC46" s="81">
        <f>(CC40-1)/0.15</f>
        <v>0.79137875110438871</v>
      </c>
      <c r="CD46" s="81">
        <f>(CD40-1)/0.2</f>
        <v>0.80591536884959458</v>
      </c>
      <c r="CE46" s="81">
        <f>(CE40-1)/0.05</f>
        <v>0.69268896449742545</v>
      </c>
      <c r="CF46" s="81">
        <f>(CF40-1)/0.1</f>
        <v>0.70635667872212204</v>
      </c>
      <c r="CG46" s="81">
        <f>(CG40-1)/0.15</f>
        <v>0.72013465060351078</v>
      </c>
      <c r="CH46" s="81">
        <f>(CH40-1)/0.2</f>
        <v>0.73399979604852228</v>
      </c>
      <c r="CI46" s="81">
        <f>(CI40-1)/0.05</f>
        <v>0.66871407624310653</v>
      </c>
      <c r="CJ46" s="81">
        <f>(CJ40-1)/0.1</f>
        <v>0.68193812305894497</v>
      </c>
      <c r="CK46" s="81">
        <f>(CK40-1)/0.15</f>
        <v>0.69530306638586992</v>
      </c>
      <c r="CL46" s="81">
        <f>(CL40-1)/0.2</f>
        <v>0.70878906992260626</v>
      </c>
      <c r="CM46" s="81">
        <f>AVERAGE(CA46:CL46)</f>
        <v>0.72868457958848332</v>
      </c>
    </row>
    <row r="47" spans="2:93" x14ac:dyDescent="0.35">
      <c r="F47" s="468"/>
      <c r="G47" s="468"/>
      <c r="BZ47" s="77" t="s">
        <v>7</v>
      </c>
      <c r="CA47" s="81">
        <f>(CA41-1)/0.05</f>
        <v>0.58363253886663635</v>
      </c>
      <c r="CB47" s="81">
        <f>(CB41-1)/0.1</f>
        <v>0.59318208410578332</v>
      </c>
      <c r="CC47" s="81">
        <f>(CC41-1)/0.15</f>
        <v>0.60278880627784903</v>
      </c>
      <c r="CD47" s="81">
        <f>(CD41-1)/0.2</f>
        <v>0.61244113077890461</v>
      </c>
      <c r="CE47" s="81">
        <f>(CE41-1)/0.05</f>
        <v>0.525971171920534</v>
      </c>
      <c r="CF47" s="81">
        <f>(CF41-1)/0.1</f>
        <v>0.53448437262995085</v>
      </c>
      <c r="CG47" s="81">
        <f>(CG41-1)/0.15</f>
        <v>0.54309223144116758</v>
      </c>
      <c r="CH47" s="81">
        <f>(CH41-1)/0.2</f>
        <v>0.55178761427909673</v>
      </c>
      <c r="CI47" s="81">
        <f>(CI41-1)/0.05</f>
        <v>0.50694407867599267</v>
      </c>
      <c r="CJ47" s="81">
        <f>(CJ41-1)/0.1</f>
        <v>0.51507704952650224</v>
      </c>
      <c r="CK47" s="81">
        <f>(CK41-1)/0.15</f>
        <v>0.52331166137678853</v>
      </c>
      <c r="CL47" s="81">
        <f>(CL41-1)/0.2</f>
        <v>0.53164215371789614</v>
      </c>
      <c r="CM47" s="81">
        <f>AVERAGE(CA47:CL47)</f>
        <v>0.5520295744664252</v>
      </c>
    </row>
    <row r="48" spans="2:93" x14ac:dyDescent="0.35">
      <c r="F48" s="468"/>
      <c r="G48" s="468"/>
      <c r="BZ48" s="77" t="s">
        <v>6</v>
      </c>
      <c r="CA48" s="81">
        <f>(CA42-1)/0.05</f>
        <v>0.47695201518112906</v>
      </c>
      <c r="CB48" s="81">
        <f>(CB42-1)/0.1</f>
        <v>0.48379714193683032</v>
      </c>
      <c r="CC48" s="81">
        <f>(CC42-1)/0.15</f>
        <v>0.49070312373765912</v>
      </c>
      <c r="CD48" s="81">
        <f>(CD42-1)/0.2</f>
        <v>0.49766500476182474</v>
      </c>
      <c r="CE48" s="81">
        <f>(CE42-1)/0.05</f>
        <v>0.42785630262945684</v>
      </c>
      <c r="CF48" s="81">
        <f>(CF42-1)/0.1</f>
        <v>0.43379751559170288</v>
      </c>
      <c r="CG48" s="81">
        <f>(CG42-1)/0.15</f>
        <v>0.43981030181796665</v>
      </c>
      <c r="CH48" s="81">
        <f>(CH42-1)/0.2</f>
        <v>0.44589203705334368</v>
      </c>
      <c r="CI48" s="81">
        <f>(CI42-1)/0.05</f>
        <v>0.41197485156526437</v>
      </c>
      <c r="CJ48" s="81">
        <f>(CJ42-1)/0.1</f>
        <v>0.41761052861814418</v>
      </c>
      <c r="CK48" s="81">
        <f>(CK42-1)/0.15</f>
        <v>0.42331864244080497</v>
      </c>
      <c r="CL48" s="81">
        <f>(CL42-1)/0.2</f>
        <v>0.42909719454066186</v>
      </c>
      <c r="CM48" s="81">
        <f>AVERAGE(CA48:CL48)</f>
        <v>0.44820622165623236</v>
      </c>
    </row>
    <row r="49" spans="6:90" x14ac:dyDescent="0.35">
      <c r="F49" s="468"/>
      <c r="G49" s="468"/>
    </row>
    <row r="50" spans="6:90" x14ac:dyDescent="0.35">
      <c r="F50" s="468"/>
      <c r="G50" s="468"/>
      <c r="CA50" s="82"/>
      <c r="CB50" s="82"/>
      <c r="CC50" s="82"/>
      <c r="CD50" s="82"/>
      <c r="CE50" s="82"/>
      <c r="CF50" s="82"/>
      <c r="CG50" s="82"/>
      <c r="CH50" s="82"/>
      <c r="CI50" s="82"/>
      <c r="CJ50" s="82"/>
      <c r="CK50" s="82"/>
      <c r="CL50" s="82"/>
    </row>
    <row r="51" spans="6:90" x14ac:dyDescent="0.35">
      <c r="F51" s="468"/>
      <c r="G51" s="468"/>
      <c r="CA51" s="82"/>
      <c r="CB51" s="82"/>
      <c r="CC51" s="82"/>
      <c r="CD51" s="82"/>
      <c r="CE51" s="82"/>
      <c r="CF51" s="82"/>
      <c r="CG51" s="82"/>
      <c r="CH51" s="82"/>
      <c r="CI51" s="82"/>
      <c r="CJ51" s="82"/>
      <c r="CK51" s="82"/>
      <c r="CL51" s="82"/>
    </row>
    <row r="52" spans="6:90" x14ac:dyDescent="0.35">
      <c r="F52" s="468"/>
      <c r="G52" s="468"/>
      <c r="CA52" s="82"/>
      <c r="CB52" s="82"/>
      <c r="CC52" s="82"/>
      <c r="CD52" s="82"/>
      <c r="CE52" s="82"/>
      <c r="CF52" s="82"/>
      <c r="CG52" s="82"/>
      <c r="CH52" s="82"/>
      <c r="CI52" s="82"/>
      <c r="CJ52" s="82"/>
      <c r="CK52" s="82"/>
      <c r="CL52" s="82"/>
    </row>
    <row r="53" spans="6:90" x14ac:dyDescent="0.35">
      <c r="F53" s="468"/>
      <c r="G53" s="468"/>
    </row>
    <row r="54" spans="6:90" x14ac:dyDescent="0.35">
      <c r="F54" s="468"/>
      <c r="G54" s="468"/>
    </row>
    <row r="55" spans="6:90" x14ac:dyDescent="0.35">
      <c r="F55" s="468"/>
      <c r="G55" s="468"/>
    </row>
    <row r="56" spans="6:90" x14ac:dyDescent="0.35">
      <c r="F56" s="468"/>
      <c r="G56" s="468"/>
    </row>
    <row r="57" spans="6:90" x14ac:dyDescent="0.35">
      <c r="F57" s="468"/>
      <c r="G57" s="468"/>
    </row>
    <row r="58" spans="6:90" x14ac:dyDescent="0.35">
      <c r="F58" s="468"/>
      <c r="G58" s="468"/>
    </row>
    <row r="59" spans="6:90" x14ac:dyDescent="0.35">
      <c r="F59" s="468"/>
      <c r="G59" s="468"/>
    </row>
    <row r="60" spans="6:90" x14ac:dyDescent="0.35">
      <c r="F60" s="468"/>
      <c r="G60" s="468"/>
    </row>
    <row r="61" spans="6:90" x14ac:dyDescent="0.35">
      <c r="F61" s="468"/>
      <c r="G61" s="468"/>
    </row>
    <row r="62" spans="6:90" x14ac:dyDescent="0.35">
      <c r="F62" s="468"/>
      <c r="G62" s="468"/>
    </row>
    <row r="63" spans="6:90" x14ac:dyDescent="0.35">
      <c r="F63" s="468"/>
      <c r="G63" s="468"/>
    </row>
    <row r="64" spans="6:90" x14ac:dyDescent="0.35">
      <c r="F64" s="468"/>
      <c r="G64" s="468"/>
    </row>
    <row r="65" spans="6:7" x14ac:dyDescent="0.35">
      <c r="F65" s="468"/>
      <c r="G65" s="468"/>
    </row>
  </sheetData>
  <mergeCells count="37">
    <mergeCell ref="CA44:CD44"/>
    <mergeCell ref="CE44:CH44"/>
    <mergeCell ref="CI44:CL44"/>
    <mergeCell ref="DE2:DH2"/>
    <mergeCell ref="BZ26:CF26"/>
    <mergeCell ref="BZ32:CO32"/>
    <mergeCell ref="CA38:CD38"/>
    <mergeCell ref="CE38:CH38"/>
    <mergeCell ref="CI38:CL38"/>
    <mergeCell ref="CQ26:DA26"/>
    <mergeCell ref="DE8:DH8"/>
    <mergeCell ref="CQ14:DC14"/>
    <mergeCell ref="CQ2:CY2"/>
    <mergeCell ref="CQ20:DA20"/>
    <mergeCell ref="CV8:CY8"/>
    <mergeCell ref="CQ8:CU8"/>
    <mergeCell ref="AH14:AK14"/>
    <mergeCell ref="BZ14:CF14"/>
    <mergeCell ref="BM22:BX22"/>
    <mergeCell ref="AZ22:BG22"/>
    <mergeCell ref="AZ32:BG32"/>
    <mergeCell ref="B2:I2"/>
    <mergeCell ref="J2:AF2"/>
    <mergeCell ref="AQ2:AX2"/>
    <mergeCell ref="CH20:CN20"/>
    <mergeCell ref="AH22:AK22"/>
    <mergeCell ref="BM2:BV2"/>
    <mergeCell ref="BM12:BV12"/>
    <mergeCell ref="BZ20:CF20"/>
    <mergeCell ref="AZ2:BE2"/>
    <mergeCell ref="BI2:BK2"/>
    <mergeCell ref="BZ2:CD2"/>
    <mergeCell ref="BZ8:CF8"/>
    <mergeCell ref="AM2:AO2"/>
    <mergeCell ref="AZ12:BG12"/>
    <mergeCell ref="AH2:AK2"/>
    <mergeCell ref="AH8:AK8"/>
  </mergeCells>
  <phoneticPr fontId="101" type="noConversion"/>
  <pageMargins left="0.7" right="0.7" top="0.75" bottom="0.75" header="0.3" footer="0.3"/>
  <pageSetup paperSize="9" orientation="portrait" r:id="rId1"/>
  <ignoredErrors>
    <ignoredError sqref="AI4:AJ6" formulaRange="1"/>
  </ignoredError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1"/>
  <dimension ref="B2:V56"/>
  <sheetViews>
    <sheetView workbookViewId="0">
      <selection activeCell="H4" sqref="H4"/>
    </sheetView>
  </sheetViews>
  <sheetFormatPr defaultColWidth="9" defaultRowHeight="13" x14ac:dyDescent="0.35"/>
  <cols>
    <col min="1" max="16384" width="9" style="12"/>
  </cols>
  <sheetData>
    <row r="2" spans="2:22" x14ac:dyDescent="0.35">
      <c r="B2" s="796" t="s">
        <v>1186</v>
      </c>
      <c r="C2" s="796"/>
      <c r="D2" s="796"/>
      <c r="E2" s="796"/>
      <c r="F2" s="796"/>
      <c r="G2" s="796"/>
      <c r="M2" s="255" t="s">
        <v>1182</v>
      </c>
    </row>
    <row r="3" spans="2:22" x14ac:dyDescent="0.35">
      <c r="B3" s="26" t="s">
        <v>396</v>
      </c>
      <c r="C3" s="26" t="s">
        <v>397</v>
      </c>
      <c r="D3" s="254" t="s">
        <v>1188</v>
      </c>
      <c r="E3" s="254" t="s">
        <v>1189</v>
      </c>
      <c r="F3" s="254" t="s">
        <v>1190</v>
      </c>
      <c r="G3" s="254" t="s">
        <v>1191</v>
      </c>
      <c r="M3" s="255" t="s">
        <v>1183</v>
      </c>
    </row>
    <row r="4" spans="2:22" x14ac:dyDescent="0.35">
      <c r="B4" s="445" t="s">
        <v>408</v>
      </c>
      <c r="C4" s="8">
        <v>1.05</v>
      </c>
      <c r="D4" s="8">
        <v>1</v>
      </c>
      <c r="E4" s="8">
        <v>0.7</v>
      </c>
      <c r="F4" s="238">
        <f>C4*AVERAGE(D4:E4)</f>
        <v>0.89249999999999996</v>
      </c>
      <c r="G4" s="238">
        <f>C4*E4</f>
        <v>0.73499999999999999</v>
      </c>
      <c r="H4" s="36"/>
      <c r="M4" s="255" t="s">
        <v>1184</v>
      </c>
    </row>
    <row r="5" spans="2:22" x14ac:dyDescent="0.35">
      <c r="B5" s="445" t="s">
        <v>392</v>
      </c>
      <c r="C5" s="8">
        <v>1.1499999999999999</v>
      </c>
      <c r="D5" s="8">
        <v>1</v>
      </c>
      <c r="E5" s="8">
        <v>0.7</v>
      </c>
      <c r="F5" s="238">
        <f t="shared" ref="F5:F10" si="0">C5*AVERAGE(D5:E5)</f>
        <v>0.97749999999999992</v>
      </c>
      <c r="G5" s="238">
        <f t="shared" ref="G5:G10" si="1">C5*E5</f>
        <v>0.80499999999999994</v>
      </c>
      <c r="H5" s="36"/>
      <c r="M5" s="255" t="s">
        <v>1185</v>
      </c>
    </row>
    <row r="6" spans="2:22" x14ac:dyDescent="0.35">
      <c r="B6" s="448" t="s">
        <v>608</v>
      </c>
      <c r="C6" s="8">
        <v>1.25</v>
      </c>
      <c r="D6" s="8">
        <v>1</v>
      </c>
      <c r="E6" s="8">
        <v>0.7</v>
      </c>
      <c r="F6" s="238">
        <f t="shared" si="0"/>
        <v>1.0625</v>
      </c>
      <c r="G6" s="238">
        <f t="shared" si="1"/>
        <v>0.875</v>
      </c>
      <c r="H6" s="36"/>
      <c r="M6" s="255" t="s">
        <v>1187</v>
      </c>
    </row>
    <row r="7" spans="2:22" x14ac:dyDescent="0.35">
      <c r="B7" s="445" t="s">
        <v>394</v>
      </c>
      <c r="C7" s="8">
        <v>1</v>
      </c>
      <c r="D7" s="8">
        <v>1</v>
      </c>
      <c r="E7" s="8">
        <v>0.75</v>
      </c>
      <c r="F7" s="238">
        <f t="shared" si="0"/>
        <v>0.875</v>
      </c>
      <c r="G7" s="238">
        <f t="shared" si="1"/>
        <v>0.75</v>
      </c>
      <c r="H7" s="36"/>
      <c r="T7" s="24"/>
      <c r="U7" s="24"/>
      <c r="V7" s="24"/>
    </row>
    <row r="8" spans="2:22" x14ac:dyDescent="0.35">
      <c r="B8" s="445" t="s">
        <v>393</v>
      </c>
      <c r="C8" s="8">
        <v>1.1499999999999999</v>
      </c>
      <c r="D8" s="8">
        <v>1</v>
      </c>
      <c r="E8" s="8">
        <v>0.75</v>
      </c>
      <c r="F8" s="238">
        <f t="shared" si="0"/>
        <v>1.0062499999999999</v>
      </c>
      <c r="G8" s="238">
        <f t="shared" si="1"/>
        <v>0.86249999999999993</v>
      </c>
      <c r="S8" s="24"/>
      <c r="T8" s="24"/>
      <c r="U8" s="24"/>
    </row>
    <row r="9" spans="2:22" x14ac:dyDescent="0.35">
      <c r="B9" s="445" t="s">
        <v>409</v>
      </c>
      <c r="C9" s="8">
        <v>1</v>
      </c>
      <c r="D9" s="8">
        <v>1</v>
      </c>
      <c r="E9" s="8">
        <v>0.8</v>
      </c>
      <c r="F9" s="238">
        <f t="shared" si="0"/>
        <v>0.9</v>
      </c>
      <c r="G9" s="238">
        <f t="shared" si="1"/>
        <v>0.8</v>
      </c>
    </row>
    <row r="10" spans="2:22" x14ac:dyDescent="0.35">
      <c r="B10" s="445" t="s">
        <v>395</v>
      </c>
      <c r="C10" s="8">
        <v>1.1000000000000001</v>
      </c>
      <c r="D10" s="8">
        <v>1</v>
      </c>
      <c r="E10" s="8">
        <v>0.8</v>
      </c>
      <c r="F10" s="238">
        <f t="shared" si="0"/>
        <v>0.9900000000000001</v>
      </c>
      <c r="G10" s="238">
        <f t="shared" si="1"/>
        <v>0.88000000000000012</v>
      </c>
    </row>
    <row r="12" spans="2:22" x14ac:dyDescent="0.35">
      <c r="B12" s="801" t="s">
        <v>407</v>
      </c>
      <c r="C12" s="802"/>
      <c r="D12" s="802"/>
      <c r="E12" s="802"/>
      <c r="F12" s="802"/>
      <c r="G12" s="802"/>
      <c r="H12" s="802"/>
      <c r="I12" s="802"/>
      <c r="J12" s="802"/>
      <c r="K12" s="803"/>
      <c r="L12" s="232"/>
    </row>
    <row r="13" spans="2:22" x14ac:dyDescent="0.35">
      <c r="B13" s="240" t="s">
        <v>4</v>
      </c>
      <c r="C13" s="239" t="s">
        <v>45</v>
      </c>
      <c r="D13" s="239" t="s">
        <v>46</v>
      </c>
      <c r="E13" s="240" t="s">
        <v>403</v>
      </c>
      <c r="F13" s="239" t="s">
        <v>33</v>
      </c>
      <c r="G13" s="239" t="s">
        <v>49</v>
      </c>
      <c r="H13" s="239" t="s">
        <v>50</v>
      </c>
      <c r="I13" s="262" t="s">
        <v>1205</v>
      </c>
      <c r="J13" s="242" t="s">
        <v>711</v>
      </c>
      <c r="K13" s="254" t="s">
        <v>1181</v>
      </c>
      <c r="L13" s="232"/>
    </row>
    <row r="14" spans="2:22" x14ac:dyDescent="0.35">
      <c r="B14" s="240" t="s">
        <v>408</v>
      </c>
      <c r="C14" s="239" t="s">
        <v>373</v>
      </c>
      <c r="D14" s="8">
        <v>6</v>
      </c>
      <c r="E14" s="8">
        <v>1.4</v>
      </c>
      <c r="F14" s="238">
        <f>E14</f>
        <v>1.4</v>
      </c>
      <c r="G14" s="238">
        <v>0</v>
      </c>
      <c r="H14" s="304">
        <f>坦克类型系数!AO4</f>
        <v>0.4</v>
      </c>
      <c r="I14" s="28">
        <f t="shared" ref="I14:I20" si="2">IF(LEN(C14)=5,(60-(D14-1)*H14)/F14+D14,IF(LEFT(C14,2)="弹夹",((60-(D14-1)*H14)/(G14+(D14-1)*H14)+1)*D14,60/F14+D14))</f>
        <v>47.428571428571431</v>
      </c>
      <c r="J14" s="28">
        <f t="shared" ref="J14:J20" si="3">IF(LEN(C14)=5,(30-(D14-1)*H14)/F14+D14,IF(LEFT(C14,2)="弹夹",((30-(D14-1)*H14)/(G14+(D14-1)*H14)+1)*D14,30/F14+D14))</f>
        <v>26</v>
      </c>
      <c r="K14" s="28">
        <f t="shared" ref="K14:K20" si="4">IF(LEN(C14)=5,(45-(D14-1)*H14)/F14+D14,IF(LEFT(C14,2)="弹夹",((45-(D14-1)*H14)/(G14+(D14-1)*H14)+1)*D14,45/F14+D14))</f>
        <v>36.714285714285715</v>
      </c>
      <c r="N14" s="232"/>
    </row>
    <row r="15" spans="2:22" x14ac:dyDescent="0.35">
      <c r="B15" s="233" t="s">
        <v>392</v>
      </c>
      <c r="C15" s="234" t="s">
        <v>377</v>
      </c>
      <c r="D15" s="235">
        <v>9</v>
      </c>
      <c r="E15" s="235">
        <v>0.7</v>
      </c>
      <c r="F15" s="236">
        <v>0</v>
      </c>
      <c r="G15" s="236">
        <f>E15*D15</f>
        <v>6.3</v>
      </c>
      <c r="H15" s="305">
        <f>坦克类型系数!AN5</f>
        <v>0.2</v>
      </c>
      <c r="I15" s="28">
        <f t="shared" si="2"/>
        <v>75.531645569620252</v>
      </c>
      <c r="J15" s="28">
        <f t="shared" si="3"/>
        <v>41.35443037974683</v>
      </c>
      <c r="K15" s="28">
        <f t="shared" si="4"/>
        <v>58.443037974683541</v>
      </c>
      <c r="N15" s="232"/>
    </row>
    <row r="16" spans="2:22" x14ac:dyDescent="0.35">
      <c r="B16" s="241" t="s">
        <v>608</v>
      </c>
      <c r="C16" s="239" t="s">
        <v>375</v>
      </c>
      <c r="D16" s="8">
        <v>1</v>
      </c>
      <c r="E16" s="8">
        <v>3</v>
      </c>
      <c r="F16" s="238">
        <f>E16</f>
        <v>3</v>
      </c>
      <c r="G16" s="238">
        <v>0</v>
      </c>
      <c r="H16" s="304">
        <v>0</v>
      </c>
      <c r="I16" s="28">
        <f t="shared" si="2"/>
        <v>21</v>
      </c>
      <c r="J16" s="28">
        <f t="shared" si="3"/>
        <v>11</v>
      </c>
      <c r="K16" s="28">
        <f t="shared" si="4"/>
        <v>16</v>
      </c>
      <c r="N16" s="232"/>
    </row>
    <row r="17" spans="2:21" x14ac:dyDescent="0.35">
      <c r="B17" s="233" t="s">
        <v>394</v>
      </c>
      <c r="C17" s="234" t="s">
        <v>377</v>
      </c>
      <c r="D17" s="235">
        <v>4</v>
      </c>
      <c r="E17" s="235">
        <v>1</v>
      </c>
      <c r="F17" s="236">
        <v>0</v>
      </c>
      <c r="G17" s="236">
        <f>E17*D17</f>
        <v>4</v>
      </c>
      <c r="H17" s="305">
        <f>AVERAGE(坦克类型系数!AN8:AO8)</f>
        <v>0.8</v>
      </c>
      <c r="I17" s="28">
        <f t="shared" si="2"/>
        <v>40</v>
      </c>
      <c r="J17" s="28">
        <f t="shared" si="3"/>
        <v>21.25</v>
      </c>
      <c r="K17" s="28">
        <f t="shared" si="4"/>
        <v>30.625</v>
      </c>
      <c r="N17" s="232"/>
    </row>
    <row r="18" spans="2:21" x14ac:dyDescent="0.35">
      <c r="B18" s="233" t="s">
        <v>393</v>
      </c>
      <c r="C18" s="234" t="s">
        <v>375</v>
      </c>
      <c r="D18" s="235">
        <v>1</v>
      </c>
      <c r="E18" s="235">
        <v>4.5</v>
      </c>
      <c r="F18" s="236">
        <f>E18</f>
        <v>4.5</v>
      </c>
      <c r="G18" s="236">
        <v>0</v>
      </c>
      <c r="H18" s="305">
        <v>0</v>
      </c>
      <c r="I18" s="28">
        <f t="shared" si="2"/>
        <v>14.333333333333334</v>
      </c>
      <c r="J18" s="28">
        <f t="shared" si="3"/>
        <v>7.666666666666667</v>
      </c>
      <c r="K18" s="28">
        <f t="shared" si="4"/>
        <v>11</v>
      </c>
      <c r="N18" s="232"/>
    </row>
    <row r="19" spans="2:21" x14ac:dyDescent="0.35">
      <c r="B19" s="233" t="s">
        <v>409</v>
      </c>
      <c r="C19" s="234" t="s">
        <v>371</v>
      </c>
      <c r="D19" s="235">
        <v>2</v>
      </c>
      <c r="E19" s="235">
        <v>4.5</v>
      </c>
      <c r="F19" s="236">
        <f>E19</f>
        <v>4.5</v>
      </c>
      <c r="G19" s="236">
        <v>0</v>
      </c>
      <c r="H19" s="305">
        <f>AVERAGE(坦克类型系数!AN10:AO10)</f>
        <v>1.8</v>
      </c>
      <c r="I19" s="28">
        <f t="shared" si="2"/>
        <v>15.333333333333334</v>
      </c>
      <c r="J19" s="28">
        <f t="shared" si="3"/>
        <v>8.6666666666666679</v>
      </c>
      <c r="K19" s="28">
        <f t="shared" si="4"/>
        <v>12</v>
      </c>
      <c r="N19" s="232"/>
    </row>
    <row r="20" spans="2:21" x14ac:dyDescent="0.35">
      <c r="B20" s="240" t="s">
        <v>395</v>
      </c>
      <c r="C20" s="239" t="s">
        <v>375</v>
      </c>
      <c r="D20" s="8">
        <v>1</v>
      </c>
      <c r="E20" s="8">
        <v>6</v>
      </c>
      <c r="F20" s="238">
        <f>E20</f>
        <v>6</v>
      </c>
      <c r="G20" s="238">
        <v>0</v>
      </c>
      <c r="H20" s="304">
        <v>0</v>
      </c>
      <c r="I20" s="28">
        <f t="shared" si="2"/>
        <v>11</v>
      </c>
      <c r="J20" s="28">
        <f t="shared" si="3"/>
        <v>6</v>
      </c>
      <c r="K20" s="28">
        <f t="shared" si="4"/>
        <v>8.5</v>
      </c>
      <c r="N20" s="232"/>
    </row>
    <row r="21" spans="2:21" x14ac:dyDescent="0.35">
      <c r="B21" s="31"/>
      <c r="C21" s="252"/>
      <c r="D21" s="10"/>
      <c r="E21" s="10"/>
      <c r="F21" s="253"/>
      <c r="G21" s="253"/>
      <c r="H21" s="10"/>
      <c r="I21" s="253"/>
      <c r="J21" s="32"/>
      <c r="K21" s="32"/>
      <c r="L21" s="32"/>
      <c r="O21" s="232"/>
    </row>
    <row r="22" spans="2:21" x14ac:dyDescent="0.35">
      <c r="B22" s="800" t="s">
        <v>1208</v>
      </c>
      <c r="C22" s="800"/>
      <c r="D22" s="800"/>
      <c r="E22" s="800"/>
      <c r="F22" s="800"/>
      <c r="G22" s="800"/>
      <c r="H22" s="800"/>
      <c r="I22" s="800"/>
      <c r="J22" s="800"/>
      <c r="K22" s="800"/>
      <c r="L22" s="800"/>
      <c r="M22" s="800"/>
      <c r="N22" s="800"/>
      <c r="O22" s="800"/>
      <c r="P22" s="800"/>
      <c r="Q22" s="800"/>
      <c r="R22" s="800"/>
      <c r="S22" s="800"/>
      <c r="T22" s="800"/>
      <c r="U22" s="800"/>
    </row>
    <row r="23" spans="2:21" x14ac:dyDescent="0.35">
      <c r="B23" s="247" t="s">
        <v>4</v>
      </c>
      <c r="C23" s="262" t="s">
        <v>1193</v>
      </c>
      <c r="D23" s="245" t="s">
        <v>1194</v>
      </c>
      <c r="E23" s="262" t="s">
        <v>1195</v>
      </c>
      <c r="F23" s="262" t="s">
        <v>1203</v>
      </c>
      <c r="G23" s="262" t="s">
        <v>1204</v>
      </c>
      <c r="H23" s="262" t="s">
        <v>1202</v>
      </c>
      <c r="I23" s="463" t="s">
        <v>2115</v>
      </c>
      <c r="J23" s="463" t="s">
        <v>2116</v>
      </c>
      <c r="K23" s="463" t="s">
        <v>2117</v>
      </c>
      <c r="L23" s="463" t="s">
        <v>2118</v>
      </c>
      <c r="M23" s="463" t="s">
        <v>2119</v>
      </c>
      <c r="N23" s="463" t="s">
        <v>2120</v>
      </c>
      <c r="O23" s="262" t="s">
        <v>1196</v>
      </c>
      <c r="P23" s="262" t="s">
        <v>1197</v>
      </c>
      <c r="Q23" s="262" t="s">
        <v>1198</v>
      </c>
      <c r="R23" s="263" t="s">
        <v>1199</v>
      </c>
      <c r="S23" s="262" t="s">
        <v>1200</v>
      </c>
      <c r="T23" s="262" t="s">
        <v>1201</v>
      </c>
      <c r="U23" s="250" t="s">
        <v>491</v>
      </c>
    </row>
    <row r="24" spans="2:21" x14ac:dyDescent="0.35">
      <c r="B24" s="247" t="s">
        <v>408</v>
      </c>
      <c r="C24" s="245">
        <f>基础属性系数!$C$20</f>
        <v>100</v>
      </c>
      <c r="D24" s="245">
        <f>基础属性系数!C30</f>
        <v>40</v>
      </c>
      <c r="E24" s="245">
        <f>(C24-D24)/坦克类型系数!$CC$4</f>
        <v>3.5999999999999996</v>
      </c>
      <c r="F24" s="245">
        <v>0.5</v>
      </c>
      <c r="G24" s="245">
        <v>1</v>
      </c>
      <c r="H24" s="244">
        <v>2.5</v>
      </c>
      <c r="I24" s="263">
        <f>AVERAGE(基础属性系数!$L$72,基础属性系数!$L$79,基础属性系数!$L$86)*POWER(G4/$E$34,0.45)</f>
        <v>1.0034815390908873</v>
      </c>
      <c r="J24" s="263">
        <f>AVERAGE(基础属性系数!$L$72,基础属性系数!$L$79,基础属性系数!$L$86)*POWER(C4/$E$34,0.45)</f>
        <v>1.1781898289151476</v>
      </c>
      <c r="K24" s="28">
        <f>AVERAGE(基础属性系数!$L$72,基础属性系数!$L$79,基础属性系数!$L$86)*POWER(G4/$E$35,0.45)</f>
        <v>0.92443807921298515</v>
      </c>
      <c r="L24" s="28">
        <f>AVERAGE(基础属性系数!$L$72,基础属性系数!$L$79,基础属性系数!$L$86)*POWER(C4/$E$35,0.45)</f>
        <v>1.0853847330139543</v>
      </c>
      <c r="M24" s="28">
        <f>AVERAGE(基础属性系数!$L$72,基础属性系数!$L$79,基础属性系数!$L$86)*POWER(G4/$E$36,0.45)</f>
        <v>0.86248543781164566</v>
      </c>
      <c r="N24" s="28">
        <f>AVERAGE(基础属性系数!$L$72,基础属性系数!$L$79,基础属性系数!$L$86)*POWER(C4/$E$36,0.45)</f>
        <v>1.0126460037697538</v>
      </c>
      <c r="O24" s="8">
        <v>20</v>
      </c>
      <c r="P24" s="8">
        <v>24</v>
      </c>
      <c r="Q24" s="8">
        <v>28</v>
      </c>
      <c r="R24" s="28">
        <f t="shared" ref="R24:R30" si="5">((O24-F24*$E24)*$J24+$I24*$E24*F24)/O24</f>
        <v>1.1624660828309641</v>
      </c>
      <c r="S24" s="28">
        <f>((P24-G24*$E24)*$L24+$K24*$E24*G24)/P24</f>
        <v>1.0612427349438089</v>
      </c>
      <c r="T24" s="28">
        <f>((Q24-H24*$E24)*$N24+$M24*$E24*H24)/Q24</f>
        <v>0.96438010756893333</v>
      </c>
      <c r="U24" s="120">
        <f>AVERAGE(R24:T24)</f>
        <v>1.062696308447902</v>
      </c>
    </row>
    <row r="25" spans="2:21" x14ac:dyDescent="0.35">
      <c r="B25" s="247" t="s">
        <v>392</v>
      </c>
      <c r="C25" s="245">
        <f>基础属性系数!$C$20</f>
        <v>100</v>
      </c>
      <c r="D25" s="446">
        <f>基础属性系数!C31</f>
        <v>60</v>
      </c>
      <c r="E25" s="245">
        <f>(C25-D25)/坦克类型系数!$CC$4</f>
        <v>2.4</v>
      </c>
      <c r="F25" s="245">
        <v>0.5</v>
      </c>
      <c r="G25" s="245">
        <v>1</v>
      </c>
      <c r="H25" s="244">
        <v>2.5</v>
      </c>
      <c r="I25" s="263">
        <f>AVERAGE(基础属性系数!$L$72,基础属性系数!$L$79,基础属性系数!$L$86)*POWER(G5/$E$34,0.45)</f>
        <v>1.045413805078661</v>
      </c>
      <c r="J25" s="263">
        <f>AVERAGE(基础属性系数!$L$72,基础属性系数!$L$79,基础属性系数!$L$86)*POWER(C5/$E$34,0.45)</f>
        <v>1.2274225924146311</v>
      </c>
      <c r="K25" s="28">
        <f>AVERAGE(基础属性系数!$L$72,基础属性系数!$L$79,基础属性系数!$L$86)*POWER(G5/$E$35,0.45)</f>
        <v>0.9630673732425532</v>
      </c>
      <c r="L25" s="28">
        <f>AVERAGE(基础属性系数!$L$72,基础属性系数!$L$79,基础属性系数!$L$86)*POWER(C5/$E$35,0.45)</f>
        <v>1.1307394700478235</v>
      </c>
      <c r="M25" s="28">
        <f>AVERAGE(基础属性系数!$L$72,基础属性系数!$L$79,基础属性系数!$L$86)*POWER(G5/$E$36,0.45)</f>
        <v>0.89852593021737959</v>
      </c>
      <c r="N25" s="28">
        <f>AVERAGE(基础属性系数!$L$72,基础属性系数!$L$79,基础属性系数!$L$86)*POWER(C5/$E$36,0.45)</f>
        <v>1.0549612232604864</v>
      </c>
      <c r="O25" s="8">
        <v>20</v>
      </c>
      <c r="P25" s="270">
        <f t="shared" ref="P25:P30" si="6">$P$24/$O$24*O25</f>
        <v>24</v>
      </c>
      <c r="Q25" s="270">
        <f t="shared" ref="Q25:Q30" si="7">$Q$24/$O$24*O25</f>
        <v>28</v>
      </c>
      <c r="R25" s="28">
        <f t="shared" si="5"/>
        <v>1.2165020651744729</v>
      </c>
      <c r="S25" s="28">
        <f t="shared" ref="S25:S30" si="8">((P25-G25*$E25)*$L25+$K25*$E25*G25)/P25</f>
        <v>1.1139722603672966</v>
      </c>
      <c r="T25" s="28">
        <f t="shared" ref="T25:T30" si="9">((Q25-H25*$E25)*$N25+$M25*$E25*H25)/Q25</f>
        <v>1.0214393747512491</v>
      </c>
      <c r="U25" s="120">
        <f t="shared" ref="U25:U30" si="10">AVERAGE(R25:T25)</f>
        <v>1.1173045667643395</v>
      </c>
    </row>
    <row r="26" spans="2:21" x14ac:dyDescent="0.35">
      <c r="B26" s="248" t="s">
        <v>604</v>
      </c>
      <c r="C26" s="245">
        <f>基础属性系数!$C$20</f>
        <v>100</v>
      </c>
      <c r="D26" s="446">
        <f>基础属性系数!C32</f>
        <v>80</v>
      </c>
      <c r="E26" s="245">
        <f>(C26-D26)/坦克类型系数!$CC$4</f>
        <v>1.2</v>
      </c>
      <c r="F26" s="245">
        <v>0.5</v>
      </c>
      <c r="G26" s="245">
        <v>1</v>
      </c>
      <c r="H26" s="244">
        <v>2.5</v>
      </c>
      <c r="I26" s="263">
        <f>AVERAGE(基础属性系数!$L$72,基础属性系数!$L$79,基础属性系数!$L$86)*POWER(G6/$E$34,0.45)</f>
        <v>1.0853847330139541</v>
      </c>
      <c r="J26" s="263">
        <f>AVERAGE(基础属性系数!$L$72,基础属性系数!$L$79,基础属性系数!$L$86)*POWER(C6/$E$34,0.45)</f>
        <v>1.2743525446968897</v>
      </c>
      <c r="K26" s="28">
        <f>AVERAGE(基础属性系数!$L$72,基础属性系数!$L$79,基础属性系数!$L$86)*POWER(G6/$E$35,0.45)</f>
        <v>0.99988982229162959</v>
      </c>
      <c r="L26" s="28">
        <f>AVERAGE(基础属性系数!$L$72,基础属性系数!$L$79,基础属性系数!$L$86)*POWER(C6/$E$35,0.45)</f>
        <v>1.1739727865118934</v>
      </c>
      <c r="M26" s="28">
        <f>AVERAGE(基础属性系数!$L$72,基础属性系数!$L$79,基础属性系数!$L$86)*POWER(G6/$E$36,0.45)</f>
        <v>0.93288066614131226</v>
      </c>
      <c r="N26" s="28">
        <f>AVERAGE(基础属性系数!$L$72,基础属性系数!$L$79,基础属性系数!$L$86)*POWER(C6/$E$36,0.45)</f>
        <v>1.095297192447636</v>
      </c>
      <c r="O26" s="8">
        <v>20</v>
      </c>
      <c r="P26" s="270">
        <f t="shared" si="6"/>
        <v>24</v>
      </c>
      <c r="Q26" s="270">
        <f t="shared" si="7"/>
        <v>28</v>
      </c>
      <c r="R26" s="28">
        <f t="shared" si="5"/>
        <v>1.2686835103464016</v>
      </c>
      <c r="S26" s="28">
        <f t="shared" si="8"/>
        <v>1.1652686383008801</v>
      </c>
      <c r="T26" s="28">
        <f t="shared" si="9"/>
        <v>1.0778954217719583</v>
      </c>
      <c r="U26" s="120">
        <f t="shared" si="10"/>
        <v>1.1706158568064133</v>
      </c>
    </row>
    <row r="27" spans="2:21" x14ac:dyDescent="0.35">
      <c r="B27" s="247" t="s">
        <v>394</v>
      </c>
      <c r="C27" s="245">
        <f>基础属性系数!$C$20</f>
        <v>100</v>
      </c>
      <c r="D27" s="446">
        <f>基础属性系数!C33</f>
        <v>55</v>
      </c>
      <c r="E27" s="245">
        <f>(C27-D27)/坦克类型系数!$CC$5</f>
        <v>3.15</v>
      </c>
      <c r="F27" s="245">
        <v>0.5</v>
      </c>
      <c r="G27" s="245">
        <v>1</v>
      </c>
      <c r="H27" s="244">
        <v>1.5</v>
      </c>
      <c r="I27" s="263">
        <f>AVERAGE(基础属性系数!$L$72,基础属性系数!$L$79,基础属性系数!$L$86)*POWER(G7/$E$34,0.45)</f>
        <v>1.0126460037697536</v>
      </c>
      <c r="J27" s="263">
        <f>AVERAGE(基础属性系数!$L$72,基础属性系数!$L$79,基础属性系数!$L$86)*POWER(C7/$E$34,0.45)</f>
        <v>1.1526038997589718</v>
      </c>
      <c r="K27" s="28">
        <f>AVERAGE(基础属性系数!$L$72,基础属性系数!$L$79,基础属性系数!$L$86)*POWER(G7/$E$35,0.45)</f>
        <v>0.93288066614131226</v>
      </c>
      <c r="L27" s="28">
        <f>AVERAGE(基础属性系数!$L$72,基础属性系数!$L$79,基础属性系数!$L$86)*POWER(C7/$E$35,0.45)</f>
        <v>1.0618141875852429</v>
      </c>
      <c r="M27" s="28">
        <f>AVERAGE(基础属性系数!$L$72,基础属性系数!$L$79,基础属性系数!$L$86)*POWER(G7/$E$36,0.45)</f>
        <v>0.87036223177640781</v>
      </c>
      <c r="N27" s="28">
        <f>AVERAGE(基础属性系数!$L$72,基础属性系数!$L$79,基础属性系数!$L$86)*POWER(C7/$E$36,0.45)</f>
        <v>0.99065507473873804</v>
      </c>
      <c r="O27" s="8">
        <v>20</v>
      </c>
      <c r="P27" s="270">
        <f t="shared" si="6"/>
        <v>24</v>
      </c>
      <c r="Q27" s="270">
        <f t="shared" si="7"/>
        <v>28</v>
      </c>
      <c r="R27" s="28">
        <f t="shared" si="5"/>
        <v>1.141582215449821</v>
      </c>
      <c r="S27" s="28">
        <f t="shared" si="8"/>
        <v>1.044891662895727</v>
      </c>
      <c r="T27" s="28">
        <f t="shared" si="9"/>
        <v>0.97035565748884467</v>
      </c>
      <c r="U27" s="120">
        <f t="shared" si="10"/>
        <v>1.0522765119447974</v>
      </c>
    </row>
    <row r="28" spans="2:21" x14ac:dyDescent="0.35">
      <c r="B28" s="247" t="s">
        <v>393</v>
      </c>
      <c r="C28" s="245">
        <f>基础属性系数!$C$20</f>
        <v>100</v>
      </c>
      <c r="D28" s="446">
        <f>基础属性系数!C34</f>
        <v>80</v>
      </c>
      <c r="E28" s="245">
        <f>(C28-D28)/坦克类型系数!$CC$5</f>
        <v>1.4</v>
      </c>
      <c r="F28" s="245">
        <v>0.5</v>
      </c>
      <c r="G28" s="245">
        <v>1</v>
      </c>
      <c r="H28" s="244">
        <v>1.5</v>
      </c>
      <c r="I28" s="263">
        <f>AVERAGE(基础属性系数!$L$72,基础属性系数!$L$79,基础属性系数!$L$86)*POWER(G8/$E$34,0.45)</f>
        <v>1.0783796440436366</v>
      </c>
      <c r="J28" s="263">
        <f>AVERAGE(基础属性系数!$L$72,基础属性系数!$L$79,基础属性系数!$L$86)*POWER(C8/$E$34,0.45)</f>
        <v>1.2274225924146311</v>
      </c>
      <c r="K28" s="28">
        <f>AVERAGE(基础属性系数!$L$72,基础属性系数!$L$79,基础属性系数!$L$86)*POWER(G8/$E$35,0.45)</f>
        <v>0.99343651872781602</v>
      </c>
      <c r="L28" s="28">
        <f>AVERAGE(基础属性系数!$L$72,基础属性系数!$L$79,基础属性系数!$L$86)*POWER(C8/$E$35,0.45)</f>
        <v>1.1307394700478235</v>
      </c>
      <c r="M28" s="28">
        <f>AVERAGE(基础属性系数!$L$72,基础属性系数!$L$79,基础属性系数!$L$86)*POWER(G8/$E$36,0.45)</f>
        <v>0.92685984065313498</v>
      </c>
      <c r="N28" s="28">
        <f>AVERAGE(基础属性系数!$L$72,基础属性系数!$L$79,基础属性系数!$L$86)*POWER(C8/$E$36,0.45)</f>
        <v>1.0549612232604864</v>
      </c>
      <c r="O28" s="8">
        <v>20</v>
      </c>
      <c r="P28" s="270">
        <f t="shared" si="6"/>
        <v>24</v>
      </c>
      <c r="Q28" s="270">
        <f t="shared" si="7"/>
        <v>28</v>
      </c>
      <c r="R28" s="28">
        <f t="shared" si="5"/>
        <v>1.2222060892216464</v>
      </c>
      <c r="S28" s="28">
        <f t="shared" si="8"/>
        <v>1.1227301312208231</v>
      </c>
      <c r="T28" s="28">
        <f t="shared" si="9"/>
        <v>1.0453536195649349</v>
      </c>
      <c r="U28" s="120">
        <f t="shared" si="10"/>
        <v>1.1300966133358015</v>
      </c>
    </row>
    <row r="29" spans="2:21" x14ac:dyDescent="0.35">
      <c r="B29" s="247" t="s">
        <v>409</v>
      </c>
      <c r="C29" s="245">
        <f>基础属性系数!$C$20</f>
        <v>100</v>
      </c>
      <c r="D29" s="446">
        <f>基础属性系数!C35</f>
        <v>70</v>
      </c>
      <c r="E29" s="245">
        <f>(C29-D29)/坦克类型系数!$CC$6</f>
        <v>2.4</v>
      </c>
      <c r="F29" s="245">
        <v>0.5</v>
      </c>
      <c r="G29" s="245">
        <v>1</v>
      </c>
      <c r="H29" s="244">
        <v>1</v>
      </c>
      <c r="I29" s="263">
        <f>AVERAGE(基础属性系数!$L$72,基础属性系数!$L$79,基础属性系数!$L$86)*POWER(G9/$E$34,0.45)</f>
        <v>1.0424868340146631</v>
      </c>
      <c r="J29" s="263">
        <f>AVERAGE(基础属性系数!$L$72,基础属性系数!$L$79,基础属性系数!$L$86)*POWER(C9/$E$34,0.45)</f>
        <v>1.1526038997589718</v>
      </c>
      <c r="K29" s="28">
        <f>AVERAGE(基础属性系数!$L$72,基础属性系数!$L$79,基础属性系数!$L$86)*POWER(G9/$E$35,0.45)</f>
        <v>0.96037095741136058</v>
      </c>
      <c r="L29" s="28">
        <f>AVERAGE(基础属性系数!$L$72,基础属性系数!$L$79,基础属性系数!$L$86)*POWER(C9/$E$35,0.45)</f>
        <v>1.0618141875852429</v>
      </c>
      <c r="M29" s="28">
        <f>AVERAGE(基础属性系数!$L$72,基础属性系数!$L$79,基础属性系数!$L$86)*POWER(G9/$E$36,0.45)</f>
        <v>0.89601021884526866</v>
      </c>
      <c r="N29" s="28">
        <f>AVERAGE(基础属性系数!$L$72,基础属性系数!$L$79,基础属性系数!$L$86)*POWER(C9/$E$36,0.45)</f>
        <v>0.99065507473873804</v>
      </c>
      <c r="O29" s="8">
        <v>20</v>
      </c>
      <c r="P29" s="270">
        <f t="shared" si="6"/>
        <v>24</v>
      </c>
      <c r="Q29" s="270">
        <f t="shared" si="7"/>
        <v>28</v>
      </c>
      <c r="R29" s="28">
        <f t="shared" si="5"/>
        <v>1.1459968758143133</v>
      </c>
      <c r="S29" s="28">
        <f t="shared" si="8"/>
        <v>1.0516698645678548</v>
      </c>
      <c r="T29" s="28">
        <f t="shared" si="9"/>
        <v>0.9825426585192979</v>
      </c>
      <c r="U29" s="120">
        <f t="shared" si="10"/>
        <v>1.060069799633822</v>
      </c>
    </row>
    <row r="30" spans="2:21" x14ac:dyDescent="0.35">
      <c r="B30" s="247" t="s">
        <v>395</v>
      </c>
      <c r="C30" s="245">
        <f>基础属性系数!$C$20</f>
        <v>100</v>
      </c>
      <c r="D30" s="446">
        <f>基础属性系数!C36</f>
        <v>90</v>
      </c>
      <c r="E30" s="245">
        <f>(C30-D30)/坦克类型系数!$CC$6</f>
        <v>0.8</v>
      </c>
      <c r="F30" s="245">
        <v>0.5</v>
      </c>
      <c r="G30" s="245">
        <v>1</v>
      </c>
      <c r="H30" s="244">
        <v>1</v>
      </c>
      <c r="I30" s="263">
        <f>AVERAGE(基础属性系数!$L$72,基础属性系数!$L$79,基础属性系数!$L$86)*POWER(G10/$E$34,0.45)</f>
        <v>1.0881713493887608</v>
      </c>
      <c r="J30" s="263">
        <f>AVERAGE(基础属性系数!$L$72,基础属性系数!$L$79,基础属性系数!$L$86)*POWER(C10/$E$34,0.45)</f>
        <v>1.2031140346217812</v>
      </c>
      <c r="K30" s="28">
        <f>AVERAGE(基础属性系数!$L$72,基础属性系数!$L$79,基础属性系数!$L$86)*POWER(G10/$E$35,0.45)</f>
        <v>1.002456939063268</v>
      </c>
      <c r="L30" s="28">
        <f>AVERAGE(基础属性系数!$L$72,基础属性系数!$L$79,基础属性系数!$L$86)*POWER(C10/$E$35,0.45)</f>
        <v>1.1083456784342591</v>
      </c>
      <c r="M30" s="28">
        <f>AVERAGE(基础属性系数!$L$72,基础属性系数!$L$79,基础属性系数!$L$86)*POWER(G10/$E$36,0.45)</f>
        <v>0.93527574362944998</v>
      </c>
      <c r="N30" s="28">
        <f>AVERAGE(基础属性系数!$L$72,基础属性系数!$L$79,基础属性系数!$L$86)*POWER(C10/$E$36,0.45)</f>
        <v>1.0340681860756369</v>
      </c>
      <c r="O30" s="8">
        <v>20</v>
      </c>
      <c r="P30" s="270">
        <f t="shared" si="6"/>
        <v>24</v>
      </c>
      <c r="Q30" s="270">
        <f t="shared" si="7"/>
        <v>28</v>
      </c>
      <c r="R30" s="28">
        <f t="shared" si="5"/>
        <v>1.200815180917121</v>
      </c>
      <c r="S30" s="28">
        <f t="shared" si="8"/>
        <v>1.1048160537885594</v>
      </c>
      <c r="T30" s="28">
        <f t="shared" si="9"/>
        <v>1.0312455448628888</v>
      </c>
      <c r="U30" s="120">
        <f t="shared" si="10"/>
        <v>1.1122922598561897</v>
      </c>
    </row>
    <row r="31" spans="2:21" x14ac:dyDescent="0.35">
      <c r="F31" s="45"/>
      <c r="G31" s="45"/>
      <c r="H31" s="45"/>
    </row>
    <row r="32" spans="2:21" x14ac:dyDescent="0.35">
      <c r="B32" s="797" t="s">
        <v>404</v>
      </c>
      <c r="C32" s="798"/>
      <c r="D32" s="798"/>
      <c r="E32" s="798"/>
      <c r="F32" s="799"/>
      <c r="G32" s="31"/>
    </row>
    <row r="33" spans="2:11" x14ac:dyDescent="0.35">
      <c r="B33" s="264" t="s">
        <v>4</v>
      </c>
      <c r="C33" s="469" t="s">
        <v>502</v>
      </c>
      <c r="D33" s="264" t="s">
        <v>398</v>
      </c>
      <c r="E33" s="470" t="s">
        <v>2114</v>
      </c>
      <c r="F33" s="470" t="s">
        <v>2110</v>
      </c>
      <c r="J33" s="45"/>
    </row>
    <row r="34" spans="2:11" x14ac:dyDescent="0.35">
      <c r="B34" s="27" t="s">
        <v>5</v>
      </c>
      <c r="C34" s="28">
        <f>AVERAGE(R24:R30)</f>
        <v>1.194036002822106</v>
      </c>
      <c r="D34" s="37">
        <v>800</v>
      </c>
      <c r="E34" s="228">
        <v>1</v>
      </c>
      <c r="F34" s="29">
        <f>$H$40*E34</f>
        <v>300</v>
      </c>
      <c r="J34" s="45"/>
    </row>
    <row r="35" spans="2:11" x14ac:dyDescent="0.35">
      <c r="B35" s="27" t="s">
        <v>7</v>
      </c>
      <c r="C35" s="28">
        <f>AVERAGE(S24:S30)</f>
        <v>1.0949416208692786</v>
      </c>
      <c r="D35" s="38">
        <f>D34/C34/O24*P24*C35</f>
        <v>880.3285274063154</v>
      </c>
      <c r="E35" s="228">
        <v>1.2</v>
      </c>
      <c r="F35" s="29">
        <f>$H$40*E35</f>
        <v>360</v>
      </c>
      <c r="J35" s="45"/>
    </row>
    <row r="36" spans="2:11" x14ac:dyDescent="0.35">
      <c r="B36" s="27" t="s">
        <v>6</v>
      </c>
      <c r="C36" s="28">
        <f>AVERAGE(T24:T30)</f>
        <v>1.0133160549325866</v>
      </c>
      <c r="D36" s="38">
        <f>D34/O24/C34*C36*Q24</f>
        <v>950.48556227963468</v>
      </c>
      <c r="E36" s="228">
        <v>1.4</v>
      </c>
      <c r="F36" s="29">
        <f>$H$40*E36</f>
        <v>420</v>
      </c>
    </row>
    <row r="38" spans="2:11" x14ac:dyDescent="0.35">
      <c r="B38" s="797" t="s">
        <v>402</v>
      </c>
      <c r="C38" s="798"/>
      <c r="D38" s="798"/>
      <c r="E38" s="798"/>
      <c r="F38" s="798"/>
      <c r="G38" s="798"/>
      <c r="H38" s="799"/>
    </row>
    <row r="39" spans="2:11" x14ac:dyDescent="0.35">
      <c r="B39" s="27" t="s">
        <v>4</v>
      </c>
      <c r="C39" s="27" t="s">
        <v>398</v>
      </c>
      <c r="D39" s="33" t="s">
        <v>405</v>
      </c>
      <c r="E39" s="27" t="s">
        <v>400</v>
      </c>
      <c r="F39" s="33" t="s">
        <v>406</v>
      </c>
      <c r="G39" s="27" t="s">
        <v>401</v>
      </c>
      <c r="H39" s="27" t="s">
        <v>399</v>
      </c>
      <c r="I39" s="688" t="s">
        <v>3352</v>
      </c>
    </row>
    <row r="40" spans="2:11" x14ac:dyDescent="0.35">
      <c r="B40" s="27" t="s">
        <v>408</v>
      </c>
      <c r="C40" s="29">
        <f>$D$34</f>
        <v>800</v>
      </c>
      <c r="D40" s="28">
        <f t="shared" ref="D40:D46" si="11">O24/60*I14</f>
        <v>15.80952380952381</v>
      </c>
      <c r="E40" s="28">
        <f>$D$34/D40</f>
        <v>50.602409638554214</v>
      </c>
      <c r="F40" s="28">
        <f t="shared" ref="F40:F46" si="12">U24</f>
        <v>1.062696308447902</v>
      </c>
      <c r="G40" s="29">
        <f t="shared" ref="G40:G46" si="13">E40/F40</f>
        <v>47.616999547556972</v>
      </c>
      <c r="H40" s="268">
        <v>300</v>
      </c>
      <c r="I40" s="45">
        <f>$F$34</f>
        <v>300</v>
      </c>
      <c r="J40" s="45"/>
      <c r="K40" s="45"/>
    </row>
    <row r="41" spans="2:11" x14ac:dyDescent="0.35">
      <c r="B41" s="27" t="s">
        <v>392</v>
      </c>
      <c r="C41" s="29">
        <f>$D$34</f>
        <v>800</v>
      </c>
      <c r="D41" s="28">
        <f t="shared" si="11"/>
        <v>25.177215189873415</v>
      </c>
      <c r="E41" s="28">
        <f t="shared" ref="E41:E46" si="14">$D$34/D41</f>
        <v>31.774761186525897</v>
      </c>
      <c r="F41" s="28">
        <f t="shared" si="12"/>
        <v>1.1173045667643395</v>
      </c>
      <c r="G41" s="29">
        <f t="shared" si="13"/>
        <v>28.438764265095667</v>
      </c>
      <c r="H41" s="269">
        <f>$H$40/$C$4*VLOOKUP(B41,$B$3:$C$10,2,FALSE)</f>
        <v>328.57142857142856</v>
      </c>
      <c r="I41" s="45">
        <f>$F$34</f>
        <v>300</v>
      </c>
      <c r="J41" s="45"/>
      <c r="K41" s="45"/>
    </row>
    <row r="42" spans="2:11" x14ac:dyDescent="0.35">
      <c r="B42" s="77" t="s">
        <v>608</v>
      </c>
      <c r="C42" s="29">
        <f>$D$34</f>
        <v>800</v>
      </c>
      <c r="D42" s="28">
        <f t="shared" si="11"/>
        <v>7</v>
      </c>
      <c r="E42" s="28">
        <f>$D$34/D42</f>
        <v>114.28571428571429</v>
      </c>
      <c r="F42" s="28">
        <f t="shared" si="12"/>
        <v>1.1706158568064133</v>
      </c>
      <c r="G42" s="29">
        <f>E42/F42</f>
        <v>97.628708530824142</v>
      </c>
      <c r="H42" s="269">
        <f t="shared" ref="H42:H46" si="15">$H$40/$C$4*VLOOKUP(B42,$B$3:$C$10,2,FALSE)</f>
        <v>357.14285714285717</v>
      </c>
      <c r="I42" s="45">
        <f t="shared" ref="I42" si="16">$F$34</f>
        <v>300</v>
      </c>
      <c r="J42" s="45"/>
      <c r="K42" s="45"/>
    </row>
    <row r="43" spans="2:11" x14ac:dyDescent="0.35">
      <c r="B43" s="27" t="s">
        <v>394</v>
      </c>
      <c r="C43" s="29">
        <f>$D$35</f>
        <v>880.3285274063154</v>
      </c>
      <c r="D43" s="28">
        <f t="shared" si="11"/>
        <v>13.333333333333332</v>
      </c>
      <c r="E43" s="28">
        <f t="shared" si="14"/>
        <v>60.000000000000007</v>
      </c>
      <c r="F43" s="28">
        <f t="shared" si="12"/>
        <v>1.0522765119447974</v>
      </c>
      <c r="G43" s="29">
        <f t="shared" si="13"/>
        <v>57.019233365866114</v>
      </c>
      <c r="H43" s="269">
        <f t="shared" si="15"/>
        <v>285.71428571428572</v>
      </c>
      <c r="I43" s="45">
        <f>$F$35</f>
        <v>360</v>
      </c>
      <c r="J43" s="45"/>
      <c r="K43" s="45"/>
    </row>
    <row r="44" spans="2:11" x14ac:dyDescent="0.35">
      <c r="B44" s="27" t="s">
        <v>393</v>
      </c>
      <c r="C44" s="29">
        <f>$D$35</f>
        <v>880.3285274063154</v>
      </c>
      <c r="D44" s="28">
        <f t="shared" si="11"/>
        <v>4.7777777777777777</v>
      </c>
      <c r="E44" s="28">
        <f t="shared" si="14"/>
        <v>167.44186046511629</v>
      </c>
      <c r="F44" s="28">
        <f t="shared" si="12"/>
        <v>1.1300966133358015</v>
      </c>
      <c r="G44" s="29">
        <f t="shared" si="13"/>
        <v>148.16596960755774</v>
      </c>
      <c r="H44" s="269">
        <f t="shared" si="15"/>
        <v>328.57142857142856</v>
      </c>
      <c r="I44" s="45">
        <f>$F$35</f>
        <v>360</v>
      </c>
      <c r="J44" s="45"/>
      <c r="K44" s="45"/>
    </row>
    <row r="45" spans="2:11" x14ac:dyDescent="0.35">
      <c r="B45" s="27" t="s">
        <v>409</v>
      </c>
      <c r="C45" s="29">
        <f>$D$36</f>
        <v>950.48556227963468</v>
      </c>
      <c r="D45" s="28">
        <f t="shared" si="11"/>
        <v>5.1111111111111107</v>
      </c>
      <c r="E45" s="28">
        <f t="shared" si="14"/>
        <v>156.52173913043478</v>
      </c>
      <c r="F45" s="28">
        <f t="shared" si="12"/>
        <v>1.060069799633822</v>
      </c>
      <c r="G45" s="29">
        <f t="shared" si="13"/>
        <v>147.65229533423346</v>
      </c>
      <c r="H45" s="269">
        <f t="shared" si="15"/>
        <v>285.71428571428572</v>
      </c>
      <c r="I45" s="45">
        <f>$F$36</f>
        <v>420</v>
      </c>
      <c r="J45" s="45"/>
      <c r="K45" s="45"/>
    </row>
    <row r="46" spans="2:11" x14ac:dyDescent="0.35">
      <c r="B46" s="27" t="s">
        <v>395</v>
      </c>
      <c r="C46" s="29">
        <f>$D$36</f>
        <v>950.48556227963468</v>
      </c>
      <c r="D46" s="28">
        <f t="shared" si="11"/>
        <v>3.6666666666666665</v>
      </c>
      <c r="E46" s="28">
        <f t="shared" si="14"/>
        <v>218.18181818181819</v>
      </c>
      <c r="F46" s="28">
        <f t="shared" si="12"/>
        <v>1.1122922598561897</v>
      </c>
      <c r="G46" s="29">
        <f t="shared" si="13"/>
        <v>196.15511683055971</v>
      </c>
      <c r="H46" s="269">
        <f t="shared" si="15"/>
        <v>314.28571428571433</v>
      </c>
      <c r="I46" s="45">
        <f>$F$36</f>
        <v>420</v>
      </c>
      <c r="J46" s="45"/>
      <c r="K46" s="45"/>
    </row>
    <row r="47" spans="2:11" x14ac:dyDescent="0.35">
      <c r="B47" s="31"/>
      <c r="C47" s="30"/>
      <c r="D47" s="32"/>
      <c r="E47" s="32"/>
      <c r="F47" s="32"/>
      <c r="G47" s="30"/>
      <c r="H47" s="48"/>
      <c r="I47" s="45"/>
      <c r="J47" s="45"/>
      <c r="K47" s="45"/>
    </row>
    <row r="48" spans="2:11" x14ac:dyDescent="0.35">
      <c r="B48" s="722" t="s">
        <v>418</v>
      </c>
      <c r="C48" s="722"/>
      <c r="D48" s="722"/>
      <c r="E48" s="722"/>
      <c r="F48" s="722"/>
      <c r="G48" s="722"/>
      <c r="H48" s="722"/>
      <c r="I48" s="73"/>
      <c r="J48" s="73"/>
      <c r="K48" s="73"/>
    </row>
    <row r="49" spans="2:14" x14ac:dyDescent="0.35">
      <c r="B49" s="264" t="s">
        <v>4</v>
      </c>
      <c r="C49" s="265" t="s">
        <v>415</v>
      </c>
      <c r="D49" s="266" t="s">
        <v>416</v>
      </c>
      <c r="E49" s="266" t="s">
        <v>417</v>
      </c>
      <c r="F49" s="266" t="s">
        <v>427</v>
      </c>
      <c r="G49" s="265" t="s">
        <v>428</v>
      </c>
      <c r="H49" s="267" t="s">
        <v>429</v>
      </c>
    </row>
    <row r="50" spans="2:14" x14ac:dyDescent="0.35">
      <c r="B50" s="35" t="s">
        <v>408</v>
      </c>
      <c r="C50" s="50">
        <f t="shared" ref="C50:C56" si="17">$D$34/($G40*VLOOKUP(B50,$B$23:$U$30,MATCH("对轻坦输出",$B$23:$U$23,0),FALSE))/$J14*30</f>
        <v>16.67614172097479</v>
      </c>
      <c r="D50" s="50">
        <f t="shared" ref="D50:D56" si="18">$D$35/($G40*VLOOKUP(B50,$B$23:$U$30,MATCH("对中坦输出",$B$23:$U$23,0),FALSE))/$J14*30</f>
        <v>20.100919581527862</v>
      </c>
      <c r="E50" s="50">
        <f t="shared" ref="E50:E56" si="19">$D$36/($G40*VLOOKUP(B50,$B$23:$U$30,MATCH("对重坦输出",$B$23:$U$23,0),FALSE))/$J14*30</f>
        <v>23.882685603197725</v>
      </c>
      <c r="F50" s="51">
        <f>$D$34*(1-基础属性系数!$C$111)/($G40*VLOOKUP(B50,$B$23:$U$30,MATCH("对轻坦输出",$B$23:$U$23,0),FALSE))/$J14*30</f>
        <v>10.005685032584875</v>
      </c>
      <c r="G50" s="51">
        <f>$D$35*(1-基础属性系数!$C$111)/($G40*VLOOKUP(B50,$B$23:$U$30,MATCH("对中坦输出",$B$23:$U$23,0),FALSE))/$J14*30</f>
        <v>12.060551748916717</v>
      </c>
      <c r="H50" s="51">
        <f>$D$36*(1-基础属性系数!$C$111)/($G40*VLOOKUP(B50,$B$23:$U$30,MATCH("对重坦输出",$B$23:$U$23,0),FALSE))/$J14*30</f>
        <v>14.329611361918635</v>
      </c>
      <c r="J50" s="54"/>
    </row>
    <row r="51" spans="2:14" x14ac:dyDescent="0.35">
      <c r="B51" s="35" t="s">
        <v>392</v>
      </c>
      <c r="C51" s="50">
        <f t="shared" si="17"/>
        <v>16.775119657599017</v>
      </c>
      <c r="D51" s="50">
        <f t="shared" si="18"/>
        <v>20.158531398735359</v>
      </c>
      <c r="E51" s="50">
        <f t="shared" si="19"/>
        <v>23.736758948800901</v>
      </c>
      <c r="F51" s="51">
        <f>$D$34*(1-基础属性系数!$C$111)/($G41*VLOOKUP(B51,$B$23:$U$30,MATCH("对轻坦输出",$B$23:$U$23,0),FALSE))/$J15*30</f>
        <v>10.065071794559412</v>
      </c>
      <c r="G51" s="51">
        <f>$D$35*(1-基础属性系数!$C$111)/($G41*VLOOKUP(B51,$B$23:$U$30,MATCH("对中坦输出",$B$23:$U$23,0),FALSE))/$J15*30</f>
        <v>12.095118839241216</v>
      </c>
      <c r="H51" s="51">
        <f>$D$36*(1-基础属性系数!$C$111)/($G41*VLOOKUP(B51,$B$23:$U$30,MATCH("对重坦输出",$B$23:$U$23,0),FALSE))/$J15*30</f>
        <v>14.242055369280541</v>
      </c>
      <c r="J51" s="54"/>
      <c r="N51" s="54"/>
    </row>
    <row r="52" spans="2:14" x14ac:dyDescent="0.35">
      <c r="B52" s="77" t="s">
        <v>608</v>
      </c>
      <c r="C52" s="50">
        <f t="shared" si="17"/>
        <v>17.615205620955813</v>
      </c>
      <c r="D52" s="50">
        <f t="shared" si="18"/>
        <v>21.104241243065236</v>
      </c>
      <c r="E52" s="50">
        <f t="shared" si="19"/>
        <v>24.633148347483488</v>
      </c>
      <c r="F52" s="51">
        <f>$D$34*(1-基础属性系数!$C$111)/($G42*VLOOKUP(B52,$B$23:$U$30,MATCH("对轻坦输出",$B$23:$U$23,0),FALSE))/$J16*30</f>
        <v>10.56912337257349</v>
      </c>
      <c r="G52" s="51">
        <f>$D$35*(1-基础属性系数!$C$111)/($G42*VLOOKUP(B52,$B$23:$U$30,MATCH("对中坦输出",$B$23:$U$23,0),FALSE))/$J16*30</f>
        <v>12.66254474583914</v>
      </c>
      <c r="H52" s="51">
        <f>$D$36*(1-基础属性系数!$C$111)/($G42*VLOOKUP(B52,$B$23:$U$30,MATCH("对重坦输出",$B$23:$U$23,0),FALSE))/$J16*30</f>
        <v>14.779889008490093</v>
      </c>
      <c r="J52" s="54"/>
      <c r="N52" s="54"/>
    </row>
    <row r="53" spans="2:14" x14ac:dyDescent="0.35">
      <c r="B53" s="35" t="s">
        <v>394</v>
      </c>
      <c r="C53" s="50">
        <f t="shared" si="17"/>
        <v>17.350969210830982</v>
      </c>
      <c r="D53" s="50">
        <f t="shared" si="18"/>
        <v>20.860007396081393</v>
      </c>
      <c r="E53" s="50">
        <f t="shared" si="19"/>
        <v>24.252445013283285</v>
      </c>
      <c r="F53" s="51">
        <f>$D$34*(1-基础属性系数!$C$111)/($G43*VLOOKUP(B53,$B$23:$U$30,MATCH("对轻坦输出",$B$23:$U$23,0),FALSE))/$J17*30</f>
        <v>10.410581526498591</v>
      </c>
      <c r="G53" s="51">
        <f>$D$35*(1-基础属性系数!$C$111)/($G43*VLOOKUP(B53,$B$23:$U$30,MATCH("对中坦输出",$B$23:$U$23,0),FALSE))/$J17*30</f>
        <v>12.516004437648833</v>
      </c>
      <c r="H53" s="51">
        <f>$D$36*(1-基础属性系数!$C$111)/($G43*VLOOKUP(B53,$B$23:$U$30,MATCH("对重坦输出",$B$23:$U$23,0),FALSE))/$J17*30</f>
        <v>14.551467007969968</v>
      </c>
    </row>
    <row r="54" spans="2:14" x14ac:dyDescent="0.35">
      <c r="B54" s="35" t="s">
        <v>393</v>
      </c>
      <c r="C54" s="50">
        <f t="shared" si="17"/>
        <v>17.286686257060293</v>
      </c>
      <c r="D54" s="50">
        <f t="shared" si="18"/>
        <v>20.707878273554208</v>
      </c>
      <c r="E54" s="50">
        <f t="shared" si="19"/>
        <v>24.013115128804213</v>
      </c>
      <c r="F54" s="51">
        <f>$D$34*(1-基础属性系数!$C$111)/($G44*VLOOKUP(B54,$B$23:$U$30,MATCH("对轻坦输出",$B$23:$U$23,0),FALSE))/$J18*30</f>
        <v>10.372011754236174</v>
      </c>
      <c r="G54" s="51">
        <f>$D$35*(1-基础属性系数!$C$111)/($G44*VLOOKUP(B54,$B$23:$U$30,MATCH("对中坦输出",$B$23:$U$23,0),FALSE))/$J18*30</f>
        <v>12.424726964132523</v>
      </c>
      <c r="H54" s="51">
        <f>$D$36*(1-基础属性系数!$C$111)/($G44*VLOOKUP(B54,$B$23:$U$30,MATCH("对重坦输出",$B$23:$U$23,0),FALSE))/$J18*30</f>
        <v>14.407869077282529</v>
      </c>
    </row>
    <row r="55" spans="2:14" x14ac:dyDescent="0.35">
      <c r="B55" s="35" t="s">
        <v>409</v>
      </c>
      <c r="C55" s="50">
        <f t="shared" si="17"/>
        <v>16.365734904048235</v>
      </c>
      <c r="D55" s="50">
        <f t="shared" si="18"/>
        <v>19.624305897215834</v>
      </c>
      <c r="E55" s="50">
        <f t="shared" si="19"/>
        <v>22.678956509260161</v>
      </c>
      <c r="F55" s="51">
        <f>$D$34*(1-基础属性系数!$C$111)/($G45*VLOOKUP(B55,$B$23:$U$30,MATCH("对轻坦输出",$B$23:$U$23,0),FALSE))/$J19*30</f>
        <v>9.8194409424289422</v>
      </c>
      <c r="G55" s="51">
        <f>$D$35*(1-基础属性系数!$C$111)/($G45*VLOOKUP(B55,$B$23:$U$30,MATCH("对中坦输出",$B$23:$U$23,0),FALSE))/$J19*30</f>
        <v>11.774583538329502</v>
      </c>
      <c r="H55" s="51">
        <f>$D$36*(1-基础属性系数!$C$111)/($G45*VLOOKUP(B55,$B$23:$U$30,MATCH("对重坦输出",$B$23:$U$23,0),FALSE))/$J19*30</f>
        <v>13.607373905556095</v>
      </c>
    </row>
    <row r="56" spans="2:14" x14ac:dyDescent="0.35">
      <c r="B56" s="35" t="s">
        <v>395</v>
      </c>
      <c r="C56" s="50">
        <f t="shared" si="17"/>
        <v>16.981817925099651</v>
      </c>
      <c r="D56" s="50">
        <f t="shared" si="18"/>
        <v>20.310712663199798</v>
      </c>
      <c r="E56" s="50">
        <f t="shared" si="19"/>
        <v>23.4938289193245</v>
      </c>
      <c r="F56" s="51">
        <f>$D$34*(1-基础属性系数!$C$111)/($G46*VLOOKUP(B56,$B$23:$U$30,MATCH("对轻坦输出",$B$23:$U$23,0),FALSE))/$J20*30</f>
        <v>10.189090755059791</v>
      </c>
      <c r="G56" s="51">
        <f>$D$35*(1-基础属性系数!$C$111)/($G46*VLOOKUP(B56,$B$23:$U$30,MATCH("对中坦输出",$B$23:$U$23,0),FALSE))/$J20*30</f>
        <v>12.186427597919877</v>
      </c>
      <c r="H56" s="51">
        <f>$D$36*(1-基础属性系数!$C$111)/($G46*VLOOKUP(B56,$B$23:$U$30,MATCH("对重坦输出",$B$23:$U$23,0),FALSE))/$J20*30</f>
        <v>14.096297351594698</v>
      </c>
      <c r="J56" s="54"/>
    </row>
  </sheetData>
  <mergeCells count="6">
    <mergeCell ref="B2:G2"/>
    <mergeCell ref="B32:F32"/>
    <mergeCell ref="B22:U22"/>
    <mergeCell ref="B38:H38"/>
    <mergeCell ref="B48:H48"/>
    <mergeCell ref="B12:K12"/>
  </mergeCells>
  <phoneticPr fontId="101" type="noConversion"/>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1"/>
  <dimension ref="B2:EQ98"/>
  <sheetViews>
    <sheetView workbookViewId="0">
      <selection activeCell="K30" sqref="K30"/>
    </sheetView>
  </sheetViews>
  <sheetFormatPr defaultColWidth="9" defaultRowHeight="13" x14ac:dyDescent="0.35"/>
  <cols>
    <col min="1" max="16384" width="9" style="36"/>
  </cols>
  <sheetData>
    <row r="2" spans="2:147" x14ac:dyDescent="0.35">
      <c r="B2" s="810" t="s">
        <v>784</v>
      </c>
      <c r="C2" s="811"/>
      <c r="D2" s="811"/>
      <c r="E2" s="811"/>
      <c r="F2" s="811"/>
      <c r="G2" s="811"/>
      <c r="H2" s="812"/>
      <c r="I2" s="813" t="s">
        <v>783</v>
      </c>
      <c r="J2" s="814"/>
      <c r="K2" s="815"/>
      <c r="L2" s="817" t="s">
        <v>785</v>
      </c>
      <c r="M2" s="818"/>
      <c r="N2" s="819"/>
      <c r="O2" s="197"/>
      <c r="P2" s="197"/>
      <c r="Q2" s="197"/>
      <c r="R2" s="197"/>
      <c r="S2" s="197"/>
      <c r="T2" s="197"/>
      <c r="Y2" s="760" t="s">
        <v>589</v>
      </c>
      <c r="Z2" s="760"/>
      <c r="AD2" s="808" t="s">
        <v>441</v>
      </c>
      <c r="AE2" s="806"/>
      <c r="AF2" s="806"/>
      <c r="AG2" s="806"/>
      <c r="AH2" s="806"/>
      <c r="AI2" s="806"/>
      <c r="AJ2" s="807"/>
      <c r="AL2" s="808" t="s">
        <v>442</v>
      </c>
      <c r="AM2" s="806"/>
      <c r="AN2" s="806"/>
      <c r="AO2" s="806"/>
      <c r="AP2" s="806"/>
      <c r="AQ2" s="806"/>
      <c r="AR2" s="807"/>
      <c r="AS2" s="73"/>
      <c r="AT2" s="792" t="s">
        <v>612</v>
      </c>
      <c r="AU2" s="806"/>
      <c r="AV2" s="806"/>
      <c r="AW2" s="806"/>
      <c r="AX2" s="806"/>
      <c r="AY2" s="806"/>
      <c r="AZ2" s="807"/>
      <c r="BA2" s="73"/>
      <c r="BB2" s="808" t="s">
        <v>443</v>
      </c>
      <c r="BC2" s="806"/>
      <c r="BD2" s="806"/>
      <c r="BE2" s="806"/>
      <c r="BF2" s="806"/>
      <c r="BG2" s="806"/>
      <c r="BH2" s="807"/>
      <c r="BJ2" s="722" t="s">
        <v>444</v>
      </c>
      <c r="BK2" s="722"/>
      <c r="BL2" s="722"/>
      <c r="BM2" s="722"/>
      <c r="BN2" s="722"/>
      <c r="BO2" s="722"/>
      <c r="BP2" s="722"/>
      <c r="BR2" s="808" t="s">
        <v>445</v>
      </c>
      <c r="BS2" s="806"/>
      <c r="BT2" s="806"/>
      <c r="BU2" s="806"/>
      <c r="BV2" s="806"/>
      <c r="BW2" s="806"/>
      <c r="BX2" s="807"/>
      <c r="BZ2" s="808" t="s">
        <v>446</v>
      </c>
      <c r="CA2" s="806"/>
      <c r="CB2" s="806"/>
      <c r="CC2" s="806"/>
      <c r="CD2" s="806"/>
      <c r="CE2" s="806"/>
      <c r="CF2" s="807"/>
      <c r="CG2" s="73"/>
      <c r="CH2" s="760" t="s">
        <v>591</v>
      </c>
      <c r="CI2" s="805"/>
      <c r="CJ2" s="805"/>
      <c r="CK2" s="805"/>
      <c r="CL2" s="805"/>
      <c r="CM2" s="805"/>
      <c r="CN2" s="805"/>
      <c r="CO2" s="805"/>
      <c r="CQ2" s="760" t="s">
        <v>592</v>
      </c>
      <c r="CR2" s="805"/>
      <c r="CS2" s="805"/>
      <c r="CT2" s="805"/>
      <c r="CU2" s="805"/>
      <c r="CV2" s="805"/>
      <c r="CW2" s="805"/>
      <c r="CX2" s="805"/>
      <c r="CY2" s="55"/>
      <c r="CZ2" s="787" t="s">
        <v>614</v>
      </c>
      <c r="DA2" s="805"/>
      <c r="DB2" s="805"/>
      <c r="DC2" s="805"/>
      <c r="DD2" s="805"/>
      <c r="DE2" s="805"/>
      <c r="DF2" s="805"/>
      <c r="DG2" s="805"/>
      <c r="DH2" s="55"/>
      <c r="DI2" s="760" t="s">
        <v>593</v>
      </c>
      <c r="DJ2" s="805"/>
      <c r="DK2" s="805"/>
      <c r="DL2" s="805"/>
      <c r="DM2" s="805"/>
      <c r="DN2" s="805"/>
      <c r="DO2" s="805"/>
      <c r="DP2" s="805"/>
      <c r="DR2" s="760" t="s">
        <v>594</v>
      </c>
      <c r="DS2" s="805"/>
      <c r="DT2" s="805"/>
      <c r="DU2" s="805"/>
      <c r="DV2" s="805"/>
      <c r="DW2" s="805"/>
      <c r="DX2" s="805"/>
      <c r="DY2" s="805"/>
      <c r="EA2" s="760" t="s">
        <v>595</v>
      </c>
      <c r="EB2" s="805"/>
      <c r="EC2" s="805"/>
      <c r="ED2" s="805"/>
      <c r="EE2" s="805"/>
      <c r="EF2" s="805"/>
      <c r="EG2" s="805"/>
      <c r="EH2" s="805"/>
      <c r="EJ2" s="760" t="s">
        <v>596</v>
      </c>
      <c r="EK2" s="805"/>
      <c r="EL2" s="805"/>
      <c r="EM2" s="805"/>
      <c r="EN2" s="805"/>
      <c r="EO2" s="805"/>
      <c r="EP2" s="805"/>
      <c r="EQ2" s="805"/>
    </row>
    <row r="3" spans="2:147" x14ac:dyDescent="0.35">
      <c r="B3" s="179" t="s">
        <v>742</v>
      </c>
      <c r="C3" s="196" t="s">
        <v>975</v>
      </c>
      <c r="D3" s="196" t="s">
        <v>976</v>
      </c>
      <c r="E3" s="196" t="s">
        <v>977</v>
      </c>
      <c r="F3" s="196" t="s">
        <v>978</v>
      </c>
      <c r="G3" s="196" t="s">
        <v>979</v>
      </c>
      <c r="H3" s="196" t="s">
        <v>980</v>
      </c>
      <c r="I3" s="709" t="s">
        <v>981</v>
      </c>
      <c r="J3" s="709" t="s">
        <v>983</v>
      </c>
      <c r="K3" s="709" t="s">
        <v>982</v>
      </c>
      <c r="L3" s="196" t="s">
        <v>984</v>
      </c>
      <c r="M3" s="196" t="s">
        <v>985</v>
      </c>
      <c r="N3" s="196" t="s">
        <v>986</v>
      </c>
      <c r="O3" s="701" t="s">
        <v>981</v>
      </c>
      <c r="P3" s="701" t="s">
        <v>983</v>
      </c>
      <c r="Q3" s="701" t="s">
        <v>982</v>
      </c>
      <c r="R3" s="198"/>
      <c r="S3" s="198"/>
      <c r="T3" s="198"/>
      <c r="Y3" s="74" t="s">
        <v>586</v>
      </c>
      <c r="Z3" s="74" t="s">
        <v>587</v>
      </c>
      <c r="AA3" s="688" t="s">
        <v>3404</v>
      </c>
      <c r="AD3" s="74" t="s">
        <v>586</v>
      </c>
      <c r="AE3" s="46" t="s">
        <v>438</v>
      </c>
      <c r="AF3" s="46" t="s">
        <v>2112</v>
      </c>
      <c r="AG3" s="46" t="s">
        <v>439</v>
      </c>
      <c r="AH3" s="46" t="s">
        <v>440</v>
      </c>
      <c r="AI3" s="39" t="s">
        <v>2109</v>
      </c>
      <c r="AJ3" s="46" t="s">
        <v>448</v>
      </c>
      <c r="AL3" s="74" t="s">
        <v>586</v>
      </c>
      <c r="AM3" s="46" t="s">
        <v>438</v>
      </c>
      <c r="AN3" s="46" t="s">
        <v>2112</v>
      </c>
      <c r="AO3" s="46" t="s">
        <v>439</v>
      </c>
      <c r="AP3" s="46" t="s">
        <v>440</v>
      </c>
      <c r="AQ3" s="39" t="s">
        <v>2109</v>
      </c>
      <c r="AR3" s="46" t="s">
        <v>448</v>
      </c>
      <c r="AS3" s="73"/>
      <c r="AT3" s="75" t="s">
        <v>586</v>
      </c>
      <c r="AU3" s="63" t="s">
        <v>438</v>
      </c>
      <c r="AV3" s="63" t="s">
        <v>2112</v>
      </c>
      <c r="AW3" s="63" t="s">
        <v>435</v>
      </c>
      <c r="AX3" s="63" t="s">
        <v>436</v>
      </c>
      <c r="AY3" s="66" t="s">
        <v>2109</v>
      </c>
      <c r="AZ3" s="63" t="s">
        <v>448</v>
      </c>
      <c r="BA3" s="73"/>
      <c r="BB3" s="74" t="s">
        <v>586</v>
      </c>
      <c r="BC3" s="46" t="s">
        <v>438</v>
      </c>
      <c r="BD3" s="46" t="s">
        <v>2112</v>
      </c>
      <c r="BE3" s="46" t="s">
        <v>439</v>
      </c>
      <c r="BF3" s="46" t="s">
        <v>440</v>
      </c>
      <c r="BG3" s="39" t="s">
        <v>2109</v>
      </c>
      <c r="BH3" s="46" t="s">
        <v>448</v>
      </c>
      <c r="BJ3" s="74" t="s">
        <v>586</v>
      </c>
      <c r="BK3" s="46" t="s">
        <v>438</v>
      </c>
      <c r="BL3" s="46" t="s">
        <v>2112</v>
      </c>
      <c r="BM3" s="46" t="s">
        <v>439</v>
      </c>
      <c r="BN3" s="46" t="s">
        <v>440</v>
      </c>
      <c r="BO3" s="39" t="s">
        <v>2109</v>
      </c>
      <c r="BP3" s="46" t="s">
        <v>448</v>
      </c>
      <c r="BR3" s="74" t="s">
        <v>586</v>
      </c>
      <c r="BS3" s="46" t="s">
        <v>438</v>
      </c>
      <c r="BT3" s="46" t="s">
        <v>2112</v>
      </c>
      <c r="BU3" s="46" t="s">
        <v>439</v>
      </c>
      <c r="BV3" s="46" t="s">
        <v>440</v>
      </c>
      <c r="BW3" s="39" t="s">
        <v>2109</v>
      </c>
      <c r="BX3" s="46" t="s">
        <v>448</v>
      </c>
      <c r="BZ3" s="74" t="s">
        <v>586</v>
      </c>
      <c r="CA3" s="46" t="s">
        <v>438</v>
      </c>
      <c r="CB3" s="46" t="s">
        <v>2112</v>
      </c>
      <c r="CC3" s="46" t="s">
        <v>439</v>
      </c>
      <c r="CD3" s="46" t="s">
        <v>440</v>
      </c>
      <c r="CE3" s="39" t="s">
        <v>2109</v>
      </c>
      <c r="CF3" s="46" t="s">
        <v>448</v>
      </c>
      <c r="CG3" s="73"/>
      <c r="CH3" s="74" t="s">
        <v>583</v>
      </c>
      <c r="CI3" s="74" t="s">
        <v>590</v>
      </c>
      <c r="CJ3" s="61" t="s">
        <v>438</v>
      </c>
      <c r="CK3" s="61" t="s">
        <v>2112</v>
      </c>
      <c r="CL3" s="61" t="s">
        <v>435</v>
      </c>
      <c r="CM3" s="61" t="s">
        <v>436</v>
      </c>
      <c r="CN3" s="62" t="s">
        <v>2109</v>
      </c>
      <c r="CO3" s="61" t="s">
        <v>448</v>
      </c>
      <c r="CQ3" s="74" t="s">
        <v>583</v>
      </c>
      <c r="CR3" s="74" t="s">
        <v>590</v>
      </c>
      <c r="CS3" s="61" t="s">
        <v>438</v>
      </c>
      <c r="CT3" s="61" t="s">
        <v>2112</v>
      </c>
      <c r="CU3" s="61" t="s">
        <v>435</v>
      </c>
      <c r="CV3" s="61" t="s">
        <v>436</v>
      </c>
      <c r="CW3" s="62" t="s">
        <v>2109</v>
      </c>
      <c r="CX3" s="61" t="s">
        <v>448</v>
      </c>
      <c r="CY3" s="73"/>
      <c r="CZ3" s="75" t="s">
        <v>583</v>
      </c>
      <c r="DA3" s="75" t="s">
        <v>590</v>
      </c>
      <c r="DB3" s="63" t="s">
        <v>438</v>
      </c>
      <c r="DC3" s="63" t="s">
        <v>2112</v>
      </c>
      <c r="DD3" s="63" t="s">
        <v>435</v>
      </c>
      <c r="DE3" s="63" t="s">
        <v>436</v>
      </c>
      <c r="DF3" s="66" t="s">
        <v>2109</v>
      </c>
      <c r="DG3" s="63" t="s">
        <v>448</v>
      </c>
      <c r="DH3" s="73"/>
      <c r="DI3" s="74" t="s">
        <v>583</v>
      </c>
      <c r="DJ3" s="74" t="s">
        <v>590</v>
      </c>
      <c r="DK3" s="61" t="s">
        <v>438</v>
      </c>
      <c r="DL3" s="61" t="s">
        <v>2112</v>
      </c>
      <c r="DM3" s="61" t="s">
        <v>435</v>
      </c>
      <c r="DN3" s="61" t="s">
        <v>436</v>
      </c>
      <c r="DO3" s="62" t="s">
        <v>2109</v>
      </c>
      <c r="DP3" s="61" t="s">
        <v>448</v>
      </c>
      <c r="DR3" s="74" t="s">
        <v>583</v>
      </c>
      <c r="DS3" s="74" t="s">
        <v>590</v>
      </c>
      <c r="DT3" s="61" t="s">
        <v>438</v>
      </c>
      <c r="DU3" s="61" t="s">
        <v>2112</v>
      </c>
      <c r="DV3" s="61" t="s">
        <v>435</v>
      </c>
      <c r="DW3" s="61" t="s">
        <v>436</v>
      </c>
      <c r="DX3" s="62" t="s">
        <v>2109</v>
      </c>
      <c r="DY3" s="61" t="s">
        <v>448</v>
      </c>
      <c r="EA3" s="74" t="s">
        <v>583</v>
      </c>
      <c r="EB3" s="74" t="s">
        <v>590</v>
      </c>
      <c r="EC3" s="61" t="s">
        <v>438</v>
      </c>
      <c r="ED3" s="61" t="s">
        <v>2112</v>
      </c>
      <c r="EE3" s="61" t="s">
        <v>435</v>
      </c>
      <c r="EF3" s="61" t="s">
        <v>436</v>
      </c>
      <c r="EG3" s="62" t="s">
        <v>2109</v>
      </c>
      <c r="EH3" s="61" t="s">
        <v>448</v>
      </c>
      <c r="EJ3" s="74" t="s">
        <v>583</v>
      </c>
      <c r="EK3" s="74" t="s">
        <v>590</v>
      </c>
      <c r="EL3" s="61" t="s">
        <v>438</v>
      </c>
      <c r="EM3" s="61" t="s">
        <v>2112</v>
      </c>
      <c r="EN3" s="61" t="s">
        <v>435</v>
      </c>
      <c r="EO3" s="61" t="s">
        <v>436</v>
      </c>
      <c r="EP3" s="62" t="s">
        <v>2109</v>
      </c>
      <c r="EQ3" s="61" t="s">
        <v>448</v>
      </c>
    </row>
    <row r="4" spans="2:147" x14ac:dyDescent="0.35">
      <c r="B4" s="179" t="s">
        <v>777</v>
      </c>
      <c r="C4" s="175">
        <v>1</v>
      </c>
      <c r="D4" s="175">
        <v>2</v>
      </c>
      <c r="E4" s="175"/>
      <c r="F4" s="175"/>
      <c r="G4" s="175"/>
      <c r="H4" s="175"/>
      <c r="I4" s="710">
        <v>2</v>
      </c>
      <c r="J4" s="710"/>
      <c r="K4" s="710"/>
      <c r="L4" s="651">
        <f t="shared" ref="L4:L9" si="0">((C4+1)+(D4+1))/2*(D4-C4+1)-1</f>
        <v>4</v>
      </c>
      <c r="M4" s="175"/>
      <c r="N4" s="175"/>
      <c r="O4" s="700">
        <f>(($C$4+1)+(D4+1))/2*(D4-$C$4+1)-1</f>
        <v>4</v>
      </c>
      <c r="P4" s="700"/>
      <c r="Q4" s="700"/>
      <c r="R4" s="55"/>
      <c r="S4" s="55"/>
      <c r="T4" s="55"/>
      <c r="Y4" s="62" t="s">
        <v>992</v>
      </c>
      <c r="Z4" s="49">
        <f>IFERROR(VLOOKUP(Y4,$F$13:$J$24,5,FALSE),VLOOKUP(Y4,$G$13:$K$24,5,FALSE))</f>
        <v>1</v>
      </c>
      <c r="AD4" s="62" t="str">
        <f t="shared" ref="AD4:AD27" si="1">$Y4</f>
        <v>T1低1</v>
      </c>
      <c r="AE4" s="483">
        <f t="shared" ref="AE4:AJ13" si="2">ROUND(VLOOKUP($AD$2,$B$45:$J$52,MATCH(AE$3,$B$45:$J$45,0),FALSE)*$Z4,0)</f>
        <v>800</v>
      </c>
      <c r="AF4" s="39">
        <f t="shared" si="2"/>
        <v>48</v>
      </c>
      <c r="AG4" s="62">
        <f t="shared" si="2"/>
        <v>300</v>
      </c>
      <c r="AH4" s="62">
        <f t="shared" si="2"/>
        <v>210</v>
      </c>
      <c r="AI4" s="62">
        <f t="shared" si="2"/>
        <v>300</v>
      </c>
      <c r="AJ4" s="62">
        <f t="shared" si="2"/>
        <v>80</v>
      </c>
      <c r="AL4" s="62" t="str">
        <f t="shared" ref="AL4:AL27" si="3">$Y4</f>
        <v>T1低1</v>
      </c>
      <c r="AM4" s="483">
        <f t="shared" ref="AM4:AR13" si="4">ROUND(VLOOKUP($AL$2,$B$45:$J$52,MATCH(AM$3,$B$45:$J$45,0),FALSE)*$Z4,0)</f>
        <v>800</v>
      </c>
      <c r="AN4" s="62">
        <f t="shared" si="4"/>
        <v>28</v>
      </c>
      <c r="AO4" s="62">
        <f t="shared" si="4"/>
        <v>329</v>
      </c>
      <c r="AP4" s="62">
        <f t="shared" si="4"/>
        <v>230</v>
      </c>
      <c r="AQ4" s="62">
        <f t="shared" si="4"/>
        <v>300</v>
      </c>
      <c r="AR4" s="62">
        <f t="shared" si="4"/>
        <v>80</v>
      </c>
      <c r="AS4" s="55"/>
      <c r="AT4" s="66" t="str">
        <f t="shared" ref="AT4:AT27" si="5">$Y4</f>
        <v>T1低1</v>
      </c>
      <c r="AU4" s="483">
        <f t="shared" ref="AU4:AZ13" si="6">ROUND(VLOOKUP($AT$2,$B$45:$J$52,MATCH(AU$3,$B$45:$J$45,0),FALSE)*$Z4,0)</f>
        <v>800</v>
      </c>
      <c r="AV4" s="66">
        <f t="shared" si="6"/>
        <v>98</v>
      </c>
      <c r="AW4" s="66">
        <f t="shared" si="6"/>
        <v>357</v>
      </c>
      <c r="AX4" s="66">
        <f t="shared" si="6"/>
        <v>250</v>
      </c>
      <c r="AY4" s="66">
        <f t="shared" si="6"/>
        <v>300</v>
      </c>
      <c r="AZ4" s="66">
        <f t="shared" si="6"/>
        <v>80</v>
      </c>
      <c r="BA4" s="55"/>
      <c r="BB4" s="62" t="str">
        <f t="shared" ref="BB4:BB27" si="7">$Y4</f>
        <v>T1低1</v>
      </c>
      <c r="BC4" s="483">
        <f t="shared" ref="BC4:BH13" si="8">ROUND(VLOOKUP($BB$2,$B$45:$J$52,MATCH(BC$3,$B$45:$J$45,0),FALSE)*$Z4,0)</f>
        <v>880</v>
      </c>
      <c r="BD4" s="62">
        <f t="shared" si="8"/>
        <v>57</v>
      </c>
      <c r="BE4" s="62">
        <f t="shared" si="8"/>
        <v>286</v>
      </c>
      <c r="BF4" s="62">
        <f t="shared" si="8"/>
        <v>214</v>
      </c>
      <c r="BG4" s="62">
        <f t="shared" si="8"/>
        <v>360</v>
      </c>
      <c r="BH4" s="62">
        <f t="shared" si="8"/>
        <v>88</v>
      </c>
      <c r="BJ4" s="62" t="str">
        <f t="shared" ref="BJ4:BJ27" si="9">$Y4</f>
        <v>T1低1</v>
      </c>
      <c r="BK4" s="483">
        <f t="shared" ref="BK4:BP13" si="10">ROUND(VLOOKUP($BJ$2,$B$45:$J$52,MATCH(BK$3,$B$45:$J$45,0),FALSE)*$Z4,0)</f>
        <v>880</v>
      </c>
      <c r="BL4" s="62">
        <f t="shared" si="10"/>
        <v>148</v>
      </c>
      <c r="BM4" s="62">
        <f t="shared" si="10"/>
        <v>329</v>
      </c>
      <c r="BN4" s="62">
        <f t="shared" si="10"/>
        <v>246</v>
      </c>
      <c r="BO4" s="62">
        <f t="shared" si="10"/>
        <v>360</v>
      </c>
      <c r="BP4" s="62">
        <f t="shared" si="10"/>
        <v>88</v>
      </c>
      <c r="BR4" s="62" t="str">
        <f t="shared" ref="BR4:BR27" si="11">$Y4</f>
        <v>T1低1</v>
      </c>
      <c r="BS4" s="483">
        <f t="shared" ref="BS4:BX13" si="12">ROUND(VLOOKUP($BR$2,$B$45:$J$52,MATCH(BS$3,$B$45:$J$45,0),FALSE)*$Z4,0)</f>
        <v>950</v>
      </c>
      <c r="BT4" s="62">
        <f t="shared" si="12"/>
        <v>148</v>
      </c>
      <c r="BU4" s="62">
        <f t="shared" si="12"/>
        <v>286</v>
      </c>
      <c r="BV4" s="62">
        <f t="shared" si="12"/>
        <v>229</v>
      </c>
      <c r="BW4" s="62">
        <f t="shared" si="12"/>
        <v>420</v>
      </c>
      <c r="BX4" s="62">
        <f t="shared" si="12"/>
        <v>95</v>
      </c>
      <c r="BZ4" s="62" t="str">
        <f t="shared" ref="BZ4:BZ27" si="13">$Y4</f>
        <v>T1低1</v>
      </c>
      <c r="CA4" s="483">
        <f t="shared" ref="CA4:CF13" si="14">ROUND(VLOOKUP($BZ$2,$B$45:$J$52,MATCH(CA$3,$B$45:$J$45,0),FALSE)*$Z4,0)</f>
        <v>950</v>
      </c>
      <c r="CB4" s="62">
        <f t="shared" si="14"/>
        <v>196</v>
      </c>
      <c r="CC4" s="62">
        <f t="shared" si="14"/>
        <v>314</v>
      </c>
      <c r="CD4" s="62">
        <f t="shared" si="14"/>
        <v>251</v>
      </c>
      <c r="CE4" s="62">
        <f t="shared" si="14"/>
        <v>420</v>
      </c>
      <c r="CF4" s="62">
        <f t="shared" si="14"/>
        <v>95</v>
      </c>
      <c r="CG4" s="55"/>
      <c r="CH4" s="62" t="str">
        <f t="shared" ref="CH4:CI9" si="15">F13</f>
        <v>T1低1</v>
      </c>
      <c r="CI4" s="175" t="str">
        <f t="shared" si="15"/>
        <v>T1低2</v>
      </c>
      <c r="CJ4" s="62">
        <f t="shared" ref="CJ4:CO15" si="16">VLOOKUP($CI4,轻坦半自动_阶段属性,MATCH(CJ$3,属性标头_阶段属性,0),FALSE)-VLOOKUP($CH4,轻坦半自动_阶段属性,MATCH(CJ$3,属性标头_阶段属性,0),FALSE)</f>
        <v>320</v>
      </c>
      <c r="CK4" s="62">
        <f t="shared" si="16"/>
        <v>19</v>
      </c>
      <c r="CL4" s="62">
        <f t="shared" si="16"/>
        <v>120</v>
      </c>
      <c r="CM4" s="62">
        <f t="shared" si="16"/>
        <v>84</v>
      </c>
      <c r="CN4" s="62">
        <f t="shared" si="16"/>
        <v>120</v>
      </c>
      <c r="CO4" s="62">
        <f t="shared" si="16"/>
        <v>32</v>
      </c>
      <c r="CQ4" s="62" t="str">
        <f t="shared" ref="CQ4:CQ15" si="17">CH4</f>
        <v>T1低1</v>
      </c>
      <c r="CR4" s="128" t="str">
        <f t="shared" ref="CR4:CR15" si="18">CI4</f>
        <v>T1低2</v>
      </c>
      <c r="CS4" s="62">
        <f t="shared" ref="CS4:CX15" si="19">VLOOKUP($CR4,轻坦弹夹_阶段属性,MATCH(CS$3,属性标头_阶段属性,0),FALSE)-VLOOKUP($CQ4,轻坦弹夹_阶段属性,MATCH(CS$3,属性标头_阶段属性,0),FALSE)</f>
        <v>320</v>
      </c>
      <c r="CT4" s="62">
        <f t="shared" si="19"/>
        <v>12</v>
      </c>
      <c r="CU4" s="62">
        <f t="shared" si="19"/>
        <v>131</v>
      </c>
      <c r="CV4" s="62">
        <f t="shared" si="19"/>
        <v>92</v>
      </c>
      <c r="CW4" s="62">
        <f t="shared" si="19"/>
        <v>120</v>
      </c>
      <c r="CX4" s="62">
        <f t="shared" si="19"/>
        <v>32</v>
      </c>
      <c r="CY4" s="55"/>
      <c r="CZ4" s="128" t="str">
        <f t="shared" ref="CZ4:CZ15" si="20">CQ4</f>
        <v>T1低1</v>
      </c>
      <c r="DA4" s="128" t="str">
        <f t="shared" ref="DA4:DA15" si="21">CR4</f>
        <v>T1低2</v>
      </c>
      <c r="DB4" s="66">
        <f t="shared" ref="DB4:DG15" si="22">VLOOKUP($CR4,轻坦单发_阶段属性,MATCH(DB$3,属性标头_阶段属性,0),FALSE)-VLOOKUP($CQ4,轻坦单发_阶段属性,MATCH(DB$3,属性标头_阶段属性,0),FALSE)</f>
        <v>320</v>
      </c>
      <c r="DC4" s="66">
        <f t="shared" si="22"/>
        <v>39</v>
      </c>
      <c r="DD4" s="66">
        <f t="shared" si="22"/>
        <v>143</v>
      </c>
      <c r="DE4" s="66">
        <f t="shared" si="22"/>
        <v>100</v>
      </c>
      <c r="DF4" s="66">
        <f t="shared" si="22"/>
        <v>120</v>
      </c>
      <c r="DG4" s="66">
        <f t="shared" si="22"/>
        <v>32</v>
      </c>
      <c r="DH4" s="55"/>
      <c r="DI4" s="128" t="str">
        <f t="shared" ref="DI4:DI15" si="23">CZ4</f>
        <v>T1低1</v>
      </c>
      <c r="DJ4" s="128" t="str">
        <f t="shared" ref="DJ4:DJ15" si="24">DA4</f>
        <v>T1低2</v>
      </c>
      <c r="DK4" s="62">
        <f t="shared" ref="DK4:DP15" si="25">VLOOKUP($CR4,中坦弹夹_阶段属性,MATCH(DK$3,属性标头_阶段属性,0),FALSE)-VLOOKUP($CQ4,中坦弹夹_阶段属性,MATCH(DK$3,属性标头_阶段属性,0),FALSE)</f>
        <v>352</v>
      </c>
      <c r="DL4" s="62">
        <f t="shared" si="25"/>
        <v>23</v>
      </c>
      <c r="DM4" s="62">
        <f t="shared" si="25"/>
        <v>114</v>
      </c>
      <c r="DN4" s="62">
        <f t="shared" si="25"/>
        <v>86</v>
      </c>
      <c r="DO4" s="62">
        <f t="shared" si="25"/>
        <v>144</v>
      </c>
      <c r="DP4" s="62">
        <f t="shared" si="25"/>
        <v>35</v>
      </c>
      <c r="DR4" s="128" t="str">
        <f t="shared" ref="DR4:DR15" si="26">DI4</f>
        <v>T1低1</v>
      </c>
      <c r="DS4" s="128" t="str">
        <f t="shared" ref="DS4:DS15" si="27">DJ4</f>
        <v>T1低2</v>
      </c>
      <c r="DT4" s="62">
        <f t="shared" ref="DT4:DY15" si="28">VLOOKUP($CR4,中坦单发_阶段属性,MATCH(DT$3,属性标头_阶段属性,0),FALSE)-VLOOKUP($CQ4,中坦单发_阶段属性,MATCH(DT$3,属性标头_阶段属性,0),FALSE)</f>
        <v>352</v>
      </c>
      <c r="DU4" s="62">
        <f t="shared" si="28"/>
        <v>59</v>
      </c>
      <c r="DV4" s="62">
        <f t="shared" si="28"/>
        <v>131</v>
      </c>
      <c r="DW4" s="62">
        <f t="shared" si="28"/>
        <v>99</v>
      </c>
      <c r="DX4" s="62">
        <f t="shared" si="28"/>
        <v>144</v>
      </c>
      <c r="DY4" s="62">
        <f t="shared" si="28"/>
        <v>35</v>
      </c>
      <c r="EA4" s="128" t="str">
        <f t="shared" ref="EA4:EA15" si="29">DR4</f>
        <v>T1低1</v>
      </c>
      <c r="EB4" s="128" t="str">
        <f t="shared" ref="EB4:EB15" si="30">DS4</f>
        <v>T1低2</v>
      </c>
      <c r="EC4" s="62">
        <f t="shared" ref="EC4:EH15" si="31">VLOOKUP($CR4,重坦自动_阶段属性,MATCH(EC$3,属性标头_阶段属性,0),FALSE)-VLOOKUP($CQ4,重坦自动_阶段属性,MATCH(EC$3,属性标头_阶段属性,0),FALSE)</f>
        <v>381</v>
      </c>
      <c r="ED4" s="62">
        <f t="shared" si="31"/>
        <v>59</v>
      </c>
      <c r="EE4" s="62">
        <f t="shared" si="31"/>
        <v>114</v>
      </c>
      <c r="EF4" s="62">
        <f t="shared" si="31"/>
        <v>91</v>
      </c>
      <c r="EG4" s="62">
        <f t="shared" si="31"/>
        <v>168</v>
      </c>
      <c r="EH4" s="62">
        <f t="shared" si="31"/>
        <v>38</v>
      </c>
      <c r="EJ4" s="128" t="str">
        <f t="shared" ref="EJ4:EJ15" si="32">EA4</f>
        <v>T1低1</v>
      </c>
      <c r="EK4" s="128" t="str">
        <f t="shared" ref="EK4:EK15" si="33">EB4</f>
        <v>T1低2</v>
      </c>
      <c r="EL4" s="62">
        <f t="shared" ref="EL4:EQ15" si="34">VLOOKUP($CR4,重坦单发_阶段属性,MATCH(EL$3,属性标头_阶段属性,0),FALSE)-VLOOKUP($CQ4,重坦单发_阶段属性,MATCH(EL$3,属性标头_阶段属性,0),FALSE)</f>
        <v>381</v>
      </c>
      <c r="EM4" s="62">
        <f t="shared" si="34"/>
        <v>79</v>
      </c>
      <c r="EN4" s="62">
        <f t="shared" si="34"/>
        <v>126</v>
      </c>
      <c r="EO4" s="62">
        <f t="shared" si="34"/>
        <v>101</v>
      </c>
      <c r="EP4" s="62">
        <f t="shared" si="34"/>
        <v>168</v>
      </c>
      <c r="EQ4" s="62">
        <f t="shared" si="34"/>
        <v>38</v>
      </c>
    </row>
    <row r="5" spans="2:147" x14ac:dyDescent="0.35">
      <c r="B5" s="123" t="s">
        <v>778</v>
      </c>
      <c r="C5" s="175">
        <v>2</v>
      </c>
      <c r="D5" s="175">
        <v>3</v>
      </c>
      <c r="E5" s="175">
        <v>2</v>
      </c>
      <c r="F5" s="175">
        <v>4</v>
      </c>
      <c r="G5" s="175"/>
      <c r="H5" s="175"/>
      <c r="I5" s="710">
        <v>2</v>
      </c>
      <c r="J5" s="710">
        <v>2</v>
      </c>
      <c r="K5" s="710"/>
      <c r="L5" s="651">
        <f t="shared" si="0"/>
        <v>6</v>
      </c>
      <c r="M5" s="651">
        <f>((E5+1)+(F5+1))/2*(F5-E5+1)-1</f>
        <v>11</v>
      </c>
      <c r="N5" s="175"/>
      <c r="O5" s="700">
        <f t="shared" ref="O5:O9" si="35">(($C$4+1)+(D5+1))/2*(D5-$C$4+1)-1</f>
        <v>8</v>
      </c>
      <c r="P5" s="700">
        <f>(($C$4+1)+(F5+1))/2*(F5-$C$4+1)-1</f>
        <v>13</v>
      </c>
      <c r="Q5" s="700"/>
      <c r="R5" s="55"/>
      <c r="S5" s="55"/>
      <c r="T5" s="55"/>
      <c r="Y5" s="62" t="s">
        <v>997</v>
      </c>
      <c r="Z5" s="49">
        <f t="shared" ref="Z5:Z27" si="36">IFERROR(VLOOKUP(Y5,$F$13:$J$24,5,FALSE),VLOOKUP(Y5,$G$13:$K$24,5,FALSE))</f>
        <v>1.2</v>
      </c>
      <c r="AD5" s="62" t="str">
        <f t="shared" si="1"/>
        <v>T2低2</v>
      </c>
      <c r="AE5" s="483">
        <f t="shared" si="2"/>
        <v>960</v>
      </c>
      <c r="AF5" s="62">
        <f t="shared" si="2"/>
        <v>57</v>
      </c>
      <c r="AG5" s="62">
        <f t="shared" si="2"/>
        <v>360</v>
      </c>
      <c r="AH5" s="62">
        <f t="shared" si="2"/>
        <v>252</v>
      </c>
      <c r="AI5" s="62">
        <f t="shared" si="2"/>
        <v>360</v>
      </c>
      <c r="AJ5" s="62">
        <f t="shared" si="2"/>
        <v>96</v>
      </c>
      <c r="AL5" s="62" t="str">
        <f t="shared" si="3"/>
        <v>T2低2</v>
      </c>
      <c r="AM5" s="483">
        <f t="shared" si="4"/>
        <v>960</v>
      </c>
      <c r="AN5" s="62">
        <f t="shared" si="4"/>
        <v>34</v>
      </c>
      <c r="AO5" s="62">
        <f t="shared" si="4"/>
        <v>394</v>
      </c>
      <c r="AP5" s="62">
        <f t="shared" si="4"/>
        <v>276</v>
      </c>
      <c r="AQ5" s="62">
        <f t="shared" si="4"/>
        <v>360</v>
      </c>
      <c r="AR5" s="62">
        <f t="shared" si="4"/>
        <v>96</v>
      </c>
      <c r="AS5" s="55"/>
      <c r="AT5" s="66" t="str">
        <f t="shared" si="5"/>
        <v>T2低2</v>
      </c>
      <c r="AU5" s="483">
        <f t="shared" si="6"/>
        <v>960</v>
      </c>
      <c r="AV5" s="66">
        <f t="shared" si="6"/>
        <v>117</v>
      </c>
      <c r="AW5" s="66">
        <f t="shared" si="6"/>
        <v>429</v>
      </c>
      <c r="AX5" s="66">
        <f t="shared" si="6"/>
        <v>300</v>
      </c>
      <c r="AY5" s="66">
        <f t="shared" si="6"/>
        <v>360</v>
      </c>
      <c r="AZ5" s="66">
        <f t="shared" si="6"/>
        <v>96</v>
      </c>
      <c r="BA5" s="55"/>
      <c r="BB5" s="62" t="str">
        <f t="shared" si="7"/>
        <v>T2低2</v>
      </c>
      <c r="BC5" s="483">
        <f t="shared" si="8"/>
        <v>1056</v>
      </c>
      <c r="BD5" s="62">
        <f t="shared" si="8"/>
        <v>68</v>
      </c>
      <c r="BE5" s="62">
        <f t="shared" si="8"/>
        <v>343</v>
      </c>
      <c r="BF5" s="62">
        <f t="shared" si="8"/>
        <v>257</v>
      </c>
      <c r="BG5" s="62">
        <f t="shared" si="8"/>
        <v>432</v>
      </c>
      <c r="BH5" s="62">
        <f t="shared" si="8"/>
        <v>106</v>
      </c>
      <c r="BJ5" s="62" t="str">
        <f t="shared" si="9"/>
        <v>T2低2</v>
      </c>
      <c r="BK5" s="483">
        <f t="shared" si="10"/>
        <v>1056</v>
      </c>
      <c r="BL5" s="62">
        <f t="shared" si="10"/>
        <v>178</v>
      </c>
      <c r="BM5" s="62">
        <f t="shared" si="10"/>
        <v>394</v>
      </c>
      <c r="BN5" s="62">
        <f t="shared" si="10"/>
        <v>296</v>
      </c>
      <c r="BO5" s="62">
        <f t="shared" si="10"/>
        <v>432</v>
      </c>
      <c r="BP5" s="62">
        <f t="shared" si="10"/>
        <v>106</v>
      </c>
      <c r="BR5" s="62" t="str">
        <f t="shared" si="11"/>
        <v>T2低2</v>
      </c>
      <c r="BS5" s="483">
        <f t="shared" si="12"/>
        <v>1141</v>
      </c>
      <c r="BT5" s="62">
        <f t="shared" si="12"/>
        <v>177</v>
      </c>
      <c r="BU5" s="62">
        <f t="shared" si="12"/>
        <v>343</v>
      </c>
      <c r="BV5" s="62">
        <f t="shared" si="12"/>
        <v>274</v>
      </c>
      <c r="BW5" s="62">
        <f t="shared" si="12"/>
        <v>504</v>
      </c>
      <c r="BX5" s="62">
        <f t="shared" si="12"/>
        <v>114</v>
      </c>
      <c r="BZ5" s="62" t="str">
        <f t="shared" si="13"/>
        <v>T2低2</v>
      </c>
      <c r="CA5" s="483">
        <f t="shared" si="14"/>
        <v>1141</v>
      </c>
      <c r="CB5" s="62">
        <f t="shared" si="14"/>
        <v>235</v>
      </c>
      <c r="CC5" s="62">
        <f t="shared" si="14"/>
        <v>377</v>
      </c>
      <c r="CD5" s="62">
        <f t="shared" si="14"/>
        <v>302</v>
      </c>
      <c r="CE5" s="62">
        <f t="shared" si="14"/>
        <v>504</v>
      </c>
      <c r="CF5" s="62">
        <f t="shared" si="14"/>
        <v>114</v>
      </c>
      <c r="CG5" s="55"/>
      <c r="CH5" s="175" t="str">
        <f t="shared" si="15"/>
        <v>T2低2</v>
      </c>
      <c r="CI5" s="175" t="str">
        <f t="shared" si="15"/>
        <v>T2低3</v>
      </c>
      <c r="CJ5" s="62">
        <f t="shared" si="16"/>
        <v>480</v>
      </c>
      <c r="CK5" s="62">
        <f t="shared" si="16"/>
        <v>29</v>
      </c>
      <c r="CL5" s="62">
        <f t="shared" si="16"/>
        <v>180</v>
      </c>
      <c r="CM5" s="62">
        <f t="shared" si="16"/>
        <v>126</v>
      </c>
      <c r="CN5" s="62">
        <f t="shared" si="16"/>
        <v>180</v>
      </c>
      <c r="CO5" s="62">
        <f t="shared" si="16"/>
        <v>48</v>
      </c>
      <c r="CQ5" s="128" t="str">
        <f t="shared" si="17"/>
        <v>T2低2</v>
      </c>
      <c r="CR5" s="128" t="str">
        <f t="shared" si="18"/>
        <v>T2低3</v>
      </c>
      <c r="CS5" s="62">
        <f t="shared" si="19"/>
        <v>480</v>
      </c>
      <c r="CT5" s="62">
        <f t="shared" si="19"/>
        <v>17</v>
      </c>
      <c r="CU5" s="62">
        <f t="shared" si="19"/>
        <v>197</v>
      </c>
      <c r="CV5" s="62">
        <f t="shared" si="19"/>
        <v>138</v>
      </c>
      <c r="CW5" s="62">
        <f t="shared" si="19"/>
        <v>180</v>
      </c>
      <c r="CX5" s="62">
        <f t="shared" si="19"/>
        <v>48</v>
      </c>
      <c r="CY5" s="55"/>
      <c r="CZ5" s="128" t="str">
        <f t="shared" si="20"/>
        <v>T2低2</v>
      </c>
      <c r="DA5" s="128" t="str">
        <f t="shared" si="21"/>
        <v>T2低3</v>
      </c>
      <c r="DB5" s="66">
        <f t="shared" si="22"/>
        <v>480</v>
      </c>
      <c r="DC5" s="66">
        <f t="shared" si="22"/>
        <v>59</v>
      </c>
      <c r="DD5" s="66">
        <f t="shared" si="22"/>
        <v>214</v>
      </c>
      <c r="DE5" s="66">
        <f t="shared" si="22"/>
        <v>150</v>
      </c>
      <c r="DF5" s="66">
        <f t="shared" si="22"/>
        <v>180</v>
      </c>
      <c r="DG5" s="66">
        <f t="shared" si="22"/>
        <v>48</v>
      </c>
      <c r="DH5" s="55"/>
      <c r="DI5" s="128" t="str">
        <f t="shared" si="23"/>
        <v>T2低2</v>
      </c>
      <c r="DJ5" s="128" t="str">
        <f t="shared" si="24"/>
        <v>T2低3</v>
      </c>
      <c r="DK5" s="62">
        <f t="shared" si="25"/>
        <v>529</v>
      </c>
      <c r="DL5" s="62">
        <f t="shared" si="25"/>
        <v>35</v>
      </c>
      <c r="DM5" s="62">
        <f t="shared" si="25"/>
        <v>171</v>
      </c>
      <c r="DN5" s="62">
        <f t="shared" si="25"/>
        <v>129</v>
      </c>
      <c r="DO5" s="62">
        <f t="shared" si="25"/>
        <v>216</v>
      </c>
      <c r="DP5" s="62">
        <f t="shared" si="25"/>
        <v>52</v>
      </c>
      <c r="DR5" s="128" t="str">
        <f t="shared" si="26"/>
        <v>T2低2</v>
      </c>
      <c r="DS5" s="128" t="str">
        <f t="shared" si="27"/>
        <v>T2低3</v>
      </c>
      <c r="DT5" s="62">
        <f t="shared" si="28"/>
        <v>529</v>
      </c>
      <c r="DU5" s="62">
        <f t="shared" si="28"/>
        <v>89</v>
      </c>
      <c r="DV5" s="62">
        <f t="shared" si="28"/>
        <v>197</v>
      </c>
      <c r="DW5" s="62">
        <f t="shared" si="28"/>
        <v>148</v>
      </c>
      <c r="DX5" s="62">
        <f t="shared" si="28"/>
        <v>216</v>
      </c>
      <c r="DY5" s="62">
        <f t="shared" si="28"/>
        <v>52</v>
      </c>
      <c r="EA5" s="128" t="str">
        <f t="shared" si="29"/>
        <v>T2低2</v>
      </c>
      <c r="EB5" s="128" t="str">
        <f t="shared" si="30"/>
        <v>T2低3</v>
      </c>
      <c r="EC5" s="62">
        <f t="shared" si="31"/>
        <v>570</v>
      </c>
      <c r="ED5" s="62">
        <f t="shared" si="31"/>
        <v>89</v>
      </c>
      <c r="EE5" s="62">
        <f t="shared" si="31"/>
        <v>171</v>
      </c>
      <c r="EF5" s="62">
        <f t="shared" si="31"/>
        <v>137</v>
      </c>
      <c r="EG5" s="62">
        <f t="shared" si="31"/>
        <v>252</v>
      </c>
      <c r="EH5" s="62">
        <f t="shared" si="31"/>
        <v>57</v>
      </c>
      <c r="EJ5" s="128" t="str">
        <f t="shared" si="32"/>
        <v>T2低2</v>
      </c>
      <c r="EK5" s="128" t="str">
        <f t="shared" si="33"/>
        <v>T2低3</v>
      </c>
      <c r="EL5" s="62">
        <f t="shared" si="34"/>
        <v>570</v>
      </c>
      <c r="EM5" s="62">
        <f t="shared" si="34"/>
        <v>118</v>
      </c>
      <c r="EN5" s="62">
        <f t="shared" si="34"/>
        <v>189</v>
      </c>
      <c r="EO5" s="62">
        <f t="shared" si="34"/>
        <v>151</v>
      </c>
      <c r="EP5" s="62">
        <f t="shared" si="34"/>
        <v>252</v>
      </c>
      <c r="EQ5" s="62">
        <f t="shared" si="34"/>
        <v>57</v>
      </c>
    </row>
    <row r="6" spans="2:147" x14ac:dyDescent="0.35">
      <c r="B6" s="124" t="s">
        <v>779</v>
      </c>
      <c r="C6" s="175">
        <v>3</v>
      </c>
      <c r="D6" s="175">
        <v>4</v>
      </c>
      <c r="E6" s="175">
        <v>3</v>
      </c>
      <c r="F6" s="175">
        <v>5</v>
      </c>
      <c r="G6" s="175">
        <v>3</v>
      </c>
      <c r="H6" s="175">
        <v>5</v>
      </c>
      <c r="I6" s="710">
        <v>2</v>
      </c>
      <c r="J6" s="710">
        <v>2</v>
      </c>
      <c r="K6" s="710">
        <v>2</v>
      </c>
      <c r="L6" s="651">
        <f t="shared" si="0"/>
        <v>8</v>
      </c>
      <c r="M6" s="651">
        <f>((E6+1)+(F6+1))/2*(F6-E6+1)-1</f>
        <v>14</v>
      </c>
      <c r="N6" s="651">
        <f>((G6+1)+(H6+1))/2*(H6-G6+1)-1</f>
        <v>14</v>
      </c>
      <c r="O6" s="700">
        <f t="shared" si="35"/>
        <v>13</v>
      </c>
      <c r="P6" s="700">
        <f t="shared" ref="P6:P9" si="37">(($C$4+1)+(F6+1))/2*(F6-$C$4+1)-1</f>
        <v>19</v>
      </c>
      <c r="Q6" s="700">
        <f>(($C$4+1)+(H6+1))/2*(H6-$C$4+1)-1</f>
        <v>19</v>
      </c>
      <c r="R6" s="55"/>
      <c r="S6" s="55"/>
      <c r="T6" s="55"/>
      <c r="Y6" s="62" t="s">
        <v>1004</v>
      </c>
      <c r="Z6" s="49">
        <f t="shared" si="36"/>
        <v>1.23</v>
      </c>
      <c r="AD6" s="62" t="str">
        <f t="shared" si="1"/>
        <v>T2中2</v>
      </c>
      <c r="AE6" s="483">
        <f t="shared" si="2"/>
        <v>984</v>
      </c>
      <c r="AF6" s="62">
        <f t="shared" si="2"/>
        <v>59</v>
      </c>
      <c r="AG6" s="62">
        <f t="shared" si="2"/>
        <v>369</v>
      </c>
      <c r="AH6" s="62">
        <f t="shared" si="2"/>
        <v>258</v>
      </c>
      <c r="AI6" s="62">
        <f t="shared" si="2"/>
        <v>369</v>
      </c>
      <c r="AJ6" s="62">
        <f t="shared" si="2"/>
        <v>98</v>
      </c>
      <c r="AL6" s="62" t="str">
        <f t="shared" si="3"/>
        <v>T2中2</v>
      </c>
      <c r="AM6" s="483">
        <f t="shared" si="4"/>
        <v>984</v>
      </c>
      <c r="AN6" s="62">
        <f t="shared" si="4"/>
        <v>35</v>
      </c>
      <c r="AO6" s="62">
        <f t="shared" si="4"/>
        <v>404</v>
      </c>
      <c r="AP6" s="62">
        <f t="shared" si="4"/>
        <v>283</v>
      </c>
      <c r="AQ6" s="62">
        <f t="shared" si="4"/>
        <v>369</v>
      </c>
      <c r="AR6" s="62">
        <f t="shared" si="4"/>
        <v>98</v>
      </c>
      <c r="AS6" s="55"/>
      <c r="AT6" s="66" t="str">
        <f t="shared" si="5"/>
        <v>T2中2</v>
      </c>
      <c r="AU6" s="483">
        <f t="shared" si="6"/>
        <v>984</v>
      </c>
      <c r="AV6" s="66">
        <f t="shared" si="6"/>
        <v>120</v>
      </c>
      <c r="AW6" s="66">
        <f t="shared" si="6"/>
        <v>439</v>
      </c>
      <c r="AX6" s="66">
        <f t="shared" si="6"/>
        <v>308</v>
      </c>
      <c r="AY6" s="66">
        <f t="shared" si="6"/>
        <v>369</v>
      </c>
      <c r="AZ6" s="66">
        <f t="shared" si="6"/>
        <v>98</v>
      </c>
      <c r="BA6" s="55"/>
      <c r="BB6" s="62" t="str">
        <f t="shared" si="7"/>
        <v>T2中2</v>
      </c>
      <c r="BC6" s="483">
        <f t="shared" si="8"/>
        <v>1083</v>
      </c>
      <c r="BD6" s="62">
        <f t="shared" si="8"/>
        <v>70</v>
      </c>
      <c r="BE6" s="62">
        <f t="shared" si="8"/>
        <v>351</v>
      </c>
      <c r="BF6" s="62">
        <f t="shared" si="8"/>
        <v>264</v>
      </c>
      <c r="BG6" s="62">
        <f t="shared" si="8"/>
        <v>443</v>
      </c>
      <c r="BH6" s="62">
        <f t="shared" si="8"/>
        <v>108</v>
      </c>
      <c r="BJ6" s="62" t="str">
        <f t="shared" si="9"/>
        <v>T2中2</v>
      </c>
      <c r="BK6" s="483">
        <f t="shared" si="10"/>
        <v>1083</v>
      </c>
      <c r="BL6" s="62">
        <f t="shared" si="10"/>
        <v>182</v>
      </c>
      <c r="BM6" s="62">
        <f t="shared" si="10"/>
        <v>404</v>
      </c>
      <c r="BN6" s="62">
        <f t="shared" si="10"/>
        <v>303</v>
      </c>
      <c r="BO6" s="62">
        <f t="shared" si="10"/>
        <v>443</v>
      </c>
      <c r="BP6" s="62">
        <f t="shared" si="10"/>
        <v>108</v>
      </c>
      <c r="BR6" s="62" t="str">
        <f t="shared" si="11"/>
        <v>T2中2</v>
      </c>
      <c r="BS6" s="483">
        <f t="shared" si="12"/>
        <v>1169</v>
      </c>
      <c r="BT6" s="62">
        <f t="shared" si="12"/>
        <v>182</v>
      </c>
      <c r="BU6" s="62">
        <f t="shared" si="12"/>
        <v>351</v>
      </c>
      <c r="BV6" s="62">
        <f t="shared" si="12"/>
        <v>281</v>
      </c>
      <c r="BW6" s="62">
        <f t="shared" si="12"/>
        <v>517</v>
      </c>
      <c r="BX6" s="62">
        <f t="shared" si="12"/>
        <v>117</v>
      </c>
      <c r="BZ6" s="62" t="str">
        <f t="shared" si="13"/>
        <v>T2中2</v>
      </c>
      <c r="CA6" s="483">
        <f t="shared" si="14"/>
        <v>1169</v>
      </c>
      <c r="CB6" s="62">
        <f t="shared" si="14"/>
        <v>241</v>
      </c>
      <c r="CC6" s="62">
        <f t="shared" si="14"/>
        <v>387</v>
      </c>
      <c r="CD6" s="62">
        <f t="shared" si="14"/>
        <v>309</v>
      </c>
      <c r="CE6" s="62">
        <f t="shared" si="14"/>
        <v>517</v>
      </c>
      <c r="CF6" s="62">
        <f t="shared" si="14"/>
        <v>117</v>
      </c>
      <c r="CG6" s="55"/>
      <c r="CH6" s="175" t="str">
        <f t="shared" si="15"/>
        <v>T2中2</v>
      </c>
      <c r="CI6" s="175" t="str">
        <f t="shared" si="15"/>
        <v>T2中4</v>
      </c>
      <c r="CJ6" s="62">
        <f t="shared" si="16"/>
        <v>928</v>
      </c>
      <c r="CK6" s="62">
        <f t="shared" si="16"/>
        <v>55</v>
      </c>
      <c r="CL6" s="62">
        <f t="shared" si="16"/>
        <v>348</v>
      </c>
      <c r="CM6" s="62">
        <f t="shared" si="16"/>
        <v>244</v>
      </c>
      <c r="CN6" s="62">
        <f t="shared" si="16"/>
        <v>348</v>
      </c>
      <c r="CO6" s="62">
        <f t="shared" si="16"/>
        <v>93</v>
      </c>
      <c r="CQ6" s="128" t="str">
        <f t="shared" si="17"/>
        <v>T2中2</v>
      </c>
      <c r="CR6" s="128" t="str">
        <f t="shared" si="18"/>
        <v>T2中4</v>
      </c>
      <c r="CS6" s="62">
        <f t="shared" si="19"/>
        <v>928</v>
      </c>
      <c r="CT6" s="62">
        <f t="shared" si="19"/>
        <v>33</v>
      </c>
      <c r="CU6" s="62">
        <f t="shared" si="19"/>
        <v>381</v>
      </c>
      <c r="CV6" s="62">
        <f t="shared" si="19"/>
        <v>267</v>
      </c>
      <c r="CW6" s="62">
        <f t="shared" si="19"/>
        <v>348</v>
      </c>
      <c r="CX6" s="62">
        <f t="shared" si="19"/>
        <v>93</v>
      </c>
      <c r="CY6" s="55"/>
      <c r="CZ6" s="128" t="str">
        <f t="shared" si="20"/>
        <v>T2中2</v>
      </c>
      <c r="DA6" s="128" t="str">
        <f t="shared" si="21"/>
        <v>T2中4</v>
      </c>
      <c r="DB6" s="66">
        <f t="shared" si="22"/>
        <v>928</v>
      </c>
      <c r="DC6" s="66">
        <f t="shared" si="22"/>
        <v>113</v>
      </c>
      <c r="DD6" s="66">
        <f t="shared" si="22"/>
        <v>415</v>
      </c>
      <c r="DE6" s="66">
        <f t="shared" si="22"/>
        <v>290</v>
      </c>
      <c r="DF6" s="66">
        <f t="shared" si="22"/>
        <v>348</v>
      </c>
      <c r="DG6" s="66">
        <f t="shared" si="22"/>
        <v>93</v>
      </c>
      <c r="DH6" s="55"/>
      <c r="DI6" s="128" t="str">
        <f t="shared" si="23"/>
        <v>T2中2</v>
      </c>
      <c r="DJ6" s="128" t="str">
        <f t="shared" si="24"/>
        <v>T2中4</v>
      </c>
      <c r="DK6" s="62">
        <f t="shared" si="25"/>
        <v>1021</v>
      </c>
      <c r="DL6" s="62">
        <f t="shared" si="25"/>
        <v>66</v>
      </c>
      <c r="DM6" s="62">
        <f t="shared" si="25"/>
        <v>332</v>
      </c>
      <c r="DN6" s="62">
        <f t="shared" si="25"/>
        <v>248</v>
      </c>
      <c r="DO6" s="62">
        <f t="shared" si="25"/>
        <v>417</v>
      </c>
      <c r="DP6" s="62">
        <f t="shared" si="25"/>
        <v>102</v>
      </c>
      <c r="DR6" s="128" t="str">
        <f t="shared" si="26"/>
        <v>T2中2</v>
      </c>
      <c r="DS6" s="128" t="str">
        <f t="shared" si="27"/>
        <v>T2中4</v>
      </c>
      <c r="DT6" s="62">
        <f t="shared" si="28"/>
        <v>1021</v>
      </c>
      <c r="DU6" s="62">
        <f t="shared" si="28"/>
        <v>172</v>
      </c>
      <c r="DV6" s="62">
        <f t="shared" si="28"/>
        <v>381</v>
      </c>
      <c r="DW6" s="62">
        <f t="shared" si="28"/>
        <v>286</v>
      </c>
      <c r="DX6" s="62">
        <f t="shared" si="28"/>
        <v>417</v>
      </c>
      <c r="DY6" s="62">
        <f t="shared" si="28"/>
        <v>102</v>
      </c>
      <c r="EA6" s="128" t="str">
        <f t="shared" si="29"/>
        <v>T2中2</v>
      </c>
      <c r="EB6" s="128" t="str">
        <f t="shared" si="30"/>
        <v>T2中4</v>
      </c>
      <c r="EC6" s="62">
        <f t="shared" si="31"/>
        <v>1103</v>
      </c>
      <c r="ED6" s="62">
        <f t="shared" si="31"/>
        <v>171</v>
      </c>
      <c r="EE6" s="62">
        <f t="shared" si="31"/>
        <v>332</v>
      </c>
      <c r="EF6" s="62">
        <f t="shared" si="31"/>
        <v>265</v>
      </c>
      <c r="EG6" s="62">
        <f t="shared" si="31"/>
        <v>487</v>
      </c>
      <c r="EH6" s="62">
        <f t="shared" si="31"/>
        <v>110</v>
      </c>
      <c r="EJ6" s="128" t="str">
        <f t="shared" si="32"/>
        <v>T2中2</v>
      </c>
      <c r="EK6" s="128" t="str">
        <f t="shared" si="33"/>
        <v>T2中4</v>
      </c>
      <c r="EL6" s="62">
        <f t="shared" si="34"/>
        <v>1103</v>
      </c>
      <c r="EM6" s="62">
        <f t="shared" si="34"/>
        <v>228</v>
      </c>
      <c r="EN6" s="62">
        <f t="shared" si="34"/>
        <v>364</v>
      </c>
      <c r="EO6" s="62">
        <f t="shared" si="34"/>
        <v>292</v>
      </c>
      <c r="EP6" s="62">
        <f t="shared" si="34"/>
        <v>487</v>
      </c>
      <c r="EQ6" s="62">
        <f t="shared" si="34"/>
        <v>110</v>
      </c>
    </row>
    <row r="7" spans="2:147" x14ac:dyDescent="0.35">
      <c r="B7" s="125" t="s">
        <v>780</v>
      </c>
      <c r="C7" s="175">
        <v>4</v>
      </c>
      <c r="D7" s="175">
        <v>5</v>
      </c>
      <c r="E7" s="175">
        <v>4</v>
      </c>
      <c r="F7" s="175">
        <v>6</v>
      </c>
      <c r="G7" s="175">
        <v>4</v>
      </c>
      <c r="H7" s="175">
        <v>6</v>
      </c>
      <c r="I7" s="710">
        <v>2</v>
      </c>
      <c r="J7" s="710">
        <v>2</v>
      </c>
      <c r="K7" s="710">
        <v>2</v>
      </c>
      <c r="L7" s="651">
        <f t="shared" si="0"/>
        <v>10</v>
      </c>
      <c r="M7" s="651">
        <f>((E7+1)+(F7+1))/2*(F7-E7+1)-1</f>
        <v>17</v>
      </c>
      <c r="N7" s="651">
        <f>((G7+1)+(H7+1))/2*(H7-G7+1)-1</f>
        <v>17</v>
      </c>
      <c r="O7" s="700">
        <f t="shared" si="35"/>
        <v>19</v>
      </c>
      <c r="P7" s="700">
        <f t="shared" si="37"/>
        <v>26</v>
      </c>
      <c r="Q7" s="700">
        <f t="shared" ref="Q7:Q9" si="38">(($C$4+1)+(H7+1))/2*(H7-$C$4+1)-1</f>
        <v>26</v>
      </c>
      <c r="R7" s="55"/>
      <c r="S7" s="55"/>
      <c r="T7" s="55"/>
      <c r="Y7" s="62" t="s">
        <v>993</v>
      </c>
      <c r="Z7" s="49">
        <f t="shared" si="36"/>
        <v>1.4</v>
      </c>
      <c r="AD7" s="62" t="str">
        <f t="shared" si="1"/>
        <v>T1低2</v>
      </c>
      <c r="AE7" s="483">
        <f t="shared" si="2"/>
        <v>1120</v>
      </c>
      <c r="AF7" s="62">
        <f t="shared" si="2"/>
        <v>67</v>
      </c>
      <c r="AG7" s="62">
        <f t="shared" si="2"/>
        <v>420</v>
      </c>
      <c r="AH7" s="62">
        <f t="shared" si="2"/>
        <v>294</v>
      </c>
      <c r="AI7" s="62">
        <f t="shared" si="2"/>
        <v>420</v>
      </c>
      <c r="AJ7" s="62">
        <f t="shared" si="2"/>
        <v>112</v>
      </c>
      <c r="AL7" s="62" t="str">
        <f t="shared" si="3"/>
        <v>T1低2</v>
      </c>
      <c r="AM7" s="483">
        <f t="shared" si="4"/>
        <v>1120</v>
      </c>
      <c r="AN7" s="62">
        <f t="shared" si="4"/>
        <v>40</v>
      </c>
      <c r="AO7" s="62">
        <f t="shared" si="4"/>
        <v>460</v>
      </c>
      <c r="AP7" s="62">
        <f t="shared" si="4"/>
        <v>322</v>
      </c>
      <c r="AQ7" s="62">
        <f t="shared" si="4"/>
        <v>420</v>
      </c>
      <c r="AR7" s="62">
        <f t="shared" si="4"/>
        <v>112</v>
      </c>
      <c r="AS7" s="55"/>
      <c r="AT7" s="66" t="str">
        <f t="shared" si="5"/>
        <v>T1低2</v>
      </c>
      <c r="AU7" s="483">
        <f t="shared" si="6"/>
        <v>1120</v>
      </c>
      <c r="AV7" s="66">
        <f t="shared" si="6"/>
        <v>137</v>
      </c>
      <c r="AW7" s="66">
        <f t="shared" si="6"/>
        <v>500</v>
      </c>
      <c r="AX7" s="66">
        <f t="shared" si="6"/>
        <v>350</v>
      </c>
      <c r="AY7" s="66">
        <f t="shared" si="6"/>
        <v>420</v>
      </c>
      <c r="AZ7" s="66">
        <f t="shared" si="6"/>
        <v>112</v>
      </c>
      <c r="BA7" s="55"/>
      <c r="BB7" s="62" t="str">
        <f t="shared" si="7"/>
        <v>T1低2</v>
      </c>
      <c r="BC7" s="483">
        <f t="shared" si="8"/>
        <v>1232</v>
      </c>
      <c r="BD7" s="62">
        <f t="shared" si="8"/>
        <v>80</v>
      </c>
      <c r="BE7" s="62">
        <f t="shared" si="8"/>
        <v>400</v>
      </c>
      <c r="BF7" s="62">
        <f t="shared" si="8"/>
        <v>300</v>
      </c>
      <c r="BG7" s="62">
        <f t="shared" si="8"/>
        <v>504</v>
      </c>
      <c r="BH7" s="62">
        <f t="shared" si="8"/>
        <v>123</v>
      </c>
      <c r="BJ7" s="62" t="str">
        <f t="shared" si="9"/>
        <v>T1低2</v>
      </c>
      <c r="BK7" s="483">
        <f t="shared" si="10"/>
        <v>1232</v>
      </c>
      <c r="BL7" s="62">
        <f t="shared" si="10"/>
        <v>207</v>
      </c>
      <c r="BM7" s="62">
        <f t="shared" si="10"/>
        <v>460</v>
      </c>
      <c r="BN7" s="62">
        <f t="shared" si="10"/>
        <v>345</v>
      </c>
      <c r="BO7" s="62">
        <f t="shared" si="10"/>
        <v>504</v>
      </c>
      <c r="BP7" s="62">
        <f t="shared" si="10"/>
        <v>123</v>
      </c>
      <c r="BR7" s="62" t="str">
        <f t="shared" si="11"/>
        <v>T1低2</v>
      </c>
      <c r="BS7" s="483">
        <f t="shared" si="12"/>
        <v>1331</v>
      </c>
      <c r="BT7" s="62">
        <f t="shared" si="12"/>
        <v>207</v>
      </c>
      <c r="BU7" s="62">
        <f t="shared" si="12"/>
        <v>400</v>
      </c>
      <c r="BV7" s="62">
        <f t="shared" si="12"/>
        <v>320</v>
      </c>
      <c r="BW7" s="62">
        <f t="shared" si="12"/>
        <v>588</v>
      </c>
      <c r="BX7" s="62">
        <f t="shared" si="12"/>
        <v>133</v>
      </c>
      <c r="BZ7" s="62" t="str">
        <f t="shared" si="13"/>
        <v>T1低2</v>
      </c>
      <c r="CA7" s="483">
        <f t="shared" si="14"/>
        <v>1331</v>
      </c>
      <c r="CB7" s="62">
        <f t="shared" si="14"/>
        <v>275</v>
      </c>
      <c r="CC7" s="62">
        <f t="shared" si="14"/>
        <v>440</v>
      </c>
      <c r="CD7" s="62">
        <f t="shared" si="14"/>
        <v>352</v>
      </c>
      <c r="CE7" s="62">
        <f t="shared" si="14"/>
        <v>588</v>
      </c>
      <c r="CF7" s="62">
        <f t="shared" si="14"/>
        <v>133</v>
      </c>
      <c r="CG7" s="55"/>
      <c r="CH7" s="175" t="str">
        <f t="shared" si="15"/>
        <v>T3低3</v>
      </c>
      <c r="CI7" s="175" t="str">
        <f t="shared" si="15"/>
        <v>T3低4</v>
      </c>
      <c r="CJ7" s="62">
        <f t="shared" si="16"/>
        <v>640</v>
      </c>
      <c r="CK7" s="62">
        <f t="shared" si="16"/>
        <v>39</v>
      </c>
      <c r="CL7" s="62">
        <f t="shared" si="16"/>
        <v>240</v>
      </c>
      <c r="CM7" s="62">
        <f t="shared" si="16"/>
        <v>168</v>
      </c>
      <c r="CN7" s="62">
        <f t="shared" si="16"/>
        <v>240</v>
      </c>
      <c r="CO7" s="62">
        <f t="shared" si="16"/>
        <v>64</v>
      </c>
      <c r="CQ7" s="128" t="str">
        <f t="shared" si="17"/>
        <v>T3低3</v>
      </c>
      <c r="CR7" s="128" t="str">
        <f t="shared" si="18"/>
        <v>T3低4</v>
      </c>
      <c r="CS7" s="62">
        <f t="shared" si="19"/>
        <v>640</v>
      </c>
      <c r="CT7" s="62">
        <f t="shared" si="19"/>
        <v>22</v>
      </c>
      <c r="CU7" s="62">
        <f t="shared" si="19"/>
        <v>263</v>
      </c>
      <c r="CV7" s="62">
        <f t="shared" si="19"/>
        <v>184</v>
      </c>
      <c r="CW7" s="62">
        <f t="shared" si="19"/>
        <v>240</v>
      </c>
      <c r="CX7" s="62">
        <f t="shared" si="19"/>
        <v>64</v>
      </c>
      <c r="CY7" s="55"/>
      <c r="CZ7" s="128" t="str">
        <f t="shared" si="20"/>
        <v>T3低3</v>
      </c>
      <c r="DA7" s="128" t="str">
        <f t="shared" si="21"/>
        <v>T3低4</v>
      </c>
      <c r="DB7" s="66">
        <f t="shared" si="22"/>
        <v>640</v>
      </c>
      <c r="DC7" s="66">
        <f t="shared" si="22"/>
        <v>79</v>
      </c>
      <c r="DD7" s="66">
        <f t="shared" si="22"/>
        <v>285</v>
      </c>
      <c r="DE7" s="66">
        <f t="shared" si="22"/>
        <v>200</v>
      </c>
      <c r="DF7" s="66">
        <f t="shared" si="22"/>
        <v>240</v>
      </c>
      <c r="DG7" s="66">
        <f t="shared" si="22"/>
        <v>64</v>
      </c>
      <c r="DH7" s="55"/>
      <c r="DI7" s="128" t="str">
        <f t="shared" si="23"/>
        <v>T3低3</v>
      </c>
      <c r="DJ7" s="128" t="str">
        <f t="shared" si="24"/>
        <v>T3低4</v>
      </c>
      <c r="DK7" s="62">
        <f t="shared" si="25"/>
        <v>705</v>
      </c>
      <c r="DL7" s="62">
        <f t="shared" si="25"/>
        <v>45</v>
      </c>
      <c r="DM7" s="62">
        <f t="shared" si="25"/>
        <v>228</v>
      </c>
      <c r="DN7" s="62">
        <f t="shared" si="25"/>
        <v>172</v>
      </c>
      <c r="DO7" s="62">
        <f t="shared" si="25"/>
        <v>288</v>
      </c>
      <c r="DP7" s="62">
        <f t="shared" si="25"/>
        <v>70</v>
      </c>
      <c r="DR7" s="128" t="str">
        <f t="shared" si="26"/>
        <v>T3低3</v>
      </c>
      <c r="DS7" s="128" t="str">
        <f t="shared" si="27"/>
        <v>T3低4</v>
      </c>
      <c r="DT7" s="62">
        <f t="shared" si="28"/>
        <v>705</v>
      </c>
      <c r="DU7" s="62">
        <f t="shared" si="28"/>
        <v>119</v>
      </c>
      <c r="DV7" s="62">
        <f t="shared" si="28"/>
        <v>263</v>
      </c>
      <c r="DW7" s="62">
        <f t="shared" si="28"/>
        <v>197</v>
      </c>
      <c r="DX7" s="62">
        <f t="shared" si="28"/>
        <v>288</v>
      </c>
      <c r="DY7" s="62">
        <f t="shared" si="28"/>
        <v>70</v>
      </c>
      <c r="EA7" s="128" t="str">
        <f t="shared" si="29"/>
        <v>T3低3</v>
      </c>
      <c r="EB7" s="128" t="str">
        <f t="shared" si="30"/>
        <v>T3低4</v>
      </c>
      <c r="EC7" s="62">
        <f t="shared" si="31"/>
        <v>760</v>
      </c>
      <c r="ED7" s="62">
        <f t="shared" si="31"/>
        <v>119</v>
      </c>
      <c r="EE7" s="62">
        <f t="shared" si="31"/>
        <v>228</v>
      </c>
      <c r="EF7" s="62">
        <f t="shared" si="31"/>
        <v>183</v>
      </c>
      <c r="EG7" s="62">
        <f t="shared" si="31"/>
        <v>336</v>
      </c>
      <c r="EH7" s="62">
        <f t="shared" si="31"/>
        <v>76</v>
      </c>
      <c r="EJ7" s="128" t="str">
        <f t="shared" si="32"/>
        <v>T3低3</v>
      </c>
      <c r="EK7" s="128" t="str">
        <f t="shared" si="33"/>
        <v>T3低4</v>
      </c>
      <c r="EL7" s="62">
        <f t="shared" si="34"/>
        <v>760</v>
      </c>
      <c r="EM7" s="62">
        <f t="shared" si="34"/>
        <v>157</v>
      </c>
      <c r="EN7" s="62">
        <f t="shared" si="34"/>
        <v>252</v>
      </c>
      <c r="EO7" s="62">
        <f t="shared" si="34"/>
        <v>201</v>
      </c>
      <c r="EP7" s="62">
        <f t="shared" si="34"/>
        <v>336</v>
      </c>
      <c r="EQ7" s="62">
        <f t="shared" si="34"/>
        <v>76</v>
      </c>
    </row>
    <row r="8" spans="2:147" x14ac:dyDescent="0.35">
      <c r="B8" s="126" t="s">
        <v>781</v>
      </c>
      <c r="C8" s="175">
        <v>5</v>
      </c>
      <c r="D8" s="175">
        <v>6</v>
      </c>
      <c r="E8" s="175">
        <v>5</v>
      </c>
      <c r="F8" s="175">
        <v>7</v>
      </c>
      <c r="G8" s="175">
        <v>5</v>
      </c>
      <c r="H8" s="175">
        <v>7</v>
      </c>
      <c r="I8" s="710">
        <v>2</v>
      </c>
      <c r="J8" s="710">
        <v>2</v>
      </c>
      <c r="K8" s="710">
        <v>2</v>
      </c>
      <c r="L8" s="651">
        <f t="shared" si="0"/>
        <v>12</v>
      </c>
      <c r="M8" s="651">
        <f>((E8+1)+(F8+1))/2*(F8-E8+1)-1</f>
        <v>20</v>
      </c>
      <c r="N8" s="651">
        <f>((G8+1)+(H8+1))/2*(H8-G8+1)-1</f>
        <v>20</v>
      </c>
      <c r="O8" s="700">
        <f t="shared" si="35"/>
        <v>26</v>
      </c>
      <c r="P8" s="700">
        <f t="shared" si="37"/>
        <v>34</v>
      </c>
      <c r="Q8" s="700">
        <f t="shared" si="38"/>
        <v>34</v>
      </c>
      <c r="T8" s="55"/>
      <c r="Y8" s="62" t="s">
        <v>1009</v>
      </c>
      <c r="Z8" s="49">
        <f t="shared" si="36"/>
        <v>1.5</v>
      </c>
      <c r="AD8" s="62" t="str">
        <f t="shared" si="1"/>
        <v>T3低3</v>
      </c>
      <c r="AE8" s="483">
        <f t="shared" si="2"/>
        <v>1200</v>
      </c>
      <c r="AF8" s="62">
        <f t="shared" si="2"/>
        <v>71</v>
      </c>
      <c r="AG8" s="62">
        <f t="shared" si="2"/>
        <v>450</v>
      </c>
      <c r="AH8" s="62">
        <f t="shared" si="2"/>
        <v>315</v>
      </c>
      <c r="AI8" s="62">
        <f t="shared" si="2"/>
        <v>450</v>
      </c>
      <c r="AJ8" s="62">
        <f t="shared" si="2"/>
        <v>120</v>
      </c>
      <c r="AL8" s="62" t="str">
        <f t="shared" si="3"/>
        <v>T3低3</v>
      </c>
      <c r="AM8" s="483">
        <f t="shared" si="4"/>
        <v>1200</v>
      </c>
      <c r="AN8" s="62">
        <f t="shared" si="4"/>
        <v>43</v>
      </c>
      <c r="AO8" s="62">
        <f t="shared" si="4"/>
        <v>493</v>
      </c>
      <c r="AP8" s="62">
        <f t="shared" si="4"/>
        <v>345</v>
      </c>
      <c r="AQ8" s="62">
        <f t="shared" si="4"/>
        <v>450</v>
      </c>
      <c r="AR8" s="62">
        <f t="shared" si="4"/>
        <v>120</v>
      </c>
      <c r="AS8" s="55"/>
      <c r="AT8" s="66" t="str">
        <f t="shared" si="5"/>
        <v>T3低3</v>
      </c>
      <c r="AU8" s="483">
        <f t="shared" si="6"/>
        <v>1200</v>
      </c>
      <c r="AV8" s="66">
        <f t="shared" si="6"/>
        <v>146</v>
      </c>
      <c r="AW8" s="66">
        <f t="shared" si="6"/>
        <v>536</v>
      </c>
      <c r="AX8" s="66">
        <f t="shared" si="6"/>
        <v>375</v>
      </c>
      <c r="AY8" s="66">
        <f t="shared" si="6"/>
        <v>450</v>
      </c>
      <c r="AZ8" s="66">
        <f t="shared" si="6"/>
        <v>120</v>
      </c>
      <c r="BA8" s="55"/>
      <c r="BB8" s="62" t="str">
        <f t="shared" si="7"/>
        <v>T3低3</v>
      </c>
      <c r="BC8" s="483">
        <f t="shared" si="8"/>
        <v>1320</v>
      </c>
      <c r="BD8" s="62">
        <f t="shared" si="8"/>
        <v>86</v>
      </c>
      <c r="BE8" s="62">
        <f t="shared" si="8"/>
        <v>429</v>
      </c>
      <c r="BF8" s="62">
        <f t="shared" si="8"/>
        <v>321</v>
      </c>
      <c r="BG8" s="62">
        <f t="shared" si="8"/>
        <v>540</v>
      </c>
      <c r="BH8" s="62">
        <f t="shared" si="8"/>
        <v>132</v>
      </c>
      <c r="BJ8" s="62" t="str">
        <f t="shared" si="9"/>
        <v>T3低3</v>
      </c>
      <c r="BK8" s="483">
        <f t="shared" si="10"/>
        <v>1320</v>
      </c>
      <c r="BL8" s="62">
        <f t="shared" si="10"/>
        <v>222</v>
      </c>
      <c r="BM8" s="62">
        <f t="shared" si="10"/>
        <v>493</v>
      </c>
      <c r="BN8" s="62">
        <f t="shared" si="10"/>
        <v>370</v>
      </c>
      <c r="BO8" s="62">
        <f t="shared" si="10"/>
        <v>540</v>
      </c>
      <c r="BP8" s="62">
        <f t="shared" si="10"/>
        <v>132</v>
      </c>
      <c r="BR8" s="62" t="str">
        <f t="shared" si="11"/>
        <v>T3低3</v>
      </c>
      <c r="BS8" s="483">
        <f t="shared" si="12"/>
        <v>1426</v>
      </c>
      <c r="BT8" s="62">
        <f t="shared" si="12"/>
        <v>221</v>
      </c>
      <c r="BU8" s="62">
        <f t="shared" si="12"/>
        <v>429</v>
      </c>
      <c r="BV8" s="62">
        <f t="shared" si="12"/>
        <v>343</v>
      </c>
      <c r="BW8" s="62">
        <f t="shared" si="12"/>
        <v>630</v>
      </c>
      <c r="BX8" s="62">
        <f t="shared" si="12"/>
        <v>143</v>
      </c>
      <c r="BZ8" s="62" t="str">
        <f t="shared" si="13"/>
        <v>T3低3</v>
      </c>
      <c r="CA8" s="483">
        <f t="shared" si="14"/>
        <v>1426</v>
      </c>
      <c r="CB8" s="62">
        <f t="shared" si="14"/>
        <v>294</v>
      </c>
      <c r="CC8" s="62">
        <f t="shared" si="14"/>
        <v>471</v>
      </c>
      <c r="CD8" s="62">
        <f t="shared" si="14"/>
        <v>377</v>
      </c>
      <c r="CE8" s="62">
        <f t="shared" si="14"/>
        <v>630</v>
      </c>
      <c r="CF8" s="62">
        <f t="shared" si="14"/>
        <v>143</v>
      </c>
      <c r="CG8" s="55"/>
      <c r="CH8" s="175" t="str">
        <f t="shared" si="15"/>
        <v>T3中3</v>
      </c>
      <c r="CI8" s="175" t="str">
        <f t="shared" si="15"/>
        <v>T3中5</v>
      </c>
      <c r="CJ8" s="62">
        <f t="shared" si="16"/>
        <v>1180</v>
      </c>
      <c r="CK8" s="62">
        <f t="shared" si="16"/>
        <v>70</v>
      </c>
      <c r="CL8" s="62">
        <f t="shared" si="16"/>
        <v>442</v>
      </c>
      <c r="CM8" s="62">
        <f t="shared" si="16"/>
        <v>310</v>
      </c>
      <c r="CN8" s="62">
        <f t="shared" si="16"/>
        <v>442</v>
      </c>
      <c r="CO8" s="62">
        <f t="shared" si="16"/>
        <v>118</v>
      </c>
      <c r="CQ8" s="128" t="str">
        <f t="shared" si="17"/>
        <v>T3中3</v>
      </c>
      <c r="CR8" s="128" t="str">
        <f t="shared" si="18"/>
        <v>T3中5</v>
      </c>
      <c r="CS8" s="62">
        <f t="shared" si="19"/>
        <v>1180</v>
      </c>
      <c r="CT8" s="62">
        <f t="shared" si="19"/>
        <v>42</v>
      </c>
      <c r="CU8" s="62">
        <f t="shared" si="19"/>
        <v>484</v>
      </c>
      <c r="CV8" s="62">
        <f t="shared" si="19"/>
        <v>340</v>
      </c>
      <c r="CW8" s="62">
        <f t="shared" si="19"/>
        <v>442</v>
      </c>
      <c r="CX8" s="62">
        <f t="shared" si="19"/>
        <v>118</v>
      </c>
      <c r="CY8" s="55"/>
      <c r="CZ8" s="128" t="str">
        <f t="shared" si="20"/>
        <v>T3中3</v>
      </c>
      <c r="DA8" s="128" t="str">
        <f t="shared" si="21"/>
        <v>T3中5</v>
      </c>
      <c r="DB8" s="66">
        <f t="shared" si="22"/>
        <v>1180</v>
      </c>
      <c r="DC8" s="66">
        <f t="shared" si="22"/>
        <v>144</v>
      </c>
      <c r="DD8" s="66">
        <f t="shared" si="22"/>
        <v>527</v>
      </c>
      <c r="DE8" s="66">
        <f t="shared" si="22"/>
        <v>369</v>
      </c>
      <c r="DF8" s="66">
        <f t="shared" si="22"/>
        <v>442</v>
      </c>
      <c r="DG8" s="66">
        <f t="shared" si="22"/>
        <v>118</v>
      </c>
      <c r="DH8" s="55"/>
      <c r="DI8" s="128" t="str">
        <f t="shared" si="23"/>
        <v>T3中3</v>
      </c>
      <c r="DJ8" s="128" t="str">
        <f t="shared" si="24"/>
        <v>T3中5</v>
      </c>
      <c r="DK8" s="62">
        <f t="shared" si="25"/>
        <v>1299</v>
      </c>
      <c r="DL8" s="62">
        <f t="shared" si="25"/>
        <v>84</v>
      </c>
      <c r="DM8" s="62">
        <f t="shared" si="25"/>
        <v>422</v>
      </c>
      <c r="DN8" s="62">
        <f t="shared" si="25"/>
        <v>316</v>
      </c>
      <c r="DO8" s="62">
        <f t="shared" si="25"/>
        <v>531</v>
      </c>
      <c r="DP8" s="62">
        <f t="shared" si="25"/>
        <v>130</v>
      </c>
      <c r="DR8" s="128" t="str">
        <f t="shared" si="26"/>
        <v>T3中3</v>
      </c>
      <c r="DS8" s="128" t="str">
        <f t="shared" si="27"/>
        <v>T3中5</v>
      </c>
      <c r="DT8" s="62">
        <f t="shared" si="28"/>
        <v>1299</v>
      </c>
      <c r="DU8" s="62">
        <f t="shared" si="28"/>
        <v>218</v>
      </c>
      <c r="DV8" s="62">
        <f t="shared" si="28"/>
        <v>484</v>
      </c>
      <c r="DW8" s="62">
        <f t="shared" si="28"/>
        <v>363</v>
      </c>
      <c r="DX8" s="62">
        <f t="shared" si="28"/>
        <v>531</v>
      </c>
      <c r="DY8" s="62">
        <f t="shared" si="28"/>
        <v>130</v>
      </c>
      <c r="EA8" s="128" t="str">
        <f t="shared" si="29"/>
        <v>T3中3</v>
      </c>
      <c r="EB8" s="128" t="str">
        <f t="shared" si="30"/>
        <v>T3中5</v>
      </c>
      <c r="EC8" s="62">
        <f t="shared" si="31"/>
        <v>1401</v>
      </c>
      <c r="ED8" s="62">
        <f t="shared" si="31"/>
        <v>218</v>
      </c>
      <c r="EE8" s="62">
        <f t="shared" si="31"/>
        <v>422</v>
      </c>
      <c r="EF8" s="62">
        <f t="shared" si="31"/>
        <v>337</v>
      </c>
      <c r="EG8" s="62">
        <f t="shared" si="31"/>
        <v>619</v>
      </c>
      <c r="EH8" s="62">
        <f t="shared" si="31"/>
        <v>140</v>
      </c>
      <c r="EJ8" s="128" t="str">
        <f t="shared" si="32"/>
        <v>T3中3</v>
      </c>
      <c r="EK8" s="128" t="str">
        <f t="shared" si="33"/>
        <v>T3中5</v>
      </c>
      <c r="EL8" s="62">
        <f t="shared" si="34"/>
        <v>1401</v>
      </c>
      <c r="EM8" s="62">
        <f t="shared" si="34"/>
        <v>289</v>
      </c>
      <c r="EN8" s="62">
        <f t="shared" si="34"/>
        <v>463</v>
      </c>
      <c r="EO8" s="62">
        <f t="shared" si="34"/>
        <v>371</v>
      </c>
      <c r="EP8" s="62">
        <f t="shared" si="34"/>
        <v>619</v>
      </c>
      <c r="EQ8" s="62">
        <f t="shared" si="34"/>
        <v>140</v>
      </c>
    </row>
    <row r="9" spans="2:147" x14ac:dyDescent="0.35">
      <c r="B9" s="127" t="s">
        <v>782</v>
      </c>
      <c r="C9" s="175">
        <v>6</v>
      </c>
      <c r="D9" s="175">
        <v>8</v>
      </c>
      <c r="E9" s="175">
        <v>6</v>
      </c>
      <c r="F9" s="175">
        <v>8</v>
      </c>
      <c r="G9" s="175">
        <v>6</v>
      </c>
      <c r="H9" s="175">
        <v>8</v>
      </c>
      <c r="I9" s="710">
        <v>2</v>
      </c>
      <c r="J9" s="710">
        <v>2</v>
      </c>
      <c r="K9" s="710">
        <v>2</v>
      </c>
      <c r="L9" s="651">
        <f t="shared" si="0"/>
        <v>23</v>
      </c>
      <c r="M9" s="651">
        <f>((E9+1)+(F9+1))/2*(F9-E9+1)-1</f>
        <v>23</v>
      </c>
      <c r="N9" s="651">
        <f>((G9+1)+(H9+1))/2*(H9-G9+1)-1</f>
        <v>23</v>
      </c>
      <c r="O9" s="700">
        <f t="shared" si="35"/>
        <v>43</v>
      </c>
      <c r="P9" s="700">
        <f t="shared" si="37"/>
        <v>43</v>
      </c>
      <c r="Q9" s="700">
        <f t="shared" si="38"/>
        <v>43</v>
      </c>
      <c r="R9" s="55"/>
      <c r="S9" s="55"/>
      <c r="T9" s="55"/>
      <c r="Y9" s="62" t="s">
        <v>1018</v>
      </c>
      <c r="Z9" s="49">
        <f t="shared" si="36"/>
        <v>1.5449999999999999</v>
      </c>
      <c r="AD9" s="62" t="str">
        <f t="shared" si="1"/>
        <v>T3中3</v>
      </c>
      <c r="AE9" s="483">
        <f t="shared" si="2"/>
        <v>1236</v>
      </c>
      <c r="AF9" s="62">
        <f t="shared" si="2"/>
        <v>74</v>
      </c>
      <c r="AG9" s="62">
        <f t="shared" si="2"/>
        <v>464</v>
      </c>
      <c r="AH9" s="62">
        <f t="shared" si="2"/>
        <v>324</v>
      </c>
      <c r="AI9" s="62">
        <f t="shared" si="2"/>
        <v>464</v>
      </c>
      <c r="AJ9" s="62">
        <f t="shared" si="2"/>
        <v>124</v>
      </c>
      <c r="AL9" s="62" t="str">
        <f t="shared" si="3"/>
        <v>T3中3</v>
      </c>
      <c r="AM9" s="483">
        <f t="shared" si="4"/>
        <v>1236</v>
      </c>
      <c r="AN9" s="62">
        <f t="shared" si="4"/>
        <v>44</v>
      </c>
      <c r="AO9" s="62">
        <f t="shared" si="4"/>
        <v>508</v>
      </c>
      <c r="AP9" s="62">
        <f t="shared" si="4"/>
        <v>355</v>
      </c>
      <c r="AQ9" s="62">
        <f t="shared" si="4"/>
        <v>464</v>
      </c>
      <c r="AR9" s="62">
        <f t="shared" si="4"/>
        <v>124</v>
      </c>
      <c r="AS9" s="55"/>
      <c r="AT9" s="66" t="str">
        <f t="shared" si="5"/>
        <v>T3中3</v>
      </c>
      <c r="AU9" s="483">
        <f t="shared" si="6"/>
        <v>1236</v>
      </c>
      <c r="AV9" s="66">
        <f t="shared" si="6"/>
        <v>151</v>
      </c>
      <c r="AW9" s="66">
        <f t="shared" si="6"/>
        <v>552</v>
      </c>
      <c r="AX9" s="66">
        <f t="shared" si="6"/>
        <v>386</v>
      </c>
      <c r="AY9" s="66">
        <f t="shared" si="6"/>
        <v>464</v>
      </c>
      <c r="AZ9" s="66">
        <f t="shared" si="6"/>
        <v>124</v>
      </c>
      <c r="BA9" s="55"/>
      <c r="BB9" s="62" t="str">
        <f t="shared" si="7"/>
        <v>T3中3</v>
      </c>
      <c r="BC9" s="483">
        <f t="shared" si="8"/>
        <v>1360</v>
      </c>
      <c r="BD9" s="62">
        <f t="shared" si="8"/>
        <v>88</v>
      </c>
      <c r="BE9" s="62">
        <f t="shared" si="8"/>
        <v>441</v>
      </c>
      <c r="BF9" s="62">
        <f t="shared" si="8"/>
        <v>331</v>
      </c>
      <c r="BG9" s="62">
        <f t="shared" si="8"/>
        <v>556</v>
      </c>
      <c r="BH9" s="62">
        <f t="shared" si="8"/>
        <v>136</v>
      </c>
      <c r="BJ9" s="62" t="str">
        <f t="shared" si="9"/>
        <v>T3中3</v>
      </c>
      <c r="BK9" s="483">
        <f t="shared" si="10"/>
        <v>1360</v>
      </c>
      <c r="BL9" s="62">
        <f t="shared" si="10"/>
        <v>229</v>
      </c>
      <c r="BM9" s="62">
        <f t="shared" si="10"/>
        <v>508</v>
      </c>
      <c r="BN9" s="62">
        <f t="shared" si="10"/>
        <v>381</v>
      </c>
      <c r="BO9" s="62">
        <f t="shared" si="10"/>
        <v>556</v>
      </c>
      <c r="BP9" s="62">
        <f t="shared" si="10"/>
        <v>136</v>
      </c>
      <c r="BR9" s="62" t="str">
        <f t="shared" si="11"/>
        <v>T3中3</v>
      </c>
      <c r="BS9" s="483">
        <f t="shared" si="12"/>
        <v>1469</v>
      </c>
      <c r="BT9" s="62">
        <f t="shared" si="12"/>
        <v>228</v>
      </c>
      <c r="BU9" s="62">
        <f t="shared" si="12"/>
        <v>441</v>
      </c>
      <c r="BV9" s="62">
        <f t="shared" si="12"/>
        <v>353</v>
      </c>
      <c r="BW9" s="62">
        <f t="shared" si="12"/>
        <v>649</v>
      </c>
      <c r="BX9" s="62">
        <f t="shared" si="12"/>
        <v>147</v>
      </c>
      <c r="BZ9" s="62" t="str">
        <f t="shared" si="13"/>
        <v>T3中3</v>
      </c>
      <c r="CA9" s="483">
        <f t="shared" si="14"/>
        <v>1469</v>
      </c>
      <c r="CB9" s="62">
        <f t="shared" si="14"/>
        <v>303</v>
      </c>
      <c r="CC9" s="62">
        <f t="shared" si="14"/>
        <v>486</v>
      </c>
      <c r="CD9" s="62">
        <f t="shared" si="14"/>
        <v>388</v>
      </c>
      <c r="CE9" s="62">
        <f t="shared" si="14"/>
        <v>649</v>
      </c>
      <c r="CF9" s="62">
        <f t="shared" si="14"/>
        <v>147</v>
      </c>
      <c r="CG9" s="55"/>
      <c r="CH9" s="175" t="str">
        <f t="shared" si="15"/>
        <v>T3高3</v>
      </c>
      <c r="CI9" s="175" t="str">
        <f t="shared" si="15"/>
        <v>T3高5</v>
      </c>
      <c r="CJ9" s="62">
        <f t="shared" si="16"/>
        <v>1280</v>
      </c>
      <c r="CK9" s="62">
        <f t="shared" si="16"/>
        <v>76</v>
      </c>
      <c r="CL9" s="62">
        <f t="shared" si="16"/>
        <v>480</v>
      </c>
      <c r="CM9" s="62">
        <f t="shared" si="16"/>
        <v>336</v>
      </c>
      <c r="CN9" s="62">
        <f t="shared" si="16"/>
        <v>480</v>
      </c>
      <c r="CO9" s="62">
        <f t="shared" si="16"/>
        <v>128</v>
      </c>
      <c r="CQ9" s="128" t="str">
        <f t="shared" si="17"/>
        <v>T3高3</v>
      </c>
      <c r="CR9" s="128" t="str">
        <f t="shared" si="18"/>
        <v>T3高5</v>
      </c>
      <c r="CS9" s="62">
        <f t="shared" si="19"/>
        <v>1280</v>
      </c>
      <c r="CT9" s="62">
        <f t="shared" si="19"/>
        <v>46</v>
      </c>
      <c r="CU9" s="62">
        <f t="shared" si="19"/>
        <v>526</v>
      </c>
      <c r="CV9" s="62">
        <f t="shared" si="19"/>
        <v>368</v>
      </c>
      <c r="CW9" s="62">
        <f t="shared" si="19"/>
        <v>480</v>
      </c>
      <c r="CX9" s="62">
        <f t="shared" si="19"/>
        <v>128</v>
      </c>
      <c r="CY9" s="55"/>
      <c r="CZ9" s="128" t="str">
        <f t="shared" si="20"/>
        <v>T3高3</v>
      </c>
      <c r="DA9" s="128" t="str">
        <f t="shared" si="21"/>
        <v>T3高5</v>
      </c>
      <c r="DB9" s="66">
        <f t="shared" si="22"/>
        <v>1280</v>
      </c>
      <c r="DC9" s="66">
        <f t="shared" si="22"/>
        <v>156</v>
      </c>
      <c r="DD9" s="66">
        <f t="shared" si="22"/>
        <v>571</v>
      </c>
      <c r="DE9" s="66">
        <f t="shared" si="22"/>
        <v>400</v>
      </c>
      <c r="DF9" s="66">
        <f t="shared" si="22"/>
        <v>480</v>
      </c>
      <c r="DG9" s="66">
        <f t="shared" si="22"/>
        <v>128</v>
      </c>
      <c r="DH9" s="55"/>
      <c r="DI9" s="128" t="str">
        <f t="shared" si="23"/>
        <v>T3高3</v>
      </c>
      <c r="DJ9" s="128" t="str">
        <f t="shared" si="24"/>
        <v>T3高5</v>
      </c>
      <c r="DK9" s="62">
        <f t="shared" si="25"/>
        <v>1409</v>
      </c>
      <c r="DL9" s="62">
        <f t="shared" si="25"/>
        <v>92</v>
      </c>
      <c r="DM9" s="62">
        <f t="shared" si="25"/>
        <v>457</v>
      </c>
      <c r="DN9" s="62">
        <f t="shared" si="25"/>
        <v>343</v>
      </c>
      <c r="DO9" s="62">
        <f t="shared" si="25"/>
        <v>576</v>
      </c>
      <c r="DP9" s="62">
        <f t="shared" si="25"/>
        <v>140</v>
      </c>
      <c r="DR9" s="128" t="str">
        <f t="shared" si="26"/>
        <v>T3高3</v>
      </c>
      <c r="DS9" s="128" t="str">
        <f t="shared" si="27"/>
        <v>T3高5</v>
      </c>
      <c r="DT9" s="62">
        <f t="shared" si="28"/>
        <v>1409</v>
      </c>
      <c r="DU9" s="62">
        <f t="shared" si="28"/>
        <v>237</v>
      </c>
      <c r="DV9" s="62">
        <f t="shared" si="28"/>
        <v>526</v>
      </c>
      <c r="DW9" s="62">
        <f t="shared" si="28"/>
        <v>395</v>
      </c>
      <c r="DX9" s="62">
        <f t="shared" si="28"/>
        <v>576</v>
      </c>
      <c r="DY9" s="62">
        <f t="shared" si="28"/>
        <v>140</v>
      </c>
      <c r="EA9" s="128" t="str">
        <f t="shared" si="29"/>
        <v>T3高3</v>
      </c>
      <c r="EB9" s="128" t="str">
        <f t="shared" si="30"/>
        <v>T3高5</v>
      </c>
      <c r="EC9" s="62">
        <f t="shared" si="31"/>
        <v>1521</v>
      </c>
      <c r="ED9" s="62">
        <f t="shared" si="31"/>
        <v>236</v>
      </c>
      <c r="EE9" s="62">
        <f t="shared" si="31"/>
        <v>457</v>
      </c>
      <c r="EF9" s="62">
        <f t="shared" si="31"/>
        <v>366</v>
      </c>
      <c r="EG9" s="62">
        <f t="shared" si="31"/>
        <v>672</v>
      </c>
      <c r="EH9" s="62">
        <f t="shared" si="31"/>
        <v>152</v>
      </c>
      <c r="EJ9" s="128" t="str">
        <f t="shared" si="32"/>
        <v>T3高3</v>
      </c>
      <c r="EK9" s="128" t="str">
        <f t="shared" si="33"/>
        <v>T3高5</v>
      </c>
      <c r="EL9" s="62">
        <f t="shared" si="34"/>
        <v>1521</v>
      </c>
      <c r="EM9" s="62">
        <f t="shared" si="34"/>
        <v>314</v>
      </c>
      <c r="EN9" s="62">
        <f t="shared" si="34"/>
        <v>503</v>
      </c>
      <c r="EO9" s="62">
        <f t="shared" si="34"/>
        <v>403</v>
      </c>
      <c r="EP9" s="62">
        <f t="shared" si="34"/>
        <v>672</v>
      </c>
      <c r="EQ9" s="62">
        <f t="shared" si="34"/>
        <v>152</v>
      </c>
    </row>
    <row r="10" spans="2:147" x14ac:dyDescent="0.35">
      <c r="Y10" s="62" t="s">
        <v>1025</v>
      </c>
      <c r="Z10" s="49">
        <f t="shared" si="36"/>
        <v>1.62</v>
      </c>
      <c r="AD10" s="62" t="str">
        <f t="shared" si="1"/>
        <v>T3高3</v>
      </c>
      <c r="AE10" s="483">
        <f t="shared" si="2"/>
        <v>1296</v>
      </c>
      <c r="AF10" s="62">
        <f t="shared" si="2"/>
        <v>77</v>
      </c>
      <c r="AG10" s="62">
        <f t="shared" si="2"/>
        <v>486</v>
      </c>
      <c r="AH10" s="62">
        <f t="shared" si="2"/>
        <v>340</v>
      </c>
      <c r="AI10" s="62">
        <f t="shared" si="2"/>
        <v>486</v>
      </c>
      <c r="AJ10" s="62">
        <f t="shared" si="2"/>
        <v>130</v>
      </c>
      <c r="AL10" s="62" t="str">
        <f t="shared" si="3"/>
        <v>T3高3</v>
      </c>
      <c r="AM10" s="483">
        <f t="shared" si="4"/>
        <v>1296</v>
      </c>
      <c r="AN10" s="62">
        <f t="shared" si="4"/>
        <v>46</v>
      </c>
      <c r="AO10" s="62">
        <f t="shared" si="4"/>
        <v>532</v>
      </c>
      <c r="AP10" s="62">
        <f t="shared" si="4"/>
        <v>373</v>
      </c>
      <c r="AQ10" s="62">
        <f t="shared" si="4"/>
        <v>486</v>
      </c>
      <c r="AR10" s="62">
        <f t="shared" si="4"/>
        <v>130</v>
      </c>
      <c r="AS10" s="55"/>
      <c r="AT10" s="66" t="str">
        <f t="shared" si="5"/>
        <v>T3高3</v>
      </c>
      <c r="AU10" s="483">
        <f t="shared" si="6"/>
        <v>1296</v>
      </c>
      <c r="AV10" s="66">
        <f t="shared" si="6"/>
        <v>158</v>
      </c>
      <c r="AW10" s="66">
        <f t="shared" si="6"/>
        <v>579</v>
      </c>
      <c r="AX10" s="66">
        <f t="shared" si="6"/>
        <v>405</v>
      </c>
      <c r="AY10" s="66">
        <f t="shared" si="6"/>
        <v>486</v>
      </c>
      <c r="AZ10" s="66">
        <f t="shared" si="6"/>
        <v>130</v>
      </c>
      <c r="BA10" s="55"/>
      <c r="BB10" s="62" t="str">
        <f t="shared" si="7"/>
        <v>T3高3</v>
      </c>
      <c r="BC10" s="483">
        <f t="shared" si="8"/>
        <v>1426</v>
      </c>
      <c r="BD10" s="62">
        <f t="shared" si="8"/>
        <v>92</v>
      </c>
      <c r="BE10" s="62">
        <f t="shared" si="8"/>
        <v>463</v>
      </c>
      <c r="BF10" s="62">
        <f t="shared" si="8"/>
        <v>347</v>
      </c>
      <c r="BG10" s="62">
        <f t="shared" si="8"/>
        <v>583</v>
      </c>
      <c r="BH10" s="62">
        <f t="shared" si="8"/>
        <v>143</v>
      </c>
      <c r="BJ10" s="62" t="str">
        <f t="shared" si="9"/>
        <v>T3高3</v>
      </c>
      <c r="BK10" s="483">
        <f t="shared" si="10"/>
        <v>1426</v>
      </c>
      <c r="BL10" s="62">
        <f t="shared" si="10"/>
        <v>240</v>
      </c>
      <c r="BM10" s="62">
        <f t="shared" si="10"/>
        <v>532</v>
      </c>
      <c r="BN10" s="62">
        <f t="shared" si="10"/>
        <v>399</v>
      </c>
      <c r="BO10" s="62">
        <f t="shared" si="10"/>
        <v>583</v>
      </c>
      <c r="BP10" s="62">
        <f t="shared" si="10"/>
        <v>143</v>
      </c>
      <c r="BR10" s="62" t="str">
        <f t="shared" si="11"/>
        <v>T3高3</v>
      </c>
      <c r="BS10" s="483">
        <f t="shared" si="12"/>
        <v>1540</v>
      </c>
      <c r="BT10" s="62">
        <f t="shared" si="12"/>
        <v>239</v>
      </c>
      <c r="BU10" s="62">
        <f t="shared" si="12"/>
        <v>463</v>
      </c>
      <c r="BV10" s="62">
        <f t="shared" si="12"/>
        <v>370</v>
      </c>
      <c r="BW10" s="62">
        <f t="shared" si="12"/>
        <v>680</v>
      </c>
      <c r="BX10" s="62">
        <f t="shared" si="12"/>
        <v>154</v>
      </c>
      <c r="BZ10" s="62" t="str">
        <f t="shared" si="13"/>
        <v>T3高3</v>
      </c>
      <c r="CA10" s="483">
        <f t="shared" si="14"/>
        <v>1540</v>
      </c>
      <c r="CB10" s="62">
        <f t="shared" si="14"/>
        <v>318</v>
      </c>
      <c r="CC10" s="62">
        <f t="shared" si="14"/>
        <v>509</v>
      </c>
      <c r="CD10" s="62">
        <f t="shared" si="14"/>
        <v>407</v>
      </c>
      <c r="CE10" s="62">
        <f t="shared" si="14"/>
        <v>680</v>
      </c>
      <c r="CF10" s="62">
        <f t="shared" si="14"/>
        <v>154</v>
      </c>
      <c r="CG10" s="55"/>
      <c r="CH10" s="175" t="str">
        <f t="shared" ref="CH10:CH11" si="39">F19</f>
        <v>T4低4</v>
      </c>
      <c r="CI10" s="175" t="str">
        <f t="shared" ref="CI10:CI11" si="40">G19</f>
        <v>T4低5</v>
      </c>
      <c r="CJ10" s="62">
        <f t="shared" si="16"/>
        <v>800</v>
      </c>
      <c r="CK10" s="62">
        <f t="shared" si="16"/>
        <v>48</v>
      </c>
      <c r="CL10" s="62">
        <f t="shared" si="16"/>
        <v>300</v>
      </c>
      <c r="CM10" s="62">
        <f t="shared" si="16"/>
        <v>210</v>
      </c>
      <c r="CN10" s="62">
        <f t="shared" si="16"/>
        <v>300</v>
      </c>
      <c r="CO10" s="62">
        <f t="shared" si="16"/>
        <v>80</v>
      </c>
      <c r="CQ10" s="128" t="str">
        <f t="shared" si="17"/>
        <v>T4低4</v>
      </c>
      <c r="CR10" s="128" t="str">
        <f t="shared" si="18"/>
        <v>T4低5</v>
      </c>
      <c r="CS10" s="62">
        <f t="shared" si="19"/>
        <v>800</v>
      </c>
      <c r="CT10" s="62">
        <f t="shared" si="19"/>
        <v>28</v>
      </c>
      <c r="CU10" s="62">
        <f t="shared" si="19"/>
        <v>329</v>
      </c>
      <c r="CV10" s="62">
        <f t="shared" si="19"/>
        <v>230</v>
      </c>
      <c r="CW10" s="62">
        <f t="shared" si="19"/>
        <v>300</v>
      </c>
      <c r="CX10" s="62">
        <f t="shared" si="19"/>
        <v>80</v>
      </c>
      <c r="CY10" s="55"/>
      <c r="CZ10" s="128" t="str">
        <f t="shared" si="20"/>
        <v>T4低4</v>
      </c>
      <c r="DA10" s="128" t="str">
        <f t="shared" si="21"/>
        <v>T4低5</v>
      </c>
      <c r="DB10" s="66">
        <f t="shared" si="22"/>
        <v>800</v>
      </c>
      <c r="DC10" s="66">
        <f t="shared" si="22"/>
        <v>98</v>
      </c>
      <c r="DD10" s="66">
        <f t="shared" si="22"/>
        <v>357</v>
      </c>
      <c r="DE10" s="66">
        <f t="shared" si="22"/>
        <v>250</v>
      </c>
      <c r="DF10" s="66">
        <f t="shared" si="22"/>
        <v>300</v>
      </c>
      <c r="DG10" s="66">
        <f t="shared" si="22"/>
        <v>80</v>
      </c>
      <c r="DH10" s="55"/>
      <c r="DI10" s="128" t="str">
        <f t="shared" si="23"/>
        <v>T4低4</v>
      </c>
      <c r="DJ10" s="128" t="str">
        <f t="shared" si="24"/>
        <v>T4低5</v>
      </c>
      <c r="DK10" s="62">
        <f t="shared" si="25"/>
        <v>880</v>
      </c>
      <c r="DL10" s="62">
        <f t="shared" si="25"/>
        <v>57</v>
      </c>
      <c r="DM10" s="62">
        <f t="shared" si="25"/>
        <v>286</v>
      </c>
      <c r="DN10" s="62">
        <f t="shared" si="25"/>
        <v>214</v>
      </c>
      <c r="DO10" s="62">
        <f t="shared" si="25"/>
        <v>360</v>
      </c>
      <c r="DP10" s="62">
        <f t="shared" si="25"/>
        <v>88</v>
      </c>
      <c r="DR10" s="128" t="str">
        <f t="shared" si="26"/>
        <v>T4低4</v>
      </c>
      <c r="DS10" s="128" t="str">
        <f t="shared" si="27"/>
        <v>T4低5</v>
      </c>
      <c r="DT10" s="62">
        <f t="shared" si="28"/>
        <v>880</v>
      </c>
      <c r="DU10" s="62">
        <f t="shared" si="28"/>
        <v>148</v>
      </c>
      <c r="DV10" s="62">
        <f t="shared" si="28"/>
        <v>329</v>
      </c>
      <c r="DW10" s="62">
        <f t="shared" si="28"/>
        <v>247</v>
      </c>
      <c r="DX10" s="62">
        <f t="shared" si="28"/>
        <v>360</v>
      </c>
      <c r="DY10" s="62">
        <f t="shared" si="28"/>
        <v>88</v>
      </c>
      <c r="EA10" s="128" t="str">
        <f t="shared" si="29"/>
        <v>T4低4</v>
      </c>
      <c r="EB10" s="128" t="str">
        <f t="shared" si="30"/>
        <v>T4低5</v>
      </c>
      <c r="EC10" s="62">
        <f t="shared" si="31"/>
        <v>950</v>
      </c>
      <c r="ED10" s="62">
        <f t="shared" si="31"/>
        <v>147</v>
      </c>
      <c r="EE10" s="62">
        <f t="shared" si="31"/>
        <v>286</v>
      </c>
      <c r="EF10" s="62">
        <f t="shared" si="31"/>
        <v>229</v>
      </c>
      <c r="EG10" s="62">
        <f t="shared" si="31"/>
        <v>420</v>
      </c>
      <c r="EH10" s="62">
        <f t="shared" si="31"/>
        <v>95</v>
      </c>
      <c r="EJ10" s="128" t="str">
        <f t="shared" si="32"/>
        <v>T4低4</v>
      </c>
      <c r="EK10" s="128" t="str">
        <f t="shared" si="33"/>
        <v>T4低5</v>
      </c>
      <c r="EL10" s="62">
        <f t="shared" si="34"/>
        <v>950</v>
      </c>
      <c r="EM10" s="62">
        <f t="shared" si="34"/>
        <v>196</v>
      </c>
      <c r="EN10" s="62">
        <f t="shared" si="34"/>
        <v>314</v>
      </c>
      <c r="EO10" s="62">
        <f t="shared" si="34"/>
        <v>251</v>
      </c>
      <c r="EP10" s="62">
        <f t="shared" si="34"/>
        <v>420</v>
      </c>
      <c r="EQ10" s="62">
        <f t="shared" si="34"/>
        <v>95</v>
      </c>
    </row>
    <row r="11" spans="2:147" x14ac:dyDescent="0.35">
      <c r="B11" s="760" t="s">
        <v>588</v>
      </c>
      <c r="C11" s="760"/>
      <c r="D11" s="760"/>
      <c r="E11" s="760"/>
      <c r="F11" s="760"/>
      <c r="G11" s="760"/>
      <c r="H11" s="760"/>
      <c r="I11" s="760"/>
      <c r="J11" s="760"/>
      <c r="K11" s="760"/>
      <c r="P11" s="793" t="s">
        <v>724</v>
      </c>
      <c r="Q11" s="793"/>
      <c r="R11" s="793"/>
      <c r="S11" s="793"/>
      <c r="T11" s="793"/>
      <c r="U11" s="793"/>
      <c r="Y11" s="62" t="s">
        <v>998</v>
      </c>
      <c r="Z11" s="49">
        <f t="shared" si="36"/>
        <v>1.8</v>
      </c>
      <c r="AD11" s="62" t="str">
        <f t="shared" si="1"/>
        <v>T2低3</v>
      </c>
      <c r="AE11" s="483">
        <f t="shared" si="2"/>
        <v>1440</v>
      </c>
      <c r="AF11" s="62">
        <f t="shared" si="2"/>
        <v>86</v>
      </c>
      <c r="AG11" s="62">
        <f t="shared" si="2"/>
        <v>540</v>
      </c>
      <c r="AH11" s="62">
        <f t="shared" si="2"/>
        <v>378</v>
      </c>
      <c r="AI11" s="62">
        <f t="shared" si="2"/>
        <v>540</v>
      </c>
      <c r="AJ11" s="62">
        <f t="shared" si="2"/>
        <v>144</v>
      </c>
      <c r="AL11" s="62" t="str">
        <f t="shared" si="3"/>
        <v>T2低3</v>
      </c>
      <c r="AM11" s="483">
        <f t="shared" si="4"/>
        <v>1440</v>
      </c>
      <c r="AN11" s="62">
        <f t="shared" si="4"/>
        <v>51</v>
      </c>
      <c r="AO11" s="62">
        <f t="shared" si="4"/>
        <v>591</v>
      </c>
      <c r="AP11" s="62">
        <f t="shared" si="4"/>
        <v>414</v>
      </c>
      <c r="AQ11" s="62">
        <f t="shared" si="4"/>
        <v>540</v>
      </c>
      <c r="AR11" s="62">
        <f t="shared" si="4"/>
        <v>144</v>
      </c>
      <c r="AS11" s="55"/>
      <c r="AT11" s="66" t="str">
        <f t="shared" si="5"/>
        <v>T2低3</v>
      </c>
      <c r="AU11" s="483">
        <f t="shared" si="6"/>
        <v>1440</v>
      </c>
      <c r="AV11" s="66">
        <f t="shared" si="6"/>
        <v>176</v>
      </c>
      <c r="AW11" s="66">
        <f t="shared" si="6"/>
        <v>643</v>
      </c>
      <c r="AX11" s="66">
        <f t="shared" si="6"/>
        <v>450</v>
      </c>
      <c r="AY11" s="66">
        <f t="shared" si="6"/>
        <v>540</v>
      </c>
      <c r="AZ11" s="66">
        <f t="shared" si="6"/>
        <v>144</v>
      </c>
      <c r="BA11" s="55"/>
      <c r="BB11" s="62" t="str">
        <f t="shared" si="7"/>
        <v>T2低3</v>
      </c>
      <c r="BC11" s="483">
        <f t="shared" si="8"/>
        <v>1585</v>
      </c>
      <c r="BD11" s="62">
        <f t="shared" si="8"/>
        <v>103</v>
      </c>
      <c r="BE11" s="62">
        <f t="shared" si="8"/>
        <v>514</v>
      </c>
      <c r="BF11" s="62">
        <f t="shared" si="8"/>
        <v>386</v>
      </c>
      <c r="BG11" s="62">
        <f t="shared" si="8"/>
        <v>648</v>
      </c>
      <c r="BH11" s="62">
        <f t="shared" si="8"/>
        <v>158</v>
      </c>
      <c r="BJ11" s="62" t="str">
        <f t="shared" si="9"/>
        <v>T2低3</v>
      </c>
      <c r="BK11" s="483">
        <f t="shared" si="10"/>
        <v>1585</v>
      </c>
      <c r="BL11" s="62">
        <f t="shared" si="10"/>
        <v>267</v>
      </c>
      <c r="BM11" s="62">
        <f t="shared" si="10"/>
        <v>591</v>
      </c>
      <c r="BN11" s="62">
        <f t="shared" si="10"/>
        <v>444</v>
      </c>
      <c r="BO11" s="62">
        <f t="shared" si="10"/>
        <v>648</v>
      </c>
      <c r="BP11" s="62">
        <f t="shared" si="10"/>
        <v>158</v>
      </c>
      <c r="BR11" s="62" t="str">
        <f t="shared" si="11"/>
        <v>T2低3</v>
      </c>
      <c r="BS11" s="483">
        <f t="shared" si="12"/>
        <v>1711</v>
      </c>
      <c r="BT11" s="62">
        <f t="shared" si="12"/>
        <v>266</v>
      </c>
      <c r="BU11" s="62">
        <f t="shared" si="12"/>
        <v>514</v>
      </c>
      <c r="BV11" s="62">
        <f t="shared" si="12"/>
        <v>411</v>
      </c>
      <c r="BW11" s="62">
        <f t="shared" si="12"/>
        <v>756</v>
      </c>
      <c r="BX11" s="62">
        <f t="shared" si="12"/>
        <v>171</v>
      </c>
      <c r="BZ11" s="62" t="str">
        <f t="shared" si="13"/>
        <v>T2低3</v>
      </c>
      <c r="CA11" s="483">
        <f t="shared" si="14"/>
        <v>1711</v>
      </c>
      <c r="CB11" s="62">
        <f t="shared" si="14"/>
        <v>353</v>
      </c>
      <c r="CC11" s="62">
        <f t="shared" si="14"/>
        <v>566</v>
      </c>
      <c r="CD11" s="62">
        <f t="shared" si="14"/>
        <v>453</v>
      </c>
      <c r="CE11" s="62">
        <f t="shared" si="14"/>
        <v>756</v>
      </c>
      <c r="CF11" s="62">
        <f t="shared" si="14"/>
        <v>171</v>
      </c>
      <c r="CG11" s="55"/>
      <c r="CH11" s="175" t="str">
        <f t="shared" si="39"/>
        <v>T4中4</v>
      </c>
      <c r="CI11" s="175" t="str">
        <f t="shared" si="40"/>
        <v>T4中6</v>
      </c>
      <c r="CJ11" s="62">
        <f t="shared" si="16"/>
        <v>1432</v>
      </c>
      <c r="CK11" s="62">
        <f t="shared" si="16"/>
        <v>86</v>
      </c>
      <c r="CL11" s="62">
        <f t="shared" si="16"/>
        <v>537</v>
      </c>
      <c r="CM11" s="62">
        <f t="shared" si="16"/>
        <v>376</v>
      </c>
      <c r="CN11" s="62">
        <f t="shared" si="16"/>
        <v>537</v>
      </c>
      <c r="CO11" s="62">
        <f t="shared" si="16"/>
        <v>143</v>
      </c>
      <c r="CQ11" s="128" t="str">
        <f t="shared" si="17"/>
        <v>T4中4</v>
      </c>
      <c r="CR11" s="128" t="str">
        <f t="shared" si="18"/>
        <v>T4中6</v>
      </c>
      <c r="CS11" s="62">
        <f t="shared" si="19"/>
        <v>1432</v>
      </c>
      <c r="CT11" s="62">
        <f t="shared" si="19"/>
        <v>51</v>
      </c>
      <c r="CU11" s="62">
        <f t="shared" si="19"/>
        <v>588</v>
      </c>
      <c r="CV11" s="62">
        <f t="shared" si="19"/>
        <v>412</v>
      </c>
      <c r="CW11" s="62">
        <f t="shared" si="19"/>
        <v>537</v>
      </c>
      <c r="CX11" s="62">
        <f t="shared" si="19"/>
        <v>143</v>
      </c>
      <c r="CY11" s="55"/>
      <c r="CZ11" s="128" t="str">
        <f t="shared" si="20"/>
        <v>T4中4</v>
      </c>
      <c r="DA11" s="128" t="str">
        <f t="shared" si="21"/>
        <v>T4中6</v>
      </c>
      <c r="DB11" s="66">
        <f t="shared" si="22"/>
        <v>1432</v>
      </c>
      <c r="DC11" s="66">
        <f t="shared" si="22"/>
        <v>175</v>
      </c>
      <c r="DD11" s="66">
        <f t="shared" si="22"/>
        <v>639</v>
      </c>
      <c r="DE11" s="66">
        <f t="shared" si="22"/>
        <v>448</v>
      </c>
      <c r="DF11" s="66">
        <f t="shared" si="22"/>
        <v>537</v>
      </c>
      <c r="DG11" s="66">
        <f t="shared" si="22"/>
        <v>143</v>
      </c>
      <c r="DH11" s="55"/>
      <c r="DI11" s="128" t="str">
        <f t="shared" si="23"/>
        <v>T4中4</v>
      </c>
      <c r="DJ11" s="128" t="str">
        <f t="shared" si="24"/>
        <v>T4中6</v>
      </c>
      <c r="DK11" s="62">
        <f t="shared" si="25"/>
        <v>1576</v>
      </c>
      <c r="DL11" s="62">
        <f t="shared" si="25"/>
        <v>102</v>
      </c>
      <c r="DM11" s="62">
        <f t="shared" si="25"/>
        <v>511</v>
      </c>
      <c r="DN11" s="62">
        <f t="shared" si="25"/>
        <v>384</v>
      </c>
      <c r="DO11" s="62">
        <f t="shared" si="25"/>
        <v>644</v>
      </c>
      <c r="DP11" s="62">
        <f t="shared" si="25"/>
        <v>157</v>
      </c>
      <c r="DR11" s="128" t="str">
        <f t="shared" si="26"/>
        <v>T4中4</v>
      </c>
      <c r="DS11" s="128" t="str">
        <f t="shared" si="27"/>
        <v>T4中6</v>
      </c>
      <c r="DT11" s="62">
        <f t="shared" si="28"/>
        <v>1576</v>
      </c>
      <c r="DU11" s="62">
        <f t="shared" si="28"/>
        <v>266</v>
      </c>
      <c r="DV11" s="62">
        <f t="shared" si="28"/>
        <v>588</v>
      </c>
      <c r="DW11" s="62">
        <f t="shared" si="28"/>
        <v>441</v>
      </c>
      <c r="DX11" s="62">
        <f t="shared" si="28"/>
        <v>644</v>
      </c>
      <c r="DY11" s="62">
        <f t="shared" si="28"/>
        <v>157</v>
      </c>
      <c r="EA11" s="128" t="str">
        <f t="shared" si="29"/>
        <v>T4中4</v>
      </c>
      <c r="EB11" s="128" t="str">
        <f t="shared" si="30"/>
        <v>T4中6</v>
      </c>
      <c r="EC11" s="62">
        <f t="shared" si="31"/>
        <v>1701</v>
      </c>
      <c r="ED11" s="62">
        <f t="shared" si="31"/>
        <v>265</v>
      </c>
      <c r="EE11" s="62">
        <f t="shared" si="31"/>
        <v>511</v>
      </c>
      <c r="EF11" s="62">
        <f t="shared" si="31"/>
        <v>409</v>
      </c>
      <c r="EG11" s="62">
        <f t="shared" si="31"/>
        <v>752</v>
      </c>
      <c r="EH11" s="62">
        <f t="shared" si="31"/>
        <v>170</v>
      </c>
      <c r="EJ11" s="128" t="str">
        <f t="shared" si="32"/>
        <v>T4中4</v>
      </c>
      <c r="EK11" s="128" t="str">
        <f t="shared" si="33"/>
        <v>T4中6</v>
      </c>
      <c r="EL11" s="62">
        <f t="shared" si="34"/>
        <v>1701</v>
      </c>
      <c r="EM11" s="62">
        <f t="shared" si="34"/>
        <v>352</v>
      </c>
      <c r="EN11" s="62">
        <f t="shared" si="34"/>
        <v>563</v>
      </c>
      <c r="EO11" s="62">
        <f t="shared" si="34"/>
        <v>450</v>
      </c>
      <c r="EP11" s="62">
        <f t="shared" si="34"/>
        <v>752</v>
      </c>
      <c r="EQ11" s="62">
        <f t="shared" si="34"/>
        <v>170</v>
      </c>
    </row>
    <row r="12" spans="2:147" x14ac:dyDescent="0.35">
      <c r="B12" s="180" t="s">
        <v>576</v>
      </c>
      <c r="C12" s="180" t="s">
        <v>582</v>
      </c>
      <c r="D12" s="180" t="s">
        <v>583</v>
      </c>
      <c r="E12" s="133" t="s">
        <v>786</v>
      </c>
      <c r="F12" s="183" t="s">
        <v>787</v>
      </c>
      <c r="G12" s="183" t="s">
        <v>788</v>
      </c>
      <c r="H12" s="654" t="s">
        <v>785</v>
      </c>
      <c r="I12" s="696" t="s">
        <v>3353</v>
      </c>
      <c r="J12" s="647" t="s">
        <v>584</v>
      </c>
      <c r="K12" s="647" t="s">
        <v>585</v>
      </c>
      <c r="L12" s="688" t="s">
        <v>886</v>
      </c>
      <c r="M12" s="688" t="s">
        <v>3407</v>
      </c>
      <c r="N12" s="703" t="s">
        <v>3353</v>
      </c>
      <c r="P12" s="180" t="s">
        <v>576</v>
      </c>
      <c r="Q12" s="183" t="s">
        <v>787</v>
      </c>
      <c r="R12" s="183" t="s">
        <v>788</v>
      </c>
      <c r="S12" s="183" t="s">
        <v>785</v>
      </c>
      <c r="T12" s="133" t="s">
        <v>786</v>
      </c>
      <c r="U12" s="184" t="s">
        <v>801</v>
      </c>
      <c r="Y12" s="62" t="s">
        <v>1030</v>
      </c>
      <c r="Z12" s="49">
        <f t="shared" si="36"/>
        <v>1.9</v>
      </c>
      <c r="AD12" s="62" t="str">
        <f t="shared" si="1"/>
        <v>T4低4</v>
      </c>
      <c r="AE12" s="483">
        <f t="shared" si="2"/>
        <v>1520</v>
      </c>
      <c r="AF12" s="62">
        <f t="shared" si="2"/>
        <v>90</v>
      </c>
      <c r="AG12" s="62">
        <f t="shared" si="2"/>
        <v>570</v>
      </c>
      <c r="AH12" s="62">
        <f t="shared" si="2"/>
        <v>399</v>
      </c>
      <c r="AI12" s="62">
        <f t="shared" si="2"/>
        <v>570</v>
      </c>
      <c r="AJ12" s="62">
        <f t="shared" si="2"/>
        <v>152</v>
      </c>
      <c r="AL12" s="62" t="str">
        <f t="shared" si="3"/>
        <v>T4低4</v>
      </c>
      <c r="AM12" s="483">
        <f t="shared" si="4"/>
        <v>1520</v>
      </c>
      <c r="AN12" s="62">
        <f t="shared" si="4"/>
        <v>54</v>
      </c>
      <c r="AO12" s="62">
        <f t="shared" si="4"/>
        <v>624</v>
      </c>
      <c r="AP12" s="62">
        <f t="shared" si="4"/>
        <v>437</v>
      </c>
      <c r="AQ12" s="62">
        <f t="shared" si="4"/>
        <v>570</v>
      </c>
      <c r="AR12" s="62">
        <f t="shared" si="4"/>
        <v>152</v>
      </c>
      <c r="AS12" s="55"/>
      <c r="AT12" s="66" t="str">
        <f t="shared" si="5"/>
        <v>T4低4</v>
      </c>
      <c r="AU12" s="483">
        <f t="shared" si="6"/>
        <v>1520</v>
      </c>
      <c r="AV12" s="66">
        <f t="shared" si="6"/>
        <v>185</v>
      </c>
      <c r="AW12" s="66">
        <f t="shared" si="6"/>
        <v>679</v>
      </c>
      <c r="AX12" s="66">
        <f t="shared" si="6"/>
        <v>475</v>
      </c>
      <c r="AY12" s="66">
        <f t="shared" si="6"/>
        <v>570</v>
      </c>
      <c r="AZ12" s="66">
        <f t="shared" si="6"/>
        <v>152</v>
      </c>
      <c r="BA12" s="55"/>
      <c r="BB12" s="62" t="str">
        <f t="shared" si="7"/>
        <v>T4低4</v>
      </c>
      <c r="BC12" s="483">
        <f t="shared" si="8"/>
        <v>1673</v>
      </c>
      <c r="BD12" s="62">
        <f t="shared" si="8"/>
        <v>108</v>
      </c>
      <c r="BE12" s="62">
        <f t="shared" si="8"/>
        <v>543</v>
      </c>
      <c r="BF12" s="62">
        <f t="shared" si="8"/>
        <v>407</v>
      </c>
      <c r="BG12" s="62">
        <f t="shared" si="8"/>
        <v>684</v>
      </c>
      <c r="BH12" s="62">
        <f t="shared" si="8"/>
        <v>167</v>
      </c>
      <c r="BJ12" s="62" t="str">
        <f t="shared" si="9"/>
        <v>T4低4</v>
      </c>
      <c r="BK12" s="483">
        <f t="shared" si="10"/>
        <v>1673</v>
      </c>
      <c r="BL12" s="62">
        <f t="shared" si="10"/>
        <v>282</v>
      </c>
      <c r="BM12" s="62">
        <f t="shared" si="10"/>
        <v>624</v>
      </c>
      <c r="BN12" s="62">
        <f t="shared" si="10"/>
        <v>468</v>
      </c>
      <c r="BO12" s="62">
        <f t="shared" si="10"/>
        <v>684</v>
      </c>
      <c r="BP12" s="62">
        <f t="shared" si="10"/>
        <v>167</v>
      </c>
      <c r="BR12" s="62" t="str">
        <f t="shared" si="11"/>
        <v>T4低4</v>
      </c>
      <c r="BS12" s="483">
        <f t="shared" si="12"/>
        <v>1806</v>
      </c>
      <c r="BT12" s="62">
        <f t="shared" si="12"/>
        <v>281</v>
      </c>
      <c r="BU12" s="62">
        <f t="shared" si="12"/>
        <v>543</v>
      </c>
      <c r="BV12" s="62">
        <f t="shared" si="12"/>
        <v>434</v>
      </c>
      <c r="BW12" s="62">
        <f t="shared" si="12"/>
        <v>798</v>
      </c>
      <c r="BX12" s="62">
        <f t="shared" si="12"/>
        <v>181</v>
      </c>
      <c r="BZ12" s="62" t="str">
        <f t="shared" si="13"/>
        <v>T4低4</v>
      </c>
      <c r="CA12" s="483">
        <f t="shared" si="14"/>
        <v>1806</v>
      </c>
      <c r="CB12" s="62">
        <f t="shared" si="14"/>
        <v>373</v>
      </c>
      <c r="CC12" s="62">
        <f t="shared" si="14"/>
        <v>597</v>
      </c>
      <c r="CD12" s="62">
        <f t="shared" si="14"/>
        <v>478</v>
      </c>
      <c r="CE12" s="62">
        <f t="shared" si="14"/>
        <v>798</v>
      </c>
      <c r="CF12" s="62">
        <f t="shared" si="14"/>
        <v>181</v>
      </c>
      <c r="CG12" s="55"/>
      <c r="CH12" s="175" t="str">
        <f t="shared" ref="CH12:CI15" si="41">F21</f>
        <v>T4高4</v>
      </c>
      <c r="CI12" s="175" t="str">
        <f t="shared" si="41"/>
        <v>T4高6</v>
      </c>
      <c r="CJ12" s="62">
        <f t="shared" si="16"/>
        <v>1552</v>
      </c>
      <c r="CK12" s="62">
        <f t="shared" si="16"/>
        <v>92</v>
      </c>
      <c r="CL12" s="62">
        <f t="shared" si="16"/>
        <v>582</v>
      </c>
      <c r="CM12" s="62">
        <f t="shared" si="16"/>
        <v>407</v>
      </c>
      <c r="CN12" s="62">
        <f t="shared" si="16"/>
        <v>582</v>
      </c>
      <c r="CO12" s="62">
        <f t="shared" si="16"/>
        <v>155</v>
      </c>
      <c r="CQ12" s="128" t="str">
        <f t="shared" si="17"/>
        <v>T4高4</v>
      </c>
      <c r="CR12" s="128" t="str">
        <f t="shared" si="18"/>
        <v>T4高6</v>
      </c>
      <c r="CS12" s="62">
        <f t="shared" si="19"/>
        <v>1552</v>
      </c>
      <c r="CT12" s="62">
        <f t="shared" si="19"/>
        <v>55</v>
      </c>
      <c r="CU12" s="62">
        <f t="shared" si="19"/>
        <v>637</v>
      </c>
      <c r="CV12" s="62">
        <f t="shared" si="19"/>
        <v>446</v>
      </c>
      <c r="CW12" s="62">
        <f t="shared" si="19"/>
        <v>582</v>
      </c>
      <c r="CX12" s="62">
        <f t="shared" si="19"/>
        <v>155</v>
      </c>
      <c r="CY12" s="55"/>
      <c r="CZ12" s="128" t="str">
        <f t="shared" si="20"/>
        <v>T4高4</v>
      </c>
      <c r="DA12" s="128" t="str">
        <f t="shared" si="21"/>
        <v>T4高6</v>
      </c>
      <c r="DB12" s="66">
        <f t="shared" si="22"/>
        <v>1552</v>
      </c>
      <c r="DC12" s="66">
        <f t="shared" si="22"/>
        <v>190</v>
      </c>
      <c r="DD12" s="66">
        <f t="shared" si="22"/>
        <v>693</v>
      </c>
      <c r="DE12" s="66">
        <f t="shared" si="22"/>
        <v>485</v>
      </c>
      <c r="DF12" s="66">
        <f t="shared" si="22"/>
        <v>582</v>
      </c>
      <c r="DG12" s="66">
        <f t="shared" si="22"/>
        <v>155</v>
      </c>
      <c r="DH12" s="55"/>
      <c r="DI12" s="128" t="str">
        <f t="shared" si="23"/>
        <v>T4高4</v>
      </c>
      <c r="DJ12" s="128" t="str">
        <f t="shared" si="24"/>
        <v>T4高6</v>
      </c>
      <c r="DK12" s="62">
        <f t="shared" si="25"/>
        <v>1708</v>
      </c>
      <c r="DL12" s="62">
        <f t="shared" si="25"/>
        <v>111</v>
      </c>
      <c r="DM12" s="62">
        <f t="shared" si="25"/>
        <v>554</v>
      </c>
      <c r="DN12" s="62">
        <f t="shared" si="25"/>
        <v>416</v>
      </c>
      <c r="DO12" s="62">
        <f t="shared" si="25"/>
        <v>698</v>
      </c>
      <c r="DP12" s="62">
        <f t="shared" si="25"/>
        <v>171</v>
      </c>
      <c r="DR12" s="128" t="str">
        <f t="shared" si="26"/>
        <v>T4高4</v>
      </c>
      <c r="DS12" s="128" t="str">
        <f t="shared" si="27"/>
        <v>T4高6</v>
      </c>
      <c r="DT12" s="62">
        <f t="shared" si="28"/>
        <v>1708</v>
      </c>
      <c r="DU12" s="62">
        <f t="shared" si="28"/>
        <v>288</v>
      </c>
      <c r="DV12" s="62">
        <f t="shared" si="28"/>
        <v>637</v>
      </c>
      <c r="DW12" s="62">
        <f t="shared" si="28"/>
        <v>478</v>
      </c>
      <c r="DX12" s="62">
        <f t="shared" si="28"/>
        <v>698</v>
      </c>
      <c r="DY12" s="62">
        <f t="shared" si="28"/>
        <v>171</v>
      </c>
      <c r="EA12" s="128" t="str">
        <f t="shared" si="29"/>
        <v>T4高4</v>
      </c>
      <c r="EB12" s="128" t="str">
        <f t="shared" si="30"/>
        <v>T4高6</v>
      </c>
      <c r="EC12" s="62">
        <f t="shared" si="31"/>
        <v>1844</v>
      </c>
      <c r="ED12" s="62">
        <f t="shared" si="31"/>
        <v>287</v>
      </c>
      <c r="EE12" s="62">
        <f t="shared" si="31"/>
        <v>554</v>
      </c>
      <c r="EF12" s="62">
        <f t="shared" si="31"/>
        <v>443</v>
      </c>
      <c r="EG12" s="62">
        <f t="shared" si="31"/>
        <v>815</v>
      </c>
      <c r="EH12" s="62">
        <f t="shared" si="31"/>
        <v>184</v>
      </c>
      <c r="EJ12" s="128" t="str">
        <f t="shared" si="32"/>
        <v>T4高4</v>
      </c>
      <c r="EK12" s="128" t="str">
        <f t="shared" si="33"/>
        <v>T4高6</v>
      </c>
      <c r="EL12" s="62">
        <f t="shared" si="34"/>
        <v>1844</v>
      </c>
      <c r="EM12" s="62">
        <f t="shared" si="34"/>
        <v>381</v>
      </c>
      <c r="EN12" s="62">
        <f t="shared" si="34"/>
        <v>610</v>
      </c>
      <c r="EO12" s="62">
        <f t="shared" si="34"/>
        <v>488</v>
      </c>
      <c r="EP12" s="62">
        <f t="shared" si="34"/>
        <v>815</v>
      </c>
      <c r="EQ12" s="62">
        <f t="shared" si="34"/>
        <v>184</v>
      </c>
    </row>
    <row r="13" spans="2:147" x14ac:dyDescent="0.35">
      <c r="B13" s="196" t="s">
        <v>925</v>
      </c>
      <c r="C13" s="196" t="s">
        <v>988</v>
      </c>
      <c r="D13" s="180">
        <f>C4</f>
        <v>1</v>
      </c>
      <c r="E13" s="175">
        <f>D4</f>
        <v>2</v>
      </c>
      <c r="F13" s="175" t="str">
        <f>$B13&amp;$C13&amp;D13</f>
        <v>T1低1</v>
      </c>
      <c r="G13" s="175" t="str">
        <f>$B13&amp;$C13&amp;E13</f>
        <v>T1低2</v>
      </c>
      <c r="H13" s="670">
        <f>L4</f>
        <v>4</v>
      </c>
      <c r="I13" s="8">
        <v>0.1</v>
      </c>
      <c r="J13" s="8">
        <v>1</v>
      </c>
      <c r="K13" s="651">
        <f>J13+(H13-E13)*$I$13+E13*I13</f>
        <v>1.4</v>
      </c>
      <c r="L13" s="718">
        <v>1</v>
      </c>
      <c r="M13" s="8">
        <v>0.1</v>
      </c>
      <c r="N13" s="8">
        <v>0.2</v>
      </c>
      <c r="P13" s="175" t="str">
        <f t="shared" ref="P13:P24" si="42">B13&amp;C13</f>
        <v>T1低</v>
      </c>
      <c r="Q13" s="175" t="str">
        <f t="shared" ref="Q13:Q24" si="43">F13</f>
        <v>T1低1</v>
      </c>
      <c r="R13" s="175" t="str">
        <f t="shared" ref="R13:R24" si="44">G13</f>
        <v>T1低2</v>
      </c>
      <c r="S13" s="175">
        <f>L4</f>
        <v>4</v>
      </c>
      <c r="T13" s="175">
        <f t="shared" ref="T13:T24" si="45">E13</f>
        <v>2</v>
      </c>
      <c r="U13" s="184" t="s">
        <v>577</v>
      </c>
      <c r="Y13" s="62" t="s">
        <v>1040</v>
      </c>
      <c r="Z13" s="49">
        <f t="shared" si="36"/>
        <v>1.96</v>
      </c>
      <c r="AD13" s="62" t="str">
        <f t="shared" si="1"/>
        <v>T4中4</v>
      </c>
      <c r="AE13" s="483">
        <f t="shared" si="2"/>
        <v>1568</v>
      </c>
      <c r="AF13" s="62">
        <f t="shared" si="2"/>
        <v>93</v>
      </c>
      <c r="AG13" s="62">
        <f t="shared" si="2"/>
        <v>588</v>
      </c>
      <c r="AH13" s="62">
        <f t="shared" si="2"/>
        <v>412</v>
      </c>
      <c r="AI13" s="62">
        <f t="shared" si="2"/>
        <v>588</v>
      </c>
      <c r="AJ13" s="62">
        <f t="shared" si="2"/>
        <v>157</v>
      </c>
      <c r="AL13" s="62" t="str">
        <f t="shared" si="3"/>
        <v>T4中4</v>
      </c>
      <c r="AM13" s="483">
        <f t="shared" si="4"/>
        <v>1568</v>
      </c>
      <c r="AN13" s="62">
        <f t="shared" si="4"/>
        <v>56</v>
      </c>
      <c r="AO13" s="62">
        <f t="shared" si="4"/>
        <v>644</v>
      </c>
      <c r="AP13" s="62">
        <f t="shared" si="4"/>
        <v>451</v>
      </c>
      <c r="AQ13" s="62">
        <f t="shared" si="4"/>
        <v>588</v>
      </c>
      <c r="AR13" s="62">
        <f t="shared" si="4"/>
        <v>157</v>
      </c>
      <c r="AS13" s="55"/>
      <c r="AT13" s="66" t="str">
        <f t="shared" si="5"/>
        <v>T4中4</v>
      </c>
      <c r="AU13" s="483">
        <f t="shared" si="6"/>
        <v>1568</v>
      </c>
      <c r="AV13" s="66">
        <f t="shared" si="6"/>
        <v>191</v>
      </c>
      <c r="AW13" s="66">
        <f t="shared" si="6"/>
        <v>700</v>
      </c>
      <c r="AX13" s="66">
        <f t="shared" si="6"/>
        <v>490</v>
      </c>
      <c r="AY13" s="66">
        <f t="shared" si="6"/>
        <v>588</v>
      </c>
      <c r="AZ13" s="66">
        <f t="shared" si="6"/>
        <v>157</v>
      </c>
      <c r="BA13" s="55"/>
      <c r="BB13" s="62" t="str">
        <f t="shared" si="7"/>
        <v>T4中4</v>
      </c>
      <c r="BC13" s="483">
        <f t="shared" si="8"/>
        <v>1725</v>
      </c>
      <c r="BD13" s="62">
        <f t="shared" si="8"/>
        <v>112</v>
      </c>
      <c r="BE13" s="62">
        <f t="shared" si="8"/>
        <v>560</v>
      </c>
      <c r="BF13" s="62">
        <f t="shared" si="8"/>
        <v>420</v>
      </c>
      <c r="BG13" s="62">
        <f t="shared" si="8"/>
        <v>706</v>
      </c>
      <c r="BH13" s="62">
        <f t="shared" si="8"/>
        <v>173</v>
      </c>
      <c r="BJ13" s="62" t="str">
        <f t="shared" si="9"/>
        <v>T4中4</v>
      </c>
      <c r="BK13" s="483">
        <f t="shared" si="10"/>
        <v>1725</v>
      </c>
      <c r="BL13" s="62">
        <f t="shared" si="10"/>
        <v>290</v>
      </c>
      <c r="BM13" s="62">
        <f t="shared" si="10"/>
        <v>644</v>
      </c>
      <c r="BN13" s="62">
        <f t="shared" si="10"/>
        <v>483</v>
      </c>
      <c r="BO13" s="62">
        <f t="shared" si="10"/>
        <v>706</v>
      </c>
      <c r="BP13" s="62">
        <f t="shared" si="10"/>
        <v>173</v>
      </c>
      <c r="BR13" s="62" t="str">
        <f t="shared" si="11"/>
        <v>T4中4</v>
      </c>
      <c r="BS13" s="483">
        <f t="shared" si="12"/>
        <v>1863</v>
      </c>
      <c r="BT13" s="62">
        <f t="shared" si="12"/>
        <v>289</v>
      </c>
      <c r="BU13" s="62">
        <f t="shared" si="12"/>
        <v>560</v>
      </c>
      <c r="BV13" s="62">
        <f t="shared" si="12"/>
        <v>448</v>
      </c>
      <c r="BW13" s="62">
        <f t="shared" si="12"/>
        <v>823</v>
      </c>
      <c r="BX13" s="62">
        <f t="shared" si="12"/>
        <v>186</v>
      </c>
      <c r="BZ13" s="62" t="str">
        <f t="shared" si="13"/>
        <v>T4中4</v>
      </c>
      <c r="CA13" s="483">
        <f t="shared" si="14"/>
        <v>1863</v>
      </c>
      <c r="CB13" s="62">
        <f t="shared" si="14"/>
        <v>384</v>
      </c>
      <c r="CC13" s="62">
        <f t="shared" si="14"/>
        <v>616</v>
      </c>
      <c r="CD13" s="62">
        <f t="shared" si="14"/>
        <v>493</v>
      </c>
      <c r="CE13" s="62">
        <f t="shared" si="14"/>
        <v>823</v>
      </c>
      <c r="CF13" s="62">
        <f t="shared" si="14"/>
        <v>186</v>
      </c>
      <c r="CG13" s="55"/>
      <c r="CH13" s="175" t="str">
        <f t="shared" si="41"/>
        <v>T5低5</v>
      </c>
      <c r="CI13" s="175" t="str">
        <f t="shared" si="41"/>
        <v>T5低6</v>
      </c>
      <c r="CJ13" s="62">
        <f t="shared" si="16"/>
        <v>960</v>
      </c>
      <c r="CK13" s="62">
        <f t="shared" si="16"/>
        <v>57</v>
      </c>
      <c r="CL13" s="62">
        <f t="shared" si="16"/>
        <v>360</v>
      </c>
      <c r="CM13" s="62">
        <f t="shared" si="16"/>
        <v>252</v>
      </c>
      <c r="CN13" s="62">
        <f t="shared" si="16"/>
        <v>360</v>
      </c>
      <c r="CO13" s="62">
        <f t="shared" si="16"/>
        <v>96</v>
      </c>
      <c r="CQ13" s="128" t="str">
        <f t="shared" si="17"/>
        <v>T5低5</v>
      </c>
      <c r="CR13" s="128" t="str">
        <f t="shared" si="18"/>
        <v>T5低6</v>
      </c>
      <c r="CS13" s="62">
        <f t="shared" si="19"/>
        <v>960</v>
      </c>
      <c r="CT13" s="62">
        <f t="shared" si="19"/>
        <v>34</v>
      </c>
      <c r="CU13" s="62">
        <f t="shared" si="19"/>
        <v>394</v>
      </c>
      <c r="CV13" s="62">
        <f t="shared" si="19"/>
        <v>276</v>
      </c>
      <c r="CW13" s="62">
        <f t="shared" si="19"/>
        <v>360</v>
      </c>
      <c r="CX13" s="62">
        <f t="shared" si="19"/>
        <v>96</v>
      </c>
      <c r="CY13" s="55"/>
      <c r="CZ13" s="128" t="str">
        <f t="shared" si="20"/>
        <v>T5低5</v>
      </c>
      <c r="DA13" s="128" t="str">
        <f t="shared" si="21"/>
        <v>T5低6</v>
      </c>
      <c r="DB13" s="66">
        <f t="shared" si="22"/>
        <v>960</v>
      </c>
      <c r="DC13" s="66">
        <f t="shared" si="22"/>
        <v>117</v>
      </c>
      <c r="DD13" s="66">
        <f t="shared" si="22"/>
        <v>429</v>
      </c>
      <c r="DE13" s="66">
        <f t="shared" si="22"/>
        <v>300</v>
      </c>
      <c r="DF13" s="66">
        <f t="shared" si="22"/>
        <v>360</v>
      </c>
      <c r="DG13" s="66">
        <f t="shared" si="22"/>
        <v>96</v>
      </c>
      <c r="DH13" s="55"/>
      <c r="DI13" s="128" t="str">
        <f t="shared" si="23"/>
        <v>T5低5</v>
      </c>
      <c r="DJ13" s="128" t="str">
        <f t="shared" si="24"/>
        <v>T5低6</v>
      </c>
      <c r="DK13" s="62">
        <f t="shared" si="25"/>
        <v>1056</v>
      </c>
      <c r="DL13" s="62">
        <f t="shared" si="25"/>
        <v>68</v>
      </c>
      <c r="DM13" s="62">
        <f t="shared" si="25"/>
        <v>343</v>
      </c>
      <c r="DN13" s="62">
        <f t="shared" si="25"/>
        <v>257</v>
      </c>
      <c r="DO13" s="62">
        <f t="shared" si="25"/>
        <v>432</v>
      </c>
      <c r="DP13" s="62">
        <f t="shared" si="25"/>
        <v>106</v>
      </c>
      <c r="DR13" s="128" t="str">
        <f t="shared" si="26"/>
        <v>T5低5</v>
      </c>
      <c r="DS13" s="128" t="str">
        <f t="shared" si="27"/>
        <v>T5低6</v>
      </c>
      <c r="DT13" s="62">
        <f t="shared" si="28"/>
        <v>1056</v>
      </c>
      <c r="DU13" s="62">
        <f t="shared" si="28"/>
        <v>177</v>
      </c>
      <c r="DV13" s="62">
        <f t="shared" si="28"/>
        <v>394</v>
      </c>
      <c r="DW13" s="62">
        <f t="shared" si="28"/>
        <v>296</v>
      </c>
      <c r="DX13" s="62">
        <f t="shared" si="28"/>
        <v>432</v>
      </c>
      <c r="DY13" s="62">
        <f t="shared" si="28"/>
        <v>106</v>
      </c>
      <c r="EA13" s="128" t="str">
        <f t="shared" si="29"/>
        <v>T5低5</v>
      </c>
      <c r="EB13" s="128" t="str">
        <f t="shared" si="30"/>
        <v>T5低6</v>
      </c>
      <c r="EC13" s="62">
        <f t="shared" si="31"/>
        <v>1141</v>
      </c>
      <c r="ED13" s="62">
        <f t="shared" si="31"/>
        <v>178</v>
      </c>
      <c r="EE13" s="62">
        <f t="shared" si="31"/>
        <v>343</v>
      </c>
      <c r="EF13" s="62">
        <f t="shared" si="31"/>
        <v>274</v>
      </c>
      <c r="EG13" s="62">
        <f t="shared" si="31"/>
        <v>504</v>
      </c>
      <c r="EH13" s="62">
        <f t="shared" si="31"/>
        <v>114</v>
      </c>
      <c r="EJ13" s="128" t="str">
        <f t="shared" si="32"/>
        <v>T5低5</v>
      </c>
      <c r="EK13" s="128" t="str">
        <f t="shared" si="33"/>
        <v>T5低6</v>
      </c>
      <c r="EL13" s="62">
        <f t="shared" si="34"/>
        <v>1141</v>
      </c>
      <c r="EM13" s="62">
        <f t="shared" si="34"/>
        <v>235</v>
      </c>
      <c r="EN13" s="62">
        <f t="shared" si="34"/>
        <v>377</v>
      </c>
      <c r="EO13" s="62">
        <f t="shared" si="34"/>
        <v>302</v>
      </c>
      <c r="EP13" s="62">
        <f t="shared" si="34"/>
        <v>504</v>
      </c>
      <c r="EQ13" s="62">
        <f t="shared" si="34"/>
        <v>114</v>
      </c>
    </row>
    <row r="14" spans="2:147" x14ac:dyDescent="0.35">
      <c r="B14" s="196" t="s">
        <v>921</v>
      </c>
      <c r="C14" s="196" t="s">
        <v>988</v>
      </c>
      <c r="D14" s="175">
        <f>C5</f>
        <v>2</v>
      </c>
      <c r="E14" s="175">
        <f>D5</f>
        <v>3</v>
      </c>
      <c r="F14" s="175" t="str">
        <f t="shared" ref="F14:F24" si="46">$B14&amp;$C14&amp;D14</f>
        <v>T2低2</v>
      </c>
      <c r="G14" s="175" t="str">
        <f t="shared" ref="G14:G24" si="47">$B14&amp;$C14&amp;E14</f>
        <v>T2低3</v>
      </c>
      <c r="H14" s="670">
        <f>L5</f>
        <v>6</v>
      </c>
      <c r="I14" s="8">
        <v>0.1</v>
      </c>
      <c r="J14" s="651">
        <f>J13+I14*(D13+1)</f>
        <v>1.2</v>
      </c>
      <c r="K14" s="651">
        <f t="shared" ref="K14:K24" si="48">J14+(H14-E14)*$I$13+E14*I14</f>
        <v>1.8</v>
      </c>
      <c r="L14" s="718">
        <v>1.2</v>
      </c>
      <c r="M14" s="8">
        <v>0.1</v>
      </c>
      <c r="N14" s="8">
        <v>0.2</v>
      </c>
      <c r="P14" s="175" t="str">
        <f t="shared" si="42"/>
        <v>T2低</v>
      </c>
      <c r="Q14" s="175" t="str">
        <f t="shared" si="43"/>
        <v>T2低2</v>
      </c>
      <c r="R14" s="175" t="str">
        <f t="shared" si="44"/>
        <v>T2低3</v>
      </c>
      <c r="S14" s="175">
        <f>L5</f>
        <v>6</v>
      </c>
      <c r="T14" s="668">
        <f t="shared" si="45"/>
        <v>3</v>
      </c>
      <c r="U14" s="184" t="s">
        <v>578</v>
      </c>
      <c r="Y14" s="62" t="s">
        <v>1071</v>
      </c>
      <c r="Z14" s="49">
        <f t="shared" si="36"/>
        <v>2.06</v>
      </c>
      <c r="AD14" s="62" t="str">
        <f t="shared" si="1"/>
        <v>T4高4</v>
      </c>
      <c r="AE14" s="483">
        <f t="shared" ref="AE14:AJ27" si="49">ROUND(VLOOKUP($AD$2,$B$45:$J$52,MATCH(AE$3,$B$45:$J$45,0),FALSE)*$Z14,0)</f>
        <v>1648</v>
      </c>
      <c r="AF14" s="62">
        <f t="shared" si="49"/>
        <v>98</v>
      </c>
      <c r="AG14" s="62">
        <f t="shared" si="49"/>
        <v>618</v>
      </c>
      <c r="AH14" s="62">
        <f t="shared" si="49"/>
        <v>433</v>
      </c>
      <c r="AI14" s="62">
        <f t="shared" si="49"/>
        <v>618</v>
      </c>
      <c r="AJ14" s="62">
        <f t="shared" si="49"/>
        <v>165</v>
      </c>
      <c r="AL14" s="62" t="str">
        <f t="shared" si="3"/>
        <v>T4高4</v>
      </c>
      <c r="AM14" s="483">
        <f t="shared" ref="AM14:AR27" si="50">ROUND(VLOOKUP($AL$2,$B$45:$J$52,MATCH(AM$3,$B$45:$J$45,0),FALSE)*$Z14,0)</f>
        <v>1648</v>
      </c>
      <c r="AN14" s="62">
        <f t="shared" si="50"/>
        <v>59</v>
      </c>
      <c r="AO14" s="62">
        <f t="shared" si="50"/>
        <v>677</v>
      </c>
      <c r="AP14" s="62">
        <f t="shared" si="50"/>
        <v>474</v>
      </c>
      <c r="AQ14" s="62">
        <f t="shared" si="50"/>
        <v>618</v>
      </c>
      <c r="AR14" s="62">
        <f t="shared" si="50"/>
        <v>165</v>
      </c>
      <c r="AS14" s="55"/>
      <c r="AT14" s="66" t="str">
        <f t="shared" si="5"/>
        <v>T4高4</v>
      </c>
      <c r="AU14" s="483">
        <f t="shared" ref="AU14:AZ27" si="51">ROUND(VLOOKUP($AT$2,$B$45:$J$52,MATCH(AU$3,$B$45:$J$45,0),FALSE)*$Z14,0)</f>
        <v>1648</v>
      </c>
      <c r="AV14" s="66">
        <f t="shared" si="51"/>
        <v>201</v>
      </c>
      <c r="AW14" s="66">
        <f t="shared" si="51"/>
        <v>736</v>
      </c>
      <c r="AX14" s="66">
        <f t="shared" si="51"/>
        <v>515</v>
      </c>
      <c r="AY14" s="66">
        <f t="shared" si="51"/>
        <v>618</v>
      </c>
      <c r="AZ14" s="66">
        <f t="shared" si="51"/>
        <v>165</v>
      </c>
      <c r="BA14" s="55"/>
      <c r="BB14" s="62" t="str">
        <f t="shared" si="7"/>
        <v>T4高4</v>
      </c>
      <c r="BC14" s="483">
        <f t="shared" ref="BC14:BH27" si="52">ROUND(VLOOKUP($BB$2,$B$45:$J$52,MATCH(BC$3,$B$45:$J$45,0),FALSE)*$Z14,0)</f>
        <v>1813</v>
      </c>
      <c r="BD14" s="62">
        <f t="shared" si="52"/>
        <v>117</v>
      </c>
      <c r="BE14" s="62">
        <f t="shared" si="52"/>
        <v>589</v>
      </c>
      <c r="BF14" s="62">
        <f t="shared" si="52"/>
        <v>441</v>
      </c>
      <c r="BG14" s="62">
        <f t="shared" si="52"/>
        <v>742</v>
      </c>
      <c r="BH14" s="62">
        <f t="shared" si="52"/>
        <v>181</v>
      </c>
      <c r="BJ14" s="62" t="str">
        <f t="shared" si="9"/>
        <v>T4高4</v>
      </c>
      <c r="BK14" s="483">
        <f t="shared" ref="BK14:BP27" si="53">ROUND(VLOOKUP($BJ$2,$B$45:$J$52,MATCH(BK$3,$B$45:$J$45,0),FALSE)*$Z14,0)</f>
        <v>1813</v>
      </c>
      <c r="BL14" s="62">
        <f t="shared" si="53"/>
        <v>305</v>
      </c>
      <c r="BM14" s="62">
        <f t="shared" si="53"/>
        <v>677</v>
      </c>
      <c r="BN14" s="62">
        <f t="shared" si="53"/>
        <v>508</v>
      </c>
      <c r="BO14" s="62">
        <f t="shared" si="53"/>
        <v>742</v>
      </c>
      <c r="BP14" s="62">
        <f t="shared" si="53"/>
        <v>181</v>
      </c>
      <c r="BR14" s="62" t="str">
        <f t="shared" si="11"/>
        <v>T4高4</v>
      </c>
      <c r="BS14" s="483">
        <f t="shared" ref="BS14:BX27" si="54">ROUND(VLOOKUP($BR$2,$B$45:$J$52,MATCH(BS$3,$B$45:$J$45,0),FALSE)*$Z14,0)</f>
        <v>1958</v>
      </c>
      <c r="BT14" s="62">
        <f t="shared" si="54"/>
        <v>304</v>
      </c>
      <c r="BU14" s="62">
        <f t="shared" si="54"/>
        <v>589</v>
      </c>
      <c r="BV14" s="62">
        <f t="shared" si="54"/>
        <v>471</v>
      </c>
      <c r="BW14" s="62">
        <f t="shared" si="54"/>
        <v>865</v>
      </c>
      <c r="BX14" s="62">
        <f t="shared" si="54"/>
        <v>196</v>
      </c>
      <c r="BZ14" s="62" t="str">
        <f t="shared" si="13"/>
        <v>T4高4</v>
      </c>
      <c r="CA14" s="483">
        <f t="shared" ref="CA14:CF27" si="55">ROUND(VLOOKUP($BZ$2,$B$45:$J$52,MATCH(CA$3,$B$45:$J$45,0),FALSE)*$Z14,0)</f>
        <v>1958</v>
      </c>
      <c r="CB14" s="62">
        <f t="shared" si="55"/>
        <v>404</v>
      </c>
      <c r="CC14" s="62">
        <f t="shared" si="55"/>
        <v>647</v>
      </c>
      <c r="CD14" s="62">
        <f t="shared" si="55"/>
        <v>518</v>
      </c>
      <c r="CE14" s="62">
        <f t="shared" si="55"/>
        <v>865</v>
      </c>
      <c r="CF14" s="62">
        <f t="shared" si="55"/>
        <v>196</v>
      </c>
      <c r="CG14" s="55"/>
      <c r="CH14" s="175" t="str">
        <f t="shared" si="41"/>
        <v>T5中5</v>
      </c>
      <c r="CI14" s="175" t="str">
        <f t="shared" si="41"/>
        <v>T5中7</v>
      </c>
      <c r="CJ14" s="62">
        <f t="shared" si="16"/>
        <v>1684</v>
      </c>
      <c r="CK14" s="62">
        <f t="shared" si="16"/>
        <v>100</v>
      </c>
      <c r="CL14" s="62">
        <f t="shared" si="16"/>
        <v>631</v>
      </c>
      <c r="CM14" s="62">
        <f t="shared" si="16"/>
        <v>442</v>
      </c>
      <c r="CN14" s="62">
        <f t="shared" si="16"/>
        <v>631</v>
      </c>
      <c r="CO14" s="62">
        <f t="shared" si="16"/>
        <v>168</v>
      </c>
      <c r="CQ14" s="128" t="str">
        <f t="shared" si="17"/>
        <v>T5中5</v>
      </c>
      <c r="CR14" s="128" t="str">
        <f t="shared" si="18"/>
        <v>T5中7</v>
      </c>
      <c r="CS14" s="62">
        <f t="shared" si="19"/>
        <v>1684</v>
      </c>
      <c r="CT14" s="62">
        <f t="shared" si="19"/>
        <v>60</v>
      </c>
      <c r="CU14" s="62">
        <f t="shared" si="19"/>
        <v>692</v>
      </c>
      <c r="CV14" s="62">
        <f t="shared" si="19"/>
        <v>484</v>
      </c>
      <c r="CW14" s="62">
        <f t="shared" si="19"/>
        <v>631</v>
      </c>
      <c r="CX14" s="62">
        <f t="shared" si="19"/>
        <v>168</v>
      </c>
      <c r="CY14" s="55"/>
      <c r="CZ14" s="128" t="str">
        <f t="shared" si="20"/>
        <v>T5中5</v>
      </c>
      <c r="DA14" s="128" t="str">
        <f t="shared" si="21"/>
        <v>T5中7</v>
      </c>
      <c r="DB14" s="66">
        <f t="shared" si="22"/>
        <v>1684</v>
      </c>
      <c r="DC14" s="66">
        <f t="shared" si="22"/>
        <v>205</v>
      </c>
      <c r="DD14" s="66">
        <f t="shared" si="22"/>
        <v>752</v>
      </c>
      <c r="DE14" s="66">
        <f t="shared" si="22"/>
        <v>526</v>
      </c>
      <c r="DF14" s="66">
        <f t="shared" si="22"/>
        <v>631</v>
      </c>
      <c r="DG14" s="66">
        <f t="shared" si="22"/>
        <v>168</v>
      </c>
      <c r="DH14" s="55"/>
      <c r="DI14" s="128" t="str">
        <f t="shared" si="23"/>
        <v>T5中5</v>
      </c>
      <c r="DJ14" s="128" t="str">
        <f t="shared" si="24"/>
        <v>T5中7</v>
      </c>
      <c r="DK14" s="62">
        <f t="shared" si="25"/>
        <v>1853</v>
      </c>
      <c r="DL14" s="62">
        <f t="shared" si="25"/>
        <v>120</v>
      </c>
      <c r="DM14" s="62">
        <f t="shared" si="25"/>
        <v>602</v>
      </c>
      <c r="DN14" s="62">
        <f t="shared" si="25"/>
        <v>451</v>
      </c>
      <c r="DO14" s="62">
        <f t="shared" si="25"/>
        <v>758</v>
      </c>
      <c r="DP14" s="62">
        <f t="shared" si="25"/>
        <v>185</v>
      </c>
      <c r="DR14" s="128" t="str">
        <f t="shared" si="26"/>
        <v>T5中5</v>
      </c>
      <c r="DS14" s="128" t="str">
        <f t="shared" si="27"/>
        <v>T5中7</v>
      </c>
      <c r="DT14" s="62">
        <f t="shared" si="28"/>
        <v>1853</v>
      </c>
      <c r="DU14" s="62">
        <f t="shared" si="28"/>
        <v>312</v>
      </c>
      <c r="DV14" s="62">
        <f t="shared" si="28"/>
        <v>692</v>
      </c>
      <c r="DW14" s="62">
        <f t="shared" si="28"/>
        <v>519</v>
      </c>
      <c r="DX14" s="62">
        <f t="shared" si="28"/>
        <v>758</v>
      </c>
      <c r="DY14" s="62">
        <f t="shared" si="28"/>
        <v>185</v>
      </c>
      <c r="EA14" s="128" t="str">
        <f t="shared" si="29"/>
        <v>T5中5</v>
      </c>
      <c r="EB14" s="128" t="str">
        <f t="shared" si="30"/>
        <v>T5中7</v>
      </c>
      <c r="EC14" s="62">
        <f t="shared" si="31"/>
        <v>2001</v>
      </c>
      <c r="ED14" s="62">
        <f t="shared" si="31"/>
        <v>311</v>
      </c>
      <c r="EE14" s="62">
        <f t="shared" si="31"/>
        <v>602</v>
      </c>
      <c r="EF14" s="62">
        <f t="shared" si="31"/>
        <v>481</v>
      </c>
      <c r="EG14" s="62">
        <f t="shared" si="31"/>
        <v>884</v>
      </c>
      <c r="EH14" s="62">
        <f t="shared" si="31"/>
        <v>200</v>
      </c>
      <c r="EJ14" s="128" t="str">
        <f t="shared" si="32"/>
        <v>T5中5</v>
      </c>
      <c r="EK14" s="128" t="str">
        <f t="shared" si="33"/>
        <v>T5中7</v>
      </c>
      <c r="EL14" s="62">
        <f t="shared" si="34"/>
        <v>2001</v>
      </c>
      <c r="EM14" s="62">
        <f t="shared" si="34"/>
        <v>413</v>
      </c>
      <c r="EN14" s="62">
        <f t="shared" si="34"/>
        <v>661</v>
      </c>
      <c r="EO14" s="62">
        <f t="shared" si="34"/>
        <v>530</v>
      </c>
      <c r="EP14" s="62">
        <f t="shared" si="34"/>
        <v>884</v>
      </c>
      <c r="EQ14" s="62">
        <f t="shared" si="34"/>
        <v>200</v>
      </c>
    </row>
    <row r="15" spans="2:147" x14ac:dyDescent="0.35">
      <c r="B15" s="196" t="s">
        <v>921</v>
      </c>
      <c r="C15" s="196" t="s">
        <v>989</v>
      </c>
      <c r="D15" s="175">
        <f>E5</f>
        <v>2</v>
      </c>
      <c r="E15" s="175">
        <f>F5</f>
        <v>4</v>
      </c>
      <c r="F15" s="175" t="str">
        <f t="shared" si="46"/>
        <v>T2中2</v>
      </c>
      <c r="G15" s="175" t="str">
        <f t="shared" si="47"/>
        <v>T2中4</v>
      </c>
      <c r="H15" s="670">
        <f>M5</f>
        <v>11</v>
      </c>
      <c r="I15" s="8">
        <v>0.115</v>
      </c>
      <c r="J15" s="651">
        <f>J13+I15*(D13+1)</f>
        <v>1.23</v>
      </c>
      <c r="K15" s="651">
        <f t="shared" si="48"/>
        <v>2.39</v>
      </c>
      <c r="L15" s="718">
        <v>1.23</v>
      </c>
      <c r="M15" s="8">
        <v>0.115</v>
      </c>
      <c r="N15" s="8">
        <v>0.23</v>
      </c>
      <c r="P15" s="175" t="str">
        <f t="shared" si="42"/>
        <v>T2中</v>
      </c>
      <c r="Q15" s="175" t="str">
        <f t="shared" si="43"/>
        <v>T2中2</v>
      </c>
      <c r="R15" s="175" t="str">
        <f t="shared" si="44"/>
        <v>T2中4</v>
      </c>
      <c r="S15" s="175">
        <f>M5</f>
        <v>11</v>
      </c>
      <c r="T15" s="668">
        <f t="shared" si="45"/>
        <v>4</v>
      </c>
      <c r="U15" s="184" t="s">
        <v>578</v>
      </c>
      <c r="Y15" s="62" t="s">
        <v>1010</v>
      </c>
      <c r="Z15" s="49">
        <f t="shared" si="36"/>
        <v>2.2999999999999998</v>
      </c>
      <c r="AD15" s="62" t="str">
        <f t="shared" si="1"/>
        <v>T3低4</v>
      </c>
      <c r="AE15" s="483">
        <f t="shared" si="49"/>
        <v>1840</v>
      </c>
      <c r="AF15" s="62">
        <f t="shared" si="49"/>
        <v>110</v>
      </c>
      <c r="AG15" s="62">
        <f t="shared" si="49"/>
        <v>690</v>
      </c>
      <c r="AH15" s="62">
        <f t="shared" si="49"/>
        <v>483</v>
      </c>
      <c r="AI15" s="62">
        <f t="shared" si="49"/>
        <v>690</v>
      </c>
      <c r="AJ15" s="62">
        <f t="shared" si="49"/>
        <v>184</v>
      </c>
      <c r="AL15" s="62" t="str">
        <f t="shared" si="3"/>
        <v>T3低4</v>
      </c>
      <c r="AM15" s="483">
        <f t="shared" si="50"/>
        <v>1840</v>
      </c>
      <c r="AN15" s="62">
        <f t="shared" si="50"/>
        <v>65</v>
      </c>
      <c r="AO15" s="62">
        <f t="shared" si="50"/>
        <v>756</v>
      </c>
      <c r="AP15" s="62">
        <f t="shared" si="50"/>
        <v>529</v>
      </c>
      <c r="AQ15" s="62">
        <f t="shared" si="50"/>
        <v>690</v>
      </c>
      <c r="AR15" s="62">
        <f t="shared" si="50"/>
        <v>184</v>
      </c>
      <c r="AS15" s="55"/>
      <c r="AT15" s="66" t="str">
        <f t="shared" si="5"/>
        <v>T3低4</v>
      </c>
      <c r="AU15" s="483">
        <f t="shared" si="51"/>
        <v>1840</v>
      </c>
      <c r="AV15" s="66">
        <f t="shared" si="51"/>
        <v>225</v>
      </c>
      <c r="AW15" s="66">
        <f t="shared" si="51"/>
        <v>821</v>
      </c>
      <c r="AX15" s="66">
        <f t="shared" si="51"/>
        <v>575</v>
      </c>
      <c r="AY15" s="66">
        <f t="shared" si="51"/>
        <v>690</v>
      </c>
      <c r="AZ15" s="66">
        <f t="shared" si="51"/>
        <v>184</v>
      </c>
      <c r="BA15" s="55"/>
      <c r="BB15" s="62" t="str">
        <f t="shared" si="7"/>
        <v>T3低4</v>
      </c>
      <c r="BC15" s="483">
        <f t="shared" si="52"/>
        <v>2025</v>
      </c>
      <c r="BD15" s="62">
        <f t="shared" si="52"/>
        <v>131</v>
      </c>
      <c r="BE15" s="62">
        <f t="shared" si="52"/>
        <v>657</v>
      </c>
      <c r="BF15" s="62">
        <f t="shared" si="52"/>
        <v>493</v>
      </c>
      <c r="BG15" s="62">
        <f t="shared" si="52"/>
        <v>828</v>
      </c>
      <c r="BH15" s="62">
        <f t="shared" si="52"/>
        <v>202</v>
      </c>
      <c r="BJ15" s="62" t="str">
        <f t="shared" si="9"/>
        <v>T3低4</v>
      </c>
      <c r="BK15" s="483">
        <f t="shared" si="53"/>
        <v>2025</v>
      </c>
      <c r="BL15" s="62">
        <f t="shared" si="53"/>
        <v>341</v>
      </c>
      <c r="BM15" s="62">
        <f t="shared" si="53"/>
        <v>756</v>
      </c>
      <c r="BN15" s="62">
        <f t="shared" si="53"/>
        <v>567</v>
      </c>
      <c r="BO15" s="62">
        <f t="shared" si="53"/>
        <v>828</v>
      </c>
      <c r="BP15" s="62">
        <f t="shared" si="53"/>
        <v>202</v>
      </c>
      <c r="BR15" s="62" t="str">
        <f t="shared" si="11"/>
        <v>T3低4</v>
      </c>
      <c r="BS15" s="483">
        <f t="shared" si="54"/>
        <v>2186</v>
      </c>
      <c r="BT15" s="62">
        <f t="shared" si="54"/>
        <v>340</v>
      </c>
      <c r="BU15" s="62">
        <f t="shared" si="54"/>
        <v>657</v>
      </c>
      <c r="BV15" s="62">
        <f t="shared" si="54"/>
        <v>526</v>
      </c>
      <c r="BW15" s="62">
        <f t="shared" si="54"/>
        <v>966</v>
      </c>
      <c r="BX15" s="62">
        <f t="shared" si="54"/>
        <v>219</v>
      </c>
      <c r="BZ15" s="62" t="str">
        <f t="shared" si="13"/>
        <v>T3低4</v>
      </c>
      <c r="CA15" s="483">
        <f t="shared" si="55"/>
        <v>2186</v>
      </c>
      <c r="CB15" s="62">
        <f t="shared" si="55"/>
        <v>451</v>
      </c>
      <c r="CC15" s="62">
        <f t="shared" si="55"/>
        <v>723</v>
      </c>
      <c r="CD15" s="62">
        <f t="shared" si="55"/>
        <v>578</v>
      </c>
      <c r="CE15" s="62">
        <f t="shared" si="55"/>
        <v>966</v>
      </c>
      <c r="CF15" s="62">
        <f t="shared" si="55"/>
        <v>219</v>
      </c>
      <c r="CG15" s="55"/>
      <c r="CH15" s="175" t="str">
        <f t="shared" si="41"/>
        <v>T5高5</v>
      </c>
      <c r="CI15" s="175" t="str">
        <f t="shared" si="41"/>
        <v>T5高7</v>
      </c>
      <c r="CJ15" s="62">
        <f t="shared" si="16"/>
        <v>1824</v>
      </c>
      <c r="CK15" s="62">
        <f t="shared" si="16"/>
        <v>108</v>
      </c>
      <c r="CL15" s="62">
        <f t="shared" si="16"/>
        <v>684</v>
      </c>
      <c r="CM15" s="62">
        <f t="shared" si="16"/>
        <v>479</v>
      </c>
      <c r="CN15" s="62">
        <f t="shared" si="16"/>
        <v>684</v>
      </c>
      <c r="CO15" s="62">
        <f t="shared" si="16"/>
        <v>182</v>
      </c>
      <c r="CQ15" s="128" t="str">
        <f t="shared" si="17"/>
        <v>T5高5</v>
      </c>
      <c r="CR15" s="128" t="str">
        <f t="shared" si="18"/>
        <v>T5高7</v>
      </c>
      <c r="CS15" s="62">
        <f t="shared" si="19"/>
        <v>1824</v>
      </c>
      <c r="CT15" s="62">
        <f t="shared" si="19"/>
        <v>65</v>
      </c>
      <c r="CU15" s="62">
        <f t="shared" si="19"/>
        <v>749</v>
      </c>
      <c r="CV15" s="62">
        <f t="shared" si="19"/>
        <v>524</v>
      </c>
      <c r="CW15" s="62">
        <f t="shared" si="19"/>
        <v>684</v>
      </c>
      <c r="CX15" s="62">
        <f t="shared" si="19"/>
        <v>182</v>
      </c>
      <c r="CY15" s="55"/>
      <c r="CZ15" s="128" t="str">
        <f t="shared" si="20"/>
        <v>T5高5</v>
      </c>
      <c r="DA15" s="128" t="str">
        <f t="shared" si="21"/>
        <v>T5高7</v>
      </c>
      <c r="DB15" s="66">
        <f t="shared" si="22"/>
        <v>1824</v>
      </c>
      <c r="DC15" s="66">
        <f t="shared" si="22"/>
        <v>222</v>
      </c>
      <c r="DD15" s="66">
        <f t="shared" si="22"/>
        <v>814</v>
      </c>
      <c r="DE15" s="66">
        <f t="shared" si="22"/>
        <v>570</v>
      </c>
      <c r="DF15" s="66">
        <f t="shared" si="22"/>
        <v>684</v>
      </c>
      <c r="DG15" s="66">
        <f t="shared" si="22"/>
        <v>182</v>
      </c>
      <c r="DH15" s="55"/>
      <c r="DI15" s="128" t="str">
        <f t="shared" si="23"/>
        <v>T5高5</v>
      </c>
      <c r="DJ15" s="128" t="str">
        <f t="shared" si="24"/>
        <v>T5高7</v>
      </c>
      <c r="DK15" s="62">
        <f t="shared" si="25"/>
        <v>2007</v>
      </c>
      <c r="DL15" s="62">
        <f t="shared" si="25"/>
        <v>130</v>
      </c>
      <c r="DM15" s="62">
        <f t="shared" si="25"/>
        <v>651</v>
      </c>
      <c r="DN15" s="62">
        <f t="shared" si="25"/>
        <v>489</v>
      </c>
      <c r="DO15" s="62">
        <f t="shared" si="25"/>
        <v>821</v>
      </c>
      <c r="DP15" s="62">
        <f t="shared" si="25"/>
        <v>201</v>
      </c>
      <c r="DR15" s="128" t="str">
        <f t="shared" si="26"/>
        <v>T5高5</v>
      </c>
      <c r="DS15" s="128" t="str">
        <f t="shared" si="27"/>
        <v>T5高7</v>
      </c>
      <c r="DT15" s="62">
        <f t="shared" si="28"/>
        <v>2007</v>
      </c>
      <c r="DU15" s="62">
        <f t="shared" si="28"/>
        <v>338</v>
      </c>
      <c r="DV15" s="62">
        <f t="shared" si="28"/>
        <v>749</v>
      </c>
      <c r="DW15" s="62">
        <f t="shared" si="28"/>
        <v>562</v>
      </c>
      <c r="DX15" s="62">
        <f t="shared" si="28"/>
        <v>821</v>
      </c>
      <c r="DY15" s="62">
        <f t="shared" si="28"/>
        <v>201</v>
      </c>
      <c r="EA15" s="128" t="str">
        <f t="shared" si="29"/>
        <v>T5高5</v>
      </c>
      <c r="EB15" s="128" t="str">
        <f t="shared" si="30"/>
        <v>T5高7</v>
      </c>
      <c r="EC15" s="62">
        <f t="shared" si="31"/>
        <v>2167</v>
      </c>
      <c r="ED15" s="62">
        <f t="shared" si="31"/>
        <v>337</v>
      </c>
      <c r="EE15" s="62">
        <f t="shared" si="31"/>
        <v>651</v>
      </c>
      <c r="EF15" s="62">
        <f t="shared" si="31"/>
        <v>521</v>
      </c>
      <c r="EG15" s="62">
        <f t="shared" si="31"/>
        <v>958</v>
      </c>
      <c r="EH15" s="62">
        <f t="shared" si="31"/>
        <v>217</v>
      </c>
      <c r="EJ15" s="128" t="str">
        <f t="shared" si="32"/>
        <v>T5高5</v>
      </c>
      <c r="EK15" s="128" t="str">
        <f t="shared" si="33"/>
        <v>T5高7</v>
      </c>
      <c r="EL15" s="62">
        <f t="shared" si="34"/>
        <v>2167</v>
      </c>
      <c r="EM15" s="62">
        <f t="shared" si="34"/>
        <v>447</v>
      </c>
      <c r="EN15" s="62">
        <f t="shared" si="34"/>
        <v>717</v>
      </c>
      <c r="EO15" s="62">
        <f t="shared" si="34"/>
        <v>573</v>
      </c>
      <c r="EP15" s="62">
        <f t="shared" si="34"/>
        <v>958</v>
      </c>
      <c r="EQ15" s="62">
        <f t="shared" si="34"/>
        <v>217</v>
      </c>
    </row>
    <row r="16" spans="2:147" x14ac:dyDescent="0.35">
      <c r="B16" s="196" t="s">
        <v>922</v>
      </c>
      <c r="C16" s="196" t="s">
        <v>988</v>
      </c>
      <c r="D16" s="175">
        <f>C6</f>
        <v>3</v>
      </c>
      <c r="E16" s="175">
        <f>D6</f>
        <v>4</v>
      </c>
      <c r="F16" s="175" t="str">
        <f t="shared" si="46"/>
        <v>T3低3</v>
      </c>
      <c r="G16" s="175" t="str">
        <f t="shared" si="47"/>
        <v>T3低4</v>
      </c>
      <c r="H16" s="670">
        <f>L6</f>
        <v>8</v>
      </c>
      <c r="I16" s="8">
        <v>0.1</v>
      </c>
      <c r="J16" s="651">
        <f>J14+I16*(D14+1)</f>
        <v>1.5</v>
      </c>
      <c r="K16" s="651">
        <f t="shared" si="48"/>
        <v>2.2999999999999998</v>
      </c>
      <c r="L16" s="718">
        <v>1.5</v>
      </c>
      <c r="M16" s="8">
        <v>0.1</v>
      </c>
      <c r="N16" s="8">
        <v>0.2</v>
      </c>
      <c r="P16" s="175" t="str">
        <f t="shared" si="42"/>
        <v>T3低</v>
      </c>
      <c r="Q16" s="175" t="str">
        <f t="shared" si="43"/>
        <v>T3低3</v>
      </c>
      <c r="R16" s="175" t="str">
        <f t="shared" si="44"/>
        <v>T3低4</v>
      </c>
      <c r="S16" s="175">
        <f>L6</f>
        <v>8</v>
      </c>
      <c r="T16" s="668">
        <f t="shared" si="45"/>
        <v>4</v>
      </c>
      <c r="U16" s="184" t="s">
        <v>579</v>
      </c>
      <c r="Y16" s="62" t="s">
        <v>3081</v>
      </c>
      <c r="Z16" s="49">
        <f t="shared" si="36"/>
        <v>2.39</v>
      </c>
      <c r="AD16" s="62" t="str">
        <f t="shared" si="1"/>
        <v>T2中4</v>
      </c>
      <c r="AE16" s="483">
        <f t="shared" si="49"/>
        <v>1912</v>
      </c>
      <c r="AF16" s="62">
        <f t="shared" si="49"/>
        <v>114</v>
      </c>
      <c r="AG16" s="62">
        <f t="shared" si="49"/>
        <v>717</v>
      </c>
      <c r="AH16" s="62">
        <f t="shared" si="49"/>
        <v>502</v>
      </c>
      <c r="AI16" s="62">
        <f t="shared" si="49"/>
        <v>717</v>
      </c>
      <c r="AJ16" s="62">
        <f t="shared" si="49"/>
        <v>191</v>
      </c>
      <c r="AL16" s="62" t="str">
        <f t="shared" si="3"/>
        <v>T2中4</v>
      </c>
      <c r="AM16" s="483">
        <f t="shared" si="50"/>
        <v>1912</v>
      </c>
      <c r="AN16" s="62">
        <f t="shared" si="50"/>
        <v>68</v>
      </c>
      <c r="AO16" s="62">
        <f t="shared" si="50"/>
        <v>785</v>
      </c>
      <c r="AP16" s="62">
        <f t="shared" si="50"/>
        <v>550</v>
      </c>
      <c r="AQ16" s="62">
        <f t="shared" si="50"/>
        <v>717</v>
      </c>
      <c r="AR16" s="62">
        <f t="shared" si="50"/>
        <v>191</v>
      </c>
      <c r="AS16" s="55"/>
      <c r="AT16" s="66" t="str">
        <f t="shared" si="5"/>
        <v>T2中4</v>
      </c>
      <c r="AU16" s="483">
        <f t="shared" si="51"/>
        <v>1912</v>
      </c>
      <c r="AV16" s="66">
        <f t="shared" si="51"/>
        <v>233</v>
      </c>
      <c r="AW16" s="66">
        <f t="shared" si="51"/>
        <v>854</v>
      </c>
      <c r="AX16" s="66">
        <f t="shared" si="51"/>
        <v>598</v>
      </c>
      <c r="AY16" s="66">
        <f t="shared" si="51"/>
        <v>717</v>
      </c>
      <c r="AZ16" s="66">
        <f t="shared" si="51"/>
        <v>191</v>
      </c>
      <c r="BA16" s="55"/>
      <c r="BB16" s="62" t="str">
        <f t="shared" si="7"/>
        <v>T2中4</v>
      </c>
      <c r="BC16" s="483">
        <f t="shared" si="52"/>
        <v>2104</v>
      </c>
      <c r="BD16" s="62">
        <f t="shared" si="52"/>
        <v>136</v>
      </c>
      <c r="BE16" s="62">
        <f t="shared" si="52"/>
        <v>683</v>
      </c>
      <c r="BF16" s="62">
        <f t="shared" si="52"/>
        <v>512</v>
      </c>
      <c r="BG16" s="62">
        <f t="shared" si="52"/>
        <v>860</v>
      </c>
      <c r="BH16" s="62">
        <f t="shared" si="52"/>
        <v>210</v>
      </c>
      <c r="BJ16" s="62" t="str">
        <f t="shared" si="9"/>
        <v>T2中4</v>
      </c>
      <c r="BK16" s="483">
        <f t="shared" si="53"/>
        <v>2104</v>
      </c>
      <c r="BL16" s="62">
        <f t="shared" si="53"/>
        <v>354</v>
      </c>
      <c r="BM16" s="62">
        <f t="shared" si="53"/>
        <v>785</v>
      </c>
      <c r="BN16" s="62">
        <f t="shared" si="53"/>
        <v>589</v>
      </c>
      <c r="BO16" s="62">
        <f t="shared" si="53"/>
        <v>860</v>
      </c>
      <c r="BP16" s="62">
        <f t="shared" si="53"/>
        <v>210</v>
      </c>
      <c r="BR16" s="62" t="str">
        <f t="shared" si="11"/>
        <v>T2中4</v>
      </c>
      <c r="BS16" s="483">
        <f t="shared" si="54"/>
        <v>2272</v>
      </c>
      <c r="BT16" s="62">
        <f t="shared" si="54"/>
        <v>353</v>
      </c>
      <c r="BU16" s="62">
        <f t="shared" si="54"/>
        <v>683</v>
      </c>
      <c r="BV16" s="62">
        <f t="shared" si="54"/>
        <v>546</v>
      </c>
      <c r="BW16" s="62">
        <f t="shared" si="54"/>
        <v>1004</v>
      </c>
      <c r="BX16" s="62">
        <f t="shared" si="54"/>
        <v>227</v>
      </c>
      <c r="BZ16" s="62" t="str">
        <f t="shared" si="13"/>
        <v>T2中4</v>
      </c>
      <c r="CA16" s="483">
        <f t="shared" si="55"/>
        <v>2272</v>
      </c>
      <c r="CB16" s="62">
        <f t="shared" si="55"/>
        <v>469</v>
      </c>
      <c r="CC16" s="62">
        <f t="shared" si="55"/>
        <v>751</v>
      </c>
      <c r="CD16" s="62">
        <f t="shared" si="55"/>
        <v>601</v>
      </c>
      <c r="CE16" s="62">
        <f t="shared" si="55"/>
        <v>1004</v>
      </c>
      <c r="CF16" s="62">
        <f t="shared" si="55"/>
        <v>227</v>
      </c>
      <c r="CG16" s="55"/>
    </row>
    <row r="17" spans="2:85" x14ac:dyDescent="0.35">
      <c r="B17" s="196" t="s">
        <v>922</v>
      </c>
      <c r="C17" s="196" t="s">
        <v>989</v>
      </c>
      <c r="D17" s="175">
        <f>E6</f>
        <v>3</v>
      </c>
      <c r="E17" s="175">
        <f>F6</f>
        <v>5</v>
      </c>
      <c r="F17" s="175" t="str">
        <f t="shared" si="46"/>
        <v>T3中3</v>
      </c>
      <c r="G17" s="175" t="str">
        <f t="shared" si="47"/>
        <v>T3中5</v>
      </c>
      <c r="H17" s="670">
        <f>M6</f>
        <v>14</v>
      </c>
      <c r="I17" s="8">
        <v>0.115</v>
      </c>
      <c r="J17" s="651">
        <f>J14+I17*(D14+1)</f>
        <v>1.5449999999999999</v>
      </c>
      <c r="K17" s="651">
        <f t="shared" si="48"/>
        <v>3.02</v>
      </c>
      <c r="L17" s="718">
        <v>1.5449999999999999</v>
      </c>
      <c r="M17" s="8">
        <v>0.115</v>
      </c>
      <c r="N17" s="8">
        <v>0.23</v>
      </c>
      <c r="P17" s="175" t="str">
        <f t="shared" si="42"/>
        <v>T3中</v>
      </c>
      <c r="Q17" s="175" t="str">
        <f t="shared" si="43"/>
        <v>T3中3</v>
      </c>
      <c r="R17" s="175" t="str">
        <f t="shared" si="44"/>
        <v>T3中5</v>
      </c>
      <c r="S17" s="175">
        <f>M6</f>
        <v>14</v>
      </c>
      <c r="T17" s="668">
        <f t="shared" si="45"/>
        <v>5</v>
      </c>
      <c r="U17" s="184" t="s">
        <v>579</v>
      </c>
      <c r="Y17" s="62" t="s">
        <v>1052</v>
      </c>
      <c r="Z17" s="49">
        <f t="shared" si="36"/>
        <v>2.4</v>
      </c>
      <c r="AD17" s="62" t="str">
        <f t="shared" si="1"/>
        <v>T5低5</v>
      </c>
      <c r="AE17" s="483">
        <f t="shared" si="49"/>
        <v>1920</v>
      </c>
      <c r="AF17" s="62">
        <f t="shared" si="49"/>
        <v>114</v>
      </c>
      <c r="AG17" s="62">
        <f t="shared" si="49"/>
        <v>720</v>
      </c>
      <c r="AH17" s="62">
        <f t="shared" si="49"/>
        <v>504</v>
      </c>
      <c r="AI17" s="62">
        <f t="shared" si="49"/>
        <v>720</v>
      </c>
      <c r="AJ17" s="62">
        <f t="shared" si="49"/>
        <v>192</v>
      </c>
      <c r="AL17" s="62" t="str">
        <f t="shared" si="3"/>
        <v>T5低5</v>
      </c>
      <c r="AM17" s="483">
        <f t="shared" si="50"/>
        <v>1920</v>
      </c>
      <c r="AN17" s="62">
        <f t="shared" si="50"/>
        <v>68</v>
      </c>
      <c r="AO17" s="62">
        <f t="shared" si="50"/>
        <v>789</v>
      </c>
      <c r="AP17" s="62">
        <f t="shared" si="50"/>
        <v>552</v>
      </c>
      <c r="AQ17" s="62">
        <f t="shared" si="50"/>
        <v>720</v>
      </c>
      <c r="AR17" s="62">
        <f t="shared" si="50"/>
        <v>192</v>
      </c>
      <c r="AS17" s="55"/>
      <c r="AT17" s="66" t="str">
        <f t="shared" si="5"/>
        <v>T5低5</v>
      </c>
      <c r="AU17" s="483">
        <f t="shared" si="51"/>
        <v>1920</v>
      </c>
      <c r="AV17" s="66">
        <f t="shared" si="51"/>
        <v>234</v>
      </c>
      <c r="AW17" s="66">
        <f t="shared" si="51"/>
        <v>857</v>
      </c>
      <c r="AX17" s="66">
        <f t="shared" si="51"/>
        <v>600</v>
      </c>
      <c r="AY17" s="66">
        <f t="shared" si="51"/>
        <v>720</v>
      </c>
      <c r="AZ17" s="66">
        <f t="shared" si="51"/>
        <v>192</v>
      </c>
      <c r="BA17" s="55"/>
      <c r="BB17" s="62" t="str">
        <f t="shared" si="7"/>
        <v>T5低5</v>
      </c>
      <c r="BC17" s="483">
        <f t="shared" si="52"/>
        <v>2113</v>
      </c>
      <c r="BD17" s="62">
        <f t="shared" si="52"/>
        <v>137</v>
      </c>
      <c r="BE17" s="62">
        <f t="shared" si="52"/>
        <v>686</v>
      </c>
      <c r="BF17" s="62">
        <f t="shared" si="52"/>
        <v>514</v>
      </c>
      <c r="BG17" s="62">
        <f t="shared" si="52"/>
        <v>864</v>
      </c>
      <c r="BH17" s="62">
        <f t="shared" si="52"/>
        <v>211</v>
      </c>
      <c r="BJ17" s="62" t="str">
        <f t="shared" si="9"/>
        <v>T5低5</v>
      </c>
      <c r="BK17" s="483">
        <f t="shared" si="53"/>
        <v>2113</v>
      </c>
      <c r="BL17" s="62">
        <f t="shared" si="53"/>
        <v>356</v>
      </c>
      <c r="BM17" s="62">
        <f t="shared" si="53"/>
        <v>789</v>
      </c>
      <c r="BN17" s="62">
        <f t="shared" si="53"/>
        <v>591</v>
      </c>
      <c r="BO17" s="62">
        <f t="shared" si="53"/>
        <v>864</v>
      </c>
      <c r="BP17" s="62">
        <f t="shared" si="53"/>
        <v>211</v>
      </c>
      <c r="BR17" s="62" t="str">
        <f t="shared" si="11"/>
        <v>T5低5</v>
      </c>
      <c r="BS17" s="483">
        <f t="shared" si="54"/>
        <v>2281</v>
      </c>
      <c r="BT17" s="62">
        <f t="shared" si="54"/>
        <v>354</v>
      </c>
      <c r="BU17" s="62">
        <f t="shared" si="54"/>
        <v>686</v>
      </c>
      <c r="BV17" s="62">
        <f t="shared" si="54"/>
        <v>549</v>
      </c>
      <c r="BW17" s="62">
        <f t="shared" si="54"/>
        <v>1008</v>
      </c>
      <c r="BX17" s="62">
        <f t="shared" si="54"/>
        <v>228</v>
      </c>
      <c r="BZ17" s="62" t="str">
        <f t="shared" si="13"/>
        <v>T5低5</v>
      </c>
      <c r="CA17" s="483">
        <f t="shared" si="55"/>
        <v>2281</v>
      </c>
      <c r="CB17" s="62">
        <f t="shared" si="55"/>
        <v>471</v>
      </c>
      <c r="CC17" s="62">
        <f t="shared" si="55"/>
        <v>754</v>
      </c>
      <c r="CD17" s="62">
        <f t="shared" si="55"/>
        <v>603</v>
      </c>
      <c r="CE17" s="62">
        <f t="shared" si="55"/>
        <v>1008</v>
      </c>
      <c r="CF17" s="62">
        <f t="shared" si="55"/>
        <v>228</v>
      </c>
      <c r="CG17" s="55"/>
    </row>
    <row r="18" spans="2:85" x14ac:dyDescent="0.35">
      <c r="B18" s="196" t="s">
        <v>922</v>
      </c>
      <c r="C18" s="196" t="s">
        <v>990</v>
      </c>
      <c r="D18" s="175">
        <f>G6</f>
        <v>3</v>
      </c>
      <c r="E18" s="175">
        <f>H6</f>
        <v>5</v>
      </c>
      <c r="F18" s="175" t="str">
        <f t="shared" si="46"/>
        <v>T3高3</v>
      </c>
      <c r="G18" s="175" t="str">
        <f t="shared" si="47"/>
        <v>T3高5</v>
      </c>
      <c r="H18" s="670">
        <f>N6</f>
        <v>14</v>
      </c>
      <c r="I18" s="8">
        <v>0.14000000000000001</v>
      </c>
      <c r="J18" s="651">
        <f>J14+I18*(D14+1)</f>
        <v>1.62</v>
      </c>
      <c r="K18" s="651">
        <f t="shared" si="48"/>
        <v>3.22</v>
      </c>
      <c r="L18" s="718">
        <v>1.62</v>
      </c>
      <c r="M18" s="8">
        <v>0.14000000000000001</v>
      </c>
      <c r="N18" s="8">
        <v>0.27999999999999997</v>
      </c>
      <c r="P18" s="175" t="str">
        <f t="shared" si="42"/>
        <v>T3高</v>
      </c>
      <c r="Q18" s="175" t="str">
        <f t="shared" si="43"/>
        <v>T3高3</v>
      </c>
      <c r="R18" s="175" t="str">
        <f t="shared" si="44"/>
        <v>T3高5</v>
      </c>
      <c r="S18" s="175">
        <f>N6</f>
        <v>14</v>
      </c>
      <c r="T18" s="668">
        <f t="shared" si="45"/>
        <v>5</v>
      </c>
      <c r="U18" s="184" t="s">
        <v>579</v>
      </c>
      <c r="Y18" s="62" t="s">
        <v>1062</v>
      </c>
      <c r="Z18" s="49">
        <f t="shared" si="36"/>
        <v>2.4750000000000001</v>
      </c>
      <c r="AD18" s="62" t="str">
        <f t="shared" si="1"/>
        <v>T5中5</v>
      </c>
      <c r="AE18" s="483">
        <f t="shared" si="49"/>
        <v>1980</v>
      </c>
      <c r="AF18" s="62">
        <f t="shared" si="49"/>
        <v>118</v>
      </c>
      <c r="AG18" s="62">
        <f t="shared" si="49"/>
        <v>743</v>
      </c>
      <c r="AH18" s="62">
        <f t="shared" si="49"/>
        <v>520</v>
      </c>
      <c r="AI18" s="62">
        <f t="shared" si="49"/>
        <v>743</v>
      </c>
      <c r="AJ18" s="62">
        <f t="shared" si="49"/>
        <v>198</v>
      </c>
      <c r="AL18" s="62" t="str">
        <f t="shared" si="3"/>
        <v>T5中5</v>
      </c>
      <c r="AM18" s="483">
        <f t="shared" si="50"/>
        <v>1980</v>
      </c>
      <c r="AN18" s="62">
        <f t="shared" si="50"/>
        <v>70</v>
      </c>
      <c r="AO18" s="62">
        <f t="shared" si="50"/>
        <v>813</v>
      </c>
      <c r="AP18" s="62">
        <f t="shared" si="50"/>
        <v>569</v>
      </c>
      <c r="AQ18" s="62">
        <f t="shared" si="50"/>
        <v>743</v>
      </c>
      <c r="AR18" s="62">
        <f t="shared" si="50"/>
        <v>198</v>
      </c>
      <c r="AS18" s="55"/>
      <c r="AT18" s="66" t="str">
        <f t="shared" si="5"/>
        <v>T5中5</v>
      </c>
      <c r="AU18" s="483">
        <f t="shared" si="51"/>
        <v>1980</v>
      </c>
      <c r="AV18" s="66">
        <f t="shared" si="51"/>
        <v>242</v>
      </c>
      <c r="AW18" s="66">
        <f t="shared" si="51"/>
        <v>884</v>
      </c>
      <c r="AX18" s="66">
        <f t="shared" si="51"/>
        <v>619</v>
      </c>
      <c r="AY18" s="66">
        <f t="shared" si="51"/>
        <v>743</v>
      </c>
      <c r="AZ18" s="66">
        <f t="shared" si="51"/>
        <v>198</v>
      </c>
      <c r="BA18" s="55"/>
      <c r="BB18" s="62" t="str">
        <f t="shared" si="7"/>
        <v>T5中5</v>
      </c>
      <c r="BC18" s="483">
        <f t="shared" si="52"/>
        <v>2179</v>
      </c>
      <c r="BD18" s="62">
        <f t="shared" si="52"/>
        <v>141</v>
      </c>
      <c r="BE18" s="62">
        <f t="shared" si="52"/>
        <v>707</v>
      </c>
      <c r="BF18" s="62">
        <f t="shared" si="52"/>
        <v>530</v>
      </c>
      <c r="BG18" s="62">
        <f t="shared" si="52"/>
        <v>891</v>
      </c>
      <c r="BH18" s="62">
        <f t="shared" si="52"/>
        <v>218</v>
      </c>
      <c r="BJ18" s="62" t="str">
        <f t="shared" si="9"/>
        <v>T5中5</v>
      </c>
      <c r="BK18" s="483">
        <f t="shared" si="53"/>
        <v>2179</v>
      </c>
      <c r="BL18" s="62">
        <f t="shared" si="53"/>
        <v>367</v>
      </c>
      <c r="BM18" s="62">
        <f t="shared" si="53"/>
        <v>813</v>
      </c>
      <c r="BN18" s="62">
        <f t="shared" si="53"/>
        <v>610</v>
      </c>
      <c r="BO18" s="62">
        <f t="shared" si="53"/>
        <v>891</v>
      </c>
      <c r="BP18" s="62">
        <f t="shared" si="53"/>
        <v>218</v>
      </c>
      <c r="BR18" s="62" t="str">
        <f t="shared" si="11"/>
        <v>T5中5</v>
      </c>
      <c r="BS18" s="483">
        <f t="shared" si="54"/>
        <v>2352</v>
      </c>
      <c r="BT18" s="62">
        <f t="shared" si="54"/>
        <v>365</v>
      </c>
      <c r="BU18" s="62">
        <f t="shared" si="54"/>
        <v>707</v>
      </c>
      <c r="BV18" s="62">
        <f t="shared" si="54"/>
        <v>566</v>
      </c>
      <c r="BW18" s="62">
        <f t="shared" si="54"/>
        <v>1040</v>
      </c>
      <c r="BX18" s="62">
        <f t="shared" si="54"/>
        <v>235</v>
      </c>
      <c r="BZ18" s="62" t="str">
        <f t="shared" si="13"/>
        <v>T5中5</v>
      </c>
      <c r="CA18" s="483">
        <f t="shared" si="55"/>
        <v>2352</v>
      </c>
      <c r="CB18" s="62">
        <f t="shared" si="55"/>
        <v>485</v>
      </c>
      <c r="CC18" s="62">
        <f t="shared" si="55"/>
        <v>778</v>
      </c>
      <c r="CD18" s="62">
        <f t="shared" si="55"/>
        <v>622</v>
      </c>
      <c r="CE18" s="62">
        <f t="shared" si="55"/>
        <v>1040</v>
      </c>
      <c r="CF18" s="62">
        <f t="shared" si="55"/>
        <v>235</v>
      </c>
      <c r="CG18" s="55"/>
    </row>
    <row r="19" spans="2:85" x14ac:dyDescent="0.35">
      <c r="B19" s="196" t="s">
        <v>923</v>
      </c>
      <c r="C19" s="196" t="s">
        <v>988</v>
      </c>
      <c r="D19" s="175">
        <f>C7</f>
        <v>4</v>
      </c>
      <c r="E19" s="175">
        <f>D7</f>
        <v>5</v>
      </c>
      <c r="F19" s="175" t="str">
        <f t="shared" si="46"/>
        <v>T4低4</v>
      </c>
      <c r="G19" s="175" t="str">
        <f t="shared" si="47"/>
        <v>T4低5</v>
      </c>
      <c r="H19" s="670">
        <f>L7</f>
        <v>10</v>
      </c>
      <c r="I19" s="8">
        <v>0.1</v>
      </c>
      <c r="J19" s="651">
        <f>J16+I19*(D16+1)</f>
        <v>1.9</v>
      </c>
      <c r="K19" s="651">
        <f t="shared" si="48"/>
        <v>2.9</v>
      </c>
      <c r="L19" s="718">
        <v>1.9</v>
      </c>
      <c r="M19" s="8">
        <v>0.1</v>
      </c>
      <c r="N19" s="8">
        <v>0.2</v>
      </c>
      <c r="P19" s="175" t="str">
        <f t="shared" si="42"/>
        <v>T4低</v>
      </c>
      <c r="Q19" s="175" t="str">
        <f t="shared" si="43"/>
        <v>T4低4</v>
      </c>
      <c r="R19" s="175" t="str">
        <f t="shared" si="44"/>
        <v>T4低5</v>
      </c>
      <c r="S19" s="175">
        <f>L7</f>
        <v>10</v>
      </c>
      <c r="T19" s="668">
        <f t="shared" si="45"/>
        <v>5</v>
      </c>
      <c r="U19" s="184" t="s">
        <v>580</v>
      </c>
      <c r="Y19" s="62" t="s">
        <v>1073</v>
      </c>
      <c r="Z19" s="49">
        <f t="shared" si="36"/>
        <v>2.6</v>
      </c>
      <c r="AD19" s="62" t="str">
        <f t="shared" si="1"/>
        <v>T5高5</v>
      </c>
      <c r="AE19" s="483">
        <f t="shared" si="49"/>
        <v>2080</v>
      </c>
      <c r="AF19" s="62">
        <f t="shared" si="49"/>
        <v>124</v>
      </c>
      <c r="AG19" s="62">
        <f t="shared" si="49"/>
        <v>780</v>
      </c>
      <c r="AH19" s="62">
        <f t="shared" si="49"/>
        <v>546</v>
      </c>
      <c r="AI19" s="62">
        <f t="shared" si="49"/>
        <v>780</v>
      </c>
      <c r="AJ19" s="62">
        <f t="shared" si="49"/>
        <v>208</v>
      </c>
      <c r="AL19" s="62" t="str">
        <f t="shared" si="3"/>
        <v>T5高5</v>
      </c>
      <c r="AM19" s="483">
        <f t="shared" si="50"/>
        <v>2080</v>
      </c>
      <c r="AN19" s="62">
        <f t="shared" si="50"/>
        <v>74</v>
      </c>
      <c r="AO19" s="62">
        <f t="shared" si="50"/>
        <v>854</v>
      </c>
      <c r="AP19" s="62">
        <f t="shared" si="50"/>
        <v>598</v>
      </c>
      <c r="AQ19" s="62">
        <f t="shared" si="50"/>
        <v>780</v>
      </c>
      <c r="AR19" s="62">
        <f t="shared" si="50"/>
        <v>208</v>
      </c>
      <c r="AS19" s="55"/>
      <c r="AT19" s="66" t="str">
        <f t="shared" si="5"/>
        <v>T5高5</v>
      </c>
      <c r="AU19" s="483">
        <f t="shared" si="51"/>
        <v>2080</v>
      </c>
      <c r="AV19" s="66">
        <f t="shared" si="51"/>
        <v>254</v>
      </c>
      <c r="AW19" s="66">
        <f t="shared" si="51"/>
        <v>929</v>
      </c>
      <c r="AX19" s="66">
        <f t="shared" si="51"/>
        <v>650</v>
      </c>
      <c r="AY19" s="66">
        <f t="shared" si="51"/>
        <v>780</v>
      </c>
      <c r="AZ19" s="66">
        <f t="shared" si="51"/>
        <v>208</v>
      </c>
      <c r="BA19" s="55"/>
      <c r="BB19" s="62" t="str">
        <f t="shared" si="7"/>
        <v>T5高5</v>
      </c>
      <c r="BC19" s="483">
        <f t="shared" si="52"/>
        <v>2289</v>
      </c>
      <c r="BD19" s="62">
        <f t="shared" si="52"/>
        <v>148</v>
      </c>
      <c r="BE19" s="62">
        <f t="shared" si="52"/>
        <v>743</v>
      </c>
      <c r="BF19" s="62">
        <f t="shared" si="52"/>
        <v>557</v>
      </c>
      <c r="BG19" s="62">
        <f t="shared" si="52"/>
        <v>936</v>
      </c>
      <c r="BH19" s="62">
        <f t="shared" si="52"/>
        <v>229</v>
      </c>
      <c r="BJ19" s="62" t="str">
        <f t="shared" si="9"/>
        <v>T5高5</v>
      </c>
      <c r="BK19" s="483">
        <f t="shared" si="53"/>
        <v>2289</v>
      </c>
      <c r="BL19" s="62">
        <f t="shared" si="53"/>
        <v>385</v>
      </c>
      <c r="BM19" s="62">
        <f t="shared" si="53"/>
        <v>854</v>
      </c>
      <c r="BN19" s="62">
        <f t="shared" si="53"/>
        <v>641</v>
      </c>
      <c r="BO19" s="62">
        <f t="shared" si="53"/>
        <v>936</v>
      </c>
      <c r="BP19" s="62">
        <f t="shared" si="53"/>
        <v>229</v>
      </c>
      <c r="BR19" s="62" t="str">
        <f t="shared" si="11"/>
        <v>T5高5</v>
      </c>
      <c r="BS19" s="483">
        <f t="shared" si="54"/>
        <v>2471</v>
      </c>
      <c r="BT19" s="62">
        <f t="shared" si="54"/>
        <v>384</v>
      </c>
      <c r="BU19" s="62">
        <f t="shared" si="54"/>
        <v>743</v>
      </c>
      <c r="BV19" s="62">
        <f t="shared" si="54"/>
        <v>594</v>
      </c>
      <c r="BW19" s="62">
        <f t="shared" si="54"/>
        <v>1092</v>
      </c>
      <c r="BX19" s="62">
        <f t="shared" si="54"/>
        <v>247</v>
      </c>
      <c r="BZ19" s="62" t="str">
        <f t="shared" si="13"/>
        <v>T5高5</v>
      </c>
      <c r="CA19" s="483">
        <f t="shared" si="55"/>
        <v>2471</v>
      </c>
      <c r="CB19" s="62">
        <f t="shared" si="55"/>
        <v>510</v>
      </c>
      <c r="CC19" s="62">
        <f t="shared" si="55"/>
        <v>817</v>
      </c>
      <c r="CD19" s="62">
        <f t="shared" si="55"/>
        <v>654</v>
      </c>
      <c r="CE19" s="62">
        <f t="shared" si="55"/>
        <v>1092</v>
      </c>
      <c r="CF19" s="62">
        <f t="shared" si="55"/>
        <v>247</v>
      </c>
      <c r="CG19" s="55"/>
    </row>
    <row r="20" spans="2:85" x14ac:dyDescent="0.35">
      <c r="B20" s="196" t="s">
        <v>923</v>
      </c>
      <c r="C20" s="196" t="s">
        <v>989</v>
      </c>
      <c r="D20" s="175">
        <f>E7</f>
        <v>4</v>
      </c>
      <c r="E20" s="175">
        <f>F7</f>
        <v>6</v>
      </c>
      <c r="F20" s="175" t="str">
        <f t="shared" si="46"/>
        <v>T4中4</v>
      </c>
      <c r="G20" s="175" t="str">
        <f t="shared" si="47"/>
        <v>T4中6</v>
      </c>
      <c r="H20" s="670">
        <f>M7</f>
        <v>17</v>
      </c>
      <c r="I20" s="8">
        <v>0.115</v>
      </c>
      <c r="J20" s="651">
        <f>J16+I20*(D16+1)</f>
        <v>1.96</v>
      </c>
      <c r="K20" s="651">
        <f t="shared" si="48"/>
        <v>3.75</v>
      </c>
      <c r="L20" s="718">
        <v>1.96</v>
      </c>
      <c r="M20" s="8">
        <v>0.115</v>
      </c>
      <c r="N20" s="8">
        <v>0.23</v>
      </c>
      <c r="P20" s="175" t="str">
        <f t="shared" si="42"/>
        <v>T4中</v>
      </c>
      <c r="Q20" s="175" t="str">
        <f t="shared" si="43"/>
        <v>T4中4</v>
      </c>
      <c r="R20" s="175" t="str">
        <f t="shared" si="44"/>
        <v>T4中6</v>
      </c>
      <c r="S20" s="175">
        <f>M7</f>
        <v>17</v>
      </c>
      <c r="T20" s="668">
        <f t="shared" si="45"/>
        <v>6</v>
      </c>
      <c r="U20" s="184" t="s">
        <v>580</v>
      </c>
      <c r="Y20" s="62" t="s">
        <v>1031</v>
      </c>
      <c r="Z20" s="49">
        <f t="shared" si="36"/>
        <v>2.9</v>
      </c>
      <c r="AD20" s="62" t="str">
        <f t="shared" si="1"/>
        <v>T4低5</v>
      </c>
      <c r="AE20" s="483">
        <f t="shared" si="49"/>
        <v>2320</v>
      </c>
      <c r="AF20" s="62">
        <f t="shared" si="49"/>
        <v>138</v>
      </c>
      <c r="AG20" s="62">
        <f t="shared" si="49"/>
        <v>870</v>
      </c>
      <c r="AH20" s="62">
        <f t="shared" si="49"/>
        <v>609</v>
      </c>
      <c r="AI20" s="62">
        <f t="shared" si="49"/>
        <v>870</v>
      </c>
      <c r="AJ20" s="62">
        <f t="shared" si="49"/>
        <v>232</v>
      </c>
      <c r="AL20" s="62" t="str">
        <f t="shared" si="3"/>
        <v>T4低5</v>
      </c>
      <c r="AM20" s="483">
        <f t="shared" si="50"/>
        <v>2320</v>
      </c>
      <c r="AN20" s="62">
        <f t="shared" si="50"/>
        <v>82</v>
      </c>
      <c r="AO20" s="62">
        <f t="shared" si="50"/>
        <v>953</v>
      </c>
      <c r="AP20" s="62">
        <f t="shared" si="50"/>
        <v>667</v>
      </c>
      <c r="AQ20" s="62">
        <f t="shared" si="50"/>
        <v>870</v>
      </c>
      <c r="AR20" s="62">
        <f t="shared" si="50"/>
        <v>232</v>
      </c>
      <c r="AS20" s="55"/>
      <c r="AT20" s="66" t="str">
        <f t="shared" si="5"/>
        <v>T4低5</v>
      </c>
      <c r="AU20" s="483">
        <f t="shared" si="51"/>
        <v>2320</v>
      </c>
      <c r="AV20" s="66">
        <f t="shared" si="51"/>
        <v>283</v>
      </c>
      <c r="AW20" s="66">
        <f t="shared" si="51"/>
        <v>1036</v>
      </c>
      <c r="AX20" s="66">
        <f t="shared" si="51"/>
        <v>725</v>
      </c>
      <c r="AY20" s="66">
        <f t="shared" si="51"/>
        <v>870</v>
      </c>
      <c r="AZ20" s="66">
        <f t="shared" si="51"/>
        <v>232</v>
      </c>
      <c r="BA20" s="55"/>
      <c r="BB20" s="62" t="str">
        <f t="shared" si="7"/>
        <v>T4低5</v>
      </c>
      <c r="BC20" s="483">
        <f t="shared" si="52"/>
        <v>2553</v>
      </c>
      <c r="BD20" s="62">
        <f t="shared" si="52"/>
        <v>165</v>
      </c>
      <c r="BE20" s="62">
        <f t="shared" si="52"/>
        <v>829</v>
      </c>
      <c r="BF20" s="62">
        <f t="shared" si="52"/>
        <v>621</v>
      </c>
      <c r="BG20" s="62">
        <f t="shared" si="52"/>
        <v>1044</v>
      </c>
      <c r="BH20" s="62">
        <f t="shared" si="52"/>
        <v>255</v>
      </c>
      <c r="BJ20" s="62" t="str">
        <f t="shared" si="9"/>
        <v>T4低5</v>
      </c>
      <c r="BK20" s="483">
        <f t="shared" si="53"/>
        <v>2553</v>
      </c>
      <c r="BL20" s="62">
        <f t="shared" si="53"/>
        <v>430</v>
      </c>
      <c r="BM20" s="62">
        <f t="shared" si="53"/>
        <v>953</v>
      </c>
      <c r="BN20" s="62">
        <f t="shared" si="53"/>
        <v>715</v>
      </c>
      <c r="BO20" s="62">
        <f t="shared" si="53"/>
        <v>1044</v>
      </c>
      <c r="BP20" s="62">
        <f t="shared" si="53"/>
        <v>255</v>
      </c>
      <c r="BR20" s="62" t="str">
        <f t="shared" si="11"/>
        <v>T4低5</v>
      </c>
      <c r="BS20" s="483">
        <f t="shared" si="54"/>
        <v>2756</v>
      </c>
      <c r="BT20" s="62">
        <f t="shared" si="54"/>
        <v>428</v>
      </c>
      <c r="BU20" s="62">
        <f t="shared" si="54"/>
        <v>829</v>
      </c>
      <c r="BV20" s="62">
        <f t="shared" si="54"/>
        <v>663</v>
      </c>
      <c r="BW20" s="62">
        <f t="shared" si="54"/>
        <v>1218</v>
      </c>
      <c r="BX20" s="62">
        <f t="shared" si="54"/>
        <v>276</v>
      </c>
      <c r="BZ20" s="62" t="str">
        <f t="shared" si="13"/>
        <v>T4低5</v>
      </c>
      <c r="CA20" s="483">
        <f t="shared" si="55"/>
        <v>2756</v>
      </c>
      <c r="CB20" s="62">
        <f t="shared" si="55"/>
        <v>569</v>
      </c>
      <c r="CC20" s="62">
        <f t="shared" si="55"/>
        <v>911</v>
      </c>
      <c r="CD20" s="62">
        <f t="shared" si="55"/>
        <v>729</v>
      </c>
      <c r="CE20" s="62">
        <f t="shared" si="55"/>
        <v>1218</v>
      </c>
      <c r="CF20" s="62">
        <f t="shared" si="55"/>
        <v>276</v>
      </c>
      <c r="CG20" s="55"/>
    </row>
    <row r="21" spans="2:85" x14ac:dyDescent="0.35">
      <c r="B21" s="196" t="s">
        <v>923</v>
      </c>
      <c r="C21" s="196" t="s">
        <v>990</v>
      </c>
      <c r="D21" s="175">
        <f>G7</f>
        <v>4</v>
      </c>
      <c r="E21" s="175">
        <f>H7</f>
        <v>6</v>
      </c>
      <c r="F21" s="175" t="str">
        <f t="shared" si="46"/>
        <v>T4高4</v>
      </c>
      <c r="G21" s="175" t="str">
        <f t="shared" si="47"/>
        <v>T4高6</v>
      </c>
      <c r="H21" s="670">
        <f>N7</f>
        <v>17</v>
      </c>
      <c r="I21" s="8">
        <v>0.14000000000000001</v>
      </c>
      <c r="J21" s="651">
        <f>J16+I21*(D16+1)</f>
        <v>2.06</v>
      </c>
      <c r="K21" s="651">
        <f t="shared" si="48"/>
        <v>4</v>
      </c>
      <c r="L21" s="718">
        <v>2.06</v>
      </c>
      <c r="M21" s="8">
        <v>0.14000000000000001</v>
      </c>
      <c r="N21" s="8">
        <v>0.27999999999999997</v>
      </c>
      <c r="P21" s="175" t="str">
        <f t="shared" si="42"/>
        <v>T4高</v>
      </c>
      <c r="Q21" s="175" t="str">
        <f t="shared" si="43"/>
        <v>T4高4</v>
      </c>
      <c r="R21" s="175" t="str">
        <f t="shared" si="44"/>
        <v>T4高6</v>
      </c>
      <c r="S21" s="175">
        <f>N7</f>
        <v>17</v>
      </c>
      <c r="T21" s="668">
        <f t="shared" si="45"/>
        <v>6</v>
      </c>
      <c r="U21" s="184" t="s">
        <v>580</v>
      </c>
      <c r="Y21" s="62" t="s">
        <v>1020</v>
      </c>
      <c r="Z21" s="49">
        <f t="shared" si="36"/>
        <v>3.02</v>
      </c>
      <c r="AD21" s="62" t="str">
        <f t="shared" si="1"/>
        <v>T3中5</v>
      </c>
      <c r="AE21" s="483">
        <f t="shared" si="49"/>
        <v>2416</v>
      </c>
      <c r="AF21" s="62">
        <f t="shared" si="49"/>
        <v>144</v>
      </c>
      <c r="AG21" s="62">
        <f t="shared" si="49"/>
        <v>906</v>
      </c>
      <c r="AH21" s="62">
        <f t="shared" si="49"/>
        <v>634</v>
      </c>
      <c r="AI21" s="62">
        <f t="shared" si="49"/>
        <v>906</v>
      </c>
      <c r="AJ21" s="62">
        <f t="shared" si="49"/>
        <v>242</v>
      </c>
      <c r="AL21" s="62" t="str">
        <f t="shared" si="3"/>
        <v>T3中5</v>
      </c>
      <c r="AM21" s="483">
        <f t="shared" si="50"/>
        <v>2416</v>
      </c>
      <c r="AN21" s="62">
        <f t="shared" si="50"/>
        <v>86</v>
      </c>
      <c r="AO21" s="62">
        <f t="shared" si="50"/>
        <v>992</v>
      </c>
      <c r="AP21" s="62">
        <f t="shared" si="50"/>
        <v>695</v>
      </c>
      <c r="AQ21" s="62">
        <f t="shared" si="50"/>
        <v>906</v>
      </c>
      <c r="AR21" s="62">
        <f t="shared" si="50"/>
        <v>242</v>
      </c>
      <c r="AS21" s="55"/>
      <c r="AT21" s="66" t="str">
        <f t="shared" si="5"/>
        <v>T3中5</v>
      </c>
      <c r="AU21" s="483">
        <f t="shared" si="51"/>
        <v>2416</v>
      </c>
      <c r="AV21" s="66">
        <f t="shared" si="51"/>
        <v>295</v>
      </c>
      <c r="AW21" s="66">
        <f t="shared" si="51"/>
        <v>1079</v>
      </c>
      <c r="AX21" s="66">
        <f t="shared" si="51"/>
        <v>755</v>
      </c>
      <c r="AY21" s="66">
        <f t="shared" si="51"/>
        <v>906</v>
      </c>
      <c r="AZ21" s="66">
        <f t="shared" si="51"/>
        <v>242</v>
      </c>
      <c r="BA21" s="55"/>
      <c r="BB21" s="62" t="str">
        <f t="shared" si="7"/>
        <v>T3中5</v>
      </c>
      <c r="BC21" s="483">
        <f t="shared" si="52"/>
        <v>2659</v>
      </c>
      <c r="BD21" s="62">
        <f t="shared" si="52"/>
        <v>172</v>
      </c>
      <c r="BE21" s="62">
        <f t="shared" si="52"/>
        <v>863</v>
      </c>
      <c r="BF21" s="62">
        <f t="shared" si="52"/>
        <v>647</v>
      </c>
      <c r="BG21" s="62">
        <f t="shared" si="52"/>
        <v>1087</v>
      </c>
      <c r="BH21" s="62">
        <f t="shared" si="52"/>
        <v>266</v>
      </c>
      <c r="BJ21" s="62" t="str">
        <f t="shared" si="9"/>
        <v>T3中5</v>
      </c>
      <c r="BK21" s="483">
        <f t="shared" si="53"/>
        <v>2659</v>
      </c>
      <c r="BL21" s="62">
        <f t="shared" si="53"/>
        <v>447</v>
      </c>
      <c r="BM21" s="62">
        <f t="shared" si="53"/>
        <v>992</v>
      </c>
      <c r="BN21" s="62">
        <f t="shared" si="53"/>
        <v>744</v>
      </c>
      <c r="BO21" s="62">
        <f t="shared" si="53"/>
        <v>1087</v>
      </c>
      <c r="BP21" s="62">
        <f t="shared" si="53"/>
        <v>266</v>
      </c>
      <c r="BR21" s="62" t="str">
        <f t="shared" si="11"/>
        <v>T3中5</v>
      </c>
      <c r="BS21" s="483">
        <f t="shared" si="54"/>
        <v>2870</v>
      </c>
      <c r="BT21" s="62">
        <f t="shared" si="54"/>
        <v>446</v>
      </c>
      <c r="BU21" s="62">
        <f t="shared" si="54"/>
        <v>863</v>
      </c>
      <c r="BV21" s="62">
        <f t="shared" si="54"/>
        <v>690</v>
      </c>
      <c r="BW21" s="62">
        <f t="shared" si="54"/>
        <v>1268</v>
      </c>
      <c r="BX21" s="62">
        <f t="shared" si="54"/>
        <v>287</v>
      </c>
      <c r="BZ21" s="62" t="str">
        <f t="shared" si="13"/>
        <v>T3中5</v>
      </c>
      <c r="CA21" s="483">
        <f t="shared" si="55"/>
        <v>2870</v>
      </c>
      <c r="CB21" s="62">
        <f t="shared" si="55"/>
        <v>592</v>
      </c>
      <c r="CC21" s="62">
        <f t="shared" si="55"/>
        <v>949</v>
      </c>
      <c r="CD21" s="62">
        <f t="shared" si="55"/>
        <v>759</v>
      </c>
      <c r="CE21" s="62">
        <f t="shared" si="55"/>
        <v>1268</v>
      </c>
      <c r="CF21" s="62">
        <f t="shared" si="55"/>
        <v>287</v>
      </c>
      <c r="CG21" s="55"/>
    </row>
    <row r="22" spans="2:85" x14ac:dyDescent="0.35">
      <c r="B22" s="196" t="s">
        <v>924</v>
      </c>
      <c r="C22" s="196" t="s">
        <v>988</v>
      </c>
      <c r="D22" s="175">
        <f>C8</f>
        <v>5</v>
      </c>
      <c r="E22" s="175">
        <f>D8</f>
        <v>6</v>
      </c>
      <c r="F22" s="175" t="str">
        <f t="shared" si="46"/>
        <v>T5低5</v>
      </c>
      <c r="G22" s="175" t="str">
        <f t="shared" si="47"/>
        <v>T5低6</v>
      </c>
      <c r="H22" s="670">
        <f>L8</f>
        <v>12</v>
      </c>
      <c r="I22" s="8">
        <v>0.1</v>
      </c>
      <c r="J22" s="651">
        <f>J19+I22*(D19+1)</f>
        <v>2.4</v>
      </c>
      <c r="K22" s="651">
        <f t="shared" si="48"/>
        <v>3.6</v>
      </c>
      <c r="L22" s="718">
        <v>2.4</v>
      </c>
      <c r="M22" s="8">
        <v>0.1</v>
      </c>
      <c r="N22" s="8">
        <v>0.2</v>
      </c>
      <c r="P22" s="175" t="str">
        <f t="shared" si="42"/>
        <v>T5低</v>
      </c>
      <c r="Q22" s="175" t="str">
        <f t="shared" si="43"/>
        <v>T5低5</v>
      </c>
      <c r="R22" s="175" t="str">
        <f t="shared" si="44"/>
        <v>T5低6</v>
      </c>
      <c r="S22" s="175">
        <f>L8</f>
        <v>12</v>
      </c>
      <c r="T22" s="668">
        <f t="shared" si="45"/>
        <v>6</v>
      </c>
      <c r="U22" s="184" t="s">
        <v>581</v>
      </c>
      <c r="Y22" s="62" t="s">
        <v>3082</v>
      </c>
      <c r="Z22" s="49">
        <f t="shared" si="36"/>
        <v>3.22</v>
      </c>
      <c r="AD22" s="62" t="str">
        <f t="shared" si="1"/>
        <v>T3高5</v>
      </c>
      <c r="AE22" s="483">
        <f t="shared" si="49"/>
        <v>2576</v>
      </c>
      <c r="AF22" s="62">
        <f t="shared" si="49"/>
        <v>153</v>
      </c>
      <c r="AG22" s="62">
        <f t="shared" si="49"/>
        <v>966</v>
      </c>
      <c r="AH22" s="62">
        <f t="shared" si="49"/>
        <v>676</v>
      </c>
      <c r="AI22" s="62">
        <f t="shared" si="49"/>
        <v>966</v>
      </c>
      <c r="AJ22" s="62">
        <f t="shared" si="49"/>
        <v>258</v>
      </c>
      <c r="AL22" s="62" t="str">
        <f t="shared" si="3"/>
        <v>T3高5</v>
      </c>
      <c r="AM22" s="483">
        <f t="shared" si="50"/>
        <v>2576</v>
      </c>
      <c r="AN22" s="62">
        <f t="shared" si="50"/>
        <v>92</v>
      </c>
      <c r="AO22" s="62">
        <f t="shared" si="50"/>
        <v>1058</v>
      </c>
      <c r="AP22" s="62">
        <f t="shared" si="50"/>
        <v>741</v>
      </c>
      <c r="AQ22" s="62">
        <f t="shared" si="50"/>
        <v>966</v>
      </c>
      <c r="AR22" s="62">
        <f t="shared" si="50"/>
        <v>258</v>
      </c>
      <c r="AS22" s="55"/>
      <c r="AT22" s="66" t="str">
        <f t="shared" si="5"/>
        <v>T3高5</v>
      </c>
      <c r="AU22" s="483">
        <f t="shared" si="51"/>
        <v>2576</v>
      </c>
      <c r="AV22" s="66">
        <f t="shared" si="51"/>
        <v>314</v>
      </c>
      <c r="AW22" s="66">
        <f t="shared" si="51"/>
        <v>1150</v>
      </c>
      <c r="AX22" s="66">
        <f t="shared" si="51"/>
        <v>805</v>
      </c>
      <c r="AY22" s="66">
        <f t="shared" si="51"/>
        <v>966</v>
      </c>
      <c r="AZ22" s="66">
        <f t="shared" si="51"/>
        <v>258</v>
      </c>
      <c r="BA22" s="55"/>
      <c r="BB22" s="62" t="str">
        <f t="shared" si="7"/>
        <v>T3高5</v>
      </c>
      <c r="BC22" s="483">
        <f t="shared" si="52"/>
        <v>2835</v>
      </c>
      <c r="BD22" s="62">
        <f t="shared" si="52"/>
        <v>184</v>
      </c>
      <c r="BE22" s="62">
        <f t="shared" si="52"/>
        <v>920</v>
      </c>
      <c r="BF22" s="62">
        <f t="shared" si="52"/>
        <v>690</v>
      </c>
      <c r="BG22" s="62">
        <f t="shared" si="52"/>
        <v>1159</v>
      </c>
      <c r="BH22" s="62">
        <f t="shared" si="52"/>
        <v>283</v>
      </c>
      <c r="BJ22" s="62" t="str">
        <f t="shared" si="9"/>
        <v>T3高5</v>
      </c>
      <c r="BK22" s="483">
        <f t="shared" si="53"/>
        <v>2835</v>
      </c>
      <c r="BL22" s="62">
        <f t="shared" si="53"/>
        <v>477</v>
      </c>
      <c r="BM22" s="62">
        <f t="shared" si="53"/>
        <v>1058</v>
      </c>
      <c r="BN22" s="62">
        <f t="shared" si="53"/>
        <v>794</v>
      </c>
      <c r="BO22" s="62">
        <f t="shared" si="53"/>
        <v>1159</v>
      </c>
      <c r="BP22" s="62">
        <f t="shared" si="53"/>
        <v>283</v>
      </c>
      <c r="BR22" s="62" t="str">
        <f t="shared" si="11"/>
        <v>T3高5</v>
      </c>
      <c r="BS22" s="483">
        <f t="shared" si="54"/>
        <v>3061</v>
      </c>
      <c r="BT22" s="62">
        <f t="shared" si="54"/>
        <v>475</v>
      </c>
      <c r="BU22" s="62">
        <f t="shared" si="54"/>
        <v>920</v>
      </c>
      <c r="BV22" s="62">
        <f t="shared" si="54"/>
        <v>736</v>
      </c>
      <c r="BW22" s="62">
        <f t="shared" si="54"/>
        <v>1352</v>
      </c>
      <c r="BX22" s="62">
        <f t="shared" si="54"/>
        <v>306</v>
      </c>
      <c r="BZ22" s="62" t="str">
        <f t="shared" si="13"/>
        <v>T3高5</v>
      </c>
      <c r="CA22" s="483">
        <f t="shared" si="55"/>
        <v>3061</v>
      </c>
      <c r="CB22" s="62">
        <f t="shared" si="55"/>
        <v>632</v>
      </c>
      <c r="CC22" s="62">
        <f t="shared" si="55"/>
        <v>1012</v>
      </c>
      <c r="CD22" s="62">
        <f t="shared" si="55"/>
        <v>810</v>
      </c>
      <c r="CE22" s="62">
        <f t="shared" si="55"/>
        <v>1352</v>
      </c>
      <c r="CF22" s="62">
        <f t="shared" si="55"/>
        <v>306</v>
      </c>
      <c r="CG22" s="55"/>
    </row>
    <row r="23" spans="2:85" x14ac:dyDescent="0.35">
      <c r="B23" s="196" t="s">
        <v>924</v>
      </c>
      <c r="C23" s="196" t="s">
        <v>989</v>
      </c>
      <c r="D23" s="175">
        <f>E8</f>
        <v>5</v>
      </c>
      <c r="E23" s="175">
        <f>F8</f>
        <v>7</v>
      </c>
      <c r="F23" s="175" t="str">
        <f t="shared" si="46"/>
        <v>T5中5</v>
      </c>
      <c r="G23" s="175" t="str">
        <f t="shared" si="47"/>
        <v>T5中7</v>
      </c>
      <c r="H23" s="670">
        <f>M8</f>
        <v>20</v>
      </c>
      <c r="I23" s="8">
        <v>0.115</v>
      </c>
      <c r="J23" s="651">
        <f>J19+I23*(D19+1)</f>
        <v>2.4750000000000001</v>
      </c>
      <c r="K23" s="651">
        <f t="shared" si="48"/>
        <v>4.58</v>
      </c>
      <c r="L23" s="718">
        <v>2.4750000000000001</v>
      </c>
      <c r="M23" s="8">
        <v>0.115</v>
      </c>
      <c r="N23" s="8">
        <v>0.23</v>
      </c>
      <c r="P23" s="175" t="str">
        <f t="shared" si="42"/>
        <v>T5中</v>
      </c>
      <c r="Q23" s="175" t="str">
        <f t="shared" si="43"/>
        <v>T5中5</v>
      </c>
      <c r="R23" s="175" t="str">
        <f t="shared" si="44"/>
        <v>T5中7</v>
      </c>
      <c r="S23" s="175">
        <f>M8</f>
        <v>20</v>
      </c>
      <c r="T23" s="668">
        <f t="shared" si="45"/>
        <v>7</v>
      </c>
      <c r="U23" s="184" t="s">
        <v>581</v>
      </c>
      <c r="Y23" s="62" t="s">
        <v>1053</v>
      </c>
      <c r="Z23" s="49">
        <f t="shared" si="36"/>
        <v>3.6</v>
      </c>
      <c r="AD23" s="62" t="str">
        <f t="shared" si="1"/>
        <v>T5低6</v>
      </c>
      <c r="AE23" s="483">
        <f t="shared" si="49"/>
        <v>2880</v>
      </c>
      <c r="AF23" s="62">
        <f t="shared" si="49"/>
        <v>171</v>
      </c>
      <c r="AG23" s="62">
        <f t="shared" si="49"/>
        <v>1080</v>
      </c>
      <c r="AH23" s="62">
        <f t="shared" si="49"/>
        <v>756</v>
      </c>
      <c r="AI23" s="62">
        <f t="shared" si="49"/>
        <v>1080</v>
      </c>
      <c r="AJ23" s="62">
        <f t="shared" si="49"/>
        <v>288</v>
      </c>
      <c r="AL23" s="62" t="str">
        <f t="shared" si="3"/>
        <v>T5低6</v>
      </c>
      <c r="AM23" s="483">
        <f t="shared" si="50"/>
        <v>2880</v>
      </c>
      <c r="AN23" s="62">
        <f t="shared" si="50"/>
        <v>102</v>
      </c>
      <c r="AO23" s="62">
        <f t="shared" si="50"/>
        <v>1183</v>
      </c>
      <c r="AP23" s="62">
        <f t="shared" si="50"/>
        <v>828</v>
      </c>
      <c r="AQ23" s="62">
        <f t="shared" si="50"/>
        <v>1080</v>
      </c>
      <c r="AR23" s="62">
        <f t="shared" si="50"/>
        <v>288</v>
      </c>
      <c r="AS23" s="55"/>
      <c r="AT23" s="66" t="str">
        <f t="shared" si="5"/>
        <v>T5低6</v>
      </c>
      <c r="AU23" s="483">
        <f t="shared" si="51"/>
        <v>2880</v>
      </c>
      <c r="AV23" s="66">
        <f t="shared" si="51"/>
        <v>351</v>
      </c>
      <c r="AW23" s="66">
        <f t="shared" si="51"/>
        <v>1286</v>
      </c>
      <c r="AX23" s="66">
        <f t="shared" si="51"/>
        <v>900</v>
      </c>
      <c r="AY23" s="66">
        <f t="shared" si="51"/>
        <v>1080</v>
      </c>
      <c r="AZ23" s="66">
        <f t="shared" si="51"/>
        <v>288</v>
      </c>
      <c r="BA23" s="55"/>
      <c r="BB23" s="62" t="str">
        <f t="shared" si="7"/>
        <v>T5低6</v>
      </c>
      <c r="BC23" s="483">
        <f t="shared" si="52"/>
        <v>3169</v>
      </c>
      <c r="BD23" s="62">
        <f t="shared" si="52"/>
        <v>205</v>
      </c>
      <c r="BE23" s="62">
        <f t="shared" si="52"/>
        <v>1029</v>
      </c>
      <c r="BF23" s="62">
        <f t="shared" si="52"/>
        <v>771</v>
      </c>
      <c r="BG23" s="62">
        <f t="shared" si="52"/>
        <v>1296</v>
      </c>
      <c r="BH23" s="62">
        <f t="shared" si="52"/>
        <v>317</v>
      </c>
      <c r="BJ23" s="62" t="str">
        <f t="shared" si="9"/>
        <v>T5低6</v>
      </c>
      <c r="BK23" s="483">
        <f t="shared" si="53"/>
        <v>3169</v>
      </c>
      <c r="BL23" s="62">
        <f t="shared" si="53"/>
        <v>533</v>
      </c>
      <c r="BM23" s="62">
        <f t="shared" si="53"/>
        <v>1183</v>
      </c>
      <c r="BN23" s="62">
        <f t="shared" si="53"/>
        <v>887</v>
      </c>
      <c r="BO23" s="62">
        <f t="shared" si="53"/>
        <v>1296</v>
      </c>
      <c r="BP23" s="62">
        <f t="shared" si="53"/>
        <v>317</v>
      </c>
      <c r="BR23" s="62" t="str">
        <f t="shared" si="11"/>
        <v>T5低6</v>
      </c>
      <c r="BS23" s="483">
        <f t="shared" si="54"/>
        <v>3422</v>
      </c>
      <c r="BT23" s="62">
        <f t="shared" si="54"/>
        <v>532</v>
      </c>
      <c r="BU23" s="62">
        <f t="shared" si="54"/>
        <v>1029</v>
      </c>
      <c r="BV23" s="62">
        <f t="shared" si="54"/>
        <v>823</v>
      </c>
      <c r="BW23" s="62">
        <f t="shared" si="54"/>
        <v>1512</v>
      </c>
      <c r="BX23" s="62">
        <f t="shared" si="54"/>
        <v>342</v>
      </c>
      <c r="BZ23" s="62" t="str">
        <f t="shared" si="13"/>
        <v>T5低6</v>
      </c>
      <c r="CA23" s="483">
        <f t="shared" si="55"/>
        <v>3422</v>
      </c>
      <c r="CB23" s="62">
        <f t="shared" si="55"/>
        <v>706</v>
      </c>
      <c r="CC23" s="62">
        <f t="shared" si="55"/>
        <v>1131</v>
      </c>
      <c r="CD23" s="62">
        <f t="shared" si="55"/>
        <v>905</v>
      </c>
      <c r="CE23" s="62">
        <f t="shared" si="55"/>
        <v>1512</v>
      </c>
      <c r="CF23" s="62">
        <f t="shared" si="55"/>
        <v>342</v>
      </c>
      <c r="CG23" s="55"/>
    </row>
    <row r="24" spans="2:85" x14ac:dyDescent="0.35">
      <c r="B24" s="196" t="s">
        <v>924</v>
      </c>
      <c r="C24" s="196" t="s">
        <v>990</v>
      </c>
      <c r="D24" s="175">
        <f>G8</f>
        <v>5</v>
      </c>
      <c r="E24" s="175">
        <f>H8</f>
        <v>7</v>
      </c>
      <c r="F24" s="175" t="str">
        <f t="shared" si="46"/>
        <v>T5高5</v>
      </c>
      <c r="G24" s="175" t="str">
        <f t="shared" si="47"/>
        <v>T5高7</v>
      </c>
      <c r="H24" s="670">
        <f>N8</f>
        <v>20</v>
      </c>
      <c r="I24" s="8">
        <v>0.14000000000000001</v>
      </c>
      <c r="J24" s="651">
        <f>J19+I24*(D19+1)</f>
        <v>2.6</v>
      </c>
      <c r="K24" s="651">
        <f t="shared" si="48"/>
        <v>4.8800000000000008</v>
      </c>
      <c r="L24" s="718">
        <v>2.6</v>
      </c>
      <c r="M24" s="8">
        <v>0.14000000000000001</v>
      </c>
      <c r="N24" s="8">
        <v>0.27999999999999997</v>
      </c>
      <c r="P24" s="175" t="str">
        <f t="shared" si="42"/>
        <v>T5高</v>
      </c>
      <c r="Q24" s="175" t="str">
        <f t="shared" si="43"/>
        <v>T5高5</v>
      </c>
      <c r="R24" s="175" t="str">
        <f t="shared" si="44"/>
        <v>T5高7</v>
      </c>
      <c r="S24" s="175">
        <f>N8</f>
        <v>20</v>
      </c>
      <c r="T24" s="668">
        <f t="shared" si="45"/>
        <v>7</v>
      </c>
      <c r="U24" s="184" t="s">
        <v>581</v>
      </c>
      <c r="Y24" s="62" t="s">
        <v>1042</v>
      </c>
      <c r="Z24" s="49">
        <f t="shared" si="36"/>
        <v>3.75</v>
      </c>
      <c r="AD24" s="62" t="str">
        <f t="shared" si="1"/>
        <v>T4中6</v>
      </c>
      <c r="AE24" s="483">
        <f t="shared" si="49"/>
        <v>3000</v>
      </c>
      <c r="AF24" s="62">
        <f t="shared" si="49"/>
        <v>179</v>
      </c>
      <c r="AG24" s="62">
        <f t="shared" si="49"/>
        <v>1125</v>
      </c>
      <c r="AH24" s="62">
        <f t="shared" si="49"/>
        <v>788</v>
      </c>
      <c r="AI24" s="62">
        <f t="shared" si="49"/>
        <v>1125</v>
      </c>
      <c r="AJ24" s="62">
        <f t="shared" si="49"/>
        <v>300</v>
      </c>
      <c r="AL24" s="62" t="str">
        <f t="shared" si="3"/>
        <v>T4中6</v>
      </c>
      <c r="AM24" s="483">
        <f t="shared" si="50"/>
        <v>3000</v>
      </c>
      <c r="AN24" s="62">
        <f t="shared" si="50"/>
        <v>107</v>
      </c>
      <c r="AO24" s="62">
        <f t="shared" si="50"/>
        <v>1232</v>
      </c>
      <c r="AP24" s="62">
        <f t="shared" si="50"/>
        <v>863</v>
      </c>
      <c r="AQ24" s="62">
        <f t="shared" si="50"/>
        <v>1125</v>
      </c>
      <c r="AR24" s="62">
        <f t="shared" si="50"/>
        <v>300</v>
      </c>
      <c r="AS24" s="55"/>
      <c r="AT24" s="66" t="str">
        <f t="shared" si="5"/>
        <v>T4中6</v>
      </c>
      <c r="AU24" s="483">
        <f t="shared" si="51"/>
        <v>3000</v>
      </c>
      <c r="AV24" s="66">
        <f t="shared" si="51"/>
        <v>366</v>
      </c>
      <c r="AW24" s="66">
        <f t="shared" si="51"/>
        <v>1339</v>
      </c>
      <c r="AX24" s="66">
        <f t="shared" si="51"/>
        <v>938</v>
      </c>
      <c r="AY24" s="66">
        <f t="shared" si="51"/>
        <v>1125</v>
      </c>
      <c r="AZ24" s="66">
        <f t="shared" si="51"/>
        <v>300</v>
      </c>
      <c r="BA24" s="55"/>
      <c r="BB24" s="62" t="str">
        <f t="shared" si="7"/>
        <v>T4中6</v>
      </c>
      <c r="BC24" s="483">
        <f t="shared" si="52"/>
        <v>3301</v>
      </c>
      <c r="BD24" s="62">
        <f t="shared" si="52"/>
        <v>214</v>
      </c>
      <c r="BE24" s="62">
        <f t="shared" si="52"/>
        <v>1071</v>
      </c>
      <c r="BF24" s="62">
        <f t="shared" si="52"/>
        <v>804</v>
      </c>
      <c r="BG24" s="62">
        <f t="shared" si="52"/>
        <v>1350</v>
      </c>
      <c r="BH24" s="62">
        <f t="shared" si="52"/>
        <v>330</v>
      </c>
      <c r="BI24" s="55"/>
      <c r="BJ24" s="62" t="str">
        <f t="shared" si="9"/>
        <v>T4中6</v>
      </c>
      <c r="BK24" s="483">
        <f t="shared" si="53"/>
        <v>3301</v>
      </c>
      <c r="BL24" s="62">
        <f t="shared" si="53"/>
        <v>556</v>
      </c>
      <c r="BM24" s="62">
        <f t="shared" si="53"/>
        <v>1232</v>
      </c>
      <c r="BN24" s="62">
        <f t="shared" si="53"/>
        <v>924</v>
      </c>
      <c r="BO24" s="62">
        <f t="shared" si="53"/>
        <v>1350</v>
      </c>
      <c r="BP24" s="62">
        <f t="shared" si="53"/>
        <v>330</v>
      </c>
      <c r="BR24" s="62" t="str">
        <f t="shared" si="11"/>
        <v>T4中6</v>
      </c>
      <c r="BS24" s="483">
        <f t="shared" si="54"/>
        <v>3564</v>
      </c>
      <c r="BT24" s="62">
        <f t="shared" si="54"/>
        <v>554</v>
      </c>
      <c r="BU24" s="62">
        <f t="shared" si="54"/>
        <v>1071</v>
      </c>
      <c r="BV24" s="62">
        <f t="shared" si="54"/>
        <v>857</v>
      </c>
      <c r="BW24" s="62">
        <f t="shared" si="54"/>
        <v>1575</v>
      </c>
      <c r="BX24" s="62">
        <f t="shared" si="54"/>
        <v>356</v>
      </c>
      <c r="BZ24" s="62" t="str">
        <f t="shared" si="13"/>
        <v>T4中6</v>
      </c>
      <c r="CA24" s="483">
        <f t="shared" si="55"/>
        <v>3564</v>
      </c>
      <c r="CB24" s="62">
        <f t="shared" si="55"/>
        <v>736</v>
      </c>
      <c r="CC24" s="62">
        <f t="shared" si="55"/>
        <v>1179</v>
      </c>
      <c r="CD24" s="62">
        <f t="shared" si="55"/>
        <v>943</v>
      </c>
      <c r="CE24" s="62">
        <f t="shared" si="55"/>
        <v>1575</v>
      </c>
      <c r="CF24" s="62">
        <f t="shared" si="55"/>
        <v>356</v>
      </c>
      <c r="CG24" s="55"/>
    </row>
    <row r="25" spans="2:85" x14ac:dyDescent="0.35">
      <c r="Y25" s="671" t="s">
        <v>3083</v>
      </c>
      <c r="Z25" s="49">
        <f t="shared" si="36"/>
        <v>4</v>
      </c>
      <c r="AD25" s="62" t="str">
        <f t="shared" si="1"/>
        <v>T4高6</v>
      </c>
      <c r="AE25" s="483">
        <f t="shared" si="49"/>
        <v>3200</v>
      </c>
      <c r="AF25" s="62">
        <f t="shared" si="49"/>
        <v>190</v>
      </c>
      <c r="AG25" s="62">
        <f t="shared" si="49"/>
        <v>1200</v>
      </c>
      <c r="AH25" s="62">
        <f t="shared" si="49"/>
        <v>840</v>
      </c>
      <c r="AI25" s="62">
        <f t="shared" si="49"/>
        <v>1200</v>
      </c>
      <c r="AJ25" s="62">
        <f t="shared" si="49"/>
        <v>320</v>
      </c>
      <c r="AL25" s="62" t="str">
        <f t="shared" si="3"/>
        <v>T4高6</v>
      </c>
      <c r="AM25" s="483">
        <f t="shared" si="50"/>
        <v>3200</v>
      </c>
      <c r="AN25" s="62">
        <f t="shared" si="50"/>
        <v>114</v>
      </c>
      <c r="AO25" s="62">
        <f t="shared" si="50"/>
        <v>1314</v>
      </c>
      <c r="AP25" s="62">
        <f t="shared" si="50"/>
        <v>920</v>
      </c>
      <c r="AQ25" s="62">
        <f t="shared" si="50"/>
        <v>1200</v>
      </c>
      <c r="AR25" s="62">
        <f t="shared" si="50"/>
        <v>320</v>
      </c>
      <c r="AS25" s="55"/>
      <c r="AT25" s="66" t="str">
        <f t="shared" si="5"/>
        <v>T4高6</v>
      </c>
      <c r="AU25" s="483">
        <f t="shared" si="51"/>
        <v>3200</v>
      </c>
      <c r="AV25" s="66">
        <f t="shared" si="51"/>
        <v>391</v>
      </c>
      <c r="AW25" s="66">
        <f t="shared" si="51"/>
        <v>1429</v>
      </c>
      <c r="AX25" s="66">
        <f t="shared" si="51"/>
        <v>1000</v>
      </c>
      <c r="AY25" s="66">
        <f t="shared" si="51"/>
        <v>1200</v>
      </c>
      <c r="AZ25" s="66">
        <f t="shared" si="51"/>
        <v>320</v>
      </c>
      <c r="BA25" s="55"/>
      <c r="BB25" s="62" t="str">
        <f t="shared" si="7"/>
        <v>T4高6</v>
      </c>
      <c r="BC25" s="483">
        <f t="shared" si="52"/>
        <v>3521</v>
      </c>
      <c r="BD25" s="62">
        <f t="shared" si="52"/>
        <v>228</v>
      </c>
      <c r="BE25" s="62">
        <f t="shared" si="52"/>
        <v>1143</v>
      </c>
      <c r="BF25" s="62">
        <f t="shared" si="52"/>
        <v>857</v>
      </c>
      <c r="BG25" s="62">
        <f t="shared" si="52"/>
        <v>1440</v>
      </c>
      <c r="BH25" s="62">
        <f t="shared" si="52"/>
        <v>352</v>
      </c>
      <c r="BI25" s="55"/>
      <c r="BJ25" s="62" t="str">
        <f t="shared" si="9"/>
        <v>T4高6</v>
      </c>
      <c r="BK25" s="483">
        <f t="shared" si="53"/>
        <v>3521</v>
      </c>
      <c r="BL25" s="62">
        <f t="shared" si="53"/>
        <v>593</v>
      </c>
      <c r="BM25" s="62">
        <f t="shared" si="53"/>
        <v>1314</v>
      </c>
      <c r="BN25" s="62">
        <f t="shared" si="53"/>
        <v>986</v>
      </c>
      <c r="BO25" s="62">
        <f t="shared" si="53"/>
        <v>1440</v>
      </c>
      <c r="BP25" s="62">
        <f t="shared" si="53"/>
        <v>352</v>
      </c>
      <c r="BR25" s="62" t="str">
        <f t="shared" si="11"/>
        <v>T4高6</v>
      </c>
      <c r="BS25" s="483">
        <f t="shared" si="54"/>
        <v>3802</v>
      </c>
      <c r="BT25" s="62">
        <f t="shared" si="54"/>
        <v>591</v>
      </c>
      <c r="BU25" s="62">
        <f t="shared" si="54"/>
        <v>1143</v>
      </c>
      <c r="BV25" s="62">
        <f t="shared" si="54"/>
        <v>914</v>
      </c>
      <c r="BW25" s="62">
        <f t="shared" si="54"/>
        <v>1680</v>
      </c>
      <c r="BX25" s="62">
        <f t="shared" si="54"/>
        <v>380</v>
      </c>
      <c r="BZ25" s="62" t="str">
        <f t="shared" si="13"/>
        <v>T4高6</v>
      </c>
      <c r="CA25" s="483">
        <f t="shared" si="55"/>
        <v>3802</v>
      </c>
      <c r="CB25" s="62">
        <f t="shared" si="55"/>
        <v>785</v>
      </c>
      <c r="CC25" s="62">
        <f t="shared" si="55"/>
        <v>1257</v>
      </c>
      <c r="CD25" s="62">
        <f t="shared" si="55"/>
        <v>1006</v>
      </c>
      <c r="CE25" s="62">
        <f t="shared" si="55"/>
        <v>1680</v>
      </c>
      <c r="CF25" s="62">
        <f t="shared" si="55"/>
        <v>380</v>
      </c>
      <c r="CG25" s="55"/>
    </row>
    <row r="26" spans="2:85" x14ac:dyDescent="0.35">
      <c r="B26" s="816" t="s">
        <v>806</v>
      </c>
      <c r="C26" s="805"/>
      <c r="D26" s="805"/>
      <c r="F26" s="816" t="s">
        <v>1069</v>
      </c>
      <c r="G26" s="805"/>
      <c r="H26" s="805"/>
      <c r="J26" s="816" t="s">
        <v>1070</v>
      </c>
      <c r="K26" s="805"/>
      <c r="L26" s="805"/>
      <c r="Y26" s="62" t="s">
        <v>3135</v>
      </c>
      <c r="Z26" s="49">
        <f t="shared" si="36"/>
        <v>4.58</v>
      </c>
      <c r="AD26" s="62" t="str">
        <f t="shared" si="1"/>
        <v>T5中7</v>
      </c>
      <c r="AE26" s="483">
        <f t="shared" si="49"/>
        <v>3664</v>
      </c>
      <c r="AF26" s="62">
        <f t="shared" si="49"/>
        <v>218</v>
      </c>
      <c r="AG26" s="62">
        <f t="shared" si="49"/>
        <v>1374</v>
      </c>
      <c r="AH26" s="62">
        <f t="shared" si="49"/>
        <v>962</v>
      </c>
      <c r="AI26" s="62">
        <f t="shared" si="49"/>
        <v>1374</v>
      </c>
      <c r="AJ26" s="62">
        <f t="shared" si="49"/>
        <v>366</v>
      </c>
      <c r="AL26" s="62" t="str">
        <f t="shared" si="3"/>
        <v>T5中7</v>
      </c>
      <c r="AM26" s="483">
        <f t="shared" si="50"/>
        <v>3664</v>
      </c>
      <c r="AN26" s="62">
        <f t="shared" si="50"/>
        <v>130</v>
      </c>
      <c r="AO26" s="62">
        <f t="shared" si="50"/>
        <v>1505</v>
      </c>
      <c r="AP26" s="62">
        <f t="shared" si="50"/>
        <v>1053</v>
      </c>
      <c r="AQ26" s="62">
        <f t="shared" si="50"/>
        <v>1374</v>
      </c>
      <c r="AR26" s="62">
        <f t="shared" si="50"/>
        <v>366</v>
      </c>
      <c r="AS26" s="55"/>
      <c r="AT26" s="66" t="str">
        <f t="shared" si="5"/>
        <v>T5中7</v>
      </c>
      <c r="AU26" s="483">
        <f t="shared" si="51"/>
        <v>3664</v>
      </c>
      <c r="AV26" s="66">
        <f t="shared" si="51"/>
        <v>447</v>
      </c>
      <c r="AW26" s="66">
        <f t="shared" si="51"/>
        <v>1636</v>
      </c>
      <c r="AX26" s="66">
        <f t="shared" si="51"/>
        <v>1145</v>
      </c>
      <c r="AY26" s="66">
        <f t="shared" si="51"/>
        <v>1374</v>
      </c>
      <c r="AZ26" s="66">
        <f t="shared" si="51"/>
        <v>366</v>
      </c>
      <c r="BA26" s="55"/>
      <c r="BB26" s="62" t="str">
        <f t="shared" si="7"/>
        <v>T5中7</v>
      </c>
      <c r="BC26" s="483">
        <f t="shared" si="52"/>
        <v>4032</v>
      </c>
      <c r="BD26" s="62">
        <f t="shared" si="52"/>
        <v>261</v>
      </c>
      <c r="BE26" s="62">
        <f t="shared" si="52"/>
        <v>1309</v>
      </c>
      <c r="BF26" s="62">
        <f t="shared" si="52"/>
        <v>981</v>
      </c>
      <c r="BG26" s="62">
        <f t="shared" si="52"/>
        <v>1649</v>
      </c>
      <c r="BH26" s="62">
        <f t="shared" si="52"/>
        <v>403</v>
      </c>
      <c r="BI26" s="55"/>
      <c r="BJ26" s="62" t="str">
        <f t="shared" si="9"/>
        <v>T5中7</v>
      </c>
      <c r="BK26" s="483">
        <f t="shared" si="53"/>
        <v>4032</v>
      </c>
      <c r="BL26" s="62">
        <f t="shared" si="53"/>
        <v>679</v>
      </c>
      <c r="BM26" s="62">
        <f t="shared" si="53"/>
        <v>1505</v>
      </c>
      <c r="BN26" s="62">
        <f t="shared" si="53"/>
        <v>1129</v>
      </c>
      <c r="BO26" s="62">
        <f t="shared" si="53"/>
        <v>1649</v>
      </c>
      <c r="BP26" s="62">
        <f t="shared" si="53"/>
        <v>403</v>
      </c>
      <c r="BR26" s="62" t="str">
        <f t="shared" si="11"/>
        <v>T5中7</v>
      </c>
      <c r="BS26" s="483">
        <f t="shared" si="54"/>
        <v>4353</v>
      </c>
      <c r="BT26" s="62">
        <f t="shared" si="54"/>
        <v>676</v>
      </c>
      <c r="BU26" s="62">
        <f t="shared" si="54"/>
        <v>1309</v>
      </c>
      <c r="BV26" s="62">
        <f t="shared" si="54"/>
        <v>1047</v>
      </c>
      <c r="BW26" s="62">
        <f t="shared" si="54"/>
        <v>1924</v>
      </c>
      <c r="BX26" s="62">
        <f t="shared" si="54"/>
        <v>435</v>
      </c>
      <c r="BZ26" s="62" t="str">
        <f t="shared" si="13"/>
        <v>T5中7</v>
      </c>
      <c r="CA26" s="483">
        <f t="shared" si="55"/>
        <v>4353</v>
      </c>
      <c r="CB26" s="62">
        <f t="shared" si="55"/>
        <v>898</v>
      </c>
      <c r="CC26" s="62">
        <f t="shared" si="55"/>
        <v>1439</v>
      </c>
      <c r="CD26" s="62">
        <f t="shared" si="55"/>
        <v>1152</v>
      </c>
      <c r="CE26" s="62">
        <f t="shared" si="55"/>
        <v>1924</v>
      </c>
      <c r="CF26" s="62">
        <f t="shared" si="55"/>
        <v>435</v>
      </c>
      <c r="CG26" s="55"/>
    </row>
    <row r="27" spans="2:85" x14ac:dyDescent="0.35">
      <c r="B27" s="141" t="s">
        <v>806</v>
      </c>
      <c r="C27" s="141" t="s">
        <v>807</v>
      </c>
      <c r="D27" s="141" t="s">
        <v>813</v>
      </c>
      <c r="F27" s="196" t="s">
        <v>1068</v>
      </c>
      <c r="G27" s="180" t="s">
        <v>576</v>
      </c>
      <c r="H27" s="196" t="s">
        <v>1068</v>
      </c>
      <c r="J27" s="196" t="s">
        <v>1068</v>
      </c>
      <c r="K27" s="180" t="s">
        <v>582</v>
      </c>
      <c r="L27" s="196" t="s">
        <v>1068</v>
      </c>
      <c r="Y27" s="671" t="s">
        <v>3169</v>
      </c>
      <c r="Z27" s="49">
        <f t="shared" si="36"/>
        <v>4.8800000000000008</v>
      </c>
      <c r="AD27" s="62" t="str">
        <f t="shared" si="1"/>
        <v>T5高7</v>
      </c>
      <c r="AE27" s="483">
        <f t="shared" si="49"/>
        <v>3904</v>
      </c>
      <c r="AF27" s="62">
        <f t="shared" si="49"/>
        <v>232</v>
      </c>
      <c r="AG27" s="62">
        <f t="shared" si="49"/>
        <v>1464</v>
      </c>
      <c r="AH27" s="62">
        <f t="shared" si="49"/>
        <v>1025</v>
      </c>
      <c r="AI27" s="62">
        <f t="shared" si="49"/>
        <v>1464</v>
      </c>
      <c r="AJ27" s="62">
        <f t="shared" si="49"/>
        <v>390</v>
      </c>
      <c r="AL27" s="62" t="str">
        <f t="shared" si="3"/>
        <v>T5高7</v>
      </c>
      <c r="AM27" s="483">
        <f t="shared" si="50"/>
        <v>3904</v>
      </c>
      <c r="AN27" s="62">
        <f t="shared" si="50"/>
        <v>139</v>
      </c>
      <c r="AO27" s="62">
        <f t="shared" si="50"/>
        <v>1603</v>
      </c>
      <c r="AP27" s="62">
        <f t="shared" si="50"/>
        <v>1122</v>
      </c>
      <c r="AQ27" s="62">
        <f t="shared" si="50"/>
        <v>1464</v>
      </c>
      <c r="AR27" s="62">
        <f t="shared" si="50"/>
        <v>390</v>
      </c>
      <c r="AS27" s="55"/>
      <c r="AT27" s="66" t="str">
        <f t="shared" si="5"/>
        <v>T5高7</v>
      </c>
      <c r="AU27" s="483">
        <f t="shared" si="51"/>
        <v>3904</v>
      </c>
      <c r="AV27" s="66">
        <f t="shared" si="51"/>
        <v>476</v>
      </c>
      <c r="AW27" s="66">
        <f t="shared" si="51"/>
        <v>1743</v>
      </c>
      <c r="AX27" s="66">
        <f t="shared" si="51"/>
        <v>1220</v>
      </c>
      <c r="AY27" s="66">
        <f t="shared" si="51"/>
        <v>1464</v>
      </c>
      <c r="AZ27" s="66">
        <f t="shared" si="51"/>
        <v>390</v>
      </c>
      <c r="BA27" s="55"/>
      <c r="BB27" s="62" t="str">
        <f t="shared" si="7"/>
        <v>T5高7</v>
      </c>
      <c r="BC27" s="483">
        <f t="shared" si="52"/>
        <v>4296</v>
      </c>
      <c r="BD27" s="62">
        <f t="shared" si="52"/>
        <v>278</v>
      </c>
      <c r="BE27" s="62">
        <f t="shared" si="52"/>
        <v>1394</v>
      </c>
      <c r="BF27" s="62">
        <f t="shared" si="52"/>
        <v>1046</v>
      </c>
      <c r="BG27" s="62">
        <f t="shared" si="52"/>
        <v>1757</v>
      </c>
      <c r="BH27" s="62">
        <f t="shared" si="52"/>
        <v>430</v>
      </c>
      <c r="BI27" s="55"/>
      <c r="BJ27" s="62" t="str">
        <f t="shared" si="9"/>
        <v>T5高7</v>
      </c>
      <c r="BK27" s="483">
        <f t="shared" si="53"/>
        <v>4296</v>
      </c>
      <c r="BL27" s="62">
        <f t="shared" si="53"/>
        <v>723</v>
      </c>
      <c r="BM27" s="62">
        <f t="shared" si="53"/>
        <v>1603</v>
      </c>
      <c r="BN27" s="62">
        <f t="shared" si="53"/>
        <v>1203</v>
      </c>
      <c r="BO27" s="62">
        <f t="shared" si="53"/>
        <v>1757</v>
      </c>
      <c r="BP27" s="62">
        <f t="shared" si="53"/>
        <v>430</v>
      </c>
      <c r="BR27" s="62" t="str">
        <f t="shared" si="11"/>
        <v>T5高7</v>
      </c>
      <c r="BS27" s="483">
        <f t="shared" si="54"/>
        <v>4638</v>
      </c>
      <c r="BT27" s="62">
        <f t="shared" si="54"/>
        <v>721</v>
      </c>
      <c r="BU27" s="62">
        <f t="shared" si="54"/>
        <v>1394</v>
      </c>
      <c r="BV27" s="62">
        <f t="shared" si="54"/>
        <v>1115</v>
      </c>
      <c r="BW27" s="62">
        <f t="shared" si="54"/>
        <v>2050</v>
      </c>
      <c r="BX27" s="62">
        <f t="shared" si="54"/>
        <v>464</v>
      </c>
      <c r="BZ27" s="62" t="str">
        <f t="shared" si="13"/>
        <v>T5高7</v>
      </c>
      <c r="CA27" s="483">
        <f t="shared" si="55"/>
        <v>4638</v>
      </c>
      <c r="CB27" s="62">
        <f t="shared" si="55"/>
        <v>957</v>
      </c>
      <c r="CC27" s="62">
        <f t="shared" si="55"/>
        <v>1534</v>
      </c>
      <c r="CD27" s="62">
        <f t="shared" si="55"/>
        <v>1227</v>
      </c>
      <c r="CE27" s="62">
        <f t="shared" si="55"/>
        <v>2050</v>
      </c>
      <c r="CF27" s="62">
        <f t="shared" si="55"/>
        <v>464</v>
      </c>
      <c r="CG27" s="55"/>
    </row>
    <row r="28" spans="2:85" x14ac:dyDescent="0.35">
      <c r="B28" s="175">
        <v>1</v>
      </c>
      <c r="C28" s="141" t="s">
        <v>808</v>
      </c>
      <c r="D28" s="139">
        <v>1</v>
      </c>
      <c r="F28" s="175">
        <v>1</v>
      </c>
      <c r="G28" s="196" t="s">
        <v>925</v>
      </c>
      <c r="H28" s="175">
        <v>1</v>
      </c>
      <c r="J28" s="175">
        <v>1</v>
      </c>
      <c r="K28" s="196" t="s">
        <v>988</v>
      </c>
      <c r="L28" s="175">
        <v>1</v>
      </c>
      <c r="Y28" s="73"/>
      <c r="Z28" s="73"/>
      <c r="AB28" s="80"/>
      <c r="AD28" s="55"/>
      <c r="AE28" s="55"/>
      <c r="AF28" s="55"/>
      <c r="AG28" s="55"/>
      <c r="AH28" s="55"/>
      <c r="AI28" s="55"/>
      <c r="AJ28" s="55"/>
      <c r="AL28" s="55"/>
      <c r="AM28" s="55"/>
      <c r="AN28" s="55"/>
      <c r="AO28" s="55"/>
      <c r="AP28" s="55"/>
      <c r="AQ28" s="55"/>
      <c r="AR28" s="55"/>
      <c r="AS28" s="55"/>
      <c r="AT28" s="55"/>
      <c r="AU28" s="55"/>
      <c r="AV28" s="55"/>
      <c r="AW28" s="55"/>
      <c r="AX28" s="55"/>
      <c r="AY28" s="55"/>
      <c r="AZ28" s="55"/>
      <c r="BA28" s="55"/>
      <c r="BB28" s="55"/>
      <c r="BC28" s="55"/>
      <c r="BD28" s="55"/>
      <c r="BE28" s="55"/>
      <c r="BG28" s="55"/>
      <c r="BH28" s="55"/>
      <c r="BI28" s="55"/>
      <c r="BJ28" s="55"/>
      <c r="BK28" s="55"/>
      <c r="BL28" s="55"/>
      <c r="BM28" s="55"/>
      <c r="CG28" s="55"/>
    </row>
    <row r="29" spans="2:85" x14ac:dyDescent="0.35">
      <c r="B29" s="175">
        <v>2</v>
      </c>
      <c r="C29" s="141" t="s">
        <v>809</v>
      </c>
      <c r="D29" s="139">
        <v>2</v>
      </c>
      <c r="F29" s="175">
        <v>2</v>
      </c>
      <c r="G29" s="196" t="s">
        <v>921</v>
      </c>
      <c r="H29" s="175">
        <v>2</v>
      </c>
      <c r="J29" s="175">
        <v>2</v>
      </c>
      <c r="K29" s="196" t="s">
        <v>989</v>
      </c>
      <c r="L29" s="175">
        <v>2</v>
      </c>
      <c r="AB29" s="80"/>
      <c r="AD29" s="787" t="s">
        <v>600</v>
      </c>
      <c r="AE29" s="805"/>
      <c r="AF29" s="805"/>
      <c r="AG29" s="805"/>
      <c r="AH29" s="805"/>
      <c r="AI29" s="805"/>
      <c r="AJ29" s="805"/>
      <c r="AK29" s="55"/>
      <c r="AL29" s="787" t="s">
        <v>599</v>
      </c>
      <c r="AM29" s="805"/>
      <c r="AN29" s="805"/>
      <c r="AO29" s="805"/>
      <c r="AP29" s="805"/>
      <c r="AQ29" s="805"/>
      <c r="AR29" s="805"/>
      <c r="AS29" s="55"/>
      <c r="AT29" s="787" t="s">
        <v>613</v>
      </c>
      <c r="AU29" s="805"/>
      <c r="AV29" s="805"/>
      <c r="AW29" s="805"/>
      <c r="AX29" s="805"/>
      <c r="AY29" s="805"/>
      <c r="AZ29" s="805"/>
      <c r="BA29" s="55"/>
      <c r="BB29" s="787" t="s">
        <v>601</v>
      </c>
      <c r="BC29" s="805"/>
      <c r="BD29" s="805"/>
      <c r="BE29" s="805"/>
      <c r="BF29" s="805"/>
      <c r="BG29" s="805"/>
      <c r="BH29" s="805"/>
      <c r="BJ29" s="804" t="s">
        <v>775</v>
      </c>
      <c r="BK29" s="805"/>
      <c r="BL29" s="805"/>
      <c r="BM29" s="805"/>
      <c r="BN29" s="805"/>
      <c r="BO29" s="805"/>
      <c r="BP29" s="805"/>
      <c r="BR29" s="787" t="s">
        <v>602</v>
      </c>
      <c r="BS29" s="805"/>
      <c r="BT29" s="805"/>
      <c r="BU29" s="805"/>
      <c r="BV29" s="805"/>
      <c r="BW29" s="805"/>
      <c r="BX29" s="805"/>
      <c r="BZ29" s="804" t="s">
        <v>776</v>
      </c>
      <c r="CA29" s="805"/>
      <c r="CB29" s="805"/>
      <c r="CC29" s="805"/>
      <c r="CD29" s="805"/>
      <c r="CE29" s="805"/>
      <c r="CF29" s="805"/>
      <c r="CG29" s="55"/>
    </row>
    <row r="30" spans="2:85" x14ac:dyDescent="0.35">
      <c r="B30" s="175">
        <v>3</v>
      </c>
      <c r="C30" s="141" t="s">
        <v>810</v>
      </c>
      <c r="D30" s="139">
        <v>3</v>
      </c>
      <c r="F30" s="175">
        <v>3</v>
      </c>
      <c r="G30" s="196" t="s">
        <v>922</v>
      </c>
      <c r="H30" s="175">
        <v>3</v>
      </c>
      <c r="J30" s="175">
        <v>3</v>
      </c>
      <c r="K30" s="196" t="s">
        <v>990</v>
      </c>
      <c r="L30" s="175">
        <v>3</v>
      </c>
      <c r="AB30" s="80"/>
      <c r="AD30" s="77" t="s">
        <v>598</v>
      </c>
      <c r="AE30" s="63" t="s">
        <v>438</v>
      </c>
      <c r="AF30" s="63" t="s">
        <v>2112</v>
      </c>
      <c r="AG30" s="63" t="s">
        <v>435</v>
      </c>
      <c r="AH30" s="63" t="s">
        <v>436</v>
      </c>
      <c r="AI30" s="66" t="s">
        <v>2109</v>
      </c>
      <c r="AJ30" s="63" t="s">
        <v>448</v>
      </c>
      <c r="AK30" s="55"/>
      <c r="AL30" s="77" t="s">
        <v>598</v>
      </c>
      <c r="AM30" s="63" t="s">
        <v>438</v>
      </c>
      <c r="AN30" s="63" t="s">
        <v>2112</v>
      </c>
      <c r="AO30" s="63" t="s">
        <v>435</v>
      </c>
      <c r="AP30" s="63" t="s">
        <v>436</v>
      </c>
      <c r="AQ30" s="66" t="s">
        <v>2109</v>
      </c>
      <c r="AR30" s="63" t="s">
        <v>448</v>
      </c>
      <c r="AS30" s="73"/>
      <c r="AT30" s="77" t="s">
        <v>598</v>
      </c>
      <c r="AU30" s="63" t="s">
        <v>438</v>
      </c>
      <c r="AV30" s="63" t="s">
        <v>2112</v>
      </c>
      <c r="AW30" s="63" t="s">
        <v>435</v>
      </c>
      <c r="AX30" s="63" t="s">
        <v>436</v>
      </c>
      <c r="AY30" s="66" t="s">
        <v>2109</v>
      </c>
      <c r="AZ30" s="63" t="s">
        <v>448</v>
      </c>
      <c r="BA30" s="73"/>
      <c r="BB30" s="77" t="s">
        <v>598</v>
      </c>
      <c r="BC30" s="63" t="s">
        <v>438</v>
      </c>
      <c r="BD30" s="63" t="s">
        <v>2112</v>
      </c>
      <c r="BE30" s="63" t="s">
        <v>435</v>
      </c>
      <c r="BF30" s="63" t="s">
        <v>436</v>
      </c>
      <c r="BG30" s="66" t="s">
        <v>2109</v>
      </c>
      <c r="BH30" s="63" t="s">
        <v>448</v>
      </c>
      <c r="BJ30" s="77" t="s">
        <v>598</v>
      </c>
      <c r="BK30" s="63" t="s">
        <v>438</v>
      </c>
      <c r="BL30" s="63" t="s">
        <v>2112</v>
      </c>
      <c r="BM30" s="63" t="s">
        <v>435</v>
      </c>
      <c r="BN30" s="63" t="s">
        <v>436</v>
      </c>
      <c r="BO30" s="66" t="s">
        <v>2109</v>
      </c>
      <c r="BP30" s="63" t="s">
        <v>448</v>
      </c>
      <c r="BR30" s="77" t="s">
        <v>598</v>
      </c>
      <c r="BS30" s="63" t="s">
        <v>438</v>
      </c>
      <c r="BT30" s="63" t="s">
        <v>2112</v>
      </c>
      <c r="BU30" s="63" t="s">
        <v>435</v>
      </c>
      <c r="BV30" s="63" t="s">
        <v>436</v>
      </c>
      <c r="BW30" s="66" t="s">
        <v>2109</v>
      </c>
      <c r="BX30" s="63" t="s">
        <v>448</v>
      </c>
      <c r="BZ30" s="77" t="s">
        <v>598</v>
      </c>
      <c r="CA30" s="63" t="s">
        <v>438</v>
      </c>
      <c r="CB30" s="63" t="s">
        <v>2112</v>
      </c>
      <c r="CC30" s="63" t="s">
        <v>435</v>
      </c>
      <c r="CD30" s="63" t="s">
        <v>436</v>
      </c>
      <c r="CE30" s="66" t="s">
        <v>2109</v>
      </c>
      <c r="CF30" s="63" t="s">
        <v>448</v>
      </c>
      <c r="CG30" s="55"/>
    </row>
    <row r="31" spans="2:85" x14ac:dyDescent="0.35">
      <c r="B31" s="175">
        <v>4</v>
      </c>
      <c r="C31" s="141" t="s">
        <v>811</v>
      </c>
      <c r="D31" s="139">
        <v>4</v>
      </c>
      <c r="F31" s="175">
        <v>4</v>
      </c>
      <c r="G31" s="196" t="s">
        <v>923</v>
      </c>
      <c r="H31" s="175">
        <v>4</v>
      </c>
      <c r="AB31" s="80"/>
      <c r="AD31" s="66" t="str">
        <f>F13</f>
        <v>T1低1</v>
      </c>
      <c r="AE31" s="483">
        <f t="shared" ref="AE31:AJ42" si="56">VLOOKUP($AD31,轻坦半自动_阶段属性,MATCH(AE$30,属性标头_阶段属性,0),FALSE)</f>
        <v>800</v>
      </c>
      <c r="AF31" s="66">
        <f t="shared" si="56"/>
        <v>48</v>
      </c>
      <c r="AG31" s="66">
        <f t="shared" si="56"/>
        <v>300</v>
      </c>
      <c r="AH31" s="66">
        <f t="shared" si="56"/>
        <v>210</v>
      </c>
      <c r="AI31" s="66">
        <f t="shared" si="56"/>
        <v>300</v>
      </c>
      <c r="AJ31" s="66">
        <f t="shared" si="56"/>
        <v>80</v>
      </c>
      <c r="AK31" s="55"/>
      <c r="AL31" s="66" t="str">
        <f t="shared" ref="AL31:AL42" si="57">AD31</f>
        <v>T1低1</v>
      </c>
      <c r="AM31" s="66">
        <f t="shared" ref="AM31:AR42" si="58">VLOOKUP($AL31,轻坦弹夹_阶段属性,MATCH(AM$30,属性标头_阶段属性,0),FALSE)</f>
        <v>800</v>
      </c>
      <c r="AN31" s="66">
        <f t="shared" si="58"/>
        <v>28</v>
      </c>
      <c r="AO31" s="66">
        <f t="shared" si="58"/>
        <v>329</v>
      </c>
      <c r="AP31" s="66">
        <f t="shared" si="58"/>
        <v>230</v>
      </c>
      <c r="AQ31" s="66">
        <f t="shared" si="58"/>
        <v>300</v>
      </c>
      <c r="AR31" s="66">
        <f t="shared" si="58"/>
        <v>80</v>
      </c>
      <c r="AS31" s="55"/>
      <c r="AT31" s="128" t="str">
        <f t="shared" ref="AT31:AT42" si="59">AL31</f>
        <v>T1低1</v>
      </c>
      <c r="AU31" s="66">
        <f t="shared" ref="AU31:AZ42" si="60">VLOOKUP($AL31,轻坦单发_阶段属性,MATCH(AU$30,属性标头_阶段属性,0),FALSE)</f>
        <v>800</v>
      </c>
      <c r="AV31" s="66">
        <f t="shared" si="60"/>
        <v>98</v>
      </c>
      <c r="AW31" s="66">
        <f t="shared" si="60"/>
        <v>357</v>
      </c>
      <c r="AX31" s="66">
        <f t="shared" si="60"/>
        <v>250</v>
      </c>
      <c r="AY31" s="66">
        <f t="shared" si="60"/>
        <v>300</v>
      </c>
      <c r="AZ31" s="66">
        <f t="shared" si="60"/>
        <v>80</v>
      </c>
      <c r="BA31" s="55"/>
      <c r="BB31" s="128" t="str">
        <f t="shared" ref="BB31:BB42" si="61">AT31</f>
        <v>T1低1</v>
      </c>
      <c r="BC31" s="66">
        <f t="shared" ref="BC31:BH42" si="62">VLOOKUP($BB31,中坦弹夹_阶段属性,MATCH(BC$30,属性标头_阶段属性,0),FALSE)</f>
        <v>880</v>
      </c>
      <c r="BD31" s="66">
        <f t="shared" si="62"/>
        <v>57</v>
      </c>
      <c r="BE31" s="66">
        <f t="shared" si="62"/>
        <v>286</v>
      </c>
      <c r="BF31" s="66">
        <f t="shared" si="62"/>
        <v>214</v>
      </c>
      <c r="BG31" s="66">
        <f t="shared" si="62"/>
        <v>360</v>
      </c>
      <c r="BH31" s="66">
        <f t="shared" si="62"/>
        <v>88</v>
      </c>
      <c r="BJ31" s="128" t="str">
        <f t="shared" ref="BJ31:BJ42" si="63">BB31</f>
        <v>T1低1</v>
      </c>
      <c r="BK31" s="66">
        <f t="shared" ref="BK31:BP42" si="64">VLOOKUP($BJ31,中坦单发_阶段属性,MATCH(BK$30,属性标头_阶段属性,0),FALSE)</f>
        <v>880</v>
      </c>
      <c r="BL31" s="66">
        <f t="shared" si="64"/>
        <v>148</v>
      </c>
      <c r="BM31" s="66">
        <f t="shared" si="64"/>
        <v>329</v>
      </c>
      <c r="BN31" s="66">
        <f t="shared" si="64"/>
        <v>246</v>
      </c>
      <c r="BO31" s="66">
        <f t="shared" si="64"/>
        <v>360</v>
      </c>
      <c r="BP31" s="66">
        <f t="shared" si="64"/>
        <v>88</v>
      </c>
      <c r="BR31" s="128" t="str">
        <f t="shared" ref="BR31:BR42" si="65">BJ31</f>
        <v>T1低1</v>
      </c>
      <c r="BS31" s="66">
        <f t="shared" ref="BS31:BX42" si="66">VLOOKUP($BR31,重坦自动_阶段属性,MATCH(BS$30,属性标头_阶段属性,0),FALSE)</f>
        <v>950</v>
      </c>
      <c r="BT31" s="66">
        <f t="shared" si="66"/>
        <v>148</v>
      </c>
      <c r="BU31" s="66">
        <f t="shared" si="66"/>
        <v>286</v>
      </c>
      <c r="BV31" s="66">
        <f t="shared" si="66"/>
        <v>229</v>
      </c>
      <c r="BW31" s="66">
        <f t="shared" si="66"/>
        <v>420</v>
      </c>
      <c r="BX31" s="66">
        <f t="shared" si="66"/>
        <v>95</v>
      </c>
      <c r="BZ31" s="128" t="str">
        <f>BR31</f>
        <v>T1低1</v>
      </c>
      <c r="CA31" s="66">
        <f t="shared" ref="CA31:CF42" si="67">VLOOKUP($BZ31,重坦单发_阶段属性,MATCH(CA$30,属性标头_阶段属性,0),FALSE)</f>
        <v>950</v>
      </c>
      <c r="CB31" s="66">
        <f t="shared" si="67"/>
        <v>196</v>
      </c>
      <c r="CC31" s="66">
        <f t="shared" si="67"/>
        <v>314</v>
      </c>
      <c r="CD31" s="66">
        <f t="shared" si="67"/>
        <v>251</v>
      </c>
      <c r="CE31" s="66">
        <f t="shared" si="67"/>
        <v>420</v>
      </c>
      <c r="CF31" s="66">
        <f t="shared" si="67"/>
        <v>95</v>
      </c>
      <c r="CG31" s="55"/>
    </row>
    <row r="32" spans="2:85" x14ac:dyDescent="0.35">
      <c r="B32" s="175">
        <v>5</v>
      </c>
      <c r="C32" s="141" t="s">
        <v>812</v>
      </c>
      <c r="D32" s="139">
        <v>5</v>
      </c>
      <c r="F32" s="175">
        <v>5</v>
      </c>
      <c r="G32" s="196" t="s">
        <v>924</v>
      </c>
      <c r="H32" s="175">
        <v>5</v>
      </c>
      <c r="AA32" s="55"/>
      <c r="AB32" s="55"/>
      <c r="AD32" s="651" t="str">
        <f t="shared" ref="AD32:AD42" si="68">F14</f>
        <v>T2低2</v>
      </c>
      <c r="AE32" s="483">
        <f t="shared" si="56"/>
        <v>960</v>
      </c>
      <c r="AF32" s="66">
        <f t="shared" si="56"/>
        <v>57</v>
      </c>
      <c r="AG32" s="66">
        <f t="shared" si="56"/>
        <v>360</v>
      </c>
      <c r="AH32" s="66">
        <f t="shared" si="56"/>
        <v>252</v>
      </c>
      <c r="AI32" s="66">
        <f t="shared" si="56"/>
        <v>360</v>
      </c>
      <c r="AJ32" s="66">
        <f t="shared" si="56"/>
        <v>96</v>
      </c>
      <c r="AK32" s="55"/>
      <c r="AL32" s="128" t="str">
        <f t="shared" si="57"/>
        <v>T2低2</v>
      </c>
      <c r="AM32" s="66">
        <f t="shared" si="58"/>
        <v>960</v>
      </c>
      <c r="AN32" s="66">
        <f t="shared" si="58"/>
        <v>34</v>
      </c>
      <c r="AO32" s="66">
        <f t="shared" si="58"/>
        <v>394</v>
      </c>
      <c r="AP32" s="66">
        <f t="shared" si="58"/>
        <v>276</v>
      </c>
      <c r="AQ32" s="66">
        <f t="shared" si="58"/>
        <v>360</v>
      </c>
      <c r="AR32" s="66">
        <f t="shared" si="58"/>
        <v>96</v>
      </c>
      <c r="AS32" s="55"/>
      <c r="AT32" s="128" t="str">
        <f t="shared" si="59"/>
        <v>T2低2</v>
      </c>
      <c r="AU32" s="66">
        <f t="shared" si="60"/>
        <v>960</v>
      </c>
      <c r="AV32" s="66">
        <f t="shared" si="60"/>
        <v>117</v>
      </c>
      <c r="AW32" s="66">
        <f t="shared" si="60"/>
        <v>429</v>
      </c>
      <c r="AX32" s="66">
        <f t="shared" si="60"/>
        <v>300</v>
      </c>
      <c r="AY32" s="66">
        <f t="shared" si="60"/>
        <v>360</v>
      </c>
      <c r="AZ32" s="66">
        <f t="shared" si="60"/>
        <v>96</v>
      </c>
      <c r="BA32" s="55"/>
      <c r="BB32" s="128" t="str">
        <f t="shared" si="61"/>
        <v>T2低2</v>
      </c>
      <c r="BC32" s="66">
        <f t="shared" si="62"/>
        <v>1056</v>
      </c>
      <c r="BD32" s="66">
        <f t="shared" si="62"/>
        <v>68</v>
      </c>
      <c r="BE32" s="66">
        <f t="shared" si="62"/>
        <v>343</v>
      </c>
      <c r="BF32" s="66">
        <f t="shared" si="62"/>
        <v>257</v>
      </c>
      <c r="BG32" s="66">
        <f t="shared" si="62"/>
        <v>432</v>
      </c>
      <c r="BH32" s="66">
        <f t="shared" si="62"/>
        <v>106</v>
      </c>
      <c r="BJ32" s="128" t="str">
        <f t="shared" si="63"/>
        <v>T2低2</v>
      </c>
      <c r="BK32" s="66">
        <f t="shared" si="64"/>
        <v>1056</v>
      </c>
      <c r="BL32" s="66">
        <f t="shared" si="64"/>
        <v>178</v>
      </c>
      <c r="BM32" s="66">
        <f t="shared" si="64"/>
        <v>394</v>
      </c>
      <c r="BN32" s="66">
        <f t="shared" si="64"/>
        <v>296</v>
      </c>
      <c r="BO32" s="66">
        <f t="shared" si="64"/>
        <v>432</v>
      </c>
      <c r="BP32" s="66">
        <f t="shared" si="64"/>
        <v>106</v>
      </c>
      <c r="BR32" s="128" t="str">
        <f t="shared" si="65"/>
        <v>T2低2</v>
      </c>
      <c r="BS32" s="66">
        <f t="shared" si="66"/>
        <v>1141</v>
      </c>
      <c r="BT32" s="66">
        <f t="shared" si="66"/>
        <v>177</v>
      </c>
      <c r="BU32" s="66">
        <f t="shared" si="66"/>
        <v>343</v>
      </c>
      <c r="BV32" s="66">
        <f t="shared" si="66"/>
        <v>274</v>
      </c>
      <c r="BW32" s="66">
        <f t="shared" si="66"/>
        <v>504</v>
      </c>
      <c r="BX32" s="66">
        <f t="shared" si="66"/>
        <v>114</v>
      </c>
      <c r="BZ32" s="128" t="str">
        <f t="shared" ref="BZ32:BZ42" si="69">BR32</f>
        <v>T2低2</v>
      </c>
      <c r="CA32" s="66">
        <f t="shared" si="67"/>
        <v>1141</v>
      </c>
      <c r="CB32" s="66">
        <f t="shared" si="67"/>
        <v>235</v>
      </c>
      <c r="CC32" s="66">
        <f t="shared" si="67"/>
        <v>377</v>
      </c>
      <c r="CD32" s="66">
        <f t="shared" si="67"/>
        <v>302</v>
      </c>
      <c r="CE32" s="66">
        <f t="shared" si="67"/>
        <v>504</v>
      </c>
      <c r="CF32" s="66">
        <f t="shared" si="67"/>
        <v>114</v>
      </c>
      <c r="CG32" s="55"/>
    </row>
    <row r="33" spans="2:85" x14ac:dyDescent="0.35">
      <c r="AD33" s="651" t="str">
        <f t="shared" si="68"/>
        <v>T2中2</v>
      </c>
      <c r="AE33" s="483">
        <f t="shared" si="56"/>
        <v>984</v>
      </c>
      <c r="AF33" s="66">
        <f t="shared" si="56"/>
        <v>59</v>
      </c>
      <c r="AG33" s="66">
        <f t="shared" si="56"/>
        <v>369</v>
      </c>
      <c r="AH33" s="66">
        <f t="shared" si="56"/>
        <v>258</v>
      </c>
      <c r="AI33" s="66">
        <f t="shared" si="56"/>
        <v>369</v>
      </c>
      <c r="AJ33" s="66">
        <f t="shared" si="56"/>
        <v>98</v>
      </c>
      <c r="AK33" s="55"/>
      <c r="AL33" s="128" t="str">
        <f t="shared" si="57"/>
        <v>T2中2</v>
      </c>
      <c r="AM33" s="66">
        <f t="shared" si="58"/>
        <v>984</v>
      </c>
      <c r="AN33" s="66">
        <f t="shared" si="58"/>
        <v>35</v>
      </c>
      <c r="AO33" s="66">
        <f t="shared" si="58"/>
        <v>404</v>
      </c>
      <c r="AP33" s="66">
        <f t="shared" si="58"/>
        <v>283</v>
      </c>
      <c r="AQ33" s="66">
        <f t="shared" si="58"/>
        <v>369</v>
      </c>
      <c r="AR33" s="66">
        <f t="shared" si="58"/>
        <v>98</v>
      </c>
      <c r="AS33" s="55"/>
      <c r="AT33" s="128" t="str">
        <f t="shared" si="59"/>
        <v>T2中2</v>
      </c>
      <c r="AU33" s="66">
        <f t="shared" si="60"/>
        <v>984</v>
      </c>
      <c r="AV33" s="66">
        <f t="shared" si="60"/>
        <v>120</v>
      </c>
      <c r="AW33" s="66">
        <f t="shared" si="60"/>
        <v>439</v>
      </c>
      <c r="AX33" s="66">
        <f t="shared" si="60"/>
        <v>308</v>
      </c>
      <c r="AY33" s="66">
        <f t="shared" si="60"/>
        <v>369</v>
      </c>
      <c r="AZ33" s="66">
        <f t="shared" si="60"/>
        <v>98</v>
      </c>
      <c r="BA33" s="55"/>
      <c r="BB33" s="128" t="str">
        <f t="shared" si="61"/>
        <v>T2中2</v>
      </c>
      <c r="BC33" s="66">
        <f t="shared" si="62"/>
        <v>1083</v>
      </c>
      <c r="BD33" s="66">
        <f t="shared" si="62"/>
        <v>70</v>
      </c>
      <c r="BE33" s="66">
        <f t="shared" si="62"/>
        <v>351</v>
      </c>
      <c r="BF33" s="66">
        <f t="shared" si="62"/>
        <v>264</v>
      </c>
      <c r="BG33" s="66">
        <f t="shared" si="62"/>
        <v>443</v>
      </c>
      <c r="BH33" s="66">
        <f t="shared" si="62"/>
        <v>108</v>
      </c>
      <c r="BJ33" s="128" t="str">
        <f t="shared" si="63"/>
        <v>T2中2</v>
      </c>
      <c r="BK33" s="66">
        <f t="shared" si="64"/>
        <v>1083</v>
      </c>
      <c r="BL33" s="66">
        <f t="shared" si="64"/>
        <v>182</v>
      </c>
      <c r="BM33" s="66">
        <f t="shared" si="64"/>
        <v>404</v>
      </c>
      <c r="BN33" s="66">
        <f t="shared" si="64"/>
        <v>303</v>
      </c>
      <c r="BO33" s="66">
        <f t="shared" si="64"/>
        <v>443</v>
      </c>
      <c r="BP33" s="66">
        <f t="shared" si="64"/>
        <v>108</v>
      </c>
      <c r="BR33" s="128" t="str">
        <f t="shared" si="65"/>
        <v>T2中2</v>
      </c>
      <c r="BS33" s="66">
        <f t="shared" si="66"/>
        <v>1169</v>
      </c>
      <c r="BT33" s="66">
        <f t="shared" si="66"/>
        <v>182</v>
      </c>
      <c r="BU33" s="66">
        <f t="shared" si="66"/>
        <v>351</v>
      </c>
      <c r="BV33" s="66">
        <f t="shared" si="66"/>
        <v>281</v>
      </c>
      <c r="BW33" s="66">
        <f t="shared" si="66"/>
        <v>517</v>
      </c>
      <c r="BX33" s="66">
        <f t="shared" si="66"/>
        <v>117</v>
      </c>
      <c r="BZ33" s="128" t="str">
        <f t="shared" si="69"/>
        <v>T2中2</v>
      </c>
      <c r="CA33" s="66">
        <f t="shared" si="67"/>
        <v>1169</v>
      </c>
      <c r="CB33" s="66">
        <f t="shared" si="67"/>
        <v>241</v>
      </c>
      <c r="CC33" s="66">
        <f t="shared" si="67"/>
        <v>387</v>
      </c>
      <c r="CD33" s="66">
        <f t="shared" si="67"/>
        <v>309</v>
      </c>
      <c r="CE33" s="66">
        <f t="shared" si="67"/>
        <v>517</v>
      </c>
      <c r="CF33" s="66">
        <f t="shared" si="67"/>
        <v>117</v>
      </c>
      <c r="CG33" s="55"/>
    </row>
    <row r="34" spans="2:85" x14ac:dyDescent="0.35">
      <c r="B34" s="808" t="s">
        <v>434</v>
      </c>
      <c r="C34" s="806"/>
      <c r="D34" s="806"/>
      <c r="E34" s="806"/>
      <c r="F34" s="806"/>
      <c r="G34" s="807"/>
      <c r="AD34" s="651" t="str">
        <f t="shared" si="68"/>
        <v>T3低3</v>
      </c>
      <c r="AE34" s="483">
        <f t="shared" si="56"/>
        <v>1200</v>
      </c>
      <c r="AF34" s="66">
        <f t="shared" si="56"/>
        <v>71</v>
      </c>
      <c r="AG34" s="66">
        <f t="shared" si="56"/>
        <v>450</v>
      </c>
      <c r="AH34" s="66">
        <f t="shared" si="56"/>
        <v>315</v>
      </c>
      <c r="AI34" s="66">
        <f t="shared" si="56"/>
        <v>450</v>
      </c>
      <c r="AJ34" s="66">
        <f t="shared" si="56"/>
        <v>120</v>
      </c>
      <c r="AK34" s="55"/>
      <c r="AL34" s="128" t="str">
        <f t="shared" si="57"/>
        <v>T3低3</v>
      </c>
      <c r="AM34" s="66">
        <f t="shared" si="58"/>
        <v>1200</v>
      </c>
      <c r="AN34" s="66">
        <f t="shared" si="58"/>
        <v>43</v>
      </c>
      <c r="AO34" s="66">
        <f t="shared" si="58"/>
        <v>493</v>
      </c>
      <c r="AP34" s="66">
        <f t="shared" si="58"/>
        <v>345</v>
      </c>
      <c r="AQ34" s="66">
        <f t="shared" si="58"/>
        <v>450</v>
      </c>
      <c r="AR34" s="66">
        <f t="shared" si="58"/>
        <v>120</v>
      </c>
      <c r="AS34" s="55"/>
      <c r="AT34" s="128" t="str">
        <f t="shared" si="59"/>
        <v>T3低3</v>
      </c>
      <c r="AU34" s="66">
        <f t="shared" si="60"/>
        <v>1200</v>
      </c>
      <c r="AV34" s="66">
        <f t="shared" si="60"/>
        <v>146</v>
      </c>
      <c r="AW34" s="66">
        <f t="shared" si="60"/>
        <v>536</v>
      </c>
      <c r="AX34" s="66">
        <f t="shared" si="60"/>
        <v>375</v>
      </c>
      <c r="AY34" s="66">
        <f t="shared" si="60"/>
        <v>450</v>
      </c>
      <c r="AZ34" s="66">
        <f t="shared" si="60"/>
        <v>120</v>
      </c>
      <c r="BA34" s="55"/>
      <c r="BB34" s="128" t="str">
        <f t="shared" si="61"/>
        <v>T3低3</v>
      </c>
      <c r="BC34" s="66">
        <f t="shared" si="62"/>
        <v>1320</v>
      </c>
      <c r="BD34" s="66">
        <f t="shared" si="62"/>
        <v>86</v>
      </c>
      <c r="BE34" s="66">
        <f t="shared" si="62"/>
        <v>429</v>
      </c>
      <c r="BF34" s="66">
        <f t="shared" si="62"/>
        <v>321</v>
      </c>
      <c r="BG34" s="66">
        <f t="shared" si="62"/>
        <v>540</v>
      </c>
      <c r="BH34" s="66">
        <f t="shared" si="62"/>
        <v>132</v>
      </c>
      <c r="BJ34" s="128" t="str">
        <f t="shared" si="63"/>
        <v>T3低3</v>
      </c>
      <c r="BK34" s="66">
        <f t="shared" si="64"/>
        <v>1320</v>
      </c>
      <c r="BL34" s="66">
        <f t="shared" si="64"/>
        <v>222</v>
      </c>
      <c r="BM34" s="66">
        <f t="shared" si="64"/>
        <v>493</v>
      </c>
      <c r="BN34" s="66">
        <f t="shared" si="64"/>
        <v>370</v>
      </c>
      <c r="BO34" s="66">
        <f t="shared" si="64"/>
        <v>540</v>
      </c>
      <c r="BP34" s="66">
        <f t="shared" si="64"/>
        <v>132</v>
      </c>
      <c r="BR34" s="128" t="str">
        <f t="shared" si="65"/>
        <v>T3低3</v>
      </c>
      <c r="BS34" s="66">
        <f t="shared" si="66"/>
        <v>1426</v>
      </c>
      <c r="BT34" s="66">
        <f t="shared" si="66"/>
        <v>221</v>
      </c>
      <c r="BU34" s="66">
        <f t="shared" si="66"/>
        <v>429</v>
      </c>
      <c r="BV34" s="66">
        <f t="shared" si="66"/>
        <v>343</v>
      </c>
      <c r="BW34" s="66">
        <f t="shared" si="66"/>
        <v>630</v>
      </c>
      <c r="BX34" s="66">
        <f t="shared" si="66"/>
        <v>143</v>
      </c>
      <c r="BZ34" s="128" t="str">
        <f t="shared" si="69"/>
        <v>T3低3</v>
      </c>
      <c r="CA34" s="66">
        <f t="shared" si="67"/>
        <v>1426</v>
      </c>
      <c r="CB34" s="66">
        <f t="shared" si="67"/>
        <v>294</v>
      </c>
      <c r="CC34" s="66">
        <f t="shared" si="67"/>
        <v>471</v>
      </c>
      <c r="CD34" s="66">
        <f t="shared" si="67"/>
        <v>377</v>
      </c>
      <c r="CE34" s="66">
        <f t="shared" si="67"/>
        <v>630</v>
      </c>
      <c r="CF34" s="66">
        <f t="shared" si="67"/>
        <v>143</v>
      </c>
      <c r="CG34" s="55"/>
    </row>
    <row r="35" spans="2:85" x14ac:dyDescent="0.35">
      <c r="B35" s="46" t="s">
        <v>430</v>
      </c>
      <c r="C35" s="46" t="s">
        <v>431</v>
      </c>
      <c r="D35" s="46" t="s">
        <v>432</v>
      </c>
      <c r="E35" s="46" t="s">
        <v>433</v>
      </c>
      <c r="F35" s="463" t="s">
        <v>2111</v>
      </c>
      <c r="G35" s="46" t="s">
        <v>448</v>
      </c>
      <c r="AD35" s="651" t="str">
        <f t="shared" si="68"/>
        <v>T3中3</v>
      </c>
      <c r="AE35" s="483">
        <f t="shared" si="56"/>
        <v>1236</v>
      </c>
      <c r="AF35" s="66">
        <f t="shared" si="56"/>
        <v>74</v>
      </c>
      <c r="AG35" s="66">
        <f t="shared" si="56"/>
        <v>464</v>
      </c>
      <c r="AH35" s="66">
        <f t="shared" si="56"/>
        <v>324</v>
      </c>
      <c r="AI35" s="66">
        <f t="shared" si="56"/>
        <v>464</v>
      </c>
      <c r="AJ35" s="66">
        <f t="shared" si="56"/>
        <v>124</v>
      </c>
      <c r="AK35" s="55"/>
      <c r="AL35" s="128" t="str">
        <f t="shared" si="57"/>
        <v>T3中3</v>
      </c>
      <c r="AM35" s="66">
        <f t="shared" si="58"/>
        <v>1236</v>
      </c>
      <c r="AN35" s="66">
        <f t="shared" si="58"/>
        <v>44</v>
      </c>
      <c r="AO35" s="66">
        <f t="shared" si="58"/>
        <v>508</v>
      </c>
      <c r="AP35" s="66">
        <f t="shared" si="58"/>
        <v>355</v>
      </c>
      <c r="AQ35" s="66">
        <f t="shared" si="58"/>
        <v>464</v>
      </c>
      <c r="AR35" s="66">
        <f t="shared" si="58"/>
        <v>124</v>
      </c>
      <c r="AS35" s="55"/>
      <c r="AT35" s="128" t="str">
        <f t="shared" si="59"/>
        <v>T3中3</v>
      </c>
      <c r="AU35" s="66">
        <f t="shared" si="60"/>
        <v>1236</v>
      </c>
      <c r="AV35" s="66">
        <f t="shared" si="60"/>
        <v>151</v>
      </c>
      <c r="AW35" s="66">
        <f t="shared" si="60"/>
        <v>552</v>
      </c>
      <c r="AX35" s="66">
        <f t="shared" si="60"/>
        <v>386</v>
      </c>
      <c r="AY35" s="66">
        <f t="shared" si="60"/>
        <v>464</v>
      </c>
      <c r="AZ35" s="66">
        <f t="shared" si="60"/>
        <v>124</v>
      </c>
      <c r="BA35" s="55"/>
      <c r="BB35" s="128" t="str">
        <f t="shared" si="61"/>
        <v>T3中3</v>
      </c>
      <c r="BC35" s="66">
        <f t="shared" si="62"/>
        <v>1360</v>
      </c>
      <c r="BD35" s="66">
        <f t="shared" si="62"/>
        <v>88</v>
      </c>
      <c r="BE35" s="66">
        <f t="shared" si="62"/>
        <v>441</v>
      </c>
      <c r="BF35" s="66">
        <f t="shared" si="62"/>
        <v>331</v>
      </c>
      <c r="BG35" s="66">
        <f t="shared" si="62"/>
        <v>556</v>
      </c>
      <c r="BH35" s="66">
        <f t="shared" si="62"/>
        <v>136</v>
      </c>
      <c r="BJ35" s="128" t="str">
        <f t="shared" si="63"/>
        <v>T3中3</v>
      </c>
      <c r="BK35" s="66">
        <f t="shared" si="64"/>
        <v>1360</v>
      </c>
      <c r="BL35" s="66">
        <f t="shared" si="64"/>
        <v>229</v>
      </c>
      <c r="BM35" s="66">
        <f t="shared" si="64"/>
        <v>508</v>
      </c>
      <c r="BN35" s="66">
        <f t="shared" si="64"/>
        <v>381</v>
      </c>
      <c r="BO35" s="66">
        <f t="shared" si="64"/>
        <v>556</v>
      </c>
      <c r="BP35" s="66">
        <f t="shared" si="64"/>
        <v>136</v>
      </c>
      <c r="BR35" s="128" t="str">
        <f t="shared" si="65"/>
        <v>T3中3</v>
      </c>
      <c r="BS35" s="66">
        <f t="shared" si="66"/>
        <v>1469</v>
      </c>
      <c r="BT35" s="66">
        <f t="shared" si="66"/>
        <v>228</v>
      </c>
      <c r="BU35" s="66">
        <f t="shared" si="66"/>
        <v>441</v>
      </c>
      <c r="BV35" s="66">
        <f t="shared" si="66"/>
        <v>353</v>
      </c>
      <c r="BW35" s="66">
        <f t="shared" si="66"/>
        <v>649</v>
      </c>
      <c r="BX35" s="66">
        <f t="shared" si="66"/>
        <v>147</v>
      </c>
      <c r="BZ35" s="128" t="str">
        <f t="shared" si="69"/>
        <v>T3中3</v>
      </c>
      <c r="CA35" s="66">
        <f t="shared" si="67"/>
        <v>1469</v>
      </c>
      <c r="CB35" s="66">
        <f t="shared" si="67"/>
        <v>303</v>
      </c>
      <c r="CC35" s="66">
        <f t="shared" si="67"/>
        <v>486</v>
      </c>
      <c r="CD35" s="66">
        <f t="shared" si="67"/>
        <v>388</v>
      </c>
      <c r="CE35" s="66">
        <f t="shared" si="67"/>
        <v>649</v>
      </c>
      <c r="CF35" s="66">
        <f t="shared" si="67"/>
        <v>147</v>
      </c>
      <c r="CG35" s="55"/>
    </row>
    <row r="36" spans="2:85" x14ac:dyDescent="0.35">
      <c r="B36" s="39" t="s">
        <v>408</v>
      </c>
      <c r="C36" s="52">
        <f>VLOOKUP(LEFT($B36,2),标准坦克设计!$B$33:$F$36,MATCH(C$35,标准坦克设计!$B$33:$F$33,0),FALSE)</f>
        <v>800</v>
      </c>
      <c r="D36" s="52">
        <f>VLOOKUP($B36,标准坦克设计!$B$39:$H$46,MATCH(D$35,标准坦克设计!$B$39:$H$39,0),FALSE)</f>
        <v>47.616999547556972</v>
      </c>
      <c r="E36" s="52">
        <f>VLOOKUP($B36,标准坦克设计!$B$39:$H$46,MATCH(E$35,标准坦克设计!$B$39:$H$39,0),FALSE)</f>
        <v>300</v>
      </c>
      <c r="F36" s="52">
        <f>VLOOKUP(LEFT($B36,2),标准坦克设计!$B$33:$F$36,MATCH(F$35,标准坦克设计!$B$33:$F$33,0),FALSE)</f>
        <v>300</v>
      </c>
      <c r="G36" s="52">
        <f>C36*基础属性系数!$C$57</f>
        <v>80</v>
      </c>
      <c r="AD36" s="651" t="str">
        <f t="shared" si="68"/>
        <v>T3高3</v>
      </c>
      <c r="AE36" s="483">
        <f t="shared" si="56"/>
        <v>1296</v>
      </c>
      <c r="AF36" s="66">
        <f t="shared" si="56"/>
        <v>77</v>
      </c>
      <c r="AG36" s="66">
        <f t="shared" si="56"/>
        <v>486</v>
      </c>
      <c r="AH36" s="66">
        <f t="shared" si="56"/>
        <v>340</v>
      </c>
      <c r="AI36" s="66">
        <f t="shared" si="56"/>
        <v>486</v>
      </c>
      <c r="AJ36" s="66">
        <f t="shared" si="56"/>
        <v>130</v>
      </c>
      <c r="AK36" s="55"/>
      <c r="AL36" s="128" t="str">
        <f t="shared" si="57"/>
        <v>T3高3</v>
      </c>
      <c r="AM36" s="66">
        <f t="shared" si="58"/>
        <v>1296</v>
      </c>
      <c r="AN36" s="66">
        <f t="shared" si="58"/>
        <v>46</v>
      </c>
      <c r="AO36" s="66">
        <f t="shared" si="58"/>
        <v>532</v>
      </c>
      <c r="AP36" s="66">
        <f t="shared" si="58"/>
        <v>373</v>
      </c>
      <c r="AQ36" s="66">
        <f t="shared" si="58"/>
        <v>486</v>
      </c>
      <c r="AR36" s="66">
        <f t="shared" si="58"/>
        <v>130</v>
      </c>
      <c r="AS36" s="55"/>
      <c r="AT36" s="128" t="str">
        <f t="shared" si="59"/>
        <v>T3高3</v>
      </c>
      <c r="AU36" s="66">
        <f t="shared" si="60"/>
        <v>1296</v>
      </c>
      <c r="AV36" s="66">
        <f t="shared" si="60"/>
        <v>158</v>
      </c>
      <c r="AW36" s="66">
        <f t="shared" si="60"/>
        <v>579</v>
      </c>
      <c r="AX36" s="66">
        <f t="shared" si="60"/>
        <v>405</v>
      </c>
      <c r="AY36" s="66">
        <f t="shared" si="60"/>
        <v>486</v>
      </c>
      <c r="AZ36" s="66">
        <f t="shared" si="60"/>
        <v>130</v>
      </c>
      <c r="BA36" s="55"/>
      <c r="BB36" s="128" t="str">
        <f t="shared" si="61"/>
        <v>T3高3</v>
      </c>
      <c r="BC36" s="66">
        <f t="shared" si="62"/>
        <v>1426</v>
      </c>
      <c r="BD36" s="66">
        <f t="shared" si="62"/>
        <v>92</v>
      </c>
      <c r="BE36" s="66">
        <f t="shared" si="62"/>
        <v>463</v>
      </c>
      <c r="BF36" s="66">
        <f t="shared" si="62"/>
        <v>347</v>
      </c>
      <c r="BG36" s="66">
        <f t="shared" si="62"/>
        <v>583</v>
      </c>
      <c r="BH36" s="66">
        <f t="shared" si="62"/>
        <v>143</v>
      </c>
      <c r="BJ36" s="128" t="str">
        <f t="shared" si="63"/>
        <v>T3高3</v>
      </c>
      <c r="BK36" s="66">
        <f t="shared" si="64"/>
        <v>1426</v>
      </c>
      <c r="BL36" s="66">
        <f t="shared" si="64"/>
        <v>240</v>
      </c>
      <c r="BM36" s="66">
        <f t="shared" si="64"/>
        <v>532</v>
      </c>
      <c r="BN36" s="66">
        <f t="shared" si="64"/>
        <v>399</v>
      </c>
      <c r="BO36" s="66">
        <f t="shared" si="64"/>
        <v>583</v>
      </c>
      <c r="BP36" s="66">
        <f t="shared" si="64"/>
        <v>143</v>
      </c>
      <c r="BR36" s="128" t="str">
        <f t="shared" si="65"/>
        <v>T3高3</v>
      </c>
      <c r="BS36" s="66">
        <f t="shared" si="66"/>
        <v>1540</v>
      </c>
      <c r="BT36" s="66">
        <f t="shared" si="66"/>
        <v>239</v>
      </c>
      <c r="BU36" s="66">
        <f t="shared" si="66"/>
        <v>463</v>
      </c>
      <c r="BV36" s="66">
        <f t="shared" si="66"/>
        <v>370</v>
      </c>
      <c r="BW36" s="66">
        <f t="shared" si="66"/>
        <v>680</v>
      </c>
      <c r="BX36" s="66">
        <f t="shared" si="66"/>
        <v>154</v>
      </c>
      <c r="BZ36" s="128" t="str">
        <f t="shared" si="69"/>
        <v>T3高3</v>
      </c>
      <c r="CA36" s="66">
        <f t="shared" si="67"/>
        <v>1540</v>
      </c>
      <c r="CB36" s="66">
        <f t="shared" si="67"/>
        <v>318</v>
      </c>
      <c r="CC36" s="66">
        <f t="shared" si="67"/>
        <v>509</v>
      </c>
      <c r="CD36" s="66">
        <f t="shared" si="67"/>
        <v>407</v>
      </c>
      <c r="CE36" s="66">
        <f t="shared" si="67"/>
        <v>680</v>
      </c>
      <c r="CF36" s="66">
        <f t="shared" si="67"/>
        <v>154</v>
      </c>
      <c r="CG36" s="55"/>
    </row>
    <row r="37" spans="2:85" x14ac:dyDescent="0.35">
      <c r="B37" s="39" t="s">
        <v>392</v>
      </c>
      <c r="C37" s="52">
        <f>VLOOKUP(LEFT($B37,2),标准坦克设计!$B$33:$F$36,MATCH(C$35,标准坦克设计!$B$33:$F$33,0),FALSE)</f>
        <v>800</v>
      </c>
      <c r="D37" s="52">
        <f>VLOOKUP($B37,标准坦克设计!$B$39:$H$46,MATCH(D$35,标准坦克设计!$B$39:$H$39,0),FALSE)</f>
        <v>28.438764265095667</v>
      </c>
      <c r="E37" s="52">
        <f>VLOOKUP($B37,标准坦克设计!$B$39:$H$46,MATCH(E$35,标准坦克设计!$B$39:$H$39,0),FALSE)</f>
        <v>328.57142857142856</v>
      </c>
      <c r="F37" s="52">
        <f>VLOOKUP(LEFT($B37,2),标准坦克设计!$B$33:$F$36,MATCH(F$35,标准坦克设计!$B$33:$F$33,0),FALSE)</f>
        <v>300</v>
      </c>
      <c r="G37" s="52">
        <f>C37*基础属性系数!$C$57</f>
        <v>80</v>
      </c>
      <c r="AD37" s="651" t="str">
        <f t="shared" si="68"/>
        <v>T4低4</v>
      </c>
      <c r="AE37" s="483">
        <f t="shared" si="56"/>
        <v>1520</v>
      </c>
      <c r="AF37" s="66">
        <f t="shared" si="56"/>
        <v>90</v>
      </c>
      <c r="AG37" s="66">
        <f t="shared" si="56"/>
        <v>570</v>
      </c>
      <c r="AH37" s="66">
        <f t="shared" si="56"/>
        <v>399</v>
      </c>
      <c r="AI37" s="66">
        <f t="shared" si="56"/>
        <v>570</v>
      </c>
      <c r="AJ37" s="66">
        <f t="shared" si="56"/>
        <v>152</v>
      </c>
      <c r="AK37" s="55"/>
      <c r="AL37" s="128" t="str">
        <f t="shared" si="57"/>
        <v>T4低4</v>
      </c>
      <c r="AM37" s="66">
        <f t="shared" si="58"/>
        <v>1520</v>
      </c>
      <c r="AN37" s="66">
        <f t="shared" si="58"/>
        <v>54</v>
      </c>
      <c r="AO37" s="66">
        <f t="shared" si="58"/>
        <v>624</v>
      </c>
      <c r="AP37" s="66">
        <f t="shared" si="58"/>
        <v>437</v>
      </c>
      <c r="AQ37" s="66">
        <f t="shared" si="58"/>
        <v>570</v>
      </c>
      <c r="AR37" s="66">
        <f t="shared" si="58"/>
        <v>152</v>
      </c>
      <c r="AS37" s="55"/>
      <c r="AT37" s="128" t="str">
        <f t="shared" si="59"/>
        <v>T4低4</v>
      </c>
      <c r="AU37" s="66">
        <f t="shared" si="60"/>
        <v>1520</v>
      </c>
      <c r="AV37" s="66">
        <f t="shared" si="60"/>
        <v>185</v>
      </c>
      <c r="AW37" s="66">
        <f t="shared" si="60"/>
        <v>679</v>
      </c>
      <c r="AX37" s="66">
        <f t="shared" si="60"/>
        <v>475</v>
      </c>
      <c r="AY37" s="66">
        <f t="shared" si="60"/>
        <v>570</v>
      </c>
      <c r="AZ37" s="66">
        <f t="shared" si="60"/>
        <v>152</v>
      </c>
      <c r="BA37" s="55"/>
      <c r="BB37" s="128" t="str">
        <f t="shared" si="61"/>
        <v>T4低4</v>
      </c>
      <c r="BC37" s="66">
        <f t="shared" si="62"/>
        <v>1673</v>
      </c>
      <c r="BD37" s="66">
        <f t="shared" si="62"/>
        <v>108</v>
      </c>
      <c r="BE37" s="66">
        <f t="shared" si="62"/>
        <v>543</v>
      </c>
      <c r="BF37" s="66">
        <f t="shared" si="62"/>
        <v>407</v>
      </c>
      <c r="BG37" s="66">
        <f t="shared" si="62"/>
        <v>684</v>
      </c>
      <c r="BH37" s="66">
        <f t="shared" si="62"/>
        <v>167</v>
      </c>
      <c r="BJ37" s="128" t="str">
        <f t="shared" si="63"/>
        <v>T4低4</v>
      </c>
      <c r="BK37" s="66">
        <f t="shared" si="64"/>
        <v>1673</v>
      </c>
      <c r="BL37" s="66">
        <f t="shared" si="64"/>
        <v>282</v>
      </c>
      <c r="BM37" s="66">
        <f t="shared" si="64"/>
        <v>624</v>
      </c>
      <c r="BN37" s="66">
        <f t="shared" si="64"/>
        <v>468</v>
      </c>
      <c r="BO37" s="66">
        <f t="shared" si="64"/>
        <v>684</v>
      </c>
      <c r="BP37" s="66">
        <f t="shared" si="64"/>
        <v>167</v>
      </c>
      <c r="BR37" s="128" t="str">
        <f t="shared" si="65"/>
        <v>T4低4</v>
      </c>
      <c r="BS37" s="66">
        <f t="shared" si="66"/>
        <v>1806</v>
      </c>
      <c r="BT37" s="66">
        <f t="shared" si="66"/>
        <v>281</v>
      </c>
      <c r="BU37" s="66">
        <f t="shared" si="66"/>
        <v>543</v>
      </c>
      <c r="BV37" s="66">
        <f t="shared" si="66"/>
        <v>434</v>
      </c>
      <c r="BW37" s="66">
        <f t="shared" si="66"/>
        <v>798</v>
      </c>
      <c r="BX37" s="66">
        <f t="shared" si="66"/>
        <v>181</v>
      </c>
      <c r="BZ37" s="128" t="str">
        <f t="shared" si="69"/>
        <v>T4低4</v>
      </c>
      <c r="CA37" s="66">
        <f t="shared" si="67"/>
        <v>1806</v>
      </c>
      <c r="CB37" s="66">
        <f t="shared" si="67"/>
        <v>373</v>
      </c>
      <c r="CC37" s="66">
        <f t="shared" si="67"/>
        <v>597</v>
      </c>
      <c r="CD37" s="66">
        <f t="shared" si="67"/>
        <v>478</v>
      </c>
      <c r="CE37" s="66">
        <f t="shared" si="67"/>
        <v>798</v>
      </c>
      <c r="CF37" s="66">
        <f t="shared" si="67"/>
        <v>181</v>
      </c>
      <c r="CG37" s="55"/>
    </row>
    <row r="38" spans="2:85" x14ac:dyDescent="0.35">
      <c r="B38" s="77" t="s">
        <v>609</v>
      </c>
      <c r="C38" s="52">
        <f>VLOOKUP(LEFT($B38,2),标准坦克设计!$B$33:$F$36,MATCH(C$35,标准坦克设计!$B$33:$F$33,0),FALSE)</f>
        <v>800</v>
      </c>
      <c r="D38" s="52">
        <f>VLOOKUP($B38,标准坦克设计!$B$39:$H$46,MATCH(D$35,标准坦克设计!$B$39:$H$39,0),FALSE)</f>
        <v>97.628708530824142</v>
      </c>
      <c r="E38" s="52">
        <f>VLOOKUP($B38,标准坦克设计!$B$39:$H$46,MATCH(E$35,标准坦克设计!$B$39:$H$39,0),FALSE)</f>
        <v>357.14285714285717</v>
      </c>
      <c r="F38" s="52">
        <f>VLOOKUP(LEFT($B38,2),标准坦克设计!$B$33:$F$36,MATCH(F$35,标准坦克设计!$B$33:$F$33,0),FALSE)</f>
        <v>300</v>
      </c>
      <c r="G38" s="52">
        <f>C38*基础属性系数!$C$57</f>
        <v>80</v>
      </c>
      <c r="AD38" s="651" t="str">
        <f t="shared" si="68"/>
        <v>T4中4</v>
      </c>
      <c r="AE38" s="483">
        <f t="shared" si="56"/>
        <v>1568</v>
      </c>
      <c r="AF38" s="66">
        <f t="shared" si="56"/>
        <v>93</v>
      </c>
      <c r="AG38" s="66">
        <f t="shared" si="56"/>
        <v>588</v>
      </c>
      <c r="AH38" s="66">
        <f t="shared" si="56"/>
        <v>412</v>
      </c>
      <c r="AI38" s="66">
        <f t="shared" si="56"/>
        <v>588</v>
      </c>
      <c r="AJ38" s="66">
        <f t="shared" si="56"/>
        <v>157</v>
      </c>
      <c r="AK38" s="55"/>
      <c r="AL38" s="128" t="str">
        <f t="shared" si="57"/>
        <v>T4中4</v>
      </c>
      <c r="AM38" s="66">
        <f t="shared" si="58"/>
        <v>1568</v>
      </c>
      <c r="AN38" s="66">
        <f t="shared" si="58"/>
        <v>56</v>
      </c>
      <c r="AO38" s="66">
        <f t="shared" si="58"/>
        <v>644</v>
      </c>
      <c r="AP38" s="66">
        <f t="shared" si="58"/>
        <v>451</v>
      </c>
      <c r="AQ38" s="66">
        <f t="shared" si="58"/>
        <v>588</v>
      </c>
      <c r="AR38" s="66">
        <f t="shared" si="58"/>
        <v>157</v>
      </c>
      <c r="AS38" s="55"/>
      <c r="AT38" s="128" t="str">
        <f t="shared" si="59"/>
        <v>T4中4</v>
      </c>
      <c r="AU38" s="66">
        <f t="shared" si="60"/>
        <v>1568</v>
      </c>
      <c r="AV38" s="66">
        <f t="shared" si="60"/>
        <v>191</v>
      </c>
      <c r="AW38" s="66">
        <f t="shared" si="60"/>
        <v>700</v>
      </c>
      <c r="AX38" s="66">
        <f t="shared" si="60"/>
        <v>490</v>
      </c>
      <c r="AY38" s="66">
        <f t="shared" si="60"/>
        <v>588</v>
      </c>
      <c r="AZ38" s="66">
        <f t="shared" si="60"/>
        <v>157</v>
      </c>
      <c r="BA38" s="55"/>
      <c r="BB38" s="128" t="str">
        <f t="shared" si="61"/>
        <v>T4中4</v>
      </c>
      <c r="BC38" s="66">
        <f t="shared" si="62"/>
        <v>1725</v>
      </c>
      <c r="BD38" s="66">
        <f t="shared" si="62"/>
        <v>112</v>
      </c>
      <c r="BE38" s="66">
        <f t="shared" si="62"/>
        <v>560</v>
      </c>
      <c r="BF38" s="66">
        <f t="shared" si="62"/>
        <v>420</v>
      </c>
      <c r="BG38" s="66">
        <f t="shared" si="62"/>
        <v>706</v>
      </c>
      <c r="BH38" s="66">
        <f t="shared" si="62"/>
        <v>173</v>
      </c>
      <c r="BJ38" s="128" t="str">
        <f t="shared" si="63"/>
        <v>T4中4</v>
      </c>
      <c r="BK38" s="66">
        <f t="shared" si="64"/>
        <v>1725</v>
      </c>
      <c r="BL38" s="66">
        <f t="shared" si="64"/>
        <v>290</v>
      </c>
      <c r="BM38" s="66">
        <f t="shared" si="64"/>
        <v>644</v>
      </c>
      <c r="BN38" s="66">
        <f t="shared" si="64"/>
        <v>483</v>
      </c>
      <c r="BO38" s="66">
        <f t="shared" si="64"/>
        <v>706</v>
      </c>
      <c r="BP38" s="66">
        <f t="shared" si="64"/>
        <v>173</v>
      </c>
      <c r="BR38" s="128" t="str">
        <f t="shared" si="65"/>
        <v>T4中4</v>
      </c>
      <c r="BS38" s="66">
        <f t="shared" si="66"/>
        <v>1863</v>
      </c>
      <c r="BT38" s="66">
        <f t="shared" si="66"/>
        <v>289</v>
      </c>
      <c r="BU38" s="66">
        <f t="shared" si="66"/>
        <v>560</v>
      </c>
      <c r="BV38" s="66">
        <f t="shared" si="66"/>
        <v>448</v>
      </c>
      <c r="BW38" s="66">
        <f t="shared" si="66"/>
        <v>823</v>
      </c>
      <c r="BX38" s="66">
        <f t="shared" si="66"/>
        <v>186</v>
      </c>
      <c r="BZ38" s="128" t="str">
        <f t="shared" si="69"/>
        <v>T4中4</v>
      </c>
      <c r="CA38" s="66">
        <f t="shared" si="67"/>
        <v>1863</v>
      </c>
      <c r="CB38" s="66">
        <f t="shared" si="67"/>
        <v>384</v>
      </c>
      <c r="CC38" s="66">
        <f t="shared" si="67"/>
        <v>616</v>
      </c>
      <c r="CD38" s="66">
        <f t="shared" si="67"/>
        <v>493</v>
      </c>
      <c r="CE38" s="66">
        <f t="shared" si="67"/>
        <v>823</v>
      </c>
      <c r="CF38" s="66">
        <f t="shared" si="67"/>
        <v>186</v>
      </c>
      <c r="CG38" s="55"/>
    </row>
    <row r="39" spans="2:85" x14ac:dyDescent="0.35">
      <c r="B39" s="39" t="s">
        <v>394</v>
      </c>
      <c r="C39" s="52">
        <f>VLOOKUP(LEFT($B39,2),标准坦克设计!$B$33:$F$36,MATCH(C$35,标准坦克设计!$B$33:$F$33,0),FALSE)</f>
        <v>880.3285274063154</v>
      </c>
      <c r="D39" s="52">
        <f>VLOOKUP($B39,标准坦克设计!$B$39:$H$46,MATCH(D$35,标准坦克设计!$B$39:$H$39,0),FALSE)</f>
        <v>57.019233365866114</v>
      </c>
      <c r="E39" s="52">
        <f>VLOOKUP($B39,标准坦克设计!$B$39:$H$46,MATCH(E$35,标准坦克设计!$B$39:$H$39,0),FALSE)</f>
        <v>285.71428571428572</v>
      </c>
      <c r="F39" s="52">
        <f>VLOOKUP(LEFT($B39,2),标准坦克设计!$B$33:$F$36,MATCH(F$35,标准坦克设计!$B$33:$F$33,0),FALSE)</f>
        <v>360</v>
      </c>
      <c r="G39" s="52">
        <f>C39*基础属性系数!$C$57</f>
        <v>88.03285274063154</v>
      </c>
      <c r="AD39" s="651" t="str">
        <f t="shared" si="68"/>
        <v>T4高4</v>
      </c>
      <c r="AE39" s="483">
        <f t="shared" si="56"/>
        <v>1648</v>
      </c>
      <c r="AF39" s="66">
        <f t="shared" si="56"/>
        <v>98</v>
      </c>
      <c r="AG39" s="66">
        <f t="shared" si="56"/>
        <v>618</v>
      </c>
      <c r="AH39" s="66">
        <f t="shared" si="56"/>
        <v>433</v>
      </c>
      <c r="AI39" s="66">
        <f t="shared" si="56"/>
        <v>618</v>
      </c>
      <c r="AJ39" s="66">
        <f t="shared" si="56"/>
        <v>165</v>
      </c>
      <c r="AK39" s="55"/>
      <c r="AL39" s="128" t="str">
        <f t="shared" si="57"/>
        <v>T4高4</v>
      </c>
      <c r="AM39" s="66">
        <f t="shared" si="58"/>
        <v>1648</v>
      </c>
      <c r="AN39" s="66">
        <f t="shared" si="58"/>
        <v>59</v>
      </c>
      <c r="AO39" s="66">
        <f t="shared" si="58"/>
        <v>677</v>
      </c>
      <c r="AP39" s="66">
        <f t="shared" si="58"/>
        <v>474</v>
      </c>
      <c r="AQ39" s="66">
        <f t="shared" si="58"/>
        <v>618</v>
      </c>
      <c r="AR39" s="66">
        <f t="shared" si="58"/>
        <v>165</v>
      </c>
      <c r="AS39" s="55"/>
      <c r="AT39" s="128" t="str">
        <f t="shared" si="59"/>
        <v>T4高4</v>
      </c>
      <c r="AU39" s="66">
        <f t="shared" si="60"/>
        <v>1648</v>
      </c>
      <c r="AV39" s="66">
        <f t="shared" si="60"/>
        <v>201</v>
      </c>
      <c r="AW39" s="66">
        <f t="shared" si="60"/>
        <v>736</v>
      </c>
      <c r="AX39" s="66">
        <f t="shared" si="60"/>
        <v>515</v>
      </c>
      <c r="AY39" s="66">
        <f t="shared" si="60"/>
        <v>618</v>
      </c>
      <c r="AZ39" s="66">
        <f t="shared" si="60"/>
        <v>165</v>
      </c>
      <c r="BA39" s="55"/>
      <c r="BB39" s="128" t="str">
        <f t="shared" si="61"/>
        <v>T4高4</v>
      </c>
      <c r="BC39" s="66">
        <f t="shared" si="62"/>
        <v>1813</v>
      </c>
      <c r="BD39" s="66">
        <f t="shared" si="62"/>
        <v>117</v>
      </c>
      <c r="BE39" s="66">
        <f t="shared" si="62"/>
        <v>589</v>
      </c>
      <c r="BF39" s="66">
        <f t="shared" si="62"/>
        <v>441</v>
      </c>
      <c r="BG39" s="66">
        <f t="shared" si="62"/>
        <v>742</v>
      </c>
      <c r="BH39" s="66">
        <f t="shared" si="62"/>
        <v>181</v>
      </c>
      <c r="BJ39" s="128" t="str">
        <f t="shared" si="63"/>
        <v>T4高4</v>
      </c>
      <c r="BK39" s="66">
        <f t="shared" si="64"/>
        <v>1813</v>
      </c>
      <c r="BL39" s="66">
        <f t="shared" si="64"/>
        <v>305</v>
      </c>
      <c r="BM39" s="66">
        <f t="shared" si="64"/>
        <v>677</v>
      </c>
      <c r="BN39" s="66">
        <f t="shared" si="64"/>
        <v>508</v>
      </c>
      <c r="BO39" s="66">
        <f t="shared" si="64"/>
        <v>742</v>
      </c>
      <c r="BP39" s="66">
        <f t="shared" si="64"/>
        <v>181</v>
      </c>
      <c r="BR39" s="128" t="str">
        <f t="shared" si="65"/>
        <v>T4高4</v>
      </c>
      <c r="BS39" s="66">
        <f t="shared" si="66"/>
        <v>1958</v>
      </c>
      <c r="BT39" s="66">
        <f t="shared" si="66"/>
        <v>304</v>
      </c>
      <c r="BU39" s="66">
        <f t="shared" si="66"/>
        <v>589</v>
      </c>
      <c r="BV39" s="66">
        <f t="shared" si="66"/>
        <v>471</v>
      </c>
      <c r="BW39" s="66">
        <f t="shared" si="66"/>
        <v>865</v>
      </c>
      <c r="BX39" s="66">
        <f t="shared" si="66"/>
        <v>196</v>
      </c>
      <c r="BZ39" s="128" t="str">
        <f t="shared" si="69"/>
        <v>T4高4</v>
      </c>
      <c r="CA39" s="66">
        <f t="shared" si="67"/>
        <v>1958</v>
      </c>
      <c r="CB39" s="66">
        <f t="shared" si="67"/>
        <v>404</v>
      </c>
      <c r="CC39" s="66">
        <f t="shared" si="67"/>
        <v>647</v>
      </c>
      <c r="CD39" s="66">
        <f t="shared" si="67"/>
        <v>518</v>
      </c>
      <c r="CE39" s="66">
        <f t="shared" si="67"/>
        <v>865</v>
      </c>
      <c r="CF39" s="66">
        <f t="shared" si="67"/>
        <v>196</v>
      </c>
      <c r="CG39" s="55"/>
    </row>
    <row r="40" spans="2:85" x14ac:dyDescent="0.35">
      <c r="B40" s="39" t="s">
        <v>393</v>
      </c>
      <c r="C40" s="52">
        <f>VLOOKUP(LEFT($B40,2),标准坦克设计!$B$33:$F$36,MATCH(C$35,标准坦克设计!$B$33:$F$33,0),FALSE)</f>
        <v>880.3285274063154</v>
      </c>
      <c r="D40" s="52">
        <f>VLOOKUP($B40,标准坦克设计!$B$39:$H$46,MATCH(D$35,标准坦克设计!$B$39:$H$39,0),FALSE)</f>
        <v>148.16596960755774</v>
      </c>
      <c r="E40" s="52">
        <f>VLOOKUP($B40,标准坦克设计!$B$39:$H$46,MATCH(E$35,标准坦克设计!$B$39:$H$39,0),FALSE)</f>
        <v>328.57142857142856</v>
      </c>
      <c r="F40" s="52">
        <f>VLOOKUP(LEFT($B40,2),标准坦克设计!$B$33:$F$36,MATCH(F$35,标准坦克设计!$B$33:$F$33,0),FALSE)</f>
        <v>360</v>
      </c>
      <c r="G40" s="52">
        <f>C40*基础属性系数!$C$57</f>
        <v>88.03285274063154</v>
      </c>
      <c r="AD40" s="651" t="str">
        <f t="shared" si="68"/>
        <v>T5低5</v>
      </c>
      <c r="AE40" s="483">
        <f t="shared" si="56"/>
        <v>1920</v>
      </c>
      <c r="AF40" s="66">
        <f t="shared" si="56"/>
        <v>114</v>
      </c>
      <c r="AG40" s="66">
        <f t="shared" si="56"/>
        <v>720</v>
      </c>
      <c r="AH40" s="66">
        <f t="shared" si="56"/>
        <v>504</v>
      </c>
      <c r="AI40" s="66">
        <f t="shared" si="56"/>
        <v>720</v>
      </c>
      <c r="AJ40" s="66">
        <f t="shared" si="56"/>
        <v>192</v>
      </c>
      <c r="AK40" s="55"/>
      <c r="AL40" s="128" t="str">
        <f t="shared" si="57"/>
        <v>T5低5</v>
      </c>
      <c r="AM40" s="66">
        <f t="shared" si="58"/>
        <v>1920</v>
      </c>
      <c r="AN40" s="66">
        <f t="shared" si="58"/>
        <v>68</v>
      </c>
      <c r="AO40" s="66">
        <f t="shared" si="58"/>
        <v>789</v>
      </c>
      <c r="AP40" s="66">
        <f t="shared" si="58"/>
        <v>552</v>
      </c>
      <c r="AQ40" s="66">
        <f t="shared" si="58"/>
        <v>720</v>
      </c>
      <c r="AR40" s="66">
        <f t="shared" si="58"/>
        <v>192</v>
      </c>
      <c r="AS40" s="55"/>
      <c r="AT40" s="128" t="str">
        <f t="shared" si="59"/>
        <v>T5低5</v>
      </c>
      <c r="AU40" s="66">
        <f t="shared" si="60"/>
        <v>1920</v>
      </c>
      <c r="AV40" s="66">
        <f t="shared" si="60"/>
        <v>234</v>
      </c>
      <c r="AW40" s="66">
        <f t="shared" si="60"/>
        <v>857</v>
      </c>
      <c r="AX40" s="66">
        <f t="shared" si="60"/>
        <v>600</v>
      </c>
      <c r="AY40" s="66">
        <f t="shared" si="60"/>
        <v>720</v>
      </c>
      <c r="AZ40" s="66">
        <f t="shared" si="60"/>
        <v>192</v>
      </c>
      <c r="BA40" s="55"/>
      <c r="BB40" s="128" t="str">
        <f t="shared" si="61"/>
        <v>T5低5</v>
      </c>
      <c r="BC40" s="66">
        <f t="shared" si="62"/>
        <v>2113</v>
      </c>
      <c r="BD40" s="66">
        <f t="shared" si="62"/>
        <v>137</v>
      </c>
      <c r="BE40" s="66">
        <f t="shared" si="62"/>
        <v>686</v>
      </c>
      <c r="BF40" s="66">
        <f t="shared" si="62"/>
        <v>514</v>
      </c>
      <c r="BG40" s="66">
        <f t="shared" si="62"/>
        <v>864</v>
      </c>
      <c r="BH40" s="66">
        <f t="shared" si="62"/>
        <v>211</v>
      </c>
      <c r="BJ40" s="128" t="str">
        <f t="shared" si="63"/>
        <v>T5低5</v>
      </c>
      <c r="BK40" s="66">
        <f t="shared" si="64"/>
        <v>2113</v>
      </c>
      <c r="BL40" s="66">
        <f t="shared" si="64"/>
        <v>356</v>
      </c>
      <c r="BM40" s="66">
        <f t="shared" si="64"/>
        <v>789</v>
      </c>
      <c r="BN40" s="66">
        <f t="shared" si="64"/>
        <v>591</v>
      </c>
      <c r="BO40" s="66">
        <f t="shared" si="64"/>
        <v>864</v>
      </c>
      <c r="BP40" s="66">
        <f t="shared" si="64"/>
        <v>211</v>
      </c>
      <c r="BR40" s="128" t="str">
        <f t="shared" si="65"/>
        <v>T5低5</v>
      </c>
      <c r="BS40" s="66">
        <f t="shared" si="66"/>
        <v>2281</v>
      </c>
      <c r="BT40" s="66">
        <f t="shared" si="66"/>
        <v>354</v>
      </c>
      <c r="BU40" s="66">
        <f t="shared" si="66"/>
        <v>686</v>
      </c>
      <c r="BV40" s="66">
        <f t="shared" si="66"/>
        <v>549</v>
      </c>
      <c r="BW40" s="66">
        <f t="shared" si="66"/>
        <v>1008</v>
      </c>
      <c r="BX40" s="66">
        <f t="shared" si="66"/>
        <v>228</v>
      </c>
      <c r="BZ40" s="128" t="str">
        <f t="shared" si="69"/>
        <v>T5低5</v>
      </c>
      <c r="CA40" s="66">
        <f t="shared" si="67"/>
        <v>2281</v>
      </c>
      <c r="CB40" s="66">
        <f t="shared" si="67"/>
        <v>471</v>
      </c>
      <c r="CC40" s="66">
        <f t="shared" si="67"/>
        <v>754</v>
      </c>
      <c r="CD40" s="66">
        <f t="shared" si="67"/>
        <v>603</v>
      </c>
      <c r="CE40" s="66">
        <f t="shared" si="67"/>
        <v>1008</v>
      </c>
      <c r="CF40" s="66">
        <f t="shared" si="67"/>
        <v>228</v>
      </c>
      <c r="CG40" s="55"/>
    </row>
    <row r="41" spans="2:85" x14ac:dyDescent="0.35">
      <c r="B41" s="39" t="s">
        <v>409</v>
      </c>
      <c r="C41" s="52">
        <f>VLOOKUP(LEFT($B41,2),标准坦克设计!$B$33:$F$36,MATCH(C$35,标准坦克设计!$B$33:$F$33,0),FALSE)</f>
        <v>950.48556227963468</v>
      </c>
      <c r="D41" s="52">
        <f>VLOOKUP($B41,标准坦克设计!$B$39:$H$46,MATCH(D$35,标准坦克设计!$B$39:$H$39,0),FALSE)</f>
        <v>147.65229533423346</v>
      </c>
      <c r="E41" s="52">
        <f>VLOOKUP($B41,标准坦克设计!$B$39:$H$46,MATCH(E$35,标准坦克设计!$B$39:$H$39,0),FALSE)</f>
        <v>285.71428571428572</v>
      </c>
      <c r="F41" s="52">
        <f>VLOOKUP(LEFT($B41,2),标准坦克设计!$B$33:$F$36,MATCH(F$35,标准坦克设计!$B$33:$F$33,0),FALSE)</f>
        <v>420</v>
      </c>
      <c r="G41" s="52">
        <f>C41*基础属性系数!$C$57</f>
        <v>95.048556227963473</v>
      </c>
      <c r="AD41" s="651" t="str">
        <f t="shared" si="68"/>
        <v>T5中5</v>
      </c>
      <c r="AE41" s="483">
        <f t="shared" si="56"/>
        <v>1980</v>
      </c>
      <c r="AF41" s="66">
        <f t="shared" si="56"/>
        <v>118</v>
      </c>
      <c r="AG41" s="66">
        <f t="shared" si="56"/>
        <v>743</v>
      </c>
      <c r="AH41" s="66">
        <f t="shared" si="56"/>
        <v>520</v>
      </c>
      <c r="AI41" s="66">
        <f t="shared" si="56"/>
        <v>743</v>
      </c>
      <c r="AJ41" s="66">
        <f t="shared" si="56"/>
        <v>198</v>
      </c>
      <c r="AK41" s="55"/>
      <c r="AL41" s="128" t="str">
        <f t="shared" si="57"/>
        <v>T5中5</v>
      </c>
      <c r="AM41" s="66">
        <f t="shared" si="58"/>
        <v>1980</v>
      </c>
      <c r="AN41" s="66">
        <f t="shared" si="58"/>
        <v>70</v>
      </c>
      <c r="AO41" s="66">
        <f t="shared" si="58"/>
        <v>813</v>
      </c>
      <c r="AP41" s="66">
        <f t="shared" si="58"/>
        <v>569</v>
      </c>
      <c r="AQ41" s="66">
        <f t="shared" si="58"/>
        <v>743</v>
      </c>
      <c r="AR41" s="66">
        <f t="shared" si="58"/>
        <v>198</v>
      </c>
      <c r="AS41" s="55"/>
      <c r="AT41" s="128" t="str">
        <f t="shared" si="59"/>
        <v>T5中5</v>
      </c>
      <c r="AU41" s="66">
        <f t="shared" si="60"/>
        <v>1980</v>
      </c>
      <c r="AV41" s="66">
        <f t="shared" si="60"/>
        <v>242</v>
      </c>
      <c r="AW41" s="66">
        <f t="shared" si="60"/>
        <v>884</v>
      </c>
      <c r="AX41" s="66">
        <f t="shared" si="60"/>
        <v>619</v>
      </c>
      <c r="AY41" s="66">
        <f t="shared" si="60"/>
        <v>743</v>
      </c>
      <c r="AZ41" s="66">
        <f t="shared" si="60"/>
        <v>198</v>
      </c>
      <c r="BA41" s="55"/>
      <c r="BB41" s="128" t="str">
        <f t="shared" si="61"/>
        <v>T5中5</v>
      </c>
      <c r="BC41" s="66">
        <f t="shared" si="62"/>
        <v>2179</v>
      </c>
      <c r="BD41" s="66">
        <f t="shared" si="62"/>
        <v>141</v>
      </c>
      <c r="BE41" s="66">
        <f t="shared" si="62"/>
        <v>707</v>
      </c>
      <c r="BF41" s="66">
        <f t="shared" si="62"/>
        <v>530</v>
      </c>
      <c r="BG41" s="66">
        <f t="shared" si="62"/>
        <v>891</v>
      </c>
      <c r="BH41" s="66">
        <f t="shared" si="62"/>
        <v>218</v>
      </c>
      <c r="BJ41" s="128" t="str">
        <f t="shared" si="63"/>
        <v>T5中5</v>
      </c>
      <c r="BK41" s="66">
        <f t="shared" si="64"/>
        <v>2179</v>
      </c>
      <c r="BL41" s="66">
        <f t="shared" si="64"/>
        <v>367</v>
      </c>
      <c r="BM41" s="66">
        <f t="shared" si="64"/>
        <v>813</v>
      </c>
      <c r="BN41" s="66">
        <f t="shared" si="64"/>
        <v>610</v>
      </c>
      <c r="BO41" s="66">
        <f t="shared" si="64"/>
        <v>891</v>
      </c>
      <c r="BP41" s="66">
        <f t="shared" si="64"/>
        <v>218</v>
      </c>
      <c r="BR41" s="128" t="str">
        <f t="shared" si="65"/>
        <v>T5中5</v>
      </c>
      <c r="BS41" s="66">
        <f t="shared" si="66"/>
        <v>2352</v>
      </c>
      <c r="BT41" s="66">
        <f t="shared" si="66"/>
        <v>365</v>
      </c>
      <c r="BU41" s="66">
        <f t="shared" si="66"/>
        <v>707</v>
      </c>
      <c r="BV41" s="66">
        <f t="shared" si="66"/>
        <v>566</v>
      </c>
      <c r="BW41" s="66">
        <f t="shared" si="66"/>
        <v>1040</v>
      </c>
      <c r="BX41" s="66">
        <f t="shared" si="66"/>
        <v>235</v>
      </c>
      <c r="BZ41" s="128" t="str">
        <f t="shared" si="69"/>
        <v>T5中5</v>
      </c>
      <c r="CA41" s="66">
        <f t="shared" si="67"/>
        <v>2352</v>
      </c>
      <c r="CB41" s="66">
        <f t="shared" si="67"/>
        <v>485</v>
      </c>
      <c r="CC41" s="66">
        <f t="shared" si="67"/>
        <v>778</v>
      </c>
      <c r="CD41" s="66">
        <f t="shared" si="67"/>
        <v>622</v>
      </c>
      <c r="CE41" s="66">
        <f t="shared" si="67"/>
        <v>1040</v>
      </c>
      <c r="CF41" s="66">
        <f t="shared" si="67"/>
        <v>235</v>
      </c>
      <c r="CG41" s="55"/>
    </row>
    <row r="42" spans="2:85" x14ac:dyDescent="0.35">
      <c r="B42" s="39" t="s">
        <v>395</v>
      </c>
      <c r="C42" s="52">
        <f>VLOOKUP(LEFT($B42,2),标准坦克设计!$B$33:$F$36,MATCH(C$35,标准坦克设计!$B$33:$F$33,0),FALSE)</f>
        <v>950.48556227963468</v>
      </c>
      <c r="D42" s="52">
        <f>VLOOKUP($B42,标准坦克设计!$B$39:$H$46,MATCH(D$35,标准坦克设计!$B$39:$H$39,0),FALSE)</f>
        <v>196.15511683055971</v>
      </c>
      <c r="E42" s="52">
        <f>VLOOKUP($B42,标准坦克设计!$B$39:$H$46,MATCH(E$35,标准坦克设计!$B$39:$H$39,0),FALSE)</f>
        <v>314.28571428571433</v>
      </c>
      <c r="F42" s="52">
        <f>VLOOKUP(LEFT($B42,2),标准坦克设计!$B$33:$F$36,MATCH(F$35,标准坦克设计!$B$33:$F$33,0),FALSE)</f>
        <v>420</v>
      </c>
      <c r="G42" s="52">
        <f>C42*基础属性系数!$C$57</f>
        <v>95.048556227963473</v>
      </c>
      <c r="AD42" s="651" t="str">
        <f t="shared" si="68"/>
        <v>T5高5</v>
      </c>
      <c r="AE42" s="483">
        <f t="shared" si="56"/>
        <v>2080</v>
      </c>
      <c r="AF42" s="66">
        <f t="shared" si="56"/>
        <v>124</v>
      </c>
      <c r="AG42" s="66">
        <f t="shared" si="56"/>
        <v>780</v>
      </c>
      <c r="AH42" s="66">
        <f t="shared" si="56"/>
        <v>546</v>
      </c>
      <c r="AI42" s="66">
        <f t="shared" si="56"/>
        <v>780</v>
      </c>
      <c r="AJ42" s="66">
        <f t="shared" si="56"/>
        <v>208</v>
      </c>
      <c r="AK42" s="55"/>
      <c r="AL42" s="128" t="str">
        <f t="shared" si="57"/>
        <v>T5高5</v>
      </c>
      <c r="AM42" s="66">
        <f t="shared" si="58"/>
        <v>2080</v>
      </c>
      <c r="AN42" s="66">
        <f t="shared" si="58"/>
        <v>74</v>
      </c>
      <c r="AO42" s="66">
        <f t="shared" si="58"/>
        <v>854</v>
      </c>
      <c r="AP42" s="66">
        <f t="shared" si="58"/>
        <v>598</v>
      </c>
      <c r="AQ42" s="66">
        <f t="shared" si="58"/>
        <v>780</v>
      </c>
      <c r="AR42" s="66">
        <f t="shared" si="58"/>
        <v>208</v>
      </c>
      <c r="AS42" s="55"/>
      <c r="AT42" s="128" t="str">
        <f t="shared" si="59"/>
        <v>T5高5</v>
      </c>
      <c r="AU42" s="66">
        <f t="shared" si="60"/>
        <v>2080</v>
      </c>
      <c r="AV42" s="66">
        <f t="shared" si="60"/>
        <v>254</v>
      </c>
      <c r="AW42" s="66">
        <f t="shared" si="60"/>
        <v>929</v>
      </c>
      <c r="AX42" s="66">
        <f t="shared" si="60"/>
        <v>650</v>
      </c>
      <c r="AY42" s="66">
        <f t="shared" si="60"/>
        <v>780</v>
      </c>
      <c r="AZ42" s="66">
        <f t="shared" si="60"/>
        <v>208</v>
      </c>
      <c r="BA42" s="55"/>
      <c r="BB42" s="128" t="str">
        <f t="shared" si="61"/>
        <v>T5高5</v>
      </c>
      <c r="BC42" s="66">
        <f t="shared" si="62"/>
        <v>2289</v>
      </c>
      <c r="BD42" s="66">
        <f t="shared" si="62"/>
        <v>148</v>
      </c>
      <c r="BE42" s="66">
        <f t="shared" si="62"/>
        <v>743</v>
      </c>
      <c r="BF42" s="66">
        <f t="shared" si="62"/>
        <v>557</v>
      </c>
      <c r="BG42" s="66">
        <f t="shared" si="62"/>
        <v>936</v>
      </c>
      <c r="BH42" s="66">
        <f t="shared" si="62"/>
        <v>229</v>
      </c>
      <c r="BJ42" s="128" t="str">
        <f t="shared" si="63"/>
        <v>T5高5</v>
      </c>
      <c r="BK42" s="66">
        <f t="shared" si="64"/>
        <v>2289</v>
      </c>
      <c r="BL42" s="66">
        <f t="shared" si="64"/>
        <v>385</v>
      </c>
      <c r="BM42" s="66">
        <f t="shared" si="64"/>
        <v>854</v>
      </c>
      <c r="BN42" s="66">
        <f t="shared" si="64"/>
        <v>641</v>
      </c>
      <c r="BO42" s="66">
        <f t="shared" si="64"/>
        <v>936</v>
      </c>
      <c r="BP42" s="66">
        <f t="shared" si="64"/>
        <v>229</v>
      </c>
      <c r="BR42" s="128" t="str">
        <f t="shared" si="65"/>
        <v>T5高5</v>
      </c>
      <c r="BS42" s="66">
        <f t="shared" si="66"/>
        <v>2471</v>
      </c>
      <c r="BT42" s="66">
        <f t="shared" si="66"/>
        <v>384</v>
      </c>
      <c r="BU42" s="66">
        <f t="shared" si="66"/>
        <v>743</v>
      </c>
      <c r="BV42" s="66">
        <f t="shared" si="66"/>
        <v>594</v>
      </c>
      <c r="BW42" s="66">
        <f t="shared" si="66"/>
        <v>1092</v>
      </c>
      <c r="BX42" s="66">
        <f t="shared" si="66"/>
        <v>247</v>
      </c>
      <c r="BZ42" s="128" t="str">
        <f t="shared" si="69"/>
        <v>T5高5</v>
      </c>
      <c r="CA42" s="66">
        <f t="shared" si="67"/>
        <v>2471</v>
      </c>
      <c r="CB42" s="66">
        <f t="shared" si="67"/>
        <v>510</v>
      </c>
      <c r="CC42" s="66">
        <f t="shared" si="67"/>
        <v>817</v>
      </c>
      <c r="CD42" s="66">
        <f t="shared" si="67"/>
        <v>654</v>
      </c>
      <c r="CE42" s="66">
        <f t="shared" si="67"/>
        <v>1092</v>
      </c>
      <c r="CF42" s="66">
        <f t="shared" si="67"/>
        <v>247</v>
      </c>
      <c r="CG42" s="55"/>
    </row>
    <row r="43" spans="2:85" x14ac:dyDescent="0.35">
      <c r="CG43" s="55"/>
    </row>
    <row r="44" spans="2:85" x14ac:dyDescent="0.35">
      <c r="B44" s="808" t="s">
        <v>437</v>
      </c>
      <c r="C44" s="806"/>
      <c r="D44" s="806"/>
      <c r="E44" s="806"/>
      <c r="F44" s="806"/>
      <c r="G44" s="806"/>
      <c r="H44" s="807"/>
      <c r="CG44" s="55"/>
    </row>
    <row r="45" spans="2:85" x14ac:dyDescent="0.35">
      <c r="B45" s="46" t="s">
        <v>430</v>
      </c>
      <c r="C45" s="46" t="s">
        <v>438</v>
      </c>
      <c r="D45" s="463" t="s">
        <v>2113</v>
      </c>
      <c r="E45" s="46" t="s">
        <v>439</v>
      </c>
      <c r="F45" s="46" t="s">
        <v>440</v>
      </c>
      <c r="G45" s="463" t="s">
        <v>2111</v>
      </c>
      <c r="H45" s="46" t="s">
        <v>448</v>
      </c>
      <c r="CG45" s="55"/>
    </row>
    <row r="46" spans="2:85" x14ac:dyDescent="0.35">
      <c r="B46" s="39" t="s">
        <v>408</v>
      </c>
      <c r="C46" s="52">
        <f>C36</f>
        <v>800</v>
      </c>
      <c r="D46" s="52">
        <f>D36</f>
        <v>47.616999547556972</v>
      </c>
      <c r="E46" s="52">
        <f>E36*标准坦克设计!D4</f>
        <v>300</v>
      </c>
      <c r="F46" s="52">
        <f>E36*标准坦克设计!E4</f>
        <v>210</v>
      </c>
      <c r="G46" s="52">
        <f t="shared" ref="G46:G52" si="70">F36</f>
        <v>300</v>
      </c>
      <c r="H46" s="52">
        <f>C46*基础属性系数!$C$57</f>
        <v>80</v>
      </c>
      <c r="BJ46" s="76"/>
      <c r="CG46" s="55"/>
    </row>
    <row r="47" spans="2:85" x14ac:dyDescent="0.35">
      <c r="B47" s="39" t="s">
        <v>392</v>
      </c>
      <c r="C47" s="52">
        <f t="shared" ref="C47:D52" si="71">C37</f>
        <v>800</v>
      </c>
      <c r="D47" s="52">
        <f t="shared" si="71"/>
        <v>28.438764265095667</v>
      </c>
      <c r="E47" s="52">
        <f>E37*标准坦克设计!D5</f>
        <v>328.57142857142856</v>
      </c>
      <c r="F47" s="52">
        <f>E37*标准坦克设计!E5</f>
        <v>229.99999999999997</v>
      </c>
      <c r="G47" s="52">
        <f t="shared" si="70"/>
        <v>300</v>
      </c>
      <c r="H47" s="52">
        <f>C47*基础属性系数!$C$57</f>
        <v>80</v>
      </c>
      <c r="CG47" s="55"/>
    </row>
    <row r="48" spans="2:85" x14ac:dyDescent="0.35">
      <c r="B48" s="77" t="s">
        <v>610</v>
      </c>
      <c r="C48" s="52">
        <f t="shared" si="71"/>
        <v>800</v>
      </c>
      <c r="D48" s="52">
        <f t="shared" si="71"/>
        <v>97.628708530824142</v>
      </c>
      <c r="E48" s="52">
        <f>E38*标准坦克设计!D6</f>
        <v>357.14285714285717</v>
      </c>
      <c r="F48" s="52">
        <f>E38*标准坦克设计!E6</f>
        <v>250</v>
      </c>
      <c r="G48" s="52">
        <f t="shared" si="70"/>
        <v>300</v>
      </c>
      <c r="H48" s="52">
        <f>C48*基础属性系数!$C$57</f>
        <v>80</v>
      </c>
      <c r="CG48" s="55"/>
    </row>
    <row r="49" spans="2:93" x14ac:dyDescent="0.35">
      <c r="B49" s="39" t="s">
        <v>394</v>
      </c>
      <c r="C49" s="52">
        <f t="shared" si="71"/>
        <v>880.3285274063154</v>
      </c>
      <c r="D49" s="52">
        <f t="shared" si="71"/>
        <v>57.019233365866114</v>
      </c>
      <c r="E49" s="52">
        <f>E39*标准坦克设计!D7</f>
        <v>285.71428571428572</v>
      </c>
      <c r="F49" s="52">
        <f>E39*标准坦克设计!E7</f>
        <v>214.28571428571428</v>
      </c>
      <c r="G49" s="52">
        <f t="shared" si="70"/>
        <v>360</v>
      </c>
      <c r="H49" s="52">
        <f>C49*基础属性系数!$C$57</f>
        <v>88.03285274063154</v>
      </c>
      <c r="CG49" s="55"/>
      <c r="CJ49" s="55"/>
      <c r="CK49" s="55"/>
      <c r="CL49" s="55"/>
      <c r="CM49" s="55"/>
      <c r="CN49" s="55"/>
      <c r="CO49" s="55"/>
    </row>
    <row r="50" spans="2:93" x14ac:dyDescent="0.35">
      <c r="B50" s="39" t="s">
        <v>393</v>
      </c>
      <c r="C50" s="52">
        <f t="shared" si="71"/>
        <v>880.3285274063154</v>
      </c>
      <c r="D50" s="52">
        <f t="shared" si="71"/>
        <v>148.16596960755774</v>
      </c>
      <c r="E50" s="52">
        <f>E40*标准坦克设计!D8</f>
        <v>328.57142857142856</v>
      </c>
      <c r="F50" s="52">
        <f>E40*标准坦克设计!E8</f>
        <v>246.42857142857142</v>
      </c>
      <c r="G50" s="52">
        <f t="shared" si="70"/>
        <v>360</v>
      </c>
      <c r="H50" s="52">
        <f>C50*基础属性系数!$C$57</f>
        <v>88.03285274063154</v>
      </c>
      <c r="CG50" s="55"/>
      <c r="CJ50" s="55"/>
      <c r="CK50" s="55"/>
      <c r="CL50" s="55"/>
      <c r="CM50" s="55"/>
      <c r="CN50" s="55"/>
      <c r="CO50" s="55"/>
    </row>
    <row r="51" spans="2:93" x14ac:dyDescent="0.35">
      <c r="B51" s="39" t="s">
        <v>409</v>
      </c>
      <c r="C51" s="52">
        <f t="shared" si="71"/>
        <v>950.48556227963468</v>
      </c>
      <c r="D51" s="52">
        <f t="shared" si="71"/>
        <v>147.65229533423346</v>
      </c>
      <c r="E51" s="52">
        <f>E41*标准坦克设计!D9</f>
        <v>285.71428571428572</v>
      </c>
      <c r="F51" s="52">
        <f>E41*标准坦克设计!E9</f>
        <v>228.57142857142858</v>
      </c>
      <c r="G51" s="52">
        <f t="shared" si="70"/>
        <v>420</v>
      </c>
      <c r="H51" s="52">
        <f>C51*基础属性系数!$C$57</f>
        <v>95.048556227963473</v>
      </c>
      <c r="CG51" s="55"/>
      <c r="CJ51" s="55"/>
      <c r="CK51" s="55"/>
      <c r="CL51" s="55"/>
      <c r="CM51" s="55"/>
      <c r="CN51" s="55"/>
      <c r="CO51" s="55"/>
    </row>
    <row r="52" spans="2:93" x14ac:dyDescent="0.35">
      <c r="B52" s="39" t="s">
        <v>395</v>
      </c>
      <c r="C52" s="52">
        <f t="shared" si="71"/>
        <v>950.48556227963468</v>
      </c>
      <c r="D52" s="52">
        <f t="shared" si="71"/>
        <v>196.15511683055971</v>
      </c>
      <c r="E52" s="52">
        <f>E42*标准坦克设计!D10</f>
        <v>314.28571428571433</v>
      </c>
      <c r="F52" s="52">
        <f>E42*标准坦克设计!E10</f>
        <v>251.42857142857147</v>
      </c>
      <c r="G52" s="52">
        <f t="shared" si="70"/>
        <v>420</v>
      </c>
      <c r="H52" s="52">
        <f>C52*基础属性系数!$C$57</f>
        <v>95.048556227963473</v>
      </c>
      <c r="CG52" s="55"/>
      <c r="CJ52" s="55"/>
      <c r="CK52" s="55"/>
      <c r="CL52" s="55"/>
      <c r="CM52" s="55"/>
      <c r="CN52" s="55"/>
      <c r="CO52" s="55"/>
    </row>
    <row r="53" spans="2:93" x14ac:dyDescent="0.35">
      <c r="CG53" s="55"/>
      <c r="CJ53" s="55"/>
      <c r="CK53" s="55"/>
      <c r="CL53" s="55"/>
      <c r="CM53" s="55"/>
      <c r="CN53" s="55"/>
      <c r="CO53" s="55"/>
    </row>
    <row r="54" spans="2:93" x14ac:dyDescent="0.35">
      <c r="B54" s="809" t="s">
        <v>486</v>
      </c>
      <c r="C54" s="809"/>
      <c r="D54" s="809"/>
      <c r="E54" s="809"/>
      <c r="F54" s="809"/>
      <c r="G54" s="809"/>
      <c r="H54" s="809"/>
      <c r="I54" s="809"/>
      <c r="J54" s="809"/>
      <c r="K54" s="809"/>
      <c r="L54" s="809"/>
      <c r="M54" s="809"/>
      <c r="N54" s="809"/>
      <c r="O54" s="809"/>
      <c r="P54" s="809"/>
      <c r="Q54" s="809"/>
      <c r="CG54" s="55"/>
      <c r="CJ54" s="55"/>
      <c r="CK54" s="55"/>
      <c r="CL54" s="55"/>
      <c r="CM54" s="55"/>
      <c r="CN54" s="55"/>
      <c r="CO54" s="55"/>
    </row>
    <row r="55" spans="2:93" x14ac:dyDescent="0.35">
      <c r="B55" s="67" t="s">
        <v>4</v>
      </c>
      <c r="C55" s="63" t="s">
        <v>432</v>
      </c>
      <c r="D55" s="65" t="s">
        <v>46</v>
      </c>
      <c r="E55" s="63" t="s">
        <v>457</v>
      </c>
      <c r="F55" s="65" t="s">
        <v>33</v>
      </c>
      <c r="G55" s="65" t="s">
        <v>49</v>
      </c>
      <c r="H55" s="65" t="s">
        <v>50</v>
      </c>
      <c r="I55" s="70" t="s">
        <v>450</v>
      </c>
      <c r="J55" s="70" t="s">
        <v>451</v>
      </c>
      <c r="K55" s="70" t="s">
        <v>452</v>
      </c>
      <c r="L55" s="63" t="s">
        <v>453</v>
      </c>
      <c r="M55" s="63" t="s">
        <v>454</v>
      </c>
      <c r="N55" s="63" t="s">
        <v>455</v>
      </c>
      <c r="O55" s="63" t="s">
        <v>456</v>
      </c>
      <c r="P55" s="63" t="s">
        <v>456</v>
      </c>
      <c r="Q55" s="63" t="s">
        <v>456</v>
      </c>
      <c r="CG55" s="55"/>
      <c r="CJ55" s="55"/>
      <c r="CK55" s="55"/>
      <c r="CL55" s="55"/>
      <c r="CM55" s="55"/>
      <c r="CN55" s="55"/>
      <c r="CO55" s="55"/>
    </row>
    <row r="56" spans="2:93" x14ac:dyDescent="0.35">
      <c r="B56" s="67" t="s">
        <v>408</v>
      </c>
      <c r="C56" s="66">
        <f>ROUND(VLOOKUP(B56,标准坦克设计!$B$39:$H$46,6,FALSE),0)</f>
        <v>48</v>
      </c>
      <c r="D56" s="8">
        <v>6</v>
      </c>
      <c r="E56" s="66">
        <f>VLOOKUP($B56,标准坦克设计!$B$13:$K$20,MATCH(E$55,标准坦克设计!$B$13:$K$13,0),FALSE)</f>
        <v>1.4</v>
      </c>
      <c r="F56" s="246">
        <f>VLOOKUP($B56,标准坦克设计!$B$13:$K$20,MATCH(F$55,标准坦克设计!$B$13:$K$13,0),FALSE)</f>
        <v>1.4</v>
      </c>
      <c r="G56" s="246">
        <f>VLOOKUP($B56,标准坦克设计!$B$13:$K$20,MATCH(G$55,标准坦克设计!$B$13:$K$13,0),FALSE)</f>
        <v>0</v>
      </c>
      <c r="H56" s="246">
        <f>VLOOKUP($B56,标准坦克设计!$B$13:$K$20,MATCH(H$55,标准坦克设计!$B$13:$K$13,0),FALSE)</f>
        <v>0.4</v>
      </c>
      <c r="I56" s="40">
        <f>VLOOKUP($B56,标准坦克设计!$B$23:$U$30,MATCH("对轻坦输出",标准坦克设计!$B$23:$U$23,0),FALSE)</f>
        <v>1.1624660828309641</v>
      </c>
      <c r="J56" s="40">
        <f>VLOOKUP($B56,标准坦克设计!$B$23:$U$30,MATCH("对中坦输出",标准坦克设计!$B$23:$U$23,0),FALSE)</f>
        <v>1.0612427349438089</v>
      </c>
      <c r="K56" s="40">
        <f>VLOOKUP($B56,标准坦克设计!$B$23:$U$30,MATCH("对重坦输出",标准坦克设计!$B$23:$U$23,0),FALSE)</f>
        <v>0.96438010756893333</v>
      </c>
      <c r="L56" s="66">
        <f>(ROUNDUP($C$46*(1-基础属性系数!$C$111)/(C56*I56),0)-D56)*F56+(D56-1)*H56</f>
        <v>6.1999999999999993</v>
      </c>
      <c r="M56" s="66">
        <f>(ROUNDUP($C$49*(1-基础属性系数!$C$111)/(C56*J56),0)-D56)*F56+(D56-1)*H56</f>
        <v>9</v>
      </c>
      <c r="N56" s="66">
        <f>(ROUNDUP($C$51*(1-基础属性系数!$C$111)/(C56*K56),0)-D56)*F56+(D56-1)*H56</f>
        <v>11.799999999999999</v>
      </c>
      <c r="O56" s="40"/>
      <c r="P56" s="40"/>
      <c r="Q56" s="40"/>
      <c r="CG56" s="55"/>
      <c r="CJ56" s="55"/>
      <c r="CK56" s="55"/>
      <c r="CL56" s="55"/>
      <c r="CM56" s="55"/>
      <c r="CN56" s="55"/>
      <c r="CO56" s="55"/>
    </row>
    <row r="57" spans="2:93" x14ac:dyDescent="0.35">
      <c r="B57" s="67" t="s">
        <v>408</v>
      </c>
      <c r="C57" s="66">
        <f>ROUND(VLOOKUP(B57,标准坦克设计!$B$39:$H$46,6,FALSE),0)</f>
        <v>48</v>
      </c>
      <c r="D57" s="8">
        <v>7</v>
      </c>
      <c r="E57" s="246">
        <f>VLOOKUP($B57,标准坦克设计!$B$13:$K$20,MATCH(E$55,标准坦克设计!$B$13:$K$13,0),FALSE)</f>
        <v>1.4</v>
      </c>
      <c r="F57" s="246">
        <f>VLOOKUP($B57,标准坦克设计!$B$13:$K$20,MATCH(F$55,标准坦克设计!$B$13:$K$13,0),FALSE)</f>
        <v>1.4</v>
      </c>
      <c r="G57" s="246">
        <f>VLOOKUP($B57,标准坦克设计!$B$13:$K$20,MATCH(G$55,标准坦克设计!$B$13:$K$13,0),FALSE)</f>
        <v>0</v>
      </c>
      <c r="H57" s="246">
        <f>VLOOKUP($B57,标准坦克设计!$B$13:$K$20,MATCH(H$55,标准坦克设计!$B$13:$K$13,0),FALSE)</f>
        <v>0.4</v>
      </c>
      <c r="I57" s="40">
        <f>VLOOKUP($B57,标准坦克设计!$B$23:$U$30,MATCH("对轻坦输出",标准坦克设计!$B$23:$U$23,0),FALSE)</f>
        <v>1.1624660828309641</v>
      </c>
      <c r="J57" s="40">
        <f>VLOOKUP($B57,标准坦克设计!$B$23:$U$30,MATCH("对中坦输出",标准坦克设计!$B$23:$U$23,0),FALSE)</f>
        <v>1.0612427349438089</v>
      </c>
      <c r="K57" s="40">
        <f>VLOOKUP($B57,标准坦克设计!$B$23:$U$30,MATCH("对重坦输出",标准坦克设计!$B$23:$U$23,0),FALSE)</f>
        <v>0.96438010756893333</v>
      </c>
      <c r="L57" s="66">
        <f>(ROUNDUP($C$46*(1-基础属性系数!$C$111)/(C57*I57),0)-D57)*F57+(D57-1)*H57</f>
        <v>5.2</v>
      </c>
      <c r="M57" s="66">
        <f>(ROUNDUP($C$49*(1-基础属性系数!$C$111)/(C57*J57),0)-D57)*F57+(D57-1)*H57</f>
        <v>8</v>
      </c>
      <c r="N57" s="66">
        <f>(ROUNDUP($C$51*(1-基础属性系数!$C$111)/(C57*K57),0)-D57)*F57+(D57-1)*H57</f>
        <v>10.799999999999999</v>
      </c>
      <c r="O57" s="40">
        <f t="shared" ref="O57:Q58" si="72">(L$56-L57)/L$56</f>
        <v>0.16129032258064505</v>
      </c>
      <c r="P57" s="40">
        <f t="shared" si="72"/>
        <v>0.1111111111111111</v>
      </c>
      <c r="Q57" s="40">
        <f t="shared" si="72"/>
        <v>8.4745762711864417E-2</v>
      </c>
      <c r="CG57" s="55"/>
      <c r="CJ57" s="55"/>
      <c r="CK57" s="55"/>
      <c r="CL57" s="55"/>
      <c r="CM57" s="55"/>
      <c r="CN57" s="55"/>
      <c r="CO57" s="55"/>
    </row>
    <row r="58" spans="2:93" x14ac:dyDescent="0.35">
      <c r="B58" s="35" t="s">
        <v>408</v>
      </c>
      <c r="C58" s="39">
        <f>ROUND(VLOOKUP(B58,标准坦克设计!$B$39:$H$46,6,FALSE),0)</f>
        <v>48</v>
      </c>
      <c r="D58" s="8">
        <v>8</v>
      </c>
      <c r="E58" s="246">
        <f>VLOOKUP($B58,标准坦克设计!$B$13:$K$20,MATCH(E$55,标准坦克设计!$B$13:$K$13,0),FALSE)</f>
        <v>1.4</v>
      </c>
      <c r="F58" s="246">
        <f>VLOOKUP($B58,标准坦克设计!$B$13:$K$20,MATCH(F$55,标准坦克设计!$B$13:$K$13,0),FALSE)</f>
        <v>1.4</v>
      </c>
      <c r="G58" s="246">
        <f>VLOOKUP($B58,标准坦克设计!$B$13:$K$20,MATCH(G$55,标准坦克设计!$B$13:$K$13,0),FALSE)</f>
        <v>0</v>
      </c>
      <c r="H58" s="246">
        <f>VLOOKUP($B58,标准坦克设计!$B$13:$K$20,MATCH(H$55,标准坦克设计!$B$13:$K$13,0),FALSE)</f>
        <v>0.4</v>
      </c>
      <c r="I58" s="40">
        <f>VLOOKUP($B58,标准坦克设计!$B$23:$U$30,MATCH("对轻坦输出",标准坦克设计!$B$23:$U$23,0),FALSE)</f>
        <v>1.1624660828309641</v>
      </c>
      <c r="J58" s="40">
        <f>VLOOKUP($B58,标准坦克设计!$B$23:$U$30,MATCH("对中坦输出",标准坦克设计!$B$23:$U$23,0),FALSE)</f>
        <v>1.0612427349438089</v>
      </c>
      <c r="K58" s="40">
        <f>VLOOKUP($B58,标准坦克设计!$B$23:$U$30,MATCH("对重坦输出",标准坦克设计!$B$23:$U$23,0),FALSE)</f>
        <v>0.96438010756893333</v>
      </c>
      <c r="L58" s="39">
        <f>(ROUNDUP($C$46*(1-基础属性系数!$C$111)/(C58*I58),0)-D58)*F58+(D58-1)*H58</f>
        <v>4.2</v>
      </c>
      <c r="M58" s="39">
        <f>(ROUNDUP($C$49*(1-基础属性系数!$C$111)/(C58*J58),0)-D58)*F58+(D58-1)*H58</f>
        <v>7</v>
      </c>
      <c r="N58" s="39">
        <f>(ROUNDUP($C$51*(1-基础属性系数!$C$111)/(C58*K58),0)-D58)*F58+(D58-1)*H58</f>
        <v>9.8000000000000007</v>
      </c>
      <c r="O58" s="40">
        <f t="shared" si="72"/>
        <v>0.3225806451612902</v>
      </c>
      <c r="P58" s="40">
        <f t="shared" si="72"/>
        <v>0.22222222222222221</v>
      </c>
      <c r="Q58" s="40">
        <f t="shared" si="72"/>
        <v>0.16949152542372867</v>
      </c>
      <c r="CG58" s="55"/>
      <c r="CJ58" s="55"/>
      <c r="CK58" s="55"/>
      <c r="CL58" s="55"/>
      <c r="CM58" s="55"/>
      <c r="CN58" s="55"/>
      <c r="CO58" s="55"/>
    </row>
    <row r="59" spans="2:93" x14ac:dyDescent="0.35">
      <c r="B59" s="35" t="s">
        <v>392</v>
      </c>
      <c r="C59" s="39">
        <f>ROUND(VLOOKUP(B59,标准坦克设计!$B$39:$H$46,6,FALSE),0)</f>
        <v>28</v>
      </c>
      <c r="D59" s="8">
        <v>9</v>
      </c>
      <c r="E59" s="246">
        <f>VLOOKUP($B59,标准坦克设计!$B$13:$K$20,MATCH(E$55,标准坦克设计!$B$13:$K$13,0),FALSE)</f>
        <v>0.7</v>
      </c>
      <c r="F59" s="246">
        <f>VLOOKUP($B59,标准坦克设计!$B$13:$K$20,MATCH(F$55,标准坦克设计!$B$13:$K$13,0),FALSE)</f>
        <v>0</v>
      </c>
      <c r="G59" s="246">
        <f>VLOOKUP($B59,标准坦克设计!$B$13:$K$20,MATCH(G$55,标准坦克设计!$B$13:$K$13,0),FALSE)</f>
        <v>6.3</v>
      </c>
      <c r="H59" s="246">
        <f>VLOOKUP($B59,标准坦克设计!$B$13:$K$20,MATCH(H$55,标准坦克设计!$B$13:$K$13,0),FALSE)</f>
        <v>0.2</v>
      </c>
      <c r="I59" s="40">
        <f>VLOOKUP($B59,标准坦克设计!$B$23:$U$30,MATCH("对轻坦输出",标准坦克设计!$B$23:$U$23,0),FALSE)</f>
        <v>1.2165020651744729</v>
      </c>
      <c r="J59" s="40">
        <f>VLOOKUP($B59,标准坦克设计!$B$23:$U$30,MATCH("对中坦输出",标准坦克设计!$B$23:$U$23,0),FALSE)</f>
        <v>1.1139722603672966</v>
      </c>
      <c r="K59" s="40">
        <f>VLOOKUP($B59,标准坦克设计!$B$23:$U$30,MATCH("对重坦输出",标准坦克设计!$B$23:$U$23,0),FALSE)</f>
        <v>1.0214393747512491</v>
      </c>
      <c r="L59" s="39">
        <f>ROUNDUP(($C$46*(1-基础属性系数!$C$111)/(C59*I59)-D59)/D59,0)*G59+(ROUNDUP($C$46*(1-基础属性系数!$C$111)/(C59*I59),0)-ROUNDUP(($C$46*(1-基础属性系数!$C$111)/(C59*I59)-D59)/D59,0)-1)*H59</f>
        <v>8.9</v>
      </c>
      <c r="M59" s="39">
        <f>ROUNDUP(($C$49*(1-基础属性系数!$C$111)/(C59*J59)-D59)/D59,0)*G59+(ROUNDUP($C$49*(1-基础属性系数!$C$111)/(C59*J59),0)-ROUNDUP(($C$49*(1-基础属性系数!$C$111)/(C59*J59)-D59)/D59,0)-1)*H59</f>
        <v>9.3000000000000007</v>
      </c>
      <c r="N59" s="39">
        <f>ROUNDUP(($C$51*(1-基础属性系数!$C$111)/(C59*K59)-D59)/D59,0)*G59+(ROUNDUP($C$51*(1-基础属性系数!$C$111)/(C59*K59),0)-ROUNDUP(($C$51*(1-基础属性系数!$C$111)/(C59*K59)-D59)/D59,0)-1)*H59</f>
        <v>16</v>
      </c>
      <c r="O59" s="40"/>
      <c r="P59" s="40"/>
      <c r="Q59" s="40"/>
      <c r="CG59" s="55"/>
      <c r="CJ59" s="55"/>
      <c r="CK59" s="55"/>
      <c r="CL59" s="55"/>
      <c r="CM59" s="55"/>
      <c r="CN59" s="55"/>
      <c r="CO59" s="55"/>
    </row>
    <row r="60" spans="2:93" x14ac:dyDescent="0.35">
      <c r="B60" s="35" t="s">
        <v>392</v>
      </c>
      <c r="C60" s="39">
        <f>ROUND(VLOOKUP(B60,标准坦克设计!$B$39:$H$46,6,FALSE),0)</f>
        <v>28</v>
      </c>
      <c r="D60" s="8">
        <v>10</v>
      </c>
      <c r="E60" s="246">
        <f>VLOOKUP($B60,标准坦克设计!$B$13:$K$20,MATCH(E$55,标准坦克设计!$B$13:$K$13,0),FALSE)</f>
        <v>0.7</v>
      </c>
      <c r="F60" s="246">
        <f>VLOOKUP($B60,标准坦克设计!$B$13:$K$20,MATCH(F$55,标准坦克设计!$B$13:$K$13,0),FALSE)</f>
        <v>0</v>
      </c>
      <c r="G60" s="246">
        <f>VLOOKUP($B60,标准坦克设计!$B$13:$K$20,MATCH(G$55,标准坦克设计!$B$13:$K$13,0),FALSE)</f>
        <v>6.3</v>
      </c>
      <c r="H60" s="246">
        <f>VLOOKUP($B60,标准坦克设计!$B$13:$K$20,MATCH(H$55,标准坦克设计!$B$13:$K$13,0),FALSE)</f>
        <v>0.2</v>
      </c>
      <c r="I60" s="40">
        <f>VLOOKUP($B60,标准坦克设计!$B$23:$U$30,MATCH("对轻坦输出",标准坦克设计!$B$23:$U$23,0),FALSE)</f>
        <v>1.2165020651744729</v>
      </c>
      <c r="J60" s="40">
        <f>VLOOKUP($B60,标准坦克设计!$B$23:$U$30,MATCH("对中坦输出",标准坦克设计!$B$23:$U$23,0),FALSE)</f>
        <v>1.1139722603672966</v>
      </c>
      <c r="K60" s="40">
        <f>VLOOKUP($B60,标准坦克设计!$B$23:$U$30,MATCH("对重坦输出",标准坦克设计!$B$23:$U$23,0),FALSE)</f>
        <v>1.0214393747512491</v>
      </c>
      <c r="L60" s="39">
        <f>ROUNDUP(($C$46*(1-基础属性系数!$C$111)/(C60*I60)-D60)/D60,0)*G60+(ROUNDUP($C$46*(1-基础属性系数!$C$111)/(C60*I60),0)-ROUNDUP(($C$46*(1-基础属性系数!$C$111)/(C60*I60)-D60)/D60,0)-1)*H60</f>
        <v>8.9</v>
      </c>
      <c r="M60" s="39">
        <f>ROUNDUP(($C$49*(1-基础属性系数!$C$111)/(C60*J60)-D60)/D60,0)*G60+(ROUNDUP($C$49*(1-基础属性系数!$C$111)/(C60*J60),0)-ROUNDUP(($C$49*(1-基础属性系数!$C$111)/(C60*J60)-D60)/D60,0)-1)*H60</f>
        <v>9.3000000000000007</v>
      </c>
      <c r="N60" s="39">
        <f>ROUNDUP(($C$51*(1-基础属性系数!$C$111)/(C60*K60)-D60)/D60,0)*G60+(ROUNDUP($C$51*(1-基础属性系数!$C$111)/(C60*K60),0)-ROUNDUP(($C$51*(1-基础属性系数!$C$111)/(C60*K60)-D60)/D60,0)-1)*H60</f>
        <v>9.9</v>
      </c>
      <c r="O60" s="40">
        <f t="shared" ref="O60:Q62" si="73">(L$59-L60)/L$59</f>
        <v>0</v>
      </c>
      <c r="P60" s="40">
        <f t="shared" si="73"/>
        <v>0</v>
      </c>
      <c r="Q60" s="40">
        <f t="shared" si="73"/>
        <v>0.38124999999999998</v>
      </c>
      <c r="CG60" s="55"/>
      <c r="CJ60" s="55"/>
      <c r="CK60" s="55"/>
      <c r="CL60" s="55"/>
      <c r="CM60" s="55"/>
      <c r="CN60" s="55"/>
      <c r="CO60" s="55"/>
    </row>
    <row r="61" spans="2:93" x14ac:dyDescent="0.35">
      <c r="B61" s="35" t="s">
        <v>392</v>
      </c>
      <c r="C61" s="39">
        <f>ROUND(VLOOKUP(B61,标准坦克设计!$B$39:$H$46,6,FALSE),0)</f>
        <v>28</v>
      </c>
      <c r="D61" s="8">
        <v>11</v>
      </c>
      <c r="E61" s="246">
        <f>VLOOKUP($B61,标准坦克设计!$B$13:$K$20,MATCH(E$55,标准坦克设计!$B$13:$K$13,0),FALSE)</f>
        <v>0.7</v>
      </c>
      <c r="F61" s="246">
        <f>VLOOKUP($B61,标准坦克设计!$B$13:$K$20,MATCH(F$55,标准坦克设计!$B$13:$K$13,0),FALSE)</f>
        <v>0</v>
      </c>
      <c r="G61" s="246">
        <f>VLOOKUP($B61,标准坦克设计!$B$13:$K$20,MATCH(G$55,标准坦克设计!$B$13:$K$13,0),FALSE)</f>
        <v>6.3</v>
      </c>
      <c r="H61" s="246">
        <f>VLOOKUP($B61,标准坦克设计!$B$13:$K$20,MATCH(H$55,标准坦克设计!$B$13:$K$13,0),FALSE)</f>
        <v>0.2</v>
      </c>
      <c r="I61" s="40">
        <f>VLOOKUP($B61,标准坦克设计!$B$23:$U$30,MATCH("对轻坦输出",标准坦克设计!$B$23:$U$23,0),FALSE)</f>
        <v>1.2165020651744729</v>
      </c>
      <c r="J61" s="40">
        <f>VLOOKUP($B61,标准坦克设计!$B$23:$U$30,MATCH("对中坦输出",标准坦克设计!$B$23:$U$23,0),FALSE)</f>
        <v>1.1139722603672966</v>
      </c>
      <c r="K61" s="40">
        <f>VLOOKUP($B61,标准坦克设计!$B$23:$U$30,MATCH("对重坦输出",标准坦克设计!$B$23:$U$23,0),FALSE)</f>
        <v>1.0214393747512491</v>
      </c>
      <c r="L61" s="39">
        <f>ROUNDUP(($C$46*(1-基础属性系数!$C$111)/(C61*I61)-D61)/D61,0)*G61+(ROUNDUP($C$46*(1-基础属性系数!$C$111)/(C61*I61),0)-ROUNDUP(($C$46*(1-基础属性系数!$C$111)/(C61*I61)-D61)/D61,0)-1)*H61</f>
        <v>8.9</v>
      </c>
      <c r="M61" s="39">
        <f>ROUNDUP(($C$49*(1-基础属性系数!$C$111)/(C61*J61)-D61)/D61,0)*G61+(ROUNDUP($C$49*(1-基础属性系数!$C$111)/(C61*J61),0)-ROUNDUP(($C$49*(1-基础属性系数!$C$111)/(C61*J61)-D61)/D61,0)-1)*H61</f>
        <v>9.3000000000000007</v>
      </c>
      <c r="N61" s="39">
        <f>ROUNDUP(($C$51*(1-基础属性系数!$C$111)/(C61*K61)-D61)/D61,0)*G61+(ROUNDUP($C$51*(1-基础属性系数!$C$111)/(C61*K61),0)-ROUNDUP(($C$51*(1-基础属性系数!$C$111)/(C61*K61)-D61)/D61,0)-1)*H61</f>
        <v>9.9</v>
      </c>
      <c r="O61" s="40">
        <f t="shared" si="73"/>
        <v>0</v>
      </c>
      <c r="P61" s="40">
        <f t="shared" si="73"/>
        <v>0</v>
      </c>
      <c r="Q61" s="40">
        <f t="shared" si="73"/>
        <v>0.38124999999999998</v>
      </c>
      <c r="CG61" s="55"/>
      <c r="CJ61" s="55"/>
      <c r="CK61" s="55"/>
      <c r="CL61" s="55"/>
      <c r="CM61" s="55"/>
      <c r="CN61" s="55"/>
      <c r="CO61" s="55"/>
    </row>
    <row r="62" spans="2:93" x14ac:dyDescent="0.35">
      <c r="B62" s="35" t="s">
        <v>392</v>
      </c>
      <c r="C62" s="39">
        <f>ROUND(VLOOKUP(B62,标准坦克设计!$B$39:$H$46,6,FALSE),0)</f>
        <v>28</v>
      </c>
      <c r="D62" s="8">
        <v>12</v>
      </c>
      <c r="E62" s="246">
        <f>VLOOKUP($B62,标准坦克设计!$B$13:$K$20,MATCH(E$55,标准坦克设计!$B$13:$K$13,0),FALSE)</f>
        <v>0.7</v>
      </c>
      <c r="F62" s="246">
        <f>VLOOKUP($B62,标准坦克设计!$B$13:$K$20,MATCH(F$55,标准坦克设计!$B$13:$K$13,0),FALSE)</f>
        <v>0</v>
      </c>
      <c r="G62" s="246">
        <f>VLOOKUP($B62,标准坦克设计!$B$13:$K$20,MATCH(G$55,标准坦克设计!$B$13:$K$13,0),FALSE)</f>
        <v>6.3</v>
      </c>
      <c r="H62" s="246">
        <f>VLOOKUP($B62,标准坦克设计!$B$13:$K$20,MATCH(H$55,标准坦克设计!$B$13:$K$13,0),FALSE)</f>
        <v>0.2</v>
      </c>
      <c r="I62" s="40">
        <f>VLOOKUP($B62,标准坦克设计!$B$23:$U$30,MATCH("对轻坦输出",标准坦克设计!$B$23:$U$23,0),FALSE)</f>
        <v>1.2165020651744729</v>
      </c>
      <c r="J62" s="40">
        <f>VLOOKUP($B62,标准坦克设计!$B$23:$U$30,MATCH("对中坦输出",标准坦克设计!$B$23:$U$23,0),FALSE)</f>
        <v>1.1139722603672966</v>
      </c>
      <c r="K62" s="40">
        <f>VLOOKUP($B62,标准坦克设计!$B$23:$U$30,MATCH("对重坦输出",标准坦克设计!$B$23:$U$23,0),FALSE)</f>
        <v>1.0214393747512491</v>
      </c>
      <c r="L62" s="39">
        <f>ROUNDUP(($C$46*(1-基础属性系数!$C$111)/(C62*I62)-D62)/D62,0)*G62+(ROUNDUP($C$46*(1-基础属性系数!$C$111)/(C62*I62),0)-ROUNDUP(($C$46*(1-基础属性系数!$C$111)/(C62*I62)-D62)/D62,0)-1)*H62</f>
        <v>8.9</v>
      </c>
      <c r="M62" s="39">
        <f>ROUNDUP(($C$49*(1-基础属性系数!$C$111)/(C62*J62)-D62)/D62,0)*G62+(ROUNDUP($C$49*(1-基础属性系数!$C$111)/(C62*J62),0)-ROUNDUP(($C$49*(1-基础属性系数!$C$111)/(C62*J62)-D62)/D62,0)-1)*H62</f>
        <v>9.3000000000000007</v>
      </c>
      <c r="N62" s="39">
        <f>ROUNDUP(($C$51*(1-基础属性系数!$C$111)/(C62*K62)-D62)/D62,0)*G62+(ROUNDUP($C$51*(1-基础属性系数!$C$111)/(C62*K62),0)-ROUNDUP(($C$51*(1-基础属性系数!$C$111)/(C62*K62)-D62)/D62,0)-1)*H62</f>
        <v>9.9</v>
      </c>
      <c r="O62" s="40">
        <f t="shared" si="73"/>
        <v>0</v>
      </c>
      <c r="P62" s="40">
        <f t="shared" si="73"/>
        <v>0</v>
      </c>
      <c r="Q62" s="40">
        <f t="shared" si="73"/>
        <v>0.38124999999999998</v>
      </c>
      <c r="AC62" s="95"/>
      <c r="CG62" s="55"/>
      <c r="CJ62" s="55"/>
      <c r="CK62" s="55"/>
      <c r="CL62" s="55"/>
      <c r="CM62" s="55"/>
      <c r="CN62" s="55"/>
      <c r="CO62" s="55"/>
    </row>
    <row r="63" spans="2:93" x14ac:dyDescent="0.35">
      <c r="B63" s="35" t="s">
        <v>394</v>
      </c>
      <c r="C63" s="44">
        <f>ROUND(VLOOKUP(B63,标准坦克设计!$B$39:$H$46,6,FALSE),0)</f>
        <v>57</v>
      </c>
      <c r="D63" s="8">
        <v>4</v>
      </c>
      <c r="E63" s="246">
        <f>VLOOKUP($B63,标准坦克设计!$B$13:$K$20,MATCH(E$55,标准坦克设计!$B$13:$K$13,0),FALSE)</f>
        <v>1</v>
      </c>
      <c r="F63" s="246">
        <f>VLOOKUP($B63,标准坦克设计!$B$13:$K$20,MATCH(F$55,标准坦克设计!$B$13:$K$13,0),FALSE)</f>
        <v>0</v>
      </c>
      <c r="G63" s="246">
        <f>VLOOKUP($B63,标准坦克设计!$B$13:$K$20,MATCH(G$55,标准坦克设计!$B$13:$K$13,0),FALSE)</f>
        <v>4</v>
      </c>
      <c r="H63" s="246">
        <f>VLOOKUP($B63,标准坦克设计!$B$13:$K$20,MATCH(H$55,标准坦克设计!$B$13:$K$13,0),FALSE)</f>
        <v>0.8</v>
      </c>
      <c r="I63" s="40">
        <f>VLOOKUP($B63,标准坦克设计!$B$23:$U$30,MATCH("对轻坦输出",标准坦克设计!$B$23:$U$23,0),FALSE)</f>
        <v>1.141582215449821</v>
      </c>
      <c r="J63" s="40">
        <f>VLOOKUP($B63,标准坦克设计!$B$23:$U$30,MATCH("对中坦输出",标准坦克设计!$B$23:$U$23,0),FALSE)</f>
        <v>1.044891662895727</v>
      </c>
      <c r="K63" s="40">
        <f>VLOOKUP($B63,标准坦克设计!$B$23:$U$30,MATCH("对重坦输出",标准坦克设计!$B$23:$U$23,0),FALSE)</f>
        <v>0.97035565748884467</v>
      </c>
      <c r="L63" s="44">
        <f>ROUNDUP(($C$46*(1-基础属性系数!$C$111)/(C63*I63)-D63)/D63,0)*G63+(ROUNDUP($C$46*(1-基础属性系数!$C$111)/(C63*I63),0)-ROUNDUP(($C$46*(1-基础属性系数!$C$111)/(C63*I63)-D63)/D63,0)-1)*H63</f>
        <v>8.8000000000000007</v>
      </c>
      <c r="M63" s="44">
        <f>ROUNDUP(($C$49*(1-基础属性系数!$C$111)/(C63*J63)-D63)/D63,0)*G63+(ROUNDUP($C$49*(1-基础属性系数!$C$111)/(C63*J63),0)-ROUNDUP(($C$49*(1-基础属性系数!$C$111)/(C63*J63)-D63)/D63,0)-1)*H63</f>
        <v>12.8</v>
      </c>
      <c r="N63" s="44">
        <f>ROUNDUP(($C$51*(1-基础属性系数!$C$111)/(C63*K63)-D63)/D63,0)*G63+(ROUNDUP($C$51*(1-基础属性系数!$C$111)/(C63*K63),0)-ROUNDUP(($C$51*(1-基础属性系数!$C$111)/(C63*K63)-D63)/D63,0)-1)*H63</f>
        <v>14.4</v>
      </c>
      <c r="O63" s="40"/>
      <c r="P63" s="40"/>
      <c r="Q63" s="40"/>
      <c r="CG63" s="55"/>
      <c r="CJ63" s="55"/>
      <c r="CK63" s="55"/>
      <c r="CL63" s="55"/>
      <c r="CM63" s="55"/>
      <c r="CN63" s="55"/>
      <c r="CO63" s="55"/>
    </row>
    <row r="64" spans="2:93" x14ac:dyDescent="0.35">
      <c r="B64" s="43" t="s">
        <v>394</v>
      </c>
      <c r="C64" s="44">
        <f>ROUND(VLOOKUP(B64,标准坦克设计!$B$39:$H$46,6,FALSE),0)</f>
        <v>57</v>
      </c>
      <c r="D64" s="8">
        <v>5</v>
      </c>
      <c r="E64" s="246">
        <f>VLOOKUP($B64,标准坦克设计!$B$13:$K$20,MATCH(E$55,标准坦克设计!$B$13:$K$13,0),FALSE)</f>
        <v>1</v>
      </c>
      <c r="F64" s="246">
        <f>VLOOKUP($B64,标准坦克设计!$B$13:$K$20,MATCH(F$55,标准坦克设计!$B$13:$K$13,0),FALSE)</f>
        <v>0</v>
      </c>
      <c r="G64" s="246">
        <f>VLOOKUP($B64,标准坦克设计!$B$13:$K$20,MATCH(G$55,标准坦克设计!$B$13:$K$13,0),FALSE)</f>
        <v>4</v>
      </c>
      <c r="H64" s="246">
        <f>VLOOKUP($B64,标准坦克设计!$B$13:$K$20,MATCH(H$55,标准坦克设计!$B$13:$K$13,0),FALSE)</f>
        <v>0.8</v>
      </c>
      <c r="I64" s="40">
        <f>VLOOKUP($B64,标准坦克设计!$B$23:$U$30,MATCH("对轻坦输出",标准坦克设计!$B$23:$U$23,0),FALSE)</f>
        <v>1.141582215449821</v>
      </c>
      <c r="J64" s="40">
        <f>VLOOKUP($B64,标准坦克设计!$B$23:$U$30,MATCH("对中坦输出",标准坦克设计!$B$23:$U$23,0),FALSE)</f>
        <v>1.044891662895727</v>
      </c>
      <c r="K64" s="40">
        <f>VLOOKUP($B64,标准坦克设计!$B$23:$U$30,MATCH("对重坦输出",标准坦克设计!$B$23:$U$23,0),FALSE)</f>
        <v>0.97035565748884467</v>
      </c>
      <c r="L64" s="44">
        <f>ROUNDUP(($C$46*(1-基础属性系数!$C$111)/(C64*I64)-D64)/D64,0)*G64+(ROUNDUP($C$46*(1-基础属性系数!$C$111)/(C64*I64),0)-ROUNDUP(($C$46*(1-基础属性系数!$C$111)/(C64*I64)-D64)/D64,0)-1)*H64</f>
        <v>8.8000000000000007</v>
      </c>
      <c r="M64" s="44">
        <f>ROUNDUP(($C$49*(1-基础属性系数!$C$111)/(C64*J64)-D64)/D64,0)*G64+(ROUNDUP($C$49*(1-基础属性系数!$C$111)/(C64*J64),0)-ROUNDUP(($C$49*(1-基础属性系数!$C$111)/(C64*J64)-D64)/D64,0)-1)*H64</f>
        <v>9.6000000000000014</v>
      </c>
      <c r="N64" s="44">
        <f>ROUNDUP(($C$51*(1-基础属性系数!$C$111)/(C64*K64)-D64)/D64,0)*G64+(ROUNDUP($C$51*(1-基础属性系数!$C$111)/(C64*K64),0)-ROUNDUP(($C$51*(1-基础属性系数!$C$111)/(C64*K64)-D64)/D64,0)-1)*H64</f>
        <v>14.4</v>
      </c>
      <c r="O64" s="40">
        <f t="shared" ref="O64:Q65" si="74">(L$63-L64)/L$63</f>
        <v>0</v>
      </c>
      <c r="P64" s="40">
        <f t="shared" si="74"/>
        <v>0.24999999999999994</v>
      </c>
      <c r="Q64" s="40">
        <f t="shared" si="74"/>
        <v>0</v>
      </c>
    </row>
    <row r="65" spans="2:26" x14ac:dyDescent="0.35">
      <c r="B65" s="43" t="s">
        <v>394</v>
      </c>
      <c r="C65" s="44">
        <f>ROUND(VLOOKUP(B65,标准坦克设计!$B$39:$H$46,6,FALSE),0)</f>
        <v>57</v>
      </c>
      <c r="D65" s="8">
        <v>6</v>
      </c>
      <c r="E65" s="246">
        <f>VLOOKUP($B65,标准坦克设计!$B$13:$K$20,MATCH(E$55,标准坦克设计!$B$13:$K$13,0),FALSE)</f>
        <v>1</v>
      </c>
      <c r="F65" s="246">
        <f>VLOOKUP($B65,标准坦克设计!$B$13:$K$20,MATCH(F$55,标准坦克设计!$B$13:$K$13,0),FALSE)</f>
        <v>0</v>
      </c>
      <c r="G65" s="246">
        <f>VLOOKUP($B65,标准坦克设计!$B$13:$K$20,MATCH(G$55,标准坦克设计!$B$13:$K$13,0),FALSE)</f>
        <v>4</v>
      </c>
      <c r="H65" s="246">
        <f>VLOOKUP($B65,标准坦克设计!$B$13:$K$20,MATCH(H$55,标准坦克设计!$B$13:$K$13,0),FALSE)</f>
        <v>0.8</v>
      </c>
      <c r="I65" s="40">
        <f>VLOOKUP($B65,标准坦克设计!$B$23:$U$30,MATCH("对轻坦输出",标准坦克设计!$B$23:$U$23,0),FALSE)</f>
        <v>1.141582215449821</v>
      </c>
      <c r="J65" s="40">
        <f>VLOOKUP($B65,标准坦克设计!$B$23:$U$30,MATCH("对中坦输出",标准坦克设计!$B$23:$U$23,0),FALSE)</f>
        <v>1.044891662895727</v>
      </c>
      <c r="K65" s="40">
        <f>VLOOKUP($B65,标准坦克设计!$B$23:$U$30,MATCH("对重坦输出",标准坦克设计!$B$23:$U$23,0),FALSE)</f>
        <v>0.97035565748884467</v>
      </c>
      <c r="L65" s="44">
        <f>ROUNDUP(($C$46*(1-基础属性系数!$C$111)/(C65*I65)-D65)/D65,0)*G65+(ROUNDUP($C$46*(1-基础属性系数!$C$111)/(C65*I65),0)-ROUNDUP(($C$46*(1-基础属性系数!$C$111)/(C65*I65)-D65)/D65,0)-1)*H65</f>
        <v>8.8000000000000007</v>
      </c>
      <c r="M65" s="44">
        <f>ROUNDUP(($C$49*(1-基础属性系数!$C$111)/(C65*J65)-D65)/D65,0)*G65+(ROUNDUP($C$49*(1-基础属性系数!$C$111)/(C65*J65),0)-ROUNDUP(($C$49*(1-基础属性系数!$C$111)/(C65*J65)-D65)/D65,0)-1)*H65</f>
        <v>9.6000000000000014</v>
      </c>
      <c r="N65" s="44">
        <f>ROUNDUP(($C$51*(1-基础属性系数!$C$111)/(C65*K65)-D65)/D65,0)*G65+(ROUNDUP($C$51*(1-基础属性系数!$C$111)/(C65*K65),0)-ROUNDUP(($C$51*(1-基础属性系数!$C$111)/(C65*K65)-D65)/D65,0)-1)*H65</f>
        <v>11.2</v>
      </c>
      <c r="O65" s="40">
        <f t="shared" si="74"/>
        <v>0</v>
      </c>
      <c r="P65" s="40">
        <f t="shared" si="74"/>
        <v>0.24999999999999994</v>
      </c>
      <c r="Q65" s="40">
        <f t="shared" si="74"/>
        <v>0.22222222222222229</v>
      </c>
    </row>
    <row r="66" spans="2:26" x14ac:dyDescent="0.35">
      <c r="B66" s="35" t="s">
        <v>409</v>
      </c>
      <c r="C66" s="44">
        <f>ROUND(VLOOKUP(B66,标准坦克设计!$B$39:$H$46,6,FALSE),0)</f>
        <v>148</v>
      </c>
      <c r="D66" s="8">
        <v>2</v>
      </c>
      <c r="E66" s="246">
        <f>VLOOKUP($B66,标准坦克设计!$B$13:$K$20,MATCH(E$55,标准坦克设计!$B$13:$K$13,0),FALSE)</f>
        <v>4.5</v>
      </c>
      <c r="F66" s="246">
        <f>VLOOKUP($B66,标准坦克设计!$B$13:$K$20,MATCH(F$55,标准坦克设计!$B$13:$K$13,0),FALSE)</f>
        <v>4.5</v>
      </c>
      <c r="G66" s="246">
        <f>VLOOKUP($B66,标准坦克设计!$B$13:$K$20,MATCH(G$55,标准坦克设计!$B$13:$K$13,0),FALSE)</f>
        <v>0</v>
      </c>
      <c r="H66" s="246">
        <f>VLOOKUP($B66,标准坦克设计!$B$13:$K$20,MATCH(H$55,标准坦克设计!$B$13:$K$13,0),FALSE)</f>
        <v>1.8</v>
      </c>
      <c r="I66" s="40">
        <f>VLOOKUP($B66,标准坦克设计!$B$23:$U$30,MATCH("对轻坦输出",标准坦克设计!$B$23:$U$23,0),FALSE)</f>
        <v>1.1459968758143133</v>
      </c>
      <c r="J66" s="40">
        <f>VLOOKUP($B66,标准坦克设计!$B$23:$U$30,MATCH("对中坦输出",标准坦克设计!$B$23:$U$23,0),FALSE)</f>
        <v>1.0516698645678548</v>
      </c>
      <c r="K66" s="40">
        <f>VLOOKUP($B66,标准坦克设计!$B$23:$U$30,MATCH("对重坦输出",标准坦克设计!$B$23:$U$23,0),FALSE)</f>
        <v>0.9825426585192979</v>
      </c>
      <c r="L66" s="44">
        <f>(ROUNDUP($C$46*(1-基础属性系数!$C$111)/(C66*I66),0)-D66)*F66+(D66-1)*H66</f>
        <v>6.3</v>
      </c>
      <c r="M66" s="44">
        <f>(ROUNDUP($C$49*(1-基础属性系数!$C$111)/(C66*J66),0)-D66)*F66+(D66-1)*H66</f>
        <v>10.8</v>
      </c>
      <c r="N66" s="44">
        <f>(ROUNDUP($C$51*(1-基础属性系数!$C$111)/(C66*K66),0)-D66)*F66+(D66-1)*H66</f>
        <v>10.8</v>
      </c>
      <c r="O66" s="40"/>
      <c r="P66" s="40"/>
      <c r="Q66" s="40"/>
    </row>
    <row r="67" spans="2:26" x14ac:dyDescent="0.35">
      <c r="B67" s="43" t="s">
        <v>409</v>
      </c>
      <c r="C67" s="44">
        <f>ROUND(VLOOKUP(B67,标准坦克设计!$B$39:$H$46,6,FALSE),0)</f>
        <v>148</v>
      </c>
      <c r="D67" s="8">
        <v>3</v>
      </c>
      <c r="E67" s="246">
        <f>VLOOKUP($B67,标准坦克设计!$B$13:$K$20,MATCH(E$55,标准坦克设计!$B$13:$K$13,0),FALSE)</f>
        <v>4.5</v>
      </c>
      <c r="F67" s="246">
        <f>VLOOKUP($B67,标准坦克设计!$B$13:$K$20,MATCH(F$55,标准坦克设计!$B$13:$K$13,0),FALSE)</f>
        <v>4.5</v>
      </c>
      <c r="G67" s="246">
        <f>VLOOKUP($B67,标准坦克设计!$B$13:$K$20,MATCH(G$55,标准坦克设计!$B$13:$K$13,0),FALSE)</f>
        <v>0</v>
      </c>
      <c r="H67" s="246">
        <f>VLOOKUP($B67,标准坦克设计!$B$13:$K$20,MATCH(H$55,标准坦克设计!$B$13:$K$13,0),FALSE)</f>
        <v>1.8</v>
      </c>
      <c r="I67" s="40">
        <f>VLOOKUP($B67,标准坦克设计!$B$23:$U$30,MATCH("对轻坦输出",标准坦克设计!$B$23:$U$23,0),FALSE)</f>
        <v>1.1459968758143133</v>
      </c>
      <c r="J67" s="40">
        <f>VLOOKUP($B67,标准坦克设计!$B$23:$U$30,MATCH("对中坦输出",标准坦克设计!$B$23:$U$23,0),FALSE)</f>
        <v>1.0516698645678548</v>
      </c>
      <c r="K67" s="40">
        <f>VLOOKUP($B67,标准坦克设计!$B$23:$U$30,MATCH("对重坦输出",标准坦克设计!$B$23:$U$23,0),FALSE)</f>
        <v>0.9825426585192979</v>
      </c>
      <c r="L67" s="44">
        <f>(ROUNDUP($C$46*(1-基础属性系数!$C$111)/(C67*I67),0)-D67)*F67+(D67-1)*H67</f>
        <v>3.6</v>
      </c>
      <c r="M67" s="44">
        <f>(ROUNDUP($C$49*(1-基础属性系数!$C$111)/(C67*J67),0)-D67)*F67+(D67-1)*H67</f>
        <v>8.1</v>
      </c>
      <c r="N67" s="44">
        <f>(ROUNDUP($C$51*(1-基础属性系数!$C$111)/(C67*K67),0)-D67)*F67+(D67-1)*H67</f>
        <v>8.1</v>
      </c>
      <c r="O67" s="40">
        <f>(L$66-L67)/L$66</f>
        <v>0.42857142857142855</v>
      </c>
      <c r="P67" s="40">
        <f>(M$66-M67)/M$66</f>
        <v>0.25000000000000006</v>
      </c>
      <c r="Q67" s="40">
        <f>(N$66-N67)/N$66</f>
        <v>0.25000000000000006</v>
      </c>
    </row>
    <row r="68" spans="2:26" x14ac:dyDescent="0.35">
      <c r="X68" s="31"/>
      <c r="Y68" s="55"/>
      <c r="Z68" s="10"/>
    </row>
    <row r="69" spans="2:26" x14ac:dyDescent="0.35">
      <c r="B69" s="787" t="s">
        <v>658</v>
      </c>
      <c r="C69" s="809"/>
      <c r="D69" s="809"/>
      <c r="E69" s="809"/>
      <c r="F69" s="809"/>
      <c r="G69" s="809"/>
      <c r="H69" s="809"/>
      <c r="I69" s="809"/>
      <c r="J69" s="809"/>
      <c r="K69" s="809"/>
      <c r="L69" s="809"/>
      <c r="M69" s="809"/>
      <c r="N69" s="809"/>
      <c r="O69" s="809"/>
      <c r="P69" s="809"/>
      <c r="Q69" s="809"/>
      <c r="R69" s="809"/>
      <c r="S69" s="809"/>
      <c r="T69" s="809"/>
      <c r="U69" s="809"/>
      <c r="V69" s="809"/>
      <c r="W69" s="809"/>
      <c r="X69" s="809"/>
    </row>
    <row r="70" spans="2:26" x14ac:dyDescent="0.35">
      <c r="B70" s="67" t="s">
        <v>4</v>
      </c>
      <c r="C70" s="63" t="s">
        <v>401</v>
      </c>
      <c r="D70" s="65" t="s">
        <v>46</v>
      </c>
      <c r="E70" s="63" t="s">
        <v>403</v>
      </c>
      <c r="F70" s="65" t="s">
        <v>33</v>
      </c>
      <c r="G70" s="65" t="s">
        <v>49</v>
      </c>
      <c r="H70" s="65" t="s">
        <v>50</v>
      </c>
      <c r="I70" s="70" t="s">
        <v>450</v>
      </c>
      <c r="J70" s="70" t="s">
        <v>451</v>
      </c>
      <c r="K70" s="70" t="s">
        <v>452</v>
      </c>
      <c r="L70" s="63" t="s">
        <v>453</v>
      </c>
      <c r="M70" s="63" t="s">
        <v>454</v>
      </c>
      <c r="N70" s="63" t="s">
        <v>455</v>
      </c>
      <c r="O70" s="71" t="s">
        <v>458</v>
      </c>
      <c r="P70" s="71" t="s">
        <v>463</v>
      </c>
      <c r="Q70" s="71" t="s">
        <v>464</v>
      </c>
      <c r="R70" s="71" t="s">
        <v>465</v>
      </c>
      <c r="S70" s="71" t="s">
        <v>459</v>
      </c>
      <c r="T70" s="71" t="s">
        <v>466</v>
      </c>
      <c r="U70" s="71" t="s">
        <v>467</v>
      </c>
      <c r="V70" s="71" t="s">
        <v>468</v>
      </c>
      <c r="W70" s="77" t="s">
        <v>659</v>
      </c>
      <c r="X70" s="77" t="s">
        <v>660</v>
      </c>
    </row>
    <row r="71" spans="2:26" x14ac:dyDescent="0.35">
      <c r="B71" s="67" t="s">
        <v>408</v>
      </c>
      <c r="C71" s="66">
        <f>ROUND(VLOOKUP(B71,标准坦克设计!$B$39:$H$46,6,FALSE),0)</f>
        <v>48</v>
      </c>
      <c r="D71" s="69">
        <f>VLOOKUP($B71,标准坦克设计!$B$13:$K$20,MATCH(D$70,标准坦克设计!$B$13:$K$13,0),FALSE)</f>
        <v>6</v>
      </c>
      <c r="E71" s="249">
        <f>VLOOKUP($B71,标准坦克设计!$B$13:$K$20,MATCH(E$70,标准坦克设计!$B$13:$K$13,0),FALSE)</f>
        <v>1.4</v>
      </c>
      <c r="F71" s="249">
        <f>VLOOKUP($B71,标准坦克设计!$B$13:$K$20,MATCH(F$70,标准坦克设计!$B$13:$K$13,0),FALSE)</f>
        <v>1.4</v>
      </c>
      <c r="G71" s="249">
        <f>VLOOKUP($B71,标准坦克设计!$B$13:$K$20,MATCH(G$70,标准坦克设计!$B$13:$K$13,0),FALSE)</f>
        <v>0</v>
      </c>
      <c r="H71" s="249">
        <f>VLOOKUP($B71,标准坦克设计!$B$13:$K$20,MATCH(H$70,标准坦克设计!$B$13:$K$13,0),FALSE)</f>
        <v>0.4</v>
      </c>
      <c r="I71" s="40">
        <f>标准坦克设计!R24</f>
        <v>1.1624660828309641</v>
      </c>
      <c r="J71" s="40">
        <f>标准坦克设计!S24</f>
        <v>1.0612427349438089</v>
      </c>
      <c r="K71" s="40">
        <f>标准坦克设计!T24</f>
        <v>0.96438010756893333</v>
      </c>
      <c r="L71" s="66">
        <f>(ROUNDUP($C$46*(1-基础属性系数!$C$111)/(C71*I71),0)-D71)*F71+(D71-1)*H71</f>
        <v>6.1999999999999993</v>
      </c>
      <c r="M71" s="66">
        <f>(ROUNDUP($C$49*(1-基础属性系数!$C$111)/(C71*J71),0)-D71)*F71+(D71-1)*H71</f>
        <v>9</v>
      </c>
      <c r="N71" s="66">
        <f>(ROUNDUP($C$51*(1-基础属性系数!$C$111)/(C71*K71),0)-D71)*F71+(D71-1)*H71</f>
        <v>11.799999999999999</v>
      </c>
      <c r="O71" s="53">
        <v>0.1</v>
      </c>
      <c r="P71" s="58">
        <f>(((ROUNDUP($C$46*(1-基础属性系数!$C$111)/(C71*I71),0)-D71)*F71+(D71-1)*(H71+$O71))-L71)/L71</f>
        <v>8.0645161290322592E-2</v>
      </c>
      <c r="Q71" s="58">
        <f>(((ROUNDUP($C$49*(1-基础属性系数!$C$111)/(C71*J71),0)-D71)*F71+(D71-1)*(H71+$O71))-M71)/M71</f>
        <v>5.5555555555555552E-2</v>
      </c>
      <c r="R71" s="58">
        <f>(((ROUNDUP($C$51*(1-基础属性系数!$C$111)/(C71*K71),0)-D71)*F71+(D71-1)*(H71+$O71))-N71)/N71</f>
        <v>4.2372881355932208E-2</v>
      </c>
      <c r="S71" s="53">
        <v>0.2</v>
      </c>
      <c r="T71" s="58">
        <f>(((ROUNDUP($C$46*(1-基础属性系数!$C$111)/(C71*I71),0)-D71)*F71+(D71-1)*(H71+$S71))-L71)/L71</f>
        <v>0.16129032258064518</v>
      </c>
      <c r="U71" s="58">
        <f>(((ROUNDUP($C$49*(1-基础属性系数!$C$111)/(C71*J71),0)-D71)*F71+(D71-1)*(H71+$S71))-M71)/M71</f>
        <v>0.1111111111111111</v>
      </c>
      <c r="V71" s="58">
        <f>(((ROUNDUP($C$51*(1-基础属性系数!$C$111)/(C71*K71),0)-D71)*F71+(D71-1)*(H71+$S71))-N71)/N71</f>
        <v>8.4745762711864417E-2</v>
      </c>
      <c r="W71" s="40">
        <f>IFERROR(O71/H71,0)</f>
        <v>0.25</v>
      </c>
      <c r="X71" s="58">
        <f>AVERAGE(AVERAGE(T71:V71)/(S71/O71),P71:R71)</f>
        <v>5.9524532733936784E-2</v>
      </c>
    </row>
    <row r="72" spans="2:26" x14ac:dyDescent="0.35">
      <c r="B72" s="67" t="s">
        <v>392</v>
      </c>
      <c r="C72" s="66">
        <f>ROUND(VLOOKUP(B72,标准坦克设计!$B$39:$H$46,6,FALSE),0)</f>
        <v>28</v>
      </c>
      <c r="D72" s="249">
        <f>VLOOKUP($B72,标准坦克设计!$B$13:$K$20,MATCH(D$70,标准坦克设计!$B$13:$K$13,0),FALSE)</f>
        <v>9</v>
      </c>
      <c r="E72" s="249">
        <f>VLOOKUP($B72,标准坦克设计!$B$13:$K$20,MATCH(E$70,标准坦克设计!$B$13:$K$13,0),FALSE)</f>
        <v>0.7</v>
      </c>
      <c r="F72" s="249">
        <f>VLOOKUP($B72,标准坦克设计!$B$13:$K$20,MATCH(F$70,标准坦克设计!$B$13:$K$13,0),FALSE)</f>
        <v>0</v>
      </c>
      <c r="G72" s="249">
        <f>VLOOKUP($B72,标准坦克设计!$B$13:$K$20,MATCH(G$70,标准坦克设计!$B$13:$K$13,0),FALSE)</f>
        <v>6.3</v>
      </c>
      <c r="H72" s="249">
        <f>VLOOKUP($B72,标准坦克设计!$B$13:$K$20,MATCH(H$70,标准坦克设计!$B$13:$K$13,0),FALSE)</f>
        <v>0.2</v>
      </c>
      <c r="I72" s="40">
        <f>标准坦克设计!R25</f>
        <v>1.2165020651744729</v>
      </c>
      <c r="J72" s="40">
        <f>标准坦克设计!S25</f>
        <v>1.1139722603672966</v>
      </c>
      <c r="K72" s="40">
        <f>标准坦克设计!T25</f>
        <v>1.0214393747512491</v>
      </c>
      <c r="L72" s="66">
        <f>ROUNDUP(($C$46*(1-基础属性系数!$C$111)/(C72*I72)-D72)/D72,0)*G72+(ROUNDUP($C$46*(1-基础属性系数!$C$111)/(C72*I72),0)-ROUNDUP(($C$46*(1-基础属性系数!$C$111)/(C72*I72)-D72)/D72,0)-1)*H72</f>
        <v>8.9</v>
      </c>
      <c r="M72" s="66">
        <f>ROUNDUP(($C$49*(1-基础属性系数!$C$111)/(C72*J72)-D72)/D72,0)*G72+(ROUNDUP($C$49*(1-基础属性系数!$C$111)/(C72*J72),0)-ROUNDUP(($C$49*(1-基础属性系数!$C$111)/(C72*J72)-D72)/D72,0)-1)*H72</f>
        <v>9.3000000000000007</v>
      </c>
      <c r="N72" s="66">
        <f>ROUNDUP(($C$51*(1-基础属性系数!$C$111)/(C72*K72)-D72)/D72,0)*G72+(ROUNDUP($C$51*(1-基础属性系数!$C$111)/(C72*K72),0)-ROUNDUP(($C$51*(1-基础属性系数!$C$111)/(C72*K72)-D72)/D72,0)-1)*H72</f>
        <v>16</v>
      </c>
      <c r="O72" s="53">
        <v>0.1</v>
      </c>
      <c r="P72" s="58">
        <f>((ROUNDUP(($C$46*(1-基础属性系数!$C$111)/(C72*I72)-D72)/D72,0)*G72+(ROUNDUP($C$46*(1-基础属性系数!$C$111)/(C72*I72),0)-ROUNDUP(($C$46*(1-基础属性系数!$C$111)/(C72*I72)-D72)/D72,0)-1)*(H72+O72))-L72)/L72</f>
        <v>0.14606741573033696</v>
      </c>
      <c r="Q72" s="58">
        <f>((ROUNDUP(($C$49*(1-基础属性系数!$C$111)/(C72*J72)-D72)/D72,0)*G72+(ROUNDUP($C$49*(1-基础属性系数!$C$111)/(C72*J72),0)-ROUNDUP(($C$49*(1-基础属性系数!$C$111)/(C72*J72)-D72)/D72,0)-1)*(H72+O72))-M72)/M72</f>
        <v>0.16129032258064516</v>
      </c>
      <c r="R72" s="58">
        <f>((ROUNDUP(($C$51*(1-基础属性系数!$C$111)/(C72*K72)-D72)/D72,0)*G72+(ROUNDUP($C$51*(1-基础属性系数!$C$111)/(C72*K72),0)-ROUNDUP(($C$51*(1-基础属性系数!$C$111)/(C72*K72)-D72)/D72,0)-1)*(H72+O72))-N72)/N72</f>
        <v>0.10624999999999996</v>
      </c>
      <c r="S72" s="53">
        <v>0.2</v>
      </c>
      <c r="T72" s="58">
        <f>((ROUNDUP(($C$46*(1-基础属性系数!$C$111)/(C72*I72)-D72)/D72,0)*G72+(ROUNDUP($C$46*(1-基础属性系数!$C$111)/(C72*I72),0)-ROUNDUP(($C$46*(1-基础属性系数!$C$111)/(C72*I72)-D72)/D72,0)-1)*(H72+S72))-L72)/L72</f>
        <v>0.29213483146067409</v>
      </c>
      <c r="U72" s="58">
        <f>((ROUNDUP(($C$49*(1-基础属性系数!$C$111)/(C72*J72)-D72)/D72,0)*G72+(ROUNDUP($C$49*(1-基础属性系数!$C$111)/(C72*J72),0)-ROUNDUP(($C$49*(1-基础属性系数!$C$111)/(C72*J72)-D72)/D72,0)-1)*(H72+S72))-M72)/M72</f>
        <v>0.32258064516129031</v>
      </c>
      <c r="V72" s="58">
        <f>((ROUNDUP(($C$51*(1-基础属性系数!$C$111)/(C72*K72)-D72)/D72,0)*G72+(ROUNDUP($C$51*(1-基础属性系数!$C$111)/(C72*K72),0)-ROUNDUP(($C$51*(1-基础属性系数!$C$111)/(C72*K72)-D72)/D72,0)-1)*(H72+S72))-N72)/N72</f>
        <v>0.21249999999999991</v>
      </c>
      <c r="W72" s="40">
        <f t="shared" ref="W72:W77" si="75">IFERROR(O72/H72,0)</f>
        <v>0.5</v>
      </c>
      <c r="X72" s="58">
        <f t="shared" ref="X72:X77" si="76">AVERAGE(AVERAGE(T72:V72)/(S72/O72),P72:R72)</f>
        <v>0.13786924610366069</v>
      </c>
    </row>
    <row r="73" spans="2:26" x14ac:dyDescent="0.35">
      <c r="B73" s="77" t="s">
        <v>611</v>
      </c>
      <c r="C73" s="66">
        <f>ROUND(VLOOKUP(B73,标准坦克设计!$B$39:$H$46,6,FALSE),0)</f>
        <v>98</v>
      </c>
      <c r="D73" s="249">
        <f>VLOOKUP($B73,标准坦克设计!$B$13:$K$20,MATCH(D$70,标准坦克设计!$B$13:$K$13,0),FALSE)</f>
        <v>1</v>
      </c>
      <c r="E73" s="249">
        <f>VLOOKUP($B73,标准坦克设计!$B$13:$K$20,MATCH(E$70,标准坦克设计!$B$13:$K$13,0),FALSE)</f>
        <v>3</v>
      </c>
      <c r="F73" s="249">
        <f>VLOOKUP($B73,标准坦克设计!$B$13:$K$20,MATCH(F$70,标准坦克设计!$B$13:$K$13,0),FALSE)</f>
        <v>3</v>
      </c>
      <c r="G73" s="249">
        <f>VLOOKUP($B73,标准坦克设计!$B$13:$K$20,MATCH(G$70,标准坦克设计!$B$13:$K$13,0),FALSE)</f>
        <v>0</v>
      </c>
      <c r="H73" s="249">
        <f>VLOOKUP($B73,标准坦克设计!$B$13:$K$20,MATCH(H$70,标准坦克设计!$B$13:$K$13,0),FALSE)</f>
        <v>0</v>
      </c>
      <c r="I73" s="40">
        <f>标准坦克设计!R26</f>
        <v>1.2686835103464016</v>
      </c>
      <c r="J73" s="40">
        <f>标准坦克设计!S26</f>
        <v>1.1652686383008801</v>
      </c>
      <c r="K73" s="40">
        <f>标准坦克设计!T26</f>
        <v>1.0778954217719583</v>
      </c>
      <c r="L73" s="66">
        <f>(ROUNDUP($C$46*(1-基础属性系数!$C$111)/(C73*I73),0)-D73)*F73+(D73-1)*H73</f>
        <v>9</v>
      </c>
      <c r="M73" s="66">
        <f>(ROUNDUP($C$49*(1-基础属性系数!$C$111)/(C73*J73),0)-D73)*F73+(D73-1)*H73</f>
        <v>12</v>
      </c>
      <c r="N73" s="66">
        <f>(ROUNDUP($C$51*(1-基础属性系数!$C$111)/(C73*K73),0)-D73)*F73+(D73-1)*H73</f>
        <v>15</v>
      </c>
      <c r="O73" s="53">
        <v>0.1</v>
      </c>
      <c r="P73" s="58">
        <f>(((ROUNDUP($C$46*(1-基础属性系数!$C$111)/(C73*I73),0)-D73)*F73+(D73-1)*(H73+$O73))-L73)/L73</f>
        <v>0</v>
      </c>
      <c r="Q73" s="58">
        <f>(((ROUNDUP($C$49*(1-基础属性系数!$C$111)/(C73*J73),0)-D73)*F73+(D73-1)*(H73+$O73))-M73)/M73</f>
        <v>0</v>
      </c>
      <c r="R73" s="58">
        <f>(((ROUNDUP($C$51*(1-基础属性系数!$C$111)/(C73*K73),0)-D73)*F73+(D73-1)*(H73+$O73))-N73)/N73</f>
        <v>0</v>
      </c>
      <c r="S73" s="53">
        <v>0.2</v>
      </c>
      <c r="T73" s="58">
        <f>(((ROUNDUP($C$46*(1-基础属性系数!$C$111)/(C73*I73),0)-D73)*F73+(D73-1)*(H73+$S73))-L73)/L73</f>
        <v>0</v>
      </c>
      <c r="U73" s="58">
        <f>(((ROUNDUP($C$49*(1-基础属性系数!$C$111)/(C73*J73),0)-D73)*F73+(D73-1)*(H73+$S73))-M73)/M73</f>
        <v>0</v>
      </c>
      <c r="V73" s="58">
        <f>(((ROUNDUP($C$51*(1-基础属性系数!$C$111)/(C73*K73),0)-D73)*F73+(D73-1)*(H73+$S73))-N73)/N73</f>
        <v>0</v>
      </c>
      <c r="W73" s="40">
        <f t="shared" si="75"/>
        <v>0</v>
      </c>
      <c r="X73" s="58">
        <f t="shared" si="76"/>
        <v>0</v>
      </c>
    </row>
    <row r="74" spans="2:26" x14ac:dyDescent="0.35">
      <c r="B74" s="67" t="s">
        <v>394</v>
      </c>
      <c r="C74" s="66">
        <f>ROUND(VLOOKUP(B74,标准坦克设计!$B$39:$H$46,6,FALSE),0)</f>
        <v>57</v>
      </c>
      <c r="D74" s="249">
        <f>VLOOKUP($B74,标准坦克设计!$B$13:$K$20,MATCH(D$70,标准坦克设计!$B$13:$K$13,0),FALSE)</f>
        <v>4</v>
      </c>
      <c r="E74" s="249">
        <f>VLOOKUP($B74,标准坦克设计!$B$13:$K$20,MATCH(E$70,标准坦克设计!$B$13:$K$13,0),FALSE)</f>
        <v>1</v>
      </c>
      <c r="F74" s="249">
        <f>VLOOKUP($B74,标准坦克设计!$B$13:$K$20,MATCH(F$70,标准坦克设计!$B$13:$K$13,0),FALSE)</f>
        <v>0</v>
      </c>
      <c r="G74" s="249">
        <f>VLOOKUP($B74,标准坦克设计!$B$13:$K$20,MATCH(G$70,标准坦克设计!$B$13:$K$13,0),FALSE)</f>
        <v>4</v>
      </c>
      <c r="H74" s="249">
        <f>VLOOKUP($B74,标准坦克设计!$B$13:$K$20,MATCH(H$70,标准坦克设计!$B$13:$K$13,0),FALSE)</f>
        <v>0.8</v>
      </c>
      <c r="I74" s="40">
        <f>标准坦克设计!R27</f>
        <v>1.141582215449821</v>
      </c>
      <c r="J74" s="40">
        <f>标准坦克设计!S27</f>
        <v>1.044891662895727</v>
      </c>
      <c r="K74" s="40">
        <f>标准坦克设计!T27</f>
        <v>0.97035565748884467</v>
      </c>
      <c r="L74" s="66">
        <f>ROUNDUP(($C$46*(1-基础属性系数!$C$111)/(C74*I74)-D74)/D74,0)*G74+(ROUNDUP($C$46*(1-基础属性系数!$C$111)/(C74*I74),0)-ROUNDUP(($C$46*(1-基础属性系数!$C$111)/(C74*I74)-D74)/D74,0)-1)*H74</f>
        <v>8.8000000000000007</v>
      </c>
      <c r="M74" s="66">
        <f>ROUNDUP(($C$49*(1-基础属性系数!$C$111)/(C74*J74)-D74)/D74,0)*G74+(ROUNDUP($C$49*(1-基础属性系数!$C$111)/(C74*J74),0)-ROUNDUP(($C$49*(1-基础属性系数!$C$111)/(C74*J74)-D74)/D74,0)-1)*H74</f>
        <v>12.8</v>
      </c>
      <c r="N74" s="66">
        <f>ROUNDUP(($C$51*(1-基础属性系数!$C$111)/(C74*K74)-D74)/D74,0)*G74+(ROUNDUP($C$51*(1-基础属性系数!$C$111)/(C74*K74),0)-ROUNDUP(($C$51*(1-基础属性系数!$C$111)/(C74*K74)-D74)/D74,0)-1)*H74</f>
        <v>14.4</v>
      </c>
      <c r="O74" s="53">
        <v>0.1</v>
      </c>
      <c r="P74" s="58">
        <f>((ROUNDUP(($C$46*(1-基础属性系数!$C$111)/(C74*I74)-D74)/D74,0)*G74+(ROUNDUP($C$46*(1-基础属性系数!$C$111)/(C74*I74),0)-ROUNDUP(($C$46*(1-基础属性系数!$C$111)/(C74*I74)-D74)/D74,0)-1)*(H74+O74))-L74)/L74</f>
        <v>6.8181818181818135E-2</v>
      </c>
      <c r="Q74" s="58">
        <f>((ROUNDUP(($C$49*(1-基础属性系数!$C$111)/(C74*J74)-D74)/D74,0)*G74+(ROUNDUP($C$49*(1-基础属性系数!$C$111)/(C74*J74),0)-ROUNDUP(($C$49*(1-基础属性系数!$C$111)/(C74*J74)-D74)/D74,0)-1)*(H74+O74))-M74)/M74</f>
        <v>4.6874999999999972E-2</v>
      </c>
      <c r="R74" s="58">
        <f>((ROUNDUP(($C$51*(1-基础属性系数!$C$111)/(C74*K74)-D74)/D74,0)*G74+(ROUNDUP($C$51*(1-基础属性系数!$C$111)/(C74*K74),0)-ROUNDUP(($C$51*(1-基础属性系数!$C$111)/(C74*K74)-D74)/D74,0)-1)*(H74+O74))-N74)/N74</f>
        <v>5.5555555555555483E-2</v>
      </c>
      <c r="S74" s="53">
        <v>0.2</v>
      </c>
      <c r="T74" s="58">
        <f>((ROUNDUP(($C$46*(1-基础属性系数!$C$111)/(C74*I74)-D74)/D74,0)*G74+(ROUNDUP($C$46*(1-基础属性系数!$C$111)/(C74*I74),0)-ROUNDUP(($C$46*(1-基础属性系数!$C$111)/(C74*I74)-D74)/D74,0)-1)*(H74+S74))-L74)/L74</f>
        <v>0.13636363636363627</v>
      </c>
      <c r="U74" s="58">
        <f>((ROUNDUP(($C$49*(1-基础属性系数!$C$111)/(C74*J74)-D74)/D74,0)*G74+(ROUNDUP($C$49*(1-基础属性系数!$C$111)/(C74*J74),0)-ROUNDUP(($C$49*(1-基础属性系数!$C$111)/(C74*J74)-D74)/D74,0)-1)*(H74+S74))-M74)/M74</f>
        <v>9.3749999999999944E-2</v>
      </c>
      <c r="V74" s="58">
        <f>((ROUNDUP(($C$51*(1-基础属性系数!$C$111)/(C74*K74)-D74)/D74,0)*G74+(ROUNDUP($C$51*(1-基础属性系数!$C$111)/(C74*K74),0)-ROUNDUP(($C$51*(1-基础属性系数!$C$111)/(C74*K74)-D74)/D74,0)-1)*(H74+S74))-N74)/N74</f>
        <v>0.11111111111111108</v>
      </c>
      <c r="W74" s="40">
        <f t="shared" si="75"/>
        <v>0.125</v>
      </c>
      <c r="X74" s="58">
        <f t="shared" si="76"/>
        <v>5.6870791245791197E-2</v>
      </c>
    </row>
    <row r="75" spans="2:26" x14ac:dyDescent="0.35">
      <c r="B75" s="71" t="s">
        <v>243</v>
      </c>
      <c r="C75" s="66">
        <f>ROUND(VLOOKUP(B75,标准坦克设计!$B$39:$H$46,6,FALSE),0)</f>
        <v>148</v>
      </c>
      <c r="D75" s="249">
        <f>VLOOKUP($B75,标准坦克设计!$B$13:$K$20,MATCH(D$70,标准坦克设计!$B$13:$K$13,0),FALSE)</f>
        <v>1</v>
      </c>
      <c r="E75" s="249">
        <f>VLOOKUP($B75,标准坦克设计!$B$13:$K$20,MATCH(E$70,标准坦克设计!$B$13:$K$13,0),FALSE)</f>
        <v>4.5</v>
      </c>
      <c r="F75" s="249">
        <f>VLOOKUP($B75,标准坦克设计!$B$13:$K$20,MATCH(F$70,标准坦克设计!$B$13:$K$13,0),FALSE)</f>
        <v>4.5</v>
      </c>
      <c r="G75" s="249">
        <f>VLOOKUP($B75,标准坦克设计!$B$13:$K$20,MATCH(G$70,标准坦克设计!$B$13:$K$13,0),FALSE)</f>
        <v>0</v>
      </c>
      <c r="H75" s="249">
        <f>VLOOKUP($B75,标准坦克设计!$B$13:$K$20,MATCH(H$70,标准坦克设计!$B$13:$K$13,0),FALSE)</f>
        <v>0</v>
      </c>
      <c r="I75" s="40">
        <f>标准坦克设计!R28</f>
        <v>1.2222060892216464</v>
      </c>
      <c r="J75" s="40">
        <f>标准坦克设计!S28</f>
        <v>1.1227301312208231</v>
      </c>
      <c r="K75" s="40">
        <f>标准坦克设计!T28</f>
        <v>1.0453536195649349</v>
      </c>
      <c r="L75" s="66">
        <f>(ROUNDUP($C$46*(1-基础属性系数!$C$111)/(C75*I75),0)-D75)*F75+(D75-1)*H75</f>
        <v>9</v>
      </c>
      <c r="M75" s="66">
        <f>(ROUNDUP($C$49*(1-基础属性系数!$C$111)/(C75*J75),0)-D75)*F75+(D75-1)*H75</f>
        <v>13.5</v>
      </c>
      <c r="N75" s="66">
        <f>(ROUNDUP($C$51*(1-基础属性系数!$C$111)/(C75*K75),0)-D75)*F75+(D75-1)*H75</f>
        <v>13.5</v>
      </c>
      <c r="O75" s="53">
        <v>0.1</v>
      </c>
      <c r="P75" s="58">
        <f>(((ROUNDUP($C$46*(1-基础属性系数!$C$111)/(C75*I75),0)-D75)*F75+(D75-1)*(H75+$O75))-L75)/L75</f>
        <v>0</v>
      </c>
      <c r="Q75" s="58">
        <f>(((ROUNDUP($C$49*(1-基础属性系数!$C$111)/(C75*J75),0)-D75)*F75+(D75-1)*(H75+$O75))-M75)/M75</f>
        <v>0</v>
      </c>
      <c r="R75" s="58">
        <f>(((ROUNDUP($C$51*(1-基础属性系数!$C$111)/(C75*K75),0)-D75)*F75+(D75-1)*(H75+$O75))-N75)/N75</f>
        <v>0</v>
      </c>
      <c r="S75" s="53">
        <v>0.2</v>
      </c>
      <c r="T75" s="58">
        <f>(((ROUNDUP($C$46*(1-基础属性系数!$C$111)/(C75*I75),0)-D75)*F75+(D75-1)*(H75+$S75))-L75)/L75</f>
        <v>0</v>
      </c>
      <c r="U75" s="58">
        <f>(((ROUNDUP($C$49*(1-基础属性系数!$C$111)/(C75*J75),0)-D75)*F75+(D75-1)*(H75+$S75))-M75)/M75</f>
        <v>0</v>
      </c>
      <c r="V75" s="58">
        <f>(((ROUNDUP($C$51*(1-基础属性系数!$C$111)/(C75*K75),0)-D75)*F75+(D75-1)*(H75+$S75))-N75)/N75</f>
        <v>0</v>
      </c>
      <c r="W75" s="40">
        <f t="shared" si="75"/>
        <v>0</v>
      </c>
      <c r="X75" s="58">
        <f t="shared" si="76"/>
        <v>0</v>
      </c>
    </row>
    <row r="76" spans="2:26" x14ac:dyDescent="0.35">
      <c r="B76" s="67" t="s">
        <v>409</v>
      </c>
      <c r="C76" s="66">
        <f>ROUND(VLOOKUP(B76,标准坦克设计!$B$39:$H$46,6,FALSE),0)</f>
        <v>148</v>
      </c>
      <c r="D76" s="249">
        <f>VLOOKUP($B76,标准坦克设计!$B$13:$K$20,MATCH(D$70,标准坦克设计!$B$13:$K$13,0),FALSE)</f>
        <v>2</v>
      </c>
      <c r="E76" s="249">
        <f>VLOOKUP($B76,标准坦克设计!$B$13:$K$20,MATCH(E$70,标准坦克设计!$B$13:$K$13,0),FALSE)</f>
        <v>4.5</v>
      </c>
      <c r="F76" s="249">
        <f>VLOOKUP($B76,标准坦克设计!$B$13:$K$20,MATCH(F$70,标准坦克设计!$B$13:$K$13,0),FALSE)</f>
        <v>4.5</v>
      </c>
      <c r="G76" s="249">
        <f>VLOOKUP($B76,标准坦克设计!$B$13:$K$20,MATCH(G$70,标准坦克设计!$B$13:$K$13,0),FALSE)</f>
        <v>0</v>
      </c>
      <c r="H76" s="249">
        <f>VLOOKUP($B76,标准坦克设计!$B$13:$K$20,MATCH(H$70,标准坦克设计!$B$13:$K$13,0),FALSE)</f>
        <v>1.8</v>
      </c>
      <c r="I76" s="40">
        <f>标准坦克设计!R29</f>
        <v>1.1459968758143133</v>
      </c>
      <c r="J76" s="40">
        <f>标准坦克设计!S29</f>
        <v>1.0516698645678548</v>
      </c>
      <c r="K76" s="40">
        <f>标准坦克设计!T29</f>
        <v>0.9825426585192979</v>
      </c>
      <c r="L76" s="66">
        <f>(ROUNDUP($C$46*(1-基础属性系数!$C$111)/(C76*I76),0)-D76)*F76+(D76-1)*H76</f>
        <v>6.3</v>
      </c>
      <c r="M76" s="66">
        <f>(ROUNDUP($C$49*(1-基础属性系数!$C$111)/(C76*J76),0)-D76)*F76+(D76-1)*H76</f>
        <v>10.8</v>
      </c>
      <c r="N76" s="66">
        <f>(ROUNDUP($C$51*(1-基础属性系数!$C$111)/(C76*K76),0)-D76)*F76+(D76-1)*H76</f>
        <v>10.8</v>
      </c>
      <c r="O76" s="53">
        <v>0.1</v>
      </c>
      <c r="P76" s="58">
        <f>(((ROUNDUP($C$46*(1-基础属性系数!$C$111)/(C76*I76),0)-D76)*F76+(D76-1)*(H76+$O76))-L76)/L76</f>
        <v>1.5873015873015959E-2</v>
      </c>
      <c r="Q76" s="58">
        <f>(((ROUNDUP($C$49*(1-基础属性系数!$C$111)/(C76*J76),0)-D76)*F76+(D76-1)*(H76+$O76))-M76)/M76</f>
        <v>9.2592592592592258E-3</v>
      </c>
      <c r="R76" s="58">
        <f>(((ROUNDUP($C$51*(1-基础属性系数!$C$111)/(C76*K76),0)-D76)*F76+(D76-1)*(H76+$O76))-N76)/N76</f>
        <v>9.2592592592592258E-3</v>
      </c>
      <c r="S76" s="53">
        <v>0.2</v>
      </c>
      <c r="T76" s="58">
        <f>(((ROUNDUP($C$46*(1-基础属性系数!$C$111)/(C76*I76),0)-D76)*F76+(D76-1)*(H76+$S76))-L76)/L76</f>
        <v>3.1746031746031772E-2</v>
      </c>
      <c r="U76" s="58">
        <f>(((ROUNDUP($C$49*(1-基础属性系数!$C$111)/(C76*J76),0)-D76)*F76+(D76-1)*(H76+$S76))-M76)/M76</f>
        <v>1.8518518518518452E-2</v>
      </c>
      <c r="V76" s="58">
        <f>(((ROUNDUP($C$51*(1-基础属性系数!$C$111)/(C76*K76),0)-D76)*F76+(D76-1)*(H76+$S76))-N76)/N76</f>
        <v>1.8518518518518452E-2</v>
      </c>
      <c r="W76" s="40">
        <f t="shared" si="75"/>
        <v>5.5555555555555559E-2</v>
      </c>
      <c r="X76" s="58">
        <f t="shared" si="76"/>
        <v>1.146384479717813E-2</v>
      </c>
    </row>
    <row r="77" spans="2:26" x14ac:dyDescent="0.35">
      <c r="B77" s="71" t="s">
        <v>245</v>
      </c>
      <c r="C77" s="66">
        <f>ROUND(VLOOKUP(B77,标准坦克设计!$B$39:$H$46,6,FALSE),0)</f>
        <v>196</v>
      </c>
      <c r="D77" s="249">
        <f>VLOOKUP($B77,标准坦克设计!$B$13:$K$20,MATCH(D$70,标准坦克设计!$B$13:$K$13,0),FALSE)</f>
        <v>1</v>
      </c>
      <c r="E77" s="249">
        <f>VLOOKUP($B77,标准坦克设计!$B$13:$K$20,MATCH(E$70,标准坦克设计!$B$13:$K$13,0),FALSE)</f>
        <v>6</v>
      </c>
      <c r="F77" s="249">
        <f>VLOOKUP($B77,标准坦克设计!$B$13:$K$20,MATCH(F$70,标准坦克设计!$B$13:$K$13,0),FALSE)</f>
        <v>6</v>
      </c>
      <c r="G77" s="249">
        <f>VLOOKUP($B77,标准坦克设计!$B$13:$K$20,MATCH(G$70,标准坦克设计!$B$13:$K$13,0),FALSE)</f>
        <v>0</v>
      </c>
      <c r="H77" s="249">
        <f>VLOOKUP($B77,标准坦克设计!$B$13:$K$20,MATCH(H$70,标准坦克设计!$B$13:$K$13,0),FALSE)</f>
        <v>0</v>
      </c>
      <c r="I77" s="40">
        <f>标准坦克设计!R30</f>
        <v>1.200815180917121</v>
      </c>
      <c r="J77" s="40">
        <f>标准坦克设计!S30</f>
        <v>1.1048160537885594</v>
      </c>
      <c r="K77" s="40">
        <f>标准坦克设计!T30</f>
        <v>1.0312455448628888</v>
      </c>
      <c r="L77" s="66">
        <f>(ROUNDUP($C$46*(1-基础属性系数!$C$111)/(C77*I77),0)-D77)*F77+(D77-1)*H77</f>
        <v>12</v>
      </c>
      <c r="M77" s="66">
        <f>(ROUNDUP($C$49*(1-基础属性系数!$C$111)/(C77*J77),0)-D77)*F77+(D77-1)*H77</f>
        <v>12</v>
      </c>
      <c r="N77" s="66">
        <f>(ROUNDUP($C$51*(1-基础属性系数!$C$111)/(C77*K77),0)-D77)*F77+(D77-1)*H77</f>
        <v>12</v>
      </c>
      <c r="O77" s="53">
        <v>0.1</v>
      </c>
      <c r="P77" s="58">
        <f>(((ROUNDUP($C$46*(1-基础属性系数!$C$111)/(C77*I77),0)-D77)*F77+(D77-1)*(H77+$O77))-L77)/L77</f>
        <v>0</v>
      </c>
      <c r="Q77" s="58">
        <f>(((ROUNDUP($C$49*(1-基础属性系数!$C$111)/(C77*J77),0)-D77)*F77+(D77-1)*(H77+$O77))-M77)/M77</f>
        <v>0</v>
      </c>
      <c r="R77" s="58">
        <f>(((ROUNDUP($C$51*(1-基础属性系数!$C$111)/(C77*K77),0)-D77)*F77+(D77-1)*(H77+$O77))-N77)/N77</f>
        <v>0</v>
      </c>
      <c r="S77" s="53">
        <v>0.2</v>
      </c>
      <c r="T77" s="58">
        <f>(((ROUNDUP($C$46*(1-基础属性系数!$C$111)/(C77*I77),0)-D77)*F77+(D77-1)*(H77+$S77))-L77)/L77</f>
        <v>0</v>
      </c>
      <c r="U77" s="58">
        <f>(((ROUNDUP($C$49*(1-基础属性系数!$C$111)/(C77*J77),0)-D77)*F77+(D77-1)*(H77+$S77))-M77)/M77</f>
        <v>0</v>
      </c>
      <c r="V77" s="58">
        <f>(((ROUNDUP($C$51*(1-基础属性系数!$C$111)/(C77*K77),0)-D77)*F77+(D77-1)*(H77+$S77))-N77)/N77</f>
        <v>0</v>
      </c>
      <c r="W77" s="40">
        <f t="shared" si="75"/>
        <v>0</v>
      </c>
      <c r="X77" s="58">
        <f t="shared" si="76"/>
        <v>0</v>
      </c>
    </row>
    <row r="78" spans="2:26" x14ac:dyDescent="0.35">
      <c r="B78" s="31"/>
      <c r="C78" s="55"/>
    </row>
    <row r="79" spans="2:26" x14ac:dyDescent="0.35">
      <c r="B79" s="809" t="s">
        <v>487</v>
      </c>
      <c r="C79" s="809"/>
      <c r="D79" s="809"/>
      <c r="E79" s="809"/>
      <c r="F79" s="809"/>
      <c r="G79" s="809"/>
      <c r="H79" s="809"/>
      <c r="I79" s="809"/>
      <c r="J79" s="809"/>
      <c r="K79" s="809"/>
      <c r="L79" s="809"/>
      <c r="M79" s="809"/>
      <c r="N79" s="809"/>
      <c r="O79" s="809"/>
      <c r="P79" s="809"/>
      <c r="Q79" s="809"/>
      <c r="R79" s="809"/>
      <c r="S79" s="809"/>
      <c r="T79" s="809"/>
      <c r="U79" s="809"/>
      <c r="V79" s="809"/>
      <c r="W79" s="809"/>
      <c r="X79" s="809"/>
      <c r="Y79" s="79"/>
    </row>
    <row r="80" spans="2:26" x14ac:dyDescent="0.35">
      <c r="B80" s="67" t="s">
        <v>4</v>
      </c>
      <c r="C80" s="63" t="s">
        <v>401</v>
      </c>
      <c r="D80" s="65" t="s">
        <v>46</v>
      </c>
      <c r="E80" s="63" t="s">
        <v>403</v>
      </c>
      <c r="F80" s="65" t="s">
        <v>33</v>
      </c>
      <c r="G80" s="65" t="s">
        <v>49</v>
      </c>
      <c r="H80" s="65" t="s">
        <v>50</v>
      </c>
      <c r="I80" s="70" t="s">
        <v>450</v>
      </c>
      <c r="J80" s="70" t="s">
        <v>451</v>
      </c>
      <c r="K80" s="70" t="s">
        <v>452</v>
      </c>
      <c r="L80" s="63" t="s">
        <v>453</v>
      </c>
      <c r="M80" s="63" t="s">
        <v>454</v>
      </c>
      <c r="N80" s="63" t="s">
        <v>455</v>
      </c>
      <c r="O80" s="71" t="s">
        <v>458</v>
      </c>
      <c r="P80" s="71" t="s">
        <v>463</v>
      </c>
      <c r="Q80" s="71" t="s">
        <v>464</v>
      </c>
      <c r="R80" s="71" t="s">
        <v>465</v>
      </c>
      <c r="S80" s="71" t="s">
        <v>459</v>
      </c>
      <c r="T80" s="71" t="s">
        <v>466</v>
      </c>
      <c r="U80" s="71" t="s">
        <v>467</v>
      </c>
      <c r="V80" s="71" t="s">
        <v>468</v>
      </c>
      <c r="W80" s="71" t="s">
        <v>470</v>
      </c>
      <c r="X80" s="71" t="s">
        <v>469</v>
      </c>
      <c r="Z80" s="59"/>
    </row>
    <row r="81" spans="2:29" x14ac:dyDescent="0.35">
      <c r="B81" s="67" t="s">
        <v>408</v>
      </c>
      <c r="C81" s="66">
        <f>ROUND(VLOOKUP(B81,标准坦克设计!$B$39:$H$46,6,FALSE),0)</f>
        <v>48</v>
      </c>
      <c r="D81" s="69">
        <f>VLOOKUP($B81,标准坦克设计!$B$13:$K$20,MATCH(D$80,标准坦克设计!$B$13:$K$13,0),FALSE)</f>
        <v>6</v>
      </c>
      <c r="E81" s="249">
        <f>VLOOKUP($B81,标准坦克设计!$B$13:$K$20,MATCH(E$80,标准坦克设计!$B$13:$K$13,0),FALSE)</f>
        <v>1.4</v>
      </c>
      <c r="F81" s="249">
        <f>VLOOKUP($B81,标准坦克设计!$B$13:$K$20,MATCH(F$80,标准坦克设计!$B$13:$K$13,0),FALSE)</f>
        <v>1.4</v>
      </c>
      <c r="G81" s="249">
        <f>VLOOKUP($B81,标准坦克设计!$B$13:$K$20,MATCH(G$80,标准坦克设计!$B$13:$K$13,0),FALSE)</f>
        <v>0</v>
      </c>
      <c r="H81" s="249">
        <f>VLOOKUP($B81,标准坦克设计!$B$13:$K$20,MATCH(H$80,标准坦克设计!$B$13:$K$13,0),FALSE)</f>
        <v>0.4</v>
      </c>
      <c r="I81" s="40">
        <f>标准坦克设计!R24</f>
        <v>1.1624660828309641</v>
      </c>
      <c r="J81" s="40">
        <f>标准坦克设计!S24</f>
        <v>1.0612427349438089</v>
      </c>
      <c r="K81" s="40">
        <f>标准坦克设计!T24</f>
        <v>0.96438010756893333</v>
      </c>
      <c r="L81" s="66">
        <f>(ROUNDUP($C$46*(1-基础属性系数!$C$111)/(C81*I81),0)-D81)*F81+(D81-1)*H81</f>
        <v>6.1999999999999993</v>
      </c>
      <c r="M81" s="66">
        <f>(ROUNDUP($C$49*(1-基础属性系数!$C$111)/(C81*J81),0)-D81)*F81+(D81-1)*H81</f>
        <v>9</v>
      </c>
      <c r="N81" s="66">
        <f>(ROUNDUP($C$51*(1-基础属性系数!$C$111)/(C81*K81),0)-D81)*F81+(D81-1)*H81</f>
        <v>11.799999999999999</v>
      </c>
      <c r="O81" s="53">
        <v>0.1</v>
      </c>
      <c r="P81" s="58">
        <f>(L81-((ROUNDUP($C$46*(1-基础属性系数!$C$111)/(C81*I81),0)-D81)*(F81-$O81)+(D81-1)*H81))/L81</f>
        <v>4.8387096774193526E-2</v>
      </c>
      <c r="Q81" s="58">
        <f>(M81-((ROUNDUP($C$49*(1-基础属性系数!$C$111)/(C81*J81),0)-D81)*(F81-$O81)+(D81-1)*H81))/M81</f>
        <v>5.5555555555555552E-2</v>
      </c>
      <c r="R81" s="58">
        <f>(N81-((ROUNDUP($C$51*(1-基础属性系数!$C$111)/(C81*K81),0)-D81)*(F81-$O81)+(D81-1)*H81))/N81</f>
        <v>5.9322033898305183E-2</v>
      </c>
      <c r="S81" s="53">
        <v>1</v>
      </c>
      <c r="T81" s="58">
        <f>(L81-((ROUNDUP($C$46*(1-基础属性系数!$C$111)/(C81*I81),0)-D81)*(F81-$S81)+(D81-1)*H81))/L81</f>
        <v>0.48387096774193544</v>
      </c>
      <c r="U81" s="58">
        <f>(M81-((ROUNDUP($C$49*(1-基础属性系数!$C$111)/(C81*J81),0)-D81)*(F81-$S81)+(D81-1)*H81))/M81</f>
        <v>0.55555555555555558</v>
      </c>
      <c r="V81" s="58">
        <f>(N81-((ROUNDUP($C$51*(1-基础属性系数!$C$111)/(C81*K81),0)-D81)*(F81-$S81)+(D81-1)*H81))/N81</f>
        <v>0.59322033898305093</v>
      </c>
      <c r="W81" s="40">
        <f>S81/F81</f>
        <v>0.7142857142857143</v>
      </c>
      <c r="X81" s="58">
        <f t="shared" ref="X81:X87" si="77">AVERAGE(T81:V81)</f>
        <v>0.5442156207601806</v>
      </c>
      <c r="Z81" s="59"/>
    </row>
    <row r="82" spans="2:29" x14ac:dyDescent="0.35">
      <c r="B82" s="67" t="s">
        <v>392</v>
      </c>
      <c r="C82" s="66">
        <f>ROUND(VLOOKUP(B82,标准坦克设计!$B$39:$H$46,6,FALSE),0)</f>
        <v>28</v>
      </c>
      <c r="D82" s="249">
        <f>VLOOKUP($B82,标准坦克设计!$B$13:$K$20,MATCH(D$80,标准坦克设计!$B$13:$K$13,0),FALSE)</f>
        <v>9</v>
      </c>
      <c r="E82" s="249">
        <f>VLOOKUP($B82,标准坦克设计!$B$13:$K$20,MATCH(E$80,标准坦克设计!$B$13:$K$13,0),FALSE)</f>
        <v>0.7</v>
      </c>
      <c r="F82" s="249">
        <f>VLOOKUP($B82,标准坦克设计!$B$13:$K$20,MATCH(F$80,标准坦克设计!$B$13:$K$13,0),FALSE)</f>
        <v>0</v>
      </c>
      <c r="G82" s="249">
        <f>VLOOKUP($B82,标准坦克设计!$B$13:$K$20,MATCH(G$80,标准坦克设计!$B$13:$K$13,0),FALSE)</f>
        <v>6.3</v>
      </c>
      <c r="H82" s="249">
        <f>VLOOKUP($B82,标准坦克设计!$B$13:$K$20,MATCH(H$80,标准坦克设计!$B$13:$K$13,0),FALSE)</f>
        <v>0.2</v>
      </c>
      <c r="I82" s="40">
        <f>标准坦克设计!R25</f>
        <v>1.2165020651744729</v>
      </c>
      <c r="J82" s="40">
        <f>标准坦克设计!S25</f>
        <v>1.1139722603672966</v>
      </c>
      <c r="K82" s="40">
        <f>标准坦克设计!T25</f>
        <v>1.0214393747512491</v>
      </c>
      <c r="L82" s="66">
        <f>ROUNDUP(($C$46*(1-基础属性系数!$C$111)/(C82*I82)-D82)/D82,0)*G82+(ROUNDUP($C$46*(1-基础属性系数!$C$111)/(C82*I82),0)-ROUNDUP(($C$46*(1-基础属性系数!$C$111)/(C82*I82)-D82)/D82,0)-1)*H82</f>
        <v>8.9</v>
      </c>
      <c r="M82" s="66">
        <f>ROUNDUP(($C$49*(1-基础属性系数!$C$111)/(C82*J82)-D82)/D82,0)*G82+(ROUNDUP($C$49*(1-基础属性系数!$C$111)/(C82*J82),0)-ROUNDUP(($C$49*(1-基础属性系数!$C$111)/(C82*J82)-D82)/D82,0)-1)*H82</f>
        <v>9.3000000000000007</v>
      </c>
      <c r="N82" s="66">
        <f>ROUNDUP(($C$51*(1-基础属性系数!$C$111)/(C82*K82)-D82)/D82,0)*G82+(ROUNDUP($C$51*(1-基础属性系数!$C$111)/(C82*K82),0)-ROUNDUP(($C$51*(1-基础属性系数!$C$111)/(C82*K82)-D82)/D82,0)-1)*H82</f>
        <v>16</v>
      </c>
      <c r="O82" s="53">
        <v>0.1</v>
      </c>
      <c r="P82" s="58">
        <f>(L82-(ROUNDUP(($C$46*(1-基础属性系数!$C$111)/(C82*I82)-D82)/D82,0)*(G82-O82)+(ROUNDUP($C$46*(1-基础属性系数!$C$111)/(C82*I82),0)-ROUNDUP(($C$46*(1-基础属性系数!$C$111)/(C82*I82)-D82)/D82,0)-1)*H82))/L82</f>
        <v>1.1235955056179735E-2</v>
      </c>
      <c r="Q82" s="58">
        <f>(M82-(ROUNDUP(($C$49*(1-基础属性系数!$C$111)/(C82*J82)-D82)/D82,0)*(G82-O82)+(ROUNDUP($C$49*(1-基础属性系数!$C$111)/(C82*J82),0)-ROUNDUP(($C$49*(1-基础属性系数!$C$111)/(C82*J82)-D82)/D82,0)-1)*H82))/M82</f>
        <v>1.0752688172043163E-2</v>
      </c>
      <c r="R82" s="58">
        <f>(N82-(ROUNDUP(($C$51*(1-基础属性系数!$C$111)/(C82*K82)-D82)/D82,0)*(G82-O82)+(ROUNDUP($C$51*(1-基础属性系数!$C$111)/(C82*K82),0)-ROUNDUP(($C$51*(1-基础属性系数!$C$111)/(C82*K82)-D82)/D82,0)-1)*H82))/N82</f>
        <v>1.2499999999999956E-2</v>
      </c>
      <c r="S82" s="53">
        <v>1</v>
      </c>
      <c r="T82" s="58">
        <f>(L82-(ROUNDUP(($C$46*(1-基础属性系数!$C$111)/(C82*I82)-D82)/D82,0)*(G82-S82)+(ROUNDUP($C$46*(1-基础属性系数!$C$111)/(C82*I82),0)-ROUNDUP(($C$46*(1-基础属性系数!$C$111)/(C82*I82)-D82)/D82,0)-1)*H82))/L82</f>
        <v>0.11235955056179775</v>
      </c>
      <c r="U82" s="58">
        <f>(M82-(ROUNDUP(($C$49*(1-基础属性系数!$C$111)/(C82*J82)-D82)/D82,0)*(G82-S82)+(ROUNDUP($C$49*(1-基础属性系数!$C$111)/(C82*J82),0)-ROUNDUP(($C$49*(1-基础属性系数!$C$111)/(C82*J82)-D82)/D82,0)-1)*H82))/M82</f>
        <v>0.1075268817204301</v>
      </c>
      <c r="V82" s="58">
        <f>(N82-(ROUNDUP(($C$51*(1-基础属性系数!$C$111)/(C82*K82)-D82)/D82,0)*(G82-S82)+(ROUNDUP($C$51*(1-基础属性系数!$C$111)/(C82*K82),0)-ROUNDUP(($C$51*(1-基础属性系数!$C$111)/(C82*K82)-D82)/D82,0)-1)*H82))/N82</f>
        <v>0.125</v>
      </c>
      <c r="W82" s="40">
        <f>S82/G82</f>
        <v>0.15873015873015872</v>
      </c>
      <c r="X82" s="58">
        <f t="shared" si="77"/>
        <v>0.11496214409407594</v>
      </c>
      <c r="Z82" s="56"/>
    </row>
    <row r="83" spans="2:29" x14ac:dyDescent="0.35">
      <c r="B83" s="77" t="s">
        <v>611</v>
      </c>
      <c r="C83" s="66">
        <f>ROUND(VLOOKUP(B83,标准坦克设计!$B$39:$H$46,6,FALSE),0)</f>
        <v>98</v>
      </c>
      <c r="D83" s="249">
        <f>VLOOKUP($B83,标准坦克设计!$B$13:$K$20,MATCH(D$80,标准坦克设计!$B$13:$K$13,0),FALSE)</f>
        <v>1</v>
      </c>
      <c r="E83" s="249">
        <f>VLOOKUP($B83,标准坦克设计!$B$13:$K$20,MATCH(E$80,标准坦克设计!$B$13:$K$13,0),FALSE)</f>
        <v>3</v>
      </c>
      <c r="F83" s="249">
        <f>VLOOKUP($B83,标准坦克设计!$B$13:$K$20,MATCH(F$80,标准坦克设计!$B$13:$K$13,0),FALSE)</f>
        <v>3</v>
      </c>
      <c r="G83" s="249">
        <f>VLOOKUP($B83,标准坦克设计!$B$13:$K$20,MATCH(G$80,标准坦克设计!$B$13:$K$13,0),FALSE)</f>
        <v>0</v>
      </c>
      <c r="H83" s="249">
        <f>VLOOKUP($B83,标准坦克设计!$B$13:$K$20,MATCH(H$80,标准坦克设计!$B$13:$K$13,0),FALSE)</f>
        <v>0</v>
      </c>
      <c r="I83" s="40">
        <f>标准坦克设计!R26</f>
        <v>1.2686835103464016</v>
      </c>
      <c r="J83" s="40">
        <f>标准坦克设计!S26</f>
        <v>1.1652686383008801</v>
      </c>
      <c r="K83" s="40">
        <f>标准坦克设计!T26</f>
        <v>1.0778954217719583</v>
      </c>
      <c r="L83" s="66">
        <f>(ROUNDUP($C$46*(1-基础属性系数!$C$111)/(C83*I83),0)-D83)*F83+(D83-1)*H83</f>
        <v>9</v>
      </c>
      <c r="M83" s="66">
        <f>(ROUNDUP($C$49*(1-基础属性系数!$C$111)/(C83*J83),0)-D83)*F83+(D83-1)*H83</f>
        <v>12</v>
      </c>
      <c r="N83" s="66">
        <f>(ROUNDUP($C$51*(1-基础属性系数!$C$111)/(C83*K83),0)-D83)*F83+(D83-1)*H83</f>
        <v>15</v>
      </c>
      <c r="O83" s="53">
        <v>0.1</v>
      </c>
      <c r="P83" s="58">
        <f>(L83-((ROUNDUP($C$46*(1-基础属性系数!$C$111)/(C83*I83),0)-D83)*(F83-$O83)+(D83-1)*H83))/L83</f>
        <v>3.3333333333333409E-2</v>
      </c>
      <c r="Q83" s="58">
        <f>(M83-((ROUNDUP($C$49*(1-基础属性系数!$C$111)/(C83*J83),0)-D83)*(F83-$O83)+(D83-1)*H83))/M83</f>
        <v>3.3333333333333361E-2</v>
      </c>
      <c r="R83" s="58">
        <f>(N83-((ROUNDUP($C$51*(1-基础属性系数!$C$111)/(C83*K83),0)-D83)*(F83-$O83)+(D83-1)*H83))/N83</f>
        <v>3.3333333333333333E-2</v>
      </c>
      <c r="S83" s="53">
        <v>1</v>
      </c>
      <c r="T83" s="58">
        <f>(L83-((ROUNDUP($C$46*(1-基础属性系数!$C$111)/(C83*I83),0)-D83)*(F83-$S83)+(D83-1)*H83))/L83</f>
        <v>0.33333333333333331</v>
      </c>
      <c r="U83" s="58">
        <f>(M83-((ROUNDUP($C$49*(1-基础属性系数!$C$111)/(C83*J83),0)-D83)*(F83-$S83)+(D83-1)*H83))/M83</f>
        <v>0.33333333333333331</v>
      </c>
      <c r="V83" s="58">
        <f>(N83-((ROUNDUP($C$51*(1-基础属性系数!$C$111)/(C83*K83),0)-D83)*(F83-$S83)+(D83-1)*H83))/N83</f>
        <v>0.33333333333333331</v>
      </c>
      <c r="W83" s="40">
        <f>S83/F83</f>
        <v>0.33333333333333331</v>
      </c>
      <c r="X83" s="58">
        <f>AVERAGE(T83:V83)</f>
        <v>0.33333333333333331</v>
      </c>
      <c r="Z83" s="56"/>
    </row>
    <row r="84" spans="2:29" x14ac:dyDescent="0.35">
      <c r="B84" s="43" t="s">
        <v>394</v>
      </c>
      <c r="C84" s="44">
        <f>ROUND(VLOOKUP(B84,标准坦克设计!$B$39:$H$46,6,FALSE),0)</f>
        <v>57</v>
      </c>
      <c r="D84" s="249">
        <f>VLOOKUP($B84,标准坦克设计!$B$13:$K$20,MATCH(D$80,标准坦克设计!$B$13:$K$13,0),FALSE)</f>
        <v>4</v>
      </c>
      <c r="E84" s="249">
        <f>VLOOKUP($B84,标准坦克设计!$B$13:$K$20,MATCH(E$80,标准坦克设计!$B$13:$K$13,0),FALSE)</f>
        <v>1</v>
      </c>
      <c r="F84" s="249">
        <f>VLOOKUP($B84,标准坦克设计!$B$13:$K$20,MATCH(F$80,标准坦克设计!$B$13:$K$13,0),FALSE)</f>
        <v>0</v>
      </c>
      <c r="G84" s="249">
        <f>VLOOKUP($B84,标准坦克设计!$B$13:$K$20,MATCH(G$80,标准坦克设计!$B$13:$K$13,0),FALSE)</f>
        <v>4</v>
      </c>
      <c r="H84" s="249">
        <f>VLOOKUP($B84,标准坦克设计!$B$13:$K$20,MATCH(H$80,标准坦克设计!$B$13:$K$13,0),FALSE)</f>
        <v>0.8</v>
      </c>
      <c r="I84" s="40">
        <f>标准坦克设计!R27</f>
        <v>1.141582215449821</v>
      </c>
      <c r="J84" s="40">
        <f>标准坦克设计!S27</f>
        <v>1.044891662895727</v>
      </c>
      <c r="K84" s="40">
        <f>标准坦克设计!T27</f>
        <v>0.97035565748884467</v>
      </c>
      <c r="L84" s="44">
        <f>ROUNDUP(($C$46*(1-基础属性系数!$C$111)/(C84*I84)-D84)/D84,0)*G84+(ROUNDUP($C$46*(1-基础属性系数!$C$111)/(C84*I84),0)-ROUNDUP(($C$46*(1-基础属性系数!$C$111)/(C84*I84)-D84)/D84,0)-1)*H84</f>
        <v>8.8000000000000007</v>
      </c>
      <c r="M84" s="44">
        <f>ROUNDUP(($C$49*(1-基础属性系数!$C$111)/(C84*J84)-D84)/D84,0)*G84+(ROUNDUP($C$49*(1-基础属性系数!$C$111)/(C84*J84),0)-ROUNDUP(($C$49*(1-基础属性系数!$C$111)/(C84*J84)-D84)/D84,0)-1)*H84</f>
        <v>12.8</v>
      </c>
      <c r="N84" s="44">
        <f>ROUNDUP(($C$51*(1-基础属性系数!$C$111)/(C84*K84)-D84)/D84,0)*G84+(ROUNDUP($C$51*(1-基础属性系数!$C$111)/(C84*K84),0)-ROUNDUP(($C$51*(1-基础属性系数!$C$111)/(C84*K84)-D84)/D84,0)-1)*H84</f>
        <v>14.4</v>
      </c>
      <c r="O84" s="53">
        <v>0.1</v>
      </c>
      <c r="P84" s="58">
        <f>(L84-(ROUNDUP(($C$46*(1-基础属性系数!$C$111)/(C84*I84)-D84)/D84,0)*(G84-O84)+(ROUNDUP($C$46*(1-基础属性系数!$C$111)/(C84*I84),0)-ROUNDUP(($C$46*(1-基础属性系数!$C$111)/(C84*I84)-D84)/D84,0)-1)*H84))/L84</f>
        <v>1.1363636363636322E-2</v>
      </c>
      <c r="Q84" s="58">
        <f>(M84-(ROUNDUP(($C$49*(1-基础属性系数!$C$111)/(C84*J84)-D84)/D84,0)*(G84-O84)+(ROUNDUP($C$49*(1-基础属性系数!$C$111)/(C84*J84),0)-ROUNDUP(($C$49*(1-基础属性系数!$C$111)/(C84*J84)-D84)/D84,0)-1)*H84))/M84</f>
        <v>1.5624999999999944E-2</v>
      </c>
      <c r="R84" s="58">
        <f>(N84-(ROUNDUP(($C$51*(1-基础属性系数!$C$111)/(C84*K84)-D84)/D84,0)*(G84-O84)+(ROUNDUP($C$51*(1-基础属性系数!$C$111)/(C84*K84),0)-ROUNDUP(($C$51*(1-基础属性系数!$C$111)/(C84*K84)-D84)/D84,0)-1)*H84))/N84</f>
        <v>1.3888888888888963E-2</v>
      </c>
      <c r="S84" s="53">
        <v>1</v>
      </c>
      <c r="T84" s="58">
        <f>(L84-(ROUNDUP(($C$46*(1-基础属性系数!$C$111)/(C84*I84)-D84)/D84,0)*(G84-S84)+(ROUNDUP($C$46*(1-基础属性系数!$C$111)/(C84*I84),0)-ROUNDUP(($C$46*(1-基础属性系数!$C$111)/(C84*I84)-D84)/D84,0)-1)*H84))/L84</f>
        <v>0.11363636363636363</v>
      </c>
      <c r="U84" s="58">
        <f>(M84-(ROUNDUP(($C$49*(1-基础属性系数!$C$111)/(C84*J84)-D84)/D84,0)*(G84-S84)+(ROUNDUP($C$49*(1-基础属性系数!$C$111)/(C84*J84),0)-ROUNDUP(($C$49*(1-基础属性系数!$C$111)/(C84*J84)-D84)/D84,0)-1)*H84))/M84</f>
        <v>0.15625</v>
      </c>
      <c r="V84" s="58">
        <f>(N84-(ROUNDUP(($C$51*(1-基础属性系数!$C$111)/(C84*K84)-D84)/D84,0)*(G84-S84)+(ROUNDUP($C$51*(1-基础属性系数!$C$111)/(C84*K84),0)-ROUNDUP(($C$51*(1-基础属性系数!$C$111)/(C84*K84)-D84)/D84,0)-1)*H84))/N84</f>
        <v>0.1388888888888889</v>
      </c>
      <c r="W84" s="40">
        <f>S84/G84</f>
        <v>0.25</v>
      </c>
      <c r="X84" s="58">
        <f t="shared" si="77"/>
        <v>0.13625841750841752</v>
      </c>
      <c r="Z84" s="56"/>
    </row>
    <row r="85" spans="2:29" x14ac:dyDescent="0.35">
      <c r="B85" s="57" t="s">
        <v>461</v>
      </c>
      <c r="C85" s="44">
        <f>ROUND(VLOOKUP(B85,标准坦克设计!$B$39:$H$46,6,FALSE),0)</f>
        <v>148</v>
      </c>
      <c r="D85" s="249">
        <f>VLOOKUP($B85,标准坦克设计!$B$13:$K$20,MATCH(D$80,标准坦克设计!$B$13:$K$13,0),FALSE)</f>
        <v>1</v>
      </c>
      <c r="E85" s="249">
        <f>VLOOKUP($B85,标准坦克设计!$B$13:$K$20,MATCH(E$80,标准坦克设计!$B$13:$K$13,0),FALSE)</f>
        <v>4.5</v>
      </c>
      <c r="F85" s="249">
        <f>VLOOKUP($B85,标准坦克设计!$B$13:$K$20,MATCH(F$80,标准坦克设计!$B$13:$K$13,0),FALSE)</f>
        <v>4.5</v>
      </c>
      <c r="G85" s="249">
        <f>VLOOKUP($B85,标准坦克设计!$B$13:$K$20,MATCH(G$80,标准坦克设计!$B$13:$K$13,0),FALSE)</f>
        <v>0</v>
      </c>
      <c r="H85" s="249">
        <f>VLOOKUP($B85,标准坦克设计!$B$13:$K$20,MATCH(H$80,标准坦克设计!$B$13:$K$13,0),FALSE)</f>
        <v>0</v>
      </c>
      <c r="I85" s="40">
        <f>标准坦克设计!R28</f>
        <v>1.2222060892216464</v>
      </c>
      <c r="J85" s="40">
        <f>标准坦克设计!S28</f>
        <v>1.1227301312208231</v>
      </c>
      <c r="K85" s="40">
        <f>标准坦克设计!T28</f>
        <v>1.0453536195649349</v>
      </c>
      <c r="L85" s="44">
        <f>(ROUNDUP($C$46*(1-基础属性系数!$C$111)/(C85*I85),0)-D85)*F85+(D85-1)*H85</f>
        <v>9</v>
      </c>
      <c r="M85" s="44">
        <f>(ROUNDUP($C$49*(1-基础属性系数!$C$111)/(C85*J85),0)-D85)*F85+(D85-1)*H85</f>
        <v>13.5</v>
      </c>
      <c r="N85" s="44">
        <f>(ROUNDUP($C$51*(1-基础属性系数!$C$111)/(C85*K85),0)-D85)*F85+(D85-1)*H85</f>
        <v>13.5</v>
      </c>
      <c r="O85" s="53">
        <v>0.1</v>
      </c>
      <c r="P85" s="58">
        <f>(L85-((ROUNDUP($C$46*(1-基础属性系数!$C$111)/(C85*I85),0)-D85)*(F85-$O85)+(D85-1)*H85))/L85</f>
        <v>2.2222222222222143E-2</v>
      </c>
      <c r="Q85" s="58">
        <f>(M85-((ROUNDUP($C$49*(1-基础属性系数!$C$111)/(C85*J85),0)-D85)*(F85-$O85)+(D85-1)*H85))/M85</f>
        <v>2.2222222222222143E-2</v>
      </c>
      <c r="R85" s="58">
        <f>(N85-((ROUNDUP($C$51*(1-基础属性系数!$C$111)/(C85*K85),0)-D85)*(F85-$O85)+(D85-1)*H85))/N85</f>
        <v>2.2222222222222143E-2</v>
      </c>
      <c r="S85" s="53">
        <v>1</v>
      </c>
      <c r="T85" s="58">
        <f>(L85-((ROUNDUP($C$46*(1-基础属性系数!$C$111)/(C85*I85),0)-D85)*(F85-$S85)+(D85-1)*H85))/L85</f>
        <v>0.22222222222222221</v>
      </c>
      <c r="U85" s="58">
        <f>(M85-((ROUNDUP($C$49*(1-基础属性系数!$C$111)/(C85*J85),0)-D85)*(F85-$S85)+(D85-1)*H85))/M85</f>
        <v>0.22222222222222221</v>
      </c>
      <c r="V85" s="58">
        <f>(N85-((ROUNDUP($C$51*(1-基础属性系数!$C$111)/(C85*K85),0)-D85)*(F85-$S85)+(D85-1)*H85))/N85</f>
        <v>0.22222222222222221</v>
      </c>
      <c r="W85" s="40">
        <f>S85/F85</f>
        <v>0.22222222222222221</v>
      </c>
      <c r="X85" s="58">
        <f t="shared" si="77"/>
        <v>0.22222222222222221</v>
      </c>
      <c r="Z85" s="55"/>
    </row>
    <row r="86" spans="2:29" x14ac:dyDescent="0.35">
      <c r="B86" s="43" t="s">
        <v>409</v>
      </c>
      <c r="C86" s="44">
        <f>ROUND(VLOOKUP(B86,标准坦克设计!$B$39:$H$46,6,FALSE),0)</f>
        <v>148</v>
      </c>
      <c r="D86" s="249">
        <f>VLOOKUP($B86,标准坦克设计!$B$13:$K$20,MATCH(D$80,标准坦克设计!$B$13:$K$13,0),FALSE)</f>
        <v>2</v>
      </c>
      <c r="E86" s="249">
        <f>VLOOKUP($B86,标准坦克设计!$B$13:$K$20,MATCH(E$80,标准坦克设计!$B$13:$K$13,0),FALSE)</f>
        <v>4.5</v>
      </c>
      <c r="F86" s="249">
        <f>VLOOKUP($B86,标准坦克设计!$B$13:$K$20,MATCH(F$80,标准坦克设计!$B$13:$K$13,0),FALSE)</f>
        <v>4.5</v>
      </c>
      <c r="G86" s="249">
        <f>VLOOKUP($B86,标准坦克设计!$B$13:$K$20,MATCH(G$80,标准坦克设计!$B$13:$K$13,0),FALSE)</f>
        <v>0</v>
      </c>
      <c r="H86" s="249">
        <f>VLOOKUP($B86,标准坦克设计!$B$13:$K$20,MATCH(H$80,标准坦克设计!$B$13:$K$13,0),FALSE)</f>
        <v>1.8</v>
      </c>
      <c r="I86" s="40">
        <f>标准坦克设计!R29</f>
        <v>1.1459968758143133</v>
      </c>
      <c r="J86" s="40">
        <f>标准坦克设计!S29</f>
        <v>1.0516698645678548</v>
      </c>
      <c r="K86" s="40">
        <f>标准坦克设计!T29</f>
        <v>0.9825426585192979</v>
      </c>
      <c r="L86" s="44">
        <f>(ROUNDUP($C$46*(1-基础属性系数!$C$111)/(C86*I86),0)-D86)*F86+(D86-1)*H86</f>
        <v>6.3</v>
      </c>
      <c r="M86" s="44">
        <f>(ROUNDUP($C$49*(1-基础属性系数!$C$111)/(C86*J86),0)-D86)*F86+(D86-1)*H86</f>
        <v>10.8</v>
      </c>
      <c r="N86" s="44">
        <f>(ROUNDUP($C$51*(1-基础属性系数!$C$111)/(C86*K86),0)-D86)*F86+(D86-1)*H86</f>
        <v>10.8</v>
      </c>
      <c r="O86" s="53">
        <v>0.1</v>
      </c>
      <c r="P86" s="58">
        <f>(L86-((ROUNDUP($C$46*(1-基础属性系数!$C$111)/(C86*I86),0)-D86)*(F86-$O86)+(D86-1)*H86))/L86</f>
        <v>1.5873015873015817E-2</v>
      </c>
      <c r="Q86" s="58">
        <f>(M86-((ROUNDUP($C$49*(1-基础属性系数!$C$111)/(C86*J86),0)-D86)*(F86-$O86)+(D86-1)*H86))/M86</f>
        <v>1.8518518518518452E-2</v>
      </c>
      <c r="R86" s="58">
        <f>(N86-((ROUNDUP($C$51*(1-基础属性系数!$C$111)/(C86*K86),0)-D86)*(F86-$O86)+(D86-1)*H86))/N86</f>
        <v>1.8518518518518452E-2</v>
      </c>
      <c r="S86" s="53">
        <v>1</v>
      </c>
      <c r="T86" s="58">
        <f>(L86-((ROUNDUP($C$46*(1-基础属性系数!$C$111)/(C86*I86),0)-D86)*(F86-$S86)+(D86-1)*H86))/L86</f>
        <v>0.15873015873015872</v>
      </c>
      <c r="U86" s="58">
        <f>(M86-((ROUNDUP($C$49*(1-基础属性系数!$C$111)/(C86*J86),0)-D86)*(F86-$S86)+(D86-1)*H86))/M86</f>
        <v>0.18518518518518517</v>
      </c>
      <c r="V86" s="58">
        <f>(N86-((ROUNDUP($C$51*(1-基础属性系数!$C$111)/(C86*K86),0)-D86)*(F86-$S86)+(D86-1)*H86))/N86</f>
        <v>0.18518518518518517</v>
      </c>
      <c r="W86" s="40">
        <f>S86/F86</f>
        <v>0.22222222222222221</v>
      </c>
      <c r="X86" s="58">
        <f t="shared" si="77"/>
        <v>0.17636684303350969</v>
      </c>
      <c r="Z86" s="56"/>
    </row>
    <row r="87" spans="2:29" x14ac:dyDescent="0.35">
      <c r="B87" s="57" t="s">
        <v>462</v>
      </c>
      <c r="C87" s="44">
        <f>ROUND(VLOOKUP(B87,标准坦克设计!$B$39:$H$46,6,FALSE),0)</f>
        <v>196</v>
      </c>
      <c r="D87" s="249">
        <f>VLOOKUP($B87,标准坦克设计!$B$13:$K$20,MATCH(D$80,标准坦克设计!$B$13:$K$13,0),FALSE)</f>
        <v>1</v>
      </c>
      <c r="E87" s="249">
        <f>VLOOKUP($B87,标准坦克设计!$B$13:$K$20,MATCH(E$80,标准坦克设计!$B$13:$K$13,0),FALSE)</f>
        <v>6</v>
      </c>
      <c r="F87" s="249">
        <f>VLOOKUP($B87,标准坦克设计!$B$13:$K$20,MATCH(F$80,标准坦克设计!$B$13:$K$13,0),FALSE)</f>
        <v>6</v>
      </c>
      <c r="G87" s="249">
        <f>VLOOKUP($B87,标准坦克设计!$B$13:$K$20,MATCH(G$80,标准坦克设计!$B$13:$K$13,0),FALSE)</f>
        <v>0</v>
      </c>
      <c r="H87" s="249">
        <f>VLOOKUP($B87,标准坦克设计!$B$13:$K$20,MATCH(H$80,标准坦克设计!$B$13:$K$13,0),FALSE)</f>
        <v>0</v>
      </c>
      <c r="I87" s="40">
        <f>标准坦克设计!R30</f>
        <v>1.200815180917121</v>
      </c>
      <c r="J87" s="40">
        <f>标准坦克设计!S30</f>
        <v>1.1048160537885594</v>
      </c>
      <c r="K87" s="40">
        <f>标准坦克设计!T30</f>
        <v>1.0312455448628888</v>
      </c>
      <c r="L87" s="44">
        <f>(ROUNDUP($C$46*(1-基础属性系数!$C$111)/(C87*I87),0)-D87)*F87+(D87-1)*H87</f>
        <v>12</v>
      </c>
      <c r="M87" s="44">
        <f>(ROUNDUP($C$49*(1-基础属性系数!$C$111)/(C87*J87),0)-D87)*F87+(D87-1)*H87</f>
        <v>12</v>
      </c>
      <c r="N87" s="44">
        <f>(ROUNDUP($C$51*(1-基础属性系数!$C$111)/(C87*K87),0)-D87)*F87+(D87-1)*H87</f>
        <v>12</v>
      </c>
      <c r="O87" s="53">
        <v>0.1</v>
      </c>
      <c r="P87" s="58">
        <f>(L87-((ROUNDUP($C$46*(1-基础属性系数!$C$111)/(C87*I87),0)-D87)*(F87-$O87)+(D87-1)*H87))/L87</f>
        <v>1.6666666666666607E-2</v>
      </c>
      <c r="Q87" s="58">
        <f>(M87-((ROUNDUP($C$49*(1-基础属性系数!$C$111)/(C87*J87),0)-D87)*(F87-$O87)+(D87-1)*H87))/M87</f>
        <v>1.6666666666666607E-2</v>
      </c>
      <c r="R87" s="58">
        <f>(N87-((ROUNDUP($C$51*(1-基础属性系数!$C$111)/(C87*K87),0)-D87)*(F87-$O87)+(D87-1)*H87))/N87</f>
        <v>1.6666666666666607E-2</v>
      </c>
      <c r="S87" s="53">
        <v>1</v>
      </c>
      <c r="T87" s="58">
        <f>(L87-((ROUNDUP($C$46*(1-基础属性系数!$C$111)/(C87*I87),0)-D87)*(F87-$S87)+(D87-1)*H87))/L87</f>
        <v>0.16666666666666666</v>
      </c>
      <c r="U87" s="58">
        <f>(M87-((ROUNDUP($C$49*(1-基础属性系数!$C$111)/(C87*J87),0)-D87)*(F87-$S87)+(D87-1)*H87))/M87</f>
        <v>0.16666666666666666</v>
      </c>
      <c r="V87" s="58">
        <f>(N87-((ROUNDUP($C$51*(1-基础属性系数!$C$111)/(C87*K87),0)-D87)*(F87-$S87)+(D87-1)*H87))/N87</f>
        <v>0.16666666666666666</v>
      </c>
      <c r="W87" s="40">
        <f>S87/F87</f>
        <v>0.16666666666666666</v>
      </c>
      <c r="X87" s="58">
        <f t="shared" si="77"/>
        <v>0.16666666666666666</v>
      </c>
      <c r="Z87" s="55"/>
    </row>
    <row r="88" spans="2:29" x14ac:dyDescent="0.35">
      <c r="B88" s="59"/>
      <c r="C88" s="55"/>
    </row>
    <row r="89" spans="2:29" x14ac:dyDescent="0.35">
      <c r="B89" s="809" t="s">
        <v>488</v>
      </c>
      <c r="C89" s="809"/>
      <c r="D89" s="809"/>
      <c r="E89" s="809"/>
      <c r="F89" s="809"/>
      <c r="G89" s="809"/>
      <c r="H89" s="809"/>
      <c r="I89" s="809"/>
      <c r="J89" s="809"/>
      <c r="K89" s="809"/>
      <c r="L89" s="809"/>
      <c r="M89" s="809"/>
      <c r="N89" s="809"/>
      <c r="O89" s="809"/>
      <c r="P89" s="809"/>
      <c r="Q89" s="809"/>
      <c r="R89" s="809"/>
      <c r="S89" s="809"/>
      <c r="T89" s="809"/>
      <c r="U89" s="809"/>
      <c r="V89" s="809"/>
      <c r="W89" s="809"/>
      <c r="X89" s="809"/>
      <c r="Y89" s="809"/>
    </row>
    <row r="90" spans="2:29" x14ac:dyDescent="0.35">
      <c r="B90" s="67" t="s">
        <v>4</v>
      </c>
      <c r="C90" s="65" t="s">
        <v>46</v>
      </c>
      <c r="D90" s="67" t="s">
        <v>403</v>
      </c>
      <c r="E90" s="65" t="s">
        <v>33</v>
      </c>
      <c r="F90" s="65" t="s">
        <v>49</v>
      </c>
      <c r="G90" s="65" t="s">
        <v>50</v>
      </c>
      <c r="H90" s="493" t="s">
        <v>240</v>
      </c>
      <c r="I90" s="66" t="s">
        <v>215</v>
      </c>
      <c r="J90" s="68" t="s">
        <v>241</v>
      </c>
      <c r="K90" s="68" t="s">
        <v>17</v>
      </c>
      <c r="L90" s="66" t="s">
        <v>414</v>
      </c>
      <c r="M90" s="71" t="s">
        <v>471</v>
      </c>
      <c r="N90" s="71" t="s">
        <v>472</v>
      </c>
      <c r="O90" s="71" t="s">
        <v>473</v>
      </c>
      <c r="P90" s="71" t="s">
        <v>474</v>
      </c>
      <c r="Q90" s="71" t="s">
        <v>475</v>
      </c>
      <c r="R90" s="71" t="s">
        <v>476</v>
      </c>
      <c r="S90" s="71" t="s">
        <v>477</v>
      </c>
      <c r="T90" s="71" t="s">
        <v>478</v>
      </c>
      <c r="U90" s="71" t="s">
        <v>479</v>
      </c>
      <c r="V90" s="71" t="s">
        <v>480</v>
      </c>
      <c r="W90" s="71" t="s">
        <v>460</v>
      </c>
      <c r="X90" s="71" t="s">
        <v>481</v>
      </c>
      <c r="Y90" s="71" t="s">
        <v>485</v>
      </c>
    </row>
    <row r="91" spans="2:29" x14ac:dyDescent="0.35">
      <c r="B91" s="67" t="s">
        <v>408</v>
      </c>
      <c r="C91" s="249">
        <f>VLOOKUP($B91,标准坦克设计!$B$13:$K$20,MATCH(C$90,标准坦克设计!$B$13:$K$13,0),FALSE)</f>
        <v>6</v>
      </c>
      <c r="D91" s="249">
        <f>VLOOKUP($B91,标准坦克设计!$B$13:$K$20,MATCH(D$90,标准坦克设计!$B$13:$K$13,0),FALSE)</f>
        <v>1.4</v>
      </c>
      <c r="E91" s="249">
        <f>VLOOKUP($B91,标准坦克设计!$B$13:$K$20,MATCH(E$90,标准坦克设计!$B$13:$K$13,0),FALSE)</f>
        <v>1.4</v>
      </c>
      <c r="F91" s="249">
        <f>VLOOKUP($B91,标准坦克设计!$B$13:$K$20,MATCH(F$90,标准坦克设计!$B$13:$K$13,0),FALSE)</f>
        <v>0</v>
      </c>
      <c r="G91" s="249">
        <f>VLOOKUP($B91,标准坦克设计!$B$13:$K$20,MATCH(G$90,标准坦克设计!$B$13:$K$13,0),FALSE)</f>
        <v>0.4</v>
      </c>
      <c r="H91" s="474">
        <f>VLOOKUP($B91,坦克类型系数!$AQ$3:$AX$10,MATCH(H$90,坦克类型系数!$AQ$3:$AX$3,0),FALSE)</f>
        <v>2</v>
      </c>
      <c r="I91" s="64">
        <f>VLOOKUP(B91,坦克类型系数!$AM$3:$AO$10,2,FALSE)</f>
        <v>0.2</v>
      </c>
      <c r="J91" s="64">
        <f>VLOOKUP($B91,坦克类型系数!$AQ$3:$AX$10,MATCH(J$90,坦克类型系数!$AQ$3:$AX$3,0),FALSE)</f>
        <v>1.08</v>
      </c>
      <c r="K91" s="474">
        <f>VLOOKUP($B91,坦克类型系数!$AQ$3:$AX$10,MATCH(K$90,坦克类型系数!$AQ$3:$AX$3,0),FALSE)</f>
        <v>1.2</v>
      </c>
      <c r="L91" s="64">
        <f>(G91-I91)*(H91-1)</f>
        <v>0.2</v>
      </c>
      <c r="M91" s="28">
        <f>J91*H91/K91-L91+I91</f>
        <v>1.8000000000000003</v>
      </c>
      <c r="N91" s="40">
        <f>M91+G91*(H91-1)</f>
        <v>2.2000000000000002</v>
      </c>
      <c r="O91" s="28">
        <f>J91/K91</f>
        <v>0.90000000000000013</v>
      </c>
      <c r="P91" s="8">
        <v>0.1</v>
      </c>
      <c r="Q91" s="40">
        <f>J91/(O91*(1-P91))</f>
        <v>1.3333333333333333</v>
      </c>
      <c r="R91" s="40">
        <f>J91*H91/Q91-L91+I91+G91*(H91-1)</f>
        <v>2.02</v>
      </c>
      <c r="S91" s="40">
        <f>(N91-R91)/N91</f>
        <v>8.1818181818181887E-2</v>
      </c>
      <c r="T91" s="8">
        <v>0.5</v>
      </c>
      <c r="U91" s="40">
        <f>J91/(O91*(1-T91))</f>
        <v>2.4</v>
      </c>
      <c r="V91" s="40">
        <f>J91*H91/U91-L91+I91+G91*(H91-1)</f>
        <v>1.3000000000000003</v>
      </c>
      <c r="W91" s="40">
        <f>(N91-V91)/R91</f>
        <v>0.4455445544554455</v>
      </c>
      <c r="X91" s="71" t="s">
        <v>482</v>
      </c>
      <c r="Y91" s="40">
        <f>W91/T91</f>
        <v>0.89108910891089099</v>
      </c>
      <c r="Z91" s="55"/>
    </row>
    <row r="92" spans="2:29" x14ac:dyDescent="0.35">
      <c r="B92" s="43" t="s">
        <v>392</v>
      </c>
      <c r="C92" s="249">
        <f>VLOOKUP($B92,标准坦克设计!$B$13:$K$20,MATCH(C$90,标准坦克设计!$B$13:$K$13,0),FALSE)</f>
        <v>9</v>
      </c>
      <c r="D92" s="249">
        <f>VLOOKUP($B92,标准坦克设计!$B$13:$K$20,MATCH(D$90,标准坦克设计!$B$13:$K$13,0),FALSE)</f>
        <v>0.7</v>
      </c>
      <c r="E92" s="249">
        <f>VLOOKUP($B92,标准坦克设计!$B$13:$K$20,MATCH(E$90,标准坦克设计!$B$13:$K$13,0),FALSE)</f>
        <v>0</v>
      </c>
      <c r="F92" s="249">
        <f>VLOOKUP($B92,标准坦克设计!$B$13:$K$20,MATCH(F$90,标准坦克设计!$B$13:$K$13,0),FALSE)</f>
        <v>6.3</v>
      </c>
      <c r="G92" s="249">
        <f>VLOOKUP($B92,标准坦克设计!$B$13:$K$20,MATCH(G$90,标准坦克设计!$B$13:$K$13,0),FALSE)</f>
        <v>0.2</v>
      </c>
      <c r="H92" s="474">
        <f>VLOOKUP($B92,坦克类型系数!$AQ$3:$AX$10,MATCH(H$90,坦克类型系数!$AQ$3:$AX$3,0),FALSE)</f>
        <v>3</v>
      </c>
      <c r="I92" s="34">
        <f>VLOOKUP(B92,坦克类型系数!$AM$3:$AO$10,2,FALSE)</f>
        <v>0.2</v>
      </c>
      <c r="J92" s="474">
        <f>VLOOKUP($B92,坦克类型系数!$AQ$3:$AX$10,MATCH(J$90,坦克类型系数!$AQ$3:$AX$3,0),FALSE)</f>
        <v>0.84</v>
      </c>
      <c r="K92" s="474">
        <f>VLOOKUP($B92,坦克类型系数!$AQ$3:$AX$10,MATCH(K$90,坦克类型系数!$AQ$3:$AX$3,0),FALSE)</f>
        <v>1.2</v>
      </c>
      <c r="L92" s="42">
        <f t="shared" ref="L92:L97" si="78">(G92-I92)*(H92-1)</f>
        <v>0</v>
      </c>
      <c r="M92" s="28">
        <f>J92*H92/K92-L92+I92</f>
        <v>2.3000000000000003</v>
      </c>
      <c r="N92" s="40">
        <f t="shared" ref="N92:N97" si="79">M92+G92*(H92-1)</f>
        <v>2.7</v>
      </c>
      <c r="O92" s="28">
        <f t="shared" ref="O92:O97" si="80">J92/K92</f>
        <v>0.7</v>
      </c>
      <c r="P92" s="8">
        <v>0.1</v>
      </c>
      <c r="Q92" s="40">
        <f t="shared" ref="Q92:Q97" si="81">J92/(O92*(1-P92))</f>
        <v>1.3333333333333333</v>
      </c>
      <c r="R92" s="40">
        <f>J92*H92/Q92-L92+I92+G92*(H92-1)</f>
        <v>2.4900000000000002</v>
      </c>
      <c r="S92" s="40">
        <f t="shared" ref="S92:S97" si="82">(N92-R92)/N92</f>
        <v>7.7777777777777765E-2</v>
      </c>
      <c r="T92" s="8">
        <v>0.5</v>
      </c>
      <c r="U92" s="40">
        <f t="shared" ref="U92:U97" si="83">J92/(O92*(1-T92))</f>
        <v>2.4</v>
      </c>
      <c r="V92" s="40">
        <f>J92*H92/U92-L92+I92+G92*(H92-1)</f>
        <v>1.65</v>
      </c>
      <c r="W92" s="40">
        <f t="shared" ref="W92:W97" si="84">(N92-V92)/R92</f>
        <v>0.42168674698795189</v>
      </c>
      <c r="X92" s="57" t="s">
        <v>482</v>
      </c>
      <c r="Y92" s="40">
        <f>W92/T92</f>
        <v>0.84337349397590378</v>
      </c>
      <c r="AC92" s="72"/>
    </row>
    <row r="93" spans="2:29" x14ac:dyDescent="0.35">
      <c r="B93" s="77" t="s">
        <v>611</v>
      </c>
      <c r="C93" s="249">
        <f>VLOOKUP($B93,标准坦克设计!$B$13:$K$20,MATCH(C$90,标准坦克设计!$B$13:$K$13,0),FALSE)</f>
        <v>1</v>
      </c>
      <c r="D93" s="249">
        <f>VLOOKUP($B93,标准坦克设计!$B$13:$K$20,MATCH(D$90,标准坦克设计!$B$13:$K$13,0),FALSE)</f>
        <v>3</v>
      </c>
      <c r="E93" s="249">
        <f>VLOOKUP($B93,标准坦克设计!$B$13:$K$20,MATCH(E$90,标准坦克设计!$B$13:$K$13,0),FALSE)</f>
        <v>3</v>
      </c>
      <c r="F93" s="249">
        <f>VLOOKUP($B93,标准坦克设计!$B$13:$K$20,MATCH(F$90,标准坦克设计!$B$13:$K$13,0),FALSE)</f>
        <v>0</v>
      </c>
      <c r="G93" s="249">
        <f>VLOOKUP($B93,标准坦克设计!$B$13:$K$20,MATCH(G$90,标准坦克设计!$B$13:$K$13,0),FALSE)</f>
        <v>0</v>
      </c>
      <c r="H93" s="474">
        <f>VLOOKUP($B93,坦克类型系数!$AQ$3:$AX$10,MATCH(H$90,坦克类型系数!$AQ$3:$AX$3,0),FALSE)</f>
        <v>1</v>
      </c>
      <c r="I93" s="64">
        <f>VLOOKUP(B93,坦克类型系数!$AM$3:$AO$10,2,FALSE)</f>
        <v>0</v>
      </c>
      <c r="J93" s="474">
        <f>VLOOKUP($B93,坦克类型系数!$AQ$3:$AX$10,MATCH(J$90,坦克类型系数!$AQ$3:$AX$3,0),FALSE)</f>
        <v>1.8</v>
      </c>
      <c r="K93" s="474">
        <f>VLOOKUP($B93,坦克类型系数!$AQ$3:$AX$10,MATCH(K$90,坦克类型系数!$AQ$3:$AX$3,0),FALSE)</f>
        <v>1</v>
      </c>
      <c r="L93" s="64">
        <f>(G93-I93)*(H93-1)</f>
        <v>0</v>
      </c>
      <c r="M93" s="28">
        <f>MAX(J93/K93+I93,E93)</f>
        <v>3</v>
      </c>
      <c r="N93" s="40">
        <f>M93+G93*(H93-1)</f>
        <v>3</v>
      </c>
      <c r="O93" s="28">
        <f>J93/K93</f>
        <v>1.8</v>
      </c>
      <c r="P93" s="8">
        <v>0.1</v>
      </c>
      <c r="Q93" s="40">
        <f>J93/(O93*(1-P93))</f>
        <v>1.1111111111111112</v>
      </c>
      <c r="R93" s="40">
        <f>MAX(J93/Q93+I93,E93)+G93*(H93-1)</f>
        <v>3</v>
      </c>
      <c r="S93" s="40">
        <f>(N93-R93)/N93</f>
        <v>0</v>
      </c>
      <c r="T93" s="8">
        <v>0.5</v>
      </c>
      <c r="U93" s="40">
        <f>J93/(O93*(1-T93))</f>
        <v>2</v>
      </c>
      <c r="V93" s="40">
        <f>MAX(J93/U93+I93,E93)+G93*(H93-1)</f>
        <v>3</v>
      </c>
      <c r="W93" s="40">
        <f>(N93-V93)/R93</f>
        <v>0</v>
      </c>
      <c r="X93" s="71" t="s">
        <v>483</v>
      </c>
      <c r="Y93" s="66">
        <v>0</v>
      </c>
      <c r="AC93" s="72"/>
    </row>
    <row r="94" spans="2:29" x14ac:dyDescent="0.35">
      <c r="B94" s="43" t="s">
        <v>394</v>
      </c>
      <c r="C94" s="249">
        <f>VLOOKUP($B94,标准坦克设计!$B$13:$K$20,MATCH(C$90,标准坦克设计!$B$13:$K$13,0),FALSE)</f>
        <v>4</v>
      </c>
      <c r="D94" s="249">
        <f>VLOOKUP($B94,标准坦克设计!$B$13:$K$20,MATCH(D$90,标准坦克设计!$B$13:$K$13,0),FALSE)</f>
        <v>1</v>
      </c>
      <c r="E94" s="249">
        <f>VLOOKUP($B94,标准坦克设计!$B$13:$K$20,MATCH(E$90,标准坦克设计!$B$13:$K$13,0),FALSE)</f>
        <v>0</v>
      </c>
      <c r="F94" s="249">
        <f>VLOOKUP($B94,标准坦克设计!$B$13:$K$20,MATCH(F$90,标准坦克设计!$B$13:$K$13,0),FALSE)</f>
        <v>4</v>
      </c>
      <c r="G94" s="249">
        <f>VLOOKUP($B94,标准坦克设计!$B$13:$K$20,MATCH(G$90,标准坦克设计!$B$13:$K$13,0),FALSE)</f>
        <v>0.8</v>
      </c>
      <c r="H94" s="474">
        <f>VLOOKUP($B94,坦克类型系数!$AQ$3:$AX$10,MATCH(H$90,坦克类型系数!$AQ$3:$AX$3,0),FALSE)</f>
        <v>2</v>
      </c>
      <c r="I94" s="34">
        <f>VLOOKUP(B94,坦克类型系数!$AM$3:$AO$10,2,FALSE)</f>
        <v>0.4</v>
      </c>
      <c r="J94" s="474">
        <f>VLOOKUP($B94,坦克类型系数!$AQ$3:$AX$10,MATCH(J$90,坦克类型系数!$AQ$3:$AX$3,0),FALSE)</f>
        <v>1.68</v>
      </c>
      <c r="K94" s="474">
        <f>VLOOKUP($B94,坦克类型系数!$AQ$3:$AX$10,MATCH(K$90,坦克类型系数!$AQ$3:$AX$3,0),FALSE)</f>
        <v>1.2</v>
      </c>
      <c r="L94" s="42">
        <f t="shared" si="78"/>
        <v>0.4</v>
      </c>
      <c r="M94" s="28">
        <f>J94*H94/K94-L94+I94</f>
        <v>2.8</v>
      </c>
      <c r="N94" s="40">
        <f t="shared" si="79"/>
        <v>3.5999999999999996</v>
      </c>
      <c r="O94" s="28">
        <f t="shared" si="80"/>
        <v>1.4</v>
      </c>
      <c r="P94" s="8">
        <v>0.1</v>
      </c>
      <c r="Q94" s="40">
        <f t="shared" si="81"/>
        <v>1.3333333333333333</v>
      </c>
      <c r="R94" s="40">
        <f>J94*H94/Q94-L94+I94+G94*(H94-1)</f>
        <v>3.3200000000000003</v>
      </c>
      <c r="S94" s="40">
        <f t="shared" si="82"/>
        <v>7.7777777777777612E-2</v>
      </c>
      <c r="T94" s="8">
        <v>0.5</v>
      </c>
      <c r="U94" s="40">
        <f t="shared" si="83"/>
        <v>2.4</v>
      </c>
      <c r="V94" s="40">
        <f>J94*H94/U94-L94+I94+G94*(H94-1)</f>
        <v>2.2000000000000002</v>
      </c>
      <c r="W94" s="40">
        <f t="shared" si="84"/>
        <v>0.42168674698795161</v>
      </c>
      <c r="X94" s="57" t="s">
        <v>482</v>
      </c>
      <c r="Y94" s="40">
        <f>W94/T94</f>
        <v>0.84337349397590322</v>
      </c>
      <c r="AC94" s="72"/>
    </row>
    <row r="95" spans="2:29" x14ac:dyDescent="0.35">
      <c r="B95" s="57" t="s">
        <v>461</v>
      </c>
      <c r="C95" s="249">
        <f>VLOOKUP($B95,标准坦克设计!$B$13:$K$20,MATCH(C$90,标准坦克设计!$B$13:$K$13,0),FALSE)</f>
        <v>1</v>
      </c>
      <c r="D95" s="249">
        <f>VLOOKUP($B95,标准坦克设计!$B$13:$K$20,MATCH(D$90,标准坦克设计!$B$13:$K$13,0),FALSE)</f>
        <v>4.5</v>
      </c>
      <c r="E95" s="249">
        <f>VLOOKUP($B95,标准坦克设计!$B$13:$K$20,MATCH(E$90,标准坦克设计!$B$13:$K$13,0),FALSE)</f>
        <v>4.5</v>
      </c>
      <c r="F95" s="249">
        <f>VLOOKUP($B95,标准坦克设计!$B$13:$K$20,MATCH(F$90,标准坦克设计!$B$13:$K$13,0),FALSE)</f>
        <v>0</v>
      </c>
      <c r="G95" s="249">
        <f>VLOOKUP($B95,标准坦克设计!$B$13:$K$20,MATCH(G$90,标准坦克设计!$B$13:$K$13,0),FALSE)</f>
        <v>0</v>
      </c>
      <c r="H95" s="474">
        <f>VLOOKUP($B95,坦克类型系数!$AQ$3:$AX$10,MATCH(H$90,坦克类型系数!$AQ$3:$AX$3,0),FALSE)</f>
        <v>1</v>
      </c>
      <c r="I95" s="34">
        <f>VLOOKUP(B95,坦克类型系数!$AM$3:$AO$10,2,FALSE)</f>
        <v>0</v>
      </c>
      <c r="J95" s="474">
        <f>VLOOKUP($B95,坦克类型系数!$AQ$3:$AX$10,MATCH(J$90,坦克类型系数!$AQ$3:$AX$3,0),FALSE)</f>
        <v>2.4</v>
      </c>
      <c r="K95" s="474">
        <f>VLOOKUP($B95,坦克类型系数!$AQ$3:$AX$10,MATCH(K$90,坦克类型系数!$AQ$3:$AX$3,0),FALSE)</f>
        <v>1</v>
      </c>
      <c r="L95" s="42">
        <f t="shared" si="78"/>
        <v>0</v>
      </c>
      <c r="M95" s="28">
        <f>MAX(J95/K95+I95,E95)</f>
        <v>4.5</v>
      </c>
      <c r="N95" s="40">
        <f t="shared" si="79"/>
        <v>4.5</v>
      </c>
      <c r="O95" s="28">
        <f t="shared" si="80"/>
        <v>2.4</v>
      </c>
      <c r="P95" s="8">
        <v>0.1</v>
      </c>
      <c r="Q95" s="40">
        <f t="shared" si="81"/>
        <v>1.1111111111111109</v>
      </c>
      <c r="R95" s="40">
        <f>MAX(J95/Q95+I95,E95)+G95*(H95-1)</f>
        <v>4.5</v>
      </c>
      <c r="S95" s="40">
        <f t="shared" si="82"/>
        <v>0</v>
      </c>
      <c r="T95" s="8">
        <v>0.5</v>
      </c>
      <c r="U95" s="40">
        <f t="shared" si="83"/>
        <v>2</v>
      </c>
      <c r="V95" s="40">
        <f>MAX(J95/U95+I95,E95)+G95*(H95-1)</f>
        <v>4.5</v>
      </c>
      <c r="W95" s="40">
        <f t="shared" si="84"/>
        <v>0</v>
      </c>
      <c r="X95" s="57" t="s">
        <v>484</v>
      </c>
      <c r="Y95" s="44">
        <v>0.8</v>
      </c>
      <c r="AC95" s="72"/>
    </row>
    <row r="96" spans="2:29" x14ac:dyDescent="0.35">
      <c r="B96" s="43" t="s">
        <v>409</v>
      </c>
      <c r="C96" s="249">
        <f>VLOOKUP($B96,标准坦克设计!$B$13:$K$20,MATCH(C$90,标准坦克设计!$B$13:$K$13,0),FALSE)</f>
        <v>2</v>
      </c>
      <c r="D96" s="249">
        <f>VLOOKUP($B96,标准坦克设计!$B$13:$K$20,MATCH(D$90,标准坦克设计!$B$13:$K$13,0),FALSE)</f>
        <v>4.5</v>
      </c>
      <c r="E96" s="249">
        <f>VLOOKUP($B96,标准坦克设计!$B$13:$K$20,MATCH(E$90,标准坦克设计!$B$13:$K$13,0),FALSE)</f>
        <v>4.5</v>
      </c>
      <c r="F96" s="249">
        <f>VLOOKUP($B96,标准坦克设计!$B$13:$K$20,MATCH(F$90,标准坦克设计!$B$13:$K$13,0),FALSE)</f>
        <v>0</v>
      </c>
      <c r="G96" s="249">
        <f>VLOOKUP($B96,标准坦克设计!$B$13:$K$20,MATCH(G$90,标准坦克设计!$B$13:$K$13,0),FALSE)</f>
        <v>1.8</v>
      </c>
      <c r="H96" s="474">
        <f>VLOOKUP($B96,坦克类型系数!$AQ$3:$AX$10,MATCH(H$90,坦克类型系数!$AQ$3:$AX$3,0),FALSE)</f>
        <v>2</v>
      </c>
      <c r="I96" s="34">
        <f>VLOOKUP(B96,坦克类型系数!$AM$3:$AO$10,2,FALSE)</f>
        <v>1.6</v>
      </c>
      <c r="J96" s="474">
        <f>VLOOKUP($B96,坦克类型系数!$AQ$3:$AX$10,MATCH(J$90,坦克类型系数!$AQ$3:$AX$3,0),FALSE)</f>
        <v>2.58</v>
      </c>
      <c r="K96" s="474">
        <f>VLOOKUP($B96,坦克类型系数!$AQ$3:$AX$10,MATCH(K$90,坦克类型系数!$AQ$3:$AX$3,0),FALSE)</f>
        <v>1.2</v>
      </c>
      <c r="L96" s="42">
        <f t="shared" si="78"/>
        <v>0.19999999999999996</v>
      </c>
      <c r="M96" s="28">
        <f>J96*H96/K96-L96+I96</f>
        <v>5.7000000000000011</v>
      </c>
      <c r="N96" s="40">
        <f t="shared" si="79"/>
        <v>7.5000000000000009</v>
      </c>
      <c r="O96" s="28">
        <f t="shared" si="80"/>
        <v>2.1500000000000004</v>
      </c>
      <c r="P96" s="8">
        <v>0.1</v>
      </c>
      <c r="Q96" s="40">
        <f t="shared" si="81"/>
        <v>1.3333333333333333</v>
      </c>
      <c r="R96" s="40">
        <f>J96*H96/Q96-L96+I96+G96*(H96-1)</f>
        <v>7.0699999999999994</v>
      </c>
      <c r="S96" s="40">
        <f t="shared" si="82"/>
        <v>5.7333333333333528E-2</v>
      </c>
      <c r="T96" s="8">
        <v>0.5</v>
      </c>
      <c r="U96" s="40">
        <f t="shared" si="83"/>
        <v>2.3999999999999995</v>
      </c>
      <c r="V96" s="40">
        <f>J96*H96/U96-L96+I96+G96*(H96-1)</f>
        <v>5.3500000000000005</v>
      </c>
      <c r="W96" s="40">
        <f t="shared" si="84"/>
        <v>0.30410183875530417</v>
      </c>
      <c r="X96" s="57" t="s">
        <v>482</v>
      </c>
      <c r="Y96" s="40">
        <f>W96/T96</f>
        <v>0.60820367751060833</v>
      </c>
      <c r="AC96" s="72"/>
    </row>
    <row r="97" spans="2:29" x14ac:dyDescent="0.35">
      <c r="B97" s="57" t="s">
        <v>462</v>
      </c>
      <c r="C97" s="249">
        <f>VLOOKUP($B97,标准坦克设计!$B$13:$K$20,MATCH(C$90,标准坦克设计!$B$13:$K$13,0),FALSE)</f>
        <v>1</v>
      </c>
      <c r="D97" s="249">
        <f>VLOOKUP($B97,标准坦克设计!$B$13:$K$20,MATCH(D$90,标准坦克设计!$B$13:$K$13,0),FALSE)</f>
        <v>6</v>
      </c>
      <c r="E97" s="249">
        <f>VLOOKUP($B97,标准坦克设计!$B$13:$K$20,MATCH(E$90,标准坦克设计!$B$13:$K$13,0),FALSE)</f>
        <v>6</v>
      </c>
      <c r="F97" s="249">
        <f>VLOOKUP($B97,标准坦克设计!$B$13:$K$20,MATCH(F$90,标准坦克设计!$B$13:$K$13,0),FALSE)</f>
        <v>0</v>
      </c>
      <c r="G97" s="249">
        <f>VLOOKUP($B97,标准坦克设计!$B$13:$K$20,MATCH(G$90,标准坦克设计!$B$13:$K$13,0),FALSE)</f>
        <v>0</v>
      </c>
      <c r="H97" s="474">
        <f>VLOOKUP($B97,坦克类型系数!$AQ$3:$AX$10,MATCH(H$90,坦克类型系数!$AQ$3:$AX$3,0),FALSE)</f>
        <v>1</v>
      </c>
      <c r="I97" s="34">
        <f>VLOOKUP(B97,坦克类型系数!$AM$3:$AO$10,2,FALSE)</f>
        <v>0</v>
      </c>
      <c r="J97" s="474">
        <f>VLOOKUP($B97,坦克类型系数!$AQ$3:$AX$10,MATCH(J$90,坦克类型系数!$AQ$3:$AX$3,0),FALSE)</f>
        <v>3</v>
      </c>
      <c r="K97" s="474">
        <f>VLOOKUP($B97,坦克类型系数!$AQ$3:$AX$10,MATCH(K$90,坦克类型系数!$AQ$3:$AX$3,0),FALSE)</f>
        <v>1</v>
      </c>
      <c r="L97" s="42">
        <f t="shared" si="78"/>
        <v>0</v>
      </c>
      <c r="M97" s="28">
        <f>MAX(J97/K97+I97,E97)</f>
        <v>6</v>
      </c>
      <c r="N97" s="40">
        <f t="shared" si="79"/>
        <v>6</v>
      </c>
      <c r="O97" s="28">
        <f t="shared" si="80"/>
        <v>3</v>
      </c>
      <c r="P97" s="8">
        <v>0.1</v>
      </c>
      <c r="Q97" s="40">
        <f t="shared" si="81"/>
        <v>1.1111111111111109</v>
      </c>
      <c r="R97" s="40">
        <f>MAX(J97/Q97+I97,E97)+G97*(H97-1)</f>
        <v>6</v>
      </c>
      <c r="S97" s="40">
        <f t="shared" si="82"/>
        <v>0</v>
      </c>
      <c r="T97" s="8">
        <v>0.5</v>
      </c>
      <c r="U97" s="40">
        <f t="shared" si="83"/>
        <v>2</v>
      </c>
      <c r="V97" s="40">
        <f>MAX(J97/U97+I97,E97)+G97*(H97-1)</f>
        <v>6</v>
      </c>
      <c r="W97" s="40">
        <f t="shared" si="84"/>
        <v>0</v>
      </c>
      <c r="X97" s="57" t="s">
        <v>483</v>
      </c>
      <c r="Y97" s="44">
        <v>0</v>
      </c>
      <c r="AC97" s="72"/>
    </row>
    <row r="98" spans="2:29" x14ac:dyDescent="0.35">
      <c r="AC98" s="72"/>
    </row>
  </sheetData>
  <mergeCells count="36">
    <mergeCell ref="AL2:AR2"/>
    <mergeCell ref="B2:H2"/>
    <mergeCell ref="I2:K2"/>
    <mergeCell ref="B34:G34"/>
    <mergeCell ref="B11:K11"/>
    <mergeCell ref="Y2:Z2"/>
    <mergeCell ref="AD2:AJ2"/>
    <mergeCell ref="B26:D26"/>
    <mergeCell ref="F26:H26"/>
    <mergeCell ref="J26:L26"/>
    <mergeCell ref="L2:N2"/>
    <mergeCell ref="P11:U11"/>
    <mergeCell ref="B89:Y89"/>
    <mergeCell ref="B79:X79"/>
    <mergeCell ref="AL29:AR29"/>
    <mergeCell ref="B44:H44"/>
    <mergeCell ref="B54:Q54"/>
    <mergeCell ref="AD29:AJ29"/>
    <mergeCell ref="B69:X69"/>
    <mergeCell ref="EJ2:EQ2"/>
    <mergeCell ref="CH2:CO2"/>
    <mergeCell ref="CQ2:CX2"/>
    <mergeCell ref="DI2:DP2"/>
    <mergeCell ref="DR2:DY2"/>
    <mergeCell ref="EA2:EH2"/>
    <mergeCell ref="CZ2:DG2"/>
    <mergeCell ref="BZ29:CF29"/>
    <mergeCell ref="AT2:AZ2"/>
    <mergeCell ref="AT29:AZ29"/>
    <mergeCell ref="BR2:BX2"/>
    <mergeCell ref="BZ2:CF2"/>
    <mergeCell ref="BB2:BH2"/>
    <mergeCell ref="BJ2:BP2"/>
    <mergeCell ref="BB29:BH29"/>
    <mergeCell ref="BJ29:BP29"/>
    <mergeCell ref="BR29:BX29"/>
  </mergeCells>
  <phoneticPr fontId="101"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B2:BV372"/>
  <sheetViews>
    <sheetView topLeftCell="AK1" workbookViewId="0">
      <selection activeCell="BT4" sqref="BT4"/>
    </sheetView>
  </sheetViews>
  <sheetFormatPr defaultColWidth="9" defaultRowHeight="13" x14ac:dyDescent="0.35"/>
  <cols>
    <col min="1" max="8" width="9" style="136"/>
    <col min="9" max="9" width="10.453125" style="136" bestFit="1" customWidth="1"/>
    <col min="10" max="14" width="9" style="136"/>
    <col min="15" max="15" width="10.453125" style="136" bestFit="1" customWidth="1"/>
    <col min="16" max="16384" width="9" style="136"/>
  </cols>
  <sheetData>
    <row r="2" spans="2:74" ht="15.75" customHeight="1" x14ac:dyDescent="0.35">
      <c r="B2" s="137" t="s">
        <v>793</v>
      </c>
      <c r="C2" s="493" t="s">
        <v>2137</v>
      </c>
      <c r="E2" s="821" t="s">
        <v>797</v>
      </c>
      <c r="F2" s="821"/>
      <c r="G2" s="821"/>
      <c r="H2" s="821"/>
      <c r="I2" s="821"/>
      <c r="J2" s="821"/>
      <c r="K2" s="821"/>
      <c r="L2" s="821"/>
      <c r="M2" s="821"/>
      <c r="O2" s="821" t="s">
        <v>794</v>
      </c>
      <c r="P2" s="821"/>
      <c r="Q2" s="821"/>
      <c r="R2" s="821"/>
      <c r="S2" s="821"/>
      <c r="T2" s="821"/>
      <c r="U2" s="821"/>
      <c r="V2" s="821"/>
      <c r="W2" s="821"/>
      <c r="X2" s="821"/>
      <c r="Y2" s="821"/>
      <c r="Z2" s="821"/>
      <c r="AA2" s="821"/>
      <c r="AC2" s="822" t="s">
        <v>1084</v>
      </c>
      <c r="AD2" s="821"/>
      <c r="AE2" s="821"/>
      <c r="AF2" s="821"/>
      <c r="AG2" s="821"/>
      <c r="AH2" s="821"/>
      <c r="AI2" s="821"/>
      <c r="AJ2" s="821"/>
      <c r="AK2" s="138"/>
      <c r="AL2" s="822" t="s">
        <v>1083</v>
      </c>
      <c r="AM2" s="821"/>
      <c r="AN2" s="821"/>
      <c r="AO2" s="821"/>
      <c r="AP2" s="821"/>
      <c r="AQ2" s="821"/>
      <c r="AR2" s="821"/>
      <c r="AS2" s="821"/>
      <c r="AT2" s="138"/>
      <c r="AU2" s="821" t="s">
        <v>798</v>
      </c>
      <c r="AV2" s="821"/>
      <c r="AW2" s="821"/>
      <c r="AX2" s="821"/>
      <c r="AY2" s="821"/>
      <c r="AZ2" s="821"/>
      <c r="BA2" s="821"/>
      <c r="BB2" s="821"/>
      <c r="BC2" s="821"/>
      <c r="BD2" s="821"/>
      <c r="BE2" s="821"/>
      <c r="BF2" s="821"/>
      <c r="BG2" s="821"/>
      <c r="BH2" s="821"/>
      <c r="BI2" s="821"/>
      <c r="BJ2" s="821"/>
      <c r="BK2" s="821"/>
      <c r="BL2" s="821"/>
      <c r="BN2" s="794" t="s">
        <v>2130</v>
      </c>
      <c r="BO2" s="820"/>
      <c r="BP2" s="820"/>
      <c r="BQ2" s="820"/>
      <c r="BR2" s="820"/>
      <c r="BS2" s="820"/>
      <c r="BT2" s="820"/>
      <c r="BU2" s="820"/>
      <c r="BV2" s="820"/>
    </row>
    <row r="3" spans="2:74" x14ac:dyDescent="0.35">
      <c r="B3" s="8">
        <v>2</v>
      </c>
      <c r="C3" s="457">
        <v>0.6</v>
      </c>
      <c r="E3" s="178" t="s">
        <v>586</v>
      </c>
      <c r="F3" s="183" t="s">
        <v>785</v>
      </c>
      <c r="G3" s="671" t="s">
        <v>3164</v>
      </c>
      <c r="H3" s="671" t="s">
        <v>3165</v>
      </c>
      <c r="I3" s="671" t="s">
        <v>3203</v>
      </c>
      <c r="J3" s="671" t="s">
        <v>3183</v>
      </c>
      <c r="K3" s="671" t="s">
        <v>3166</v>
      </c>
      <c r="L3" s="493" t="s">
        <v>2138</v>
      </c>
      <c r="M3" s="471" t="s">
        <v>2126</v>
      </c>
      <c r="O3" s="428" t="s">
        <v>2017</v>
      </c>
      <c r="P3" s="137" t="s">
        <v>792</v>
      </c>
      <c r="Q3" s="131" t="s">
        <v>725</v>
      </c>
      <c r="R3" s="131" t="s">
        <v>4</v>
      </c>
      <c r="S3" s="131" t="s">
        <v>582</v>
      </c>
      <c r="T3" s="131" t="s">
        <v>723</v>
      </c>
      <c r="U3" s="131" t="s">
        <v>586</v>
      </c>
      <c r="V3" s="129" t="s">
        <v>438</v>
      </c>
      <c r="W3" s="471" t="s">
        <v>2113</v>
      </c>
      <c r="X3" s="129" t="s">
        <v>435</v>
      </c>
      <c r="Y3" s="129" t="s">
        <v>436</v>
      </c>
      <c r="Z3" s="471" t="s">
        <v>2121</v>
      </c>
      <c r="AA3" s="129" t="s">
        <v>448</v>
      </c>
      <c r="AC3" s="195" t="s">
        <v>792</v>
      </c>
      <c r="AD3" s="193" t="s">
        <v>725</v>
      </c>
      <c r="AE3" s="194" t="s">
        <v>666</v>
      </c>
      <c r="AF3" s="194" t="s">
        <v>669</v>
      </c>
      <c r="AG3" s="192" t="s">
        <v>729</v>
      </c>
      <c r="AH3" s="205" t="s">
        <v>1085</v>
      </c>
      <c r="AI3" s="471" t="s">
        <v>2132</v>
      </c>
      <c r="AJ3" s="205" t="s">
        <v>1086</v>
      </c>
      <c r="AK3" s="207"/>
      <c r="AL3" s="195" t="s">
        <v>792</v>
      </c>
      <c r="AM3" s="193" t="s">
        <v>725</v>
      </c>
      <c r="AN3" s="194" t="s">
        <v>666</v>
      </c>
      <c r="AO3" s="194" t="s">
        <v>669</v>
      </c>
      <c r="AP3" s="192" t="s">
        <v>729</v>
      </c>
      <c r="AQ3" s="205" t="s">
        <v>1085</v>
      </c>
      <c r="AR3" s="471" t="s">
        <v>2133</v>
      </c>
      <c r="AS3" s="205" t="s">
        <v>1086</v>
      </c>
      <c r="AT3" s="207"/>
      <c r="AU3" s="374" t="s">
        <v>1797</v>
      </c>
      <c r="AV3" s="137" t="s">
        <v>792</v>
      </c>
      <c r="AW3" s="131" t="s">
        <v>725</v>
      </c>
      <c r="AX3" s="131" t="s">
        <v>582</v>
      </c>
      <c r="AY3" s="137" t="s">
        <v>795</v>
      </c>
      <c r="AZ3" s="129" t="s">
        <v>438</v>
      </c>
      <c r="BA3" s="471" t="s">
        <v>2127</v>
      </c>
      <c r="BB3" s="129" t="s">
        <v>435</v>
      </c>
      <c r="BC3" s="129" t="s">
        <v>436</v>
      </c>
      <c r="BD3" s="471" t="s">
        <v>2128</v>
      </c>
      <c r="BE3" s="129" t="s">
        <v>448</v>
      </c>
      <c r="BF3" s="194" t="s">
        <v>666</v>
      </c>
      <c r="BG3" s="194" t="s">
        <v>669</v>
      </c>
      <c r="BH3" s="192" t="s">
        <v>729</v>
      </c>
      <c r="BI3" s="295" t="s">
        <v>1293</v>
      </c>
      <c r="BJ3" s="295" t="s">
        <v>1294</v>
      </c>
      <c r="BK3" s="471" t="s">
        <v>2133</v>
      </c>
      <c r="BL3" s="295" t="s">
        <v>1295</v>
      </c>
      <c r="BN3" s="137" t="s">
        <v>792</v>
      </c>
      <c r="BO3" s="131" t="s">
        <v>725</v>
      </c>
      <c r="BP3" s="131" t="s">
        <v>4</v>
      </c>
      <c r="BQ3" s="131" t="s">
        <v>582</v>
      </c>
      <c r="BR3" s="129" t="s">
        <v>438</v>
      </c>
      <c r="BS3" s="471" t="s">
        <v>2129</v>
      </c>
      <c r="BT3" s="129" t="s">
        <v>435</v>
      </c>
      <c r="BU3" s="129" t="s">
        <v>436</v>
      </c>
      <c r="BV3" s="471" t="s">
        <v>2122</v>
      </c>
    </row>
    <row r="4" spans="2:74" x14ac:dyDescent="0.35">
      <c r="E4" s="175" t="str">
        <f>坦克等级成长!B13&amp;坦克等级成长!C13</f>
        <v>T1低</v>
      </c>
      <c r="F4" s="183">
        <f>坦克等级成长!L4</f>
        <v>4</v>
      </c>
      <c r="G4" s="654">
        <f>坦克等级成长!J13</f>
        <v>1</v>
      </c>
      <c r="H4" s="654">
        <f>坦克等级成长!K13</f>
        <v>1.4</v>
      </c>
      <c r="I4" s="654">
        <f>坦克等级成长!E13</f>
        <v>2</v>
      </c>
      <c r="J4" s="654">
        <f>IFERROR(VLOOKUP(I4,坦克部件!$M$3:$Q$9,5,FALSE),VLOOKUP(I4-1,坦克部件!$M$3:$Q$9,5,FALSE))</f>
        <v>0.13200000000000001</v>
      </c>
      <c r="K4" s="654">
        <f>G4*J4</f>
        <v>0.13200000000000001</v>
      </c>
      <c r="L4" s="467">
        <f>1-M4</f>
        <v>0.66999999999999993</v>
      </c>
      <c r="M4" s="677">
        <f>K4/(H4-G4)</f>
        <v>0.33000000000000007</v>
      </c>
      <c r="O4" s="426" t="str">
        <f>Q4&amp;T4</f>
        <v>雷诺FT初始</v>
      </c>
      <c r="P4" s="137">
        <v>1</v>
      </c>
      <c r="Q4" s="131" t="str">
        <f>VLOOKUP(P4,$B$5:$C$35,2,FALSE)</f>
        <v>雷诺FT</v>
      </c>
      <c r="R4" s="131" t="str">
        <f>VLOOKUP(Q4,坦克个性化设定!$B$18:$F$48,5,FALSE)</f>
        <v>轻坦弹夹</v>
      </c>
      <c r="S4" s="177" t="str">
        <f>VLOOKUP(Q4,坦克个性化细分!$I$3:$J$33,2,FALSE)</f>
        <v>低</v>
      </c>
      <c r="T4" s="8" t="s">
        <v>789</v>
      </c>
      <c r="U4" s="131" t="str">
        <f>VLOOKUP(VLOOKUP(Q4,坦克个性化设定!$B$18:$F$48,4,FALSE)&amp;S4,坦克等级成长!$P$12:$U$24,MATCH(T4,坦克等级成长!$P$12:$U$12,0),FALSE)</f>
        <v>T1低1</v>
      </c>
      <c r="V4" s="96">
        <f ca="1">VLOOKUP($U4,INDIRECT($R4&amp;"_阶段属性"),MATCH(V$3,属性标头_阶段属性,0),FALSE)*VLOOKUP($Q4,坦克个性化设定!$B$84:$D$114,2,FALSE)</f>
        <v>733.72122740601651</v>
      </c>
      <c r="W4" s="96">
        <f ca="1">VLOOKUP($U4,INDIRECT($R4&amp;"_阶段属性"),MATCH(W$3,属性标头_阶段属性,0),FALSE)*VLOOKUP($Q4,坦克个性化设定!$B$84:$D$114,3,FALSE)</f>
        <v>23.641476402419642</v>
      </c>
      <c r="X4" s="131">
        <f t="shared" ref="X4:AA13" ca="1" si="0">VLOOKUP($U4,INDIRECT($R4&amp;"_阶段属性"),MATCH(X$3,属性标头_阶段属性,0),FALSE)</f>
        <v>329</v>
      </c>
      <c r="Y4" s="131">
        <f t="shared" ca="1" si="0"/>
        <v>230</v>
      </c>
      <c r="Z4" s="131">
        <f t="shared" ca="1" si="0"/>
        <v>300</v>
      </c>
      <c r="AA4" s="131">
        <f t="shared" ca="1" si="0"/>
        <v>80</v>
      </c>
      <c r="AC4" s="195">
        <v>1</v>
      </c>
      <c r="AD4" s="193" t="str">
        <f>VLOOKUP(AC4,$B$5:$C$35,2,FALSE)</f>
        <v>雷诺FT</v>
      </c>
      <c r="AE4" s="195">
        <f>VLOOKUP($AD4,坦克个性化细分!$I$3:$P$33,MATCH(AE$3,坦克个性化细分!$I$3:$P$3,0),FALSE)</f>
        <v>47.1</v>
      </c>
      <c r="AF4" s="195">
        <f>VLOOKUP($AD4,坦克个性化细分!$I$3:$P$33,MATCH(AF$3,坦克个性化细分!$I$3:$P$3,0),FALSE)</f>
        <v>45</v>
      </c>
      <c r="AG4" s="195">
        <f>VLOOKUP($AD4,坦克个性化细分!$I$3:$P$33,MATCH(AG$3,坦克个性化细分!$I$3:$P$3,0),FALSE)</f>
        <v>14.6</v>
      </c>
      <c r="AH4" s="206">
        <f>VLOOKUP(AD4,坦克个性化细分!$AA$3:$AP$33,MATCH("射击偏移角",坦克个性化细分!$AA$3:$AP$3,0),FALSE)/VLOOKUP(AD4,坦克个性化细分!$AA$3:$AP$33,MATCH("原瞄准速度",坦克个性化细分!$AA$3:$AP$3,0),FALSE)</f>
        <v>0.5</v>
      </c>
      <c r="AI4" s="206">
        <f>VLOOKUP(AD4,坦克个性化细分!$AA$3:$AP$33,MATCH(AI$3,坦克个性化细分!$AA$3:$AP$3,0),FALSE)</f>
        <v>0.30000000000000004</v>
      </c>
      <c r="AJ4" s="195">
        <f>VLOOKUP(AD4,坦克个性化细分!$AA$3:$AP$33,MATCH("原换弹时间",坦克个性化细分!$AA$3:$AP$3,0),FALSE)</f>
        <v>7.56</v>
      </c>
      <c r="AK4" s="208"/>
      <c r="AL4" s="195">
        <v>1</v>
      </c>
      <c r="AM4" s="193" t="str">
        <f>VLOOKUP(AL4,$B$5:$C$35,2,FALSE)</f>
        <v>雷诺FT</v>
      </c>
      <c r="AN4" s="206">
        <f>VLOOKUP(AM4,坦克个性化细分!$I$3:$P$33,MATCH("养成区间1",坦克个性化细分!$I$3:$P$3,0),FALSE)</f>
        <v>11.774999999999997</v>
      </c>
      <c r="AO4" s="195">
        <f>VLOOKUP(AM4,坦克个性化细分!$I$3:$P$33,MATCH("养成区间2",坦克个性化细分!$I$3:$P$3,0),FALSE)</f>
        <v>11.249999999999998</v>
      </c>
      <c r="AP4" s="195">
        <f>VLOOKUP(AM4,坦克个性化细分!$I$3:$P$33,MATCH("养成区间3",坦克个性化细分!$I$3:$P$3,0),FALSE)</f>
        <v>4.7699999999999996</v>
      </c>
      <c r="AQ4" s="206">
        <f>VLOOKUP(AM4,坦克个性化细分!$AA$3:$AP$33,MATCH("瞄准区间",坦克个性化细分!$AA$3:$AP$3,0),FALSE)</f>
        <v>8.3333333333333315E-2</v>
      </c>
      <c r="AR4" s="206">
        <f>VLOOKUP(AD4,坦克个性化细分!$AA$3:$AP$33,MATCH("后射击间隔",坦克个性化细分!$AA$3:$AP$3,0),FALSE)-VLOOKUP(AD4,坦克个性化细分!$AA$3:$AP$33,MATCH(AI$3,坦克个性化细分!$AA$3:$AP$3,0),FALSE)</f>
        <v>-5.0000000000000044E-2</v>
      </c>
      <c r="AS4" s="206">
        <f>VLOOKUP(AM4,坦克个性化细分!$AA$3:$AP$33,MATCH("换弹区间",坦克个性化细分!$AA$3:$AP$3,0),FALSE)</f>
        <v>2.4204326309067676</v>
      </c>
      <c r="AT4" s="208"/>
      <c r="AU4" s="364" t="str">
        <f>AW4&amp;AY4</f>
        <v>雷诺FT0</v>
      </c>
      <c r="AV4" s="137">
        <v>1</v>
      </c>
      <c r="AW4" s="131" t="str">
        <f>VLOOKUP(AV4,$B$5:$C$35,2,FALSE)</f>
        <v>雷诺FT</v>
      </c>
      <c r="AX4" s="132" t="str">
        <f>VLOOKUP(AW4,坦克个性化细分!$I$3:$J$33,2,FALSE)</f>
        <v>低</v>
      </c>
      <c r="AY4" s="137">
        <f t="shared" ref="AY4:AY67" si="1">IF(AW4&lt;&gt;AW3,0,AY3+1)</f>
        <v>0</v>
      </c>
      <c r="AZ4" s="486">
        <f ca="1">ROUND(VLOOKUP($AW4&amp;"初始",$O$3:$AA$63,MATCH(AZ$3,$O$3:$AA$3,0),FALSE)+((VLOOKUP($AW4&amp;"最终",$O$3:$AA$63,MATCH(AZ$3,$O$3:$AA$3,0),FALSE)*坦克个性化细分!$C$9-VLOOKUP($AW4&amp;"初始",$O$3:$AA$63,MATCH(AZ$3,$O$3:$AA$3,0),FALSE))-(VLOOKUP($AW4&amp;"最终",$O$3:$AA$63,MATCH(AZ$3,$O$3:$AA$3,0),FALSE)-VLOOKUP($AW4&amp;"初始",$O$3:$AA$63,MATCH(AZ$3,$O$3:$AA$3,0),FALSE))*VLOOKUP(VLOOKUP($AW4,坦克个性化设定!$B$18:$E$48,4,FALSE)&amp;$AX4,坦克属性分配比例,MATCH("部件比例",坦克属性分配比例标头,0),FALSE))*$AY4/VLOOKUP(VLOOKUP($AW4,坦克个性化设定!$B$18:$E$48,4,FALSE)&amp;$AX4,坦克属性分配比例,MATCH("升星次数",坦克属性分配比例标头,0),FALSE),0)</f>
        <v>734</v>
      </c>
      <c r="BA4" s="426">
        <f ca="1">ROUND(VLOOKUP($AW4&amp;"初始",$O$3:$AA$63,MATCH(BA$3,$O$3:$AA$3,0),FALSE)+(VLOOKUP($AW4&amp;"最终",$O$3:$AA$63,MATCH(BA$3,$O$3:$AA$3,0),FALSE)-VLOOKUP($AW4&amp;"初始",$O$3:$AA$63,MATCH(BA$3,$O$3:$AA$3,0),FALSE))*$AY4/VLOOKUP(VLOOKUP($AW4,坦克个性化设定!$B$18:$E$48,4,FALSE)&amp;$AX4,坦克属性分配比例,MATCH("升星次数",坦克属性分配比例标头,0),FALSE)*VLOOKUP(VLOOKUP($AW4,坦克个性化设定!$B$18:$E$48,4,FALSE)&amp;$AX4,坦克属性分配比例,MATCH("升星比例",坦克属性分配比例标头,0),FALSE),0)</f>
        <v>24</v>
      </c>
      <c r="BB4" s="486">
        <f ca="1">ROUND(VLOOKUP($AW4&amp;"初始",$O$3:$AA$63,MATCH(BB$3,$O$3:$AA$3,0),FALSE)+(VLOOKUP($AW4&amp;"最终",$O$3:$AA$63,MATCH(BB$3,$O$3:$AA$3,0),FALSE)-VLOOKUP($AW4&amp;"初始",$O$3:$AA$63,MATCH(BB$3,$O$3:$AA$3,0),FALSE))*$AY4/VLOOKUP(VLOOKUP($AW4,坦克个性化设定!$B$18:$E$48,4,FALSE)&amp;$AX4,坦克属性分配比例,MATCH("升星次数",坦克属性分配比例标头,0),FALSE)*(VLOOKUP(VLOOKUP($AW4,坦克个性化设定!$B$18:$E$48,4,FALSE)&amp;$AX4,坦克属性分配比例,MATCH("升星比例",坦克属性分配比例标头,0),FALSE)+VLOOKUP(VLOOKUP($AW4,坦克个性化设定!$B$18:$E$48,4,FALSE)&amp;$AX4,坦克属性分配比例,MATCH("部件比例",坦克属性分配比例标头,0),FALSE)*$C$3),0)</f>
        <v>329</v>
      </c>
      <c r="BC4" s="486">
        <f ca="1">ROUND(VLOOKUP($AW4&amp;"初始",$O$3:$AA$63,MATCH(BC$3,$O$3:$AA$3,0),FALSE)+(VLOOKUP($AW4&amp;"最终",$O$3:$AA$63,MATCH(BC$3,$O$3:$AA$3,0),FALSE)-VLOOKUP($AW4&amp;"初始",$O$3:$AA$63,MATCH(BC$3,$O$3:$AA$3,0),FALSE))*$AY4/VLOOKUP(VLOOKUP($AW4,坦克个性化设定!$B$18:$E$48,4,FALSE)&amp;$AX4,坦克属性分配比例,MATCH("升星次数",坦克属性分配比例标头,0),FALSE)*(VLOOKUP(VLOOKUP($AW4,坦克个性化设定!$B$18:$E$48,4,FALSE)&amp;$AX4,坦克属性分配比例,MATCH("升星比例",坦克属性分配比例标头,0),FALSE)+VLOOKUP(VLOOKUP($AW4,坦克个性化设定!$B$18:$E$48,4,FALSE)&amp;$AX4,坦克属性分配比例,MATCH("部件比例",坦克属性分配比例标头,0),FALSE)*$C$3),0)</f>
        <v>230</v>
      </c>
      <c r="BD4" s="426">
        <f ca="1">ROUND(VLOOKUP($AW4&amp;"初始",$O$3:$AA$63,MATCH(BD$3,$O$3:$AA$3,0),FALSE)+(VLOOKUP($AW4&amp;"最终",$O$3:$AA$63,MATCH(BD$3,$O$3:$AA$3,0),FALSE)-VLOOKUP($AW4&amp;"初始",$O$3:$AA$63,MATCH(BD$3,$O$3:$AA$3,0),FALSE))*$AY4/VLOOKUP(VLOOKUP($AW4,坦克个性化设定!$B$18:$E$48,4,FALSE)&amp;$AX4,坦克属性分配比例,MATCH("升星次数",坦克属性分配比例标头,0),FALSE)*VLOOKUP(VLOOKUP($AW4,坦克个性化设定!$B$18:$E$48,4,FALSE)&amp;$AX4,坦克属性分配比例,MATCH("升星比例",坦克属性分配比例标头,0),FALSE),0)</f>
        <v>300</v>
      </c>
      <c r="BE4" s="137">
        <f ca="1">ROUND(VLOOKUP($AW4&amp;"初始",$O$3:$AA$63,MATCH(BE$3,$O$3:$AA$3,0),FALSE)+(VLOOKUP($AW4&amp;"最终",$O$3:$AA$63,MATCH(BE$3,$O$3:$AA$3,0),FALSE)-VLOOKUP($AW4&amp;"初始",$O$3:$AA$63,MATCH(BE$3,$O$3:$AA$3,0),FALSE))*$AY4/VLOOKUP(VLOOKUP($AW4,坦克个性化设定!$B$18:$E$48,4,FALSE)&amp;$AX4,坦克属性分配比例,MATCH("升星次数",坦克属性分配比例标头,0),FALSE),0)</f>
        <v>80</v>
      </c>
      <c r="BF4" s="195">
        <f>ROUND(VLOOKUP($AW4,$AD$3:$AJ$33,MATCH(BF$3,$AD$3:$AJ$3,0),FALSE)+$AY4/VLOOKUP(VLOOKUP($AW4,坦克个性化设定!$B$18:$E$48,4,FALSE)&amp;$AX4,坦克属性分配比例,MATCH("升星次数",坦克属性分配比例标头,0),FALSE)*VLOOKUP($AW4,$AM$3:$AS$33,MATCH(BF$3,$AM$3:$AS$3,0),FALSE),1)</f>
        <v>47.1</v>
      </c>
      <c r="BG4" s="462">
        <f>ROUND(VLOOKUP($AW4,$AD$3:$AJ$33,MATCH(BG$3,$AD$3:$AJ$3,0),FALSE)+$AY4/VLOOKUP(VLOOKUP($AW4,坦克个性化设定!$B$18:$E$48,4,FALSE)&amp;$AX4,坦克属性分配比例,MATCH("升星次数",坦克属性分配比例标头,0),FALSE)*VLOOKUP($AW4,$AM$3:$AS$33,MATCH(BG$3,$AM$3:$AS$3,0),FALSE),1)</f>
        <v>45</v>
      </c>
      <c r="BH4" s="462">
        <f>ROUND(VLOOKUP($AW4,$AD$3:$AJ$33,MATCH(BH$3,$AD$3:$AJ$3,0),FALSE)+$AY4/VLOOKUP(VLOOKUP($AW4,坦克个性化设定!$B$18:$E$48,4,FALSE)&amp;$AX4,坦克属性分配比例,MATCH("升星次数",坦克属性分配比例标头,0),FALSE)*VLOOKUP($AW4,$AM$3:$AS$33,MATCH(BH$3,$AM$3:$AS$3,0),FALSE),1)</f>
        <v>14.6</v>
      </c>
      <c r="BI4" s="654">
        <f>IF(VLOOKUP(AW4,坦克个性化设定!$B$18:$BB$48,MATCH("装弹类型",坦克个性化设定!$B$18:$BB$18,0),FALSE)="弹夹换弹",0,ROUND(VLOOKUP($AW4,$AD$3:$AJ$33,MATCH("换弹时间",$AD$3:$AJ$3,0),FALSE)-$AY4/VLOOKUP(VLOOKUP($AW4,坦克个性化设定!$B$18:$E$48,4,FALSE)&amp;$AX4,坦克属性分配比例,MATCH("升星次数",坦克属性分配比例标头,0),FALSE)*VLOOKUP($AW4,$AM$3:$AS$33,MATCH("换弹时间",$AM$3:$AS$3,0),FALSE),2))</f>
        <v>0</v>
      </c>
      <c r="BJ4" s="286">
        <f>IF(VLOOKUP(AW4,坦克个性化设定!$B$18:$BB$48,MATCH("装弹类型",坦克个性化设定!$B$18:$BB$18,0),FALSE)="弹夹换弹",ROUND(VLOOKUP($AW4,$AD$3:$AJ$33,MATCH("换弹时间",$AD$3:$AJ$3,0),FALSE)-$AY4/VLOOKUP(VLOOKUP($AW4,坦克个性化设定!$B$18:$E$48,4,FALSE)&amp;$AX4,坦克属性分配比例,MATCH("升星次数",坦克属性分配比例标头,0),FALSE)*VLOOKUP($AW4,$AM$3:$AS$33,MATCH("换弹时间",$AM$3:$AS$3,0),FALSE),1),0)</f>
        <v>7.6</v>
      </c>
      <c r="BK4" s="462">
        <f>ROUND(VLOOKUP($AW4,$AD$3:$AJ$33,MATCH(BK$3,$AD$3:$AJ$3,0),FALSE)+$AY4/VLOOKUP(VLOOKUP($AW4,坦克个性化设定!$B$18:$E$48,4,FALSE)&amp;$AX4,坦克属性分配比例,MATCH("升星次数",坦克属性分配比例标头,0),FALSE)*VLOOKUP($AW4,$AM$3:$AS$33,MATCH(BK$3,$AM$3:$AS$3,0),FALSE),2)</f>
        <v>0.3</v>
      </c>
      <c r="BL4" s="462">
        <f>ROUND(VLOOKUP($AW4,$AD$3:$AJ$33,MATCH(BL$3,$AD$3:$AJ$3,0),FALSE)-$AY4/VLOOKUP(VLOOKUP($AW4,坦克个性化设定!$B$18:$E$48,4,FALSE)&amp;$AX4,坦克属性分配比例,MATCH("升星次数",坦克属性分配比例标头,0),FALSE)*VLOOKUP($AW4,$AM$3:$AS$33,MATCH(BL$3,$AM$3:$AS$3,0),FALSE),2)</f>
        <v>0.5</v>
      </c>
      <c r="BN4" s="137">
        <v>1</v>
      </c>
      <c r="BO4" s="131" t="str">
        <f>VLOOKUP(BN4,$B$5:$C$35,2,FALSE)</f>
        <v>雷诺FT</v>
      </c>
      <c r="BP4" s="131" t="str">
        <f>VLOOKUP(BO4,坦克个性化设定!$B$18:$F$48,5,FALSE)</f>
        <v>轻坦弹夹</v>
      </c>
      <c r="BQ4" s="177" t="str">
        <f>VLOOKUP(BO4,坦克个性化细分!$I$3:$J$33,2,FALSE)</f>
        <v>低</v>
      </c>
      <c r="BR4" s="96">
        <f ca="1">(VLOOKUP($BO4&amp;"最终",$O$3:$AA$63,MATCH(BR$3,$O$3:$AA$3,0),FALSE)-VLOOKUP($BO4&amp;"初始",$O$3:$AA$63,MATCH(BR$3,$O$3:$AA$3,0),FALSE))*VLOOKUP(VLOOKUP($BO4,坦克个性化设定!$B$18:$E$48,4,FALSE)&amp;$BQ4,坦克属性分配比例,MATCH("部件比例",坦克属性分配比例标头,0),FALSE)</f>
        <v>96.851202017594218</v>
      </c>
      <c r="BS4" s="96">
        <f ca="1">(VLOOKUP($BO4&amp;"最终",$O$3:$AA$63,MATCH(BS$3,$O$3:$AA$3,0),FALSE)-VLOOKUP($BO4&amp;"初始",$O$3:$AA$63,MATCH(BS$3,$O$3:$AA$3,0),FALSE))*VLOOKUP(VLOOKUP($BO4,坦克个性化设定!$B$18:$E$48,4,FALSE)&amp;$BQ4,坦克属性分配比例,MATCH("部件比例",坦克属性分配比例标头,0),FALSE)</f>
        <v>3.3435802340564922</v>
      </c>
      <c r="BT4" s="96">
        <f ca="1">(VLOOKUP($BO4&amp;"最终",$O$3:$AA$63,MATCH(BT$3,$O$3:$AA$3,0),FALSE)-VLOOKUP($BO4&amp;"初始",$O$3:$AA$63,MATCH(BT$3,$O$3:$AA$3,0),FALSE))*VLOOKUP(VLOOKUP($BO4,坦克个性化设定!$B$18:$E$48,4,FALSE)&amp;$BQ4,坦克属性分配比例,MATCH("部件比例",坦克属性分配比例标头,0),FALSE)*(1-$C$3)</f>
        <v>17.292000000000005</v>
      </c>
      <c r="BU4" s="96">
        <f ca="1">(VLOOKUP($BO4&amp;"最终",$O$3:$AA$63,MATCH(BU$3,$O$3:$AA$3,0),FALSE)-VLOOKUP($BO4&amp;"初始",$O$3:$AA$63,MATCH(BU$3,$O$3:$AA$3,0),FALSE))*VLOOKUP(VLOOKUP($BO4,坦克个性化设定!$B$18:$E$48,4,FALSE)&amp;$BQ4,坦克属性分配比例,MATCH("部件比例",坦克属性分配比例标头,0),FALSE)*(1-$C$3)</f>
        <v>12.144000000000004</v>
      </c>
      <c r="BV4" s="96">
        <f ca="1">(VLOOKUP($BO4&amp;"最终",$O$3:$AA$63,MATCH(BV$3,$O$3:$AA$3,0),FALSE)-VLOOKUP($BO4&amp;"初始",$O$3:$AA$63,MATCH(BV$3,$O$3:$AA$3,0),FALSE))*VLOOKUP(VLOOKUP($BO4,坦克个性化设定!$B$18:$E$48,4,FALSE)&amp;$BQ4,坦克属性分配比例,MATCH("部件比例",坦克属性分配比例标头,0),FALSE)</f>
        <v>39.600000000000009</v>
      </c>
    </row>
    <row r="5" spans="2:74" x14ac:dyDescent="0.35">
      <c r="B5" s="137" t="s">
        <v>791</v>
      </c>
      <c r="C5" s="137" t="s">
        <v>571</v>
      </c>
      <c r="D5" s="138"/>
      <c r="E5" s="175" t="str">
        <f>坦克等级成长!B14&amp;坦克等级成长!C14</f>
        <v>T2低</v>
      </c>
      <c r="F5" s="183">
        <f>坦克等级成长!L5</f>
        <v>6</v>
      </c>
      <c r="G5" s="654">
        <f>坦克等级成长!J14</f>
        <v>1.2</v>
      </c>
      <c r="H5" s="654">
        <f>坦克等级成长!K14</f>
        <v>1.8</v>
      </c>
      <c r="I5" s="654">
        <f>坦克等级成长!E14</f>
        <v>3</v>
      </c>
      <c r="J5" s="654">
        <f>IFERROR(VLOOKUP(I5,坦克部件!$M$3:$Q$9,5,FALSE),VLOOKUP(I5-1,坦克部件!$M$3:$Q$9,5,FALSE))</f>
        <v>0.222</v>
      </c>
      <c r="K5" s="654">
        <f t="shared" ref="K5:K15" si="2">G5*J5</f>
        <v>0.26639999999999997</v>
      </c>
      <c r="L5" s="467">
        <f t="shared" ref="L5:L15" si="3">1-M5</f>
        <v>0.55600000000000005</v>
      </c>
      <c r="M5" s="677">
        <f t="shared" ref="M5:M15" si="4">K5/(H5-G5)</f>
        <v>0.44399999999999989</v>
      </c>
      <c r="N5" s="138"/>
      <c r="O5" s="426" t="str">
        <f t="shared" ref="O5:O63" si="5">Q5&amp;T5</f>
        <v>雷诺FT最终</v>
      </c>
      <c r="P5" s="137">
        <f>IF(COUNTIF(Q$4:Q4,Q4)&gt;=$B$3,P4+1,P4)</f>
        <v>1</v>
      </c>
      <c r="Q5" s="131" t="str">
        <f t="shared" ref="Q5:Q63" si="6">VLOOKUP(P5,$B$5:$C$35,2,FALSE)</f>
        <v>雷诺FT</v>
      </c>
      <c r="R5" s="131" t="str">
        <f>VLOOKUP(Q5,坦克个性化设定!$B$18:$F$48,5,FALSE)</f>
        <v>轻坦弹夹</v>
      </c>
      <c r="S5" s="177" t="str">
        <f>VLOOKUP(Q5,坦克个性化细分!$I$3:$J$33,2,FALSE)</f>
        <v>低</v>
      </c>
      <c r="T5" s="8" t="s">
        <v>790</v>
      </c>
      <c r="U5" s="178" t="str">
        <f>VLOOKUP(VLOOKUP(Q5,坦克个性化设定!$B$18:$F$48,4,FALSE)&amp;S5,坦克等级成长!$P$12:$U$24,MATCH(T5,坦克等级成长!$P$12:$U$12,0),FALSE)</f>
        <v>T1低2</v>
      </c>
      <c r="V5" s="96">
        <f ca="1">VLOOKUP($U5,INDIRECT($R5&amp;"_阶段属性"),MATCH(V$3,属性标头_阶段属性,0),FALSE)*VLOOKUP($Q5,坦克个性化设定!$B$84:$D$114,2,FALSE)</f>
        <v>1027.2097183684232</v>
      </c>
      <c r="W5" s="96">
        <f ca="1">VLOOKUP($U5,INDIRECT($R5&amp;"_阶段属性"),MATCH(W$3,属性标头_阶段属性,0),FALSE)*VLOOKUP($Q5,坦克个性化设定!$B$84:$D$114,3,FALSE)</f>
        <v>33.773537717742343</v>
      </c>
      <c r="X5" s="131">
        <f t="shared" ca="1" si="0"/>
        <v>460</v>
      </c>
      <c r="Y5" s="131">
        <f t="shared" ca="1" si="0"/>
        <v>322</v>
      </c>
      <c r="Z5" s="131">
        <f t="shared" ca="1" si="0"/>
        <v>420</v>
      </c>
      <c r="AA5" s="131">
        <f t="shared" ca="1" si="0"/>
        <v>112</v>
      </c>
      <c r="AC5" s="195">
        <v>2</v>
      </c>
      <c r="AD5" s="193" t="str">
        <f t="shared" ref="AD5:AD33" si="7">VLOOKUP(AC5,$B$5:$C$35,2,FALSE)</f>
        <v>二号</v>
      </c>
      <c r="AE5" s="195">
        <f>VLOOKUP($AD5,坦克个性化细分!$I$3:$P$33,MATCH(AE$3,坦克个性化细分!$I$3:$P$3,0),FALSE)</f>
        <v>47.1</v>
      </c>
      <c r="AF5" s="195">
        <f>VLOOKUP($AD5,坦克个性化细分!$I$3:$P$33,MATCH(AF$3,坦克个性化细分!$I$3:$P$3,0),FALSE)</f>
        <v>45</v>
      </c>
      <c r="AG5" s="195">
        <f>VLOOKUP($AD5,坦克个性化细分!$I$3:$P$33,MATCH(AG$3,坦克个性化细分!$I$3:$P$3,0),FALSE)</f>
        <v>14.6</v>
      </c>
      <c r="AH5" s="206">
        <f>VLOOKUP(AD5,坦克个性化细分!$AA$3:$AP$33,MATCH("射击偏移角",坦克个性化细分!$AA$3:$AP$3,0),FALSE)/VLOOKUP(AD5,坦克个性化细分!$AA$3:$AP$33,MATCH("原瞄准速度",坦克个性化细分!$AA$3:$AP$3,0),FALSE)</f>
        <v>0.45833333333333337</v>
      </c>
      <c r="AI5" s="206">
        <f>VLOOKUP(AD5,坦克个性化细分!$AA$3:$AP$33,MATCH(AI$3,坦克个性化细分!$AA$3:$AP$3,0),FALSE)</f>
        <v>0.2</v>
      </c>
      <c r="AJ5" s="462">
        <f>VLOOKUP(AD5,坦克个性化细分!$AA$3:$AP$33,MATCH("原换弹时间",坦克个性化细分!$AA$3:$AP$3,0),FALSE)</f>
        <v>8.3999999999999986</v>
      </c>
      <c r="AK5" s="208"/>
      <c r="AL5" s="195">
        <v>2</v>
      </c>
      <c r="AM5" s="193" t="str">
        <f t="shared" ref="AM5:AM33" si="8">VLOOKUP(AL5,$B$5:$C$35,2,FALSE)</f>
        <v>二号</v>
      </c>
      <c r="AN5" s="206">
        <f>VLOOKUP(AM5,坦克个性化细分!$I$3:$P$33,MATCH("养成区间1",坦克个性化细分!$I$3:$P$3,0),FALSE)</f>
        <v>11.774999999999997</v>
      </c>
      <c r="AO5" s="462">
        <f>VLOOKUP(AM5,坦克个性化细分!$I$3:$P$33,MATCH("养成区间2",坦克个性化细分!$I$3:$P$3,0),FALSE)</f>
        <v>11.249999999999998</v>
      </c>
      <c r="AP5" s="462">
        <f>VLOOKUP(AM5,坦克个性化细分!$I$3:$P$33,MATCH("养成区间3",坦克个性化细分!$I$3:$P$3,0),FALSE)</f>
        <v>4.7699999999999996</v>
      </c>
      <c r="AQ5" s="206">
        <f>VLOOKUP(AM5,坦克个性化细分!$AA$3:$AP$33,MATCH("瞄准区间",坦克个性化细分!$AA$3:$AP$3,0),FALSE)</f>
        <v>7.6388888888888895E-2</v>
      </c>
      <c r="AR5" s="206">
        <f>VLOOKUP(AD5,坦克个性化细分!$AA$3:$AP$33,MATCH("后射击间隔",坦克个性化细分!$AA$3:$AP$3,0),FALSE)-VLOOKUP(AD5,坦克个性化细分!$AA$3:$AP$33,MATCH(AI$3,坦克个性化细分!$AA$3:$AP$3,0),FALSE)</f>
        <v>0</v>
      </c>
      <c r="AS5" s="206">
        <f>VLOOKUP(AM5,坦克个性化细分!$AA$3:$AP$33,MATCH("换弹区间",坦克个性化细分!$AA$3:$AP$3,0),FALSE)</f>
        <v>2.9570766855378272</v>
      </c>
      <c r="AT5" s="208"/>
      <c r="AU5" s="364" t="str">
        <f t="shared" ref="AU5:AU68" si="9">AW5&amp;AY5</f>
        <v>雷诺FT1</v>
      </c>
      <c r="AV5" s="137">
        <f>IF(AY4&gt;=VLOOKUP(VLOOKUP(AW4,坦克个性化设定!$B$18:$E$48,4,FALSE)&amp;AX4,坦克属性分配比例,MATCH("升星次数",坦克属性分配比例标头,0),FALSE),AV4+1,AV4)</f>
        <v>1</v>
      </c>
      <c r="AW5" s="131" t="str">
        <f t="shared" ref="AW5:AW68" si="10">VLOOKUP(AV5,$B$5:$C$35,2,FALSE)</f>
        <v>雷诺FT</v>
      </c>
      <c r="AX5" s="177" t="str">
        <f>VLOOKUP(AW5,坦克个性化细分!$I$3:$J$33,2,FALSE)</f>
        <v>低</v>
      </c>
      <c r="AY5" s="183">
        <f t="shared" si="1"/>
        <v>1</v>
      </c>
      <c r="AZ5" s="486">
        <f ca="1">ROUND(VLOOKUP($AW5&amp;"初始",$O$3:$AA$63,MATCH(AZ$3,$O$3:$AA$3,0),FALSE)+((VLOOKUP($AW5&amp;"最终",$O$3:$AA$63,MATCH(AZ$3,$O$3:$AA$3,0),FALSE)*坦克个性化细分!$C$9-VLOOKUP($AW5&amp;"初始",$O$3:$AA$63,MATCH(AZ$3,$O$3:$AA$3,0),FALSE))-(VLOOKUP($AW5&amp;"最终",$O$3:$AA$63,MATCH(AZ$3,$O$3:$AA$3,0),FALSE)-VLOOKUP($AW5&amp;"初始",$O$3:$AA$63,MATCH(AZ$3,$O$3:$AA$3,0),FALSE))*VLOOKUP(VLOOKUP($AW5,坦克个性化设定!$B$18:$E$48,4,FALSE)&amp;$AX5,坦克属性分配比例,MATCH("部件比例",坦克属性分配比例标头,0),FALSE))*$AY5/VLOOKUP(VLOOKUP($AW5,坦克个性化设定!$B$18:$E$48,4,FALSE)&amp;$AX5,坦克属性分配比例,MATCH("升星次数",坦克属性分配比例标头,0),FALSE),0)</f>
        <v>860</v>
      </c>
      <c r="BA5" s="426">
        <f ca="1">ROUND(VLOOKUP($AW5&amp;"初始",$O$3:$AA$63,MATCH(BA$3,$O$3:$AA$3,0),FALSE)+(VLOOKUP($AW5&amp;"最终",$O$3:$AA$63,MATCH(BA$3,$O$3:$AA$3,0),FALSE)-VLOOKUP($AW5&amp;"初始",$O$3:$AA$63,MATCH(BA$3,$O$3:$AA$3,0),FALSE))*$AY5/VLOOKUP(VLOOKUP($AW5,坦克个性化设定!$B$18:$E$48,4,FALSE)&amp;$AX5,坦克属性分配比例,MATCH("升星次数",坦克属性分配比例标头,0),FALSE)*VLOOKUP(VLOOKUP($AW5,坦克个性化设定!$B$18:$E$48,4,FALSE)&amp;$AX5,坦克属性分配比例,MATCH("升星比例",坦克属性分配比例标头,0),FALSE),0)</f>
        <v>25</v>
      </c>
      <c r="BB5" s="486">
        <f ca="1">ROUND(VLOOKUP($AW5&amp;"初始",$O$3:$AA$63,MATCH(BB$3,$O$3:$AA$3,0),FALSE)+(VLOOKUP($AW5&amp;"最终",$O$3:$AA$63,MATCH(BB$3,$O$3:$AA$3,0),FALSE)-VLOOKUP($AW5&amp;"初始",$O$3:$AA$63,MATCH(BB$3,$O$3:$AA$3,0),FALSE))*$AY5/VLOOKUP(VLOOKUP($AW5,坦克个性化设定!$B$18:$E$48,4,FALSE)&amp;$AX5,坦克属性分配比例,MATCH("升星次数",坦克属性分配比例标头,0),FALSE)*(VLOOKUP(VLOOKUP($AW5,坦克个性化设定!$B$18:$E$48,4,FALSE)&amp;$AX5,坦克属性分配比例,MATCH("升星比例",坦克属性分配比例标头,0),FALSE)+VLOOKUP(VLOOKUP($AW5,坦克个性化设定!$B$18:$E$48,4,FALSE)&amp;$AX5,坦克属性分配比例,MATCH("部件比例",坦克属性分配比例标头,0),FALSE)*$C$3),0)</f>
        <v>357</v>
      </c>
      <c r="BC5" s="486">
        <f ca="1">ROUND(VLOOKUP($AW5&amp;"初始",$O$3:$AA$63,MATCH(BC$3,$O$3:$AA$3,0),FALSE)+(VLOOKUP($AW5&amp;"最终",$O$3:$AA$63,MATCH(BC$3,$O$3:$AA$3,0),FALSE)-VLOOKUP($AW5&amp;"初始",$O$3:$AA$63,MATCH(BC$3,$O$3:$AA$3,0),FALSE))*$AY5/VLOOKUP(VLOOKUP($AW5,坦克个性化设定!$B$18:$E$48,4,FALSE)&amp;$AX5,坦克属性分配比例,MATCH("升星次数",坦克属性分配比例标头,0),FALSE)*(VLOOKUP(VLOOKUP($AW5,坦克个性化设定!$B$18:$E$48,4,FALSE)&amp;$AX5,坦克属性分配比例,MATCH("升星比例",坦克属性分配比例标头,0),FALSE)+VLOOKUP(VLOOKUP($AW5,坦克个性化设定!$B$18:$E$48,4,FALSE)&amp;$AX5,坦克属性分配比例,MATCH("部件比例",坦克属性分配比例标头,0),FALSE)*$C$3),0)</f>
        <v>250</v>
      </c>
      <c r="BD5" s="426">
        <f ca="1">ROUND(VLOOKUP($AW5&amp;"初始",$O$3:$AA$63,MATCH(BD$3,$O$3:$AA$3,0),FALSE)+(VLOOKUP($AW5&amp;"最终",$O$3:$AA$63,MATCH(BD$3,$O$3:$AA$3,0),FALSE)-VLOOKUP($AW5&amp;"初始",$O$3:$AA$63,MATCH(BD$3,$O$3:$AA$3,0),FALSE))*$AY5/VLOOKUP(VLOOKUP($AW5,坦克个性化设定!$B$18:$E$48,4,FALSE)&amp;$AX5,坦克属性分配比例,MATCH("升星次数",坦克属性分配比例标头,0),FALSE)*VLOOKUP(VLOOKUP($AW5,坦克个性化设定!$B$18:$E$48,4,FALSE)&amp;$AX5,坦克属性分配比例,MATCH("升星比例",坦克属性分配比例标头,0),FALSE),0)</f>
        <v>320</v>
      </c>
      <c r="BE5" s="426">
        <f ca="1">ROUND(VLOOKUP($AW5&amp;"初始",$O$3:$AA$63,MATCH(BE$3,$O$3:$AA$3,0),FALSE)+(VLOOKUP($AW5&amp;"最终",$O$3:$AA$63,MATCH(BE$3,$O$3:$AA$3,0),FALSE)-VLOOKUP($AW5&amp;"初始",$O$3:$AA$63,MATCH(BE$3,$O$3:$AA$3,0),FALSE))*$AY5/VLOOKUP(VLOOKUP($AW5,坦克个性化设定!$B$18:$E$48,4,FALSE)&amp;$AX5,坦克属性分配比例,MATCH("升星次数",坦克属性分配比例标头,0),FALSE),0)</f>
        <v>88</v>
      </c>
      <c r="BF5" s="462">
        <f>ROUND(VLOOKUP($AW5,$AD$3:$AJ$33,MATCH(BF$3,$AD$3:$AJ$3,0),FALSE)+$AY5/VLOOKUP(VLOOKUP($AW5,坦克个性化设定!$B$18:$E$48,4,FALSE)&amp;$AX5,坦克属性分配比例,MATCH("升星次数",坦克属性分配比例标头,0),FALSE)*VLOOKUP($AW5,$AM$3:$AS$33,MATCH(BF$3,$AM$3:$AS$3,0),FALSE),1)</f>
        <v>50</v>
      </c>
      <c r="BG5" s="462">
        <f>ROUND(VLOOKUP($AW5,$AD$3:$AJ$33,MATCH(BG$3,$AD$3:$AJ$3,0),FALSE)+$AY5/VLOOKUP(VLOOKUP($AW5,坦克个性化设定!$B$18:$E$48,4,FALSE)&amp;$AX5,坦克属性分配比例,MATCH("升星次数",坦克属性分配比例标头,0),FALSE)*VLOOKUP($AW5,$AM$3:$AS$33,MATCH(BG$3,$AM$3:$AS$3,0),FALSE),1)</f>
        <v>47.8</v>
      </c>
      <c r="BH5" s="462">
        <f>ROUND(VLOOKUP($AW5,$AD$3:$AJ$33,MATCH(BH$3,$AD$3:$AJ$3,0),FALSE)+$AY5/VLOOKUP(VLOOKUP($AW5,坦克个性化设定!$B$18:$E$48,4,FALSE)&amp;$AX5,坦克属性分配比例,MATCH("升星次数",坦克属性分配比例标头,0),FALSE)*VLOOKUP($AW5,$AM$3:$AS$33,MATCH(BH$3,$AM$3:$AS$3,0),FALSE),1)</f>
        <v>15.8</v>
      </c>
      <c r="BI5" s="654">
        <f>IF(VLOOKUP(AW5,坦克个性化设定!$B$18:$BB$48,MATCH("装弹类型",坦克个性化设定!$B$18:$BB$18,0),FALSE)="弹夹换弹",0,ROUND(VLOOKUP($AW5,$AD$3:$AJ$33,MATCH("换弹时间",$AD$3:$AJ$3,0),FALSE)-$AY5/VLOOKUP(VLOOKUP($AW5,坦克个性化设定!$B$18:$E$48,4,FALSE)&amp;$AX5,坦克属性分配比例,MATCH("升星次数",坦克属性分配比例标头,0),FALSE)*VLOOKUP($AW5,$AM$3:$AS$33,MATCH("换弹时间",$AM$3:$AS$3,0),FALSE),2))</f>
        <v>0</v>
      </c>
      <c r="BJ5" s="462">
        <f>IF(VLOOKUP(AW5,坦克个性化设定!$B$18:$BB$48,MATCH("装弹类型",坦克个性化设定!$B$18:$BB$18,0),FALSE)="弹夹换弹",ROUND(VLOOKUP($AW5,$AD$3:$AJ$33,MATCH("换弹时间",$AD$3:$AJ$3,0),FALSE)-$AY5/VLOOKUP(VLOOKUP($AW5,坦克个性化设定!$B$18:$E$48,4,FALSE)&amp;$AX5,坦克属性分配比例,MATCH("升星次数",坦克属性分配比例标头,0),FALSE)*VLOOKUP($AW5,$AM$3:$AS$33,MATCH("换弹时间",$AM$3:$AS$3,0),FALSE),1),0)</f>
        <v>7</v>
      </c>
      <c r="BK5" s="462">
        <f>ROUND(VLOOKUP($AW5,$AD$3:$AJ$33,MATCH(BK$3,$AD$3:$AJ$3,0),FALSE)+$AY5/VLOOKUP(VLOOKUP($AW5,坦克个性化设定!$B$18:$E$48,4,FALSE)&amp;$AX5,坦克属性分配比例,MATCH("升星次数",坦克属性分配比例标头,0),FALSE)*VLOOKUP($AW5,$AM$3:$AS$33,MATCH(BK$3,$AM$3:$AS$3,0),FALSE),2)</f>
        <v>0.28999999999999998</v>
      </c>
      <c r="BL5" s="462">
        <f>ROUND(VLOOKUP($AW5,$AD$3:$AJ$33,MATCH(BL$3,$AD$3:$AJ$3,0),FALSE)-$AY5/VLOOKUP(VLOOKUP($AW5,坦克个性化设定!$B$18:$E$48,4,FALSE)&amp;$AX5,坦克属性分配比例,MATCH("升星次数",坦克属性分配比例标头,0),FALSE)*VLOOKUP($AW5,$AM$3:$AS$33,MATCH(BL$3,$AM$3:$AS$3,0),FALSE),2)</f>
        <v>0.48</v>
      </c>
      <c r="BN5" s="137">
        <v>2</v>
      </c>
      <c r="BO5" s="131" t="str">
        <f t="shared" ref="BO5:BO33" si="11">VLOOKUP(BN5,$B$5:$C$35,2,FALSE)</f>
        <v>二号</v>
      </c>
      <c r="BP5" s="131" t="str">
        <f>VLOOKUP(BO5,坦克个性化设定!$B$18:$F$48,5,FALSE)</f>
        <v>轻坦弹夹</v>
      </c>
      <c r="BQ5" s="177" t="str">
        <f>VLOOKUP(BO5,坦克个性化细分!$I$3:$J$33,2,FALSE)</f>
        <v>低</v>
      </c>
      <c r="BR5" s="96">
        <f ca="1">(VLOOKUP($BO5&amp;"最终",$O$3:$AA$63,MATCH(BR$3,$O$3:$AA$3,0),FALSE)-VLOOKUP($BO5&amp;"初始",$O$3:$AA$63,MATCH(BR$3,$O$3:$AA$3,0),FALSE))*VLOOKUP(VLOOKUP($BO5,坦克个性化设定!$B$18:$E$48,4,FALSE)&amp;$BQ5,坦克属性分配比例,MATCH("部件比例",坦克属性分配比例标头,0),FALSE)</f>
        <v>197.7101137689921</v>
      </c>
      <c r="BS5" s="96">
        <f ca="1">(VLOOKUP($BO5&amp;"最终",$O$3:$AA$63,MATCH(BS$3,$O$3:$AA$3,0),FALSE)-VLOOKUP($BO5&amp;"初始",$O$3:$AA$63,MATCH(BS$3,$O$3:$AA$3,0),FALSE))*VLOOKUP(VLOOKUP($BO5,坦克个性化设定!$B$18:$E$48,4,FALSE)&amp;$BQ5,坦克属性分配比例,MATCH("部件比例",坦克属性分配比例标头,0),FALSE)</f>
        <v>6.5425160301591845</v>
      </c>
      <c r="BT5" s="96">
        <f ca="1">(VLOOKUP($BO5&amp;"最终",$O$3:$AA$63,MATCH(BT$3,$O$3:$AA$3,0),FALSE)-VLOOKUP($BO5&amp;"初始",$O$3:$AA$63,MATCH(BT$3,$O$3:$AA$3,0),FALSE))*VLOOKUP(VLOOKUP($BO5,坦克个性化设定!$B$18:$E$48,4,FALSE)&amp;$BQ5,坦克属性分配比例,MATCH("部件比例",坦克属性分配比例标头,0),FALSE)*(1-$C$3)</f>
        <v>34.987199999999994</v>
      </c>
      <c r="BU5" s="96">
        <f ca="1">(VLOOKUP($BO5&amp;"最终",$O$3:$AA$63,MATCH(BU$3,$O$3:$AA$3,0),FALSE)-VLOOKUP($BO5&amp;"初始",$O$3:$AA$63,MATCH(BU$3,$O$3:$AA$3,0),FALSE))*VLOOKUP(VLOOKUP($BO5,坦克个性化设定!$B$18:$E$48,4,FALSE)&amp;$BQ5,坦克属性分配比例,MATCH("部件比例",坦克属性分配比例标头,0),FALSE)*(1-$C$3)</f>
        <v>24.508799999999994</v>
      </c>
      <c r="BV5" s="96">
        <f ca="1">(VLOOKUP($BO5&amp;"最终",$O$3:$AA$63,MATCH(BV$3,$O$3:$AA$3,0),FALSE)-VLOOKUP($BO5&amp;"初始",$O$3:$AA$63,MATCH(BV$3,$O$3:$AA$3,0),FALSE))*VLOOKUP(VLOOKUP($BO5,坦克个性化设定!$B$18:$E$48,4,FALSE)&amp;$BQ5,坦克属性分配比例,MATCH("部件比例",坦克属性分配比例标头,0),FALSE)</f>
        <v>79.919999999999987</v>
      </c>
    </row>
    <row r="6" spans="2:74" x14ac:dyDescent="0.35">
      <c r="B6" s="137">
        <v>1</v>
      </c>
      <c r="C6" s="130" t="str">
        <f>坦克个性化设定!B19</f>
        <v>雷诺FT</v>
      </c>
      <c r="D6" s="84"/>
      <c r="E6" s="175" t="str">
        <f>坦克等级成长!B15&amp;坦克等级成长!C15</f>
        <v>T2中</v>
      </c>
      <c r="F6" s="183">
        <f>坦克等级成长!M5</f>
        <v>11</v>
      </c>
      <c r="G6" s="654">
        <f>坦克等级成长!J15</f>
        <v>1.23</v>
      </c>
      <c r="H6" s="654">
        <f>坦克等级成长!K15</f>
        <v>2.39</v>
      </c>
      <c r="I6" s="654">
        <f>坦克等级成长!E15</f>
        <v>4</v>
      </c>
      <c r="J6" s="654">
        <f>IFERROR(VLOOKUP(I6,坦克部件!$M$3:$Q$9,5,FALSE),VLOOKUP(I6-1,坦克部件!$M$3:$Q$9,5,FALSE))</f>
        <v>0.30199999999999999</v>
      </c>
      <c r="K6" s="654">
        <f t="shared" si="2"/>
        <v>0.37145999999999996</v>
      </c>
      <c r="L6" s="467">
        <f t="shared" si="3"/>
        <v>0.67977586206896556</v>
      </c>
      <c r="M6" s="677">
        <f t="shared" si="4"/>
        <v>0.32022413793103438</v>
      </c>
      <c r="N6" s="84"/>
      <c r="O6" s="426" t="str">
        <f t="shared" si="5"/>
        <v>二号初始</v>
      </c>
      <c r="P6" s="137">
        <f>IF(COUNTIF(Q$4:Q5,Q5)&gt;=$B$3,P5+1,P5)</f>
        <v>2</v>
      </c>
      <c r="Q6" s="131" t="str">
        <f t="shared" si="6"/>
        <v>二号</v>
      </c>
      <c r="R6" s="131" t="str">
        <f>VLOOKUP(Q6,坦克个性化设定!$B$18:$F$48,5,FALSE)</f>
        <v>轻坦弹夹</v>
      </c>
      <c r="S6" s="177" t="str">
        <f>VLOOKUP(Q6,坦克个性化细分!$I$3:$J$33,2,FALSE)</f>
        <v>低</v>
      </c>
      <c r="T6" s="137" t="str">
        <f>T4</f>
        <v>初始</v>
      </c>
      <c r="U6" s="178" t="str">
        <f>VLOOKUP(VLOOKUP(Q6,坦克个性化设定!$B$18:$F$48,4,FALSE)&amp;S6,坦克等级成长!$P$12:$U$24,MATCH(T6,坦克等级成长!$P$12:$U$12,0),FALSE)</f>
        <v>T2低2</v>
      </c>
      <c r="V6" s="96">
        <f ca="1">VLOOKUP($U6,INDIRECT($R6&amp;"_阶段属性"),MATCH(V$3,属性标头_阶段属性,0),FALSE)*VLOOKUP($Q6,坦克个性化设定!$B$84:$D$114,2,FALSE)</f>
        <v>890.58609805852313</v>
      </c>
      <c r="W6" s="96">
        <f ca="1">VLOOKUP($U6,INDIRECT($R6&amp;"_阶段属性"),MATCH(W$3,属性标头_阶段属性,0),FALSE)*VLOOKUP($Q6,坦克个性化设定!$B$84:$D$114,3,FALSE)</f>
        <v>29.47079292864499</v>
      </c>
      <c r="X6" s="131">
        <f t="shared" ca="1" si="0"/>
        <v>394</v>
      </c>
      <c r="Y6" s="131">
        <f t="shared" ca="1" si="0"/>
        <v>276</v>
      </c>
      <c r="Z6" s="131">
        <f t="shared" ca="1" si="0"/>
        <v>360</v>
      </c>
      <c r="AA6" s="131">
        <f t="shared" ca="1" si="0"/>
        <v>96</v>
      </c>
      <c r="AC6" s="195">
        <v>3</v>
      </c>
      <c r="AD6" s="193" t="str">
        <f t="shared" si="7"/>
        <v>Puma</v>
      </c>
      <c r="AE6" s="195">
        <f>VLOOKUP($AD6,坦克个性化细分!$I$3:$P$33,MATCH(AE$3,坦克个性化细分!$I$3:$P$3,0),FALSE)</f>
        <v>43.3</v>
      </c>
      <c r="AF6" s="195">
        <f>VLOOKUP($AD6,坦克个性化细分!$I$3:$P$33,MATCH(AF$3,坦克个性化细分!$I$3:$P$3,0),FALSE)</f>
        <v>51</v>
      </c>
      <c r="AG6" s="195">
        <f>VLOOKUP($AD6,坦克个性化细分!$I$3:$P$33,MATCH(AG$3,坦克个性化细分!$I$3:$P$3,0),FALSE)</f>
        <v>14.1</v>
      </c>
      <c r="AH6" s="206">
        <f>VLOOKUP(AD6,坦克个性化细分!$AA$3:$AP$33,MATCH("射击偏移角",坦克个性化细分!$AA$3:$AP$3,0),FALSE)/VLOOKUP(AD6,坦克个性化细分!$AA$3:$AP$33,MATCH("原瞄准速度",坦克个性化细分!$AA$3:$AP$3,0),FALSE)</f>
        <v>1.2250000000000001</v>
      </c>
      <c r="AI6" s="206">
        <f>VLOOKUP(AD6,坦克个性化细分!$AA$3:$AP$33,MATCH(AI$3,坦克个性化细分!$AA$3:$AP$3,0),FALSE)</f>
        <v>0.4</v>
      </c>
      <c r="AJ6" s="462">
        <f>VLOOKUP(AD6,坦克个性化细分!$AA$3:$AP$33,MATCH("原换弹时间",坦克个性化细分!$AA$3:$AP$3,0),FALSE)</f>
        <v>1.0499999999999998</v>
      </c>
      <c r="AK6" s="208"/>
      <c r="AL6" s="195">
        <v>3</v>
      </c>
      <c r="AM6" s="193" t="str">
        <f t="shared" si="8"/>
        <v>Puma</v>
      </c>
      <c r="AN6" s="206">
        <f>VLOOKUP(AM6,坦克个性化细分!$I$3:$P$33,MATCH("养成区间1",坦克个性化细分!$I$3:$P$3,0),FALSE)</f>
        <v>10.824999999999996</v>
      </c>
      <c r="AO6" s="462">
        <f>VLOOKUP(AM6,坦克个性化细分!$I$3:$P$33,MATCH("养成区间2",坦克个性化细分!$I$3:$P$3,0),FALSE)</f>
        <v>12.749999999999996</v>
      </c>
      <c r="AP6" s="462">
        <f>VLOOKUP(AM6,坦克个性化细分!$I$3:$P$33,MATCH("养成区间3",坦克个性化细分!$I$3:$P$3,0),FALSE)</f>
        <v>4.6100000000000003</v>
      </c>
      <c r="AQ6" s="206">
        <f>VLOOKUP(AM6,坦克个性化细分!$AA$3:$AP$33,MATCH("瞄准区间",坦克个性化细分!$AA$3:$AP$3,0),FALSE)</f>
        <v>0.20416666666666683</v>
      </c>
      <c r="AR6" s="206">
        <f>VLOOKUP(AD6,坦克个性化细分!$AA$3:$AP$33,MATCH("后射击间隔",坦克个性化细分!$AA$3:$AP$3,0),FALSE)-VLOOKUP(AD6,坦克个性化细分!$AA$3:$AP$33,MATCH(AI$3,坦克个性化细分!$AA$3:$AP$3,0),FALSE)</f>
        <v>0</v>
      </c>
      <c r="AS6" s="206">
        <f>VLOOKUP(AM6,坦克个性化细分!$AA$3:$AP$33,MATCH("换弹区间",坦克个性化细分!$AA$3:$AP$3,0),FALSE)</f>
        <v>0.25540540540540546</v>
      </c>
      <c r="AT6" s="208"/>
      <c r="AU6" s="364" t="str">
        <f t="shared" si="9"/>
        <v>雷诺FT2</v>
      </c>
      <c r="AV6" s="183">
        <f>IF(AY5&gt;=VLOOKUP(VLOOKUP(AW5,坦克个性化设定!$B$18:$E$48,4,FALSE)&amp;AX5,坦克属性分配比例,MATCH("升星次数",坦克属性分配比例标头,0),FALSE),AV5+1,AV5)</f>
        <v>1</v>
      </c>
      <c r="AW6" s="131" t="str">
        <f t="shared" si="10"/>
        <v>雷诺FT</v>
      </c>
      <c r="AX6" s="177" t="str">
        <f>VLOOKUP(AW6,坦克个性化细分!$I$3:$J$33,2,FALSE)</f>
        <v>低</v>
      </c>
      <c r="AY6" s="183">
        <f t="shared" si="1"/>
        <v>2</v>
      </c>
      <c r="AZ6" s="486">
        <f ca="1">ROUND(VLOOKUP($AW6&amp;"初始",$O$3:$AA$63,MATCH(AZ$3,$O$3:$AA$3,0),FALSE)+((VLOOKUP($AW6&amp;"最终",$O$3:$AA$63,MATCH(AZ$3,$O$3:$AA$3,0),FALSE)*坦克个性化细分!$C$9-VLOOKUP($AW6&amp;"初始",$O$3:$AA$63,MATCH(AZ$3,$O$3:$AA$3,0),FALSE))-(VLOOKUP($AW6&amp;"最终",$O$3:$AA$63,MATCH(AZ$3,$O$3:$AA$3,0),FALSE)-VLOOKUP($AW6&amp;"初始",$O$3:$AA$63,MATCH(AZ$3,$O$3:$AA$3,0),FALSE))*VLOOKUP(VLOOKUP($AW6,坦克个性化设定!$B$18:$E$48,4,FALSE)&amp;$AX6,坦克属性分配比例,MATCH("部件比例",坦克属性分配比例标头,0),FALSE))*$AY6/VLOOKUP(VLOOKUP($AW6,坦克个性化设定!$B$18:$E$48,4,FALSE)&amp;$AX6,坦克属性分配比例,MATCH("升星次数",坦克属性分配比例标头,0),FALSE),0)</f>
        <v>986</v>
      </c>
      <c r="BA6" s="426">
        <f ca="1">ROUND(VLOOKUP($AW6&amp;"初始",$O$3:$AA$63,MATCH(BA$3,$O$3:$AA$3,0),FALSE)+(VLOOKUP($AW6&amp;"最终",$O$3:$AA$63,MATCH(BA$3,$O$3:$AA$3,0),FALSE)-VLOOKUP($AW6&amp;"初始",$O$3:$AA$63,MATCH(BA$3,$O$3:$AA$3,0),FALSE))*$AY6/VLOOKUP(VLOOKUP($AW6,坦克个性化设定!$B$18:$E$48,4,FALSE)&amp;$AX6,坦克属性分配比例,MATCH("升星次数",坦克属性分配比例标头,0),FALSE)*VLOOKUP(VLOOKUP($AW6,坦克个性化设定!$B$18:$E$48,4,FALSE)&amp;$AX6,坦克属性分配比例,MATCH("升星比例",坦克属性分配比例标头,0),FALSE),0)</f>
        <v>27</v>
      </c>
      <c r="BB6" s="486">
        <f ca="1">ROUND(VLOOKUP($AW6&amp;"初始",$O$3:$AA$63,MATCH(BB$3,$O$3:$AA$3,0),FALSE)+(VLOOKUP($AW6&amp;"最终",$O$3:$AA$63,MATCH(BB$3,$O$3:$AA$3,0),FALSE)-VLOOKUP($AW6&amp;"初始",$O$3:$AA$63,MATCH(BB$3,$O$3:$AA$3,0),FALSE))*$AY6/VLOOKUP(VLOOKUP($AW6,坦克个性化设定!$B$18:$E$48,4,FALSE)&amp;$AX6,坦克属性分配比例,MATCH("升星次数",坦克属性分配比例标头,0),FALSE)*(VLOOKUP(VLOOKUP($AW6,坦克个性化设定!$B$18:$E$48,4,FALSE)&amp;$AX6,坦克属性分配比例,MATCH("升星比例",坦克属性分配比例标头,0),FALSE)+VLOOKUP(VLOOKUP($AW6,坦克个性化设定!$B$18:$E$48,4,FALSE)&amp;$AX6,坦克属性分配比例,MATCH("部件比例",坦克属性分配比例标头,0),FALSE)*$C$3),0)</f>
        <v>386</v>
      </c>
      <c r="BC6" s="486">
        <f ca="1">ROUND(VLOOKUP($AW6&amp;"初始",$O$3:$AA$63,MATCH(BC$3,$O$3:$AA$3,0),FALSE)+(VLOOKUP($AW6&amp;"最终",$O$3:$AA$63,MATCH(BC$3,$O$3:$AA$3,0),FALSE)-VLOOKUP($AW6&amp;"初始",$O$3:$AA$63,MATCH(BC$3,$O$3:$AA$3,0),FALSE))*$AY6/VLOOKUP(VLOOKUP($AW6,坦克个性化设定!$B$18:$E$48,4,FALSE)&amp;$AX6,坦克属性分配比例,MATCH("升星次数",坦克属性分配比例标头,0),FALSE)*(VLOOKUP(VLOOKUP($AW6,坦克个性化设定!$B$18:$E$48,4,FALSE)&amp;$AX6,坦克属性分配比例,MATCH("升星比例",坦克属性分配比例标头,0),FALSE)+VLOOKUP(VLOOKUP($AW6,坦克个性化设定!$B$18:$E$48,4,FALSE)&amp;$AX6,坦克属性分配比例,MATCH("部件比例",坦克属性分配比例标头,0),FALSE)*$C$3),0)</f>
        <v>270</v>
      </c>
      <c r="BD6" s="426">
        <f ca="1">ROUND(VLOOKUP($AW6&amp;"初始",$O$3:$AA$63,MATCH(BD$3,$O$3:$AA$3,0),FALSE)+(VLOOKUP($AW6&amp;"最终",$O$3:$AA$63,MATCH(BD$3,$O$3:$AA$3,0),FALSE)-VLOOKUP($AW6&amp;"初始",$O$3:$AA$63,MATCH(BD$3,$O$3:$AA$3,0),FALSE))*$AY6/VLOOKUP(VLOOKUP($AW6,坦克个性化设定!$B$18:$E$48,4,FALSE)&amp;$AX6,坦克属性分配比例,MATCH("升星次数",坦克属性分配比例标头,0),FALSE)*VLOOKUP(VLOOKUP($AW6,坦克个性化设定!$B$18:$E$48,4,FALSE)&amp;$AX6,坦克属性分配比例,MATCH("升星比例",坦克属性分配比例标头,0),FALSE),0)</f>
        <v>340</v>
      </c>
      <c r="BE6" s="426">
        <f ca="1">ROUND(VLOOKUP($AW6&amp;"初始",$O$3:$AA$63,MATCH(BE$3,$O$3:$AA$3,0),FALSE)+(VLOOKUP($AW6&amp;"最终",$O$3:$AA$63,MATCH(BE$3,$O$3:$AA$3,0),FALSE)-VLOOKUP($AW6&amp;"初始",$O$3:$AA$63,MATCH(BE$3,$O$3:$AA$3,0),FALSE))*$AY6/VLOOKUP(VLOOKUP($AW6,坦克个性化设定!$B$18:$E$48,4,FALSE)&amp;$AX6,坦克属性分配比例,MATCH("升星次数",坦克属性分配比例标头,0),FALSE),0)</f>
        <v>96</v>
      </c>
      <c r="BF6" s="462">
        <f>ROUND(VLOOKUP($AW6,$AD$3:$AJ$33,MATCH(BF$3,$AD$3:$AJ$3,0),FALSE)+$AY6/VLOOKUP(VLOOKUP($AW6,坦克个性化设定!$B$18:$E$48,4,FALSE)&amp;$AX6,坦克属性分配比例,MATCH("升星次数",坦克属性分配比例标头,0),FALSE)*VLOOKUP($AW6,$AM$3:$AS$33,MATCH(BF$3,$AM$3:$AS$3,0),FALSE),1)</f>
        <v>53</v>
      </c>
      <c r="BG6" s="462">
        <f>ROUND(VLOOKUP($AW6,$AD$3:$AJ$33,MATCH(BG$3,$AD$3:$AJ$3,0),FALSE)+$AY6/VLOOKUP(VLOOKUP($AW6,坦克个性化设定!$B$18:$E$48,4,FALSE)&amp;$AX6,坦克属性分配比例,MATCH("升星次数",坦克属性分配比例标头,0),FALSE)*VLOOKUP($AW6,$AM$3:$AS$33,MATCH(BG$3,$AM$3:$AS$3,0),FALSE),1)</f>
        <v>50.6</v>
      </c>
      <c r="BH6" s="462">
        <f>ROUND(VLOOKUP($AW6,$AD$3:$AJ$33,MATCH(BH$3,$AD$3:$AJ$3,0),FALSE)+$AY6/VLOOKUP(VLOOKUP($AW6,坦克个性化设定!$B$18:$E$48,4,FALSE)&amp;$AX6,坦克属性分配比例,MATCH("升星次数",坦克属性分配比例标头,0),FALSE)*VLOOKUP($AW6,$AM$3:$AS$33,MATCH(BH$3,$AM$3:$AS$3,0),FALSE),1)</f>
        <v>17</v>
      </c>
      <c r="BI6" s="654">
        <f>IF(VLOOKUP(AW6,坦克个性化设定!$B$18:$BB$48,MATCH("装弹类型",坦克个性化设定!$B$18:$BB$18,0),FALSE)="弹夹换弹",0,ROUND(VLOOKUP($AW6,$AD$3:$AJ$33,MATCH("换弹时间",$AD$3:$AJ$3,0),FALSE)-$AY6/VLOOKUP(VLOOKUP($AW6,坦克个性化设定!$B$18:$E$48,4,FALSE)&amp;$AX6,坦克属性分配比例,MATCH("升星次数",坦克属性分配比例标头,0),FALSE)*VLOOKUP($AW6,$AM$3:$AS$33,MATCH("换弹时间",$AM$3:$AS$3,0),FALSE),2))</f>
        <v>0</v>
      </c>
      <c r="BJ6" s="462">
        <f>IF(VLOOKUP(AW6,坦克个性化设定!$B$18:$BB$48,MATCH("装弹类型",坦克个性化设定!$B$18:$BB$18,0),FALSE)="弹夹换弹",ROUND(VLOOKUP($AW6,$AD$3:$AJ$33,MATCH("换弹时间",$AD$3:$AJ$3,0),FALSE)-$AY6/VLOOKUP(VLOOKUP($AW6,坦克个性化设定!$B$18:$E$48,4,FALSE)&amp;$AX6,坦克属性分配比例,MATCH("升星次数",坦克属性分配比例标头,0),FALSE)*VLOOKUP($AW6,$AM$3:$AS$33,MATCH("换弹时间",$AM$3:$AS$3,0),FALSE),1),0)</f>
        <v>6.3</v>
      </c>
      <c r="BK6" s="462">
        <f>ROUND(VLOOKUP($AW6,$AD$3:$AJ$33,MATCH(BK$3,$AD$3:$AJ$3,0),FALSE)+$AY6/VLOOKUP(VLOOKUP($AW6,坦克个性化设定!$B$18:$E$48,4,FALSE)&amp;$AX6,坦克属性分配比例,MATCH("升星次数",坦克属性分配比例标头,0),FALSE)*VLOOKUP($AW6,$AM$3:$AS$33,MATCH(BK$3,$AM$3:$AS$3,0),FALSE),2)</f>
        <v>0.28000000000000003</v>
      </c>
      <c r="BL6" s="462">
        <f>ROUND(VLOOKUP($AW6,$AD$3:$AJ$33,MATCH(BL$3,$AD$3:$AJ$3,0),FALSE)-$AY6/VLOOKUP(VLOOKUP($AW6,坦克个性化设定!$B$18:$E$48,4,FALSE)&amp;$AX6,坦克属性分配比例,MATCH("升星次数",坦克属性分配比例标头,0),FALSE)*VLOOKUP($AW6,$AM$3:$AS$33,MATCH(BL$3,$AM$3:$AS$3,0),FALSE),2)</f>
        <v>0.46</v>
      </c>
      <c r="BN6" s="183">
        <v>3</v>
      </c>
      <c r="BO6" s="131" t="str">
        <f t="shared" si="11"/>
        <v>Puma</v>
      </c>
      <c r="BP6" s="131" t="str">
        <f>VLOOKUP(BO6,坦克个性化设定!$B$18:$F$48,5,FALSE)</f>
        <v>轻坦半自动</v>
      </c>
      <c r="BQ6" s="177" t="str">
        <f>VLOOKUP(BO6,坦克个性化细分!$I$3:$J$33,2,FALSE)</f>
        <v>中</v>
      </c>
      <c r="BR6" s="96">
        <f ca="1">(VLOOKUP($BO6&amp;"最终",$O$3:$AA$63,MATCH(BR$3,$O$3:$AA$3,0),FALSE)-VLOOKUP($BO6&amp;"初始",$O$3:$AA$63,MATCH(BR$3,$O$3:$AA$3,0),FALSE))*VLOOKUP(VLOOKUP($BO6,坦克个性化设定!$B$18:$E$48,4,FALSE)&amp;$BQ6,坦克属性分配比例,MATCH("部件比例",坦克属性分配比例标头,0),FALSE)</f>
        <v>320.7922772693916</v>
      </c>
      <c r="BS6" s="96">
        <f ca="1">(VLOOKUP($BO6&amp;"最终",$O$3:$AA$63,MATCH(BS$3,$O$3:$AA$3,0),FALSE)-VLOOKUP($BO6&amp;"初始",$O$3:$AA$63,MATCH(BS$3,$O$3:$AA$3,0),FALSE))*VLOOKUP(VLOOKUP($BO6,坦克个性化设定!$B$18:$E$48,4,FALSE)&amp;$BQ6,坦克属性分配比例,MATCH("部件比例",坦克属性分配比例标头,0),FALSE)</f>
        <v>13.935399332513187</v>
      </c>
      <c r="BT6" s="96">
        <f ca="1">(VLOOKUP($BO6&amp;"最终",$O$3:$AA$63,MATCH(BT$3,$O$3:$AA$3,0),FALSE)-VLOOKUP($BO6&amp;"初始",$O$3:$AA$63,MATCH(BT$3,$O$3:$AA$3,0),FALSE))*VLOOKUP(VLOOKUP($BO6,坦克个性化设定!$B$18:$E$48,4,FALSE)&amp;$BQ6,坦克属性分配比例,MATCH("部件比例",坦克属性分配比例标头,0),FALSE)*(1-$C$3)</f>
        <v>44.575199999999988</v>
      </c>
      <c r="BU6" s="96">
        <f ca="1">(VLOOKUP($BO6&amp;"最终",$O$3:$AA$63,MATCH(BU$3,$O$3:$AA$3,0),FALSE)-VLOOKUP($BO6&amp;"初始",$O$3:$AA$63,MATCH(BU$3,$O$3:$AA$3,0),FALSE))*VLOOKUP(VLOOKUP($BO6,坦克个性化设定!$B$18:$E$48,4,FALSE)&amp;$BQ6,坦克属性分配比例,MATCH("部件比例",坦克属性分配比例标头,0),FALSE)*(1-$C$3)</f>
        <v>31.253875862068959</v>
      </c>
      <c r="BV6" s="96">
        <f ca="1">(VLOOKUP($BO6&amp;"最终",$O$3:$AA$63,MATCH(BV$3,$O$3:$AA$3,0),FALSE)-VLOOKUP($BO6&amp;"初始",$O$3:$AA$63,MATCH(BV$3,$O$3:$AA$3,0),FALSE))*VLOOKUP(VLOOKUP($BO6,坦克个性化设定!$B$18:$E$48,4,FALSE)&amp;$BQ6,坦克属性分配比例,MATCH("部件比例",坦克属性分配比例标头,0),FALSE)</f>
        <v>111.43799999999996</v>
      </c>
    </row>
    <row r="7" spans="2:74" x14ac:dyDescent="0.35">
      <c r="B7" s="137">
        <v>2</v>
      </c>
      <c r="C7" s="176" t="str">
        <f>坦克个性化设定!B20</f>
        <v>二号</v>
      </c>
      <c r="D7" s="84"/>
      <c r="E7" s="175" t="str">
        <f>坦克等级成长!B16&amp;坦克等级成长!C16</f>
        <v>T3低</v>
      </c>
      <c r="F7" s="183">
        <f>坦克等级成长!L6</f>
        <v>8</v>
      </c>
      <c r="G7" s="654">
        <f>坦克等级成长!J16</f>
        <v>1.5</v>
      </c>
      <c r="H7" s="654">
        <f>坦克等级成长!K16</f>
        <v>2.2999999999999998</v>
      </c>
      <c r="I7" s="654">
        <f>坦克等级成长!E16</f>
        <v>4</v>
      </c>
      <c r="J7" s="654">
        <f>IFERROR(VLOOKUP(I7,坦克部件!$M$3:$Q$9,5,FALSE),VLOOKUP(I7-1,坦克部件!$M$3:$Q$9,5,FALSE))</f>
        <v>0.30199999999999999</v>
      </c>
      <c r="K7" s="654">
        <f t="shared" si="2"/>
        <v>0.45299999999999996</v>
      </c>
      <c r="L7" s="467">
        <f t="shared" si="3"/>
        <v>0.43374999999999997</v>
      </c>
      <c r="M7" s="677">
        <f t="shared" si="4"/>
        <v>0.56625000000000003</v>
      </c>
      <c r="N7" s="84"/>
      <c r="O7" s="426" t="str">
        <f t="shared" si="5"/>
        <v>二号最终</v>
      </c>
      <c r="P7" s="137">
        <f>IF(COUNTIF(Q$4:Q6,Q6)&gt;=$B$3,P6+1,P6)</f>
        <v>2</v>
      </c>
      <c r="Q7" s="131" t="str">
        <f t="shared" si="6"/>
        <v>二号</v>
      </c>
      <c r="R7" s="131" t="str">
        <f>VLOOKUP(Q7,坦克个性化设定!$B$18:$F$48,5,FALSE)</f>
        <v>轻坦弹夹</v>
      </c>
      <c r="S7" s="177" t="str">
        <f>VLOOKUP(Q7,坦克个性化细分!$I$3:$J$33,2,FALSE)</f>
        <v>低</v>
      </c>
      <c r="T7" s="137" t="str">
        <f t="shared" ref="T7:T63" si="12">T5</f>
        <v>最终</v>
      </c>
      <c r="U7" s="178" t="str">
        <f>VLOOKUP(VLOOKUP(Q7,坦克个性化设定!$B$18:$F$48,4,FALSE)&amp;S7,坦克等级成长!$P$12:$U$24,MATCH(T7,坦克等级成长!$P$12:$U$12,0),FALSE)</f>
        <v>T2低3</v>
      </c>
      <c r="V7" s="96">
        <f ca="1">VLOOKUP($U7,INDIRECT($R7&amp;"_阶段属性"),MATCH(V$3,属性标头_阶段属性,0),FALSE)*VLOOKUP($Q7,坦克个性化设定!$B$84:$D$114,2,FALSE)</f>
        <v>1335.8791470877848</v>
      </c>
      <c r="W7" s="96">
        <f ca="1">VLOOKUP($U7,INDIRECT($R7&amp;"_阶段属性"),MATCH(W$3,属性标头_阶段属性,0),FALSE)*VLOOKUP($Q7,坦克个性化设定!$B$84:$D$114,3,FALSE)</f>
        <v>44.206189392967481</v>
      </c>
      <c r="X7" s="131">
        <f t="shared" ca="1" si="0"/>
        <v>591</v>
      </c>
      <c r="Y7" s="131">
        <f t="shared" ca="1" si="0"/>
        <v>414</v>
      </c>
      <c r="Z7" s="131">
        <f t="shared" ca="1" si="0"/>
        <v>540</v>
      </c>
      <c r="AA7" s="131">
        <f t="shared" ca="1" si="0"/>
        <v>144</v>
      </c>
      <c r="AC7" s="195">
        <v>4</v>
      </c>
      <c r="AD7" s="193" t="str">
        <f t="shared" si="7"/>
        <v>35(t)</v>
      </c>
      <c r="AE7" s="195">
        <f>VLOOKUP($AD7,坦克个性化细分!$I$3:$P$33,MATCH(AE$3,坦克个性化细分!$I$3:$P$3,0),FALSE)</f>
        <v>42.4</v>
      </c>
      <c r="AF7" s="195">
        <f>VLOOKUP($AD7,坦克个性化细分!$I$3:$P$33,MATCH(AF$3,坦克个性化细分!$I$3:$P$3,0),FALSE)</f>
        <v>50</v>
      </c>
      <c r="AG7" s="195">
        <f>VLOOKUP($AD7,坦克个性化细分!$I$3:$P$33,MATCH(AG$3,坦克个性化细分!$I$3:$P$3,0),FALSE)</f>
        <v>13.9</v>
      </c>
      <c r="AH7" s="206">
        <f>VLOOKUP(AD7,坦克个性化细分!$AA$3:$AP$33,MATCH("射击偏移角",坦克个性化细分!$AA$3:$AP$3,0),FALSE)/VLOOKUP(AD7,坦克个性化细分!$AA$3:$AP$33,MATCH("原瞄准速度",坦克个性化细分!$AA$3:$AP$3,0),FALSE)</f>
        <v>0.95</v>
      </c>
      <c r="AI7" s="206">
        <f>VLOOKUP(AD7,坦克个性化细分!$AA$3:$AP$33,MATCH(AI$3,坦克个性化细分!$AA$3:$AP$3,0),FALSE)</f>
        <v>0.4</v>
      </c>
      <c r="AJ7" s="462">
        <f>VLOOKUP(AD7,坦克个性化细分!$AA$3:$AP$33,MATCH("原换弹时间",坦克个性化细分!$AA$3:$AP$3,0),FALSE)</f>
        <v>1.4</v>
      </c>
      <c r="AK7" s="208"/>
      <c r="AL7" s="195">
        <v>4</v>
      </c>
      <c r="AM7" s="193" t="str">
        <f t="shared" si="8"/>
        <v>35(t)</v>
      </c>
      <c r="AN7" s="206">
        <f>VLOOKUP(AM7,坦克个性化细分!$I$3:$P$33,MATCH("养成区间1",坦克个性化细分!$I$3:$P$3,0),FALSE)</f>
        <v>10.599999999999996</v>
      </c>
      <c r="AO7" s="462">
        <f>VLOOKUP(AM7,坦克个性化细分!$I$3:$P$33,MATCH("养成区间2",坦克个性化细分!$I$3:$P$3,0),FALSE)</f>
        <v>12.499999999999996</v>
      </c>
      <c r="AP7" s="462">
        <f>VLOOKUP(AM7,坦克个性化细分!$I$3:$P$33,MATCH("养成区间3",坦克个性化细分!$I$3:$P$3,0),FALSE)</f>
        <v>4.54</v>
      </c>
      <c r="AQ7" s="206">
        <f>VLOOKUP(AM7,坦克个性化细分!$AA$3:$AP$33,MATCH("瞄准区间",坦克个性化细分!$AA$3:$AP$3,0),FALSE)</f>
        <v>0.15833333333333333</v>
      </c>
      <c r="AR7" s="206">
        <f>VLOOKUP(AD7,坦克个性化细分!$AA$3:$AP$33,MATCH("后射击间隔",坦克个性化细分!$AA$3:$AP$3,0),FALSE)-VLOOKUP(AD7,坦克个性化细分!$AA$3:$AP$33,MATCH(AI$3,坦克个性化细分!$AA$3:$AP$3,0),FALSE)</f>
        <v>0</v>
      </c>
      <c r="AS7" s="206">
        <f>VLOOKUP(AM7,坦克个性化细分!$AA$3:$AP$33,MATCH("换弹区间",坦克个性化细分!$AA$3:$AP$3,0),FALSE)</f>
        <v>0.35790554414784381</v>
      </c>
      <c r="AT7" s="208"/>
      <c r="AU7" s="364" t="str">
        <f t="shared" si="9"/>
        <v>雷诺FT3</v>
      </c>
      <c r="AV7" s="183">
        <f>IF(AY6&gt;=VLOOKUP(VLOOKUP(AW6,坦克个性化设定!$B$18:$E$48,4,FALSE)&amp;AX6,坦克属性分配比例,MATCH("升星次数",坦克属性分配比例标头,0),FALSE),AV6+1,AV6)</f>
        <v>1</v>
      </c>
      <c r="AW7" s="131" t="str">
        <f t="shared" si="10"/>
        <v>雷诺FT</v>
      </c>
      <c r="AX7" s="177" t="str">
        <f>VLOOKUP(AW7,坦克个性化细分!$I$3:$J$33,2,FALSE)</f>
        <v>低</v>
      </c>
      <c r="AY7" s="183">
        <f t="shared" si="1"/>
        <v>3</v>
      </c>
      <c r="AZ7" s="486">
        <f ca="1">ROUND(VLOOKUP($AW7&amp;"初始",$O$3:$AA$63,MATCH(AZ$3,$O$3:$AA$3,0),FALSE)+((VLOOKUP($AW7&amp;"最终",$O$3:$AA$63,MATCH(AZ$3,$O$3:$AA$3,0),FALSE)*坦克个性化细分!$C$9-VLOOKUP($AW7&amp;"初始",$O$3:$AA$63,MATCH(AZ$3,$O$3:$AA$3,0),FALSE))-(VLOOKUP($AW7&amp;"最终",$O$3:$AA$63,MATCH(AZ$3,$O$3:$AA$3,0),FALSE)-VLOOKUP($AW7&amp;"初始",$O$3:$AA$63,MATCH(AZ$3,$O$3:$AA$3,0),FALSE))*VLOOKUP(VLOOKUP($AW7,坦克个性化设定!$B$18:$E$48,4,FALSE)&amp;$AX7,坦克属性分配比例,MATCH("部件比例",坦克属性分配比例标头,0),FALSE))*$AY7/VLOOKUP(VLOOKUP($AW7,坦克个性化设定!$B$18:$E$48,4,FALSE)&amp;$AX7,坦克属性分配比例,MATCH("升星次数",坦克属性分配比例标头,0),FALSE),0)</f>
        <v>1112</v>
      </c>
      <c r="BA7" s="426">
        <f ca="1">ROUND(VLOOKUP($AW7&amp;"初始",$O$3:$AA$63,MATCH(BA$3,$O$3:$AA$3,0),FALSE)+(VLOOKUP($AW7&amp;"最终",$O$3:$AA$63,MATCH(BA$3,$O$3:$AA$3,0),FALSE)-VLOOKUP($AW7&amp;"初始",$O$3:$AA$63,MATCH(BA$3,$O$3:$AA$3,0),FALSE))*$AY7/VLOOKUP(VLOOKUP($AW7,坦克个性化设定!$B$18:$E$48,4,FALSE)&amp;$AX7,坦克属性分配比例,MATCH("升星次数",坦克属性分配比例标头,0),FALSE)*VLOOKUP(VLOOKUP($AW7,坦克个性化设定!$B$18:$E$48,4,FALSE)&amp;$AX7,坦克属性分配比例,MATCH("升星比例",坦克属性分配比例标头,0),FALSE),0)</f>
        <v>29</v>
      </c>
      <c r="BB7" s="486">
        <f ca="1">ROUND(VLOOKUP($AW7&amp;"初始",$O$3:$AA$63,MATCH(BB$3,$O$3:$AA$3,0),FALSE)+(VLOOKUP($AW7&amp;"最终",$O$3:$AA$63,MATCH(BB$3,$O$3:$AA$3,0),FALSE)-VLOOKUP($AW7&amp;"初始",$O$3:$AA$63,MATCH(BB$3,$O$3:$AA$3,0),FALSE))*$AY7/VLOOKUP(VLOOKUP($AW7,坦克个性化设定!$B$18:$E$48,4,FALSE)&amp;$AX7,坦克属性分配比例,MATCH("升星次数",坦克属性分配比例标头,0),FALSE)*(VLOOKUP(VLOOKUP($AW7,坦克个性化设定!$B$18:$E$48,4,FALSE)&amp;$AX7,坦克属性分配比例,MATCH("升星比例",坦克属性分配比例标头,0),FALSE)+VLOOKUP(VLOOKUP($AW7,坦克个性化设定!$B$18:$E$48,4,FALSE)&amp;$AX7,坦克属性分配比例,MATCH("部件比例",坦克属性分配比例标头,0),FALSE)*$C$3),0)</f>
        <v>414</v>
      </c>
      <c r="BC7" s="486">
        <f ca="1">ROUND(VLOOKUP($AW7&amp;"初始",$O$3:$AA$63,MATCH(BC$3,$O$3:$AA$3,0),FALSE)+(VLOOKUP($AW7&amp;"最终",$O$3:$AA$63,MATCH(BC$3,$O$3:$AA$3,0),FALSE)-VLOOKUP($AW7&amp;"初始",$O$3:$AA$63,MATCH(BC$3,$O$3:$AA$3,0),FALSE))*$AY7/VLOOKUP(VLOOKUP($AW7,坦克个性化设定!$B$18:$E$48,4,FALSE)&amp;$AX7,坦克属性分配比例,MATCH("升星次数",坦克属性分配比例标头,0),FALSE)*(VLOOKUP(VLOOKUP($AW7,坦克个性化设定!$B$18:$E$48,4,FALSE)&amp;$AX7,坦克属性分配比例,MATCH("升星比例",坦克属性分配比例标头,0),FALSE)+VLOOKUP(VLOOKUP($AW7,坦克个性化设定!$B$18:$E$48,4,FALSE)&amp;$AX7,坦克属性分配比例,MATCH("部件比例",坦克属性分配比例标头,0),FALSE)*$C$3),0)</f>
        <v>290</v>
      </c>
      <c r="BD7" s="426">
        <f ca="1">ROUND(VLOOKUP($AW7&amp;"初始",$O$3:$AA$63,MATCH(BD$3,$O$3:$AA$3,0),FALSE)+(VLOOKUP($AW7&amp;"最终",$O$3:$AA$63,MATCH(BD$3,$O$3:$AA$3,0),FALSE)-VLOOKUP($AW7&amp;"初始",$O$3:$AA$63,MATCH(BD$3,$O$3:$AA$3,0),FALSE))*$AY7/VLOOKUP(VLOOKUP($AW7,坦克个性化设定!$B$18:$E$48,4,FALSE)&amp;$AX7,坦克属性分配比例,MATCH("升星次数",坦克属性分配比例标头,0),FALSE)*VLOOKUP(VLOOKUP($AW7,坦克个性化设定!$B$18:$E$48,4,FALSE)&amp;$AX7,坦克属性分配比例,MATCH("升星比例",坦克属性分配比例标头,0),FALSE),0)</f>
        <v>360</v>
      </c>
      <c r="BE7" s="426">
        <f ca="1">ROUND(VLOOKUP($AW7&amp;"初始",$O$3:$AA$63,MATCH(BE$3,$O$3:$AA$3,0),FALSE)+(VLOOKUP($AW7&amp;"最终",$O$3:$AA$63,MATCH(BE$3,$O$3:$AA$3,0),FALSE)-VLOOKUP($AW7&amp;"初始",$O$3:$AA$63,MATCH(BE$3,$O$3:$AA$3,0),FALSE))*$AY7/VLOOKUP(VLOOKUP($AW7,坦克个性化设定!$B$18:$E$48,4,FALSE)&amp;$AX7,坦克属性分配比例,MATCH("升星次数",坦克属性分配比例标头,0),FALSE),0)</f>
        <v>104</v>
      </c>
      <c r="BF7" s="462">
        <f>ROUND(VLOOKUP($AW7,$AD$3:$AJ$33,MATCH(BF$3,$AD$3:$AJ$3,0),FALSE)+$AY7/VLOOKUP(VLOOKUP($AW7,坦克个性化设定!$B$18:$E$48,4,FALSE)&amp;$AX7,坦克属性分配比例,MATCH("升星次数",坦克属性分配比例标头,0),FALSE)*VLOOKUP($AW7,$AM$3:$AS$33,MATCH(BF$3,$AM$3:$AS$3,0),FALSE),1)</f>
        <v>55.9</v>
      </c>
      <c r="BG7" s="462">
        <f>ROUND(VLOOKUP($AW7,$AD$3:$AJ$33,MATCH(BG$3,$AD$3:$AJ$3,0),FALSE)+$AY7/VLOOKUP(VLOOKUP($AW7,坦克个性化设定!$B$18:$E$48,4,FALSE)&amp;$AX7,坦克属性分配比例,MATCH("升星次数",坦克属性分配比例标头,0),FALSE)*VLOOKUP($AW7,$AM$3:$AS$33,MATCH(BG$3,$AM$3:$AS$3,0),FALSE),1)</f>
        <v>53.4</v>
      </c>
      <c r="BH7" s="462">
        <f>ROUND(VLOOKUP($AW7,$AD$3:$AJ$33,MATCH(BH$3,$AD$3:$AJ$3,0),FALSE)+$AY7/VLOOKUP(VLOOKUP($AW7,坦克个性化设定!$B$18:$E$48,4,FALSE)&amp;$AX7,坦克属性分配比例,MATCH("升星次数",坦克属性分配比例标头,0),FALSE)*VLOOKUP($AW7,$AM$3:$AS$33,MATCH(BH$3,$AM$3:$AS$3,0),FALSE),1)</f>
        <v>18.2</v>
      </c>
      <c r="BI7" s="654">
        <f>IF(VLOOKUP(AW7,坦克个性化设定!$B$18:$BB$48,MATCH("装弹类型",坦克个性化设定!$B$18:$BB$18,0),FALSE)="弹夹换弹",0,ROUND(VLOOKUP($AW7,$AD$3:$AJ$33,MATCH("换弹时间",$AD$3:$AJ$3,0),FALSE)-$AY7/VLOOKUP(VLOOKUP($AW7,坦克个性化设定!$B$18:$E$48,4,FALSE)&amp;$AX7,坦克属性分配比例,MATCH("升星次数",坦克属性分配比例标头,0),FALSE)*VLOOKUP($AW7,$AM$3:$AS$33,MATCH("换弹时间",$AM$3:$AS$3,0),FALSE),2))</f>
        <v>0</v>
      </c>
      <c r="BJ7" s="462">
        <f>IF(VLOOKUP(AW7,坦克个性化设定!$B$18:$BB$48,MATCH("装弹类型",坦克个性化设定!$B$18:$BB$18,0),FALSE)="弹夹换弹",ROUND(VLOOKUP($AW7,$AD$3:$AJ$33,MATCH("换弹时间",$AD$3:$AJ$3,0),FALSE)-$AY7/VLOOKUP(VLOOKUP($AW7,坦克个性化设定!$B$18:$E$48,4,FALSE)&amp;$AX7,坦克属性分配比例,MATCH("升星次数",坦克属性分配比例标头,0),FALSE)*VLOOKUP($AW7,$AM$3:$AS$33,MATCH("换弹时间",$AM$3:$AS$3,0),FALSE),1),0)</f>
        <v>5.7</v>
      </c>
      <c r="BK7" s="462">
        <f>ROUND(VLOOKUP($AW7,$AD$3:$AJ$33,MATCH(BK$3,$AD$3:$AJ$3,0),FALSE)+$AY7/VLOOKUP(VLOOKUP($AW7,坦克个性化设定!$B$18:$E$48,4,FALSE)&amp;$AX7,坦克属性分配比例,MATCH("升星次数",坦克属性分配比例标头,0),FALSE)*VLOOKUP($AW7,$AM$3:$AS$33,MATCH(BK$3,$AM$3:$AS$3,0),FALSE),2)</f>
        <v>0.26</v>
      </c>
      <c r="BL7" s="462">
        <f>ROUND(VLOOKUP($AW7,$AD$3:$AJ$33,MATCH(BL$3,$AD$3:$AJ$3,0),FALSE)-$AY7/VLOOKUP(VLOOKUP($AW7,坦克个性化设定!$B$18:$E$48,4,FALSE)&amp;$AX7,坦克属性分配比例,MATCH("升星次数",坦克属性分配比例标头,0),FALSE)*VLOOKUP($AW7,$AM$3:$AS$33,MATCH(BL$3,$AM$3:$AS$3,0),FALSE),2)</f>
        <v>0.44</v>
      </c>
      <c r="BN7" s="183">
        <v>4</v>
      </c>
      <c r="BO7" s="131" t="str">
        <f t="shared" si="11"/>
        <v>35(t)</v>
      </c>
      <c r="BP7" s="131" t="str">
        <f>VLOOKUP(BO7,坦克个性化设定!$B$18:$F$48,5,FALSE)</f>
        <v>轻坦半自动</v>
      </c>
      <c r="BQ7" s="177" t="str">
        <f>VLOOKUP(BO7,坦克个性化细分!$I$3:$J$33,2,FALSE)</f>
        <v>低</v>
      </c>
      <c r="BR7" s="96">
        <f ca="1">(VLOOKUP($BO7&amp;"最终",$O$3:$AA$63,MATCH(BR$3,$O$3:$AA$3,0),FALSE)-VLOOKUP($BO7&amp;"初始",$O$3:$AA$63,MATCH(BR$3,$O$3:$AA$3,0),FALSE))*VLOOKUP(VLOOKUP($BO7,坦克个性化设定!$B$18:$E$48,4,FALSE)&amp;$BQ7,坦克属性分配比例,MATCH("部件比例",坦克属性分配比例标头,0),FALSE)</f>
        <v>334.92758239014154</v>
      </c>
      <c r="BS7" s="96">
        <f ca="1">(VLOOKUP($BO7&amp;"最终",$O$3:$AA$63,MATCH(BS$3,$O$3:$AA$3,0),FALSE)-VLOOKUP($BO7&amp;"初始",$O$3:$AA$63,MATCH(BS$3,$O$3:$AA$3,0),FALSE))*VLOOKUP(VLOOKUP($BO7,坦克个性化设定!$B$18:$E$48,4,FALSE)&amp;$BQ7,坦克属性分配比例,MATCH("部件比例",坦克属性分配比例标头,0),FALSE)</f>
        <v>24.670952445706984</v>
      </c>
      <c r="BT7" s="96">
        <f ca="1">(VLOOKUP($BO7&amp;"最终",$O$3:$AA$63,MATCH(BT$3,$O$3:$AA$3,0),FALSE)-VLOOKUP($BO7&amp;"初始",$O$3:$AA$63,MATCH(BT$3,$O$3:$AA$3,0),FALSE))*VLOOKUP(VLOOKUP($BO7,坦克个性化设定!$B$18:$E$48,4,FALSE)&amp;$BQ7,坦克属性分配比例,MATCH("部件比例",坦克属性分配比例标头,0),FALSE)*(1-$C$3)</f>
        <v>54.360000000000007</v>
      </c>
      <c r="BU7" s="96">
        <f ca="1">(VLOOKUP($BO7&amp;"最终",$O$3:$AA$63,MATCH(BU$3,$O$3:$AA$3,0),FALSE)-VLOOKUP($BO7&amp;"初始",$O$3:$AA$63,MATCH(BU$3,$O$3:$AA$3,0),FALSE))*VLOOKUP(VLOOKUP($BO7,坦克个性化设定!$B$18:$E$48,4,FALSE)&amp;$BQ7,坦克属性分配比例,MATCH("部件比例",坦克属性分配比例标头,0),FALSE)*(1-$C$3)</f>
        <v>38.052000000000007</v>
      </c>
      <c r="BV7" s="96">
        <f ca="1">(VLOOKUP($BO7&amp;"最终",$O$3:$AA$63,MATCH(BV$3,$O$3:$AA$3,0),FALSE)-VLOOKUP($BO7&amp;"初始",$O$3:$AA$63,MATCH(BV$3,$O$3:$AA$3,0),FALSE))*VLOOKUP(VLOOKUP($BO7,坦克个性化设定!$B$18:$E$48,4,FALSE)&amp;$BQ7,坦克属性分配比例,MATCH("部件比例",坦克属性分配比例标头,0),FALSE)</f>
        <v>135.9</v>
      </c>
    </row>
    <row r="8" spans="2:74" x14ac:dyDescent="0.35">
      <c r="B8" s="137">
        <v>3</v>
      </c>
      <c r="C8" s="176" t="str">
        <f>坦克个性化设定!B21</f>
        <v>Puma</v>
      </c>
      <c r="D8" s="84"/>
      <c r="E8" s="175" t="str">
        <f>坦克等级成长!B17&amp;坦克等级成长!C17</f>
        <v>T3中</v>
      </c>
      <c r="F8" s="183">
        <f>坦克等级成长!M6</f>
        <v>14</v>
      </c>
      <c r="G8" s="654">
        <f>坦克等级成长!J17</f>
        <v>1.5449999999999999</v>
      </c>
      <c r="H8" s="654">
        <f>坦克等级成长!K17</f>
        <v>3.02</v>
      </c>
      <c r="I8" s="654">
        <f>坦克等级成长!E17</f>
        <v>5</v>
      </c>
      <c r="J8" s="654">
        <f>IFERROR(VLOOKUP(I8,坦克部件!$M$3:$Q$9,5,FALSE),VLOOKUP(I8-1,坦克部件!$M$3:$Q$9,5,FALSE))</f>
        <v>0.40400000000000003</v>
      </c>
      <c r="K8" s="654">
        <f t="shared" si="2"/>
        <v>0.62417999999999996</v>
      </c>
      <c r="L8" s="467">
        <f t="shared" si="3"/>
        <v>0.57682711864406788</v>
      </c>
      <c r="M8" s="677">
        <f t="shared" si="4"/>
        <v>0.42317288135593217</v>
      </c>
      <c r="N8" s="84"/>
      <c r="O8" s="426" t="str">
        <f t="shared" si="5"/>
        <v>Puma初始</v>
      </c>
      <c r="P8" s="137">
        <f>IF(COUNTIF(Q$4:Q7,Q7)&gt;=$B$3,P7+1,P7)</f>
        <v>3</v>
      </c>
      <c r="Q8" s="131" t="str">
        <f t="shared" si="6"/>
        <v>Puma</v>
      </c>
      <c r="R8" s="131" t="str">
        <f>VLOOKUP(Q8,坦克个性化设定!$B$18:$F$48,5,FALSE)</f>
        <v>轻坦半自动</v>
      </c>
      <c r="S8" s="177" t="str">
        <f>VLOOKUP(Q8,坦克个性化细分!$I$3:$J$33,2,FALSE)</f>
        <v>中</v>
      </c>
      <c r="T8" s="137" t="str">
        <f t="shared" si="12"/>
        <v>初始</v>
      </c>
      <c r="U8" s="178" t="str">
        <f>VLOOKUP(VLOOKUP(Q8,坦克个性化设定!$B$18:$F$48,4,FALSE)&amp;S8,坦克等级成长!$P$12:$U$24,MATCH(T8,坦克等级成长!$P$12:$U$12,0),FALSE)</f>
        <v>T2中2</v>
      </c>
      <c r="V8" s="96">
        <f ca="1">VLOOKUP($U8,INDIRECT($R8&amp;"_阶段属性"),MATCH(V$3,属性标头_阶段属性,0),FALSE)*VLOOKUP($Q8,坦克个性化设定!$B$84:$D$114,2,FALSE)</f>
        <v>1062.2260836734827</v>
      </c>
      <c r="W8" s="96">
        <f ca="1">VLOOKUP($U8,INDIRECT($R8&amp;"_阶段属性"),MATCH(W$3,属性标头_阶段属性,0),FALSE)*VLOOKUP($Q8,坦克个性化设定!$B$84:$D$114,3,FALSE)</f>
        <v>46.682561211396937</v>
      </c>
      <c r="X8" s="131">
        <f t="shared" ca="1" si="0"/>
        <v>369</v>
      </c>
      <c r="Y8" s="131">
        <f t="shared" ca="1" si="0"/>
        <v>258</v>
      </c>
      <c r="Z8" s="131">
        <f t="shared" ca="1" si="0"/>
        <v>369</v>
      </c>
      <c r="AA8" s="131">
        <f t="shared" ca="1" si="0"/>
        <v>98</v>
      </c>
      <c r="AC8" s="195">
        <v>5</v>
      </c>
      <c r="AD8" s="193" t="str">
        <f t="shared" si="7"/>
        <v>十字军</v>
      </c>
      <c r="AE8" s="195">
        <f>VLOOKUP($AD8,坦克个性化细分!$I$3:$P$33,MATCH(AE$3,坦克个性化细分!$I$3:$P$3,0),FALSE)</f>
        <v>48.1</v>
      </c>
      <c r="AF8" s="195">
        <f>VLOOKUP($AD8,坦克个性化细分!$I$3:$P$33,MATCH(AF$3,坦克个性化细分!$I$3:$P$3,0),FALSE)</f>
        <v>45.9</v>
      </c>
      <c r="AG8" s="195">
        <f>VLOOKUP($AD8,坦克个性化细分!$I$3:$P$33,MATCH(AG$3,坦克个性化细分!$I$3:$P$3,0),FALSE)</f>
        <v>14.9</v>
      </c>
      <c r="AH8" s="206">
        <f>VLOOKUP(AD8,坦克个性化细分!$AA$3:$AP$33,MATCH("射击偏移角",坦克个性化细分!$AA$3:$AP$3,0),FALSE)/VLOOKUP(AD8,坦克个性化细分!$AA$3:$AP$33,MATCH("原瞄准速度",坦克个性化细分!$AA$3:$AP$3,0),FALSE)</f>
        <v>0.7</v>
      </c>
      <c r="AI8" s="206">
        <f>VLOOKUP(AD8,坦克个性化细分!$AA$3:$AP$33,MATCH(AI$3,坦克个性化细分!$AA$3:$AP$3,0),FALSE)</f>
        <v>0.30000000000000004</v>
      </c>
      <c r="AJ8" s="462">
        <f>VLOOKUP(AD8,坦克个性化细分!$AA$3:$AP$33,MATCH("原换弹时间",坦克个性化细分!$AA$3:$AP$3,0),FALSE)</f>
        <v>6.3</v>
      </c>
      <c r="AK8" s="208"/>
      <c r="AL8" s="195">
        <v>5</v>
      </c>
      <c r="AM8" s="193" t="str">
        <f t="shared" si="8"/>
        <v>十字军</v>
      </c>
      <c r="AN8" s="206">
        <f>VLOOKUP(AM8,坦克个性化细分!$I$3:$P$33,MATCH("养成区间1",坦克个性化细分!$I$3:$P$3,0),FALSE)</f>
        <v>12.024999999999997</v>
      </c>
      <c r="AO8" s="462">
        <f>VLOOKUP(AM8,坦克个性化细分!$I$3:$P$33,MATCH("养成区间2",坦克个性化细分!$I$3:$P$3,0),FALSE)</f>
        <v>11.474999999999996</v>
      </c>
      <c r="AP8" s="462">
        <f>VLOOKUP(AM8,坦克个性化细分!$I$3:$P$33,MATCH("养成区间3",坦克个性化细分!$I$3:$P$3,0),FALSE)</f>
        <v>4.87</v>
      </c>
      <c r="AQ8" s="206">
        <f>VLOOKUP(AM8,坦克个性化细分!$AA$3:$AP$33,MATCH("瞄准区间",坦克个性化细分!$AA$3:$AP$3,0),FALSE)</f>
        <v>0.11666666666666659</v>
      </c>
      <c r="AR8" s="206">
        <f>VLOOKUP(AD8,坦克个性化细分!$AA$3:$AP$33,MATCH("后射击间隔",坦克个性化细分!$AA$3:$AP$3,0),FALSE)-VLOOKUP(AD8,坦克个性化细分!$AA$3:$AP$33,MATCH(AI$3,坦克个性化细分!$AA$3:$AP$3,0),FALSE)</f>
        <v>0</v>
      </c>
      <c r="AS8" s="206">
        <f>VLOOKUP(AM8,坦克个性化细分!$AA$3:$AP$33,MATCH("换弹区间",坦克个性化细分!$AA$3:$AP$3,0),FALSE)</f>
        <v>2.2331010452961673</v>
      </c>
      <c r="AT8" s="208"/>
      <c r="AU8" s="364" t="str">
        <f t="shared" si="9"/>
        <v>雷诺FT4</v>
      </c>
      <c r="AV8" s="183">
        <f>IF(AY7&gt;=VLOOKUP(VLOOKUP(AW7,坦克个性化设定!$B$18:$E$48,4,FALSE)&amp;AX7,坦克属性分配比例,MATCH("升星次数",坦克属性分配比例标头,0),FALSE),AV7+1,AV7)</f>
        <v>1</v>
      </c>
      <c r="AW8" s="131" t="str">
        <f t="shared" si="10"/>
        <v>雷诺FT</v>
      </c>
      <c r="AX8" s="177" t="str">
        <f>VLOOKUP(AW8,坦克个性化细分!$I$3:$J$33,2,FALSE)</f>
        <v>低</v>
      </c>
      <c r="AY8" s="183">
        <f t="shared" si="1"/>
        <v>4</v>
      </c>
      <c r="AZ8" s="486">
        <f ca="1">ROUND(VLOOKUP($AW8&amp;"初始",$O$3:$AA$63,MATCH(AZ$3,$O$3:$AA$3,0),FALSE)+((VLOOKUP($AW8&amp;"最终",$O$3:$AA$63,MATCH(AZ$3,$O$3:$AA$3,0),FALSE)*坦克个性化细分!$C$9-VLOOKUP($AW8&amp;"初始",$O$3:$AA$63,MATCH(AZ$3,$O$3:$AA$3,0),FALSE))-(VLOOKUP($AW8&amp;"最终",$O$3:$AA$63,MATCH(AZ$3,$O$3:$AA$3,0),FALSE)-VLOOKUP($AW8&amp;"初始",$O$3:$AA$63,MATCH(AZ$3,$O$3:$AA$3,0),FALSE))*VLOOKUP(VLOOKUP($AW8,坦克个性化设定!$B$18:$E$48,4,FALSE)&amp;$AX8,坦克属性分配比例,MATCH("部件比例",坦克属性分配比例标头,0),FALSE))*$AY8/VLOOKUP(VLOOKUP($AW8,坦克个性化设定!$B$18:$E$48,4,FALSE)&amp;$AX8,坦克属性分配比例,MATCH("升星次数",坦克属性分配比例标头,0),FALSE),0)</f>
        <v>1239</v>
      </c>
      <c r="BA8" s="426">
        <f ca="1">ROUND(VLOOKUP($AW8&amp;"初始",$O$3:$AA$63,MATCH(BA$3,$O$3:$AA$3,0),FALSE)+(VLOOKUP($AW8&amp;"最终",$O$3:$AA$63,MATCH(BA$3,$O$3:$AA$3,0),FALSE)-VLOOKUP($AW8&amp;"初始",$O$3:$AA$63,MATCH(BA$3,$O$3:$AA$3,0),FALSE))*$AY8/VLOOKUP(VLOOKUP($AW8,坦克个性化设定!$B$18:$E$48,4,FALSE)&amp;$AX8,坦克属性分配比例,MATCH("升星次数",坦克属性分配比例标头,0),FALSE)*VLOOKUP(VLOOKUP($AW8,坦克个性化设定!$B$18:$E$48,4,FALSE)&amp;$AX8,坦克属性分配比例,MATCH("升星比例",坦克属性分配比例标头,0),FALSE),0)</f>
        <v>30</v>
      </c>
      <c r="BB8" s="486">
        <f ca="1">ROUND(VLOOKUP($AW8&amp;"初始",$O$3:$AA$63,MATCH(BB$3,$O$3:$AA$3,0),FALSE)+(VLOOKUP($AW8&amp;"最终",$O$3:$AA$63,MATCH(BB$3,$O$3:$AA$3,0),FALSE)-VLOOKUP($AW8&amp;"初始",$O$3:$AA$63,MATCH(BB$3,$O$3:$AA$3,0),FALSE))*$AY8/VLOOKUP(VLOOKUP($AW8,坦克个性化设定!$B$18:$E$48,4,FALSE)&amp;$AX8,坦克属性分配比例,MATCH("升星次数",坦克属性分配比例标头,0),FALSE)*(VLOOKUP(VLOOKUP($AW8,坦克个性化设定!$B$18:$E$48,4,FALSE)&amp;$AX8,坦克属性分配比例,MATCH("升星比例",坦克属性分配比例标头,0),FALSE)+VLOOKUP(VLOOKUP($AW8,坦克个性化设定!$B$18:$E$48,4,FALSE)&amp;$AX8,坦克属性分配比例,MATCH("部件比例",坦克属性分配比例标头,0),FALSE)*$C$3),0)</f>
        <v>443</v>
      </c>
      <c r="BC8" s="486">
        <f ca="1">ROUND(VLOOKUP($AW8&amp;"初始",$O$3:$AA$63,MATCH(BC$3,$O$3:$AA$3,0),FALSE)+(VLOOKUP($AW8&amp;"最终",$O$3:$AA$63,MATCH(BC$3,$O$3:$AA$3,0),FALSE)-VLOOKUP($AW8&amp;"初始",$O$3:$AA$63,MATCH(BC$3,$O$3:$AA$3,0),FALSE))*$AY8/VLOOKUP(VLOOKUP($AW8,坦克个性化设定!$B$18:$E$48,4,FALSE)&amp;$AX8,坦克属性分配比例,MATCH("升星次数",坦克属性分配比例标头,0),FALSE)*(VLOOKUP(VLOOKUP($AW8,坦克个性化设定!$B$18:$E$48,4,FALSE)&amp;$AX8,坦克属性分配比例,MATCH("升星比例",坦克属性分配比例标头,0),FALSE)+VLOOKUP(VLOOKUP($AW8,坦克个性化设定!$B$18:$E$48,4,FALSE)&amp;$AX8,坦克属性分配比例,MATCH("部件比例",坦克属性分配比例标头,0),FALSE)*$C$3),0)</f>
        <v>310</v>
      </c>
      <c r="BD8" s="426">
        <f ca="1">ROUND(VLOOKUP($AW8&amp;"初始",$O$3:$AA$63,MATCH(BD$3,$O$3:$AA$3,0),FALSE)+(VLOOKUP($AW8&amp;"最终",$O$3:$AA$63,MATCH(BD$3,$O$3:$AA$3,0),FALSE)-VLOOKUP($AW8&amp;"初始",$O$3:$AA$63,MATCH(BD$3,$O$3:$AA$3,0),FALSE))*$AY8/VLOOKUP(VLOOKUP($AW8,坦克个性化设定!$B$18:$E$48,4,FALSE)&amp;$AX8,坦克属性分配比例,MATCH("升星次数",坦克属性分配比例标头,0),FALSE)*VLOOKUP(VLOOKUP($AW8,坦克个性化设定!$B$18:$E$48,4,FALSE)&amp;$AX8,坦克属性分配比例,MATCH("升星比例",坦克属性分配比例标头,0),FALSE),0)</f>
        <v>380</v>
      </c>
      <c r="BE8" s="426">
        <f ca="1">ROUND(VLOOKUP($AW8&amp;"初始",$O$3:$AA$63,MATCH(BE$3,$O$3:$AA$3,0),FALSE)+(VLOOKUP($AW8&amp;"最终",$O$3:$AA$63,MATCH(BE$3,$O$3:$AA$3,0),FALSE)-VLOOKUP($AW8&amp;"初始",$O$3:$AA$63,MATCH(BE$3,$O$3:$AA$3,0),FALSE))*$AY8/VLOOKUP(VLOOKUP($AW8,坦克个性化设定!$B$18:$E$48,4,FALSE)&amp;$AX8,坦克属性分配比例,MATCH("升星次数",坦克属性分配比例标头,0),FALSE),0)</f>
        <v>112</v>
      </c>
      <c r="BF8" s="462">
        <f>ROUND(VLOOKUP($AW8,$AD$3:$AJ$33,MATCH(BF$3,$AD$3:$AJ$3,0),FALSE)+$AY8/VLOOKUP(VLOOKUP($AW8,坦克个性化设定!$B$18:$E$48,4,FALSE)&amp;$AX8,坦克属性分配比例,MATCH("升星次数",坦克属性分配比例标头,0),FALSE)*VLOOKUP($AW8,$AM$3:$AS$33,MATCH(BF$3,$AM$3:$AS$3,0),FALSE),1)</f>
        <v>58.9</v>
      </c>
      <c r="BG8" s="462">
        <f>ROUND(VLOOKUP($AW8,$AD$3:$AJ$33,MATCH(BG$3,$AD$3:$AJ$3,0),FALSE)+$AY8/VLOOKUP(VLOOKUP($AW8,坦克个性化设定!$B$18:$E$48,4,FALSE)&amp;$AX8,坦克属性分配比例,MATCH("升星次数",坦克属性分配比例标头,0),FALSE)*VLOOKUP($AW8,$AM$3:$AS$33,MATCH(BG$3,$AM$3:$AS$3,0),FALSE),1)</f>
        <v>56.3</v>
      </c>
      <c r="BH8" s="462">
        <f>ROUND(VLOOKUP($AW8,$AD$3:$AJ$33,MATCH(BH$3,$AD$3:$AJ$3,0),FALSE)+$AY8/VLOOKUP(VLOOKUP($AW8,坦克个性化设定!$B$18:$E$48,4,FALSE)&amp;$AX8,坦克属性分配比例,MATCH("升星次数",坦克属性分配比例标头,0),FALSE)*VLOOKUP($AW8,$AM$3:$AS$33,MATCH(BH$3,$AM$3:$AS$3,0),FALSE),1)</f>
        <v>19.399999999999999</v>
      </c>
      <c r="BI8" s="654">
        <f>IF(VLOOKUP(AW8,坦克个性化设定!$B$18:$BB$48,MATCH("装弹类型",坦克个性化设定!$B$18:$BB$18,0),FALSE)="弹夹换弹",0,ROUND(VLOOKUP($AW8,$AD$3:$AJ$33,MATCH("换弹时间",$AD$3:$AJ$3,0),FALSE)-$AY8/VLOOKUP(VLOOKUP($AW8,坦克个性化设定!$B$18:$E$48,4,FALSE)&amp;$AX8,坦克属性分配比例,MATCH("升星次数",坦克属性分配比例标头,0),FALSE)*VLOOKUP($AW8,$AM$3:$AS$33,MATCH("换弹时间",$AM$3:$AS$3,0),FALSE),2))</f>
        <v>0</v>
      </c>
      <c r="BJ8" s="462">
        <f>IF(VLOOKUP(AW8,坦克个性化设定!$B$18:$BB$48,MATCH("装弹类型",坦克个性化设定!$B$18:$BB$18,0),FALSE)="弹夹换弹",ROUND(VLOOKUP($AW8,$AD$3:$AJ$33,MATCH("换弹时间",$AD$3:$AJ$3,0),FALSE)-$AY8/VLOOKUP(VLOOKUP($AW8,坦克个性化设定!$B$18:$E$48,4,FALSE)&amp;$AX8,坦克属性分配比例,MATCH("升星次数",坦克属性分配比例标头,0),FALSE)*VLOOKUP($AW8,$AM$3:$AS$33,MATCH("换弹时间",$AM$3:$AS$3,0),FALSE),1),0)</f>
        <v>5.0999999999999996</v>
      </c>
      <c r="BK8" s="462">
        <f>ROUND(VLOOKUP($AW8,$AD$3:$AJ$33,MATCH(BK$3,$AD$3:$AJ$3,0),FALSE)+$AY8/VLOOKUP(VLOOKUP($AW8,坦克个性化设定!$B$18:$E$48,4,FALSE)&amp;$AX8,坦克属性分配比例,MATCH("升星次数",坦克属性分配比例标头,0),FALSE)*VLOOKUP($AW8,$AM$3:$AS$33,MATCH(BK$3,$AM$3:$AS$3,0),FALSE),2)</f>
        <v>0.25</v>
      </c>
      <c r="BL8" s="462">
        <f>ROUND(VLOOKUP($AW8,$AD$3:$AJ$33,MATCH(BL$3,$AD$3:$AJ$3,0),FALSE)-$AY8/VLOOKUP(VLOOKUP($AW8,坦克个性化设定!$B$18:$E$48,4,FALSE)&amp;$AX8,坦克属性分配比例,MATCH("升星次数",坦克属性分配比例标头,0),FALSE)*VLOOKUP($AW8,$AM$3:$AS$33,MATCH(BL$3,$AM$3:$AS$3,0),FALSE),2)</f>
        <v>0.42</v>
      </c>
      <c r="BN8" s="183">
        <v>5</v>
      </c>
      <c r="BO8" s="131" t="str">
        <f t="shared" si="11"/>
        <v>十字军</v>
      </c>
      <c r="BP8" s="131" t="str">
        <f>VLOOKUP(BO8,坦克个性化设定!$B$18:$F$48,5,FALSE)</f>
        <v>轻坦弹夹</v>
      </c>
      <c r="BQ8" s="177" t="str">
        <f>VLOOKUP(BO8,坦克个性化细分!$I$3:$J$33,2,FALSE)</f>
        <v>中</v>
      </c>
      <c r="BR8" s="96">
        <f ca="1">(VLOOKUP($BO8&amp;"最终",$O$3:$AA$63,MATCH(BR$3,$O$3:$AA$3,0),FALSE)-VLOOKUP($BO8&amp;"初始",$O$3:$AA$63,MATCH(BR$3,$O$3:$AA$3,0),FALSE))*VLOOKUP(VLOOKUP($BO8,坦克个性化设定!$B$18:$E$48,4,FALSE)&amp;$BQ8,坦克属性分配比例,MATCH("部件比例",坦克属性分配比例标头,0),FALSE)</f>
        <v>512.12927499611408</v>
      </c>
      <c r="BS8" s="96">
        <f ca="1">(VLOOKUP($BO8&amp;"最终",$O$3:$AA$63,MATCH(BS$3,$O$3:$AA$3,0),FALSE)-VLOOKUP($BO8&amp;"初始",$O$3:$AA$63,MATCH(BS$3,$O$3:$AA$3,0),FALSE))*VLOOKUP(VLOOKUP($BO8,坦克个性化设定!$B$18:$E$48,4,FALSE)&amp;$BQ8,坦克属性分配比例,MATCH("部件比例",坦克属性分配比例标头,0),FALSE)</f>
        <v>19.084444088981623</v>
      </c>
      <c r="BT8" s="96">
        <f ca="1">(VLOOKUP($BO8&amp;"最终",$O$3:$AA$63,MATCH(BT$3,$O$3:$AA$3,0),FALSE)-VLOOKUP($BO8&amp;"初始",$O$3:$AA$63,MATCH(BT$3,$O$3:$AA$3,0),FALSE))*VLOOKUP(VLOOKUP($BO8,坦克个性化设定!$B$18:$E$48,4,FALSE)&amp;$BQ8,坦克属性分配比例,MATCH("部件比例",坦克属性分配比例标头,0),FALSE)*(1-$C$3)</f>
        <v>81.926269830508474</v>
      </c>
      <c r="BU8" s="96">
        <f ca="1">(VLOOKUP($BO8&amp;"最终",$O$3:$AA$63,MATCH(BU$3,$O$3:$AA$3,0),FALSE)-VLOOKUP($BO8&amp;"初始",$O$3:$AA$63,MATCH(BU$3,$O$3:$AA$3,0),FALSE))*VLOOKUP(VLOOKUP($BO8,坦克个性化设定!$B$18:$E$48,4,FALSE)&amp;$BQ8,坦克属性分配比例,MATCH("部件比例",坦克属性分配比例标头,0),FALSE)*(1-$C$3)</f>
        <v>57.551511864406784</v>
      </c>
      <c r="BV8" s="96">
        <f ca="1">(VLOOKUP($BO8&amp;"最终",$O$3:$AA$63,MATCH(BV$3,$O$3:$AA$3,0),FALSE)-VLOOKUP($BO8&amp;"初始",$O$3:$AA$63,MATCH(BV$3,$O$3:$AA$3,0),FALSE))*VLOOKUP(VLOOKUP($BO8,坦克个性化设定!$B$18:$E$48,4,FALSE)&amp;$BQ8,坦克属性分配比例,MATCH("部件比例",坦克属性分配比例标头,0),FALSE)</f>
        <v>187.04241355932203</v>
      </c>
    </row>
    <row r="9" spans="2:74" x14ac:dyDescent="0.35">
      <c r="B9" s="137">
        <v>4</v>
      </c>
      <c r="C9" s="176" t="str">
        <f>坦克个性化设定!B22</f>
        <v>35(t)</v>
      </c>
      <c r="D9" s="84"/>
      <c r="E9" s="175" t="str">
        <f>坦克等级成长!B18&amp;坦克等级成长!C18</f>
        <v>T3高</v>
      </c>
      <c r="F9" s="183">
        <f>坦克等级成长!N6</f>
        <v>14</v>
      </c>
      <c r="G9" s="654">
        <f>坦克等级成长!J18</f>
        <v>1.62</v>
      </c>
      <c r="H9" s="654">
        <f>坦克等级成长!K18</f>
        <v>3.22</v>
      </c>
      <c r="I9" s="654">
        <f>坦克等级成长!E18</f>
        <v>5</v>
      </c>
      <c r="J9" s="654">
        <f>IFERROR(VLOOKUP(I9,坦克部件!$M$3:$Q$9,5,FALSE),VLOOKUP(I9-1,坦克部件!$M$3:$Q$9,5,FALSE))</f>
        <v>0.40400000000000003</v>
      </c>
      <c r="K9" s="654">
        <f t="shared" si="2"/>
        <v>0.65448000000000006</v>
      </c>
      <c r="L9" s="467">
        <f t="shared" si="3"/>
        <v>0.59094999999999998</v>
      </c>
      <c r="M9" s="677">
        <f t="shared" si="4"/>
        <v>0.40905000000000002</v>
      </c>
      <c r="N9" s="84"/>
      <c r="O9" s="426" t="str">
        <f t="shared" si="5"/>
        <v>Puma最终</v>
      </c>
      <c r="P9" s="137">
        <f>IF(COUNTIF(Q$4:Q8,Q8)&gt;=$B$3,P8+1,P8)</f>
        <v>3</v>
      </c>
      <c r="Q9" s="131" t="str">
        <f t="shared" si="6"/>
        <v>Puma</v>
      </c>
      <c r="R9" s="131" t="str">
        <f>VLOOKUP(Q9,坦克个性化设定!$B$18:$F$48,5,FALSE)</f>
        <v>轻坦半自动</v>
      </c>
      <c r="S9" s="177" t="str">
        <f>VLOOKUP(Q9,坦克个性化细分!$I$3:$J$33,2,FALSE)</f>
        <v>中</v>
      </c>
      <c r="T9" s="137" t="str">
        <f t="shared" si="12"/>
        <v>最终</v>
      </c>
      <c r="U9" s="178" t="str">
        <f>VLOOKUP(VLOOKUP(Q9,坦克个性化设定!$B$18:$F$48,4,FALSE)&amp;S9,坦克等级成长!$P$12:$U$24,MATCH(T9,坦克等级成长!$P$12:$U$12,0),FALSE)</f>
        <v>T2中4</v>
      </c>
      <c r="V9" s="96">
        <f ca="1">VLOOKUP($U9,INDIRECT($R9&amp;"_阶段属性"),MATCH(V$3,属性标头_阶段属性,0),FALSE)*VLOOKUP($Q9,坦克个性化设定!$B$84:$D$114,2,FALSE)</f>
        <v>2064.0002764061978</v>
      </c>
      <c r="W9" s="96">
        <f ca="1">VLOOKUP($U9,INDIRECT($R9&amp;"_阶段属性"),MATCH(W$3,属性标头_阶段属性,0),FALSE)*VLOOKUP($Q9,坦克个性化设定!$B$84:$D$114,3,FALSE)</f>
        <v>90.20020301863137</v>
      </c>
      <c r="X9" s="131">
        <f t="shared" ca="1" si="0"/>
        <v>717</v>
      </c>
      <c r="Y9" s="131">
        <f t="shared" ca="1" si="0"/>
        <v>502</v>
      </c>
      <c r="Z9" s="131">
        <f t="shared" ca="1" si="0"/>
        <v>717</v>
      </c>
      <c r="AA9" s="131">
        <f t="shared" ca="1" si="0"/>
        <v>191</v>
      </c>
      <c r="AC9" s="195">
        <v>6</v>
      </c>
      <c r="AD9" s="193" t="str">
        <f t="shared" si="7"/>
        <v>AMX-13</v>
      </c>
      <c r="AE9" s="195">
        <f>VLOOKUP($AD9,坦克个性化细分!$I$3:$P$33,MATCH(AE$3,坦克个性化细分!$I$3:$P$3,0),FALSE)</f>
        <v>39.6</v>
      </c>
      <c r="AF9" s="195">
        <f>VLOOKUP($AD9,坦克个性化细分!$I$3:$P$33,MATCH(AF$3,坦克个性化细分!$I$3:$P$3,0),FALSE)</f>
        <v>59.1</v>
      </c>
      <c r="AG9" s="195">
        <f>VLOOKUP($AD9,坦克个性化细分!$I$3:$P$33,MATCH(AG$3,坦克个性化细分!$I$3:$P$3,0),FALSE)</f>
        <v>13.8</v>
      </c>
      <c r="AH9" s="206">
        <f>VLOOKUP(AD9,坦克个性化细分!$AA$3:$AP$33,MATCH("射击偏移角",坦克个性化细分!$AA$3:$AP$3,0),FALSE)/VLOOKUP(AD9,坦克个性化细分!$AA$3:$AP$33,MATCH("原瞄准速度",坦克个性化细分!$AA$3:$AP$3,0),FALSE)</f>
        <v>1.8</v>
      </c>
      <c r="AI9" s="206">
        <f>VLOOKUP(AD9,坦克个性化细分!$AA$3:$AP$33,MATCH(AI$3,坦克个性化细分!$AA$3:$AP$3,0),FALSE)</f>
        <v>0</v>
      </c>
      <c r="AJ9" s="462">
        <f>VLOOKUP(AD9,坦克个性化细分!$AA$3:$AP$33,MATCH("原换弹时间",坦克个性化细分!$AA$3:$AP$3,0),FALSE)</f>
        <v>3</v>
      </c>
      <c r="AK9" s="208"/>
      <c r="AL9" s="195">
        <v>6</v>
      </c>
      <c r="AM9" s="193" t="str">
        <f t="shared" si="8"/>
        <v>AMX-13</v>
      </c>
      <c r="AN9" s="206">
        <f>VLOOKUP(AM9,坦克个性化细分!$I$3:$P$33,MATCH("养成区间1",坦克个性化细分!$I$3:$P$3,0),FALSE)</f>
        <v>9.8999999999999986</v>
      </c>
      <c r="AO9" s="462">
        <f>VLOOKUP(AM9,坦克个性化细分!$I$3:$P$33,MATCH("养成区间2",坦克个性化细分!$I$3:$P$3,0),FALSE)</f>
        <v>14.774999999999997</v>
      </c>
      <c r="AP9" s="462">
        <f>VLOOKUP(AM9,坦克个性化细分!$I$3:$P$33,MATCH("养成区间3",坦克个性化细分!$I$3:$P$3,0),FALSE)</f>
        <v>4.51</v>
      </c>
      <c r="AQ9" s="206">
        <f>VLOOKUP(AM9,坦克个性化细分!$AA$3:$AP$33,MATCH("瞄准区间",坦克个性化细分!$AA$3:$AP$3,0),FALSE)</f>
        <v>0.30000000000000004</v>
      </c>
      <c r="AR9" s="206">
        <f>VLOOKUP(AD9,坦克个性化细分!$AA$3:$AP$33,MATCH("后射击间隔",坦克个性化细分!$AA$3:$AP$3,0),FALSE)-VLOOKUP(AD9,坦克个性化细分!$AA$3:$AP$33,MATCH(AI$3,坦克个性化细分!$AA$3:$AP$3,0),FALSE)</f>
        <v>0</v>
      </c>
      <c r="AS9" s="206">
        <f>VLOOKUP(AM9,坦克个性化细分!$AA$3:$AP$33,MATCH("换弹区间",坦克个性化细分!$AA$3:$AP$3,0),FALSE)</f>
        <v>0.71863117870722437</v>
      </c>
      <c r="AT9" s="208"/>
      <c r="AU9" s="364" t="str">
        <f t="shared" si="9"/>
        <v>二号0</v>
      </c>
      <c r="AV9" s="183">
        <f>IF(AY8&gt;=VLOOKUP(VLOOKUP(AW8,坦克个性化设定!$B$18:$E$48,4,FALSE)&amp;AX8,坦克属性分配比例,MATCH("升星次数",坦克属性分配比例标头,0),FALSE),AV8+1,AV8)</f>
        <v>2</v>
      </c>
      <c r="AW9" s="131" t="str">
        <f t="shared" si="10"/>
        <v>二号</v>
      </c>
      <c r="AX9" s="177" t="str">
        <f>VLOOKUP(AW9,坦克个性化细分!$I$3:$J$33,2,FALSE)</f>
        <v>低</v>
      </c>
      <c r="AY9" s="183">
        <f t="shared" si="1"/>
        <v>0</v>
      </c>
      <c r="AZ9" s="486">
        <f ca="1">ROUND(VLOOKUP($AW9&amp;"初始",$O$3:$AA$63,MATCH(AZ$3,$O$3:$AA$3,0),FALSE)+((VLOOKUP($AW9&amp;"最终",$O$3:$AA$63,MATCH(AZ$3,$O$3:$AA$3,0),FALSE)*坦克个性化细分!$C$9-VLOOKUP($AW9&amp;"初始",$O$3:$AA$63,MATCH(AZ$3,$O$3:$AA$3,0),FALSE))-(VLOOKUP($AW9&amp;"最终",$O$3:$AA$63,MATCH(AZ$3,$O$3:$AA$3,0),FALSE)-VLOOKUP($AW9&amp;"初始",$O$3:$AA$63,MATCH(AZ$3,$O$3:$AA$3,0),FALSE))*VLOOKUP(VLOOKUP($AW9,坦克个性化设定!$B$18:$E$48,4,FALSE)&amp;$AX9,坦克属性分配比例,MATCH("部件比例",坦克属性分配比例标头,0),FALSE))*$AY9/VLOOKUP(VLOOKUP($AW9,坦克个性化设定!$B$18:$E$48,4,FALSE)&amp;$AX9,坦克属性分配比例,MATCH("升星次数",坦克属性分配比例标头,0),FALSE),0)</f>
        <v>891</v>
      </c>
      <c r="BA9" s="426">
        <f ca="1">ROUND(VLOOKUP($AW9&amp;"初始",$O$3:$AA$63,MATCH(BA$3,$O$3:$AA$3,0),FALSE)+(VLOOKUP($AW9&amp;"最终",$O$3:$AA$63,MATCH(BA$3,$O$3:$AA$3,0),FALSE)-VLOOKUP($AW9&amp;"初始",$O$3:$AA$63,MATCH(BA$3,$O$3:$AA$3,0),FALSE))*$AY9/VLOOKUP(VLOOKUP($AW9,坦克个性化设定!$B$18:$E$48,4,FALSE)&amp;$AX9,坦克属性分配比例,MATCH("升星次数",坦克属性分配比例标头,0),FALSE)*VLOOKUP(VLOOKUP($AW9,坦克个性化设定!$B$18:$E$48,4,FALSE)&amp;$AX9,坦克属性分配比例,MATCH("升星比例",坦克属性分配比例标头,0),FALSE),0)</f>
        <v>29</v>
      </c>
      <c r="BB9" s="486">
        <f ca="1">ROUND(VLOOKUP($AW9&amp;"初始",$O$3:$AA$63,MATCH(BB$3,$O$3:$AA$3,0),FALSE)+(VLOOKUP($AW9&amp;"最终",$O$3:$AA$63,MATCH(BB$3,$O$3:$AA$3,0),FALSE)-VLOOKUP($AW9&amp;"初始",$O$3:$AA$63,MATCH(BB$3,$O$3:$AA$3,0),FALSE))*$AY9/VLOOKUP(VLOOKUP($AW9,坦克个性化设定!$B$18:$E$48,4,FALSE)&amp;$AX9,坦克属性分配比例,MATCH("升星次数",坦克属性分配比例标头,0),FALSE)*(VLOOKUP(VLOOKUP($AW9,坦克个性化设定!$B$18:$E$48,4,FALSE)&amp;$AX9,坦克属性分配比例,MATCH("升星比例",坦克属性分配比例标头,0),FALSE)+VLOOKUP(VLOOKUP($AW9,坦克个性化设定!$B$18:$E$48,4,FALSE)&amp;$AX9,坦克属性分配比例,MATCH("部件比例",坦克属性分配比例标头,0),FALSE)*$C$3),0)</f>
        <v>394</v>
      </c>
      <c r="BC9" s="486">
        <f ca="1">ROUND(VLOOKUP($AW9&amp;"初始",$O$3:$AA$63,MATCH(BC$3,$O$3:$AA$3,0),FALSE)+(VLOOKUP($AW9&amp;"最终",$O$3:$AA$63,MATCH(BC$3,$O$3:$AA$3,0),FALSE)-VLOOKUP($AW9&amp;"初始",$O$3:$AA$63,MATCH(BC$3,$O$3:$AA$3,0),FALSE))*$AY9/VLOOKUP(VLOOKUP($AW9,坦克个性化设定!$B$18:$E$48,4,FALSE)&amp;$AX9,坦克属性分配比例,MATCH("升星次数",坦克属性分配比例标头,0),FALSE)*(VLOOKUP(VLOOKUP($AW9,坦克个性化设定!$B$18:$E$48,4,FALSE)&amp;$AX9,坦克属性分配比例,MATCH("升星比例",坦克属性分配比例标头,0),FALSE)+VLOOKUP(VLOOKUP($AW9,坦克个性化设定!$B$18:$E$48,4,FALSE)&amp;$AX9,坦克属性分配比例,MATCH("部件比例",坦克属性分配比例标头,0),FALSE)*$C$3),0)</f>
        <v>276</v>
      </c>
      <c r="BD9" s="426">
        <f ca="1">ROUND(VLOOKUP($AW9&amp;"初始",$O$3:$AA$63,MATCH(BD$3,$O$3:$AA$3,0),FALSE)+(VLOOKUP($AW9&amp;"最终",$O$3:$AA$63,MATCH(BD$3,$O$3:$AA$3,0),FALSE)-VLOOKUP($AW9&amp;"初始",$O$3:$AA$63,MATCH(BD$3,$O$3:$AA$3,0),FALSE))*$AY9/VLOOKUP(VLOOKUP($AW9,坦克个性化设定!$B$18:$E$48,4,FALSE)&amp;$AX9,坦克属性分配比例,MATCH("升星次数",坦克属性分配比例标头,0),FALSE)*VLOOKUP(VLOOKUP($AW9,坦克个性化设定!$B$18:$E$48,4,FALSE)&amp;$AX9,坦克属性分配比例,MATCH("升星比例",坦克属性分配比例标头,0),FALSE),0)</f>
        <v>360</v>
      </c>
      <c r="BE9" s="426">
        <f ca="1">ROUND(VLOOKUP($AW9&amp;"初始",$O$3:$AA$63,MATCH(BE$3,$O$3:$AA$3,0),FALSE)+(VLOOKUP($AW9&amp;"最终",$O$3:$AA$63,MATCH(BE$3,$O$3:$AA$3,0),FALSE)-VLOOKUP($AW9&amp;"初始",$O$3:$AA$63,MATCH(BE$3,$O$3:$AA$3,0),FALSE))*$AY9/VLOOKUP(VLOOKUP($AW9,坦克个性化设定!$B$18:$E$48,4,FALSE)&amp;$AX9,坦克属性分配比例,MATCH("升星次数",坦克属性分配比例标头,0),FALSE),0)</f>
        <v>96</v>
      </c>
      <c r="BF9" s="462">
        <f>ROUND(VLOOKUP($AW9,$AD$3:$AJ$33,MATCH(BF$3,$AD$3:$AJ$3,0),FALSE)+$AY9/VLOOKUP(VLOOKUP($AW9,坦克个性化设定!$B$18:$E$48,4,FALSE)&amp;$AX9,坦克属性分配比例,MATCH("升星次数",坦克属性分配比例标头,0),FALSE)*VLOOKUP($AW9,$AM$3:$AS$33,MATCH(BF$3,$AM$3:$AS$3,0),FALSE),1)</f>
        <v>47.1</v>
      </c>
      <c r="BG9" s="462">
        <f>ROUND(VLOOKUP($AW9,$AD$3:$AJ$33,MATCH(BG$3,$AD$3:$AJ$3,0),FALSE)+$AY9/VLOOKUP(VLOOKUP($AW9,坦克个性化设定!$B$18:$E$48,4,FALSE)&amp;$AX9,坦克属性分配比例,MATCH("升星次数",坦克属性分配比例标头,0),FALSE)*VLOOKUP($AW9,$AM$3:$AS$33,MATCH(BG$3,$AM$3:$AS$3,0),FALSE),1)</f>
        <v>45</v>
      </c>
      <c r="BH9" s="462">
        <f>ROUND(VLOOKUP($AW9,$AD$3:$AJ$33,MATCH(BH$3,$AD$3:$AJ$3,0),FALSE)+$AY9/VLOOKUP(VLOOKUP($AW9,坦克个性化设定!$B$18:$E$48,4,FALSE)&amp;$AX9,坦克属性分配比例,MATCH("升星次数",坦克属性分配比例标头,0),FALSE)*VLOOKUP($AW9,$AM$3:$AS$33,MATCH(BH$3,$AM$3:$AS$3,0),FALSE),1)</f>
        <v>14.6</v>
      </c>
      <c r="BI9" s="654">
        <f>IF(VLOOKUP(AW9,坦克个性化设定!$B$18:$BB$48,MATCH("装弹类型",坦克个性化设定!$B$18:$BB$18,0),FALSE)="弹夹换弹",0,ROUND(VLOOKUP($AW9,$AD$3:$AJ$33,MATCH("换弹时间",$AD$3:$AJ$3,0),FALSE)-$AY9/VLOOKUP(VLOOKUP($AW9,坦克个性化设定!$B$18:$E$48,4,FALSE)&amp;$AX9,坦克属性分配比例,MATCH("升星次数",坦克属性分配比例标头,0),FALSE)*VLOOKUP($AW9,$AM$3:$AS$33,MATCH("换弹时间",$AM$3:$AS$3,0),FALSE),2))</f>
        <v>0</v>
      </c>
      <c r="BJ9" s="462">
        <f>IF(VLOOKUP(AW9,坦克个性化设定!$B$18:$BB$48,MATCH("装弹类型",坦克个性化设定!$B$18:$BB$18,0),FALSE)="弹夹换弹",ROUND(VLOOKUP($AW9,$AD$3:$AJ$33,MATCH("换弹时间",$AD$3:$AJ$3,0),FALSE)-$AY9/VLOOKUP(VLOOKUP($AW9,坦克个性化设定!$B$18:$E$48,4,FALSE)&amp;$AX9,坦克属性分配比例,MATCH("升星次数",坦克属性分配比例标头,0),FALSE)*VLOOKUP($AW9,$AM$3:$AS$33,MATCH("换弹时间",$AM$3:$AS$3,0),FALSE),1),0)</f>
        <v>8.4</v>
      </c>
      <c r="BK9" s="462">
        <f>ROUND(VLOOKUP($AW9,$AD$3:$AJ$33,MATCH(BK$3,$AD$3:$AJ$3,0),FALSE)+$AY9/VLOOKUP(VLOOKUP($AW9,坦克个性化设定!$B$18:$E$48,4,FALSE)&amp;$AX9,坦克属性分配比例,MATCH("升星次数",坦克属性分配比例标头,0),FALSE)*VLOOKUP($AW9,$AM$3:$AS$33,MATCH(BK$3,$AM$3:$AS$3,0),FALSE),2)</f>
        <v>0.2</v>
      </c>
      <c r="BL9" s="462">
        <f>ROUND(VLOOKUP($AW9,$AD$3:$AJ$33,MATCH(BL$3,$AD$3:$AJ$3,0),FALSE)-$AY9/VLOOKUP(VLOOKUP($AW9,坦克个性化设定!$B$18:$E$48,4,FALSE)&amp;$AX9,坦克属性分配比例,MATCH("升星次数",坦克属性分配比例标头,0),FALSE)*VLOOKUP($AW9,$AM$3:$AS$33,MATCH(BL$3,$AM$3:$AS$3,0),FALSE),2)</f>
        <v>0.46</v>
      </c>
      <c r="BM9" s="496"/>
      <c r="BN9" s="183">
        <v>6</v>
      </c>
      <c r="BO9" s="131" t="str">
        <f t="shared" si="11"/>
        <v>AMX-13</v>
      </c>
      <c r="BP9" s="131" t="str">
        <f>VLOOKUP(BO9,坦克个性化设定!$B$18:$F$48,5,FALSE)</f>
        <v>轻坦单发</v>
      </c>
      <c r="BQ9" s="177" t="str">
        <f>VLOOKUP(BO9,坦克个性化细分!$I$3:$J$33,2,FALSE)</f>
        <v>高</v>
      </c>
      <c r="BR9" s="96">
        <f ca="1">(VLOOKUP($BO9&amp;"最终",$O$3:$AA$63,MATCH(BR$3,$O$3:$AA$3,0),FALSE)-VLOOKUP($BO9&amp;"初始",$O$3:$AA$63,MATCH(BR$3,$O$3:$AA$3,0),FALSE))*VLOOKUP(VLOOKUP($BO9,坦克个性化设定!$B$18:$E$48,4,FALSE)&amp;$BQ9,坦克属性分配比例,MATCH("部件比例",坦克属性分配比例标头,0),FALSE)</f>
        <v>496.58120292229506</v>
      </c>
      <c r="BS9" s="96">
        <f ca="1">(VLOOKUP($BO9&amp;"最终",$O$3:$AA$63,MATCH(BS$3,$O$3:$AA$3,0),FALSE)-VLOOKUP($BO9&amp;"初始",$O$3:$AA$63,MATCH(BS$3,$O$3:$AA$3,0),FALSE))*VLOOKUP(VLOOKUP($BO9,坦克个性化设定!$B$18:$E$48,4,FALSE)&amp;$BQ9,坦克属性分配比例,MATCH("部件比例",坦克属性分配比例标头,0),FALSE)</f>
        <v>67.281720078373809</v>
      </c>
      <c r="BT9" s="96">
        <f ca="1">(VLOOKUP($BO9&amp;"最终",$O$3:$AA$63,MATCH(BT$3,$O$3:$AA$3,0),FALSE)-VLOOKUP($BO9&amp;"初始",$O$3:$AA$63,MATCH(BT$3,$O$3:$AA$3,0),FALSE))*VLOOKUP(VLOOKUP($BO9,坦克个性化设定!$B$18:$E$48,4,FALSE)&amp;$BQ9,坦克属性分配比例,MATCH("部件比例",坦克属性分配比例标头,0),FALSE)*(1-$C$3)</f>
        <v>93.427020000000013</v>
      </c>
      <c r="BU9" s="96">
        <f ca="1">(VLOOKUP($BO9&amp;"最终",$O$3:$AA$63,MATCH(BU$3,$O$3:$AA$3,0),FALSE)-VLOOKUP($BO9&amp;"初始",$O$3:$AA$63,MATCH(BU$3,$O$3:$AA$3,0),FALSE))*VLOOKUP(VLOOKUP($BO9,坦克个性化设定!$B$18:$E$48,4,FALSE)&amp;$BQ9,坦克属性分配比例,MATCH("部件比例",坦克属性分配比例标头,0),FALSE)*(1-$C$3)</f>
        <v>65.448000000000008</v>
      </c>
      <c r="BV9" s="96">
        <f ca="1">(VLOOKUP($BO9&amp;"最终",$O$3:$AA$63,MATCH(BV$3,$O$3:$AA$3,0),FALSE)-VLOOKUP($BO9&amp;"初始",$O$3:$AA$63,MATCH(BV$3,$O$3:$AA$3,0),FALSE))*VLOOKUP(VLOOKUP($BO9,坦克个性化设定!$B$18:$E$48,4,FALSE)&amp;$BQ9,坦克属性分配比例,MATCH("部件比例",坦克属性分配比例标头,0),FALSE)</f>
        <v>196.34400000000002</v>
      </c>
    </row>
    <row r="10" spans="2:74" x14ac:dyDescent="0.35">
      <c r="B10" s="137">
        <v>5</v>
      </c>
      <c r="C10" s="176" t="str">
        <f>坦克个性化设定!B23</f>
        <v>十字军</v>
      </c>
      <c r="D10" s="84"/>
      <c r="E10" s="175" t="str">
        <f>坦克等级成长!B19&amp;坦克等级成长!C19</f>
        <v>T4低</v>
      </c>
      <c r="F10" s="183">
        <f>坦克等级成长!L7</f>
        <v>10</v>
      </c>
      <c r="G10" s="654">
        <f>坦克等级成长!J19</f>
        <v>1.9</v>
      </c>
      <c r="H10" s="654">
        <f>坦克等级成长!K19</f>
        <v>2.9</v>
      </c>
      <c r="I10" s="654">
        <f>坦克等级成长!E19</f>
        <v>5</v>
      </c>
      <c r="J10" s="654">
        <f>IFERROR(VLOOKUP(I10,坦克部件!$M$3:$Q$9,5,FALSE),VLOOKUP(I10-1,坦克部件!$M$3:$Q$9,5,FALSE))</f>
        <v>0.40400000000000003</v>
      </c>
      <c r="K10" s="654">
        <f t="shared" si="2"/>
        <v>0.76760000000000006</v>
      </c>
      <c r="L10" s="467">
        <f t="shared" si="3"/>
        <v>0.23239999999999994</v>
      </c>
      <c r="M10" s="677">
        <f t="shared" si="4"/>
        <v>0.76760000000000006</v>
      </c>
      <c r="N10" s="84"/>
      <c r="O10" s="426" t="str">
        <f t="shared" si="5"/>
        <v>35(t)初始</v>
      </c>
      <c r="P10" s="137">
        <f>IF(COUNTIF(Q$4:Q9,Q9)&gt;=$B$3,P9+1,P9)</f>
        <v>4</v>
      </c>
      <c r="Q10" s="131" t="str">
        <f t="shared" si="6"/>
        <v>35(t)</v>
      </c>
      <c r="R10" s="131" t="str">
        <f>VLOOKUP(Q10,坦克个性化设定!$B$18:$F$48,5,FALSE)</f>
        <v>轻坦半自动</v>
      </c>
      <c r="S10" s="177" t="str">
        <f>VLOOKUP(Q10,坦克个性化细分!$I$3:$J$33,2,FALSE)</f>
        <v>低</v>
      </c>
      <c r="T10" s="137" t="str">
        <f t="shared" si="12"/>
        <v>初始</v>
      </c>
      <c r="U10" s="178" t="str">
        <f>VLOOKUP(VLOOKUP(Q10,坦克个性化设定!$B$18:$F$48,4,FALSE)&amp;S10,坦克等级成长!$P$12:$U$24,MATCH(T10,坦克等级成长!$P$12:$U$12,0),FALSE)</f>
        <v>T3低3</v>
      </c>
      <c r="V10" s="96">
        <f ca="1">VLOOKUP($U10,INDIRECT($R10&amp;"_阶段属性"),MATCH(V$3,属性标头_阶段属性,0),FALSE)*VLOOKUP($Q10,坦克个性化设定!$B$84:$D$114,2,FALSE)</f>
        <v>1109.0317297686804</v>
      </c>
      <c r="W10" s="96">
        <f ca="1">VLOOKUP($U10,INDIRECT($R10&amp;"_阶段属性"),MATCH(W$3,属性标头_阶段属性,0),FALSE)*VLOOKUP($Q10,坦克个性化设定!$B$84:$D$114,3,FALSE)</f>
        <v>79.317942996329691</v>
      </c>
      <c r="X10" s="131">
        <f t="shared" ca="1" si="0"/>
        <v>450</v>
      </c>
      <c r="Y10" s="131">
        <f t="shared" ca="1" si="0"/>
        <v>315</v>
      </c>
      <c r="Z10" s="131">
        <f t="shared" ca="1" si="0"/>
        <v>450</v>
      </c>
      <c r="AA10" s="131">
        <f t="shared" ca="1" si="0"/>
        <v>120</v>
      </c>
      <c r="AC10" s="195">
        <v>7</v>
      </c>
      <c r="AD10" s="193" t="str">
        <f t="shared" si="7"/>
        <v>霞飞</v>
      </c>
      <c r="AE10" s="195">
        <f>VLOOKUP($AD10,坦克个性化细分!$I$3:$P$33,MATCH(AE$3,坦克个性化细分!$I$3:$P$3,0),FALSE)</f>
        <v>42.4</v>
      </c>
      <c r="AF10" s="195">
        <f>VLOOKUP($AD10,坦克个性化细分!$I$3:$P$33,MATCH(AF$3,坦克个性化细分!$I$3:$P$3,0),FALSE)</f>
        <v>50</v>
      </c>
      <c r="AG10" s="195">
        <f>VLOOKUP($AD10,坦克个性化细分!$I$3:$P$33,MATCH(AG$3,坦克个性化细分!$I$3:$P$3,0),FALSE)</f>
        <v>13.9</v>
      </c>
      <c r="AH10" s="206">
        <f>VLOOKUP(AD10,坦克个性化细分!$AA$3:$AP$33,MATCH("射击偏移角",坦克个性化细分!$AA$3:$AP$3,0),FALSE)/VLOOKUP(AD10,坦克个性化细分!$AA$3:$AP$33,MATCH("原瞄准速度",坦克个性化细分!$AA$3:$AP$3,0),FALSE)</f>
        <v>0.90000000000000013</v>
      </c>
      <c r="AI10" s="206">
        <f>VLOOKUP(AD10,坦克个性化细分!$AA$3:$AP$33,MATCH(AI$3,坦克个性化细分!$AA$3:$AP$3,0),FALSE)</f>
        <v>0.30000000000000004</v>
      </c>
      <c r="AJ10" s="462">
        <f>VLOOKUP(AD10,坦克个性化细分!$AA$3:$AP$33,MATCH("原换弹时间",坦克个性化细分!$AA$3:$AP$3,0),FALSE)</f>
        <v>1.4</v>
      </c>
      <c r="AK10" s="208"/>
      <c r="AL10" s="195">
        <v>7</v>
      </c>
      <c r="AM10" s="193" t="str">
        <f t="shared" si="8"/>
        <v>霞飞</v>
      </c>
      <c r="AN10" s="206">
        <f>VLOOKUP(AM10,坦克个性化细分!$I$3:$P$33,MATCH("养成区间1",坦克个性化细分!$I$3:$P$3,0),FALSE)</f>
        <v>10.599999999999996</v>
      </c>
      <c r="AO10" s="462">
        <f>VLOOKUP(AM10,坦克个性化细分!$I$3:$P$33,MATCH("养成区间2",坦克个性化细分!$I$3:$P$3,0),FALSE)</f>
        <v>12.499999999999996</v>
      </c>
      <c r="AP10" s="462">
        <f>VLOOKUP(AM10,坦克个性化细分!$I$3:$P$33,MATCH("养成区间3",坦克个性化细分!$I$3:$P$3,0),FALSE)</f>
        <v>4.54</v>
      </c>
      <c r="AQ10" s="206">
        <f>VLOOKUP(AM10,坦克个性化细分!$AA$3:$AP$33,MATCH("瞄准区间",坦克个性化细分!$AA$3:$AP$3,0),FALSE)</f>
        <v>0.15000000000000002</v>
      </c>
      <c r="AR10" s="206">
        <f>VLOOKUP(AD10,坦克个性化细分!$AA$3:$AP$33,MATCH("后射击间隔",坦克个性化细分!$AA$3:$AP$3,0),FALSE)-VLOOKUP(AD10,坦克个性化细分!$AA$3:$AP$33,MATCH(AI$3,坦克个性化细分!$AA$3:$AP$3,0),FALSE)</f>
        <v>0</v>
      </c>
      <c r="AS10" s="206">
        <f>VLOOKUP(AM10,坦克个性化细分!$AA$3:$AP$33,MATCH("换弹区间",坦克个性化细分!$AA$3:$AP$3,0),FALSE)</f>
        <v>0.35761741122565871</v>
      </c>
      <c r="AT10" s="208"/>
      <c r="AU10" s="364" t="str">
        <f t="shared" si="9"/>
        <v>二号1</v>
      </c>
      <c r="AV10" s="183">
        <f>IF(AY9&gt;=VLOOKUP(VLOOKUP(AW9,坦克个性化设定!$B$18:$E$48,4,FALSE)&amp;AX9,坦克属性分配比例,MATCH("升星次数",坦克属性分配比例标头,0),FALSE),AV9+1,AV9)</f>
        <v>2</v>
      </c>
      <c r="AW10" s="131" t="str">
        <f t="shared" si="10"/>
        <v>二号</v>
      </c>
      <c r="AX10" s="177" t="str">
        <f>VLOOKUP(AW10,坦克个性化细分!$I$3:$J$33,2,FALSE)</f>
        <v>低</v>
      </c>
      <c r="AY10" s="183">
        <f t="shared" si="1"/>
        <v>1</v>
      </c>
      <c r="AZ10" s="486">
        <f ca="1">ROUND(VLOOKUP($AW10&amp;"初始",$O$3:$AA$63,MATCH(AZ$3,$O$3:$AA$3,0),FALSE)+((VLOOKUP($AW10&amp;"最终",$O$3:$AA$63,MATCH(AZ$3,$O$3:$AA$3,0),FALSE)*坦克个性化细分!$C$9-VLOOKUP($AW10&amp;"初始",$O$3:$AA$63,MATCH(AZ$3,$O$3:$AA$3,0),FALSE))-(VLOOKUP($AW10&amp;"最终",$O$3:$AA$63,MATCH(AZ$3,$O$3:$AA$3,0),FALSE)-VLOOKUP($AW10&amp;"初始",$O$3:$AA$63,MATCH(AZ$3,$O$3:$AA$3,0),FALSE))*VLOOKUP(VLOOKUP($AW10,坦克个性化设定!$B$18:$E$48,4,FALSE)&amp;$AX10,坦克属性分配比例,MATCH("部件比例",坦克属性分配比例标头,0),FALSE))*$AY10/VLOOKUP(VLOOKUP($AW10,坦克个性化设定!$B$18:$E$48,4,FALSE)&amp;$AX10,坦克属性分配比例,MATCH("升星次数",坦克属性分配比例标头,0),FALSE),0)</f>
        <v>999</v>
      </c>
      <c r="BA10" s="426">
        <f ca="1">ROUND(VLOOKUP($AW10&amp;"初始",$O$3:$AA$63,MATCH(BA$3,$O$3:$AA$3,0),FALSE)+(VLOOKUP($AW10&amp;"最终",$O$3:$AA$63,MATCH(BA$3,$O$3:$AA$3,0),FALSE)-VLOOKUP($AW10&amp;"初始",$O$3:$AA$63,MATCH(BA$3,$O$3:$AA$3,0),FALSE))*$AY10/VLOOKUP(VLOOKUP($AW10,坦克个性化设定!$B$18:$E$48,4,FALSE)&amp;$AX10,坦克属性分配比例,MATCH("升星次数",坦克属性分配比例标头,0),FALSE)*VLOOKUP(VLOOKUP($AW10,坦克个性化设定!$B$18:$E$48,4,FALSE)&amp;$AX10,坦克属性分配比例,MATCH("升星比例",坦克属性分配比例标头,0),FALSE),0)</f>
        <v>31</v>
      </c>
      <c r="BB10" s="486">
        <f ca="1">ROUND(VLOOKUP($AW10&amp;"初始",$O$3:$AA$63,MATCH(BB$3,$O$3:$AA$3,0),FALSE)+(VLOOKUP($AW10&amp;"最终",$O$3:$AA$63,MATCH(BB$3,$O$3:$AA$3,0),FALSE)-VLOOKUP($AW10&amp;"初始",$O$3:$AA$63,MATCH(BB$3,$O$3:$AA$3,0),FALSE))*$AY10/VLOOKUP(VLOOKUP($AW10,坦克个性化设定!$B$18:$E$48,4,FALSE)&amp;$AX10,坦克属性分配比例,MATCH("升星次数",坦克属性分配比例标头,0),FALSE)*(VLOOKUP(VLOOKUP($AW10,坦克个性化设定!$B$18:$E$48,4,FALSE)&amp;$AX10,坦克属性分配比例,MATCH("升星比例",坦克属性分配比例标头,0),FALSE)+VLOOKUP(VLOOKUP($AW10,坦克个性化设定!$B$18:$E$48,4,FALSE)&amp;$AX10,坦克属性分配比例,MATCH("部件比例",坦克属性分配比例标头,0),FALSE)*$C$3),0)</f>
        <v>421</v>
      </c>
      <c r="BC10" s="486">
        <f ca="1">ROUND(VLOOKUP($AW10&amp;"初始",$O$3:$AA$63,MATCH(BC$3,$O$3:$AA$3,0),FALSE)+(VLOOKUP($AW10&amp;"最终",$O$3:$AA$63,MATCH(BC$3,$O$3:$AA$3,0),FALSE)-VLOOKUP($AW10&amp;"初始",$O$3:$AA$63,MATCH(BC$3,$O$3:$AA$3,0),FALSE))*$AY10/VLOOKUP(VLOOKUP($AW10,坦克个性化设定!$B$18:$E$48,4,FALSE)&amp;$AX10,坦克属性分配比例,MATCH("升星次数",坦克属性分配比例标头,0),FALSE)*(VLOOKUP(VLOOKUP($AW10,坦克个性化设定!$B$18:$E$48,4,FALSE)&amp;$AX10,坦克属性分配比例,MATCH("升星比例",坦克属性分配比例标头,0),FALSE)+VLOOKUP(VLOOKUP($AW10,坦克个性化设定!$B$18:$E$48,4,FALSE)&amp;$AX10,坦克属性分配比例,MATCH("部件比例",坦克属性分配比例标头,0),FALSE)*$C$3),0)</f>
        <v>295</v>
      </c>
      <c r="BD10" s="426">
        <f ca="1">ROUND(VLOOKUP($AW10&amp;"初始",$O$3:$AA$63,MATCH(BD$3,$O$3:$AA$3,0),FALSE)+(VLOOKUP($AW10&amp;"最终",$O$3:$AA$63,MATCH(BD$3,$O$3:$AA$3,0),FALSE)-VLOOKUP($AW10&amp;"初始",$O$3:$AA$63,MATCH(BD$3,$O$3:$AA$3,0),FALSE))*$AY10/VLOOKUP(VLOOKUP($AW10,坦克个性化设定!$B$18:$E$48,4,FALSE)&amp;$AX10,坦克属性分配比例,MATCH("升星次数",坦克属性分配比例标头,0),FALSE)*VLOOKUP(VLOOKUP($AW10,坦克个性化设定!$B$18:$E$48,4,FALSE)&amp;$AX10,坦克属性分配比例,MATCH("升星比例",坦克属性分配比例标头,0),FALSE),0)</f>
        <v>377</v>
      </c>
      <c r="BE10" s="426">
        <f ca="1">ROUND(VLOOKUP($AW10&amp;"初始",$O$3:$AA$63,MATCH(BE$3,$O$3:$AA$3,0),FALSE)+(VLOOKUP($AW10&amp;"最终",$O$3:$AA$63,MATCH(BE$3,$O$3:$AA$3,0),FALSE)-VLOOKUP($AW10&amp;"初始",$O$3:$AA$63,MATCH(BE$3,$O$3:$AA$3,0),FALSE))*$AY10/VLOOKUP(VLOOKUP($AW10,坦克个性化设定!$B$18:$E$48,4,FALSE)&amp;$AX10,坦克属性分配比例,MATCH("升星次数",坦克属性分配比例标头,0),FALSE),0)</f>
        <v>104</v>
      </c>
      <c r="BF10" s="462">
        <f>ROUND(VLOOKUP($AW10,$AD$3:$AJ$33,MATCH(BF$3,$AD$3:$AJ$3,0),FALSE)+$AY10/VLOOKUP(VLOOKUP($AW10,坦克个性化设定!$B$18:$E$48,4,FALSE)&amp;$AX10,坦克属性分配比例,MATCH("升星次数",坦克属性分配比例标头,0),FALSE)*VLOOKUP($AW10,$AM$3:$AS$33,MATCH(BF$3,$AM$3:$AS$3,0),FALSE),1)</f>
        <v>49.1</v>
      </c>
      <c r="BG10" s="462">
        <f>ROUND(VLOOKUP($AW10,$AD$3:$AJ$33,MATCH(BG$3,$AD$3:$AJ$3,0),FALSE)+$AY10/VLOOKUP(VLOOKUP($AW10,坦克个性化设定!$B$18:$E$48,4,FALSE)&amp;$AX10,坦克属性分配比例,MATCH("升星次数",坦克属性分配比例标头,0),FALSE)*VLOOKUP($AW10,$AM$3:$AS$33,MATCH(BG$3,$AM$3:$AS$3,0),FALSE),1)</f>
        <v>46.9</v>
      </c>
      <c r="BH10" s="462">
        <f>ROUND(VLOOKUP($AW10,$AD$3:$AJ$33,MATCH(BH$3,$AD$3:$AJ$3,0),FALSE)+$AY10/VLOOKUP(VLOOKUP($AW10,坦克个性化设定!$B$18:$E$48,4,FALSE)&amp;$AX10,坦克属性分配比例,MATCH("升星次数",坦克属性分配比例标头,0),FALSE)*VLOOKUP($AW10,$AM$3:$AS$33,MATCH(BH$3,$AM$3:$AS$3,0),FALSE),1)</f>
        <v>15.4</v>
      </c>
      <c r="BI10" s="654">
        <f>IF(VLOOKUP(AW10,坦克个性化设定!$B$18:$BB$48,MATCH("装弹类型",坦克个性化设定!$B$18:$BB$18,0),FALSE)="弹夹换弹",0,ROUND(VLOOKUP($AW10,$AD$3:$AJ$33,MATCH("换弹时间",$AD$3:$AJ$3,0),FALSE)-$AY10/VLOOKUP(VLOOKUP($AW10,坦克个性化设定!$B$18:$E$48,4,FALSE)&amp;$AX10,坦克属性分配比例,MATCH("升星次数",坦克属性分配比例标头,0),FALSE)*VLOOKUP($AW10,$AM$3:$AS$33,MATCH("换弹时间",$AM$3:$AS$3,0),FALSE),2))</f>
        <v>0</v>
      </c>
      <c r="BJ10" s="462">
        <f>IF(VLOOKUP(AW10,坦克个性化设定!$B$18:$BB$48,MATCH("装弹类型",坦克个性化设定!$B$18:$BB$18,0),FALSE)="弹夹换弹",ROUND(VLOOKUP($AW10,$AD$3:$AJ$33,MATCH("换弹时间",$AD$3:$AJ$3,0),FALSE)-$AY10/VLOOKUP(VLOOKUP($AW10,坦克个性化设定!$B$18:$E$48,4,FALSE)&amp;$AX10,坦克属性分配比例,MATCH("升星次数",坦克属性分配比例标头,0),FALSE)*VLOOKUP($AW10,$AM$3:$AS$33,MATCH("换弹时间",$AM$3:$AS$3,0),FALSE),1),0)</f>
        <v>7.9</v>
      </c>
      <c r="BK10" s="462">
        <f>ROUND(VLOOKUP($AW10,$AD$3:$AJ$33,MATCH(BK$3,$AD$3:$AJ$3,0),FALSE)+$AY10/VLOOKUP(VLOOKUP($AW10,坦克个性化设定!$B$18:$E$48,4,FALSE)&amp;$AX10,坦克属性分配比例,MATCH("升星次数",坦克属性分配比例标头,0),FALSE)*VLOOKUP($AW10,$AM$3:$AS$33,MATCH(BK$3,$AM$3:$AS$3,0),FALSE),2)</f>
        <v>0.2</v>
      </c>
      <c r="BL10" s="462">
        <f>ROUND(VLOOKUP($AW10,$AD$3:$AJ$33,MATCH(BL$3,$AD$3:$AJ$3,0),FALSE)-$AY10/VLOOKUP(VLOOKUP($AW10,坦克个性化设定!$B$18:$E$48,4,FALSE)&amp;$AX10,坦克属性分配比例,MATCH("升星次数",坦克属性分配比例标头,0),FALSE)*VLOOKUP($AW10,$AM$3:$AS$33,MATCH(BL$3,$AM$3:$AS$3,0),FALSE),2)</f>
        <v>0.45</v>
      </c>
      <c r="BN10" s="183">
        <v>7</v>
      </c>
      <c r="BO10" s="131" t="str">
        <f t="shared" si="11"/>
        <v>霞飞</v>
      </c>
      <c r="BP10" s="131" t="str">
        <f>VLOOKUP(BO10,坦克个性化设定!$B$18:$F$48,5,FALSE)</f>
        <v>轻坦半自动</v>
      </c>
      <c r="BQ10" s="177" t="str">
        <f>VLOOKUP(BO10,坦克个性化细分!$I$3:$J$33,2,FALSE)</f>
        <v>低</v>
      </c>
      <c r="BR10" s="96">
        <f ca="1">(VLOOKUP($BO10&amp;"最终",$O$3:$AA$63,MATCH(BR$3,$O$3:$AA$3,0),FALSE)-VLOOKUP($BO10&amp;"初始",$O$3:$AA$63,MATCH(BR$3,$O$3:$AA$3,0),FALSE))*VLOOKUP(VLOOKUP($BO10,坦克个性化设定!$B$18:$E$48,4,FALSE)&amp;$BQ10,坦克属性分配比例,MATCH("部件比例",坦克属性分配比例标头,0),FALSE)</f>
        <v>586.59258448028572</v>
      </c>
      <c r="BS10" s="96">
        <f ca="1">(VLOOKUP($BO10&amp;"最终",$O$3:$AA$63,MATCH(BS$3,$O$3:$AA$3,0),FALSE)-VLOOKUP($BO10&amp;"初始",$O$3:$AA$63,MATCH(BS$3,$O$3:$AA$3,0),FALSE))*VLOOKUP(VLOOKUP($BO10,坦克个性化设定!$B$18:$E$48,4,FALSE)&amp;$BQ10,坦克属性分配比例,MATCH("部件比例",坦克属性分配比例标头,0),FALSE)</f>
        <v>39.283974931263522</v>
      </c>
      <c r="BT10" s="96">
        <f ca="1">(VLOOKUP($BO10&amp;"最终",$O$3:$AA$63,MATCH(BT$3,$O$3:$AA$3,0),FALSE)-VLOOKUP($BO10&amp;"初始",$O$3:$AA$63,MATCH(BT$3,$O$3:$AA$3,0),FALSE))*VLOOKUP(VLOOKUP($BO10,坦克个性化设定!$B$18:$E$48,4,FALSE)&amp;$BQ10,坦克属性分配比例,MATCH("部件比例",坦克属性分配比例标头,0),FALSE)*(1-$C$3)</f>
        <v>92.112000000000023</v>
      </c>
      <c r="BU10" s="96">
        <f ca="1">(VLOOKUP($BO10&amp;"最终",$O$3:$AA$63,MATCH(BU$3,$O$3:$AA$3,0),FALSE)-VLOOKUP($BO10&amp;"初始",$O$3:$AA$63,MATCH(BU$3,$O$3:$AA$3,0),FALSE))*VLOOKUP(VLOOKUP($BO10,坦克个性化设定!$B$18:$E$48,4,FALSE)&amp;$BQ10,坦克属性分配比例,MATCH("部件比例",坦克属性分配比例标头,0),FALSE)*(1-$C$3)</f>
        <v>64.478400000000008</v>
      </c>
      <c r="BV10" s="96">
        <f ca="1">(VLOOKUP($BO10&amp;"最终",$O$3:$AA$63,MATCH(BV$3,$O$3:$AA$3,0),FALSE)-VLOOKUP($BO10&amp;"初始",$O$3:$AA$63,MATCH(BV$3,$O$3:$AA$3,0),FALSE))*VLOOKUP(VLOOKUP($BO10,坦克个性化设定!$B$18:$E$48,4,FALSE)&amp;$BQ10,坦克属性分配比例,MATCH("部件比例",坦克属性分配比例标头,0),FALSE)</f>
        <v>230.28000000000003</v>
      </c>
    </row>
    <row r="11" spans="2:74" x14ac:dyDescent="0.35">
      <c r="B11" s="137">
        <v>6</v>
      </c>
      <c r="C11" s="176" t="str">
        <f>坦克个性化设定!B24</f>
        <v>AMX-13</v>
      </c>
      <c r="D11" s="84"/>
      <c r="E11" s="175" t="str">
        <f>坦克等级成长!B20&amp;坦克等级成长!C20</f>
        <v>T4中</v>
      </c>
      <c r="F11" s="183">
        <f>坦克等级成长!M7</f>
        <v>17</v>
      </c>
      <c r="G11" s="654">
        <f>坦克等级成长!J20</f>
        <v>1.96</v>
      </c>
      <c r="H11" s="654">
        <f>坦克等级成长!K20</f>
        <v>3.75</v>
      </c>
      <c r="I11" s="654">
        <f>坦克等级成长!E20</f>
        <v>6</v>
      </c>
      <c r="J11" s="654">
        <f>IFERROR(VLOOKUP(I11,坦克部件!$M$3:$Q$9,5,FALSE),VLOOKUP(I11-1,坦克部件!$M$3:$Q$9,5,FALSE))</f>
        <v>0.5</v>
      </c>
      <c r="K11" s="654">
        <f t="shared" si="2"/>
        <v>0.98</v>
      </c>
      <c r="L11" s="467">
        <f t="shared" si="3"/>
        <v>0.45251396648044695</v>
      </c>
      <c r="M11" s="677">
        <f t="shared" si="4"/>
        <v>0.54748603351955305</v>
      </c>
      <c r="N11" s="84"/>
      <c r="O11" s="426" t="str">
        <f t="shared" si="5"/>
        <v>35(t)最终</v>
      </c>
      <c r="P11" s="137">
        <f>IF(COUNTIF(Q$4:Q10,Q10)&gt;=$B$3,P10+1,P10)</f>
        <v>4</v>
      </c>
      <c r="Q11" s="131" t="str">
        <f t="shared" si="6"/>
        <v>35(t)</v>
      </c>
      <c r="R11" s="131" t="str">
        <f>VLOOKUP(Q11,坦克个性化设定!$B$18:$F$48,5,FALSE)</f>
        <v>轻坦半自动</v>
      </c>
      <c r="S11" s="177" t="str">
        <f>VLOOKUP(Q11,坦克个性化细分!$I$3:$J$33,2,FALSE)</f>
        <v>低</v>
      </c>
      <c r="T11" s="137" t="str">
        <f t="shared" si="12"/>
        <v>最终</v>
      </c>
      <c r="U11" s="178" t="str">
        <f>VLOOKUP(VLOOKUP(Q11,坦克个性化设定!$B$18:$F$48,4,FALSE)&amp;S11,坦克等级成长!$P$12:$U$24,MATCH(T11,坦克等级成长!$P$12:$U$12,0),FALSE)</f>
        <v>T3低4</v>
      </c>
      <c r="V11" s="96">
        <f ca="1">VLOOKUP($U11,INDIRECT($R11&amp;"_阶段属性"),MATCH(V$3,属性标头_阶段属性,0),FALSE)*VLOOKUP($Q11,坦克个性化设定!$B$84:$D$114,2,FALSE)</f>
        <v>1700.5153189786433</v>
      </c>
      <c r="W11" s="96">
        <f ca="1">VLOOKUP($U11,INDIRECT($R11&amp;"_阶段属性"),MATCH(W$3,属性标头_阶段属性,0),FALSE)*VLOOKUP($Q11,坦克个性化设定!$B$84:$D$114,3,FALSE)</f>
        <v>122.88695393797558</v>
      </c>
      <c r="X11" s="131">
        <f t="shared" ca="1" si="0"/>
        <v>690</v>
      </c>
      <c r="Y11" s="131">
        <f t="shared" ca="1" si="0"/>
        <v>483</v>
      </c>
      <c r="Z11" s="131">
        <f t="shared" ca="1" si="0"/>
        <v>690</v>
      </c>
      <c r="AA11" s="131">
        <f t="shared" ca="1" si="0"/>
        <v>184</v>
      </c>
      <c r="AC11" s="195">
        <v>8</v>
      </c>
      <c r="AD11" s="193" t="str">
        <f t="shared" si="7"/>
        <v>M-41</v>
      </c>
      <c r="AE11" s="195">
        <f>VLOOKUP($AD11,坦克个性化细分!$I$3:$P$33,MATCH(AE$3,坦克个性化细分!$I$3:$P$3,0),FALSE)</f>
        <v>38.5</v>
      </c>
      <c r="AF11" s="195">
        <f>VLOOKUP($AD11,坦克个性化细分!$I$3:$P$33,MATCH(AF$3,坦克个性化细分!$I$3:$P$3,0),FALSE)</f>
        <v>57.4</v>
      </c>
      <c r="AG11" s="195">
        <f>VLOOKUP($AD11,坦克个性化细分!$I$3:$P$33,MATCH(AG$3,坦克个性化细分!$I$3:$P$3,0),FALSE)</f>
        <v>13.4</v>
      </c>
      <c r="AH11" s="206">
        <f>VLOOKUP(AD11,坦克个性化细分!$AA$3:$AP$33,MATCH("射击偏移角",坦克个性化细分!$AA$3:$AP$3,0),FALSE)/VLOOKUP(AD11,坦克个性化细分!$AA$3:$AP$33,MATCH("原瞄准速度",坦克个性化细分!$AA$3:$AP$3,0),FALSE)</f>
        <v>1.8</v>
      </c>
      <c r="AI11" s="206">
        <f>VLOOKUP(AD11,坦克个性化细分!$AA$3:$AP$33,MATCH(AI$3,坦克个性化细分!$AA$3:$AP$3,0),FALSE)</f>
        <v>0</v>
      </c>
      <c r="AJ11" s="462">
        <f>VLOOKUP(AD11,坦克个性化细分!$AA$3:$AP$33,MATCH("原换弹时间",坦克个性化细分!$AA$3:$AP$3,0),FALSE)</f>
        <v>3</v>
      </c>
      <c r="AK11" s="208"/>
      <c r="AL11" s="195">
        <v>8</v>
      </c>
      <c r="AM11" s="193" t="str">
        <f t="shared" si="8"/>
        <v>M-41</v>
      </c>
      <c r="AN11" s="206">
        <f>VLOOKUP(AM11,坦克个性化细分!$I$3:$P$33,MATCH("养成区间1",坦克个性化细分!$I$3:$P$3,0),FALSE)</f>
        <v>9.6249999999999982</v>
      </c>
      <c r="AO11" s="462">
        <f>VLOOKUP(AM11,坦克个性化细分!$I$3:$P$33,MATCH("养成区间2",坦克个性化细分!$I$3:$P$3,0),FALSE)</f>
        <v>14.349999999999996</v>
      </c>
      <c r="AP11" s="462">
        <f>VLOOKUP(AM11,坦克个性化细分!$I$3:$P$33,MATCH("养成区间3",坦克个性化细分!$I$3:$P$3,0),FALSE)</f>
        <v>4.38</v>
      </c>
      <c r="AQ11" s="206">
        <f>VLOOKUP(AM11,坦克个性化细分!$AA$3:$AP$33,MATCH("瞄准区间",坦克个性化细分!$AA$3:$AP$3,0),FALSE)</f>
        <v>0.30000000000000004</v>
      </c>
      <c r="AR11" s="206">
        <f>VLOOKUP(AD11,坦克个性化细分!$AA$3:$AP$33,MATCH("后射击间隔",坦克个性化细分!$AA$3:$AP$3,0),FALSE)-VLOOKUP(AD11,坦克个性化细分!$AA$3:$AP$33,MATCH(AI$3,坦克个性化细分!$AA$3:$AP$3,0),FALSE)</f>
        <v>0</v>
      </c>
      <c r="AS11" s="206">
        <f>VLOOKUP(AM11,坦克个性化细分!$AA$3:$AP$33,MATCH("换弹区间",坦克个性化细分!$AA$3:$AP$3,0),FALSE)</f>
        <v>0.71863117870722437</v>
      </c>
      <c r="AT11" s="208"/>
      <c r="AU11" s="364" t="str">
        <f t="shared" si="9"/>
        <v>二号2</v>
      </c>
      <c r="AV11" s="183">
        <f>IF(AY10&gt;=VLOOKUP(VLOOKUP(AW10,坦克个性化设定!$B$18:$E$48,4,FALSE)&amp;AX10,坦克属性分配比例,MATCH("升星次数",坦克属性分配比例标头,0),FALSE),AV10+1,AV10)</f>
        <v>2</v>
      </c>
      <c r="AW11" s="131" t="str">
        <f t="shared" si="10"/>
        <v>二号</v>
      </c>
      <c r="AX11" s="177" t="str">
        <f>VLOOKUP(AW11,坦克个性化细分!$I$3:$J$33,2,FALSE)</f>
        <v>低</v>
      </c>
      <c r="AY11" s="183">
        <f t="shared" si="1"/>
        <v>2</v>
      </c>
      <c r="AZ11" s="486">
        <f ca="1">ROUND(VLOOKUP($AW11&amp;"初始",$O$3:$AA$63,MATCH(AZ$3,$O$3:$AA$3,0),FALSE)+((VLOOKUP($AW11&amp;"最终",$O$3:$AA$63,MATCH(AZ$3,$O$3:$AA$3,0),FALSE)*坦克个性化细分!$C$9-VLOOKUP($AW11&amp;"初始",$O$3:$AA$63,MATCH(AZ$3,$O$3:$AA$3,0),FALSE))-(VLOOKUP($AW11&amp;"最终",$O$3:$AA$63,MATCH(AZ$3,$O$3:$AA$3,0),FALSE)-VLOOKUP($AW11&amp;"初始",$O$3:$AA$63,MATCH(AZ$3,$O$3:$AA$3,0),FALSE))*VLOOKUP(VLOOKUP($AW11,坦克个性化设定!$B$18:$E$48,4,FALSE)&amp;$AX11,坦克属性分配比例,MATCH("部件比例",坦克属性分配比例标头,0),FALSE))*$AY11/VLOOKUP(VLOOKUP($AW11,坦克个性化设定!$B$18:$E$48,4,FALSE)&amp;$AX11,坦克属性分配比例,MATCH("升星次数",坦克属性分配比例标头,0),FALSE),0)</f>
        <v>1107</v>
      </c>
      <c r="BA11" s="426">
        <f ca="1">ROUND(VLOOKUP($AW11&amp;"初始",$O$3:$AA$63,MATCH(BA$3,$O$3:$AA$3,0),FALSE)+(VLOOKUP($AW11&amp;"最终",$O$3:$AA$63,MATCH(BA$3,$O$3:$AA$3,0),FALSE)-VLOOKUP($AW11&amp;"初始",$O$3:$AA$63,MATCH(BA$3,$O$3:$AA$3,0),FALSE))*$AY11/VLOOKUP(VLOOKUP($AW11,坦克个性化设定!$B$18:$E$48,4,FALSE)&amp;$AX11,坦克属性分配比例,MATCH("升星次数",坦克属性分配比例标头,0),FALSE)*VLOOKUP(VLOOKUP($AW11,坦克个性化设定!$B$18:$E$48,4,FALSE)&amp;$AX11,坦克属性分配比例,MATCH("升星比例",坦克属性分配比例标头,0),FALSE),0)</f>
        <v>32</v>
      </c>
      <c r="BB11" s="486">
        <f ca="1">ROUND(VLOOKUP($AW11&amp;"初始",$O$3:$AA$63,MATCH(BB$3,$O$3:$AA$3,0),FALSE)+(VLOOKUP($AW11&amp;"最终",$O$3:$AA$63,MATCH(BB$3,$O$3:$AA$3,0),FALSE)-VLOOKUP($AW11&amp;"初始",$O$3:$AA$63,MATCH(BB$3,$O$3:$AA$3,0),FALSE))*$AY11/VLOOKUP(VLOOKUP($AW11,坦克个性化设定!$B$18:$E$48,4,FALSE)&amp;$AX11,坦克属性分配比例,MATCH("升星次数",坦克属性分配比例标头,0),FALSE)*(VLOOKUP(VLOOKUP($AW11,坦克个性化设定!$B$18:$E$48,4,FALSE)&amp;$AX11,坦克属性分配比例,MATCH("升星比例",坦克属性分配比例标头,0),FALSE)+VLOOKUP(VLOOKUP($AW11,坦克个性化设定!$B$18:$E$48,4,FALSE)&amp;$AX11,坦克属性分配比例,MATCH("部件比例",坦克属性分配比例标头,0),FALSE)*$C$3),0)</f>
        <v>448</v>
      </c>
      <c r="BC11" s="486">
        <f ca="1">ROUND(VLOOKUP($AW11&amp;"初始",$O$3:$AA$63,MATCH(BC$3,$O$3:$AA$3,0),FALSE)+(VLOOKUP($AW11&amp;"最终",$O$3:$AA$63,MATCH(BC$3,$O$3:$AA$3,0),FALSE)-VLOOKUP($AW11&amp;"初始",$O$3:$AA$63,MATCH(BC$3,$O$3:$AA$3,0),FALSE))*$AY11/VLOOKUP(VLOOKUP($AW11,坦克个性化设定!$B$18:$E$48,4,FALSE)&amp;$AX11,坦克属性分配比例,MATCH("升星次数",坦克属性分配比例标头,0),FALSE)*(VLOOKUP(VLOOKUP($AW11,坦克个性化设定!$B$18:$E$48,4,FALSE)&amp;$AX11,坦克属性分配比例,MATCH("升星比例",坦克属性分配比例标头,0),FALSE)+VLOOKUP(VLOOKUP($AW11,坦克个性化设定!$B$18:$E$48,4,FALSE)&amp;$AX11,坦克属性分配比例,MATCH("部件比例",坦克属性分配比例标头,0),FALSE)*$C$3),0)</f>
        <v>314</v>
      </c>
      <c r="BD11" s="426">
        <f ca="1">ROUND(VLOOKUP($AW11&amp;"初始",$O$3:$AA$63,MATCH(BD$3,$O$3:$AA$3,0),FALSE)+(VLOOKUP($AW11&amp;"最终",$O$3:$AA$63,MATCH(BD$3,$O$3:$AA$3,0),FALSE)-VLOOKUP($AW11&amp;"初始",$O$3:$AA$63,MATCH(BD$3,$O$3:$AA$3,0),FALSE))*$AY11/VLOOKUP(VLOOKUP($AW11,坦克个性化设定!$B$18:$E$48,4,FALSE)&amp;$AX11,坦克属性分配比例,MATCH("升星次数",坦克属性分配比例标头,0),FALSE)*VLOOKUP(VLOOKUP($AW11,坦克个性化设定!$B$18:$E$48,4,FALSE)&amp;$AX11,坦克属性分配比例,MATCH("升星比例",坦克属性分配比例标头,0),FALSE),0)</f>
        <v>393</v>
      </c>
      <c r="BE11" s="426">
        <f ca="1">ROUND(VLOOKUP($AW11&amp;"初始",$O$3:$AA$63,MATCH(BE$3,$O$3:$AA$3,0),FALSE)+(VLOOKUP($AW11&amp;"最终",$O$3:$AA$63,MATCH(BE$3,$O$3:$AA$3,0),FALSE)-VLOOKUP($AW11&amp;"初始",$O$3:$AA$63,MATCH(BE$3,$O$3:$AA$3,0),FALSE))*$AY11/VLOOKUP(VLOOKUP($AW11,坦克个性化设定!$B$18:$E$48,4,FALSE)&amp;$AX11,坦克属性分配比例,MATCH("升星次数",坦克属性分配比例标头,0),FALSE),0)</f>
        <v>112</v>
      </c>
      <c r="BF11" s="462">
        <f>ROUND(VLOOKUP($AW11,$AD$3:$AJ$33,MATCH(BF$3,$AD$3:$AJ$3,0),FALSE)+$AY11/VLOOKUP(VLOOKUP($AW11,坦克个性化设定!$B$18:$E$48,4,FALSE)&amp;$AX11,坦克属性分配比例,MATCH("升星次数",坦克属性分配比例标头,0),FALSE)*VLOOKUP($AW11,$AM$3:$AS$33,MATCH(BF$3,$AM$3:$AS$3,0),FALSE),1)</f>
        <v>51</v>
      </c>
      <c r="BG11" s="462">
        <f>ROUND(VLOOKUP($AW11,$AD$3:$AJ$33,MATCH(BG$3,$AD$3:$AJ$3,0),FALSE)+$AY11/VLOOKUP(VLOOKUP($AW11,坦克个性化设定!$B$18:$E$48,4,FALSE)&amp;$AX11,坦克属性分配比例,MATCH("升星次数",坦克属性分配比例标头,0),FALSE)*VLOOKUP($AW11,$AM$3:$AS$33,MATCH(BG$3,$AM$3:$AS$3,0),FALSE),1)</f>
        <v>48.8</v>
      </c>
      <c r="BH11" s="462">
        <f>ROUND(VLOOKUP($AW11,$AD$3:$AJ$33,MATCH(BH$3,$AD$3:$AJ$3,0),FALSE)+$AY11/VLOOKUP(VLOOKUP($AW11,坦克个性化设定!$B$18:$E$48,4,FALSE)&amp;$AX11,坦克属性分配比例,MATCH("升星次数",坦克属性分配比例标头,0),FALSE)*VLOOKUP($AW11,$AM$3:$AS$33,MATCH(BH$3,$AM$3:$AS$3,0),FALSE),1)</f>
        <v>16.2</v>
      </c>
      <c r="BI11" s="654">
        <f>IF(VLOOKUP(AW11,坦克个性化设定!$B$18:$BB$48,MATCH("装弹类型",坦克个性化设定!$B$18:$BB$18,0),FALSE)="弹夹换弹",0,ROUND(VLOOKUP($AW11,$AD$3:$AJ$33,MATCH("换弹时间",$AD$3:$AJ$3,0),FALSE)-$AY11/VLOOKUP(VLOOKUP($AW11,坦克个性化设定!$B$18:$E$48,4,FALSE)&amp;$AX11,坦克属性分配比例,MATCH("升星次数",坦克属性分配比例标头,0),FALSE)*VLOOKUP($AW11,$AM$3:$AS$33,MATCH("换弹时间",$AM$3:$AS$3,0),FALSE),2))</f>
        <v>0</v>
      </c>
      <c r="BJ11" s="462">
        <f>IF(VLOOKUP(AW11,坦克个性化设定!$B$18:$BB$48,MATCH("装弹类型",坦克个性化设定!$B$18:$BB$18,0),FALSE)="弹夹换弹",ROUND(VLOOKUP($AW11,$AD$3:$AJ$33,MATCH("换弹时间",$AD$3:$AJ$3,0),FALSE)-$AY11/VLOOKUP(VLOOKUP($AW11,坦克个性化设定!$B$18:$E$48,4,FALSE)&amp;$AX11,坦克属性分配比例,MATCH("升星次数",坦克属性分配比例标头,0),FALSE)*VLOOKUP($AW11,$AM$3:$AS$33,MATCH("换弹时间",$AM$3:$AS$3,0),FALSE),1),0)</f>
        <v>7.4</v>
      </c>
      <c r="BK11" s="462">
        <f>ROUND(VLOOKUP($AW11,$AD$3:$AJ$33,MATCH(BK$3,$AD$3:$AJ$3,0),FALSE)+$AY11/VLOOKUP(VLOOKUP($AW11,坦克个性化设定!$B$18:$E$48,4,FALSE)&amp;$AX11,坦克属性分配比例,MATCH("升星次数",坦克属性分配比例标头,0),FALSE)*VLOOKUP($AW11,$AM$3:$AS$33,MATCH(BK$3,$AM$3:$AS$3,0),FALSE),2)</f>
        <v>0.2</v>
      </c>
      <c r="BL11" s="462">
        <f>ROUND(VLOOKUP($AW11,$AD$3:$AJ$33,MATCH(BL$3,$AD$3:$AJ$3,0),FALSE)-$AY11/VLOOKUP(VLOOKUP($AW11,坦克个性化设定!$B$18:$E$48,4,FALSE)&amp;$AX11,坦克属性分配比例,MATCH("升星次数",坦克属性分配比例标头,0),FALSE)*VLOOKUP($AW11,$AM$3:$AS$33,MATCH(BL$3,$AM$3:$AS$3,0),FALSE),2)</f>
        <v>0.43</v>
      </c>
      <c r="BM11" s="496"/>
      <c r="BN11" s="183">
        <v>8</v>
      </c>
      <c r="BO11" s="131" t="str">
        <f t="shared" si="11"/>
        <v>M-41</v>
      </c>
      <c r="BP11" s="131" t="str">
        <f>VLOOKUP(BO11,坦克个性化设定!$B$18:$F$48,5,FALSE)</f>
        <v>轻坦单发</v>
      </c>
      <c r="BQ11" s="177" t="str">
        <f>VLOOKUP(BO11,坦克个性化细分!$I$3:$J$33,2,FALSE)</f>
        <v>中</v>
      </c>
      <c r="BR11" s="96">
        <f ca="1">(VLOOKUP($BO11&amp;"最终",$O$3:$AA$63,MATCH(BR$3,$O$3:$AA$3,0),FALSE)-VLOOKUP($BO11&amp;"初始",$O$3:$AA$63,MATCH(BR$3,$O$3:$AA$3,0),FALSE))*VLOOKUP(VLOOKUP($BO11,坦克个性化设定!$B$18:$E$48,4,FALSE)&amp;$BQ11,坦克属性分配比例,MATCH("部件比例",坦克属性分配比例标头,0),FALSE)</f>
        <v>802.21308154440646</v>
      </c>
      <c r="BS11" s="96">
        <f ca="1">(VLOOKUP($BO11&amp;"最终",$O$3:$AA$63,MATCH(BS$3,$O$3:$AA$3,0),FALSE)-VLOOKUP($BO11&amp;"初始",$O$3:$AA$63,MATCH(BS$3,$O$3:$AA$3,0),FALSE))*VLOOKUP(VLOOKUP($BO11,坦克个性化设定!$B$18:$E$48,4,FALSE)&amp;$BQ11,坦克属性分配比例,MATCH("部件比例",坦克属性分配比例标头,0),FALSE)</f>
        <v>93.634827861785112</v>
      </c>
      <c r="BT11" s="96">
        <f ca="1">(VLOOKUP($BO11&amp;"最终",$O$3:$AA$63,MATCH(BT$3,$O$3:$AA$3,0),FALSE)-VLOOKUP($BO11&amp;"初始",$O$3:$AA$63,MATCH(BT$3,$O$3:$AA$3,0),FALSE))*VLOOKUP(VLOOKUP($BO11,坦克个性化设定!$B$18:$E$48,4,FALSE)&amp;$BQ11,坦克属性分配比例,MATCH("部件比例",坦克属性分配比例标头,0),FALSE)*(1-$C$3)</f>
        <v>139.93743016759777</v>
      </c>
      <c r="BU11" s="96">
        <f ca="1">(VLOOKUP($BO11&amp;"最终",$O$3:$AA$63,MATCH(BU$3,$O$3:$AA$3,0),FALSE)-VLOOKUP($BO11&amp;"初始",$O$3:$AA$63,MATCH(BU$3,$O$3:$AA$3,0),FALSE))*VLOOKUP(VLOOKUP($BO11,坦克个性化设定!$B$18:$E$48,4,FALSE)&amp;$BQ11,坦克属性分配比例,MATCH("部件比例",坦克属性分配比例标头,0),FALSE)*(1-$C$3)</f>
        <v>98.109497206703907</v>
      </c>
      <c r="BV11" s="96">
        <f ca="1">(VLOOKUP($BO11&amp;"最终",$O$3:$AA$63,MATCH(BV$3,$O$3:$AA$3,0),FALSE)-VLOOKUP($BO11&amp;"初始",$O$3:$AA$63,MATCH(BV$3,$O$3:$AA$3,0),FALSE))*VLOOKUP(VLOOKUP($BO11,坦克个性化设定!$B$18:$E$48,4,FALSE)&amp;$BQ11,坦克属性分配比例,MATCH("部件比例",坦克属性分配比例标头,0),FALSE)</f>
        <v>294</v>
      </c>
    </row>
    <row r="12" spans="2:74" x14ac:dyDescent="0.35">
      <c r="B12" s="137">
        <v>7</v>
      </c>
      <c r="C12" s="176" t="str">
        <f>坦克个性化设定!B25</f>
        <v>霞飞</v>
      </c>
      <c r="D12" s="84"/>
      <c r="E12" s="175" t="str">
        <f>坦克等级成长!B21&amp;坦克等级成长!C21</f>
        <v>T4高</v>
      </c>
      <c r="F12" s="183">
        <f>坦克等级成长!N7</f>
        <v>17</v>
      </c>
      <c r="G12" s="654">
        <f>坦克等级成长!J21</f>
        <v>2.06</v>
      </c>
      <c r="H12" s="654">
        <f>坦克等级成长!K21</f>
        <v>4</v>
      </c>
      <c r="I12" s="654">
        <f>坦克等级成长!E21</f>
        <v>6</v>
      </c>
      <c r="J12" s="654">
        <f>IFERROR(VLOOKUP(I12,坦克部件!$M$3:$Q$9,5,FALSE),VLOOKUP(I12-1,坦克部件!$M$3:$Q$9,5,FALSE))</f>
        <v>0.5</v>
      </c>
      <c r="K12" s="654">
        <f t="shared" si="2"/>
        <v>1.03</v>
      </c>
      <c r="L12" s="467">
        <f t="shared" si="3"/>
        <v>0.46907216494845361</v>
      </c>
      <c r="M12" s="677">
        <f t="shared" si="4"/>
        <v>0.53092783505154639</v>
      </c>
      <c r="N12" s="84"/>
      <c r="O12" s="426" t="str">
        <f t="shared" si="5"/>
        <v>十字军初始</v>
      </c>
      <c r="P12" s="137">
        <f>IF(COUNTIF(Q$4:Q11,Q11)&gt;=$B$3,P11+1,P11)</f>
        <v>5</v>
      </c>
      <c r="Q12" s="131" t="str">
        <f t="shared" si="6"/>
        <v>十字军</v>
      </c>
      <c r="R12" s="131" t="str">
        <f>VLOOKUP(Q12,坦克个性化设定!$B$18:$F$48,5,FALSE)</f>
        <v>轻坦弹夹</v>
      </c>
      <c r="S12" s="177" t="str">
        <f>VLOOKUP(Q12,坦克个性化细分!$I$3:$J$33,2,FALSE)</f>
        <v>中</v>
      </c>
      <c r="T12" s="137" t="str">
        <f t="shared" si="12"/>
        <v>初始</v>
      </c>
      <c r="U12" s="178" t="str">
        <f>VLOOKUP(VLOOKUP(Q12,坦克个性化设定!$B$18:$F$48,4,FALSE)&amp;S12,坦克等级成长!$P$12:$U$24,MATCH(T12,坦克等级成长!$P$12:$U$12,0),FALSE)</f>
        <v>T3中3</v>
      </c>
      <c r="V12" s="96">
        <f ca="1">VLOOKUP($U12,INDIRECT($R12&amp;"_阶段属性"),MATCH(V$3,属性标头_阶段属性,0),FALSE)*VLOOKUP($Q12,坦克个性化设定!$B$84:$D$114,2,FALSE)</f>
        <v>1267.646720287411</v>
      </c>
      <c r="W12" s="96">
        <f ca="1">VLOOKUP($U12,INDIRECT($R12&amp;"_阶段属性"),MATCH(W$3,属性标头_阶段属性,0),FALSE)*VLOOKUP($Q12,坦克个性化设定!$B$84:$D$114,3,FALSE)</f>
        <v>47.246002808061604</v>
      </c>
      <c r="X12" s="131">
        <f t="shared" ca="1" si="0"/>
        <v>508</v>
      </c>
      <c r="Y12" s="131">
        <f t="shared" ca="1" si="0"/>
        <v>355</v>
      </c>
      <c r="Z12" s="131">
        <f t="shared" ca="1" si="0"/>
        <v>464</v>
      </c>
      <c r="AA12" s="131">
        <f t="shared" ca="1" si="0"/>
        <v>124</v>
      </c>
      <c r="AC12" s="195">
        <v>9</v>
      </c>
      <c r="AD12" s="193" t="str">
        <f t="shared" si="7"/>
        <v>BMP-3</v>
      </c>
      <c r="AE12" s="195">
        <f>VLOOKUP($AD12,坦克个性化细分!$I$3:$P$33,MATCH(AE$3,坦克个性化细分!$I$3:$P$3,0),FALSE)</f>
        <v>44.5</v>
      </c>
      <c r="AF12" s="195">
        <f>VLOOKUP($AD12,坦克个性化细分!$I$3:$P$33,MATCH(AF$3,坦克个性化细分!$I$3:$P$3,0),FALSE)</f>
        <v>52.5</v>
      </c>
      <c r="AG12" s="195">
        <f>VLOOKUP($AD12,坦克个性化细分!$I$3:$P$33,MATCH(AG$3,坦克个性化细分!$I$3:$P$3,0),FALSE)</f>
        <v>14.6</v>
      </c>
      <c r="AH12" s="206">
        <f>VLOOKUP(AD12,坦克个性化细分!$AA$3:$AP$33,MATCH("射击偏移角",坦克个性化细分!$AA$3:$AP$3,0),FALSE)/VLOOKUP(AD12,坦克个性化细分!$AA$3:$AP$33,MATCH("原瞄准速度",坦克个性化细分!$AA$3:$AP$3,0),FALSE)</f>
        <v>1.2250000000000001</v>
      </c>
      <c r="AI12" s="206">
        <f>VLOOKUP(AD12,坦克个性化细分!$AA$3:$AP$33,MATCH(AI$3,坦克个性化细分!$AA$3:$AP$3,0),FALSE)</f>
        <v>0.4</v>
      </c>
      <c r="AJ12" s="462">
        <f>VLOOKUP(AD12,坦克个性化细分!$AA$3:$AP$33,MATCH("原换弹时间",坦克个性化细分!$AA$3:$AP$3,0),FALSE)</f>
        <v>1.4</v>
      </c>
      <c r="AK12" s="208"/>
      <c r="AL12" s="195">
        <v>9</v>
      </c>
      <c r="AM12" s="193" t="str">
        <f t="shared" si="8"/>
        <v>BMP-3</v>
      </c>
      <c r="AN12" s="206">
        <f>VLOOKUP(AM12,坦克个性化细分!$I$3:$P$33,MATCH("养成区间1",坦克个性化细分!$I$3:$P$3,0),FALSE)</f>
        <v>11.124999999999998</v>
      </c>
      <c r="AO12" s="462">
        <f>VLOOKUP(AM12,坦克个性化细分!$I$3:$P$33,MATCH("养成区间2",坦克个性化细分!$I$3:$P$3,0),FALSE)</f>
        <v>13.124999999999996</v>
      </c>
      <c r="AP12" s="462">
        <f>VLOOKUP(AM12,坦克个性化细分!$I$3:$P$33,MATCH("养成区间3",坦克个性化细分!$I$3:$P$3,0),FALSE)</f>
        <v>4.7699999999999996</v>
      </c>
      <c r="AQ12" s="206">
        <f>VLOOKUP(AM12,坦克个性化细分!$AA$3:$AP$33,MATCH("瞄准区间",坦克个性化细分!$AA$3:$AP$3,0),FALSE)</f>
        <v>0.20416666666666683</v>
      </c>
      <c r="AR12" s="206">
        <f>VLOOKUP(AD12,坦克个性化细分!$AA$3:$AP$33,MATCH("后射击间隔",坦克个性化细分!$AA$3:$AP$3,0),FALSE)-VLOOKUP(AD12,坦克个性化细分!$AA$3:$AP$33,MATCH(AI$3,坦克个性化细分!$AA$3:$AP$3,0),FALSE)</f>
        <v>0</v>
      </c>
      <c r="AS12" s="206">
        <f>VLOOKUP(AM12,坦克个性化细分!$AA$3:$AP$33,MATCH("换弹区间",坦克个性化细分!$AA$3:$AP$3,0),FALSE)</f>
        <v>0.34623655913978491</v>
      </c>
      <c r="AT12" s="208"/>
      <c r="AU12" s="364" t="str">
        <f t="shared" si="9"/>
        <v>二号3</v>
      </c>
      <c r="AV12" s="183">
        <f>IF(AY11&gt;=VLOOKUP(VLOOKUP(AW11,坦克个性化设定!$B$18:$E$48,4,FALSE)&amp;AX11,坦克属性分配比例,MATCH("升星次数",坦克属性分配比例标头,0),FALSE),AV11+1,AV11)</f>
        <v>2</v>
      </c>
      <c r="AW12" s="131" t="str">
        <f t="shared" si="10"/>
        <v>二号</v>
      </c>
      <c r="AX12" s="177" t="str">
        <f>VLOOKUP(AW12,坦克个性化细分!$I$3:$J$33,2,FALSE)</f>
        <v>低</v>
      </c>
      <c r="AY12" s="183">
        <f t="shared" si="1"/>
        <v>3</v>
      </c>
      <c r="AZ12" s="486">
        <f ca="1">ROUND(VLOOKUP($AW12&amp;"初始",$O$3:$AA$63,MATCH(AZ$3,$O$3:$AA$3,0),FALSE)+((VLOOKUP($AW12&amp;"最终",$O$3:$AA$63,MATCH(AZ$3,$O$3:$AA$3,0),FALSE)*坦克个性化细分!$C$9-VLOOKUP($AW12&amp;"初始",$O$3:$AA$63,MATCH(AZ$3,$O$3:$AA$3,0),FALSE))-(VLOOKUP($AW12&amp;"最终",$O$3:$AA$63,MATCH(AZ$3,$O$3:$AA$3,0),FALSE)-VLOOKUP($AW12&amp;"初始",$O$3:$AA$63,MATCH(AZ$3,$O$3:$AA$3,0),FALSE))*VLOOKUP(VLOOKUP($AW12,坦克个性化设定!$B$18:$E$48,4,FALSE)&amp;$AX12,坦克属性分配比例,MATCH("部件比例",坦克属性分配比例标头,0),FALSE))*$AY12/VLOOKUP(VLOOKUP($AW12,坦克个性化设定!$B$18:$E$48,4,FALSE)&amp;$AX12,坦克属性分配比例,MATCH("升星次数",坦克属性分配比例标头,0),FALSE),0)</f>
        <v>1215</v>
      </c>
      <c r="BA12" s="426">
        <f ca="1">ROUND(VLOOKUP($AW12&amp;"初始",$O$3:$AA$63,MATCH(BA$3,$O$3:$AA$3,0),FALSE)+(VLOOKUP($AW12&amp;"最终",$O$3:$AA$63,MATCH(BA$3,$O$3:$AA$3,0),FALSE)-VLOOKUP($AW12&amp;"初始",$O$3:$AA$63,MATCH(BA$3,$O$3:$AA$3,0),FALSE))*$AY12/VLOOKUP(VLOOKUP($AW12,坦克个性化设定!$B$18:$E$48,4,FALSE)&amp;$AX12,坦克属性分配比例,MATCH("升星次数",坦克属性分配比例标头,0),FALSE)*VLOOKUP(VLOOKUP($AW12,坦克个性化设定!$B$18:$E$48,4,FALSE)&amp;$AX12,坦克属性分配比例,MATCH("升星比例",坦克属性分配比例标头,0),FALSE),0)</f>
        <v>34</v>
      </c>
      <c r="BB12" s="486">
        <f ca="1">ROUND(VLOOKUP($AW12&amp;"初始",$O$3:$AA$63,MATCH(BB$3,$O$3:$AA$3,0),FALSE)+(VLOOKUP($AW12&amp;"最终",$O$3:$AA$63,MATCH(BB$3,$O$3:$AA$3,0),FALSE)-VLOOKUP($AW12&amp;"初始",$O$3:$AA$63,MATCH(BB$3,$O$3:$AA$3,0),FALSE))*$AY12/VLOOKUP(VLOOKUP($AW12,坦克个性化设定!$B$18:$E$48,4,FALSE)&amp;$AX12,坦克属性分配比例,MATCH("升星次数",坦克属性分配比例标头,0),FALSE)*(VLOOKUP(VLOOKUP($AW12,坦克个性化设定!$B$18:$E$48,4,FALSE)&amp;$AX12,坦克属性分配比例,MATCH("升星比例",坦克属性分配比例标头,0),FALSE)+VLOOKUP(VLOOKUP($AW12,坦克个性化设定!$B$18:$E$48,4,FALSE)&amp;$AX12,坦克属性分配比例,MATCH("部件比例",坦克属性分配比例标头,0),FALSE)*$C$3),0)</f>
        <v>475</v>
      </c>
      <c r="BC12" s="486">
        <f ca="1">ROUND(VLOOKUP($AW12&amp;"初始",$O$3:$AA$63,MATCH(BC$3,$O$3:$AA$3,0),FALSE)+(VLOOKUP($AW12&amp;"最终",$O$3:$AA$63,MATCH(BC$3,$O$3:$AA$3,0),FALSE)-VLOOKUP($AW12&amp;"初始",$O$3:$AA$63,MATCH(BC$3,$O$3:$AA$3,0),FALSE))*$AY12/VLOOKUP(VLOOKUP($AW12,坦克个性化设定!$B$18:$E$48,4,FALSE)&amp;$AX12,坦克属性分配比例,MATCH("升星次数",坦克属性分配比例标头,0),FALSE)*(VLOOKUP(VLOOKUP($AW12,坦克个性化设定!$B$18:$E$48,4,FALSE)&amp;$AX12,坦克属性分配比例,MATCH("升星比例",坦克属性分配比例标头,0),FALSE)+VLOOKUP(VLOOKUP($AW12,坦克个性化设定!$B$18:$E$48,4,FALSE)&amp;$AX12,坦克属性分配比例,MATCH("部件比例",坦克属性分配比例标头,0),FALSE)*$C$3),0)</f>
        <v>333</v>
      </c>
      <c r="BD12" s="426">
        <f ca="1">ROUND(VLOOKUP($AW12&amp;"初始",$O$3:$AA$63,MATCH(BD$3,$O$3:$AA$3,0),FALSE)+(VLOOKUP($AW12&amp;"最终",$O$3:$AA$63,MATCH(BD$3,$O$3:$AA$3,0),FALSE)-VLOOKUP($AW12&amp;"初始",$O$3:$AA$63,MATCH(BD$3,$O$3:$AA$3,0),FALSE))*$AY12/VLOOKUP(VLOOKUP($AW12,坦克个性化设定!$B$18:$E$48,4,FALSE)&amp;$AX12,坦克属性分配比例,MATCH("升星次数",坦克属性分配比例标头,0),FALSE)*VLOOKUP(VLOOKUP($AW12,坦克个性化设定!$B$18:$E$48,4,FALSE)&amp;$AX12,坦克属性分配比例,MATCH("升星比例",坦克属性分配比例标头,0),FALSE),0)</f>
        <v>410</v>
      </c>
      <c r="BE12" s="426">
        <f ca="1">ROUND(VLOOKUP($AW12&amp;"初始",$O$3:$AA$63,MATCH(BE$3,$O$3:$AA$3,0),FALSE)+(VLOOKUP($AW12&amp;"最终",$O$3:$AA$63,MATCH(BE$3,$O$3:$AA$3,0),FALSE)-VLOOKUP($AW12&amp;"初始",$O$3:$AA$63,MATCH(BE$3,$O$3:$AA$3,0),FALSE))*$AY12/VLOOKUP(VLOOKUP($AW12,坦克个性化设定!$B$18:$E$48,4,FALSE)&amp;$AX12,坦克属性分配比例,MATCH("升星次数",坦克属性分配比例标头,0),FALSE),0)</f>
        <v>120</v>
      </c>
      <c r="BF12" s="462">
        <f>ROUND(VLOOKUP($AW12,$AD$3:$AJ$33,MATCH(BF$3,$AD$3:$AJ$3,0),FALSE)+$AY12/VLOOKUP(VLOOKUP($AW12,坦克个性化设定!$B$18:$E$48,4,FALSE)&amp;$AX12,坦克属性分配比例,MATCH("升星次数",坦克属性分配比例标头,0),FALSE)*VLOOKUP($AW12,$AM$3:$AS$33,MATCH(BF$3,$AM$3:$AS$3,0),FALSE),1)</f>
        <v>53</v>
      </c>
      <c r="BG12" s="462">
        <f>ROUND(VLOOKUP($AW12,$AD$3:$AJ$33,MATCH(BG$3,$AD$3:$AJ$3,0),FALSE)+$AY12/VLOOKUP(VLOOKUP($AW12,坦克个性化设定!$B$18:$E$48,4,FALSE)&amp;$AX12,坦克属性分配比例,MATCH("升星次数",坦克属性分配比例标头,0),FALSE)*VLOOKUP($AW12,$AM$3:$AS$33,MATCH(BG$3,$AM$3:$AS$3,0),FALSE),1)</f>
        <v>50.6</v>
      </c>
      <c r="BH12" s="462">
        <f>ROUND(VLOOKUP($AW12,$AD$3:$AJ$33,MATCH(BH$3,$AD$3:$AJ$3,0),FALSE)+$AY12/VLOOKUP(VLOOKUP($AW12,坦克个性化设定!$B$18:$E$48,4,FALSE)&amp;$AX12,坦克属性分配比例,MATCH("升星次数",坦克属性分配比例标头,0),FALSE)*VLOOKUP($AW12,$AM$3:$AS$33,MATCH(BH$3,$AM$3:$AS$3,0),FALSE),1)</f>
        <v>17</v>
      </c>
      <c r="BI12" s="654">
        <f>IF(VLOOKUP(AW12,坦克个性化设定!$B$18:$BB$48,MATCH("装弹类型",坦克个性化设定!$B$18:$BB$18,0),FALSE)="弹夹换弹",0,ROUND(VLOOKUP($AW12,$AD$3:$AJ$33,MATCH("换弹时间",$AD$3:$AJ$3,0),FALSE)-$AY12/VLOOKUP(VLOOKUP($AW12,坦克个性化设定!$B$18:$E$48,4,FALSE)&amp;$AX12,坦克属性分配比例,MATCH("升星次数",坦克属性分配比例标头,0),FALSE)*VLOOKUP($AW12,$AM$3:$AS$33,MATCH("换弹时间",$AM$3:$AS$3,0),FALSE),2))</f>
        <v>0</v>
      </c>
      <c r="BJ12" s="462">
        <f>IF(VLOOKUP(AW12,坦克个性化设定!$B$18:$BB$48,MATCH("装弹类型",坦克个性化设定!$B$18:$BB$18,0),FALSE)="弹夹换弹",ROUND(VLOOKUP($AW12,$AD$3:$AJ$33,MATCH("换弹时间",$AD$3:$AJ$3,0),FALSE)-$AY12/VLOOKUP(VLOOKUP($AW12,坦克个性化设定!$B$18:$E$48,4,FALSE)&amp;$AX12,坦克属性分配比例,MATCH("升星次数",坦克属性分配比例标头,0),FALSE)*VLOOKUP($AW12,$AM$3:$AS$33,MATCH("换弹时间",$AM$3:$AS$3,0),FALSE),1),0)</f>
        <v>6.9</v>
      </c>
      <c r="BK12" s="462">
        <f>ROUND(VLOOKUP($AW12,$AD$3:$AJ$33,MATCH(BK$3,$AD$3:$AJ$3,0),FALSE)+$AY12/VLOOKUP(VLOOKUP($AW12,坦克个性化设定!$B$18:$E$48,4,FALSE)&amp;$AX12,坦克属性分配比例,MATCH("升星次数",坦克属性分配比例标头,0),FALSE)*VLOOKUP($AW12,$AM$3:$AS$33,MATCH(BK$3,$AM$3:$AS$3,0),FALSE),2)</f>
        <v>0.2</v>
      </c>
      <c r="BL12" s="462">
        <f>ROUND(VLOOKUP($AW12,$AD$3:$AJ$33,MATCH(BL$3,$AD$3:$AJ$3,0),FALSE)-$AY12/VLOOKUP(VLOOKUP($AW12,坦克个性化设定!$B$18:$E$48,4,FALSE)&amp;$AX12,坦克属性分配比例,MATCH("升星次数",坦克属性分配比例标头,0),FALSE)*VLOOKUP($AW12,$AM$3:$AS$33,MATCH(BL$3,$AM$3:$AS$3,0),FALSE),2)</f>
        <v>0.42</v>
      </c>
      <c r="BN12" s="183">
        <v>9</v>
      </c>
      <c r="BO12" s="131" t="str">
        <f t="shared" si="11"/>
        <v>BMP-3</v>
      </c>
      <c r="BP12" s="131" t="str">
        <f>VLOOKUP(BO12,坦克个性化设定!$B$18:$F$48,5,FALSE)</f>
        <v>轻坦半自动</v>
      </c>
      <c r="BQ12" s="177" t="str">
        <f>VLOOKUP(BO12,坦克个性化细分!$I$3:$J$33,2,FALSE)</f>
        <v>高</v>
      </c>
      <c r="BR12" s="96">
        <f ca="1">(VLOOKUP($BO12&amp;"最终",$O$3:$AA$63,MATCH(BR$3,$O$3:$AA$3,0),FALSE)-VLOOKUP($BO12&amp;"初始",$O$3:$AA$63,MATCH(BR$3,$O$3:$AA$3,0),FALSE))*VLOOKUP(VLOOKUP($BO12,坦克个性化设定!$B$18:$E$48,4,FALSE)&amp;$BQ12,坦克属性分配比例,MATCH("部件比例",坦克属性分配比例标头,0),FALSE)</f>
        <v>920.51313996204749</v>
      </c>
      <c r="BS12" s="96">
        <f ca="1">(VLOOKUP($BO12&amp;"最终",$O$3:$AA$63,MATCH(BS$3,$O$3:$AA$3,0),FALSE)-VLOOKUP($BO12&amp;"初始",$O$3:$AA$63,MATCH(BS$3,$O$3:$AA$3,0),FALSE))*VLOOKUP(VLOOKUP($BO12,坦克个性化设定!$B$18:$E$48,4,FALSE)&amp;$BQ12,坦克属性分配比例,MATCH("部件比例",坦克属性分配比例标头,0),FALSE)</f>
        <v>47.768246835981245</v>
      </c>
      <c r="BT12" s="96">
        <f ca="1">(VLOOKUP($BO12&amp;"最终",$O$3:$AA$63,MATCH(BT$3,$O$3:$AA$3,0),FALSE)-VLOOKUP($BO12&amp;"初始",$O$3:$AA$63,MATCH(BT$3,$O$3:$AA$3,0),FALSE))*VLOOKUP(VLOOKUP($BO12,坦克个性化设定!$B$18:$E$48,4,FALSE)&amp;$BQ12,坦克属性分配比例,MATCH("部件比例",坦克属性分配比例标头,0),FALSE)*(1-$C$3)</f>
        <v>123.60000000000001</v>
      </c>
      <c r="BU12" s="96">
        <f ca="1">(VLOOKUP($BO12&amp;"最终",$O$3:$AA$63,MATCH(BU$3,$O$3:$AA$3,0),FALSE)-VLOOKUP($BO12&amp;"初始",$O$3:$AA$63,MATCH(BU$3,$O$3:$AA$3,0),FALSE))*VLOOKUP(VLOOKUP($BO12,坦克个性化设定!$B$18:$E$48,4,FALSE)&amp;$BQ12,坦克属性分配比例,MATCH("部件比例",坦克属性分配比例标头,0),FALSE)*(1-$C$3)</f>
        <v>86.435051546391762</v>
      </c>
      <c r="BV12" s="96">
        <f ca="1">(VLOOKUP($BO12&amp;"最终",$O$3:$AA$63,MATCH(BV$3,$O$3:$AA$3,0),FALSE)-VLOOKUP($BO12&amp;"初始",$O$3:$AA$63,MATCH(BV$3,$O$3:$AA$3,0),FALSE))*VLOOKUP(VLOOKUP($BO12,坦克个性化设定!$B$18:$E$48,4,FALSE)&amp;$BQ12,坦克属性分配比例,MATCH("部件比例",坦克属性分配比例标头,0),FALSE)</f>
        <v>309</v>
      </c>
    </row>
    <row r="13" spans="2:74" x14ac:dyDescent="0.35">
      <c r="B13" s="137">
        <v>8</v>
      </c>
      <c r="C13" s="176" t="str">
        <f>坦克个性化设定!B26</f>
        <v>M-41</v>
      </c>
      <c r="D13" s="84"/>
      <c r="E13" s="175" t="str">
        <f>坦克等级成长!B22&amp;坦克等级成长!C22</f>
        <v>T5低</v>
      </c>
      <c r="F13" s="183">
        <f>坦克等级成长!L8</f>
        <v>12</v>
      </c>
      <c r="G13" s="654">
        <f>坦克等级成长!J22</f>
        <v>2.4</v>
      </c>
      <c r="H13" s="654">
        <f>坦克等级成长!K22</f>
        <v>3.6</v>
      </c>
      <c r="I13" s="654">
        <f>坦克等级成长!E22</f>
        <v>6</v>
      </c>
      <c r="J13" s="654">
        <f>IFERROR(VLOOKUP(I13,坦克部件!$M$3:$Q$9,5,FALSE),VLOOKUP(I13-1,坦克部件!$M$3:$Q$9,5,FALSE))</f>
        <v>0.5</v>
      </c>
      <c r="K13" s="654">
        <f t="shared" si="2"/>
        <v>1.2</v>
      </c>
      <c r="L13" s="467">
        <f t="shared" si="3"/>
        <v>0</v>
      </c>
      <c r="M13" s="677">
        <f t="shared" si="4"/>
        <v>0.99999999999999978</v>
      </c>
      <c r="N13" s="84"/>
      <c r="O13" s="426" t="str">
        <f t="shared" si="5"/>
        <v>十字军最终</v>
      </c>
      <c r="P13" s="137">
        <f>IF(COUNTIF(Q$4:Q12,Q12)&gt;=$B$3,P12+1,P12)</f>
        <v>5</v>
      </c>
      <c r="Q13" s="131" t="str">
        <f t="shared" si="6"/>
        <v>十字军</v>
      </c>
      <c r="R13" s="131" t="str">
        <f>VLOOKUP(Q13,坦克个性化设定!$B$18:$F$48,5,FALSE)</f>
        <v>轻坦弹夹</v>
      </c>
      <c r="S13" s="177" t="str">
        <f>VLOOKUP(Q13,坦克个性化细分!$I$3:$J$33,2,FALSE)</f>
        <v>中</v>
      </c>
      <c r="T13" s="137" t="str">
        <f t="shared" si="12"/>
        <v>最终</v>
      </c>
      <c r="U13" s="178" t="str">
        <f>VLOOKUP(VLOOKUP(Q13,坦克个性化设定!$B$18:$F$48,4,FALSE)&amp;S13,坦克等级成长!$P$12:$U$24,MATCH(T13,坦克等级成长!$P$12:$U$12,0),FALSE)</f>
        <v>T3中5</v>
      </c>
      <c r="V13" s="96">
        <f ca="1">VLOOKUP($U13,INDIRECT($R13&amp;"_阶段属性"),MATCH(V$3,属性标头_阶段属性,0),FALSE)*VLOOKUP($Q13,坦克个性化设定!$B$84:$D$114,2,FALSE)</f>
        <v>2477.8596085876902</v>
      </c>
      <c r="W13" s="96">
        <f ca="1">VLOOKUP($U13,INDIRECT($R13&amp;"_阶段属性"),MATCH(W$3,属性标头_阶段属性,0),FALSE)*VLOOKUP($Q13,坦克个性化设定!$B$84:$D$114,3,FALSE)</f>
        <v>92.344460033938589</v>
      </c>
      <c r="X13" s="131">
        <f t="shared" ca="1" si="0"/>
        <v>992</v>
      </c>
      <c r="Y13" s="131">
        <f t="shared" ca="1" si="0"/>
        <v>695</v>
      </c>
      <c r="Z13" s="131">
        <f t="shared" ca="1" si="0"/>
        <v>906</v>
      </c>
      <c r="AA13" s="131">
        <f t="shared" ca="1" si="0"/>
        <v>242</v>
      </c>
      <c r="AC13" s="195">
        <v>10</v>
      </c>
      <c r="AD13" s="193" t="str">
        <f t="shared" si="7"/>
        <v>59式</v>
      </c>
      <c r="AE13" s="195">
        <f>VLOOKUP($AD13,坦克个性化细分!$I$3:$P$33,MATCH(AE$3,坦克个性化细分!$I$3:$P$3,0),FALSE)</f>
        <v>37.700000000000003</v>
      </c>
      <c r="AF13" s="195">
        <f>VLOOKUP($AD13,坦克个性化细分!$I$3:$P$33,MATCH(AF$3,坦克个性化细分!$I$3:$P$3,0),FALSE)</f>
        <v>56.3</v>
      </c>
      <c r="AG13" s="195">
        <f>VLOOKUP($AD13,坦克个性化细分!$I$3:$P$33,MATCH(AG$3,坦克个性化细分!$I$3:$P$3,0),FALSE)</f>
        <v>13.1</v>
      </c>
      <c r="AH13" s="206">
        <f>VLOOKUP(AD13,坦克个性化细分!$AA$3:$AP$33,MATCH("射击偏移角",坦克个性化细分!$AA$3:$AP$3,0),FALSE)/VLOOKUP(AD13,坦克个性化细分!$AA$3:$AP$33,MATCH("原瞄准速度",坦克个性化细分!$AA$3:$AP$3,0),FALSE)</f>
        <v>1.8</v>
      </c>
      <c r="AI13" s="206">
        <f>VLOOKUP(AD13,坦克个性化细分!$AA$3:$AP$33,MATCH(AI$3,坦克个性化细分!$AA$3:$AP$3,0),FALSE)</f>
        <v>0</v>
      </c>
      <c r="AJ13" s="462">
        <f>VLOOKUP(AD13,坦克个性化细分!$AA$3:$AP$33,MATCH("原换弹时间",坦克个性化细分!$AA$3:$AP$3,0),FALSE)</f>
        <v>3</v>
      </c>
      <c r="AK13" s="208"/>
      <c r="AL13" s="195">
        <v>10</v>
      </c>
      <c r="AM13" s="193" t="str">
        <f t="shared" si="8"/>
        <v>59式</v>
      </c>
      <c r="AN13" s="206">
        <f>VLOOKUP(AM13,坦克个性化细分!$I$3:$P$33,MATCH("养成区间1",坦克个性化细分!$I$3:$P$3,0),FALSE)</f>
        <v>9.4249999999999972</v>
      </c>
      <c r="AO13" s="462">
        <f>VLOOKUP(AM13,坦克个性化细分!$I$3:$P$33,MATCH("养成区间2",坦克个性化细分!$I$3:$P$3,0),FALSE)</f>
        <v>14.074999999999994</v>
      </c>
      <c r="AP13" s="462">
        <f>VLOOKUP(AM13,坦克个性化细分!$I$3:$P$33,MATCH("养成区间3",坦克个性化细分!$I$3:$P$3,0),FALSE)</f>
        <v>4.28</v>
      </c>
      <c r="AQ13" s="206">
        <f>VLOOKUP(AM13,坦克个性化细分!$AA$3:$AP$33,MATCH("瞄准区间",坦克个性化细分!$AA$3:$AP$3,0),FALSE)</f>
        <v>0.30000000000000004</v>
      </c>
      <c r="AR13" s="206">
        <f>VLOOKUP(AD13,坦克个性化细分!$AA$3:$AP$33,MATCH("后射击间隔",坦克个性化细分!$AA$3:$AP$3,0),FALSE)-VLOOKUP(AD13,坦克个性化细分!$AA$3:$AP$33,MATCH(AI$3,坦克个性化细分!$AA$3:$AP$3,0),FALSE)</f>
        <v>0</v>
      </c>
      <c r="AS13" s="206">
        <f>VLOOKUP(AM13,坦克个性化细分!$AA$3:$AP$33,MATCH("换弹区间",坦克个性化细分!$AA$3:$AP$3,0),FALSE)</f>
        <v>0.71863117870722437</v>
      </c>
      <c r="AT13" s="208"/>
      <c r="AU13" s="364" t="str">
        <f t="shared" si="9"/>
        <v>二号4</v>
      </c>
      <c r="AV13" s="183">
        <f>IF(AY12&gt;=VLOOKUP(VLOOKUP(AW12,坦克个性化设定!$B$18:$E$48,4,FALSE)&amp;AX12,坦克属性分配比例,MATCH("升星次数",坦克属性分配比例标头,0),FALSE),AV12+1,AV12)</f>
        <v>2</v>
      </c>
      <c r="AW13" s="131" t="str">
        <f t="shared" si="10"/>
        <v>二号</v>
      </c>
      <c r="AX13" s="177" t="str">
        <f>VLOOKUP(AW13,坦克个性化细分!$I$3:$J$33,2,FALSE)</f>
        <v>低</v>
      </c>
      <c r="AY13" s="183">
        <f t="shared" si="1"/>
        <v>4</v>
      </c>
      <c r="AZ13" s="486">
        <f ca="1">ROUND(VLOOKUP($AW13&amp;"初始",$O$3:$AA$63,MATCH(AZ$3,$O$3:$AA$3,0),FALSE)+((VLOOKUP($AW13&amp;"最终",$O$3:$AA$63,MATCH(AZ$3,$O$3:$AA$3,0),FALSE)*坦克个性化细分!$C$9-VLOOKUP($AW13&amp;"初始",$O$3:$AA$63,MATCH(AZ$3,$O$3:$AA$3,0),FALSE))-(VLOOKUP($AW13&amp;"最终",$O$3:$AA$63,MATCH(AZ$3,$O$3:$AA$3,0),FALSE)-VLOOKUP($AW13&amp;"初始",$O$3:$AA$63,MATCH(AZ$3,$O$3:$AA$3,0),FALSE))*VLOOKUP(VLOOKUP($AW13,坦克个性化设定!$B$18:$E$48,4,FALSE)&amp;$AX13,坦克属性分配比例,MATCH("部件比例",坦克属性分配比例标头,0),FALSE))*$AY13/VLOOKUP(VLOOKUP($AW13,坦克个性化设定!$B$18:$E$48,4,FALSE)&amp;$AX13,坦克属性分配比例,MATCH("升星次数",坦克属性分配比例标头,0),FALSE),0)</f>
        <v>1323</v>
      </c>
      <c r="BA13" s="426">
        <f ca="1">ROUND(VLOOKUP($AW13&amp;"初始",$O$3:$AA$63,MATCH(BA$3,$O$3:$AA$3,0),FALSE)+(VLOOKUP($AW13&amp;"最终",$O$3:$AA$63,MATCH(BA$3,$O$3:$AA$3,0),FALSE)-VLOOKUP($AW13&amp;"初始",$O$3:$AA$63,MATCH(BA$3,$O$3:$AA$3,0),FALSE))*$AY13/VLOOKUP(VLOOKUP($AW13,坦克个性化设定!$B$18:$E$48,4,FALSE)&amp;$AX13,坦克属性分配比例,MATCH("升星次数",坦克属性分配比例标头,0),FALSE)*VLOOKUP(VLOOKUP($AW13,坦克个性化设定!$B$18:$E$48,4,FALSE)&amp;$AX13,坦克属性分配比例,MATCH("升星比例",坦克属性分配比例标头,0),FALSE),0)</f>
        <v>35</v>
      </c>
      <c r="BB13" s="486">
        <f ca="1">ROUND(VLOOKUP($AW13&amp;"初始",$O$3:$AA$63,MATCH(BB$3,$O$3:$AA$3,0),FALSE)+(VLOOKUP($AW13&amp;"最终",$O$3:$AA$63,MATCH(BB$3,$O$3:$AA$3,0),FALSE)-VLOOKUP($AW13&amp;"初始",$O$3:$AA$63,MATCH(BB$3,$O$3:$AA$3,0),FALSE))*$AY13/VLOOKUP(VLOOKUP($AW13,坦克个性化设定!$B$18:$E$48,4,FALSE)&amp;$AX13,坦克属性分配比例,MATCH("升星次数",坦克属性分配比例标头,0),FALSE)*(VLOOKUP(VLOOKUP($AW13,坦克个性化设定!$B$18:$E$48,4,FALSE)&amp;$AX13,坦克属性分配比例,MATCH("升星比例",坦克属性分配比例标头,0),FALSE)+VLOOKUP(VLOOKUP($AW13,坦克个性化设定!$B$18:$E$48,4,FALSE)&amp;$AX13,坦克属性分配比例,MATCH("部件比例",坦克属性分配比例标头,0),FALSE)*$C$3),0)</f>
        <v>502</v>
      </c>
      <c r="BC13" s="486">
        <f ca="1">ROUND(VLOOKUP($AW13&amp;"初始",$O$3:$AA$63,MATCH(BC$3,$O$3:$AA$3,0),FALSE)+(VLOOKUP($AW13&amp;"最终",$O$3:$AA$63,MATCH(BC$3,$O$3:$AA$3,0),FALSE)-VLOOKUP($AW13&amp;"初始",$O$3:$AA$63,MATCH(BC$3,$O$3:$AA$3,0),FALSE))*$AY13/VLOOKUP(VLOOKUP($AW13,坦克个性化设定!$B$18:$E$48,4,FALSE)&amp;$AX13,坦克属性分配比例,MATCH("升星次数",坦克属性分配比例标头,0),FALSE)*(VLOOKUP(VLOOKUP($AW13,坦克个性化设定!$B$18:$E$48,4,FALSE)&amp;$AX13,坦克属性分配比例,MATCH("升星比例",坦克属性分配比例标头,0),FALSE)+VLOOKUP(VLOOKUP($AW13,坦克个性化设定!$B$18:$E$48,4,FALSE)&amp;$AX13,坦克属性分配比例,MATCH("部件比例",坦克属性分配比例标头,0),FALSE)*$C$3),0)</f>
        <v>352</v>
      </c>
      <c r="BD13" s="426">
        <f ca="1">ROUND(VLOOKUP($AW13&amp;"初始",$O$3:$AA$63,MATCH(BD$3,$O$3:$AA$3,0),FALSE)+(VLOOKUP($AW13&amp;"最终",$O$3:$AA$63,MATCH(BD$3,$O$3:$AA$3,0),FALSE)-VLOOKUP($AW13&amp;"初始",$O$3:$AA$63,MATCH(BD$3,$O$3:$AA$3,0),FALSE))*$AY13/VLOOKUP(VLOOKUP($AW13,坦克个性化设定!$B$18:$E$48,4,FALSE)&amp;$AX13,坦克属性分配比例,MATCH("升星次数",坦克属性分配比例标头,0),FALSE)*VLOOKUP(VLOOKUP($AW13,坦克个性化设定!$B$18:$E$48,4,FALSE)&amp;$AX13,坦克属性分配比例,MATCH("升星比例",坦克属性分配比例标头,0),FALSE),0)</f>
        <v>427</v>
      </c>
      <c r="BE13" s="426">
        <f ca="1">ROUND(VLOOKUP($AW13&amp;"初始",$O$3:$AA$63,MATCH(BE$3,$O$3:$AA$3,0),FALSE)+(VLOOKUP($AW13&amp;"最终",$O$3:$AA$63,MATCH(BE$3,$O$3:$AA$3,0),FALSE)-VLOOKUP($AW13&amp;"初始",$O$3:$AA$63,MATCH(BE$3,$O$3:$AA$3,0),FALSE))*$AY13/VLOOKUP(VLOOKUP($AW13,坦克个性化设定!$B$18:$E$48,4,FALSE)&amp;$AX13,坦克属性分配比例,MATCH("升星次数",坦克属性分配比例标头,0),FALSE),0)</f>
        <v>128</v>
      </c>
      <c r="BF13" s="462">
        <f>ROUND(VLOOKUP($AW13,$AD$3:$AJ$33,MATCH(BF$3,$AD$3:$AJ$3,0),FALSE)+$AY13/VLOOKUP(VLOOKUP($AW13,坦克个性化设定!$B$18:$E$48,4,FALSE)&amp;$AX13,坦克属性分配比例,MATCH("升星次数",坦克属性分配比例标头,0),FALSE)*VLOOKUP($AW13,$AM$3:$AS$33,MATCH(BF$3,$AM$3:$AS$3,0),FALSE),1)</f>
        <v>55</v>
      </c>
      <c r="BG13" s="462">
        <f>ROUND(VLOOKUP($AW13,$AD$3:$AJ$33,MATCH(BG$3,$AD$3:$AJ$3,0),FALSE)+$AY13/VLOOKUP(VLOOKUP($AW13,坦克个性化设定!$B$18:$E$48,4,FALSE)&amp;$AX13,坦克属性分配比例,MATCH("升星次数",坦克属性分配比例标头,0),FALSE)*VLOOKUP($AW13,$AM$3:$AS$33,MATCH(BG$3,$AM$3:$AS$3,0),FALSE),1)</f>
        <v>52.5</v>
      </c>
      <c r="BH13" s="462">
        <f>ROUND(VLOOKUP($AW13,$AD$3:$AJ$33,MATCH(BH$3,$AD$3:$AJ$3,0),FALSE)+$AY13/VLOOKUP(VLOOKUP($AW13,坦克个性化设定!$B$18:$E$48,4,FALSE)&amp;$AX13,坦克属性分配比例,MATCH("升星次数",坦克属性分配比例标头,0),FALSE)*VLOOKUP($AW13,$AM$3:$AS$33,MATCH(BH$3,$AM$3:$AS$3,0),FALSE),1)</f>
        <v>17.8</v>
      </c>
      <c r="BI13" s="654">
        <f>IF(VLOOKUP(AW13,坦克个性化设定!$B$18:$BB$48,MATCH("装弹类型",坦克个性化设定!$B$18:$BB$18,0),FALSE)="弹夹换弹",0,ROUND(VLOOKUP($AW13,$AD$3:$AJ$33,MATCH("换弹时间",$AD$3:$AJ$3,0),FALSE)-$AY13/VLOOKUP(VLOOKUP($AW13,坦克个性化设定!$B$18:$E$48,4,FALSE)&amp;$AX13,坦克属性分配比例,MATCH("升星次数",坦克属性分配比例标头,0),FALSE)*VLOOKUP($AW13,$AM$3:$AS$33,MATCH("换弹时间",$AM$3:$AS$3,0),FALSE),2))</f>
        <v>0</v>
      </c>
      <c r="BJ13" s="462">
        <f>IF(VLOOKUP(AW13,坦克个性化设定!$B$18:$BB$48,MATCH("装弹类型",坦克个性化设定!$B$18:$BB$18,0),FALSE)="弹夹换弹",ROUND(VLOOKUP($AW13,$AD$3:$AJ$33,MATCH("换弹时间",$AD$3:$AJ$3,0),FALSE)-$AY13/VLOOKUP(VLOOKUP($AW13,坦克个性化设定!$B$18:$E$48,4,FALSE)&amp;$AX13,坦克属性分配比例,MATCH("升星次数",坦克属性分配比例标头,0),FALSE)*VLOOKUP($AW13,$AM$3:$AS$33,MATCH("换弹时间",$AM$3:$AS$3,0),FALSE),1),0)</f>
        <v>6.4</v>
      </c>
      <c r="BK13" s="462">
        <f>ROUND(VLOOKUP($AW13,$AD$3:$AJ$33,MATCH(BK$3,$AD$3:$AJ$3,0),FALSE)+$AY13/VLOOKUP(VLOOKUP($AW13,坦克个性化设定!$B$18:$E$48,4,FALSE)&amp;$AX13,坦克属性分配比例,MATCH("升星次数",坦克属性分配比例标头,0),FALSE)*VLOOKUP($AW13,$AM$3:$AS$33,MATCH(BK$3,$AM$3:$AS$3,0),FALSE),2)</f>
        <v>0.2</v>
      </c>
      <c r="BL13" s="462">
        <f>ROUND(VLOOKUP($AW13,$AD$3:$AJ$33,MATCH(BL$3,$AD$3:$AJ$3,0),FALSE)-$AY13/VLOOKUP(VLOOKUP($AW13,坦克个性化设定!$B$18:$E$48,4,FALSE)&amp;$AX13,坦克属性分配比例,MATCH("升星次数",坦克属性分配比例标头,0),FALSE)*VLOOKUP($AW13,$AM$3:$AS$33,MATCH(BL$3,$AM$3:$AS$3,0),FALSE),2)</f>
        <v>0.41</v>
      </c>
      <c r="BN13" s="183">
        <v>10</v>
      </c>
      <c r="BO13" s="131" t="str">
        <f t="shared" si="11"/>
        <v>59式</v>
      </c>
      <c r="BP13" s="131" t="str">
        <f>VLOOKUP(BO13,坦克个性化设定!$B$18:$F$48,5,FALSE)</f>
        <v>轻坦单发</v>
      </c>
      <c r="BQ13" s="177" t="str">
        <f>VLOOKUP(BO13,坦克个性化细分!$I$3:$J$33,2,FALSE)</f>
        <v>低</v>
      </c>
      <c r="BR13" s="96">
        <f ca="1">(VLOOKUP($BO13&amp;"最终",$O$3:$AA$63,MATCH(BR$3,$O$3:$AA$3,0),FALSE)-VLOOKUP($BO13&amp;"初始",$O$3:$AA$63,MATCH(BR$3,$O$3:$AA$3,0),FALSE))*VLOOKUP(VLOOKUP($BO13,坦克个性化设定!$B$18:$E$48,4,FALSE)&amp;$BQ13,坦克属性分配比例,MATCH("部件比例",坦克属性分配比例标头,0),FALSE)</f>
        <v>1012.2568139431771</v>
      </c>
      <c r="BS13" s="96">
        <f ca="1">(VLOOKUP($BO13&amp;"最终",$O$3:$AA$63,MATCH(BS$3,$O$3:$AA$3,0),FALSE)-VLOOKUP($BO13&amp;"初始",$O$3:$AA$63,MATCH(BS$3,$O$3:$AA$3,0),FALSE))*VLOOKUP(VLOOKUP($BO13,坦克个性化设定!$B$18:$E$48,4,FALSE)&amp;$BQ13,坦克属性分配比例,MATCH("部件比例",坦克属性分配比例标头,0),FALSE)</f>
        <v>110.95998411950922</v>
      </c>
      <c r="BT13" s="96">
        <f ca="1">(VLOOKUP($BO13&amp;"最终",$O$3:$AA$63,MATCH(BT$3,$O$3:$AA$3,0),FALSE)-VLOOKUP($BO13&amp;"初始",$O$3:$AA$63,MATCH(BT$3,$O$3:$AA$3,0),FALSE))*VLOOKUP(VLOOKUP($BO13,坦克个性化设定!$B$18:$E$48,4,FALSE)&amp;$BQ13,坦克属性分配比例,MATCH("部件比例",坦克属性分配比例标头,0),FALSE)*(1-$C$3)</f>
        <v>171.59999999999997</v>
      </c>
      <c r="BU13" s="96">
        <f ca="1">(VLOOKUP($BO13&amp;"最终",$O$3:$AA$63,MATCH(BU$3,$O$3:$AA$3,0),FALSE)-VLOOKUP($BO13&amp;"初始",$O$3:$AA$63,MATCH(BU$3,$O$3:$AA$3,0),FALSE))*VLOOKUP(VLOOKUP($BO13,坦克个性化设定!$B$18:$E$48,4,FALSE)&amp;$BQ13,坦克属性分配比例,MATCH("部件比例",坦克属性分配比例标头,0),FALSE)*(1-$C$3)</f>
        <v>119.99999999999999</v>
      </c>
      <c r="BV13" s="96">
        <f ca="1">(VLOOKUP($BO13&amp;"最终",$O$3:$AA$63,MATCH(BV$3,$O$3:$AA$3,0),FALSE)-VLOOKUP($BO13&amp;"初始",$O$3:$AA$63,MATCH(BV$3,$O$3:$AA$3,0),FALSE))*VLOOKUP(VLOOKUP($BO13,坦克个性化设定!$B$18:$E$48,4,FALSE)&amp;$BQ13,坦克属性分配比例,MATCH("部件比例",坦克属性分配比例标头,0),FALSE)</f>
        <v>359.99999999999994</v>
      </c>
    </row>
    <row r="14" spans="2:74" x14ac:dyDescent="0.35">
      <c r="B14" s="137">
        <v>9</v>
      </c>
      <c r="C14" s="176" t="str">
        <f>坦克个性化设定!B27</f>
        <v>BMP-3</v>
      </c>
      <c r="D14" s="84"/>
      <c r="E14" s="175" t="str">
        <f>坦克等级成长!B23&amp;坦克等级成长!C23</f>
        <v>T5中</v>
      </c>
      <c r="F14" s="183">
        <f>坦克等级成长!M8</f>
        <v>20</v>
      </c>
      <c r="G14" s="654">
        <f>坦克等级成长!J23</f>
        <v>2.4750000000000001</v>
      </c>
      <c r="H14" s="654">
        <f>坦克等级成长!K23</f>
        <v>4.58</v>
      </c>
      <c r="I14" s="654">
        <f>坦克等级成长!E23</f>
        <v>7</v>
      </c>
      <c r="J14" s="654">
        <f>IFERROR(VLOOKUP(I14,坦克部件!$M$3:$Q$9,5,FALSE),VLOOKUP(I14-1,坦克部件!$M$3:$Q$9,5,FALSE))</f>
        <v>0.5</v>
      </c>
      <c r="K14" s="654">
        <f t="shared" si="2"/>
        <v>1.2375</v>
      </c>
      <c r="L14" s="467">
        <f t="shared" si="3"/>
        <v>0.4121140142517814</v>
      </c>
      <c r="M14" s="677">
        <f t="shared" si="4"/>
        <v>0.5878859857482186</v>
      </c>
      <c r="N14" s="84"/>
      <c r="O14" s="426" t="str">
        <f t="shared" si="5"/>
        <v>AMX-13初始</v>
      </c>
      <c r="P14" s="137">
        <f>IF(COUNTIF(Q$4:Q13,Q13)&gt;=$B$3,P13+1,P13)</f>
        <v>6</v>
      </c>
      <c r="Q14" s="131" t="str">
        <f t="shared" si="6"/>
        <v>AMX-13</v>
      </c>
      <c r="R14" s="131" t="str">
        <f>VLOOKUP(Q14,坦克个性化设定!$B$18:$F$48,5,FALSE)</f>
        <v>轻坦单发</v>
      </c>
      <c r="S14" s="177" t="str">
        <f>VLOOKUP(Q14,坦克个性化细分!$I$3:$J$33,2,FALSE)</f>
        <v>高</v>
      </c>
      <c r="T14" s="137" t="str">
        <f t="shared" si="12"/>
        <v>初始</v>
      </c>
      <c r="U14" s="178" t="str">
        <f>VLOOKUP(VLOOKUP(Q14,坦克个性化设定!$B$18:$F$48,4,FALSE)&amp;S14,坦克等级成长!$P$12:$U$24,MATCH(T14,坦克等级成长!$P$12:$U$12,0),FALSE)</f>
        <v>T3高3</v>
      </c>
      <c r="V14" s="96">
        <f ca="1">VLOOKUP($U14,INDIRECT($R14&amp;"_阶段属性"),MATCH(V$3,属性标头_阶段属性,0),FALSE)*VLOOKUP($Q14,坦克个性化设定!$B$84:$D$114,2,FALSE)</f>
        <v>1229.1613933720175</v>
      </c>
      <c r="W14" s="96">
        <f ca="1">VLOOKUP($U14,INDIRECT($R14&amp;"_阶段属性"),MATCH(W$3,属性标头_阶段属性,0),FALSE)*VLOOKUP($Q14,坦克个性化设定!$B$84:$D$114,3,FALSE)</f>
        <v>166.5916299553227</v>
      </c>
      <c r="X14" s="131">
        <f t="shared" ref="X14:AA23" ca="1" si="13">VLOOKUP($U14,INDIRECT($R14&amp;"_阶段属性"),MATCH(X$3,属性标头_阶段属性,0),FALSE)</f>
        <v>579</v>
      </c>
      <c r="Y14" s="131">
        <f t="shared" ca="1" si="13"/>
        <v>405</v>
      </c>
      <c r="Z14" s="131">
        <f t="shared" ca="1" si="13"/>
        <v>486</v>
      </c>
      <c r="AA14" s="131">
        <f t="shared" ca="1" si="13"/>
        <v>130</v>
      </c>
      <c r="AC14" s="195">
        <v>11</v>
      </c>
      <c r="AD14" s="193" t="str">
        <f t="shared" si="7"/>
        <v>Stuart</v>
      </c>
      <c r="AE14" s="195">
        <f>VLOOKUP($AD14,坦克个性化细分!$I$3:$P$33,MATCH(AE$3,坦克个性化细分!$I$3:$P$3,0),FALSE)</f>
        <v>44.5</v>
      </c>
      <c r="AF14" s="195">
        <f>VLOOKUP($AD14,坦克个性化细分!$I$3:$P$33,MATCH(AF$3,坦克个性化细分!$I$3:$P$3,0),FALSE)</f>
        <v>40</v>
      </c>
      <c r="AG14" s="195">
        <f>VLOOKUP($AD14,坦克个性化细分!$I$3:$P$33,MATCH(AG$3,坦克个性化细分!$I$3:$P$3,0),FALSE)</f>
        <v>12.3</v>
      </c>
      <c r="AH14" s="206">
        <f>VLOOKUP(AD14,坦克个性化细分!$AA$3:$AP$33,MATCH("射击偏移角",坦克个性化细分!$AA$3:$AP$3,0),FALSE)/VLOOKUP(AD14,坦克个性化细分!$AA$3:$AP$33,MATCH("原瞄准速度",坦克个性化细分!$AA$3:$AP$3,0),FALSE)</f>
        <v>0.93333333333333346</v>
      </c>
      <c r="AI14" s="206">
        <f>VLOOKUP(AD14,坦克个性化细分!$AA$3:$AP$33,MATCH(AI$3,坦克个性化细分!$AA$3:$AP$3,0),FALSE)</f>
        <v>0.4</v>
      </c>
      <c r="AJ14" s="462">
        <f>VLOOKUP(AD14,坦克个性化细分!$AA$3:$AP$33,MATCH("原换弹时间",坦克个性化细分!$AA$3:$AP$3,0),FALSE)</f>
        <v>4.8000000000000007</v>
      </c>
      <c r="AK14" s="208"/>
      <c r="AL14" s="195">
        <v>11</v>
      </c>
      <c r="AM14" s="193" t="str">
        <f t="shared" si="8"/>
        <v>Stuart</v>
      </c>
      <c r="AN14" s="206">
        <f>VLOOKUP(AM14,坦克个性化细分!$I$3:$P$33,MATCH("养成区间1",坦克个性化细分!$I$3:$P$3,0),FALSE)</f>
        <v>11.124999999999998</v>
      </c>
      <c r="AO14" s="462">
        <f>VLOOKUP(AM14,坦克个性化细分!$I$3:$P$33,MATCH("养成区间2",坦克个性化细分!$I$3:$P$3,0),FALSE)</f>
        <v>9.9999999999999982</v>
      </c>
      <c r="AP14" s="462">
        <f>VLOOKUP(AM14,坦克个性化细分!$I$3:$P$33,MATCH("养成区间3",坦克个性化细分!$I$3:$P$3,0),FALSE)</f>
        <v>4.0199999999999996</v>
      </c>
      <c r="AQ14" s="206">
        <f>VLOOKUP(AM14,坦克个性化细分!$AA$3:$AP$33,MATCH("瞄准区间",坦克个性化细分!$AA$3:$AP$3,0),FALSE)</f>
        <v>0.15555555555555556</v>
      </c>
      <c r="AR14" s="206">
        <f>VLOOKUP(AD14,坦克个性化细分!$AA$3:$AP$33,MATCH("后射击间隔",坦克个性化细分!$AA$3:$AP$3,0),FALSE)-VLOOKUP(AD14,坦克个性化细分!$AA$3:$AP$33,MATCH(AI$3,坦克个性化细分!$AA$3:$AP$3,0),FALSE)</f>
        <v>0</v>
      </c>
      <c r="AS14" s="206">
        <f>VLOOKUP(AM14,坦克个性化细分!$AA$3:$AP$33,MATCH("换弹区间",坦克个性化细分!$AA$3:$AP$3,0),FALSE)</f>
        <v>1.707024793388431</v>
      </c>
      <c r="AT14" s="208"/>
      <c r="AU14" s="364" t="str">
        <f t="shared" si="9"/>
        <v>二号5</v>
      </c>
      <c r="AV14" s="183">
        <f>IF(AY13&gt;=VLOOKUP(VLOOKUP(AW13,坦克个性化设定!$B$18:$E$48,4,FALSE)&amp;AX13,坦克属性分配比例,MATCH("升星次数",坦克属性分配比例标头,0),FALSE),AV13+1,AV13)</f>
        <v>2</v>
      </c>
      <c r="AW14" s="131" t="str">
        <f t="shared" si="10"/>
        <v>二号</v>
      </c>
      <c r="AX14" s="177" t="str">
        <f>VLOOKUP(AW14,坦克个性化细分!$I$3:$J$33,2,FALSE)</f>
        <v>低</v>
      </c>
      <c r="AY14" s="183">
        <f t="shared" si="1"/>
        <v>5</v>
      </c>
      <c r="AZ14" s="486">
        <f ca="1">ROUND(VLOOKUP($AW14&amp;"初始",$O$3:$AA$63,MATCH(AZ$3,$O$3:$AA$3,0),FALSE)+((VLOOKUP($AW14&amp;"最终",$O$3:$AA$63,MATCH(AZ$3,$O$3:$AA$3,0),FALSE)*坦克个性化细分!$C$9-VLOOKUP($AW14&amp;"初始",$O$3:$AA$63,MATCH(AZ$3,$O$3:$AA$3,0),FALSE))-(VLOOKUP($AW14&amp;"最终",$O$3:$AA$63,MATCH(AZ$3,$O$3:$AA$3,0),FALSE)-VLOOKUP($AW14&amp;"初始",$O$3:$AA$63,MATCH(AZ$3,$O$3:$AA$3,0),FALSE))*VLOOKUP(VLOOKUP($AW14,坦克个性化设定!$B$18:$E$48,4,FALSE)&amp;$AX14,坦克属性分配比例,MATCH("部件比例",坦克属性分配比例标头,0),FALSE))*$AY14/VLOOKUP(VLOOKUP($AW14,坦克个性化设定!$B$18:$E$48,4,FALSE)&amp;$AX14,坦克属性分配比例,MATCH("升星次数",坦克属性分配比例标头,0),FALSE),0)</f>
        <v>1431</v>
      </c>
      <c r="BA14" s="426">
        <f ca="1">ROUND(VLOOKUP($AW14&amp;"初始",$O$3:$AA$63,MATCH(BA$3,$O$3:$AA$3,0),FALSE)+(VLOOKUP($AW14&amp;"最终",$O$3:$AA$63,MATCH(BA$3,$O$3:$AA$3,0),FALSE)-VLOOKUP($AW14&amp;"初始",$O$3:$AA$63,MATCH(BA$3,$O$3:$AA$3,0),FALSE))*$AY14/VLOOKUP(VLOOKUP($AW14,坦克个性化设定!$B$18:$E$48,4,FALSE)&amp;$AX14,坦克属性分配比例,MATCH("升星次数",坦克属性分配比例标头,0),FALSE)*VLOOKUP(VLOOKUP($AW14,坦克个性化设定!$B$18:$E$48,4,FALSE)&amp;$AX14,坦克属性分配比例,MATCH("升星比例",坦克属性分配比例标头,0),FALSE),0)</f>
        <v>36</v>
      </c>
      <c r="BB14" s="486">
        <f ca="1">ROUND(VLOOKUP($AW14&amp;"初始",$O$3:$AA$63,MATCH(BB$3,$O$3:$AA$3,0),FALSE)+(VLOOKUP($AW14&amp;"最终",$O$3:$AA$63,MATCH(BB$3,$O$3:$AA$3,0),FALSE)-VLOOKUP($AW14&amp;"初始",$O$3:$AA$63,MATCH(BB$3,$O$3:$AA$3,0),FALSE))*$AY14/VLOOKUP(VLOOKUP($AW14,坦克个性化设定!$B$18:$E$48,4,FALSE)&amp;$AX14,坦克属性分配比例,MATCH("升星次数",坦克属性分配比例标头,0),FALSE)*(VLOOKUP(VLOOKUP($AW14,坦克个性化设定!$B$18:$E$48,4,FALSE)&amp;$AX14,坦克属性分配比例,MATCH("升星比例",坦克属性分配比例标头,0),FALSE)+VLOOKUP(VLOOKUP($AW14,坦克个性化设定!$B$18:$E$48,4,FALSE)&amp;$AX14,坦克属性分配比例,MATCH("部件比例",坦克属性分配比例标头,0),FALSE)*$C$3),0)</f>
        <v>529</v>
      </c>
      <c r="BC14" s="486">
        <f ca="1">ROUND(VLOOKUP($AW14&amp;"初始",$O$3:$AA$63,MATCH(BC$3,$O$3:$AA$3,0),FALSE)+(VLOOKUP($AW14&amp;"最终",$O$3:$AA$63,MATCH(BC$3,$O$3:$AA$3,0),FALSE)-VLOOKUP($AW14&amp;"初始",$O$3:$AA$63,MATCH(BC$3,$O$3:$AA$3,0),FALSE))*$AY14/VLOOKUP(VLOOKUP($AW14,坦克个性化设定!$B$18:$E$48,4,FALSE)&amp;$AX14,坦克属性分配比例,MATCH("升星次数",坦克属性分配比例标头,0),FALSE)*(VLOOKUP(VLOOKUP($AW14,坦克个性化设定!$B$18:$E$48,4,FALSE)&amp;$AX14,坦克属性分配比例,MATCH("升星比例",坦克属性分配比例标头,0),FALSE)+VLOOKUP(VLOOKUP($AW14,坦克个性化设定!$B$18:$E$48,4,FALSE)&amp;$AX14,坦克属性分配比例,MATCH("部件比例",坦克属性分配比例标头,0),FALSE)*$C$3),0)</f>
        <v>371</v>
      </c>
      <c r="BD14" s="426">
        <f ca="1">ROUND(VLOOKUP($AW14&amp;"初始",$O$3:$AA$63,MATCH(BD$3,$O$3:$AA$3,0),FALSE)+(VLOOKUP($AW14&amp;"最终",$O$3:$AA$63,MATCH(BD$3,$O$3:$AA$3,0),FALSE)-VLOOKUP($AW14&amp;"初始",$O$3:$AA$63,MATCH(BD$3,$O$3:$AA$3,0),FALSE))*$AY14/VLOOKUP(VLOOKUP($AW14,坦克个性化设定!$B$18:$E$48,4,FALSE)&amp;$AX14,坦克属性分配比例,MATCH("升星次数",坦克属性分配比例标头,0),FALSE)*VLOOKUP(VLOOKUP($AW14,坦克个性化设定!$B$18:$E$48,4,FALSE)&amp;$AX14,坦克属性分配比例,MATCH("升星比例",坦克属性分配比例标头,0),FALSE),0)</f>
        <v>443</v>
      </c>
      <c r="BE14" s="426">
        <f ca="1">ROUND(VLOOKUP($AW14&amp;"初始",$O$3:$AA$63,MATCH(BE$3,$O$3:$AA$3,0),FALSE)+(VLOOKUP($AW14&amp;"最终",$O$3:$AA$63,MATCH(BE$3,$O$3:$AA$3,0),FALSE)-VLOOKUP($AW14&amp;"初始",$O$3:$AA$63,MATCH(BE$3,$O$3:$AA$3,0),FALSE))*$AY14/VLOOKUP(VLOOKUP($AW14,坦克个性化设定!$B$18:$E$48,4,FALSE)&amp;$AX14,坦克属性分配比例,MATCH("升星次数",坦克属性分配比例标头,0),FALSE),0)</f>
        <v>136</v>
      </c>
      <c r="BF14" s="462">
        <f>ROUND(VLOOKUP($AW14,$AD$3:$AJ$33,MATCH(BF$3,$AD$3:$AJ$3,0),FALSE)+$AY14/VLOOKUP(VLOOKUP($AW14,坦克个性化设定!$B$18:$E$48,4,FALSE)&amp;$AX14,坦克属性分配比例,MATCH("升星次数",坦克属性分配比例标头,0),FALSE)*VLOOKUP($AW14,$AM$3:$AS$33,MATCH(BF$3,$AM$3:$AS$3,0),FALSE),1)</f>
        <v>56.9</v>
      </c>
      <c r="BG14" s="462">
        <f>ROUND(VLOOKUP($AW14,$AD$3:$AJ$33,MATCH(BG$3,$AD$3:$AJ$3,0),FALSE)+$AY14/VLOOKUP(VLOOKUP($AW14,坦克个性化设定!$B$18:$E$48,4,FALSE)&amp;$AX14,坦克属性分配比例,MATCH("升星次数",坦克属性分配比例标头,0),FALSE)*VLOOKUP($AW14,$AM$3:$AS$33,MATCH(BG$3,$AM$3:$AS$3,0),FALSE),1)</f>
        <v>54.4</v>
      </c>
      <c r="BH14" s="462">
        <f>ROUND(VLOOKUP($AW14,$AD$3:$AJ$33,MATCH(BH$3,$AD$3:$AJ$3,0),FALSE)+$AY14/VLOOKUP(VLOOKUP($AW14,坦克个性化设定!$B$18:$E$48,4,FALSE)&amp;$AX14,坦克属性分配比例,MATCH("升星次数",坦克属性分配比例标头,0),FALSE)*VLOOKUP($AW14,$AM$3:$AS$33,MATCH(BH$3,$AM$3:$AS$3,0),FALSE),1)</f>
        <v>18.600000000000001</v>
      </c>
      <c r="BI14" s="654">
        <f>IF(VLOOKUP(AW14,坦克个性化设定!$B$18:$BB$48,MATCH("装弹类型",坦克个性化设定!$B$18:$BB$18,0),FALSE)="弹夹换弹",0,ROUND(VLOOKUP($AW14,$AD$3:$AJ$33,MATCH("换弹时间",$AD$3:$AJ$3,0),FALSE)-$AY14/VLOOKUP(VLOOKUP($AW14,坦克个性化设定!$B$18:$E$48,4,FALSE)&amp;$AX14,坦克属性分配比例,MATCH("升星次数",坦克属性分配比例标头,0),FALSE)*VLOOKUP($AW14,$AM$3:$AS$33,MATCH("换弹时间",$AM$3:$AS$3,0),FALSE),2))</f>
        <v>0</v>
      </c>
      <c r="BJ14" s="462">
        <f>IF(VLOOKUP(AW14,坦克个性化设定!$B$18:$BB$48,MATCH("装弹类型",坦克个性化设定!$B$18:$BB$18,0),FALSE)="弹夹换弹",ROUND(VLOOKUP($AW14,$AD$3:$AJ$33,MATCH("换弹时间",$AD$3:$AJ$3,0),FALSE)-$AY14/VLOOKUP(VLOOKUP($AW14,坦克个性化设定!$B$18:$E$48,4,FALSE)&amp;$AX14,坦克属性分配比例,MATCH("升星次数",坦克属性分配比例标头,0),FALSE)*VLOOKUP($AW14,$AM$3:$AS$33,MATCH("换弹时间",$AM$3:$AS$3,0),FALSE),1),0)</f>
        <v>5.9</v>
      </c>
      <c r="BK14" s="462">
        <f>ROUND(VLOOKUP($AW14,$AD$3:$AJ$33,MATCH(BK$3,$AD$3:$AJ$3,0),FALSE)+$AY14/VLOOKUP(VLOOKUP($AW14,坦克个性化设定!$B$18:$E$48,4,FALSE)&amp;$AX14,坦克属性分配比例,MATCH("升星次数",坦克属性分配比例标头,0),FALSE)*VLOOKUP($AW14,$AM$3:$AS$33,MATCH(BK$3,$AM$3:$AS$3,0),FALSE),2)</f>
        <v>0.2</v>
      </c>
      <c r="BL14" s="462">
        <f>ROUND(VLOOKUP($AW14,$AD$3:$AJ$33,MATCH(BL$3,$AD$3:$AJ$3,0),FALSE)-$AY14/VLOOKUP(VLOOKUP($AW14,坦克个性化设定!$B$18:$E$48,4,FALSE)&amp;$AX14,坦克属性分配比例,MATCH("升星次数",坦克属性分配比例标头,0),FALSE)*VLOOKUP($AW14,$AM$3:$AS$33,MATCH(BL$3,$AM$3:$AS$3,0),FALSE),2)</f>
        <v>0.39</v>
      </c>
      <c r="BN14" s="183">
        <v>11</v>
      </c>
      <c r="BO14" s="131" t="str">
        <f t="shared" si="11"/>
        <v>Stuart</v>
      </c>
      <c r="BP14" s="131" t="str">
        <f>VLOOKUP(BO14,坦克个性化设定!$B$18:$F$48,5,FALSE)</f>
        <v>中坦弹夹</v>
      </c>
      <c r="BQ14" s="177" t="str">
        <f>VLOOKUP(BO14,坦克个性化细分!$I$3:$J$33,2,FALSE)</f>
        <v>低</v>
      </c>
      <c r="BR14" s="96">
        <f ca="1">(VLOOKUP($BO14&amp;"最终",$O$3:$AA$63,MATCH(BR$3,$O$3:$AA$3,0),FALSE)-VLOOKUP($BO14&amp;"初始",$O$3:$AA$63,MATCH(BR$3,$O$3:$AA$3,0),FALSE))*VLOOKUP(VLOOKUP($BO14,坦克个性化设定!$B$18:$E$48,4,FALSE)&amp;$BQ14,坦克属性分配比例,MATCH("部件比例",坦克属性分配比例标头,0),FALSE)</f>
        <v>95.590420780823791</v>
      </c>
      <c r="BS14" s="96">
        <f ca="1">(VLOOKUP($BO14&amp;"最终",$O$3:$AA$63,MATCH(BS$3,$O$3:$AA$3,0),FALSE)-VLOOKUP($BO14&amp;"初始",$O$3:$AA$63,MATCH(BS$3,$O$3:$AA$3,0),FALSE))*VLOOKUP(VLOOKUP($BO14,坦克个性化设定!$B$18:$E$48,4,FALSE)&amp;$BQ14,坦克属性分配比例,MATCH("部件比例",坦克属性分配比例标头,0),FALSE)</f>
        <v>6.3829487686813362</v>
      </c>
      <c r="BT14" s="96">
        <f ca="1">(VLOOKUP($BO14&amp;"最终",$O$3:$AA$63,MATCH(BT$3,$O$3:$AA$3,0),FALSE)-VLOOKUP($BO14&amp;"初始",$O$3:$AA$63,MATCH(BT$3,$O$3:$AA$3,0),FALSE))*VLOOKUP(VLOOKUP($BO14,坦克个性化设定!$B$18:$E$48,4,FALSE)&amp;$BQ14,坦克属性分配比例,MATCH("部件比例",坦克属性分配比例标头,0),FALSE)*(1-$C$3)</f>
        <v>15.048000000000002</v>
      </c>
      <c r="BU14" s="96">
        <f ca="1">(VLOOKUP($BO14&amp;"最终",$O$3:$AA$63,MATCH(BU$3,$O$3:$AA$3,0),FALSE)-VLOOKUP($BO14&amp;"初始",$O$3:$AA$63,MATCH(BU$3,$O$3:$AA$3,0),FALSE))*VLOOKUP(VLOOKUP($BO14,坦克个性化设定!$B$18:$E$48,4,FALSE)&amp;$BQ14,坦克属性分配比例,MATCH("部件比例",坦克属性分配比例标头,0),FALSE)*(1-$C$3)</f>
        <v>11.352000000000004</v>
      </c>
      <c r="BV14" s="96">
        <f ca="1">(VLOOKUP($BO14&amp;"最终",$O$3:$AA$63,MATCH(BV$3,$O$3:$AA$3,0),FALSE)-VLOOKUP($BO14&amp;"初始",$O$3:$AA$63,MATCH(BV$3,$O$3:$AA$3,0),FALSE))*VLOOKUP(VLOOKUP($BO14,坦克个性化设定!$B$18:$E$48,4,FALSE)&amp;$BQ14,坦克属性分配比例,MATCH("部件比例",坦克属性分配比例标头,0),FALSE)</f>
        <v>47.52000000000001</v>
      </c>
    </row>
    <row r="15" spans="2:74" x14ac:dyDescent="0.35">
      <c r="B15" s="137">
        <v>10</v>
      </c>
      <c r="C15" s="176" t="str">
        <f>坦克个性化设定!B28</f>
        <v>59式</v>
      </c>
      <c r="D15" s="84"/>
      <c r="E15" s="175" t="str">
        <f>坦克等级成长!B24&amp;坦克等级成长!C24</f>
        <v>T5高</v>
      </c>
      <c r="F15" s="183">
        <f>坦克等级成长!N8</f>
        <v>20</v>
      </c>
      <c r="G15" s="654">
        <f>坦克等级成长!J24</f>
        <v>2.6</v>
      </c>
      <c r="H15" s="654">
        <f>坦克等级成长!K24</f>
        <v>4.8800000000000008</v>
      </c>
      <c r="I15" s="654">
        <f>坦克等级成长!E24</f>
        <v>7</v>
      </c>
      <c r="J15" s="654">
        <f>IFERROR(VLOOKUP(I15,坦克部件!$M$3:$Q$9,5,FALSE),VLOOKUP(I15-1,坦克部件!$M$3:$Q$9,5,FALSE))</f>
        <v>0.5</v>
      </c>
      <c r="K15" s="654">
        <f t="shared" si="2"/>
        <v>1.3</v>
      </c>
      <c r="L15" s="467">
        <f t="shared" si="3"/>
        <v>0.42982456140350889</v>
      </c>
      <c r="M15" s="677">
        <f t="shared" si="4"/>
        <v>0.57017543859649111</v>
      </c>
      <c r="N15" s="84"/>
      <c r="O15" s="426" t="str">
        <f t="shared" si="5"/>
        <v>AMX-13最终</v>
      </c>
      <c r="P15" s="137">
        <f>IF(COUNTIF(Q$4:Q14,Q14)&gt;=$B$3,P14+1,P14)</f>
        <v>6</v>
      </c>
      <c r="Q15" s="131" t="str">
        <f t="shared" si="6"/>
        <v>AMX-13</v>
      </c>
      <c r="R15" s="131" t="str">
        <f>VLOOKUP(Q15,坦克个性化设定!$B$18:$F$48,5,FALSE)</f>
        <v>轻坦单发</v>
      </c>
      <c r="S15" s="177" t="str">
        <f>VLOOKUP(Q15,坦克个性化细分!$I$3:$J$33,2,FALSE)</f>
        <v>高</v>
      </c>
      <c r="T15" s="137" t="str">
        <f t="shared" si="12"/>
        <v>最终</v>
      </c>
      <c r="U15" s="178" t="str">
        <f>VLOOKUP(VLOOKUP(Q15,坦克个性化设定!$B$18:$F$48,4,FALSE)&amp;S15,坦克等级成长!$P$12:$U$24,MATCH(T15,坦克等级成长!$P$12:$U$12,0),FALSE)</f>
        <v>T3高5</v>
      </c>
      <c r="V15" s="96">
        <f ca="1">VLOOKUP($U15,INDIRECT($R15&amp;"_阶段属性"),MATCH(V$3,属性标头_阶段属性,0),FALSE)*VLOOKUP($Q15,坦克个性化设定!$B$84:$D$114,2,FALSE)</f>
        <v>2443.1479547270965</v>
      </c>
      <c r="W15" s="96">
        <f ca="1">VLOOKUP($U15,INDIRECT($R15&amp;"_阶段属性"),MATCH(W$3,属性标头_阶段属性,0),FALSE)*VLOOKUP($Q15,坦克个性化设定!$B$84:$D$114,3,FALSE)</f>
        <v>331.07450510108436</v>
      </c>
      <c r="X15" s="131">
        <f t="shared" ca="1" si="13"/>
        <v>1150</v>
      </c>
      <c r="Y15" s="131">
        <f t="shared" ca="1" si="13"/>
        <v>805</v>
      </c>
      <c r="Z15" s="131">
        <f t="shared" ca="1" si="13"/>
        <v>966</v>
      </c>
      <c r="AA15" s="131">
        <f t="shared" ca="1" si="13"/>
        <v>258</v>
      </c>
      <c r="AC15" s="195">
        <v>12</v>
      </c>
      <c r="AD15" s="193" t="str">
        <f t="shared" si="7"/>
        <v>T-34</v>
      </c>
      <c r="AE15" s="195">
        <f>VLOOKUP($AD15,坦克个性化细分!$I$3:$P$33,MATCH(AE$3,坦克个性化细分!$I$3:$P$3,0),FALSE)</f>
        <v>44.5</v>
      </c>
      <c r="AF15" s="195">
        <f>VLOOKUP($AD15,坦克个性化细分!$I$3:$P$33,MATCH(AF$3,坦克个性化细分!$I$3:$P$3,0),FALSE)</f>
        <v>40</v>
      </c>
      <c r="AG15" s="195">
        <f>VLOOKUP($AD15,坦克个性化细分!$I$3:$P$33,MATCH(AG$3,坦克个性化细分!$I$3:$P$3,0),FALSE)</f>
        <v>12.3</v>
      </c>
      <c r="AH15" s="206">
        <f>VLOOKUP(AD15,坦克个性化细分!$AA$3:$AP$33,MATCH("射击偏移角",坦克个性化细分!$AA$3:$AP$3,0),FALSE)/VLOOKUP(AD15,坦克个性化细分!$AA$3:$AP$33,MATCH("原瞄准速度",坦克个性化细分!$AA$3:$AP$3,0),FALSE)</f>
        <v>1.4666666666666668</v>
      </c>
      <c r="AI15" s="206">
        <f>VLOOKUP(AD15,坦克个性化细分!$AA$3:$AP$33,MATCH(AI$3,坦克个性化细分!$AA$3:$AP$3,0),FALSE)</f>
        <v>1.2</v>
      </c>
      <c r="AJ15" s="462">
        <f>VLOOKUP(AD15,坦克个性化细分!$AA$3:$AP$33,MATCH("原换弹时间",坦克个性化细分!$AA$3:$AP$3,0),FALSE)</f>
        <v>3</v>
      </c>
      <c r="AK15" s="208"/>
      <c r="AL15" s="195">
        <v>12</v>
      </c>
      <c r="AM15" s="193" t="str">
        <f t="shared" si="8"/>
        <v>T-34</v>
      </c>
      <c r="AN15" s="206">
        <f>VLOOKUP(AM15,坦克个性化细分!$I$3:$P$33,MATCH("养成区间1",坦克个性化细分!$I$3:$P$3,0),FALSE)</f>
        <v>11.124999999999998</v>
      </c>
      <c r="AO15" s="462">
        <f>VLOOKUP(AM15,坦克个性化细分!$I$3:$P$33,MATCH("养成区间2",坦克个性化细分!$I$3:$P$3,0),FALSE)</f>
        <v>9.9999999999999982</v>
      </c>
      <c r="AP15" s="462">
        <f>VLOOKUP(AM15,坦克个性化细分!$I$3:$P$33,MATCH("养成区间3",坦克个性化细分!$I$3:$P$3,0),FALSE)</f>
        <v>4.0199999999999996</v>
      </c>
      <c r="AQ15" s="206">
        <f>VLOOKUP(AM15,坦克个性化细分!$AA$3:$AP$33,MATCH("瞄准区间",坦克个性化细分!$AA$3:$AP$3,0),FALSE)</f>
        <v>0.24444444444444446</v>
      </c>
      <c r="AR15" s="206">
        <f>VLOOKUP(AD15,坦克个性化细分!$AA$3:$AP$33,MATCH("后射击间隔",坦克个性化细分!$AA$3:$AP$3,0),FALSE)-VLOOKUP(AD15,坦克个性化细分!$AA$3:$AP$33,MATCH(AI$3,坦克个性化细分!$AA$3:$AP$3,0),FALSE)</f>
        <v>-0.19999999999999996</v>
      </c>
      <c r="AS15" s="206">
        <f>VLOOKUP(AM15,坦克个性化细分!$AA$3:$AP$33,MATCH("换弹区间",坦克个性化细分!$AA$3:$AP$3,0),FALSE)</f>
        <v>1.2098765432098766</v>
      </c>
      <c r="AT15" s="208"/>
      <c r="AU15" s="364" t="str">
        <f t="shared" si="9"/>
        <v>二号6</v>
      </c>
      <c r="AV15" s="183">
        <f>IF(AY14&gt;=VLOOKUP(VLOOKUP(AW14,坦克个性化设定!$B$18:$E$48,4,FALSE)&amp;AX14,坦克属性分配比例,MATCH("升星次数",坦克属性分配比例标头,0),FALSE),AV14+1,AV14)</f>
        <v>2</v>
      </c>
      <c r="AW15" s="131" t="str">
        <f t="shared" si="10"/>
        <v>二号</v>
      </c>
      <c r="AX15" s="177" t="str">
        <f>VLOOKUP(AW15,坦克个性化细分!$I$3:$J$33,2,FALSE)</f>
        <v>低</v>
      </c>
      <c r="AY15" s="183">
        <f t="shared" si="1"/>
        <v>6</v>
      </c>
      <c r="AZ15" s="486">
        <f ca="1">ROUND(VLOOKUP($AW15&amp;"初始",$O$3:$AA$63,MATCH(AZ$3,$O$3:$AA$3,0),FALSE)+((VLOOKUP($AW15&amp;"最终",$O$3:$AA$63,MATCH(AZ$3,$O$3:$AA$3,0),FALSE)*坦克个性化细分!$C$9-VLOOKUP($AW15&amp;"初始",$O$3:$AA$63,MATCH(AZ$3,$O$3:$AA$3,0),FALSE))-(VLOOKUP($AW15&amp;"最终",$O$3:$AA$63,MATCH(AZ$3,$O$3:$AA$3,0),FALSE)-VLOOKUP($AW15&amp;"初始",$O$3:$AA$63,MATCH(AZ$3,$O$3:$AA$3,0),FALSE))*VLOOKUP(VLOOKUP($AW15,坦克个性化设定!$B$18:$E$48,4,FALSE)&amp;$AX15,坦克属性分配比例,MATCH("部件比例",坦克属性分配比例标头,0),FALSE))*$AY15/VLOOKUP(VLOOKUP($AW15,坦克个性化设定!$B$18:$E$48,4,FALSE)&amp;$AX15,坦克属性分配比例,MATCH("升星次数",坦克属性分配比例标头,0),FALSE),0)</f>
        <v>1539</v>
      </c>
      <c r="BA15" s="426">
        <f ca="1">ROUND(VLOOKUP($AW15&amp;"初始",$O$3:$AA$63,MATCH(BA$3,$O$3:$AA$3,0),FALSE)+(VLOOKUP($AW15&amp;"最终",$O$3:$AA$63,MATCH(BA$3,$O$3:$AA$3,0),FALSE)-VLOOKUP($AW15&amp;"初始",$O$3:$AA$63,MATCH(BA$3,$O$3:$AA$3,0),FALSE))*$AY15/VLOOKUP(VLOOKUP($AW15,坦克个性化设定!$B$18:$E$48,4,FALSE)&amp;$AX15,坦克属性分配比例,MATCH("升星次数",坦克属性分配比例标头,0),FALSE)*VLOOKUP(VLOOKUP($AW15,坦克个性化设定!$B$18:$E$48,4,FALSE)&amp;$AX15,坦克属性分配比例,MATCH("升星比例",坦克属性分配比例标头,0),FALSE),0)</f>
        <v>38</v>
      </c>
      <c r="BB15" s="486">
        <f ca="1">ROUND(VLOOKUP($AW15&amp;"初始",$O$3:$AA$63,MATCH(BB$3,$O$3:$AA$3,0),FALSE)+(VLOOKUP($AW15&amp;"最终",$O$3:$AA$63,MATCH(BB$3,$O$3:$AA$3,0),FALSE)-VLOOKUP($AW15&amp;"初始",$O$3:$AA$63,MATCH(BB$3,$O$3:$AA$3,0),FALSE))*$AY15/VLOOKUP(VLOOKUP($AW15,坦克个性化设定!$B$18:$E$48,4,FALSE)&amp;$AX15,坦克属性分配比例,MATCH("升星次数",坦克属性分配比例标头,0),FALSE)*(VLOOKUP(VLOOKUP($AW15,坦克个性化设定!$B$18:$E$48,4,FALSE)&amp;$AX15,坦克属性分配比例,MATCH("升星比例",坦克属性分配比例标头,0),FALSE)+VLOOKUP(VLOOKUP($AW15,坦克个性化设定!$B$18:$E$48,4,FALSE)&amp;$AX15,坦克属性分配比例,MATCH("部件比例",坦克属性分配比例标头,0),FALSE)*$C$3),0)</f>
        <v>556</v>
      </c>
      <c r="BC15" s="486">
        <f ca="1">ROUND(VLOOKUP($AW15&amp;"初始",$O$3:$AA$63,MATCH(BC$3,$O$3:$AA$3,0),FALSE)+(VLOOKUP($AW15&amp;"最终",$O$3:$AA$63,MATCH(BC$3,$O$3:$AA$3,0),FALSE)-VLOOKUP($AW15&amp;"初始",$O$3:$AA$63,MATCH(BC$3,$O$3:$AA$3,0),FALSE))*$AY15/VLOOKUP(VLOOKUP($AW15,坦克个性化设定!$B$18:$E$48,4,FALSE)&amp;$AX15,坦克属性分配比例,MATCH("升星次数",坦克属性分配比例标头,0),FALSE)*(VLOOKUP(VLOOKUP($AW15,坦克个性化设定!$B$18:$E$48,4,FALSE)&amp;$AX15,坦克属性分配比例,MATCH("升星比例",坦克属性分配比例标头,0),FALSE)+VLOOKUP(VLOOKUP($AW15,坦克个性化设定!$B$18:$E$48,4,FALSE)&amp;$AX15,坦克属性分配比例,MATCH("部件比例",坦克属性分配比例标头,0),FALSE)*$C$3),0)</f>
        <v>389</v>
      </c>
      <c r="BD15" s="426">
        <f ca="1">ROUND(VLOOKUP($AW15&amp;"初始",$O$3:$AA$63,MATCH(BD$3,$O$3:$AA$3,0),FALSE)+(VLOOKUP($AW15&amp;"最终",$O$3:$AA$63,MATCH(BD$3,$O$3:$AA$3,0),FALSE)-VLOOKUP($AW15&amp;"初始",$O$3:$AA$63,MATCH(BD$3,$O$3:$AA$3,0),FALSE))*$AY15/VLOOKUP(VLOOKUP($AW15,坦克个性化设定!$B$18:$E$48,4,FALSE)&amp;$AX15,坦克属性分配比例,MATCH("升星次数",坦克属性分配比例标头,0),FALSE)*VLOOKUP(VLOOKUP($AW15,坦克个性化设定!$B$18:$E$48,4,FALSE)&amp;$AX15,坦克属性分配比例,MATCH("升星比例",坦克属性分配比例标头,0),FALSE),0)</f>
        <v>460</v>
      </c>
      <c r="BE15" s="426">
        <f ca="1">ROUND(VLOOKUP($AW15&amp;"初始",$O$3:$AA$63,MATCH(BE$3,$O$3:$AA$3,0),FALSE)+(VLOOKUP($AW15&amp;"最终",$O$3:$AA$63,MATCH(BE$3,$O$3:$AA$3,0),FALSE)-VLOOKUP($AW15&amp;"初始",$O$3:$AA$63,MATCH(BE$3,$O$3:$AA$3,0),FALSE))*$AY15/VLOOKUP(VLOOKUP($AW15,坦克个性化设定!$B$18:$E$48,4,FALSE)&amp;$AX15,坦克属性分配比例,MATCH("升星次数",坦克属性分配比例标头,0),FALSE),0)</f>
        <v>144</v>
      </c>
      <c r="BF15" s="462">
        <f>ROUND(VLOOKUP($AW15,$AD$3:$AJ$33,MATCH(BF$3,$AD$3:$AJ$3,0),FALSE)+$AY15/VLOOKUP(VLOOKUP($AW15,坦克个性化设定!$B$18:$E$48,4,FALSE)&amp;$AX15,坦克属性分配比例,MATCH("升星次数",坦克属性分配比例标头,0),FALSE)*VLOOKUP($AW15,$AM$3:$AS$33,MATCH(BF$3,$AM$3:$AS$3,0),FALSE),1)</f>
        <v>58.9</v>
      </c>
      <c r="BG15" s="462">
        <f>ROUND(VLOOKUP($AW15,$AD$3:$AJ$33,MATCH(BG$3,$AD$3:$AJ$3,0),FALSE)+$AY15/VLOOKUP(VLOOKUP($AW15,坦克个性化设定!$B$18:$E$48,4,FALSE)&amp;$AX15,坦克属性分配比例,MATCH("升星次数",坦克属性分配比例标头,0),FALSE)*VLOOKUP($AW15,$AM$3:$AS$33,MATCH(BG$3,$AM$3:$AS$3,0),FALSE),1)</f>
        <v>56.3</v>
      </c>
      <c r="BH15" s="462">
        <f>ROUND(VLOOKUP($AW15,$AD$3:$AJ$33,MATCH(BH$3,$AD$3:$AJ$3,0),FALSE)+$AY15/VLOOKUP(VLOOKUP($AW15,坦克个性化设定!$B$18:$E$48,4,FALSE)&amp;$AX15,坦克属性分配比例,MATCH("升星次数",坦克属性分配比例标头,0),FALSE)*VLOOKUP($AW15,$AM$3:$AS$33,MATCH(BH$3,$AM$3:$AS$3,0),FALSE),1)</f>
        <v>19.399999999999999</v>
      </c>
      <c r="BI15" s="654">
        <f>IF(VLOOKUP(AW15,坦克个性化设定!$B$18:$BB$48,MATCH("装弹类型",坦克个性化设定!$B$18:$BB$18,0),FALSE)="弹夹换弹",0,ROUND(VLOOKUP($AW15,$AD$3:$AJ$33,MATCH("换弹时间",$AD$3:$AJ$3,0),FALSE)-$AY15/VLOOKUP(VLOOKUP($AW15,坦克个性化设定!$B$18:$E$48,4,FALSE)&amp;$AX15,坦克属性分配比例,MATCH("升星次数",坦克属性分配比例标头,0),FALSE)*VLOOKUP($AW15,$AM$3:$AS$33,MATCH("换弹时间",$AM$3:$AS$3,0),FALSE),2))</f>
        <v>0</v>
      </c>
      <c r="BJ15" s="462">
        <f>IF(VLOOKUP(AW15,坦克个性化设定!$B$18:$BB$48,MATCH("装弹类型",坦克个性化设定!$B$18:$BB$18,0),FALSE)="弹夹换弹",ROUND(VLOOKUP($AW15,$AD$3:$AJ$33,MATCH("换弹时间",$AD$3:$AJ$3,0),FALSE)-$AY15/VLOOKUP(VLOOKUP($AW15,坦克个性化设定!$B$18:$E$48,4,FALSE)&amp;$AX15,坦克属性分配比例,MATCH("升星次数",坦克属性分配比例标头,0),FALSE)*VLOOKUP($AW15,$AM$3:$AS$33,MATCH("换弹时间",$AM$3:$AS$3,0),FALSE),1),0)</f>
        <v>5.4</v>
      </c>
      <c r="BK15" s="462">
        <f>ROUND(VLOOKUP($AW15,$AD$3:$AJ$33,MATCH(BK$3,$AD$3:$AJ$3,0),FALSE)+$AY15/VLOOKUP(VLOOKUP($AW15,坦克个性化设定!$B$18:$E$48,4,FALSE)&amp;$AX15,坦克属性分配比例,MATCH("升星次数",坦克属性分配比例标头,0),FALSE)*VLOOKUP($AW15,$AM$3:$AS$33,MATCH(BK$3,$AM$3:$AS$3,0),FALSE),2)</f>
        <v>0.2</v>
      </c>
      <c r="BL15" s="462">
        <f>ROUND(VLOOKUP($AW15,$AD$3:$AJ$33,MATCH(BL$3,$AD$3:$AJ$3,0),FALSE)-$AY15/VLOOKUP(VLOOKUP($AW15,坦克个性化设定!$B$18:$E$48,4,FALSE)&amp;$AX15,坦克属性分配比例,MATCH("升星次数",坦克属性分配比例标头,0),FALSE)*VLOOKUP($AW15,$AM$3:$AS$33,MATCH(BL$3,$AM$3:$AS$3,0),FALSE),2)</f>
        <v>0.38</v>
      </c>
      <c r="BN15" s="183">
        <v>12</v>
      </c>
      <c r="BO15" s="131" t="str">
        <f t="shared" si="11"/>
        <v>T-34</v>
      </c>
      <c r="BP15" s="131" t="str">
        <f>VLOOKUP(BO15,坦克个性化设定!$B$18:$F$48,5,FALSE)</f>
        <v>中坦弹夹</v>
      </c>
      <c r="BQ15" s="177" t="str">
        <f>VLOOKUP(BO15,坦克个性化细分!$I$3:$J$33,2,FALSE)</f>
        <v>低</v>
      </c>
      <c r="BR15" s="96">
        <f ca="1">(VLOOKUP($BO15&amp;"最终",$O$3:$AA$63,MATCH(BR$3,$O$3:$AA$3,0),FALSE)-VLOOKUP($BO15&amp;"初始",$O$3:$AA$63,MATCH(BR$3,$O$3:$AA$3,0),FALSE))*VLOOKUP(VLOOKUP($BO15,坦克个性化设定!$B$18:$E$48,4,FALSE)&amp;$BQ15,坦克属性分配比例,MATCH("部件比例",坦克属性分配比例标头,0),FALSE)</f>
        <v>217.8011252146031</v>
      </c>
      <c r="BS15" s="96">
        <f ca="1">(VLOOKUP($BO15&amp;"最终",$O$3:$AA$63,MATCH(BS$3,$O$3:$AA$3,0),FALSE)-VLOOKUP($BO15&amp;"初始",$O$3:$AA$63,MATCH(BS$3,$O$3:$AA$3,0),FALSE))*VLOOKUP(VLOOKUP($BO15,坦克个性化设定!$B$18:$E$48,4,FALSE)&amp;$BQ15,坦克属性分配比例,MATCH("部件比例",坦克属性分配比例标头,0),FALSE)</f>
        <v>16.186978544924006</v>
      </c>
      <c r="BT15" s="96">
        <f ca="1">(VLOOKUP($BO15&amp;"最终",$O$3:$AA$63,MATCH(BT$3,$O$3:$AA$3,0),FALSE)-VLOOKUP($BO15&amp;"初始",$O$3:$AA$63,MATCH(BT$3,$O$3:$AA$3,0),FALSE))*VLOOKUP(VLOOKUP($BO15,坦克个性化设定!$B$18:$E$48,4,FALSE)&amp;$BQ15,坦克属性分配比例,MATCH("部件比例",坦克属性分配比例标头,0),FALSE)*(1-$C$3)</f>
        <v>30.369599999999991</v>
      </c>
      <c r="BU15" s="96">
        <f ca="1">(VLOOKUP($BO15&amp;"最终",$O$3:$AA$63,MATCH(BU$3,$O$3:$AA$3,0),FALSE)-VLOOKUP($BO15&amp;"初始",$O$3:$AA$63,MATCH(BU$3,$O$3:$AA$3,0),FALSE))*VLOOKUP(VLOOKUP($BO15,坦克个性化设定!$B$18:$E$48,4,FALSE)&amp;$BQ15,坦克属性分配比例,MATCH("部件比例",坦克属性分配比例标头,0),FALSE)*(1-$C$3)</f>
        <v>22.910399999999996</v>
      </c>
      <c r="BV15" s="96">
        <f ca="1">(VLOOKUP($BO15&amp;"最终",$O$3:$AA$63,MATCH(BV$3,$O$3:$AA$3,0),FALSE)-VLOOKUP($BO15&amp;"初始",$O$3:$AA$63,MATCH(BV$3,$O$3:$AA$3,0),FALSE))*VLOOKUP(VLOOKUP($BO15,坦克个性化设定!$B$18:$E$48,4,FALSE)&amp;$BQ15,坦克属性分配比例,MATCH("部件比例",坦克属性分配比例标头,0),FALSE)</f>
        <v>95.903999999999982</v>
      </c>
    </row>
    <row r="16" spans="2:74" x14ac:dyDescent="0.35">
      <c r="B16" s="137">
        <v>11</v>
      </c>
      <c r="C16" s="176" t="str">
        <f>坦克个性化设定!B29</f>
        <v>Stuart</v>
      </c>
      <c r="D16" s="84"/>
      <c r="E16" s="84"/>
      <c r="F16" s="84"/>
      <c r="G16" s="84"/>
      <c r="H16" s="84"/>
      <c r="I16" s="84"/>
      <c r="J16" s="84"/>
      <c r="K16" s="84"/>
      <c r="L16" s="84"/>
      <c r="M16" s="84"/>
      <c r="N16" s="84"/>
      <c r="O16" s="426" t="str">
        <f t="shared" si="5"/>
        <v>霞飞初始</v>
      </c>
      <c r="P16" s="137">
        <f>IF(COUNTIF(Q$4:Q15,Q15)&gt;=$B$3,P15+1,P15)</f>
        <v>7</v>
      </c>
      <c r="Q16" s="131" t="str">
        <f t="shared" si="6"/>
        <v>霞飞</v>
      </c>
      <c r="R16" s="131" t="str">
        <f>VLOOKUP(Q16,坦克个性化设定!$B$18:$F$48,5,FALSE)</f>
        <v>轻坦半自动</v>
      </c>
      <c r="S16" s="177" t="str">
        <f>VLOOKUP(Q16,坦克个性化细分!$I$3:$J$33,2,FALSE)</f>
        <v>低</v>
      </c>
      <c r="T16" s="137" t="str">
        <f t="shared" si="12"/>
        <v>初始</v>
      </c>
      <c r="U16" s="178" t="str">
        <f>VLOOKUP(VLOOKUP(Q16,坦克个性化设定!$B$18:$F$48,4,FALSE)&amp;S16,坦克等级成长!$P$12:$U$24,MATCH(T16,坦克等级成长!$P$12:$U$12,0),FALSE)</f>
        <v>T4低4</v>
      </c>
      <c r="V16" s="96">
        <f ca="1">VLOOKUP($U16,INDIRECT($R16&amp;"_阶段属性"),MATCH(V$3,属性标头_阶段属性,0),FALSE)*VLOOKUP($Q16,坦克个性化设定!$B$84:$D$114,2,FALSE)</f>
        <v>1451.961842772984</v>
      </c>
      <c r="W16" s="96">
        <f ca="1">VLOOKUP($U16,INDIRECT($R16&amp;"_阶段属性"),MATCH(W$3,属性标头_阶段属性,0),FALSE)*VLOOKUP($Q16,坦克个性化设定!$B$84:$D$114,3,FALSE)</f>
        <v>95.958120109587185</v>
      </c>
      <c r="X16" s="131">
        <f t="shared" ca="1" si="13"/>
        <v>570</v>
      </c>
      <c r="Y16" s="131">
        <f t="shared" ca="1" si="13"/>
        <v>399</v>
      </c>
      <c r="Z16" s="131">
        <f t="shared" ca="1" si="13"/>
        <v>570</v>
      </c>
      <c r="AA16" s="131">
        <f t="shared" ca="1" si="13"/>
        <v>152</v>
      </c>
      <c r="AC16" s="195">
        <v>13</v>
      </c>
      <c r="AD16" s="193" t="str">
        <f t="shared" si="7"/>
        <v>四号</v>
      </c>
      <c r="AE16" s="195">
        <f>VLOOKUP($AD16,坦克个性化细分!$I$3:$P$33,MATCH(AE$3,坦克个性化细分!$I$3:$P$3,0),FALSE)</f>
        <v>36.299999999999997</v>
      </c>
      <c r="AF16" s="195">
        <f>VLOOKUP($AD16,坦克个性化细分!$I$3:$P$33,MATCH(AF$3,坦克个性化细分!$I$3:$P$3,0),FALSE)</f>
        <v>51</v>
      </c>
      <c r="AG16" s="195">
        <f>VLOOKUP($AD16,坦克个性化细分!$I$3:$P$33,MATCH(AG$3,坦克个性化细分!$I$3:$P$3,0),FALSE)</f>
        <v>11.3</v>
      </c>
      <c r="AH16" s="206">
        <f>VLOOKUP(AD16,坦克个性化细分!$AA$3:$AP$33,MATCH("射击偏移角",坦克个性化细分!$AA$3:$AP$3,0),FALSE)/VLOOKUP(AD16,坦克个性化细分!$AA$3:$AP$33,MATCH("原瞄准速度",坦克个性化细分!$AA$3:$AP$3,0),FALSE)</f>
        <v>2.4</v>
      </c>
      <c r="AI16" s="206">
        <f>VLOOKUP(AD16,坦克个性化细分!$AA$3:$AP$33,MATCH(AI$3,坦克个性化细分!$AA$3:$AP$3,0),FALSE)</f>
        <v>0</v>
      </c>
      <c r="AJ16" s="462">
        <f>VLOOKUP(AD16,坦克个性化细分!$AA$3:$AP$33,MATCH("原换弹时间",坦克个性化细分!$AA$3:$AP$3,0),FALSE)</f>
        <v>4.5</v>
      </c>
      <c r="AK16" s="208"/>
      <c r="AL16" s="195">
        <v>13</v>
      </c>
      <c r="AM16" s="193" t="str">
        <f t="shared" si="8"/>
        <v>四号</v>
      </c>
      <c r="AN16" s="206">
        <f>VLOOKUP(AM16,坦克个性化细分!$I$3:$P$33,MATCH("养成区间1",坦克个性化细分!$I$3:$P$3,0),FALSE)</f>
        <v>9.0749999999999957</v>
      </c>
      <c r="AO16" s="462">
        <f>VLOOKUP(AM16,坦克个性化细分!$I$3:$P$33,MATCH("养成区间2",坦克个性化细分!$I$3:$P$3,0),FALSE)</f>
        <v>12.749999999999996</v>
      </c>
      <c r="AP16" s="462">
        <f>VLOOKUP(AM16,坦克个性化细分!$I$3:$P$33,MATCH("养成区间3",坦克个性化细分!$I$3:$P$3,0),FALSE)</f>
        <v>3.69</v>
      </c>
      <c r="AQ16" s="206">
        <f>VLOOKUP(AM16,坦克个性化细分!$AA$3:$AP$33,MATCH("瞄准区间",坦克个性化细分!$AA$3:$AP$3,0),FALSE)</f>
        <v>0.39999999999999991</v>
      </c>
      <c r="AR16" s="206">
        <f>VLOOKUP(AD16,坦克个性化细分!$AA$3:$AP$33,MATCH("后射击间隔",坦克个性化细分!$AA$3:$AP$3,0),FALSE)-VLOOKUP(AD16,坦克个性化细分!$AA$3:$AP$33,MATCH(AI$3,坦克个性化细分!$AA$3:$AP$3,0),FALSE)</f>
        <v>0</v>
      </c>
      <c r="AS16" s="206">
        <f>VLOOKUP(AM16,坦克个性化细分!$AA$3:$AP$33,MATCH("换弹区间",坦克个性化细分!$AA$3:$AP$3,0),FALSE)</f>
        <v>1.0973534971644616</v>
      </c>
      <c r="AT16" s="208"/>
      <c r="AU16" s="364" t="str">
        <f t="shared" si="9"/>
        <v>Puma0</v>
      </c>
      <c r="AV16" s="183">
        <f>IF(AY15&gt;=VLOOKUP(VLOOKUP(AW15,坦克个性化设定!$B$18:$E$48,4,FALSE)&amp;AX15,坦克属性分配比例,MATCH("升星次数",坦克属性分配比例标头,0),FALSE),AV15+1,AV15)</f>
        <v>3</v>
      </c>
      <c r="AW16" s="131" t="str">
        <f t="shared" si="10"/>
        <v>Puma</v>
      </c>
      <c r="AX16" s="177" t="str">
        <f>VLOOKUP(AW16,坦克个性化细分!$I$3:$J$33,2,FALSE)</f>
        <v>中</v>
      </c>
      <c r="AY16" s="183">
        <f t="shared" si="1"/>
        <v>0</v>
      </c>
      <c r="AZ16" s="486">
        <f ca="1">ROUND(VLOOKUP($AW16&amp;"初始",$O$3:$AA$63,MATCH(AZ$3,$O$3:$AA$3,0),FALSE)+((VLOOKUP($AW16&amp;"最终",$O$3:$AA$63,MATCH(AZ$3,$O$3:$AA$3,0),FALSE)*坦克个性化细分!$C$9-VLOOKUP($AW16&amp;"初始",$O$3:$AA$63,MATCH(AZ$3,$O$3:$AA$3,0),FALSE))-(VLOOKUP($AW16&amp;"最终",$O$3:$AA$63,MATCH(AZ$3,$O$3:$AA$3,0),FALSE)-VLOOKUP($AW16&amp;"初始",$O$3:$AA$63,MATCH(AZ$3,$O$3:$AA$3,0),FALSE))*VLOOKUP(VLOOKUP($AW16,坦克个性化设定!$B$18:$E$48,4,FALSE)&amp;$AX16,坦克属性分配比例,MATCH("部件比例",坦克属性分配比例标头,0),FALSE))*$AY16/VLOOKUP(VLOOKUP($AW16,坦克个性化设定!$B$18:$E$48,4,FALSE)&amp;$AX16,坦克属性分配比例,MATCH("升星次数",坦克属性分配比例标头,0),FALSE),0)</f>
        <v>1062</v>
      </c>
      <c r="BA16" s="426">
        <f ca="1">ROUND(VLOOKUP($AW16&amp;"初始",$O$3:$AA$63,MATCH(BA$3,$O$3:$AA$3,0),FALSE)+(VLOOKUP($AW16&amp;"最终",$O$3:$AA$63,MATCH(BA$3,$O$3:$AA$3,0),FALSE)-VLOOKUP($AW16&amp;"初始",$O$3:$AA$63,MATCH(BA$3,$O$3:$AA$3,0),FALSE))*$AY16/VLOOKUP(VLOOKUP($AW16,坦克个性化设定!$B$18:$E$48,4,FALSE)&amp;$AX16,坦克属性分配比例,MATCH("升星次数",坦克属性分配比例标头,0),FALSE)*VLOOKUP(VLOOKUP($AW16,坦克个性化设定!$B$18:$E$48,4,FALSE)&amp;$AX16,坦克属性分配比例,MATCH("升星比例",坦克属性分配比例标头,0),FALSE),0)</f>
        <v>47</v>
      </c>
      <c r="BB16" s="486">
        <f ca="1">ROUND(VLOOKUP($AW16&amp;"初始",$O$3:$AA$63,MATCH(BB$3,$O$3:$AA$3,0),FALSE)+(VLOOKUP($AW16&amp;"最终",$O$3:$AA$63,MATCH(BB$3,$O$3:$AA$3,0),FALSE)-VLOOKUP($AW16&amp;"初始",$O$3:$AA$63,MATCH(BB$3,$O$3:$AA$3,0),FALSE))*$AY16/VLOOKUP(VLOOKUP($AW16,坦克个性化设定!$B$18:$E$48,4,FALSE)&amp;$AX16,坦克属性分配比例,MATCH("升星次数",坦克属性分配比例标头,0),FALSE)*(VLOOKUP(VLOOKUP($AW16,坦克个性化设定!$B$18:$E$48,4,FALSE)&amp;$AX16,坦克属性分配比例,MATCH("升星比例",坦克属性分配比例标头,0),FALSE)+VLOOKUP(VLOOKUP($AW16,坦克个性化设定!$B$18:$E$48,4,FALSE)&amp;$AX16,坦克属性分配比例,MATCH("部件比例",坦克属性分配比例标头,0),FALSE)*$C$3),0)</f>
        <v>369</v>
      </c>
      <c r="BC16" s="486">
        <f ca="1">ROUND(VLOOKUP($AW16&amp;"初始",$O$3:$AA$63,MATCH(BC$3,$O$3:$AA$3,0),FALSE)+(VLOOKUP($AW16&amp;"最终",$O$3:$AA$63,MATCH(BC$3,$O$3:$AA$3,0),FALSE)-VLOOKUP($AW16&amp;"初始",$O$3:$AA$63,MATCH(BC$3,$O$3:$AA$3,0),FALSE))*$AY16/VLOOKUP(VLOOKUP($AW16,坦克个性化设定!$B$18:$E$48,4,FALSE)&amp;$AX16,坦克属性分配比例,MATCH("升星次数",坦克属性分配比例标头,0),FALSE)*(VLOOKUP(VLOOKUP($AW16,坦克个性化设定!$B$18:$E$48,4,FALSE)&amp;$AX16,坦克属性分配比例,MATCH("升星比例",坦克属性分配比例标头,0),FALSE)+VLOOKUP(VLOOKUP($AW16,坦克个性化设定!$B$18:$E$48,4,FALSE)&amp;$AX16,坦克属性分配比例,MATCH("部件比例",坦克属性分配比例标头,0),FALSE)*$C$3),0)</f>
        <v>258</v>
      </c>
      <c r="BD16" s="426">
        <f ca="1">ROUND(VLOOKUP($AW16&amp;"初始",$O$3:$AA$63,MATCH(BD$3,$O$3:$AA$3,0),FALSE)+(VLOOKUP($AW16&amp;"最终",$O$3:$AA$63,MATCH(BD$3,$O$3:$AA$3,0),FALSE)-VLOOKUP($AW16&amp;"初始",$O$3:$AA$63,MATCH(BD$3,$O$3:$AA$3,0),FALSE))*$AY16/VLOOKUP(VLOOKUP($AW16,坦克个性化设定!$B$18:$E$48,4,FALSE)&amp;$AX16,坦克属性分配比例,MATCH("升星次数",坦克属性分配比例标头,0),FALSE)*VLOOKUP(VLOOKUP($AW16,坦克个性化设定!$B$18:$E$48,4,FALSE)&amp;$AX16,坦克属性分配比例,MATCH("升星比例",坦克属性分配比例标头,0),FALSE),0)</f>
        <v>369</v>
      </c>
      <c r="BE16" s="426">
        <f ca="1">ROUND(VLOOKUP($AW16&amp;"初始",$O$3:$AA$63,MATCH(BE$3,$O$3:$AA$3,0),FALSE)+(VLOOKUP($AW16&amp;"最终",$O$3:$AA$63,MATCH(BE$3,$O$3:$AA$3,0),FALSE)-VLOOKUP($AW16&amp;"初始",$O$3:$AA$63,MATCH(BE$3,$O$3:$AA$3,0),FALSE))*$AY16/VLOOKUP(VLOOKUP($AW16,坦克个性化设定!$B$18:$E$48,4,FALSE)&amp;$AX16,坦克属性分配比例,MATCH("升星次数",坦克属性分配比例标头,0),FALSE),0)</f>
        <v>98</v>
      </c>
      <c r="BF16" s="462">
        <f>ROUND(VLOOKUP($AW16,$AD$3:$AJ$33,MATCH(BF$3,$AD$3:$AJ$3,0),FALSE)+$AY16/VLOOKUP(VLOOKUP($AW16,坦克个性化设定!$B$18:$E$48,4,FALSE)&amp;$AX16,坦克属性分配比例,MATCH("升星次数",坦克属性分配比例标头,0),FALSE)*VLOOKUP($AW16,$AM$3:$AS$33,MATCH(BF$3,$AM$3:$AS$3,0),FALSE),1)</f>
        <v>43.3</v>
      </c>
      <c r="BG16" s="462">
        <f>ROUND(VLOOKUP($AW16,$AD$3:$AJ$33,MATCH(BG$3,$AD$3:$AJ$3,0),FALSE)+$AY16/VLOOKUP(VLOOKUP($AW16,坦克个性化设定!$B$18:$E$48,4,FALSE)&amp;$AX16,坦克属性分配比例,MATCH("升星次数",坦克属性分配比例标头,0),FALSE)*VLOOKUP($AW16,$AM$3:$AS$33,MATCH(BG$3,$AM$3:$AS$3,0),FALSE),1)</f>
        <v>51</v>
      </c>
      <c r="BH16" s="462">
        <f>ROUND(VLOOKUP($AW16,$AD$3:$AJ$33,MATCH(BH$3,$AD$3:$AJ$3,0),FALSE)+$AY16/VLOOKUP(VLOOKUP($AW16,坦克个性化设定!$B$18:$E$48,4,FALSE)&amp;$AX16,坦克属性分配比例,MATCH("升星次数",坦克属性分配比例标头,0),FALSE)*VLOOKUP($AW16,$AM$3:$AS$33,MATCH(BH$3,$AM$3:$AS$3,0),FALSE),1)</f>
        <v>14.1</v>
      </c>
      <c r="BI16" s="462">
        <f>IF(VLOOKUP(AW16,坦克个性化设定!$B$18:$BB$48,MATCH("装弹类型",坦克个性化设定!$B$18:$BB$18,0),FALSE)="弹夹换弹",0,ROUND(VLOOKUP($AW16,$AD$3:$AJ$33,MATCH("换弹时间",$AD$3:$AJ$3,0),FALSE)-$AY16/VLOOKUP(VLOOKUP($AW16,坦克个性化设定!$B$18:$E$48,4,FALSE)&amp;$AX16,坦克属性分配比例,MATCH("升星次数",坦克属性分配比例标头,0),FALSE)*VLOOKUP($AW16,$AM$3:$AS$33,MATCH("换弹时间",$AM$3:$AS$3,0),FALSE),2))</f>
        <v>1.05</v>
      </c>
      <c r="BJ16" s="462">
        <f>IF(VLOOKUP(AW16,坦克个性化设定!$B$18:$BB$48,MATCH("装弹类型",坦克个性化设定!$B$18:$BB$18,0),FALSE)="弹夹换弹",ROUND(VLOOKUP($AW16,$AD$3:$AJ$33,MATCH("换弹时间",$AD$3:$AJ$3,0),FALSE)-$AY16/VLOOKUP(VLOOKUP($AW16,坦克个性化设定!$B$18:$E$48,4,FALSE)&amp;$AX16,坦克属性分配比例,MATCH("升星次数",坦克属性分配比例标头,0),FALSE)*VLOOKUP($AW16,$AM$3:$AS$33,MATCH("换弹时间",$AM$3:$AS$3,0),FALSE),1),0)</f>
        <v>0</v>
      </c>
      <c r="BK16" s="462">
        <f>ROUND(VLOOKUP($AW16,$AD$3:$AJ$33,MATCH(BK$3,$AD$3:$AJ$3,0),FALSE)+$AY16/VLOOKUP(VLOOKUP($AW16,坦克个性化设定!$B$18:$E$48,4,FALSE)&amp;$AX16,坦克属性分配比例,MATCH("升星次数",坦克属性分配比例标头,0),FALSE)*VLOOKUP($AW16,$AM$3:$AS$33,MATCH(BK$3,$AM$3:$AS$3,0),FALSE),2)</f>
        <v>0.4</v>
      </c>
      <c r="BL16" s="462">
        <f>ROUND(VLOOKUP($AW16,$AD$3:$AJ$33,MATCH(BL$3,$AD$3:$AJ$3,0),FALSE)-$AY16/VLOOKUP(VLOOKUP($AW16,坦克个性化设定!$B$18:$E$48,4,FALSE)&amp;$AX16,坦克属性分配比例,MATCH("升星次数",坦克属性分配比例标头,0),FALSE)*VLOOKUP($AW16,$AM$3:$AS$33,MATCH(BL$3,$AM$3:$AS$3,0),FALSE),2)</f>
        <v>1.23</v>
      </c>
      <c r="BN16" s="183">
        <v>13</v>
      </c>
      <c r="BO16" s="131" t="str">
        <f t="shared" si="11"/>
        <v>四号</v>
      </c>
      <c r="BP16" s="131" t="str">
        <f>VLOOKUP(BO16,坦克个性化设定!$B$18:$F$48,5,FALSE)</f>
        <v>中坦单发</v>
      </c>
      <c r="BQ16" s="177" t="str">
        <f>VLOOKUP(BO16,坦克个性化细分!$I$3:$J$33,2,FALSE)</f>
        <v>中</v>
      </c>
      <c r="BR16" s="96">
        <f ca="1">(VLOOKUP($BO16&amp;"最终",$O$3:$AA$63,MATCH(BR$3,$O$3:$AA$3,0),FALSE)-VLOOKUP($BO16&amp;"初始",$O$3:$AA$63,MATCH(BR$3,$O$3:$AA$3,0),FALSE))*VLOOKUP(VLOOKUP($BO16,坦克个性化设定!$B$18:$E$48,4,FALSE)&amp;$BQ16,坦克属性分配比例,MATCH("部件比例",坦克属性分配比例标头,0),FALSE)</f>
        <v>312.71681355910982</v>
      </c>
      <c r="BS16" s="96">
        <f ca="1">(VLOOKUP($BO16&amp;"最终",$O$3:$AA$63,MATCH(BS$3,$O$3:$AA$3,0),FALSE)-VLOOKUP($BO16&amp;"初始",$O$3:$AA$63,MATCH(BS$3,$O$3:$AA$3,0),FALSE))*VLOOKUP(VLOOKUP($BO16,坦克个性化设定!$B$18:$E$48,4,FALSE)&amp;$BQ16,坦克属性分配比例,MATCH("部件比例",坦克属性分配比例标头,0),FALSE)</f>
        <v>60.128327420998197</v>
      </c>
      <c r="BT16" s="96">
        <f ca="1">(VLOOKUP($BO16&amp;"最终",$O$3:$AA$63,MATCH(BT$3,$O$3:$AA$3,0),FALSE)-VLOOKUP($BO16&amp;"初始",$O$3:$AA$63,MATCH(BT$3,$O$3:$AA$3,0),FALSE))*VLOOKUP(VLOOKUP($BO16,坦克个性化设定!$B$18:$E$48,4,FALSE)&amp;$BQ16,坦克属性分配比例,MATCH("部件比例",坦克属性分配比例标头,0),FALSE)*(1-$C$3)</f>
        <v>48.802158620689646</v>
      </c>
      <c r="BU16" s="96">
        <f ca="1">(VLOOKUP($BO16&amp;"最终",$O$3:$AA$63,MATCH(BU$3,$O$3:$AA$3,0),FALSE)-VLOOKUP($BO16&amp;"初始",$O$3:$AA$63,MATCH(BU$3,$O$3:$AA$3,0),FALSE))*VLOOKUP(VLOOKUP($BO16,坦克个性化设定!$B$18:$E$48,4,FALSE)&amp;$BQ16,坦克属性分配比例,MATCH("部件比例",坦克属性分配比例标头,0),FALSE)*(1-$C$3)</f>
        <v>36.633641379310333</v>
      </c>
      <c r="BV16" s="96">
        <f ca="1">(VLOOKUP($BO16&amp;"最终",$O$3:$AA$63,MATCH(BV$3,$O$3:$AA$3,0),FALSE)-VLOOKUP($BO16&amp;"初始",$O$3:$AA$63,MATCH(BV$3,$O$3:$AA$3,0),FALSE))*VLOOKUP(VLOOKUP($BO16,坦克个性化设定!$B$18:$E$48,4,FALSE)&amp;$BQ16,坦克属性分配比例,MATCH("部件比例",坦克属性分配比例标头,0),FALSE)</f>
        <v>133.53346551724132</v>
      </c>
    </row>
    <row r="17" spans="2:74" x14ac:dyDescent="0.35">
      <c r="B17" s="137">
        <v>12</v>
      </c>
      <c r="C17" s="176" t="str">
        <f>坦克个性化设定!B30</f>
        <v>T-34</v>
      </c>
      <c r="D17" s="84"/>
      <c r="E17" s="84"/>
      <c r="F17" s="84"/>
      <c r="G17" s="84"/>
      <c r="H17" s="84"/>
      <c r="I17" s="84"/>
      <c r="J17" s="84"/>
      <c r="K17" s="84"/>
      <c r="L17" s="84"/>
      <c r="M17" s="84"/>
      <c r="N17" s="84"/>
      <c r="O17" s="426" t="str">
        <f t="shared" si="5"/>
        <v>霞飞最终</v>
      </c>
      <c r="P17" s="137">
        <f>IF(COUNTIF(Q$4:Q16,Q16)&gt;=$B$3,P16+1,P16)</f>
        <v>7</v>
      </c>
      <c r="Q17" s="131" t="str">
        <f t="shared" si="6"/>
        <v>霞飞</v>
      </c>
      <c r="R17" s="131" t="str">
        <f>VLOOKUP(Q17,坦克个性化设定!$B$18:$F$48,5,FALSE)</f>
        <v>轻坦半自动</v>
      </c>
      <c r="S17" s="177" t="str">
        <f>VLOOKUP(Q17,坦克个性化细分!$I$3:$J$33,2,FALSE)</f>
        <v>低</v>
      </c>
      <c r="T17" s="137" t="str">
        <f t="shared" si="12"/>
        <v>最终</v>
      </c>
      <c r="U17" s="178" t="str">
        <f>VLOOKUP(VLOOKUP(Q17,坦克个性化设定!$B$18:$F$48,4,FALSE)&amp;S17,坦克等级成长!$P$12:$U$24,MATCH(T17,坦克等级成长!$P$12:$U$12,0),FALSE)</f>
        <v>T4低5</v>
      </c>
      <c r="V17" s="96">
        <f ca="1">VLOOKUP($U17,INDIRECT($R17&amp;"_阶段属性"),MATCH(V$3,属性标头_阶段属性,0),FALSE)*VLOOKUP($Q17,坦克个性化设定!$B$84:$D$114,2,FALSE)</f>
        <v>2216.1522863377127</v>
      </c>
      <c r="W17" s="96">
        <f ca="1">VLOOKUP($U17,INDIRECT($R17&amp;"_阶段属性"),MATCH(W$3,属性标头_阶段属性,0),FALSE)*VLOOKUP($Q17,坦克个性化设定!$B$84:$D$114,3,FALSE)</f>
        <v>147.13578416803367</v>
      </c>
      <c r="X17" s="131">
        <f t="shared" ca="1" si="13"/>
        <v>870</v>
      </c>
      <c r="Y17" s="131">
        <f t="shared" ca="1" si="13"/>
        <v>609</v>
      </c>
      <c r="Z17" s="131">
        <f t="shared" ca="1" si="13"/>
        <v>870</v>
      </c>
      <c r="AA17" s="131">
        <f t="shared" ca="1" si="13"/>
        <v>232</v>
      </c>
      <c r="AC17" s="195">
        <v>14</v>
      </c>
      <c r="AD17" s="193" t="str">
        <f t="shared" si="7"/>
        <v>玛蒂尔达</v>
      </c>
      <c r="AE17" s="195">
        <f>VLOOKUP($AD17,坦克个性化细分!$I$3:$P$33,MATCH(AE$3,坦克个性化细分!$I$3:$P$3,0),FALSE)</f>
        <v>44.5</v>
      </c>
      <c r="AF17" s="195">
        <f>VLOOKUP($AD17,坦克个性化细分!$I$3:$P$33,MATCH(AF$3,坦克个性化细分!$I$3:$P$3,0),FALSE)</f>
        <v>40</v>
      </c>
      <c r="AG17" s="195">
        <f>VLOOKUP($AD17,坦克个性化细分!$I$3:$P$33,MATCH(AG$3,坦克个性化细分!$I$3:$P$3,0),FALSE)</f>
        <v>12.3</v>
      </c>
      <c r="AH17" s="206">
        <f>VLOOKUP(AD17,坦克个性化细分!$AA$3:$AP$33,MATCH("射击偏移角",坦克个性化细分!$AA$3:$AP$3,0),FALSE)/VLOOKUP(AD17,坦克个性化细分!$AA$3:$AP$33,MATCH("原瞄准速度",坦克个性化细分!$AA$3:$AP$3,0),FALSE)</f>
        <v>1.1499999999999999</v>
      </c>
      <c r="AI17" s="206">
        <f>VLOOKUP(AD17,坦克个性化细分!$AA$3:$AP$33,MATCH(AI$3,坦克个性化细分!$AA$3:$AP$3,0),FALSE)</f>
        <v>0.72</v>
      </c>
      <c r="AJ17" s="462">
        <f>VLOOKUP(AD17,坦克个性化细分!$AA$3:$AP$33,MATCH("原换弹时间",坦克个性化细分!$AA$3:$AP$3,0),FALSE)</f>
        <v>3</v>
      </c>
      <c r="AK17" s="208"/>
      <c r="AL17" s="195">
        <v>14</v>
      </c>
      <c r="AM17" s="193" t="str">
        <f t="shared" si="8"/>
        <v>玛蒂尔达</v>
      </c>
      <c r="AN17" s="206">
        <f>VLOOKUP(AM17,坦克个性化细分!$I$3:$P$33,MATCH("养成区间1",坦克个性化细分!$I$3:$P$3,0),FALSE)</f>
        <v>11.124999999999998</v>
      </c>
      <c r="AO17" s="462">
        <f>VLOOKUP(AM17,坦克个性化细分!$I$3:$P$33,MATCH("养成区间2",坦克个性化细分!$I$3:$P$3,0),FALSE)</f>
        <v>9.9999999999999982</v>
      </c>
      <c r="AP17" s="462">
        <f>VLOOKUP(AM17,坦克个性化细分!$I$3:$P$33,MATCH("养成区间3",坦克个性化细分!$I$3:$P$3,0),FALSE)</f>
        <v>4.0199999999999996</v>
      </c>
      <c r="AQ17" s="206">
        <f>VLOOKUP(AM17,坦克个性化细分!$AA$3:$AP$33,MATCH("瞄准区间",坦克个性化细分!$AA$3:$AP$3,0),FALSE)</f>
        <v>0.19166666666666665</v>
      </c>
      <c r="AR17" s="206">
        <f>VLOOKUP(AD17,坦克个性化细分!$AA$3:$AP$33,MATCH("后射击间隔",坦克个性化细分!$AA$3:$AP$3,0),FALSE)-VLOOKUP(AD17,坦克个性化细分!$AA$3:$AP$33,MATCH(AI$3,坦克个性化细分!$AA$3:$AP$3,0),FALSE)</f>
        <v>-0.12</v>
      </c>
      <c r="AS17" s="206">
        <f>VLOOKUP(AM17,坦克个性化细分!$AA$3:$AP$33,MATCH("换弹区间",坦克个性化细分!$AA$3:$AP$3,0),FALSE)</f>
        <v>1.0039840637450199</v>
      </c>
      <c r="AT17" s="208"/>
      <c r="AU17" s="364" t="str">
        <f t="shared" si="9"/>
        <v>Puma1</v>
      </c>
      <c r="AV17" s="183">
        <f>IF(AY16&gt;=VLOOKUP(VLOOKUP(AW16,坦克个性化设定!$B$18:$E$48,4,FALSE)&amp;AX16,坦克属性分配比例,MATCH("升星次数",坦克属性分配比例标头,0),FALSE),AV16+1,AV16)</f>
        <v>3</v>
      </c>
      <c r="AW17" s="131" t="str">
        <f t="shared" si="10"/>
        <v>Puma</v>
      </c>
      <c r="AX17" s="177" t="str">
        <f>VLOOKUP(AW17,坦克个性化细分!$I$3:$J$33,2,FALSE)</f>
        <v>中</v>
      </c>
      <c r="AY17" s="183">
        <f t="shared" si="1"/>
        <v>1</v>
      </c>
      <c r="AZ17" s="486">
        <f ca="1">ROUND(VLOOKUP($AW17&amp;"初始",$O$3:$AA$63,MATCH(AZ$3,$O$3:$AA$3,0),FALSE)+((VLOOKUP($AW17&amp;"最终",$O$3:$AA$63,MATCH(AZ$3,$O$3:$AA$3,0),FALSE)*坦克个性化细分!$C$9-VLOOKUP($AW17&amp;"初始",$O$3:$AA$63,MATCH(AZ$3,$O$3:$AA$3,0),FALSE))-(VLOOKUP($AW17&amp;"最终",$O$3:$AA$63,MATCH(AZ$3,$O$3:$AA$3,0),FALSE)-VLOOKUP($AW17&amp;"初始",$O$3:$AA$63,MATCH(AZ$3,$O$3:$AA$3,0),FALSE))*VLOOKUP(VLOOKUP($AW17,坦克个性化设定!$B$18:$E$48,4,FALSE)&amp;$AX17,坦克属性分配比例,MATCH("部件比例",坦克属性分配比例标头,0),FALSE))*$AY17/VLOOKUP(VLOOKUP($AW17,坦克个性化设定!$B$18:$E$48,4,FALSE)&amp;$AX17,坦克属性分配比例,MATCH("升星次数",坦克属性分配比例标头,0),FALSE),0)</f>
        <v>1180</v>
      </c>
      <c r="BA17" s="426">
        <f ca="1">ROUND(VLOOKUP($AW17&amp;"初始",$O$3:$AA$63,MATCH(BA$3,$O$3:$AA$3,0),FALSE)+(VLOOKUP($AW17&amp;"最终",$O$3:$AA$63,MATCH(BA$3,$O$3:$AA$3,0),FALSE)-VLOOKUP($AW17&amp;"初始",$O$3:$AA$63,MATCH(BA$3,$O$3:$AA$3,0),FALSE))*$AY17/VLOOKUP(VLOOKUP($AW17,坦克个性化设定!$B$18:$E$48,4,FALSE)&amp;$AX17,坦克属性分配比例,MATCH("升星次数",坦克属性分配比例标头,0),FALSE)*VLOOKUP(VLOOKUP($AW17,坦克个性化设定!$B$18:$E$48,4,FALSE)&amp;$AX17,坦克属性分配比例,MATCH("升星比例",坦克属性分配比例标头,0),FALSE),0)</f>
        <v>49</v>
      </c>
      <c r="BB17" s="486">
        <f ca="1">ROUND(VLOOKUP($AW17&amp;"初始",$O$3:$AA$63,MATCH(BB$3,$O$3:$AA$3,0),FALSE)+(VLOOKUP($AW17&amp;"最终",$O$3:$AA$63,MATCH(BB$3,$O$3:$AA$3,0),FALSE)-VLOOKUP($AW17&amp;"初始",$O$3:$AA$63,MATCH(BB$3,$O$3:$AA$3,0),FALSE))*$AY17/VLOOKUP(VLOOKUP($AW17,坦克个性化设定!$B$18:$E$48,4,FALSE)&amp;$AX17,坦克属性分配比例,MATCH("升星次数",坦克属性分配比例标头,0),FALSE)*(VLOOKUP(VLOOKUP($AW17,坦克个性化设定!$B$18:$E$48,4,FALSE)&amp;$AX17,坦克属性分配比例,MATCH("升星比例",坦克属性分配比例标头,0),FALSE)+VLOOKUP(VLOOKUP($AW17,坦克个性化设定!$B$18:$E$48,4,FALSE)&amp;$AX17,坦克属性分配比例,MATCH("部件比例",坦克属性分配比例标头,0),FALSE)*$C$3),0)</f>
        <v>397</v>
      </c>
      <c r="BC17" s="486">
        <f ca="1">ROUND(VLOOKUP($AW17&amp;"初始",$O$3:$AA$63,MATCH(BC$3,$O$3:$AA$3,0),FALSE)+(VLOOKUP($AW17&amp;"最终",$O$3:$AA$63,MATCH(BC$3,$O$3:$AA$3,0),FALSE)-VLOOKUP($AW17&amp;"初始",$O$3:$AA$63,MATCH(BC$3,$O$3:$AA$3,0),FALSE))*$AY17/VLOOKUP(VLOOKUP($AW17,坦克个性化设定!$B$18:$E$48,4,FALSE)&amp;$AX17,坦克属性分配比例,MATCH("升星次数",坦克属性分配比例标头,0),FALSE)*(VLOOKUP(VLOOKUP($AW17,坦克个性化设定!$B$18:$E$48,4,FALSE)&amp;$AX17,坦克属性分配比例,MATCH("升星比例",坦克属性分配比例标头,0),FALSE)+VLOOKUP(VLOOKUP($AW17,坦克个性化设定!$B$18:$E$48,4,FALSE)&amp;$AX17,坦克属性分配比例,MATCH("部件比例",坦克属性分配比例标头,0),FALSE)*$C$3),0)</f>
        <v>277</v>
      </c>
      <c r="BD17" s="426">
        <f ca="1">ROUND(VLOOKUP($AW17&amp;"初始",$O$3:$AA$63,MATCH(BD$3,$O$3:$AA$3,0),FALSE)+(VLOOKUP($AW17&amp;"最终",$O$3:$AA$63,MATCH(BD$3,$O$3:$AA$3,0),FALSE)-VLOOKUP($AW17&amp;"初始",$O$3:$AA$63,MATCH(BD$3,$O$3:$AA$3,0),FALSE))*$AY17/VLOOKUP(VLOOKUP($AW17,坦克个性化设定!$B$18:$E$48,4,FALSE)&amp;$AX17,坦克属性分配比例,MATCH("升星次数",坦克属性分配比例标头,0),FALSE)*VLOOKUP(VLOOKUP($AW17,坦克个性化设定!$B$18:$E$48,4,FALSE)&amp;$AX17,坦克属性分配比例,MATCH("升星比例",坦克属性分配比例标头,0),FALSE),0)</f>
        <v>391</v>
      </c>
      <c r="BE17" s="426">
        <f ca="1">ROUND(VLOOKUP($AW17&amp;"初始",$O$3:$AA$63,MATCH(BE$3,$O$3:$AA$3,0),FALSE)+(VLOOKUP($AW17&amp;"最终",$O$3:$AA$63,MATCH(BE$3,$O$3:$AA$3,0),FALSE)-VLOOKUP($AW17&amp;"初始",$O$3:$AA$63,MATCH(BE$3,$O$3:$AA$3,0),FALSE))*$AY17/VLOOKUP(VLOOKUP($AW17,坦克个性化设定!$B$18:$E$48,4,FALSE)&amp;$AX17,坦克属性分配比例,MATCH("升星次数",坦克属性分配比例标头,0),FALSE),0)</f>
        <v>106</v>
      </c>
      <c r="BF17" s="462">
        <f>ROUND(VLOOKUP($AW17,$AD$3:$AJ$33,MATCH(BF$3,$AD$3:$AJ$3,0),FALSE)+$AY17/VLOOKUP(VLOOKUP($AW17,坦克个性化设定!$B$18:$E$48,4,FALSE)&amp;$AX17,坦克属性分配比例,MATCH("升星次数",坦克属性分配比例标头,0),FALSE)*VLOOKUP($AW17,$AM$3:$AS$33,MATCH(BF$3,$AM$3:$AS$3,0),FALSE),1)</f>
        <v>44.3</v>
      </c>
      <c r="BG17" s="462">
        <f>ROUND(VLOOKUP($AW17,$AD$3:$AJ$33,MATCH(BG$3,$AD$3:$AJ$3,0),FALSE)+$AY17/VLOOKUP(VLOOKUP($AW17,坦克个性化设定!$B$18:$E$48,4,FALSE)&amp;$AX17,坦克属性分配比例,MATCH("升星次数",坦克属性分配比例标头,0),FALSE)*VLOOKUP($AW17,$AM$3:$AS$33,MATCH(BG$3,$AM$3:$AS$3,0),FALSE),1)</f>
        <v>52.2</v>
      </c>
      <c r="BH17" s="462">
        <f>ROUND(VLOOKUP($AW17,$AD$3:$AJ$33,MATCH(BH$3,$AD$3:$AJ$3,0),FALSE)+$AY17/VLOOKUP(VLOOKUP($AW17,坦克个性化设定!$B$18:$E$48,4,FALSE)&amp;$AX17,坦克属性分配比例,MATCH("升星次数",坦克属性分配比例标头,0),FALSE)*VLOOKUP($AW17,$AM$3:$AS$33,MATCH(BH$3,$AM$3:$AS$3,0),FALSE),1)</f>
        <v>14.5</v>
      </c>
      <c r="BI17" s="654">
        <f>IF(VLOOKUP(AW17,坦克个性化设定!$B$18:$BB$48,MATCH("装弹类型",坦克个性化设定!$B$18:$BB$18,0),FALSE)="弹夹换弹",0,ROUND(VLOOKUP($AW17,$AD$3:$AJ$33,MATCH("换弹时间",$AD$3:$AJ$3,0),FALSE)-$AY17/VLOOKUP(VLOOKUP($AW17,坦克个性化设定!$B$18:$E$48,4,FALSE)&amp;$AX17,坦克属性分配比例,MATCH("升星次数",坦克属性分配比例标头,0),FALSE)*VLOOKUP($AW17,$AM$3:$AS$33,MATCH("换弹时间",$AM$3:$AS$3,0),FALSE),2))</f>
        <v>1.03</v>
      </c>
      <c r="BJ17" s="462">
        <f>IF(VLOOKUP(AW17,坦克个性化设定!$B$18:$BB$48,MATCH("装弹类型",坦克个性化设定!$B$18:$BB$18,0),FALSE)="弹夹换弹",ROUND(VLOOKUP($AW17,$AD$3:$AJ$33,MATCH("换弹时间",$AD$3:$AJ$3,0),FALSE)-$AY17/VLOOKUP(VLOOKUP($AW17,坦克个性化设定!$B$18:$E$48,4,FALSE)&amp;$AX17,坦克属性分配比例,MATCH("升星次数",坦克属性分配比例标头,0),FALSE)*VLOOKUP($AW17,$AM$3:$AS$33,MATCH("换弹时间",$AM$3:$AS$3,0),FALSE),1),0)</f>
        <v>0</v>
      </c>
      <c r="BK17" s="462">
        <f>ROUND(VLOOKUP($AW17,$AD$3:$AJ$33,MATCH(BK$3,$AD$3:$AJ$3,0),FALSE)+$AY17/VLOOKUP(VLOOKUP($AW17,坦克个性化设定!$B$18:$E$48,4,FALSE)&amp;$AX17,坦克属性分配比例,MATCH("升星次数",坦克属性分配比例标头,0),FALSE)*VLOOKUP($AW17,$AM$3:$AS$33,MATCH(BK$3,$AM$3:$AS$3,0),FALSE),2)</f>
        <v>0.4</v>
      </c>
      <c r="BL17" s="462">
        <f>ROUND(VLOOKUP($AW17,$AD$3:$AJ$33,MATCH(BL$3,$AD$3:$AJ$3,0),FALSE)-$AY17/VLOOKUP(VLOOKUP($AW17,坦克个性化设定!$B$18:$E$48,4,FALSE)&amp;$AX17,坦克属性分配比例,MATCH("升星次数",坦克属性分配比例标头,0),FALSE)*VLOOKUP($AW17,$AM$3:$AS$33,MATCH(BL$3,$AM$3:$AS$3,0),FALSE),2)</f>
        <v>1.21</v>
      </c>
      <c r="BN17" s="183">
        <v>14</v>
      </c>
      <c r="BO17" s="131" t="str">
        <f t="shared" si="11"/>
        <v>玛蒂尔达</v>
      </c>
      <c r="BP17" s="131" t="str">
        <f>VLOOKUP(BO17,坦克个性化设定!$B$18:$F$48,5,FALSE)</f>
        <v>中坦弹夹</v>
      </c>
      <c r="BQ17" s="177" t="str">
        <f>VLOOKUP(BO17,坦克个性化细分!$I$3:$J$33,2,FALSE)</f>
        <v>低</v>
      </c>
      <c r="BR17" s="96">
        <f ca="1">(VLOOKUP($BO17&amp;"最终",$O$3:$AA$63,MATCH(BR$3,$O$3:$AA$3,0),FALSE)-VLOOKUP($BO17&amp;"初始",$O$3:$AA$63,MATCH(BR$3,$O$3:$AA$3,0),FALSE))*VLOOKUP(VLOOKUP($BO17,坦克个性化设定!$B$18:$E$48,4,FALSE)&amp;$BQ17,坦克属性分配比例,MATCH("部件比例",坦克属性分配比例标头,0),FALSE)</f>
        <v>379.2401652430878</v>
      </c>
      <c r="BS17" s="96">
        <f ca="1">(VLOOKUP($BO17&amp;"最终",$O$3:$AA$63,MATCH(BS$3,$O$3:$AA$3,0),FALSE)-VLOOKUP($BO17&amp;"初始",$O$3:$AA$63,MATCH(BS$3,$O$3:$AA$3,0),FALSE))*VLOOKUP(VLOOKUP($BO17,坦克个性化设定!$B$18:$E$48,4,FALSE)&amp;$BQ17,坦克属性分配比例,MATCH("部件比例",坦克属性分配比例标头,0),FALSE)</f>
        <v>18.999466810164083</v>
      </c>
      <c r="BT17" s="96">
        <f ca="1">(VLOOKUP($BO17&amp;"最终",$O$3:$AA$63,MATCH(BT$3,$O$3:$AA$3,0),FALSE)-VLOOKUP($BO17&amp;"初始",$O$3:$AA$63,MATCH(BT$3,$O$3:$AA$3,0),FALSE))*VLOOKUP(VLOOKUP($BO17,坦克个性化设定!$B$18:$E$48,4,FALSE)&amp;$BQ17,坦克属性分配比例,MATCH("部件比例",坦克属性分配比例标头,0),FALSE)*(1-$C$3)</f>
        <v>51.64200000000001</v>
      </c>
      <c r="BU17" s="96">
        <f ca="1">(VLOOKUP($BO17&amp;"最终",$O$3:$AA$63,MATCH(BU$3,$O$3:$AA$3,0),FALSE)-VLOOKUP($BO17&amp;"初始",$O$3:$AA$63,MATCH(BU$3,$O$3:$AA$3,0),FALSE))*VLOOKUP(VLOOKUP($BO17,坦克个性化设定!$B$18:$E$48,4,FALSE)&amp;$BQ17,坦克属性分配比例,MATCH("部件比例",坦克属性分配比例标头,0),FALSE)*(1-$C$3)</f>
        <v>38.958000000000006</v>
      </c>
      <c r="BV17" s="96">
        <f ca="1">(VLOOKUP($BO17&amp;"最终",$O$3:$AA$63,MATCH(BV$3,$O$3:$AA$3,0),FALSE)-VLOOKUP($BO17&amp;"初始",$O$3:$AA$63,MATCH(BV$3,$O$3:$AA$3,0),FALSE))*VLOOKUP(VLOOKUP($BO17,坦克个性化设定!$B$18:$E$48,4,FALSE)&amp;$BQ17,坦克属性分配比例,MATCH("部件比例",坦克属性分配比例标头,0),FALSE)</f>
        <v>163.08000000000001</v>
      </c>
    </row>
    <row r="18" spans="2:74" x14ac:dyDescent="0.35">
      <c r="B18" s="137">
        <v>13</v>
      </c>
      <c r="C18" s="176" t="str">
        <f>坦克个性化设定!B31</f>
        <v>四号</v>
      </c>
      <c r="D18" s="84"/>
      <c r="E18" s="84"/>
      <c r="F18" s="84"/>
      <c r="G18" s="84"/>
      <c r="H18" s="84"/>
      <c r="I18" s="84"/>
      <c r="J18" s="84"/>
      <c r="K18" s="84"/>
      <c r="L18" s="84"/>
      <c r="M18" s="84"/>
      <c r="N18" s="84"/>
      <c r="O18" s="426" t="str">
        <f t="shared" si="5"/>
        <v>M-41初始</v>
      </c>
      <c r="P18" s="137">
        <f>IF(COUNTIF(Q$4:Q17,Q17)&gt;=$B$3,P17+1,P17)</f>
        <v>8</v>
      </c>
      <c r="Q18" s="131" t="str">
        <f t="shared" si="6"/>
        <v>M-41</v>
      </c>
      <c r="R18" s="131" t="str">
        <f>VLOOKUP(Q18,坦克个性化设定!$B$18:$F$48,5,FALSE)</f>
        <v>轻坦单发</v>
      </c>
      <c r="S18" s="177" t="str">
        <f>VLOOKUP(Q18,坦克个性化细分!$I$3:$J$33,2,FALSE)</f>
        <v>中</v>
      </c>
      <c r="T18" s="137" t="str">
        <f t="shared" si="12"/>
        <v>初始</v>
      </c>
      <c r="U18" s="178" t="str">
        <f>VLOOKUP(VLOOKUP(Q18,坦克个性化设定!$B$18:$F$48,4,FALSE)&amp;S18,坦克等级成长!$P$12:$U$24,MATCH(T18,坦克等级成长!$P$12:$U$12,0),FALSE)</f>
        <v>T4中4</v>
      </c>
      <c r="V18" s="96">
        <f ca="1">VLOOKUP($U18,INDIRECT($R18&amp;"_阶段属性"),MATCH(V$3,属性标头_阶段属性,0),FALSE)*VLOOKUP($Q18,坦克个性化设定!$B$84:$D$114,2,FALSE)</f>
        <v>1604.4261630888129</v>
      </c>
      <c r="W18" s="96">
        <f ca="1">VLOOKUP($U18,INDIRECT($R18&amp;"_阶段属性"),MATCH(W$3,属性标头_阶段属性,0),FALSE)*VLOOKUP($Q18,坦克个性化设定!$B$84:$D$114,3,FALSE)</f>
        <v>186.66362272691376</v>
      </c>
      <c r="X18" s="131">
        <f t="shared" ca="1" si="13"/>
        <v>700</v>
      </c>
      <c r="Y18" s="131">
        <f t="shared" ca="1" si="13"/>
        <v>490</v>
      </c>
      <c r="Z18" s="131">
        <f t="shared" ca="1" si="13"/>
        <v>588</v>
      </c>
      <c r="AA18" s="131">
        <f t="shared" ca="1" si="13"/>
        <v>157</v>
      </c>
      <c r="AC18" s="195">
        <v>15</v>
      </c>
      <c r="AD18" s="193" t="str">
        <f t="shared" si="7"/>
        <v>谢尔曼</v>
      </c>
      <c r="AE18" s="195">
        <f>VLOOKUP($AD18,坦克个性化细分!$I$3:$P$33,MATCH(AE$3,坦克个性化细分!$I$3:$P$3,0),FALSE)</f>
        <v>36.299999999999997</v>
      </c>
      <c r="AF18" s="195">
        <f>VLOOKUP($AD18,坦克个性化细分!$I$3:$P$33,MATCH(AF$3,坦克个性化细分!$I$3:$P$3,0),FALSE)</f>
        <v>51</v>
      </c>
      <c r="AG18" s="195">
        <f>VLOOKUP($AD18,坦克个性化细分!$I$3:$P$33,MATCH(AG$3,坦克个性化细分!$I$3:$P$3,0),FALSE)</f>
        <v>11.3</v>
      </c>
      <c r="AH18" s="206">
        <f>VLOOKUP(AD18,坦克个性化细分!$AA$3:$AP$33,MATCH("射击偏移角",坦克个性化细分!$AA$3:$AP$3,0),FALSE)/VLOOKUP(AD18,坦克个性化细分!$AA$3:$AP$33,MATCH("原瞄准速度",坦克个性化细分!$AA$3:$AP$3,0),FALSE)</f>
        <v>2.4</v>
      </c>
      <c r="AI18" s="206">
        <f>VLOOKUP(AD18,坦克个性化细分!$AA$3:$AP$33,MATCH(AI$3,坦克个性化细分!$AA$3:$AP$3,0),FALSE)</f>
        <v>0</v>
      </c>
      <c r="AJ18" s="462">
        <f>VLOOKUP(AD18,坦克个性化细分!$AA$3:$AP$33,MATCH("原换弹时间",坦克个性化细分!$AA$3:$AP$3,0),FALSE)</f>
        <v>4.5</v>
      </c>
      <c r="AK18" s="208"/>
      <c r="AL18" s="195">
        <v>15</v>
      </c>
      <c r="AM18" s="193" t="str">
        <f t="shared" si="8"/>
        <v>谢尔曼</v>
      </c>
      <c r="AN18" s="206">
        <f>VLOOKUP(AM18,坦克个性化细分!$I$3:$P$33,MATCH("养成区间1",坦克个性化细分!$I$3:$P$3,0),FALSE)</f>
        <v>9.0749999999999957</v>
      </c>
      <c r="AO18" s="462">
        <f>VLOOKUP(AM18,坦克个性化细分!$I$3:$P$33,MATCH("养成区间2",坦克个性化细分!$I$3:$P$3,0),FALSE)</f>
        <v>12.749999999999996</v>
      </c>
      <c r="AP18" s="462">
        <f>VLOOKUP(AM18,坦克个性化细分!$I$3:$P$33,MATCH("养成区间3",坦克个性化细分!$I$3:$P$3,0),FALSE)</f>
        <v>3.69</v>
      </c>
      <c r="AQ18" s="206">
        <f>VLOOKUP(AM18,坦克个性化细分!$AA$3:$AP$33,MATCH("瞄准区间",坦克个性化细分!$AA$3:$AP$3,0),FALSE)</f>
        <v>0.39999999999999991</v>
      </c>
      <c r="AR18" s="206">
        <f>VLOOKUP(AD18,坦克个性化细分!$AA$3:$AP$33,MATCH("后射击间隔",坦克个性化细分!$AA$3:$AP$3,0),FALSE)-VLOOKUP(AD18,坦克个性化细分!$AA$3:$AP$33,MATCH(AI$3,坦克个性化细分!$AA$3:$AP$3,0),FALSE)</f>
        <v>0</v>
      </c>
      <c r="AS18" s="206">
        <f>VLOOKUP(AM18,坦克个性化细分!$AA$3:$AP$33,MATCH("换弹区间",坦克个性化细分!$AA$3:$AP$3,0),FALSE)</f>
        <v>1.0973534971644616</v>
      </c>
      <c r="AT18" s="208"/>
      <c r="AU18" s="364" t="str">
        <f t="shared" si="9"/>
        <v>Puma2</v>
      </c>
      <c r="AV18" s="183">
        <f>IF(AY17&gt;=VLOOKUP(VLOOKUP(AW17,坦克个性化设定!$B$18:$E$48,4,FALSE)&amp;AX17,坦克属性分配比例,MATCH("升星次数",坦克属性分配比例标头,0),FALSE),AV17+1,AV17)</f>
        <v>3</v>
      </c>
      <c r="AW18" s="131" t="str">
        <f t="shared" si="10"/>
        <v>Puma</v>
      </c>
      <c r="AX18" s="177" t="str">
        <f>VLOOKUP(AW18,坦克个性化细分!$I$3:$J$33,2,FALSE)</f>
        <v>中</v>
      </c>
      <c r="AY18" s="183">
        <f t="shared" si="1"/>
        <v>2</v>
      </c>
      <c r="AZ18" s="486">
        <f ca="1">ROUND(VLOOKUP($AW18&amp;"初始",$O$3:$AA$63,MATCH(AZ$3,$O$3:$AA$3,0),FALSE)+((VLOOKUP($AW18&amp;"最终",$O$3:$AA$63,MATCH(AZ$3,$O$3:$AA$3,0),FALSE)*坦克个性化细分!$C$9-VLOOKUP($AW18&amp;"初始",$O$3:$AA$63,MATCH(AZ$3,$O$3:$AA$3,0),FALSE))-(VLOOKUP($AW18&amp;"最终",$O$3:$AA$63,MATCH(AZ$3,$O$3:$AA$3,0),FALSE)-VLOOKUP($AW18&amp;"初始",$O$3:$AA$63,MATCH(AZ$3,$O$3:$AA$3,0),FALSE))*VLOOKUP(VLOOKUP($AW18,坦克个性化设定!$B$18:$E$48,4,FALSE)&amp;$AX18,坦克属性分配比例,MATCH("部件比例",坦克属性分配比例标头,0),FALSE))*$AY18/VLOOKUP(VLOOKUP($AW18,坦克个性化设定!$B$18:$E$48,4,FALSE)&amp;$AX18,坦克属性分配比例,MATCH("升星次数",坦克属性分配比例标头,0),FALSE),0)</f>
        <v>1299</v>
      </c>
      <c r="BA18" s="426">
        <f ca="1">ROUND(VLOOKUP($AW18&amp;"初始",$O$3:$AA$63,MATCH(BA$3,$O$3:$AA$3,0),FALSE)+(VLOOKUP($AW18&amp;"最终",$O$3:$AA$63,MATCH(BA$3,$O$3:$AA$3,0),FALSE)-VLOOKUP($AW18&amp;"初始",$O$3:$AA$63,MATCH(BA$3,$O$3:$AA$3,0),FALSE))*$AY18/VLOOKUP(VLOOKUP($AW18,坦克个性化设定!$B$18:$E$48,4,FALSE)&amp;$AX18,坦克属性分配比例,MATCH("升星次数",坦克属性分配比例标头,0),FALSE)*VLOOKUP(VLOOKUP($AW18,坦克个性化设定!$B$18:$E$48,4,FALSE)&amp;$AX18,坦克属性分配比例,MATCH("升星比例",坦克属性分配比例标头,0),FALSE),0)</f>
        <v>52</v>
      </c>
      <c r="BB18" s="486">
        <f ca="1">ROUND(VLOOKUP($AW18&amp;"初始",$O$3:$AA$63,MATCH(BB$3,$O$3:$AA$3,0),FALSE)+(VLOOKUP($AW18&amp;"最终",$O$3:$AA$63,MATCH(BB$3,$O$3:$AA$3,0),FALSE)-VLOOKUP($AW18&amp;"初始",$O$3:$AA$63,MATCH(BB$3,$O$3:$AA$3,0),FALSE))*$AY18/VLOOKUP(VLOOKUP($AW18,坦克个性化设定!$B$18:$E$48,4,FALSE)&amp;$AX18,坦克属性分配比例,MATCH("升星次数",坦克属性分配比例标头,0),FALSE)*(VLOOKUP(VLOOKUP($AW18,坦克个性化设定!$B$18:$E$48,4,FALSE)&amp;$AX18,坦克属性分配比例,MATCH("升星比例",坦克属性分配比例标头,0),FALSE)+VLOOKUP(VLOOKUP($AW18,坦克个性化设定!$B$18:$E$48,4,FALSE)&amp;$AX18,坦克属性分配比例,MATCH("部件比例",坦克属性分配比例标头,0),FALSE)*$C$3),0)</f>
        <v>424</v>
      </c>
      <c r="BC18" s="486">
        <f ca="1">ROUND(VLOOKUP($AW18&amp;"初始",$O$3:$AA$63,MATCH(BC$3,$O$3:$AA$3,0),FALSE)+(VLOOKUP($AW18&amp;"最终",$O$3:$AA$63,MATCH(BC$3,$O$3:$AA$3,0),FALSE)-VLOOKUP($AW18&amp;"初始",$O$3:$AA$63,MATCH(BC$3,$O$3:$AA$3,0),FALSE))*$AY18/VLOOKUP(VLOOKUP($AW18,坦克个性化设定!$B$18:$E$48,4,FALSE)&amp;$AX18,坦克属性分配比例,MATCH("升星次数",坦克属性分配比例标头,0),FALSE)*(VLOOKUP(VLOOKUP($AW18,坦克个性化设定!$B$18:$E$48,4,FALSE)&amp;$AX18,坦克属性分配比例,MATCH("升星比例",坦克属性分配比例标头,0),FALSE)+VLOOKUP(VLOOKUP($AW18,坦克个性化设定!$B$18:$E$48,4,FALSE)&amp;$AX18,坦克属性分配比例,MATCH("部件比例",坦克属性分配比例标头,0),FALSE)*$C$3),0)</f>
        <v>297</v>
      </c>
      <c r="BD18" s="426">
        <f ca="1">ROUND(VLOOKUP($AW18&amp;"初始",$O$3:$AA$63,MATCH(BD$3,$O$3:$AA$3,0),FALSE)+(VLOOKUP($AW18&amp;"最终",$O$3:$AA$63,MATCH(BD$3,$O$3:$AA$3,0),FALSE)-VLOOKUP($AW18&amp;"初始",$O$3:$AA$63,MATCH(BD$3,$O$3:$AA$3,0),FALSE))*$AY18/VLOOKUP(VLOOKUP($AW18,坦克个性化设定!$B$18:$E$48,4,FALSE)&amp;$AX18,坦克属性分配比例,MATCH("升星次数",坦克属性分配比例标头,0),FALSE)*VLOOKUP(VLOOKUP($AW18,坦克个性化设定!$B$18:$E$48,4,FALSE)&amp;$AX18,坦克属性分配比例,MATCH("升星比例",坦克属性分配比例标头,0),FALSE),0)</f>
        <v>412</v>
      </c>
      <c r="BE18" s="426">
        <f ca="1">ROUND(VLOOKUP($AW18&amp;"初始",$O$3:$AA$63,MATCH(BE$3,$O$3:$AA$3,0),FALSE)+(VLOOKUP($AW18&amp;"最终",$O$3:$AA$63,MATCH(BE$3,$O$3:$AA$3,0),FALSE)-VLOOKUP($AW18&amp;"初始",$O$3:$AA$63,MATCH(BE$3,$O$3:$AA$3,0),FALSE))*$AY18/VLOOKUP(VLOOKUP($AW18,坦克个性化设定!$B$18:$E$48,4,FALSE)&amp;$AX18,坦克属性分配比例,MATCH("升星次数",坦克属性分配比例标头,0),FALSE),0)</f>
        <v>115</v>
      </c>
      <c r="BF18" s="462">
        <f>ROUND(VLOOKUP($AW18,$AD$3:$AJ$33,MATCH(BF$3,$AD$3:$AJ$3,0),FALSE)+$AY18/VLOOKUP(VLOOKUP($AW18,坦克个性化设定!$B$18:$E$48,4,FALSE)&amp;$AX18,坦克属性分配比例,MATCH("升星次数",坦克属性分配比例标头,0),FALSE)*VLOOKUP($AW18,$AM$3:$AS$33,MATCH(BF$3,$AM$3:$AS$3,0),FALSE),1)</f>
        <v>45.3</v>
      </c>
      <c r="BG18" s="462">
        <f>ROUND(VLOOKUP($AW18,$AD$3:$AJ$33,MATCH(BG$3,$AD$3:$AJ$3,0),FALSE)+$AY18/VLOOKUP(VLOOKUP($AW18,坦克个性化设定!$B$18:$E$48,4,FALSE)&amp;$AX18,坦克属性分配比例,MATCH("升星次数",坦克属性分配比例标头,0),FALSE)*VLOOKUP($AW18,$AM$3:$AS$33,MATCH(BG$3,$AM$3:$AS$3,0),FALSE),1)</f>
        <v>53.3</v>
      </c>
      <c r="BH18" s="462">
        <f>ROUND(VLOOKUP($AW18,$AD$3:$AJ$33,MATCH(BH$3,$AD$3:$AJ$3,0),FALSE)+$AY18/VLOOKUP(VLOOKUP($AW18,坦克个性化设定!$B$18:$E$48,4,FALSE)&amp;$AX18,坦克属性分配比例,MATCH("升星次数",坦克属性分配比例标头,0),FALSE)*VLOOKUP($AW18,$AM$3:$AS$33,MATCH(BH$3,$AM$3:$AS$3,0),FALSE),1)</f>
        <v>14.9</v>
      </c>
      <c r="BI18" s="654">
        <f>IF(VLOOKUP(AW18,坦克个性化设定!$B$18:$BB$48,MATCH("装弹类型",坦克个性化设定!$B$18:$BB$18,0),FALSE)="弹夹换弹",0,ROUND(VLOOKUP($AW18,$AD$3:$AJ$33,MATCH("换弹时间",$AD$3:$AJ$3,0),FALSE)-$AY18/VLOOKUP(VLOOKUP($AW18,坦克个性化设定!$B$18:$E$48,4,FALSE)&amp;$AX18,坦克属性分配比例,MATCH("升星次数",坦克属性分配比例标头,0),FALSE)*VLOOKUP($AW18,$AM$3:$AS$33,MATCH("换弹时间",$AM$3:$AS$3,0),FALSE),2))</f>
        <v>1</v>
      </c>
      <c r="BJ18" s="462">
        <f>IF(VLOOKUP(AW18,坦克个性化设定!$B$18:$BB$48,MATCH("装弹类型",坦克个性化设定!$B$18:$BB$18,0),FALSE)="弹夹换弹",ROUND(VLOOKUP($AW18,$AD$3:$AJ$33,MATCH("换弹时间",$AD$3:$AJ$3,0),FALSE)-$AY18/VLOOKUP(VLOOKUP($AW18,坦克个性化设定!$B$18:$E$48,4,FALSE)&amp;$AX18,坦克属性分配比例,MATCH("升星次数",坦克属性分配比例标头,0),FALSE)*VLOOKUP($AW18,$AM$3:$AS$33,MATCH("换弹时间",$AM$3:$AS$3,0),FALSE),1),0)</f>
        <v>0</v>
      </c>
      <c r="BK18" s="462">
        <f>ROUND(VLOOKUP($AW18,$AD$3:$AJ$33,MATCH(BK$3,$AD$3:$AJ$3,0),FALSE)+$AY18/VLOOKUP(VLOOKUP($AW18,坦克个性化设定!$B$18:$E$48,4,FALSE)&amp;$AX18,坦克属性分配比例,MATCH("升星次数",坦克属性分配比例标头,0),FALSE)*VLOOKUP($AW18,$AM$3:$AS$33,MATCH(BK$3,$AM$3:$AS$3,0),FALSE),2)</f>
        <v>0.4</v>
      </c>
      <c r="BL18" s="462">
        <f>ROUND(VLOOKUP($AW18,$AD$3:$AJ$33,MATCH(BL$3,$AD$3:$AJ$3,0),FALSE)-$AY18/VLOOKUP(VLOOKUP($AW18,坦克个性化设定!$B$18:$E$48,4,FALSE)&amp;$AX18,坦克属性分配比例,MATCH("升星次数",坦克属性分配比例标头,0),FALSE)*VLOOKUP($AW18,$AM$3:$AS$33,MATCH(BL$3,$AM$3:$AS$3,0),FALSE),2)</f>
        <v>1.19</v>
      </c>
      <c r="BN18" s="183">
        <v>15</v>
      </c>
      <c r="BO18" s="131" t="str">
        <f t="shared" si="11"/>
        <v>谢尔曼</v>
      </c>
      <c r="BP18" s="131" t="str">
        <f>VLOOKUP(BO18,坦克个性化设定!$B$18:$F$48,5,FALSE)</f>
        <v>中坦单发</v>
      </c>
      <c r="BQ18" s="177" t="str">
        <f>VLOOKUP(BO18,坦克个性化细分!$I$3:$J$33,2,FALSE)</f>
        <v>中</v>
      </c>
      <c r="BR18" s="96">
        <f ca="1">(VLOOKUP($BO18&amp;"最终",$O$3:$AA$63,MATCH(BR$3,$O$3:$AA$3,0),FALSE)-VLOOKUP($BO18&amp;"初始",$O$3:$AA$63,MATCH(BR$3,$O$3:$AA$3,0),FALSE))*VLOOKUP(VLOOKUP($BO18,坦克个性化设定!$B$18:$E$48,4,FALSE)&amp;$BQ18,坦克属性分配比例,MATCH("部件比例",坦克属性分配比例标头,0),FALSE)</f>
        <v>536.71165359012411</v>
      </c>
      <c r="BS18" s="96">
        <f ca="1">(VLOOKUP($BO18&amp;"最终",$O$3:$AA$63,MATCH(BS$3,$O$3:$AA$3,0),FALSE)-VLOOKUP($BO18&amp;"初始",$O$3:$AA$63,MATCH(BS$3,$O$3:$AA$3,0),FALSE))*VLOOKUP(VLOOKUP($BO18,坦克个性化设定!$B$18:$E$48,4,FALSE)&amp;$BQ18,坦克属性分配比例,MATCH("部件比例",坦克属性分配比例标头,0),FALSE)</f>
        <v>98.657092599827422</v>
      </c>
      <c r="BT18" s="96">
        <f ca="1">(VLOOKUP($BO18&amp;"最终",$O$3:$AA$63,MATCH(BT$3,$O$3:$AA$3,0),FALSE)-VLOOKUP($BO18&amp;"初始",$O$3:$AA$63,MATCH(BT$3,$O$3:$AA$3,0),FALSE))*VLOOKUP(VLOOKUP($BO18,坦克个性化设定!$B$18:$E$48,4,FALSE)&amp;$BQ18,坦克属性分配比例,MATCH("部件比例",坦克属性分配比例标头,0),FALSE)*(1-$C$3)</f>
        <v>81.926269830508474</v>
      </c>
      <c r="BU18" s="96">
        <f ca="1">(VLOOKUP($BO18&amp;"最终",$O$3:$AA$63,MATCH(BU$3,$O$3:$AA$3,0),FALSE)-VLOOKUP($BO18&amp;"初始",$O$3:$AA$63,MATCH(BU$3,$O$3:$AA$3,0),FALSE))*VLOOKUP(VLOOKUP($BO18,坦克个性化设定!$B$18:$E$48,4,FALSE)&amp;$BQ18,坦克属性分配比例,MATCH("部件比例",坦克属性分配比例标头,0),FALSE)*(1-$C$3)</f>
        <v>61.444702372881352</v>
      </c>
      <c r="BV18" s="96">
        <f ca="1">(VLOOKUP($BO18&amp;"最终",$O$3:$AA$63,MATCH(BV$3,$O$3:$AA$3,0),FALSE)-VLOOKUP($BO18&amp;"初始",$O$3:$AA$63,MATCH(BV$3,$O$3:$AA$3,0),FALSE))*VLOOKUP(VLOOKUP($BO18,坦克个性化设定!$B$18:$E$48,4,FALSE)&amp;$BQ18,坦克属性分配比例,MATCH("部件比例",坦克属性分配比例标头,0),FALSE)</f>
        <v>224.70479999999998</v>
      </c>
    </row>
    <row r="19" spans="2:74" x14ac:dyDescent="0.35">
      <c r="B19" s="137">
        <v>14</v>
      </c>
      <c r="C19" s="176" t="str">
        <f>坦克个性化设定!B32</f>
        <v>玛蒂尔达</v>
      </c>
      <c r="D19" s="84"/>
      <c r="E19" s="84"/>
      <c r="F19" s="84"/>
      <c r="G19" s="84"/>
      <c r="H19" s="84"/>
      <c r="I19" s="84"/>
      <c r="J19" s="84"/>
      <c r="K19" s="84"/>
      <c r="L19" s="84"/>
      <c r="M19" s="84"/>
      <c r="N19" s="84"/>
      <c r="O19" s="426" t="str">
        <f t="shared" si="5"/>
        <v>M-41最终</v>
      </c>
      <c r="P19" s="137">
        <f>IF(COUNTIF(Q$4:Q18,Q18)&gt;=$B$3,P18+1,P18)</f>
        <v>8</v>
      </c>
      <c r="Q19" s="131" t="str">
        <f t="shared" si="6"/>
        <v>M-41</v>
      </c>
      <c r="R19" s="131" t="str">
        <f>VLOOKUP(Q19,坦克个性化设定!$B$18:$F$48,5,FALSE)</f>
        <v>轻坦单发</v>
      </c>
      <c r="S19" s="177" t="str">
        <f>VLOOKUP(Q19,坦克个性化细分!$I$3:$J$33,2,FALSE)</f>
        <v>中</v>
      </c>
      <c r="T19" s="137" t="str">
        <f t="shared" si="12"/>
        <v>最终</v>
      </c>
      <c r="U19" s="178" t="str">
        <f>VLOOKUP(VLOOKUP(Q19,坦克个性化设定!$B$18:$F$48,4,FALSE)&amp;S19,坦克等级成长!$P$12:$U$24,MATCH(T19,坦克等级成长!$P$12:$U$12,0),FALSE)</f>
        <v>T4中6</v>
      </c>
      <c r="V19" s="96">
        <f ca="1">VLOOKUP($U19,INDIRECT($R19&amp;"_阶段属性"),MATCH(V$3,属性标头_阶段属性,0),FALSE)*VLOOKUP($Q19,坦克个性化设定!$B$84:$D$114,2,FALSE)</f>
        <v>3069.692914072984</v>
      </c>
      <c r="W19" s="96">
        <f ca="1">VLOOKUP($U19,INDIRECT($R19&amp;"_阶段属性"),MATCH(W$3,属性标头_阶段属性,0),FALSE)*VLOOKUP($Q19,坦克个性化设定!$B$84:$D$114,3,FALSE)</f>
        <v>357.69050218874577</v>
      </c>
      <c r="X19" s="131">
        <f t="shared" ca="1" si="13"/>
        <v>1339</v>
      </c>
      <c r="Y19" s="131">
        <f t="shared" ca="1" si="13"/>
        <v>938</v>
      </c>
      <c r="Z19" s="131">
        <f t="shared" ca="1" si="13"/>
        <v>1125</v>
      </c>
      <c r="AA19" s="131">
        <f t="shared" ca="1" si="13"/>
        <v>300</v>
      </c>
      <c r="AC19" s="195">
        <v>16</v>
      </c>
      <c r="AD19" s="193" t="str">
        <f t="shared" si="7"/>
        <v>彗星</v>
      </c>
      <c r="AE19" s="195">
        <f>VLOOKUP($AD19,坦克个性化细分!$I$3:$P$33,MATCH(AE$3,坦克个性化细分!$I$3:$P$3,0),FALSE)</f>
        <v>37.4</v>
      </c>
      <c r="AF19" s="195">
        <f>VLOOKUP($AD19,坦克个性化细分!$I$3:$P$33,MATCH(AF$3,坦克个性化细分!$I$3:$P$3,0),FALSE)</f>
        <v>52.5</v>
      </c>
      <c r="AG19" s="195">
        <f>VLOOKUP($AD19,坦克个性化细分!$I$3:$P$33,MATCH(AG$3,坦克个性化细分!$I$3:$P$3,0),FALSE)</f>
        <v>11.6</v>
      </c>
      <c r="AH19" s="206">
        <f>VLOOKUP(AD19,坦克个性化细分!$AA$3:$AP$33,MATCH("射击偏移角",坦克个性化细分!$AA$3:$AP$3,0),FALSE)/VLOOKUP(AD19,坦克个性化细分!$AA$3:$AP$33,MATCH("原瞄准速度",坦克个性化细分!$AA$3:$AP$3,0),FALSE)</f>
        <v>2.4</v>
      </c>
      <c r="AI19" s="206">
        <f>VLOOKUP(AD19,坦克个性化细分!$AA$3:$AP$33,MATCH(AI$3,坦克个性化细分!$AA$3:$AP$3,0),FALSE)</f>
        <v>0</v>
      </c>
      <c r="AJ19" s="462">
        <f>VLOOKUP(AD19,坦克个性化细分!$AA$3:$AP$33,MATCH("原换弹时间",坦克个性化细分!$AA$3:$AP$3,0),FALSE)</f>
        <v>4.5</v>
      </c>
      <c r="AK19" s="208"/>
      <c r="AL19" s="195">
        <v>16</v>
      </c>
      <c r="AM19" s="193" t="str">
        <f t="shared" si="8"/>
        <v>彗星</v>
      </c>
      <c r="AN19" s="206">
        <f>VLOOKUP(AM19,坦克个性化细分!$I$3:$P$33,MATCH("养成区间1",坦克个性化细分!$I$3:$P$3,0),FALSE)</f>
        <v>9.3499999999999961</v>
      </c>
      <c r="AO19" s="462">
        <f>VLOOKUP(AM19,坦克个性化细分!$I$3:$P$33,MATCH("养成区间2",坦克个性化细分!$I$3:$P$3,0),FALSE)</f>
        <v>13.124999999999996</v>
      </c>
      <c r="AP19" s="462">
        <f>VLOOKUP(AM19,坦克个性化细分!$I$3:$P$33,MATCH("养成区间3",坦克个性化细分!$I$3:$P$3,0),FALSE)</f>
        <v>3.79</v>
      </c>
      <c r="AQ19" s="206">
        <f>VLOOKUP(AM19,坦克个性化细分!$AA$3:$AP$33,MATCH("瞄准区间",坦克个性化细分!$AA$3:$AP$3,0),FALSE)</f>
        <v>0.39999999999999991</v>
      </c>
      <c r="AR19" s="206">
        <f>VLOOKUP(AD19,坦克个性化细分!$AA$3:$AP$33,MATCH("后射击间隔",坦克个性化细分!$AA$3:$AP$3,0),FALSE)-VLOOKUP(AD19,坦克个性化细分!$AA$3:$AP$33,MATCH(AI$3,坦克个性化细分!$AA$3:$AP$3,0),FALSE)</f>
        <v>0</v>
      </c>
      <c r="AS19" s="206">
        <f>VLOOKUP(AM19,坦克个性化细分!$AA$3:$AP$33,MATCH("换弹区间",坦克个性化细分!$AA$3:$AP$3,0),FALSE)</f>
        <v>1.0973534971644616</v>
      </c>
      <c r="AT19" s="208"/>
      <c r="AU19" s="364" t="str">
        <f t="shared" si="9"/>
        <v>Puma3</v>
      </c>
      <c r="AV19" s="183">
        <f>IF(AY18&gt;=VLOOKUP(VLOOKUP(AW18,坦克个性化设定!$B$18:$E$48,4,FALSE)&amp;AX18,坦克属性分配比例,MATCH("升星次数",坦克属性分配比例标头,0),FALSE),AV18+1,AV18)</f>
        <v>3</v>
      </c>
      <c r="AW19" s="131" t="str">
        <f t="shared" si="10"/>
        <v>Puma</v>
      </c>
      <c r="AX19" s="177" t="str">
        <f>VLOOKUP(AW19,坦克个性化细分!$I$3:$J$33,2,FALSE)</f>
        <v>中</v>
      </c>
      <c r="AY19" s="183">
        <f t="shared" si="1"/>
        <v>3</v>
      </c>
      <c r="AZ19" s="486">
        <f ca="1">ROUND(VLOOKUP($AW19&amp;"初始",$O$3:$AA$63,MATCH(AZ$3,$O$3:$AA$3,0),FALSE)+((VLOOKUP($AW19&amp;"最终",$O$3:$AA$63,MATCH(AZ$3,$O$3:$AA$3,0),FALSE)*坦克个性化细分!$C$9-VLOOKUP($AW19&amp;"初始",$O$3:$AA$63,MATCH(AZ$3,$O$3:$AA$3,0),FALSE))-(VLOOKUP($AW19&amp;"最终",$O$3:$AA$63,MATCH(AZ$3,$O$3:$AA$3,0),FALSE)-VLOOKUP($AW19&amp;"初始",$O$3:$AA$63,MATCH(AZ$3,$O$3:$AA$3,0),FALSE))*VLOOKUP(VLOOKUP($AW19,坦克个性化设定!$B$18:$E$48,4,FALSE)&amp;$AX19,坦克属性分配比例,MATCH("部件比例",坦克属性分配比例标头,0),FALSE))*$AY19/VLOOKUP(VLOOKUP($AW19,坦克个性化设定!$B$18:$E$48,4,FALSE)&amp;$AX19,坦克属性分配比例,MATCH("升星次数",坦克属性分配比例标头,0),FALSE),0)</f>
        <v>1417</v>
      </c>
      <c r="BA19" s="426">
        <f ca="1">ROUND(VLOOKUP($AW19&amp;"初始",$O$3:$AA$63,MATCH(BA$3,$O$3:$AA$3,0),FALSE)+(VLOOKUP($AW19&amp;"最终",$O$3:$AA$63,MATCH(BA$3,$O$3:$AA$3,0),FALSE)-VLOOKUP($AW19&amp;"初始",$O$3:$AA$63,MATCH(BA$3,$O$3:$AA$3,0),FALSE))*$AY19/VLOOKUP(VLOOKUP($AW19,坦克个性化设定!$B$18:$E$48,4,FALSE)&amp;$AX19,坦克属性分配比例,MATCH("升星次数",坦克属性分配比例标头,0),FALSE)*VLOOKUP(VLOOKUP($AW19,坦克个性化设定!$B$18:$E$48,4,FALSE)&amp;$AX19,坦克属性分配比例,MATCH("升星比例",坦克属性分配比例标头,0),FALSE),0)</f>
        <v>55</v>
      </c>
      <c r="BB19" s="486">
        <f ca="1">ROUND(VLOOKUP($AW19&amp;"初始",$O$3:$AA$63,MATCH(BB$3,$O$3:$AA$3,0),FALSE)+(VLOOKUP($AW19&amp;"最终",$O$3:$AA$63,MATCH(BB$3,$O$3:$AA$3,0),FALSE)-VLOOKUP($AW19&amp;"初始",$O$3:$AA$63,MATCH(BB$3,$O$3:$AA$3,0),FALSE))*$AY19/VLOOKUP(VLOOKUP($AW19,坦克个性化设定!$B$18:$E$48,4,FALSE)&amp;$AX19,坦克属性分配比例,MATCH("升星次数",坦克属性分配比例标头,0),FALSE)*(VLOOKUP(VLOOKUP($AW19,坦克个性化设定!$B$18:$E$48,4,FALSE)&amp;$AX19,坦克属性分配比例,MATCH("升星比例",坦克属性分配比例标头,0),FALSE)+VLOOKUP(VLOOKUP($AW19,坦克个性化设定!$B$18:$E$48,4,FALSE)&amp;$AX19,坦克属性分配比例,MATCH("部件比例",坦克属性分配比例标头,0),FALSE)*$C$3),0)</f>
        <v>452</v>
      </c>
      <c r="BC19" s="486">
        <f ca="1">ROUND(VLOOKUP($AW19&amp;"初始",$O$3:$AA$63,MATCH(BC$3,$O$3:$AA$3,0),FALSE)+(VLOOKUP($AW19&amp;"最终",$O$3:$AA$63,MATCH(BC$3,$O$3:$AA$3,0),FALSE)-VLOOKUP($AW19&amp;"初始",$O$3:$AA$63,MATCH(BC$3,$O$3:$AA$3,0),FALSE))*$AY19/VLOOKUP(VLOOKUP($AW19,坦克个性化设定!$B$18:$E$48,4,FALSE)&amp;$AX19,坦克属性分配比例,MATCH("升星次数",坦克属性分配比例标头,0),FALSE)*(VLOOKUP(VLOOKUP($AW19,坦克个性化设定!$B$18:$E$48,4,FALSE)&amp;$AX19,坦克属性分配比例,MATCH("升星比例",坦克属性分配比例标头,0),FALSE)+VLOOKUP(VLOOKUP($AW19,坦克个性化设定!$B$18:$E$48,4,FALSE)&amp;$AX19,坦克属性分配比例,MATCH("部件比例",坦克属性分配比例标头,0),FALSE)*$C$3),0)</f>
        <v>316</v>
      </c>
      <c r="BD19" s="426">
        <f ca="1">ROUND(VLOOKUP($AW19&amp;"初始",$O$3:$AA$63,MATCH(BD$3,$O$3:$AA$3,0),FALSE)+(VLOOKUP($AW19&amp;"最终",$O$3:$AA$63,MATCH(BD$3,$O$3:$AA$3,0),FALSE)-VLOOKUP($AW19&amp;"初始",$O$3:$AA$63,MATCH(BD$3,$O$3:$AA$3,0),FALSE))*$AY19/VLOOKUP(VLOOKUP($AW19,坦克个性化设定!$B$18:$E$48,4,FALSE)&amp;$AX19,坦克属性分配比例,MATCH("升星次数",坦克属性分配比例标头,0),FALSE)*VLOOKUP(VLOOKUP($AW19,坦克个性化设定!$B$18:$E$48,4,FALSE)&amp;$AX19,坦克属性分配比例,MATCH("升星比例",坦克属性分配比例标头,0),FALSE),0)</f>
        <v>434</v>
      </c>
      <c r="BE19" s="426">
        <f ca="1">ROUND(VLOOKUP($AW19&amp;"初始",$O$3:$AA$63,MATCH(BE$3,$O$3:$AA$3,0),FALSE)+(VLOOKUP($AW19&amp;"最终",$O$3:$AA$63,MATCH(BE$3,$O$3:$AA$3,0),FALSE)-VLOOKUP($AW19&amp;"初始",$O$3:$AA$63,MATCH(BE$3,$O$3:$AA$3,0),FALSE))*$AY19/VLOOKUP(VLOOKUP($AW19,坦克个性化设定!$B$18:$E$48,4,FALSE)&amp;$AX19,坦克属性分配比例,MATCH("升星次数",坦克属性分配比例标头,0),FALSE),0)</f>
        <v>123</v>
      </c>
      <c r="BF19" s="462">
        <f>ROUND(VLOOKUP($AW19,$AD$3:$AJ$33,MATCH(BF$3,$AD$3:$AJ$3,0),FALSE)+$AY19/VLOOKUP(VLOOKUP($AW19,坦克个性化设定!$B$18:$E$48,4,FALSE)&amp;$AX19,坦克属性分配比例,MATCH("升星次数",坦克属性分配比例标头,0),FALSE)*VLOOKUP($AW19,$AM$3:$AS$33,MATCH(BF$3,$AM$3:$AS$3,0),FALSE),1)</f>
        <v>46.3</v>
      </c>
      <c r="BG19" s="462">
        <f>ROUND(VLOOKUP($AW19,$AD$3:$AJ$33,MATCH(BG$3,$AD$3:$AJ$3,0),FALSE)+$AY19/VLOOKUP(VLOOKUP($AW19,坦克个性化设定!$B$18:$E$48,4,FALSE)&amp;$AX19,坦克属性分配比例,MATCH("升星次数",坦克属性分配比例标头,0),FALSE)*VLOOKUP($AW19,$AM$3:$AS$33,MATCH(BG$3,$AM$3:$AS$3,0),FALSE),1)</f>
        <v>54.5</v>
      </c>
      <c r="BH19" s="462">
        <f>ROUND(VLOOKUP($AW19,$AD$3:$AJ$33,MATCH(BH$3,$AD$3:$AJ$3,0),FALSE)+$AY19/VLOOKUP(VLOOKUP($AW19,坦克个性化设定!$B$18:$E$48,4,FALSE)&amp;$AX19,坦克属性分配比例,MATCH("升星次数",坦克属性分配比例标头,0),FALSE)*VLOOKUP($AW19,$AM$3:$AS$33,MATCH(BH$3,$AM$3:$AS$3,0),FALSE),1)</f>
        <v>15.4</v>
      </c>
      <c r="BI19" s="654">
        <f>IF(VLOOKUP(AW19,坦克个性化设定!$B$18:$BB$48,MATCH("装弹类型",坦克个性化设定!$B$18:$BB$18,0),FALSE)="弹夹换弹",0,ROUND(VLOOKUP($AW19,$AD$3:$AJ$33,MATCH("换弹时间",$AD$3:$AJ$3,0),FALSE)-$AY19/VLOOKUP(VLOOKUP($AW19,坦克个性化设定!$B$18:$E$48,4,FALSE)&amp;$AX19,坦克属性分配比例,MATCH("升星次数",坦克属性分配比例标头,0),FALSE)*VLOOKUP($AW19,$AM$3:$AS$33,MATCH("换弹时间",$AM$3:$AS$3,0),FALSE),2))</f>
        <v>0.98</v>
      </c>
      <c r="BJ19" s="462">
        <f>IF(VLOOKUP(AW19,坦克个性化设定!$B$18:$BB$48,MATCH("装弹类型",坦克个性化设定!$B$18:$BB$18,0),FALSE)="弹夹换弹",ROUND(VLOOKUP($AW19,$AD$3:$AJ$33,MATCH("换弹时间",$AD$3:$AJ$3,0),FALSE)-$AY19/VLOOKUP(VLOOKUP($AW19,坦克个性化设定!$B$18:$E$48,4,FALSE)&amp;$AX19,坦克属性分配比例,MATCH("升星次数",坦克属性分配比例标头,0),FALSE)*VLOOKUP($AW19,$AM$3:$AS$33,MATCH("换弹时间",$AM$3:$AS$3,0),FALSE),1),0)</f>
        <v>0</v>
      </c>
      <c r="BK19" s="462">
        <f>ROUND(VLOOKUP($AW19,$AD$3:$AJ$33,MATCH(BK$3,$AD$3:$AJ$3,0),FALSE)+$AY19/VLOOKUP(VLOOKUP($AW19,坦克个性化设定!$B$18:$E$48,4,FALSE)&amp;$AX19,坦克属性分配比例,MATCH("升星次数",坦克属性分配比例标头,0),FALSE)*VLOOKUP($AW19,$AM$3:$AS$33,MATCH(BK$3,$AM$3:$AS$3,0),FALSE),2)</f>
        <v>0.4</v>
      </c>
      <c r="BL19" s="462">
        <f>ROUND(VLOOKUP($AW19,$AD$3:$AJ$33,MATCH(BL$3,$AD$3:$AJ$3,0),FALSE)-$AY19/VLOOKUP(VLOOKUP($AW19,坦克个性化设定!$B$18:$E$48,4,FALSE)&amp;$AX19,坦克属性分配比例,MATCH("升星次数",坦克属性分配比例标头,0),FALSE)*VLOOKUP($AW19,$AM$3:$AS$33,MATCH(BL$3,$AM$3:$AS$3,0),FALSE),2)</f>
        <v>1.17</v>
      </c>
      <c r="BN19" s="183">
        <v>16</v>
      </c>
      <c r="BO19" s="131" t="str">
        <f t="shared" si="11"/>
        <v>彗星</v>
      </c>
      <c r="BP19" s="131" t="str">
        <f>VLOOKUP(BO19,坦克个性化设定!$B$18:$F$48,5,FALSE)</f>
        <v>中坦单发</v>
      </c>
      <c r="BQ19" s="177" t="str">
        <f>VLOOKUP(BO19,坦克个性化细分!$I$3:$J$33,2,FALSE)</f>
        <v>高</v>
      </c>
      <c r="BR19" s="96">
        <f ca="1">(VLOOKUP($BO19&amp;"最终",$O$3:$AA$63,MATCH(BR$3,$O$3:$AA$3,0),FALSE)-VLOOKUP($BO19&amp;"初始",$O$3:$AA$63,MATCH(BR$3,$O$3:$AA$3,0),FALSE))*VLOOKUP(VLOOKUP($BO19,坦克个性化设定!$B$18:$E$48,4,FALSE)&amp;$BQ19,坦克属性分配比例,MATCH("部件比例",坦克属性分配比例标头,0),FALSE)</f>
        <v>579.50956377750845</v>
      </c>
      <c r="BS19" s="96">
        <f ca="1">(VLOOKUP($BO19&amp;"最终",$O$3:$AA$63,MATCH(BS$3,$O$3:$AA$3,0),FALSE)-VLOOKUP($BO19&amp;"初始",$O$3:$AA$63,MATCH(BS$3,$O$3:$AA$3,0),FALSE))*VLOOKUP(VLOOKUP($BO19,坦克个性化设定!$B$18:$E$48,4,FALSE)&amp;$BQ19,坦克属性分配比例,MATCH("部件比例",坦克属性分配比例标头,0),FALSE)</f>
        <v>100.67451861605902</v>
      </c>
      <c r="BT19" s="96">
        <f ca="1">(VLOOKUP($BO19&amp;"最终",$O$3:$AA$63,MATCH(BT$3,$O$3:$AA$3,0),FALSE)-VLOOKUP($BO19&amp;"初始",$O$3:$AA$63,MATCH(BT$3,$O$3:$AA$3,0),FALSE))*VLOOKUP(VLOOKUP($BO19,坦克个性化设定!$B$18:$E$48,4,FALSE)&amp;$BQ19,坦克属性分配比例,MATCH("部件比例",坦克属性分配比例标头,0),FALSE)*(1-$C$3)</f>
        <v>86.064120000000003</v>
      </c>
      <c r="BU19" s="96">
        <f ca="1">(VLOOKUP($BO19&amp;"最终",$O$3:$AA$63,MATCH(BU$3,$O$3:$AA$3,0),FALSE)-VLOOKUP($BO19&amp;"初始",$O$3:$AA$63,MATCH(BU$3,$O$3:$AA$3,0),FALSE))*VLOOKUP(VLOOKUP($BO19,坦克个性化设定!$B$18:$E$48,4,FALSE)&amp;$BQ19,坦克属性分配比例,MATCH("部件比例",坦克属性分配比例标头,0),FALSE)*(1-$C$3)</f>
        <v>64.629900000000006</v>
      </c>
      <c r="BV19" s="96">
        <f ca="1">(VLOOKUP($BO19&amp;"最终",$O$3:$AA$63,MATCH(BV$3,$O$3:$AA$3,0),FALSE)-VLOOKUP($BO19&amp;"初始",$O$3:$AA$63,MATCH(BV$3,$O$3:$AA$3,0),FALSE))*VLOOKUP(VLOOKUP($BO19,坦克个性化设定!$B$18:$E$48,4,FALSE)&amp;$BQ19,坦克属性分配比例,MATCH("部件比例",坦克属性分配比例标头,0),FALSE)</f>
        <v>235.61280000000002</v>
      </c>
    </row>
    <row r="20" spans="2:74" x14ac:dyDescent="0.35">
      <c r="B20" s="137">
        <v>15</v>
      </c>
      <c r="C20" s="176" t="str">
        <f>坦克个性化设定!B33</f>
        <v>谢尔曼</v>
      </c>
      <c r="D20" s="84"/>
      <c r="E20" s="84"/>
      <c r="F20" s="84"/>
      <c r="G20" s="84"/>
      <c r="H20" s="84"/>
      <c r="I20" s="84"/>
      <c r="J20" s="84"/>
      <c r="K20" s="84"/>
      <c r="L20" s="84"/>
      <c r="M20" s="84"/>
      <c r="N20" s="84"/>
      <c r="O20" s="426" t="str">
        <f t="shared" si="5"/>
        <v>BMP-3初始</v>
      </c>
      <c r="P20" s="137">
        <f>IF(COUNTIF(Q$4:Q19,Q19)&gt;=$B$3,P19+1,P19)</f>
        <v>9</v>
      </c>
      <c r="Q20" s="131" t="str">
        <f t="shared" si="6"/>
        <v>BMP-3</v>
      </c>
      <c r="R20" s="131" t="str">
        <f>VLOOKUP(Q20,坦克个性化设定!$B$18:$F$48,5,FALSE)</f>
        <v>轻坦半自动</v>
      </c>
      <c r="S20" s="177" t="str">
        <f>VLOOKUP(Q20,坦克个性化细分!$I$3:$J$33,2,FALSE)</f>
        <v>高</v>
      </c>
      <c r="T20" s="137" t="str">
        <f t="shared" si="12"/>
        <v>初始</v>
      </c>
      <c r="U20" s="178" t="str">
        <f>VLOOKUP(VLOOKUP(Q20,坦克个性化设定!$B$18:$F$48,4,FALSE)&amp;S20,坦克等级成长!$P$12:$U$24,MATCH(T20,坦克等级成长!$P$12:$U$12,0),FALSE)</f>
        <v>T4高4</v>
      </c>
      <c r="V20" s="96">
        <f ca="1">VLOOKUP($U20,INDIRECT($R20&amp;"_阶段属性"),MATCH(V$3,属性标头_阶段属性,0),FALSE)*VLOOKUP($Q20,坦克个性化设定!$B$84:$D$114,2,FALSE)</f>
        <v>1841.0262799240948</v>
      </c>
      <c r="W20" s="96">
        <f ca="1">VLOOKUP($U20,INDIRECT($R20&amp;"_阶段属性"),MATCH(W$3,属性标头_阶段属性,0),FALSE)*VLOOKUP($Q20,坦克个性化设定!$B$84:$D$114,3,FALSE)</f>
        <v>95.838951967673651</v>
      </c>
      <c r="X20" s="131">
        <f t="shared" ca="1" si="13"/>
        <v>618</v>
      </c>
      <c r="Y20" s="131">
        <f t="shared" ca="1" si="13"/>
        <v>433</v>
      </c>
      <c r="Z20" s="131">
        <f t="shared" ca="1" si="13"/>
        <v>618</v>
      </c>
      <c r="AA20" s="131">
        <f t="shared" ca="1" si="13"/>
        <v>165</v>
      </c>
      <c r="AC20" s="195">
        <v>17</v>
      </c>
      <c r="AD20" s="193" t="str">
        <f t="shared" si="7"/>
        <v>M-48</v>
      </c>
      <c r="AE20" s="195">
        <f>VLOOKUP($AD20,坦克个性化细分!$I$3:$P$33,MATCH(AE$3,坦克个性化细分!$I$3:$P$3,0),FALSE)</f>
        <v>44.5</v>
      </c>
      <c r="AF20" s="195">
        <f>VLOOKUP($AD20,坦克个性化细分!$I$3:$P$33,MATCH(AF$3,坦克个性化细分!$I$3:$P$3,0),FALSE)</f>
        <v>40</v>
      </c>
      <c r="AG20" s="195">
        <f>VLOOKUP($AD20,坦克个性化细分!$I$3:$P$33,MATCH(AG$3,坦克个性化细分!$I$3:$P$3,0),FALSE)</f>
        <v>12.3</v>
      </c>
      <c r="AH20" s="206">
        <f>VLOOKUP(AD20,坦克个性化细分!$AA$3:$AP$33,MATCH("射击偏移角",坦克个性化细分!$AA$3:$AP$3,0),FALSE)/VLOOKUP(AD20,坦克个性化细分!$AA$3:$AP$33,MATCH("原瞄准速度",坦克个性化细分!$AA$3:$AP$3,0),FALSE)</f>
        <v>1.4416666666666667</v>
      </c>
      <c r="AI20" s="206">
        <f>VLOOKUP(AD20,坦克个性化细分!$AA$3:$AP$33,MATCH(AI$3,坦克个性化细分!$AA$3:$AP$3,0),FALSE)</f>
        <v>0.87999999999999989</v>
      </c>
      <c r="AJ20" s="462">
        <f>VLOOKUP(AD20,坦克个性化细分!$AA$3:$AP$33,MATCH("原换弹时间",坦克个性化细分!$AA$3:$AP$3,0),FALSE)</f>
        <v>4</v>
      </c>
      <c r="AK20" s="208"/>
      <c r="AL20" s="195">
        <v>17</v>
      </c>
      <c r="AM20" s="193" t="str">
        <f t="shared" si="8"/>
        <v>M-48</v>
      </c>
      <c r="AN20" s="206">
        <f>VLOOKUP(AM20,坦克个性化细分!$I$3:$P$33,MATCH("养成区间1",坦克个性化细分!$I$3:$P$3,0),FALSE)</f>
        <v>11.124999999999998</v>
      </c>
      <c r="AO20" s="462">
        <f>VLOOKUP(AM20,坦克个性化细分!$I$3:$P$33,MATCH("养成区间2",坦克个性化细分!$I$3:$P$3,0),FALSE)</f>
        <v>9.9999999999999982</v>
      </c>
      <c r="AP20" s="462">
        <f>VLOOKUP(AM20,坦克个性化细分!$I$3:$P$33,MATCH("养成区间3",坦克个性化细分!$I$3:$P$3,0),FALSE)</f>
        <v>4.0199999999999996</v>
      </c>
      <c r="AQ20" s="206">
        <f>VLOOKUP(AM20,坦克个性化细分!$AA$3:$AP$33,MATCH("瞄准区间",坦克个性化细分!$AA$3:$AP$3,0),FALSE)</f>
        <v>0.24027777777777781</v>
      </c>
      <c r="AR20" s="206">
        <f>VLOOKUP(AD20,坦克个性化细分!$AA$3:$AP$33,MATCH("后射击间隔",坦克个性化细分!$AA$3:$AP$3,0),FALSE)-VLOOKUP(AD20,坦克个性化细分!$AA$3:$AP$33,MATCH(AI$3,坦克个性化细分!$AA$3:$AP$3,0),FALSE)</f>
        <v>-0.12999999999999989</v>
      </c>
      <c r="AS20" s="206">
        <f>VLOOKUP(AM20,坦克个性化细分!$AA$3:$AP$33,MATCH("换弹区间",坦克个性化细分!$AA$3:$AP$3,0),FALSE)</f>
        <v>1.2413793103448283</v>
      </c>
      <c r="AT20" s="208"/>
      <c r="AU20" s="364" t="str">
        <f t="shared" si="9"/>
        <v>Puma4</v>
      </c>
      <c r="AV20" s="183">
        <f>IF(AY19&gt;=VLOOKUP(VLOOKUP(AW19,坦克个性化设定!$B$18:$E$48,4,FALSE)&amp;AX19,坦克属性分配比例,MATCH("升星次数",坦克属性分配比例标头,0),FALSE),AV19+1,AV19)</f>
        <v>3</v>
      </c>
      <c r="AW20" s="131" t="str">
        <f t="shared" si="10"/>
        <v>Puma</v>
      </c>
      <c r="AX20" s="177" t="str">
        <f>VLOOKUP(AW20,坦克个性化细分!$I$3:$J$33,2,FALSE)</f>
        <v>中</v>
      </c>
      <c r="AY20" s="183">
        <f t="shared" si="1"/>
        <v>4</v>
      </c>
      <c r="AZ20" s="486">
        <f ca="1">ROUND(VLOOKUP($AW20&amp;"初始",$O$3:$AA$63,MATCH(AZ$3,$O$3:$AA$3,0),FALSE)+((VLOOKUP($AW20&amp;"最终",$O$3:$AA$63,MATCH(AZ$3,$O$3:$AA$3,0),FALSE)*坦克个性化细分!$C$9-VLOOKUP($AW20&amp;"初始",$O$3:$AA$63,MATCH(AZ$3,$O$3:$AA$3,0),FALSE))-(VLOOKUP($AW20&amp;"最终",$O$3:$AA$63,MATCH(AZ$3,$O$3:$AA$3,0),FALSE)-VLOOKUP($AW20&amp;"初始",$O$3:$AA$63,MATCH(AZ$3,$O$3:$AA$3,0),FALSE))*VLOOKUP(VLOOKUP($AW20,坦克个性化设定!$B$18:$E$48,4,FALSE)&amp;$AX20,坦克属性分配比例,MATCH("部件比例",坦克属性分配比例标头,0),FALSE))*$AY20/VLOOKUP(VLOOKUP($AW20,坦克个性化设定!$B$18:$E$48,4,FALSE)&amp;$AX20,坦克属性分配比例,MATCH("升星次数",坦克属性分配比例标头,0),FALSE),0)</f>
        <v>1535</v>
      </c>
      <c r="BA20" s="426">
        <f ca="1">ROUND(VLOOKUP($AW20&amp;"初始",$O$3:$AA$63,MATCH(BA$3,$O$3:$AA$3,0),FALSE)+(VLOOKUP($AW20&amp;"最终",$O$3:$AA$63,MATCH(BA$3,$O$3:$AA$3,0),FALSE)-VLOOKUP($AW20&amp;"初始",$O$3:$AA$63,MATCH(BA$3,$O$3:$AA$3,0),FALSE))*$AY20/VLOOKUP(VLOOKUP($AW20,坦克个性化设定!$B$18:$E$48,4,FALSE)&amp;$AX20,坦克属性分配比例,MATCH("升星次数",坦克属性分配比例标头,0),FALSE)*VLOOKUP(VLOOKUP($AW20,坦克个性化设定!$B$18:$E$48,4,FALSE)&amp;$AX20,坦克属性分配比例,MATCH("升星比例",坦克属性分配比例标头,0),FALSE),0)</f>
        <v>57</v>
      </c>
      <c r="BB20" s="486">
        <f ca="1">ROUND(VLOOKUP($AW20&amp;"初始",$O$3:$AA$63,MATCH(BB$3,$O$3:$AA$3,0),FALSE)+(VLOOKUP($AW20&amp;"最终",$O$3:$AA$63,MATCH(BB$3,$O$3:$AA$3,0),FALSE)-VLOOKUP($AW20&amp;"初始",$O$3:$AA$63,MATCH(BB$3,$O$3:$AA$3,0),FALSE))*$AY20/VLOOKUP(VLOOKUP($AW20,坦克个性化设定!$B$18:$E$48,4,FALSE)&amp;$AX20,坦克属性分配比例,MATCH("升星次数",坦克属性分配比例标头,0),FALSE)*(VLOOKUP(VLOOKUP($AW20,坦克个性化设定!$B$18:$E$48,4,FALSE)&amp;$AX20,坦克属性分配比例,MATCH("升星比例",坦克属性分配比例标头,0),FALSE)+VLOOKUP(VLOOKUP($AW20,坦克个性化设定!$B$18:$E$48,4,FALSE)&amp;$AX20,坦克属性分配比例,MATCH("部件比例",坦克属性分配比例标头,0),FALSE)*$C$3),0)</f>
        <v>479</v>
      </c>
      <c r="BC20" s="486">
        <f ca="1">ROUND(VLOOKUP($AW20&amp;"初始",$O$3:$AA$63,MATCH(BC$3,$O$3:$AA$3,0),FALSE)+(VLOOKUP($AW20&amp;"最终",$O$3:$AA$63,MATCH(BC$3,$O$3:$AA$3,0),FALSE)-VLOOKUP($AW20&amp;"初始",$O$3:$AA$63,MATCH(BC$3,$O$3:$AA$3,0),FALSE))*$AY20/VLOOKUP(VLOOKUP($AW20,坦克个性化设定!$B$18:$E$48,4,FALSE)&amp;$AX20,坦克属性分配比例,MATCH("升星次数",坦克属性分配比例标头,0),FALSE)*(VLOOKUP(VLOOKUP($AW20,坦克个性化设定!$B$18:$E$48,4,FALSE)&amp;$AX20,坦克属性分配比例,MATCH("升星比例",坦克属性分配比例标头,0),FALSE)+VLOOKUP(VLOOKUP($AW20,坦克个性化设定!$B$18:$E$48,4,FALSE)&amp;$AX20,坦克属性分配比例,MATCH("部件比例",坦克属性分配比例标头,0),FALSE)*$C$3),0)</f>
        <v>335</v>
      </c>
      <c r="BD20" s="426">
        <f ca="1">ROUND(VLOOKUP($AW20&amp;"初始",$O$3:$AA$63,MATCH(BD$3,$O$3:$AA$3,0),FALSE)+(VLOOKUP($AW20&amp;"最终",$O$3:$AA$63,MATCH(BD$3,$O$3:$AA$3,0),FALSE)-VLOOKUP($AW20&amp;"初始",$O$3:$AA$63,MATCH(BD$3,$O$3:$AA$3,0),FALSE))*$AY20/VLOOKUP(VLOOKUP($AW20,坦克个性化设定!$B$18:$E$48,4,FALSE)&amp;$AX20,坦克属性分配比例,MATCH("升星次数",坦克属性分配比例标头,0),FALSE)*VLOOKUP(VLOOKUP($AW20,坦克个性化设定!$B$18:$E$48,4,FALSE)&amp;$AX20,坦克属性分配比例,MATCH("升星比例",坦克属性分配比例标头,0),FALSE),0)</f>
        <v>455</v>
      </c>
      <c r="BE20" s="426">
        <f ca="1">ROUND(VLOOKUP($AW20&amp;"初始",$O$3:$AA$63,MATCH(BE$3,$O$3:$AA$3,0),FALSE)+(VLOOKUP($AW20&amp;"最终",$O$3:$AA$63,MATCH(BE$3,$O$3:$AA$3,0),FALSE)-VLOOKUP($AW20&amp;"初始",$O$3:$AA$63,MATCH(BE$3,$O$3:$AA$3,0),FALSE))*$AY20/VLOOKUP(VLOOKUP($AW20,坦克个性化设定!$B$18:$E$48,4,FALSE)&amp;$AX20,坦克属性分配比例,MATCH("升星次数",坦克属性分配比例标头,0),FALSE),0)</f>
        <v>132</v>
      </c>
      <c r="BF20" s="462">
        <f>ROUND(VLOOKUP($AW20,$AD$3:$AJ$33,MATCH(BF$3,$AD$3:$AJ$3,0),FALSE)+$AY20/VLOOKUP(VLOOKUP($AW20,坦克个性化设定!$B$18:$E$48,4,FALSE)&amp;$AX20,坦克属性分配比例,MATCH("升星次数",坦克属性分配比例标头,0),FALSE)*VLOOKUP($AW20,$AM$3:$AS$33,MATCH(BF$3,$AM$3:$AS$3,0),FALSE),1)</f>
        <v>47.2</v>
      </c>
      <c r="BG20" s="462">
        <f>ROUND(VLOOKUP($AW20,$AD$3:$AJ$33,MATCH(BG$3,$AD$3:$AJ$3,0),FALSE)+$AY20/VLOOKUP(VLOOKUP($AW20,坦克个性化设定!$B$18:$E$48,4,FALSE)&amp;$AX20,坦克属性分配比例,MATCH("升星次数",坦克属性分配比例标头,0),FALSE)*VLOOKUP($AW20,$AM$3:$AS$33,MATCH(BG$3,$AM$3:$AS$3,0),FALSE),1)</f>
        <v>55.6</v>
      </c>
      <c r="BH20" s="462">
        <f>ROUND(VLOOKUP($AW20,$AD$3:$AJ$33,MATCH(BH$3,$AD$3:$AJ$3,0),FALSE)+$AY20/VLOOKUP(VLOOKUP($AW20,坦克个性化设定!$B$18:$E$48,4,FALSE)&amp;$AX20,坦克属性分配比例,MATCH("升星次数",坦克属性分配比例标头,0),FALSE)*VLOOKUP($AW20,$AM$3:$AS$33,MATCH(BH$3,$AM$3:$AS$3,0),FALSE),1)</f>
        <v>15.8</v>
      </c>
      <c r="BI20" s="654">
        <f>IF(VLOOKUP(AW20,坦克个性化设定!$B$18:$BB$48,MATCH("装弹类型",坦克个性化设定!$B$18:$BB$18,0),FALSE)="弹夹换弹",0,ROUND(VLOOKUP($AW20,$AD$3:$AJ$33,MATCH("换弹时间",$AD$3:$AJ$3,0),FALSE)-$AY20/VLOOKUP(VLOOKUP($AW20,坦克个性化设定!$B$18:$E$48,4,FALSE)&amp;$AX20,坦克属性分配比例,MATCH("升星次数",坦克属性分配比例标头,0),FALSE)*VLOOKUP($AW20,$AM$3:$AS$33,MATCH("换弹时间",$AM$3:$AS$3,0),FALSE),2))</f>
        <v>0.96</v>
      </c>
      <c r="BJ20" s="462">
        <f>IF(VLOOKUP(AW20,坦克个性化设定!$B$18:$BB$48,MATCH("装弹类型",坦克个性化设定!$B$18:$BB$18,0),FALSE)="弹夹换弹",ROUND(VLOOKUP($AW20,$AD$3:$AJ$33,MATCH("换弹时间",$AD$3:$AJ$3,0),FALSE)-$AY20/VLOOKUP(VLOOKUP($AW20,坦克个性化设定!$B$18:$E$48,4,FALSE)&amp;$AX20,坦克属性分配比例,MATCH("升星次数",坦克属性分配比例标头,0),FALSE)*VLOOKUP($AW20,$AM$3:$AS$33,MATCH("换弹时间",$AM$3:$AS$3,0),FALSE),1),0)</f>
        <v>0</v>
      </c>
      <c r="BK20" s="462">
        <f>ROUND(VLOOKUP($AW20,$AD$3:$AJ$33,MATCH(BK$3,$AD$3:$AJ$3,0),FALSE)+$AY20/VLOOKUP(VLOOKUP($AW20,坦克个性化设定!$B$18:$E$48,4,FALSE)&amp;$AX20,坦克属性分配比例,MATCH("升星次数",坦克属性分配比例标头,0),FALSE)*VLOOKUP($AW20,$AM$3:$AS$33,MATCH(BK$3,$AM$3:$AS$3,0),FALSE),2)</f>
        <v>0.4</v>
      </c>
      <c r="BL20" s="462">
        <f>ROUND(VLOOKUP($AW20,$AD$3:$AJ$33,MATCH(BL$3,$AD$3:$AJ$3,0),FALSE)-$AY20/VLOOKUP(VLOOKUP($AW20,坦克个性化设定!$B$18:$E$48,4,FALSE)&amp;$AX20,坦克属性分配比例,MATCH("升星次数",坦克属性分配比例标头,0),FALSE)*VLOOKUP($AW20,$AM$3:$AS$33,MATCH(BL$3,$AM$3:$AS$3,0),FALSE),2)</f>
        <v>1.1499999999999999</v>
      </c>
      <c r="BN20" s="183">
        <v>17</v>
      </c>
      <c r="BO20" s="131" t="str">
        <f t="shared" si="11"/>
        <v>M-48</v>
      </c>
      <c r="BP20" s="131" t="str">
        <f>VLOOKUP(BO20,坦克个性化设定!$B$18:$F$48,5,FALSE)</f>
        <v>中坦弹夹</v>
      </c>
      <c r="BQ20" s="177" t="str">
        <f>VLOOKUP(BO20,坦克个性化细分!$I$3:$J$33,2,FALSE)</f>
        <v>低</v>
      </c>
      <c r="BR20" s="96">
        <f ca="1">(VLOOKUP($BO20&amp;"最终",$O$3:$AA$63,MATCH(BR$3,$O$3:$AA$3,0),FALSE)-VLOOKUP($BO20&amp;"初始",$O$3:$AA$63,MATCH(BR$3,$O$3:$AA$3,0),FALSE))*VLOOKUP(VLOOKUP($BO20,坦克个性化设定!$B$18:$E$48,4,FALSE)&amp;$BQ20,坦克属性分配比例,MATCH("部件比例",坦克属性分配比例标头,0),FALSE)</f>
        <v>724.72619305260889</v>
      </c>
      <c r="BS20" s="96">
        <f ca="1">(VLOOKUP($BO20&amp;"最终",$O$3:$AA$63,MATCH(BS$3,$O$3:$AA$3,0),FALSE)-VLOOKUP($BO20&amp;"初始",$O$3:$AA$63,MATCH(BS$3,$O$3:$AA$3,0),FALSE))*VLOOKUP(VLOOKUP($BO20,坦克个性化设定!$B$18:$E$48,4,FALSE)&amp;$BQ20,坦克属性分配比例,MATCH("部件比例",坦克属性分配比例标头,0),FALSE)</f>
        <v>42.309861867976018</v>
      </c>
      <c r="BT20" s="96">
        <f ca="1">(VLOOKUP($BO20&amp;"最终",$O$3:$AA$63,MATCH(BT$3,$O$3:$AA$3,0),FALSE)-VLOOKUP($BO20&amp;"初始",$O$3:$AA$63,MATCH(BT$3,$O$3:$AA$3,0),FALSE))*VLOOKUP(VLOOKUP($BO20,坦克个性化设定!$B$18:$E$48,4,FALSE)&amp;$BQ20,坦克属性分配比例,MATCH("部件比例",坦克属性分配比例标头,0),FALSE)*(1-$C$3)</f>
        <v>87.813440000000014</v>
      </c>
      <c r="BU20" s="96">
        <f ca="1">(VLOOKUP($BO20&amp;"最终",$O$3:$AA$63,MATCH(BU$3,$O$3:$AA$3,0),FALSE)-VLOOKUP($BO20&amp;"初始",$O$3:$AA$63,MATCH(BU$3,$O$3:$AA$3,0),FALSE))*VLOOKUP(VLOOKUP($BO20,坦克个性化设定!$B$18:$E$48,4,FALSE)&amp;$BQ20,坦克属性分配比例,MATCH("部件比例",坦克属性分配比例标头,0),FALSE)*(1-$C$3)</f>
        <v>65.70656000000001</v>
      </c>
      <c r="BV20" s="96">
        <f ca="1">(VLOOKUP($BO20&amp;"最终",$O$3:$AA$63,MATCH(BV$3,$O$3:$AA$3,0),FALSE)-VLOOKUP($BO20&amp;"初始",$O$3:$AA$63,MATCH(BV$3,$O$3:$AA$3,0),FALSE))*VLOOKUP(VLOOKUP($BO20,坦克个性化设定!$B$18:$E$48,4,FALSE)&amp;$BQ20,坦克属性分配比例,MATCH("部件比例",坦克属性分配比例标头,0),FALSE)</f>
        <v>276.33600000000001</v>
      </c>
    </row>
    <row r="21" spans="2:74" x14ac:dyDescent="0.35">
      <c r="B21" s="137">
        <v>16</v>
      </c>
      <c r="C21" s="176" t="str">
        <f>坦克个性化设定!B34</f>
        <v>彗星</v>
      </c>
      <c r="D21" s="84"/>
      <c r="E21" s="84"/>
      <c r="F21" s="84"/>
      <c r="G21" s="84"/>
      <c r="H21" s="84"/>
      <c r="I21" s="84"/>
      <c r="J21" s="84"/>
      <c r="K21" s="84"/>
      <c r="L21" s="84"/>
      <c r="M21" s="84"/>
      <c r="N21" s="84"/>
      <c r="O21" s="426" t="str">
        <f t="shared" si="5"/>
        <v>BMP-3最终</v>
      </c>
      <c r="P21" s="137">
        <f>IF(COUNTIF(Q$4:Q20,Q20)&gt;=$B$3,P20+1,P20)</f>
        <v>9</v>
      </c>
      <c r="Q21" s="131" t="str">
        <f t="shared" si="6"/>
        <v>BMP-3</v>
      </c>
      <c r="R21" s="131" t="str">
        <f>VLOOKUP(Q21,坦克个性化设定!$B$18:$F$48,5,FALSE)</f>
        <v>轻坦半自动</v>
      </c>
      <c r="S21" s="177" t="str">
        <f>VLOOKUP(Q21,坦克个性化细分!$I$3:$J$33,2,FALSE)</f>
        <v>高</v>
      </c>
      <c r="T21" s="137" t="str">
        <f t="shared" si="12"/>
        <v>最终</v>
      </c>
      <c r="U21" s="178" t="str">
        <f>VLOOKUP(VLOOKUP(Q21,坦克个性化设定!$B$18:$F$48,4,FALSE)&amp;S21,坦克等级成长!$P$12:$U$24,MATCH(T21,坦克等级成长!$P$12:$U$12,0),FALSE)</f>
        <v>T4高6</v>
      </c>
      <c r="V21" s="96">
        <f ca="1">VLOOKUP($U21,INDIRECT($R21&amp;"_阶段属性"),MATCH(V$3,属性标头_阶段属性,0),FALSE)*VLOOKUP($Q21,坦克个性化设定!$B$84:$D$114,2,FALSE)</f>
        <v>3574.808310532223</v>
      </c>
      <c r="W21" s="96">
        <f ca="1">VLOOKUP($U21,INDIRECT($R21&amp;"_阶段属性"),MATCH(W$3,属性标头_阶段属性,0),FALSE)*VLOOKUP($Q21,坦克个性化设定!$B$84:$D$114,3,FALSE)</f>
        <v>185.81021299855095</v>
      </c>
      <c r="X21" s="131">
        <f t="shared" ca="1" si="13"/>
        <v>1200</v>
      </c>
      <c r="Y21" s="131">
        <f t="shared" ca="1" si="13"/>
        <v>840</v>
      </c>
      <c r="Z21" s="131">
        <f t="shared" ca="1" si="13"/>
        <v>1200</v>
      </c>
      <c r="AA21" s="131">
        <f t="shared" ca="1" si="13"/>
        <v>320</v>
      </c>
      <c r="AC21" s="195">
        <v>18</v>
      </c>
      <c r="AD21" s="193" t="str">
        <f t="shared" si="7"/>
        <v>潘兴</v>
      </c>
      <c r="AE21" s="195">
        <f>VLOOKUP($AD21,坦克个性化细分!$I$3:$P$33,MATCH(AE$3,坦克个性化细分!$I$3:$P$3,0),FALSE)</f>
        <v>36.299999999999997</v>
      </c>
      <c r="AF21" s="195">
        <f>VLOOKUP($AD21,坦克个性化细分!$I$3:$P$33,MATCH(AF$3,坦克个性化细分!$I$3:$P$3,0),FALSE)</f>
        <v>51</v>
      </c>
      <c r="AG21" s="195">
        <f>VLOOKUP($AD21,坦克个性化细分!$I$3:$P$33,MATCH(AG$3,坦克个性化细分!$I$3:$P$3,0),FALSE)</f>
        <v>11.3</v>
      </c>
      <c r="AH21" s="206">
        <f>VLOOKUP(AD21,坦克个性化细分!$AA$3:$AP$33,MATCH("射击偏移角",坦克个性化细分!$AA$3:$AP$3,0),FALSE)/VLOOKUP(AD21,坦克个性化细分!$AA$3:$AP$33,MATCH("原瞄准速度",坦克个性化细分!$AA$3:$AP$3,0),FALSE)</f>
        <v>2.4</v>
      </c>
      <c r="AI21" s="206">
        <f>VLOOKUP(AD21,坦克个性化细分!$AA$3:$AP$33,MATCH(AI$3,坦克个性化细分!$AA$3:$AP$3,0),FALSE)</f>
        <v>0</v>
      </c>
      <c r="AJ21" s="462">
        <f>VLOOKUP(AD21,坦克个性化细分!$AA$3:$AP$33,MATCH("原换弹时间",坦克个性化细分!$AA$3:$AP$3,0),FALSE)</f>
        <v>4.5</v>
      </c>
      <c r="AK21" s="208"/>
      <c r="AL21" s="195">
        <v>18</v>
      </c>
      <c r="AM21" s="193" t="str">
        <f t="shared" si="8"/>
        <v>潘兴</v>
      </c>
      <c r="AN21" s="206">
        <f>VLOOKUP(AM21,坦克个性化细分!$I$3:$P$33,MATCH("养成区间1",坦克个性化细分!$I$3:$P$3,0),FALSE)</f>
        <v>9.0749999999999957</v>
      </c>
      <c r="AO21" s="462">
        <f>VLOOKUP(AM21,坦克个性化细分!$I$3:$P$33,MATCH("养成区间2",坦克个性化细分!$I$3:$P$3,0),FALSE)</f>
        <v>12.749999999999996</v>
      </c>
      <c r="AP21" s="462">
        <f>VLOOKUP(AM21,坦克个性化细分!$I$3:$P$33,MATCH("养成区间3",坦克个性化细分!$I$3:$P$3,0),FALSE)</f>
        <v>3.69</v>
      </c>
      <c r="AQ21" s="206">
        <f>VLOOKUP(AM21,坦克个性化细分!$AA$3:$AP$33,MATCH("瞄准区间",坦克个性化细分!$AA$3:$AP$3,0),FALSE)</f>
        <v>0.39999999999999991</v>
      </c>
      <c r="AR21" s="206">
        <f>VLOOKUP(AD21,坦克个性化细分!$AA$3:$AP$33,MATCH("后射击间隔",坦克个性化细分!$AA$3:$AP$3,0),FALSE)-VLOOKUP(AD21,坦克个性化细分!$AA$3:$AP$33,MATCH(AI$3,坦克个性化细分!$AA$3:$AP$3,0),FALSE)</f>
        <v>0</v>
      </c>
      <c r="AS21" s="206">
        <f>VLOOKUP(AM21,坦克个性化细分!$AA$3:$AP$33,MATCH("换弹区间",坦克个性化细分!$AA$3:$AP$3,0),FALSE)</f>
        <v>1.0973534971644616</v>
      </c>
      <c r="AT21" s="208"/>
      <c r="AU21" s="364" t="str">
        <f t="shared" si="9"/>
        <v>Puma5</v>
      </c>
      <c r="AV21" s="183">
        <f>IF(AY20&gt;=VLOOKUP(VLOOKUP(AW20,坦克个性化设定!$B$18:$E$48,4,FALSE)&amp;AX20,坦克属性分配比例,MATCH("升星次数",坦克属性分配比例标头,0),FALSE),AV20+1,AV20)</f>
        <v>3</v>
      </c>
      <c r="AW21" s="131" t="str">
        <f t="shared" si="10"/>
        <v>Puma</v>
      </c>
      <c r="AX21" s="177" t="str">
        <f>VLOOKUP(AW21,坦克个性化细分!$I$3:$J$33,2,FALSE)</f>
        <v>中</v>
      </c>
      <c r="AY21" s="183">
        <f t="shared" si="1"/>
        <v>5</v>
      </c>
      <c r="AZ21" s="486">
        <f ca="1">ROUND(VLOOKUP($AW21&amp;"初始",$O$3:$AA$63,MATCH(AZ$3,$O$3:$AA$3,0),FALSE)+((VLOOKUP($AW21&amp;"最终",$O$3:$AA$63,MATCH(AZ$3,$O$3:$AA$3,0),FALSE)*坦克个性化细分!$C$9-VLOOKUP($AW21&amp;"初始",$O$3:$AA$63,MATCH(AZ$3,$O$3:$AA$3,0),FALSE))-(VLOOKUP($AW21&amp;"最终",$O$3:$AA$63,MATCH(AZ$3,$O$3:$AA$3,0),FALSE)-VLOOKUP($AW21&amp;"初始",$O$3:$AA$63,MATCH(AZ$3,$O$3:$AA$3,0),FALSE))*VLOOKUP(VLOOKUP($AW21,坦克个性化设定!$B$18:$E$48,4,FALSE)&amp;$AX21,坦克属性分配比例,MATCH("部件比例",坦克属性分配比例标头,0),FALSE))*$AY21/VLOOKUP(VLOOKUP($AW21,坦克个性化设定!$B$18:$E$48,4,FALSE)&amp;$AX21,坦克属性分配比例,MATCH("升星次数",坦克属性分配比例标头,0),FALSE),0)</f>
        <v>1653</v>
      </c>
      <c r="BA21" s="426">
        <f ca="1">ROUND(VLOOKUP($AW21&amp;"初始",$O$3:$AA$63,MATCH(BA$3,$O$3:$AA$3,0),FALSE)+(VLOOKUP($AW21&amp;"最终",$O$3:$AA$63,MATCH(BA$3,$O$3:$AA$3,0),FALSE)-VLOOKUP($AW21&amp;"初始",$O$3:$AA$63,MATCH(BA$3,$O$3:$AA$3,0),FALSE))*$AY21/VLOOKUP(VLOOKUP($AW21,坦克个性化设定!$B$18:$E$48,4,FALSE)&amp;$AX21,坦克属性分配比例,MATCH("升星次数",坦克属性分配比例标头,0),FALSE)*VLOOKUP(VLOOKUP($AW21,坦克个性化设定!$B$18:$E$48,4,FALSE)&amp;$AX21,坦克属性分配比例,MATCH("升星比例",坦克属性分配比例标头,0),FALSE),0)</f>
        <v>60</v>
      </c>
      <c r="BB21" s="486">
        <f ca="1">ROUND(VLOOKUP($AW21&amp;"初始",$O$3:$AA$63,MATCH(BB$3,$O$3:$AA$3,0),FALSE)+(VLOOKUP($AW21&amp;"最终",$O$3:$AA$63,MATCH(BB$3,$O$3:$AA$3,0),FALSE)-VLOOKUP($AW21&amp;"初始",$O$3:$AA$63,MATCH(BB$3,$O$3:$AA$3,0),FALSE))*$AY21/VLOOKUP(VLOOKUP($AW21,坦克个性化设定!$B$18:$E$48,4,FALSE)&amp;$AX21,坦克属性分配比例,MATCH("升星次数",坦克属性分配比例标头,0),FALSE)*(VLOOKUP(VLOOKUP($AW21,坦克个性化设定!$B$18:$E$48,4,FALSE)&amp;$AX21,坦克属性分配比例,MATCH("升星比例",坦克属性分配比例标头,0),FALSE)+VLOOKUP(VLOOKUP($AW21,坦克个性化设定!$B$18:$E$48,4,FALSE)&amp;$AX21,坦克属性分配比例,MATCH("部件比例",坦克属性分配比例标头,0),FALSE)*$C$3),0)</f>
        <v>507</v>
      </c>
      <c r="BC21" s="486">
        <f ca="1">ROUND(VLOOKUP($AW21&amp;"初始",$O$3:$AA$63,MATCH(BC$3,$O$3:$AA$3,0),FALSE)+(VLOOKUP($AW21&amp;"最终",$O$3:$AA$63,MATCH(BC$3,$O$3:$AA$3,0),FALSE)-VLOOKUP($AW21&amp;"初始",$O$3:$AA$63,MATCH(BC$3,$O$3:$AA$3,0),FALSE))*$AY21/VLOOKUP(VLOOKUP($AW21,坦克个性化设定!$B$18:$E$48,4,FALSE)&amp;$AX21,坦克属性分配比例,MATCH("升星次数",坦克属性分配比例标头,0),FALSE)*(VLOOKUP(VLOOKUP($AW21,坦克个性化设定!$B$18:$E$48,4,FALSE)&amp;$AX21,坦克属性分配比例,MATCH("升星比例",坦克属性分配比例标头,0),FALSE)+VLOOKUP(VLOOKUP($AW21,坦克个性化设定!$B$18:$E$48,4,FALSE)&amp;$AX21,坦克属性分配比例,MATCH("部件比例",坦克属性分配比例标头,0),FALSE)*$C$3),0)</f>
        <v>355</v>
      </c>
      <c r="BD21" s="426">
        <f ca="1">ROUND(VLOOKUP($AW21&amp;"初始",$O$3:$AA$63,MATCH(BD$3,$O$3:$AA$3,0),FALSE)+(VLOOKUP($AW21&amp;"最终",$O$3:$AA$63,MATCH(BD$3,$O$3:$AA$3,0),FALSE)-VLOOKUP($AW21&amp;"初始",$O$3:$AA$63,MATCH(BD$3,$O$3:$AA$3,0),FALSE))*$AY21/VLOOKUP(VLOOKUP($AW21,坦克个性化设定!$B$18:$E$48,4,FALSE)&amp;$AX21,坦克属性分配比例,MATCH("升星次数",坦克属性分配比例标头,0),FALSE)*VLOOKUP(VLOOKUP($AW21,坦克个性化设定!$B$18:$E$48,4,FALSE)&amp;$AX21,坦克属性分配比例,MATCH("升星比例",坦克属性分配比例标头,0),FALSE),0)</f>
        <v>477</v>
      </c>
      <c r="BE21" s="426">
        <f ca="1">ROUND(VLOOKUP($AW21&amp;"初始",$O$3:$AA$63,MATCH(BE$3,$O$3:$AA$3,0),FALSE)+(VLOOKUP($AW21&amp;"最终",$O$3:$AA$63,MATCH(BE$3,$O$3:$AA$3,0),FALSE)-VLOOKUP($AW21&amp;"初始",$O$3:$AA$63,MATCH(BE$3,$O$3:$AA$3,0),FALSE))*$AY21/VLOOKUP(VLOOKUP($AW21,坦克个性化设定!$B$18:$E$48,4,FALSE)&amp;$AX21,坦克属性分配比例,MATCH("升星次数",坦克属性分配比例标头,0),FALSE),0)</f>
        <v>140</v>
      </c>
      <c r="BF21" s="462">
        <f>ROUND(VLOOKUP($AW21,$AD$3:$AJ$33,MATCH(BF$3,$AD$3:$AJ$3,0),FALSE)+$AY21/VLOOKUP(VLOOKUP($AW21,坦克个性化设定!$B$18:$E$48,4,FALSE)&amp;$AX21,坦克属性分配比例,MATCH("升星次数",坦克属性分配比例标头,0),FALSE)*VLOOKUP($AW21,$AM$3:$AS$33,MATCH(BF$3,$AM$3:$AS$3,0),FALSE),1)</f>
        <v>48.2</v>
      </c>
      <c r="BG21" s="462">
        <f>ROUND(VLOOKUP($AW21,$AD$3:$AJ$33,MATCH(BG$3,$AD$3:$AJ$3,0),FALSE)+$AY21/VLOOKUP(VLOOKUP($AW21,坦克个性化设定!$B$18:$E$48,4,FALSE)&amp;$AX21,坦克属性分配比例,MATCH("升星次数",坦克属性分配比例标头,0),FALSE)*VLOOKUP($AW21,$AM$3:$AS$33,MATCH(BG$3,$AM$3:$AS$3,0),FALSE),1)</f>
        <v>56.8</v>
      </c>
      <c r="BH21" s="462">
        <f>ROUND(VLOOKUP($AW21,$AD$3:$AJ$33,MATCH(BH$3,$AD$3:$AJ$3,0),FALSE)+$AY21/VLOOKUP(VLOOKUP($AW21,坦克个性化设定!$B$18:$E$48,4,FALSE)&amp;$AX21,坦克属性分配比例,MATCH("升星次数",坦克属性分配比例标头,0),FALSE)*VLOOKUP($AW21,$AM$3:$AS$33,MATCH(BH$3,$AM$3:$AS$3,0),FALSE),1)</f>
        <v>16.2</v>
      </c>
      <c r="BI21" s="654">
        <f>IF(VLOOKUP(AW21,坦克个性化设定!$B$18:$BB$48,MATCH("装弹类型",坦克个性化设定!$B$18:$BB$18,0),FALSE)="弹夹换弹",0,ROUND(VLOOKUP($AW21,$AD$3:$AJ$33,MATCH("换弹时间",$AD$3:$AJ$3,0),FALSE)-$AY21/VLOOKUP(VLOOKUP($AW21,坦克个性化设定!$B$18:$E$48,4,FALSE)&amp;$AX21,坦克属性分配比例,MATCH("升星次数",坦克属性分配比例标头,0),FALSE)*VLOOKUP($AW21,$AM$3:$AS$33,MATCH("换弹时间",$AM$3:$AS$3,0),FALSE),2))</f>
        <v>0.93</v>
      </c>
      <c r="BJ21" s="462">
        <f>IF(VLOOKUP(AW21,坦克个性化设定!$B$18:$BB$48,MATCH("装弹类型",坦克个性化设定!$B$18:$BB$18,0),FALSE)="弹夹换弹",ROUND(VLOOKUP($AW21,$AD$3:$AJ$33,MATCH("换弹时间",$AD$3:$AJ$3,0),FALSE)-$AY21/VLOOKUP(VLOOKUP($AW21,坦克个性化设定!$B$18:$E$48,4,FALSE)&amp;$AX21,坦克属性分配比例,MATCH("升星次数",坦克属性分配比例标头,0),FALSE)*VLOOKUP($AW21,$AM$3:$AS$33,MATCH("换弹时间",$AM$3:$AS$3,0),FALSE),1),0)</f>
        <v>0</v>
      </c>
      <c r="BK21" s="462">
        <f>ROUND(VLOOKUP($AW21,$AD$3:$AJ$33,MATCH(BK$3,$AD$3:$AJ$3,0),FALSE)+$AY21/VLOOKUP(VLOOKUP($AW21,坦克个性化设定!$B$18:$E$48,4,FALSE)&amp;$AX21,坦克属性分配比例,MATCH("升星次数",坦克属性分配比例标头,0),FALSE)*VLOOKUP($AW21,$AM$3:$AS$33,MATCH(BK$3,$AM$3:$AS$3,0),FALSE),2)</f>
        <v>0.4</v>
      </c>
      <c r="BL21" s="462">
        <f>ROUND(VLOOKUP($AW21,$AD$3:$AJ$33,MATCH(BL$3,$AD$3:$AJ$3,0),FALSE)-$AY21/VLOOKUP(VLOOKUP($AW21,坦克个性化设定!$B$18:$E$48,4,FALSE)&amp;$AX21,坦克属性分配比例,MATCH("升星次数",坦克属性分配比例标头,0),FALSE)*VLOOKUP($AW21,$AM$3:$AS$33,MATCH(BL$3,$AM$3:$AS$3,0),FALSE),2)</f>
        <v>1.1299999999999999</v>
      </c>
      <c r="BN21" s="183">
        <v>18</v>
      </c>
      <c r="BO21" s="131" t="str">
        <f t="shared" si="11"/>
        <v>潘兴</v>
      </c>
      <c r="BP21" s="131" t="str">
        <f>VLOOKUP(BO21,坦克个性化设定!$B$18:$F$48,5,FALSE)</f>
        <v>中坦单发</v>
      </c>
      <c r="BQ21" s="177" t="str">
        <f>VLOOKUP(BO21,坦克个性化细分!$I$3:$J$33,2,FALSE)</f>
        <v>中</v>
      </c>
      <c r="BR21" s="96">
        <f ca="1">(VLOOKUP($BO21&amp;"最终",$O$3:$AA$63,MATCH(BR$3,$O$3:$AA$3,0),FALSE)-VLOOKUP($BO21&amp;"初始",$O$3:$AA$63,MATCH(BR$3,$O$3:$AA$3,0),FALSE))*VLOOKUP(VLOOKUP($BO21,坦克个性化设定!$B$18:$E$48,4,FALSE)&amp;$BQ21,坦克属性分配比例,MATCH("部件比例",坦克属性分配比例标头,0),FALSE)</f>
        <v>858.08402433576214</v>
      </c>
      <c r="BS21" s="96">
        <f ca="1">(VLOOKUP($BO21&amp;"最终",$O$3:$AA$63,MATCH(BS$3,$O$3:$AA$3,0),FALSE)-VLOOKUP($BO21&amp;"初始",$O$3:$AA$63,MATCH(BS$3,$O$3:$AA$3,0),FALSE))*VLOOKUP(VLOOKUP($BO21,坦克个性化设定!$B$18:$E$48,4,FALSE)&amp;$BQ21,坦克属性分配比例,MATCH("部件比例",坦克属性分配比例标头,0),FALSE)</f>
        <v>152.90516613263418</v>
      </c>
      <c r="BT21" s="96">
        <f ca="1">(VLOOKUP($BO21&amp;"最终",$O$3:$AA$63,MATCH(BT$3,$O$3:$AA$3,0),FALSE)-VLOOKUP($BO21&amp;"初始",$O$3:$AA$63,MATCH(BT$3,$O$3:$AA$3,0),FALSE))*VLOOKUP(VLOOKUP($BO21,坦克个性化设定!$B$18:$E$48,4,FALSE)&amp;$BQ21,坦克属性分配比例,MATCH("部件比例",坦克属性分配比例标头,0),FALSE)*(1-$C$3)</f>
        <v>128.7687150837989</v>
      </c>
      <c r="BU21" s="96">
        <f ca="1">(VLOOKUP($BO21&amp;"最终",$O$3:$AA$63,MATCH(BU$3,$O$3:$AA$3,0),FALSE)-VLOOKUP($BO21&amp;"初始",$O$3:$AA$63,MATCH(BU$3,$O$3:$AA$3,0),FALSE))*VLOOKUP(VLOOKUP($BO21,坦克个性化设定!$B$18:$E$48,4,FALSE)&amp;$BQ21,坦克属性分配比例,MATCH("部件比例",坦克属性分配比例标头,0),FALSE)*(1-$C$3)</f>
        <v>96.576536312849157</v>
      </c>
      <c r="BV21" s="96">
        <f ca="1">(VLOOKUP($BO21&amp;"最终",$O$3:$AA$63,MATCH(BV$3,$O$3:$AA$3,0),FALSE)-VLOOKUP($BO21&amp;"初始",$O$3:$AA$63,MATCH(BV$3,$O$3:$AA$3,0),FALSE))*VLOOKUP(VLOOKUP($BO21,坦克个性化设定!$B$18:$E$48,4,FALSE)&amp;$BQ21,坦克属性分配比例,MATCH("部件比例",坦克属性分配比例标头,0),FALSE)</f>
        <v>352.58100558659214</v>
      </c>
    </row>
    <row r="22" spans="2:74" x14ac:dyDescent="0.35">
      <c r="B22" s="137">
        <v>17</v>
      </c>
      <c r="C22" s="176" t="str">
        <f>坦克个性化设定!B35</f>
        <v>M-48</v>
      </c>
      <c r="D22" s="84"/>
      <c r="E22" s="84"/>
      <c r="F22" s="84"/>
      <c r="G22" s="84"/>
      <c r="H22" s="84"/>
      <c r="I22" s="84"/>
      <c r="J22" s="84"/>
      <c r="K22" s="84"/>
      <c r="L22" s="84"/>
      <c r="M22" s="84"/>
      <c r="N22" s="84"/>
      <c r="O22" s="426" t="str">
        <f t="shared" si="5"/>
        <v>59式初始</v>
      </c>
      <c r="P22" s="137">
        <f>IF(COUNTIF(Q$4:Q21,Q21)&gt;=$B$3,P21+1,P21)</f>
        <v>10</v>
      </c>
      <c r="Q22" s="131" t="str">
        <f t="shared" si="6"/>
        <v>59式</v>
      </c>
      <c r="R22" s="131" t="str">
        <f>VLOOKUP(Q22,坦克个性化设定!$B$18:$F$48,5,FALSE)</f>
        <v>轻坦单发</v>
      </c>
      <c r="S22" s="177" t="str">
        <f>VLOOKUP(Q22,坦克个性化细分!$I$3:$J$33,2,FALSE)</f>
        <v>低</v>
      </c>
      <c r="T22" s="137" t="str">
        <f t="shared" si="12"/>
        <v>初始</v>
      </c>
      <c r="U22" s="178" t="str">
        <f>VLOOKUP(VLOOKUP(Q22,坦克个性化设定!$B$18:$F$48,4,FALSE)&amp;S22,坦克等级成长!$P$12:$U$24,MATCH(T22,坦克等级成长!$P$12:$U$12,0),FALSE)</f>
        <v>T5低5</v>
      </c>
      <c r="V22" s="96">
        <f ca="1">VLOOKUP($U22,INDIRECT($R22&amp;"_阶段属性"),MATCH(V$3,属性标头_阶段属性,0),FALSE)*VLOOKUP($Q22,坦克个性化设定!$B$84:$D$114,2,FALSE)</f>
        <v>2024.5136278863547</v>
      </c>
      <c r="W22" s="96">
        <f ca="1">VLOOKUP($U22,INDIRECT($R22&amp;"_阶段属性"),MATCH(W$3,属性标头_阶段属性,0),FALSE)*VLOOKUP($Q22,坦克个性化设定!$B$84:$D$114,3,FALSE)</f>
        <v>221.91996823901852</v>
      </c>
      <c r="X22" s="131">
        <f t="shared" ca="1" si="13"/>
        <v>857</v>
      </c>
      <c r="Y22" s="131">
        <f t="shared" ca="1" si="13"/>
        <v>600</v>
      </c>
      <c r="Z22" s="131">
        <f t="shared" ca="1" si="13"/>
        <v>720</v>
      </c>
      <c r="AA22" s="131">
        <f t="shared" ca="1" si="13"/>
        <v>192</v>
      </c>
      <c r="AC22" s="195">
        <v>19</v>
      </c>
      <c r="AD22" s="193" t="str">
        <f t="shared" si="7"/>
        <v>百夫长</v>
      </c>
      <c r="AE22" s="195">
        <f>VLOOKUP($AD22,坦克个性化细分!$I$3:$P$33,MATCH(AE$3,坦克个性化细分!$I$3:$P$3,0),FALSE)</f>
        <v>46.7</v>
      </c>
      <c r="AF22" s="195">
        <f>VLOOKUP($AD22,坦克个性化细分!$I$3:$P$33,MATCH(AF$3,坦克个性化细分!$I$3:$P$3,0),FALSE)</f>
        <v>42</v>
      </c>
      <c r="AG22" s="195">
        <f>VLOOKUP($AD22,坦克个性化细分!$I$3:$P$33,MATCH(AG$3,坦克个性化细分!$I$3:$P$3,0),FALSE)</f>
        <v>12.9</v>
      </c>
      <c r="AH22" s="206">
        <f>VLOOKUP(AD22,坦克个性化细分!$AA$3:$AP$33,MATCH("射击偏移角",坦克个性化细分!$AA$3:$AP$3,0),FALSE)/VLOOKUP(AD22,坦克个性化细分!$AA$3:$AP$33,MATCH("原瞄准速度",坦克个性化细分!$AA$3:$AP$3,0),FALSE)</f>
        <v>2.4</v>
      </c>
      <c r="AI22" s="206">
        <f>VLOOKUP(AD22,坦克个性化细分!$AA$3:$AP$33,MATCH(AI$3,坦克个性化细分!$AA$3:$AP$3,0),FALSE)</f>
        <v>0</v>
      </c>
      <c r="AJ22" s="462">
        <f>VLOOKUP(AD22,坦克个性化细分!$AA$3:$AP$33,MATCH("原换弹时间",坦克个性化细分!$AA$3:$AP$3,0),FALSE)</f>
        <v>4.5</v>
      </c>
      <c r="AK22" s="208"/>
      <c r="AL22" s="195">
        <v>19</v>
      </c>
      <c r="AM22" s="193" t="str">
        <f t="shared" si="8"/>
        <v>百夫长</v>
      </c>
      <c r="AN22" s="206">
        <f>VLOOKUP(AM22,坦克个性化细分!$I$3:$P$33,MATCH("养成区间1",坦克个性化细分!$I$3:$P$3,0),FALSE)</f>
        <v>11.674999999999997</v>
      </c>
      <c r="AO22" s="462">
        <f>VLOOKUP(AM22,坦克个性化细分!$I$3:$P$33,MATCH("养成区间2",坦克个性化细分!$I$3:$P$3,0),FALSE)</f>
        <v>10.499999999999998</v>
      </c>
      <c r="AP22" s="462">
        <f>VLOOKUP(AM22,坦克个性化细分!$I$3:$P$33,MATCH("养成区间3",坦克个性化细分!$I$3:$P$3,0),FALSE)</f>
        <v>4.21</v>
      </c>
      <c r="AQ22" s="206">
        <f>VLOOKUP(AM22,坦克个性化细分!$AA$3:$AP$33,MATCH("瞄准区间",坦克个性化细分!$AA$3:$AP$3,0),FALSE)</f>
        <v>0.39999999999999991</v>
      </c>
      <c r="AR22" s="206">
        <f>VLOOKUP(AD22,坦克个性化细分!$AA$3:$AP$33,MATCH("后射击间隔",坦克个性化细分!$AA$3:$AP$3,0),FALSE)-VLOOKUP(AD22,坦克个性化细分!$AA$3:$AP$33,MATCH(AI$3,坦克个性化细分!$AA$3:$AP$3,0),FALSE)</f>
        <v>0</v>
      </c>
      <c r="AS22" s="206">
        <f>VLOOKUP(AM22,坦克个性化细分!$AA$3:$AP$33,MATCH("换弹区间",坦克个性化细分!$AA$3:$AP$3,0),FALSE)</f>
        <v>1.0973534971644616</v>
      </c>
      <c r="AT22" s="208"/>
      <c r="AU22" s="364" t="str">
        <f t="shared" si="9"/>
        <v>Puma6</v>
      </c>
      <c r="AV22" s="183">
        <f>IF(AY21&gt;=VLOOKUP(VLOOKUP(AW21,坦克个性化设定!$B$18:$E$48,4,FALSE)&amp;AX21,坦克属性分配比例,MATCH("升星次数",坦克属性分配比例标头,0),FALSE),AV21+1,AV21)</f>
        <v>3</v>
      </c>
      <c r="AW22" s="131" t="str">
        <f t="shared" si="10"/>
        <v>Puma</v>
      </c>
      <c r="AX22" s="177" t="str">
        <f>VLOOKUP(AW22,坦克个性化细分!$I$3:$J$33,2,FALSE)</f>
        <v>中</v>
      </c>
      <c r="AY22" s="183">
        <f t="shared" si="1"/>
        <v>6</v>
      </c>
      <c r="AZ22" s="486">
        <f ca="1">ROUND(VLOOKUP($AW22&amp;"初始",$O$3:$AA$63,MATCH(AZ$3,$O$3:$AA$3,0),FALSE)+((VLOOKUP($AW22&amp;"最终",$O$3:$AA$63,MATCH(AZ$3,$O$3:$AA$3,0),FALSE)*坦克个性化细分!$C$9-VLOOKUP($AW22&amp;"初始",$O$3:$AA$63,MATCH(AZ$3,$O$3:$AA$3,0),FALSE))-(VLOOKUP($AW22&amp;"最终",$O$3:$AA$63,MATCH(AZ$3,$O$3:$AA$3,0),FALSE)-VLOOKUP($AW22&amp;"初始",$O$3:$AA$63,MATCH(AZ$3,$O$3:$AA$3,0),FALSE))*VLOOKUP(VLOOKUP($AW22,坦克个性化设定!$B$18:$E$48,4,FALSE)&amp;$AX22,坦克属性分配比例,MATCH("部件比例",坦克属性分配比例标头,0),FALSE))*$AY22/VLOOKUP(VLOOKUP($AW22,坦克个性化设定!$B$18:$E$48,4,FALSE)&amp;$AX22,坦克属性分配比例,MATCH("升星次数",坦克属性分配比例标头,0),FALSE),0)</f>
        <v>1771</v>
      </c>
      <c r="BA22" s="426">
        <f ca="1">ROUND(VLOOKUP($AW22&amp;"初始",$O$3:$AA$63,MATCH(BA$3,$O$3:$AA$3,0),FALSE)+(VLOOKUP($AW22&amp;"最终",$O$3:$AA$63,MATCH(BA$3,$O$3:$AA$3,0),FALSE)-VLOOKUP($AW22&amp;"初始",$O$3:$AA$63,MATCH(BA$3,$O$3:$AA$3,0),FALSE))*$AY22/VLOOKUP(VLOOKUP($AW22,坦克个性化设定!$B$18:$E$48,4,FALSE)&amp;$AX22,坦克属性分配比例,MATCH("升星次数",坦克属性分配比例标头,0),FALSE)*VLOOKUP(VLOOKUP($AW22,坦克个性化设定!$B$18:$E$48,4,FALSE)&amp;$AX22,坦克属性分配比例,MATCH("升星比例",坦克属性分配比例标头,0),FALSE),0)</f>
        <v>63</v>
      </c>
      <c r="BB22" s="486">
        <f ca="1">ROUND(VLOOKUP($AW22&amp;"初始",$O$3:$AA$63,MATCH(BB$3,$O$3:$AA$3,0),FALSE)+(VLOOKUP($AW22&amp;"最终",$O$3:$AA$63,MATCH(BB$3,$O$3:$AA$3,0),FALSE)-VLOOKUP($AW22&amp;"初始",$O$3:$AA$63,MATCH(BB$3,$O$3:$AA$3,0),FALSE))*$AY22/VLOOKUP(VLOOKUP($AW22,坦克个性化设定!$B$18:$E$48,4,FALSE)&amp;$AX22,坦克属性分配比例,MATCH("升星次数",坦克属性分配比例标头,0),FALSE)*(VLOOKUP(VLOOKUP($AW22,坦克个性化设定!$B$18:$E$48,4,FALSE)&amp;$AX22,坦克属性分配比例,MATCH("升星比例",坦克属性分配比例标头,0),FALSE)+VLOOKUP(VLOOKUP($AW22,坦克个性化设定!$B$18:$E$48,4,FALSE)&amp;$AX22,坦克属性分配比例,MATCH("部件比例",坦克属性分配比例标头,0),FALSE)*$C$3),0)</f>
        <v>535</v>
      </c>
      <c r="BC22" s="486">
        <f ca="1">ROUND(VLOOKUP($AW22&amp;"初始",$O$3:$AA$63,MATCH(BC$3,$O$3:$AA$3,0),FALSE)+(VLOOKUP($AW22&amp;"最终",$O$3:$AA$63,MATCH(BC$3,$O$3:$AA$3,0),FALSE)-VLOOKUP($AW22&amp;"初始",$O$3:$AA$63,MATCH(BC$3,$O$3:$AA$3,0),FALSE))*$AY22/VLOOKUP(VLOOKUP($AW22,坦克个性化设定!$B$18:$E$48,4,FALSE)&amp;$AX22,坦克属性分配比例,MATCH("升星次数",坦克属性分配比例标头,0),FALSE)*(VLOOKUP(VLOOKUP($AW22,坦克个性化设定!$B$18:$E$48,4,FALSE)&amp;$AX22,坦克属性分配比例,MATCH("升星比例",坦克属性分配比例标头,0),FALSE)+VLOOKUP(VLOOKUP($AW22,坦克个性化设定!$B$18:$E$48,4,FALSE)&amp;$AX22,坦克属性分配比例,MATCH("部件比例",坦克属性分配比例标头,0),FALSE)*$C$3),0)</f>
        <v>374</v>
      </c>
      <c r="BD22" s="426">
        <f ca="1">ROUND(VLOOKUP($AW22&amp;"初始",$O$3:$AA$63,MATCH(BD$3,$O$3:$AA$3,0),FALSE)+(VLOOKUP($AW22&amp;"最终",$O$3:$AA$63,MATCH(BD$3,$O$3:$AA$3,0),FALSE)-VLOOKUP($AW22&amp;"初始",$O$3:$AA$63,MATCH(BD$3,$O$3:$AA$3,0),FALSE))*$AY22/VLOOKUP(VLOOKUP($AW22,坦克个性化设定!$B$18:$E$48,4,FALSE)&amp;$AX22,坦克属性分配比例,MATCH("升星次数",坦克属性分配比例标头,0),FALSE)*VLOOKUP(VLOOKUP($AW22,坦克个性化设定!$B$18:$E$48,4,FALSE)&amp;$AX22,坦克属性分配比例,MATCH("升星比例",坦克属性分配比例标头,0),FALSE),0)</f>
        <v>498</v>
      </c>
      <c r="BE22" s="426">
        <f ca="1">ROUND(VLOOKUP($AW22&amp;"初始",$O$3:$AA$63,MATCH(BE$3,$O$3:$AA$3,0),FALSE)+(VLOOKUP($AW22&amp;"最终",$O$3:$AA$63,MATCH(BE$3,$O$3:$AA$3,0),FALSE)-VLOOKUP($AW22&amp;"初始",$O$3:$AA$63,MATCH(BE$3,$O$3:$AA$3,0),FALSE))*$AY22/VLOOKUP(VLOOKUP($AW22,坦克个性化设定!$B$18:$E$48,4,FALSE)&amp;$AX22,坦克属性分配比例,MATCH("升星次数",坦克属性分配比例标头,0),FALSE),0)</f>
        <v>149</v>
      </c>
      <c r="BF22" s="462">
        <f>ROUND(VLOOKUP($AW22,$AD$3:$AJ$33,MATCH(BF$3,$AD$3:$AJ$3,0),FALSE)+$AY22/VLOOKUP(VLOOKUP($AW22,坦克个性化设定!$B$18:$E$48,4,FALSE)&amp;$AX22,坦克属性分配比例,MATCH("升星次数",坦克属性分配比例标头,0),FALSE)*VLOOKUP($AW22,$AM$3:$AS$33,MATCH(BF$3,$AM$3:$AS$3,0),FALSE),1)</f>
        <v>49.2</v>
      </c>
      <c r="BG22" s="462">
        <f>ROUND(VLOOKUP($AW22,$AD$3:$AJ$33,MATCH(BG$3,$AD$3:$AJ$3,0),FALSE)+$AY22/VLOOKUP(VLOOKUP($AW22,坦克个性化设定!$B$18:$E$48,4,FALSE)&amp;$AX22,坦克属性分配比例,MATCH("升星次数",坦克属性分配比例标头,0),FALSE)*VLOOKUP($AW22,$AM$3:$AS$33,MATCH(BG$3,$AM$3:$AS$3,0),FALSE),1)</f>
        <v>58</v>
      </c>
      <c r="BH22" s="462">
        <f>ROUND(VLOOKUP($AW22,$AD$3:$AJ$33,MATCH(BH$3,$AD$3:$AJ$3,0),FALSE)+$AY22/VLOOKUP(VLOOKUP($AW22,坦克个性化设定!$B$18:$E$48,4,FALSE)&amp;$AX22,坦克属性分配比例,MATCH("升星次数",坦克属性分配比例标头,0),FALSE)*VLOOKUP($AW22,$AM$3:$AS$33,MATCH(BH$3,$AM$3:$AS$3,0),FALSE),1)</f>
        <v>16.600000000000001</v>
      </c>
      <c r="BI22" s="654">
        <f>IF(VLOOKUP(AW22,坦克个性化设定!$B$18:$BB$48,MATCH("装弹类型",坦克个性化设定!$B$18:$BB$18,0),FALSE)="弹夹换弹",0,ROUND(VLOOKUP($AW22,$AD$3:$AJ$33,MATCH("换弹时间",$AD$3:$AJ$3,0),FALSE)-$AY22/VLOOKUP(VLOOKUP($AW22,坦克个性化设定!$B$18:$E$48,4,FALSE)&amp;$AX22,坦克属性分配比例,MATCH("升星次数",坦克属性分配比例标头,0),FALSE)*VLOOKUP($AW22,$AM$3:$AS$33,MATCH("换弹时间",$AM$3:$AS$3,0),FALSE),2))</f>
        <v>0.91</v>
      </c>
      <c r="BJ22" s="462">
        <f>IF(VLOOKUP(AW22,坦克个性化设定!$B$18:$BB$48,MATCH("装弹类型",坦克个性化设定!$B$18:$BB$18,0),FALSE)="弹夹换弹",ROUND(VLOOKUP($AW22,$AD$3:$AJ$33,MATCH("换弹时间",$AD$3:$AJ$3,0),FALSE)-$AY22/VLOOKUP(VLOOKUP($AW22,坦克个性化设定!$B$18:$E$48,4,FALSE)&amp;$AX22,坦克属性分配比例,MATCH("升星次数",坦克属性分配比例标头,0),FALSE)*VLOOKUP($AW22,$AM$3:$AS$33,MATCH("换弹时间",$AM$3:$AS$3,0),FALSE),1),0)</f>
        <v>0</v>
      </c>
      <c r="BK22" s="462">
        <f>ROUND(VLOOKUP($AW22,$AD$3:$AJ$33,MATCH(BK$3,$AD$3:$AJ$3,0),FALSE)+$AY22/VLOOKUP(VLOOKUP($AW22,坦克个性化设定!$B$18:$E$48,4,FALSE)&amp;$AX22,坦克属性分配比例,MATCH("升星次数",坦克属性分配比例标头,0),FALSE)*VLOOKUP($AW22,$AM$3:$AS$33,MATCH(BK$3,$AM$3:$AS$3,0),FALSE),2)</f>
        <v>0.4</v>
      </c>
      <c r="BL22" s="462">
        <f>ROUND(VLOOKUP($AW22,$AD$3:$AJ$33,MATCH(BL$3,$AD$3:$AJ$3,0),FALSE)-$AY22/VLOOKUP(VLOOKUP($AW22,坦克个性化设定!$B$18:$E$48,4,FALSE)&amp;$AX22,坦克属性分配比例,MATCH("升星次数",坦克属性分配比例标头,0),FALSE)*VLOOKUP($AW22,$AM$3:$AS$33,MATCH(BL$3,$AM$3:$AS$3,0),FALSE),2)</f>
        <v>1.1100000000000001</v>
      </c>
      <c r="BN22" s="183">
        <v>19</v>
      </c>
      <c r="BO22" s="131" t="str">
        <f t="shared" si="11"/>
        <v>百夫长</v>
      </c>
      <c r="BP22" s="131" t="str">
        <f>VLOOKUP(BO22,坦克个性化设定!$B$18:$F$48,5,FALSE)</f>
        <v>中坦单发</v>
      </c>
      <c r="BQ22" s="177" t="str">
        <f>VLOOKUP(BO22,坦克个性化细分!$I$3:$J$33,2,FALSE)</f>
        <v>高</v>
      </c>
      <c r="BR22" s="96">
        <f ca="1">(VLOOKUP($BO22&amp;"最终",$O$3:$AA$63,MATCH(BR$3,$O$3:$AA$3,0),FALSE)-VLOOKUP($BO22&amp;"初始",$O$3:$AA$63,MATCH(BR$3,$O$3:$AA$3,0),FALSE))*VLOOKUP(VLOOKUP($BO22,坦克个性化设定!$B$18:$E$48,4,FALSE)&amp;$BQ22,坦克属性分配比例,MATCH("部件比例",坦克属性分配比例标头,0),FALSE)</f>
        <v>1021.0770664602022</v>
      </c>
      <c r="BS22" s="96">
        <f ca="1">(VLOOKUP($BO22&amp;"最终",$O$3:$AA$63,MATCH(BS$3,$O$3:$AA$3,0),FALSE)-VLOOKUP($BO22&amp;"初始",$O$3:$AA$63,MATCH(BS$3,$O$3:$AA$3,0),FALSE))*VLOOKUP(VLOOKUP($BO22,坦克个性化设定!$B$18:$E$48,4,FALSE)&amp;$BQ22,坦克属性分配比例,MATCH("部件比例",坦克属性分配比例标头,0),FALSE)</f>
        <v>135.79782735651736</v>
      </c>
      <c r="BT22" s="96">
        <f ca="1">(VLOOKUP($BO22&amp;"最终",$O$3:$AA$63,MATCH(BT$3,$O$3:$AA$3,0),FALSE)-VLOOKUP($BO22&amp;"初始",$O$3:$AA$63,MATCH(BT$3,$O$3:$AA$3,0),FALSE))*VLOOKUP(VLOOKUP($BO22,坦克个性化设定!$B$18:$E$48,4,FALSE)&amp;$BQ22,坦克属性分配比例,MATCH("部件比例",坦克属性分配比例标头,0),FALSE)*(1-$C$3)</f>
        <v>135.28041237113402</v>
      </c>
      <c r="BU22" s="96">
        <f ca="1">(VLOOKUP($BO22&amp;"最终",$O$3:$AA$63,MATCH(BU$3,$O$3:$AA$3,0),FALSE)-VLOOKUP($BO22&amp;"初始",$O$3:$AA$63,MATCH(BU$3,$O$3:$AA$3,0),FALSE))*VLOOKUP(VLOOKUP($BO22,坦克个性化设定!$B$18:$E$48,4,FALSE)&amp;$BQ22,坦克属性分配比例,MATCH("部件比例",坦克属性分配比例标头,0),FALSE)*(1-$C$3)</f>
        <v>101.51340206185569</v>
      </c>
      <c r="BV22" s="96">
        <f ca="1">(VLOOKUP($BO22&amp;"最终",$O$3:$AA$63,MATCH(BV$3,$O$3:$AA$3,0),FALSE)-VLOOKUP($BO22&amp;"初始",$O$3:$AA$63,MATCH(BV$3,$O$3:$AA$3,0),FALSE))*VLOOKUP(VLOOKUP($BO22,坦克个性化设定!$B$18:$E$48,4,FALSE)&amp;$BQ22,坦克属性分配比例,MATCH("部件比例",坦克属性分配比例标头,0),FALSE)</f>
        <v>370.58762886597935</v>
      </c>
    </row>
    <row r="23" spans="2:74" x14ac:dyDescent="0.35">
      <c r="B23" s="137">
        <v>18</v>
      </c>
      <c r="C23" s="176" t="str">
        <f>坦克个性化设定!B36</f>
        <v>潘兴</v>
      </c>
      <c r="D23" s="84"/>
      <c r="E23" s="84"/>
      <c r="F23" s="84"/>
      <c r="G23" s="84"/>
      <c r="H23" s="84"/>
      <c r="I23" s="84"/>
      <c r="J23" s="84"/>
      <c r="K23" s="84"/>
      <c r="L23" s="84"/>
      <c r="M23" s="84"/>
      <c r="N23" s="84"/>
      <c r="O23" s="426" t="str">
        <f t="shared" si="5"/>
        <v>59式最终</v>
      </c>
      <c r="P23" s="137">
        <f>IF(COUNTIF(Q$4:Q22,Q22)&gt;=$B$3,P22+1,P22)</f>
        <v>10</v>
      </c>
      <c r="Q23" s="131" t="str">
        <f t="shared" si="6"/>
        <v>59式</v>
      </c>
      <c r="R23" s="131" t="str">
        <f>VLOOKUP(Q23,坦克个性化设定!$B$18:$F$48,5,FALSE)</f>
        <v>轻坦单发</v>
      </c>
      <c r="S23" s="177" t="str">
        <f>VLOOKUP(Q23,坦克个性化细分!$I$3:$J$33,2,FALSE)</f>
        <v>低</v>
      </c>
      <c r="T23" s="137" t="str">
        <f t="shared" si="12"/>
        <v>最终</v>
      </c>
      <c r="U23" s="178" t="str">
        <f>VLOOKUP(VLOOKUP(Q23,坦克个性化设定!$B$18:$F$48,4,FALSE)&amp;S23,坦克等级成长!$P$12:$U$24,MATCH(T23,坦克等级成长!$P$12:$U$12,0),FALSE)</f>
        <v>T5低6</v>
      </c>
      <c r="V23" s="96">
        <f ca="1">VLOOKUP($U23,INDIRECT($R23&amp;"_阶段属性"),MATCH(V$3,属性标头_阶段属性,0),FALSE)*VLOOKUP($Q23,坦克个性化设定!$B$84:$D$114,2,FALSE)</f>
        <v>3036.770441829532</v>
      </c>
      <c r="W23" s="96">
        <f ca="1">VLOOKUP($U23,INDIRECT($R23&amp;"_阶段属性"),MATCH(W$3,属性标头_阶段属性,0),FALSE)*VLOOKUP($Q23,坦克个性化设定!$B$84:$D$114,3,FALSE)</f>
        <v>332.87995235852776</v>
      </c>
      <c r="X23" s="131">
        <f t="shared" ca="1" si="13"/>
        <v>1286</v>
      </c>
      <c r="Y23" s="131">
        <f t="shared" ca="1" si="13"/>
        <v>900</v>
      </c>
      <c r="Z23" s="131">
        <f t="shared" ca="1" si="13"/>
        <v>1080</v>
      </c>
      <c r="AA23" s="131">
        <f t="shared" ca="1" si="13"/>
        <v>288</v>
      </c>
      <c r="AC23" s="195">
        <v>20</v>
      </c>
      <c r="AD23" s="193" t="str">
        <f t="shared" si="7"/>
        <v>挑战者</v>
      </c>
      <c r="AE23" s="195">
        <f>VLOOKUP($AD23,坦克个性化细分!$I$3:$P$33,MATCH(AE$3,坦克个性化细分!$I$3:$P$3,0),FALSE)</f>
        <v>35.6</v>
      </c>
      <c r="AF23" s="195">
        <f>VLOOKUP($AD23,坦克个性化细分!$I$3:$P$33,MATCH(AF$3,坦克个性化细分!$I$3:$P$3,0),FALSE)</f>
        <v>50</v>
      </c>
      <c r="AG23" s="195">
        <f>VLOOKUP($AD23,坦克个性化细分!$I$3:$P$33,MATCH(AG$3,坦克个性化细分!$I$3:$P$3,0),FALSE)</f>
        <v>11.1</v>
      </c>
      <c r="AH23" s="206">
        <f>VLOOKUP(AD23,坦克个性化细分!$AA$3:$AP$33,MATCH("射击偏移角",坦克个性化细分!$AA$3:$AP$3,0),FALSE)/VLOOKUP(AD23,坦克个性化细分!$AA$3:$AP$33,MATCH("原瞄准速度",坦克个性化细分!$AA$3:$AP$3,0),FALSE)</f>
        <v>2.4</v>
      </c>
      <c r="AI23" s="206">
        <f>VLOOKUP(AD23,坦克个性化细分!$AA$3:$AP$33,MATCH(AI$3,坦克个性化细分!$AA$3:$AP$3,0),FALSE)</f>
        <v>0</v>
      </c>
      <c r="AJ23" s="462">
        <f>VLOOKUP(AD23,坦克个性化细分!$AA$3:$AP$33,MATCH("原换弹时间",坦克个性化细分!$AA$3:$AP$3,0),FALSE)</f>
        <v>4.5</v>
      </c>
      <c r="AK23" s="208"/>
      <c r="AL23" s="195">
        <v>20</v>
      </c>
      <c r="AM23" s="193" t="str">
        <f t="shared" si="8"/>
        <v>挑战者</v>
      </c>
      <c r="AN23" s="206">
        <f>VLOOKUP(AM23,坦克个性化细分!$I$3:$P$33,MATCH("养成区间1",坦克个性化细分!$I$3:$P$3,0),FALSE)</f>
        <v>8.8999999999999986</v>
      </c>
      <c r="AO23" s="462">
        <f>VLOOKUP(AM23,坦克个性化细分!$I$3:$P$33,MATCH("养成区间2",坦克个性化细分!$I$3:$P$3,0),FALSE)</f>
        <v>12.499999999999996</v>
      </c>
      <c r="AP23" s="462">
        <f>VLOOKUP(AM23,坦克个性化细分!$I$3:$P$33,MATCH("养成区间3",坦克个性化细分!$I$3:$P$3,0),FALSE)</f>
        <v>3.63</v>
      </c>
      <c r="AQ23" s="206">
        <f>VLOOKUP(AM23,坦克个性化细分!$AA$3:$AP$33,MATCH("瞄准区间",坦克个性化细分!$AA$3:$AP$3,0),FALSE)</f>
        <v>0.39999999999999991</v>
      </c>
      <c r="AR23" s="206">
        <f>VLOOKUP(AD23,坦克个性化细分!$AA$3:$AP$33,MATCH("后射击间隔",坦克个性化细分!$AA$3:$AP$3,0),FALSE)-VLOOKUP(AD23,坦克个性化细分!$AA$3:$AP$33,MATCH(AI$3,坦克个性化细分!$AA$3:$AP$3,0),FALSE)</f>
        <v>0</v>
      </c>
      <c r="AS23" s="206">
        <f>VLOOKUP(AM23,坦克个性化细分!$AA$3:$AP$33,MATCH("换弹区间",坦克个性化细分!$AA$3:$AP$3,0),FALSE)</f>
        <v>1.0973534971644616</v>
      </c>
      <c r="AT23" s="208"/>
      <c r="AU23" s="364" t="str">
        <f t="shared" si="9"/>
        <v>Puma7</v>
      </c>
      <c r="AV23" s="183">
        <f>IF(AY22&gt;=VLOOKUP(VLOOKUP(AW22,坦克个性化设定!$B$18:$E$48,4,FALSE)&amp;AX22,坦克属性分配比例,MATCH("升星次数",坦克属性分配比例标头,0),FALSE),AV22+1,AV22)</f>
        <v>3</v>
      </c>
      <c r="AW23" s="131" t="str">
        <f t="shared" si="10"/>
        <v>Puma</v>
      </c>
      <c r="AX23" s="177" t="str">
        <f>VLOOKUP(AW23,坦克个性化细分!$I$3:$J$33,2,FALSE)</f>
        <v>中</v>
      </c>
      <c r="AY23" s="183">
        <f t="shared" si="1"/>
        <v>7</v>
      </c>
      <c r="AZ23" s="486">
        <f ca="1">ROUND(VLOOKUP($AW23&amp;"初始",$O$3:$AA$63,MATCH(AZ$3,$O$3:$AA$3,0),FALSE)+((VLOOKUP($AW23&amp;"最终",$O$3:$AA$63,MATCH(AZ$3,$O$3:$AA$3,0),FALSE)*坦克个性化细分!$C$9-VLOOKUP($AW23&amp;"初始",$O$3:$AA$63,MATCH(AZ$3,$O$3:$AA$3,0),FALSE))-(VLOOKUP($AW23&amp;"最终",$O$3:$AA$63,MATCH(AZ$3,$O$3:$AA$3,0),FALSE)-VLOOKUP($AW23&amp;"初始",$O$3:$AA$63,MATCH(AZ$3,$O$3:$AA$3,0),FALSE))*VLOOKUP(VLOOKUP($AW23,坦克个性化设定!$B$18:$E$48,4,FALSE)&amp;$AX23,坦克属性分配比例,MATCH("部件比例",坦克属性分配比例标头,0),FALSE))*$AY23/VLOOKUP(VLOOKUP($AW23,坦克个性化设定!$B$18:$E$48,4,FALSE)&amp;$AX23,坦克属性分配比例,MATCH("升星次数",坦克属性分配比例标头,0),FALSE),0)</f>
        <v>1890</v>
      </c>
      <c r="BA23" s="426">
        <f ca="1">ROUND(VLOOKUP($AW23&amp;"初始",$O$3:$AA$63,MATCH(BA$3,$O$3:$AA$3,0),FALSE)+(VLOOKUP($AW23&amp;"最终",$O$3:$AA$63,MATCH(BA$3,$O$3:$AA$3,0),FALSE)-VLOOKUP($AW23&amp;"初始",$O$3:$AA$63,MATCH(BA$3,$O$3:$AA$3,0),FALSE))*$AY23/VLOOKUP(VLOOKUP($AW23,坦克个性化设定!$B$18:$E$48,4,FALSE)&amp;$AX23,坦克属性分配比例,MATCH("升星次数",坦克属性分配比例标头,0),FALSE)*VLOOKUP(VLOOKUP($AW23,坦克个性化设定!$B$18:$E$48,4,FALSE)&amp;$AX23,坦克属性分配比例,MATCH("升星比例",坦克属性分配比例标头,0),FALSE),0)</f>
        <v>66</v>
      </c>
      <c r="BB23" s="486">
        <f ca="1">ROUND(VLOOKUP($AW23&amp;"初始",$O$3:$AA$63,MATCH(BB$3,$O$3:$AA$3,0),FALSE)+(VLOOKUP($AW23&amp;"最终",$O$3:$AA$63,MATCH(BB$3,$O$3:$AA$3,0),FALSE)-VLOOKUP($AW23&amp;"初始",$O$3:$AA$63,MATCH(BB$3,$O$3:$AA$3,0),FALSE))*$AY23/VLOOKUP(VLOOKUP($AW23,坦克个性化设定!$B$18:$E$48,4,FALSE)&amp;$AX23,坦克属性分配比例,MATCH("升星次数",坦克属性分配比例标头,0),FALSE)*(VLOOKUP(VLOOKUP($AW23,坦克个性化设定!$B$18:$E$48,4,FALSE)&amp;$AX23,坦克属性分配比例,MATCH("升星比例",坦克属性分配比例标头,0),FALSE)+VLOOKUP(VLOOKUP($AW23,坦克个性化设定!$B$18:$E$48,4,FALSE)&amp;$AX23,坦克属性分配比例,MATCH("部件比例",坦克属性分配比例标头,0),FALSE)*$C$3),0)</f>
        <v>562</v>
      </c>
      <c r="BC23" s="486">
        <f ca="1">ROUND(VLOOKUP($AW23&amp;"初始",$O$3:$AA$63,MATCH(BC$3,$O$3:$AA$3,0),FALSE)+(VLOOKUP($AW23&amp;"最终",$O$3:$AA$63,MATCH(BC$3,$O$3:$AA$3,0),FALSE)-VLOOKUP($AW23&amp;"初始",$O$3:$AA$63,MATCH(BC$3,$O$3:$AA$3,0),FALSE))*$AY23/VLOOKUP(VLOOKUP($AW23,坦克个性化设定!$B$18:$E$48,4,FALSE)&amp;$AX23,坦克属性分配比例,MATCH("升星次数",坦克属性分配比例标头,0),FALSE)*(VLOOKUP(VLOOKUP($AW23,坦克个性化设定!$B$18:$E$48,4,FALSE)&amp;$AX23,坦克属性分配比例,MATCH("升星比例",坦克属性分配比例标头,0),FALSE)+VLOOKUP(VLOOKUP($AW23,坦克个性化设定!$B$18:$E$48,4,FALSE)&amp;$AX23,坦克属性分配比例,MATCH("部件比例",坦克属性分配比例标头,0),FALSE)*$C$3),0)</f>
        <v>393</v>
      </c>
      <c r="BD23" s="426">
        <f ca="1">ROUND(VLOOKUP($AW23&amp;"初始",$O$3:$AA$63,MATCH(BD$3,$O$3:$AA$3,0),FALSE)+(VLOOKUP($AW23&amp;"最终",$O$3:$AA$63,MATCH(BD$3,$O$3:$AA$3,0),FALSE)-VLOOKUP($AW23&amp;"初始",$O$3:$AA$63,MATCH(BD$3,$O$3:$AA$3,0),FALSE))*$AY23/VLOOKUP(VLOOKUP($AW23,坦克个性化设定!$B$18:$E$48,4,FALSE)&amp;$AX23,坦克属性分配比例,MATCH("升星次数",坦克属性分配比例标头,0),FALSE)*VLOOKUP(VLOOKUP($AW23,坦克个性化设定!$B$18:$E$48,4,FALSE)&amp;$AX23,坦克属性分配比例,MATCH("升星比例",坦克属性分配比例标头,0),FALSE),0)</f>
        <v>520</v>
      </c>
      <c r="BE23" s="426">
        <f ca="1">ROUND(VLOOKUP($AW23&amp;"初始",$O$3:$AA$63,MATCH(BE$3,$O$3:$AA$3,0),FALSE)+(VLOOKUP($AW23&amp;"最终",$O$3:$AA$63,MATCH(BE$3,$O$3:$AA$3,0),FALSE)-VLOOKUP($AW23&amp;"初始",$O$3:$AA$63,MATCH(BE$3,$O$3:$AA$3,0),FALSE))*$AY23/VLOOKUP(VLOOKUP($AW23,坦克个性化设定!$B$18:$E$48,4,FALSE)&amp;$AX23,坦克属性分配比例,MATCH("升星次数",坦克属性分配比例标头,0),FALSE),0)</f>
        <v>157</v>
      </c>
      <c r="BF23" s="462">
        <f>ROUND(VLOOKUP($AW23,$AD$3:$AJ$33,MATCH(BF$3,$AD$3:$AJ$3,0),FALSE)+$AY23/VLOOKUP(VLOOKUP($AW23,坦克个性化设定!$B$18:$E$48,4,FALSE)&amp;$AX23,坦克属性分配比例,MATCH("升星次数",坦克属性分配比例标头,0),FALSE)*VLOOKUP($AW23,$AM$3:$AS$33,MATCH(BF$3,$AM$3:$AS$3,0),FALSE),1)</f>
        <v>50.2</v>
      </c>
      <c r="BG23" s="462">
        <f>ROUND(VLOOKUP($AW23,$AD$3:$AJ$33,MATCH(BG$3,$AD$3:$AJ$3,0),FALSE)+$AY23/VLOOKUP(VLOOKUP($AW23,坦克个性化设定!$B$18:$E$48,4,FALSE)&amp;$AX23,坦克属性分配比例,MATCH("升星次数",坦克属性分配比例标头,0),FALSE)*VLOOKUP($AW23,$AM$3:$AS$33,MATCH(BG$3,$AM$3:$AS$3,0),FALSE),1)</f>
        <v>59.1</v>
      </c>
      <c r="BH23" s="462">
        <f>ROUND(VLOOKUP($AW23,$AD$3:$AJ$33,MATCH(BH$3,$AD$3:$AJ$3,0),FALSE)+$AY23/VLOOKUP(VLOOKUP($AW23,坦克个性化设定!$B$18:$E$48,4,FALSE)&amp;$AX23,坦克属性分配比例,MATCH("升星次数",坦克属性分配比例标头,0),FALSE)*VLOOKUP($AW23,$AM$3:$AS$33,MATCH(BH$3,$AM$3:$AS$3,0),FALSE),1)</f>
        <v>17</v>
      </c>
      <c r="BI23" s="654">
        <f>IF(VLOOKUP(AW23,坦克个性化设定!$B$18:$BB$48,MATCH("装弹类型",坦克个性化设定!$B$18:$BB$18,0),FALSE)="弹夹换弹",0,ROUND(VLOOKUP($AW23,$AD$3:$AJ$33,MATCH("换弹时间",$AD$3:$AJ$3,0),FALSE)-$AY23/VLOOKUP(VLOOKUP($AW23,坦克个性化设定!$B$18:$E$48,4,FALSE)&amp;$AX23,坦克属性分配比例,MATCH("升星次数",坦克属性分配比例标头,0),FALSE)*VLOOKUP($AW23,$AM$3:$AS$33,MATCH("换弹时间",$AM$3:$AS$3,0),FALSE),2))</f>
        <v>0.89</v>
      </c>
      <c r="BJ23" s="462">
        <f>IF(VLOOKUP(AW23,坦克个性化设定!$B$18:$BB$48,MATCH("装弹类型",坦克个性化设定!$B$18:$BB$18,0),FALSE)="弹夹换弹",ROUND(VLOOKUP($AW23,$AD$3:$AJ$33,MATCH("换弹时间",$AD$3:$AJ$3,0),FALSE)-$AY23/VLOOKUP(VLOOKUP($AW23,坦克个性化设定!$B$18:$E$48,4,FALSE)&amp;$AX23,坦克属性分配比例,MATCH("升星次数",坦克属性分配比例标头,0),FALSE)*VLOOKUP($AW23,$AM$3:$AS$33,MATCH("换弹时间",$AM$3:$AS$3,0),FALSE),1),0)</f>
        <v>0</v>
      </c>
      <c r="BK23" s="462">
        <f>ROUND(VLOOKUP($AW23,$AD$3:$AJ$33,MATCH(BK$3,$AD$3:$AJ$3,0),FALSE)+$AY23/VLOOKUP(VLOOKUP($AW23,坦克个性化设定!$B$18:$E$48,4,FALSE)&amp;$AX23,坦克属性分配比例,MATCH("升星次数",坦克属性分配比例标头,0),FALSE)*VLOOKUP($AW23,$AM$3:$AS$33,MATCH(BK$3,$AM$3:$AS$3,0),FALSE),2)</f>
        <v>0.4</v>
      </c>
      <c r="BL23" s="462">
        <f>ROUND(VLOOKUP($AW23,$AD$3:$AJ$33,MATCH(BL$3,$AD$3:$AJ$3,0),FALSE)-$AY23/VLOOKUP(VLOOKUP($AW23,坦克个性化设定!$B$18:$E$48,4,FALSE)&amp;$AX23,坦克属性分配比例,MATCH("升星次数",坦克属性分配比例标头,0),FALSE)*VLOOKUP($AW23,$AM$3:$AS$33,MATCH(BL$3,$AM$3:$AS$3,0),FALSE),2)</f>
        <v>1.1000000000000001</v>
      </c>
      <c r="BN23" s="183">
        <v>20</v>
      </c>
      <c r="BO23" s="131" t="str">
        <f t="shared" si="11"/>
        <v>挑战者</v>
      </c>
      <c r="BP23" s="131" t="str">
        <f>VLOOKUP(BO23,坦克个性化设定!$B$18:$F$48,5,FALSE)</f>
        <v>中坦单发</v>
      </c>
      <c r="BQ23" s="177" t="str">
        <f>VLOOKUP(BO23,坦克个性化细分!$I$3:$J$33,2,FALSE)</f>
        <v>低</v>
      </c>
      <c r="BR23" s="96">
        <f ca="1">(VLOOKUP($BO23&amp;"最终",$O$3:$AA$63,MATCH(BR$3,$O$3:$AA$3,0),FALSE)-VLOOKUP($BO23&amp;"初始",$O$3:$AA$63,MATCH(BR$3,$O$3:$AA$3,0),FALSE))*VLOOKUP(VLOOKUP($BO23,坦克个性化设定!$B$18:$E$48,4,FALSE)&amp;$BQ23,坦克属性分配比例,MATCH("部件比例",坦克属性分配比例标头,0),FALSE)</f>
        <v>1191.6208556987679</v>
      </c>
      <c r="BS23" s="96">
        <f ca="1">(VLOOKUP($BO23&amp;"最终",$O$3:$AA$63,MATCH(BS$3,$O$3:$AA$3,0),FALSE)-VLOOKUP($BO23&amp;"初始",$O$3:$AA$63,MATCH(BS$3,$O$3:$AA$3,0),FALSE))*VLOOKUP(VLOOKUP($BO23,坦克个性化设定!$B$18:$E$48,4,FALSE)&amp;$BQ23,坦克属性分配比例,MATCH("部件比例",坦克属性分配比例标头,0),FALSE)</f>
        <v>163.78236014622925</v>
      </c>
      <c r="BT23" s="96">
        <f ca="1">(VLOOKUP($BO23&amp;"最终",$O$3:$AA$63,MATCH(BT$3,$O$3:$AA$3,0),FALSE)-VLOOKUP($BO23&amp;"初始",$O$3:$AA$63,MATCH(BT$3,$O$3:$AA$3,0),FALSE))*VLOOKUP(VLOOKUP($BO23,坦克个性化设定!$B$18:$E$48,4,FALSE)&amp;$BQ23,坦克属性分配比例,MATCH("部件比例",坦克属性分配比例标头,0),FALSE)*(1-$C$3)</f>
        <v>157.59999999999997</v>
      </c>
      <c r="BU23" s="96">
        <f ca="1">(VLOOKUP($BO23&amp;"最终",$O$3:$AA$63,MATCH(BU$3,$O$3:$AA$3,0),FALSE)-VLOOKUP($BO23&amp;"初始",$O$3:$AA$63,MATCH(BU$3,$O$3:$AA$3,0),FALSE))*VLOOKUP(VLOOKUP($BO23,坦克个性化设定!$B$18:$E$48,4,FALSE)&amp;$BQ23,坦克属性分配比例,MATCH("部件比例",坦克属性分配比例标头,0),FALSE)*(1-$C$3)</f>
        <v>118.39999999999998</v>
      </c>
      <c r="BV23" s="96">
        <f ca="1">(VLOOKUP($BO23&amp;"最终",$O$3:$AA$63,MATCH(BV$3,$O$3:$AA$3,0),FALSE)-VLOOKUP($BO23&amp;"初始",$O$3:$AA$63,MATCH(BV$3,$O$3:$AA$3,0),FALSE))*VLOOKUP(VLOOKUP($BO23,坦克个性化设定!$B$18:$E$48,4,FALSE)&amp;$BQ23,坦克属性分配比例,MATCH("部件比例",坦克属性分配比例标头,0),FALSE)</f>
        <v>431.99999999999989</v>
      </c>
    </row>
    <row r="24" spans="2:74" x14ac:dyDescent="0.35">
      <c r="B24" s="137">
        <v>19</v>
      </c>
      <c r="C24" s="176" t="str">
        <f>坦克个性化设定!B37</f>
        <v>百夫长</v>
      </c>
      <c r="D24" s="84"/>
      <c r="E24" s="84"/>
      <c r="F24" s="84"/>
      <c r="G24" s="84"/>
      <c r="H24" s="84"/>
      <c r="I24" s="84"/>
      <c r="J24" s="84"/>
      <c r="K24" s="84"/>
      <c r="L24" s="84"/>
      <c r="M24" s="84"/>
      <c r="N24" s="84"/>
      <c r="O24" s="426" t="str">
        <f t="shared" si="5"/>
        <v>Stuart初始</v>
      </c>
      <c r="P24" s="137">
        <f>IF(COUNTIF(Q$4:Q23,Q23)&gt;=$B$3,P23+1,P23)</f>
        <v>11</v>
      </c>
      <c r="Q24" s="131" t="str">
        <f t="shared" si="6"/>
        <v>Stuart</v>
      </c>
      <c r="R24" s="131" t="str">
        <f>VLOOKUP(Q24,坦克个性化设定!$B$18:$F$48,5,FALSE)</f>
        <v>中坦弹夹</v>
      </c>
      <c r="S24" s="177" t="str">
        <f>VLOOKUP(Q24,坦克个性化细分!$I$3:$J$33,2,FALSE)</f>
        <v>低</v>
      </c>
      <c r="T24" s="137" t="str">
        <f t="shared" si="12"/>
        <v>初始</v>
      </c>
      <c r="U24" s="178" t="str">
        <f>VLOOKUP(VLOOKUP(Q24,坦克个性化设定!$B$18:$F$48,4,FALSE)&amp;S24,坦克等级成长!$P$12:$U$24,MATCH(T24,坦克等级成长!$P$12:$U$12,0),FALSE)</f>
        <v>T1低1</v>
      </c>
      <c r="V24" s="96">
        <f ca="1">VLOOKUP($U24,INDIRECT($R24&amp;"_阶段属性"),MATCH(V$3,属性标头_阶段属性,0),FALSE)*VLOOKUP($Q24,坦克个性化设定!$B$84:$D$114,2,FALSE)</f>
        <v>724.16985440018004</v>
      </c>
      <c r="W24" s="96">
        <f ca="1">VLOOKUP($U24,INDIRECT($R24&amp;"_阶段属性"),MATCH(W$3,属性标头_阶段属性,0),FALSE)*VLOOKUP($Q24,坦克个性化设定!$B$84:$D$114,3,FALSE)</f>
        <v>47.935188381401325</v>
      </c>
      <c r="X24" s="131">
        <f t="shared" ref="X24:AA33" ca="1" si="14">VLOOKUP($U24,INDIRECT($R24&amp;"_阶段属性"),MATCH(X$3,属性标头_阶段属性,0),FALSE)</f>
        <v>286</v>
      </c>
      <c r="Y24" s="131">
        <f t="shared" ca="1" si="14"/>
        <v>214</v>
      </c>
      <c r="Z24" s="131">
        <f t="shared" ca="1" si="14"/>
        <v>360</v>
      </c>
      <c r="AA24" s="131">
        <f t="shared" ca="1" si="14"/>
        <v>88</v>
      </c>
      <c r="AC24" s="195">
        <v>21</v>
      </c>
      <c r="AD24" s="193" t="str">
        <f t="shared" si="7"/>
        <v>B-1</v>
      </c>
      <c r="AE24" s="195">
        <f>VLOOKUP($AD24,坦克个性化细分!$I$3:$P$33,MATCH(AE$3,坦克个性化细分!$I$3:$P$3,0),FALSE)</f>
        <v>39.200000000000003</v>
      </c>
      <c r="AF24" s="195">
        <f>VLOOKUP($AD24,坦克个性化细分!$I$3:$P$33,MATCH(AF$3,坦克个性化细分!$I$3:$P$3,0),FALSE)</f>
        <v>35</v>
      </c>
      <c r="AG24" s="195">
        <f>VLOOKUP($AD24,坦克个性化细分!$I$3:$P$33,MATCH(AG$3,坦克个性化细分!$I$3:$P$3,0),FALSE)</f>
        <v>10.5</v>
      </c>
      <c r="AH24" s="206">
        <f>VLOOKUP(AD24,坦克个性化细分!$AA$3:$AP$33,MATCH("射击偏移角",坦克个性化细分!$AA$3:$AP$3,0),FALSE)/VLOOKUP(AD24,坦克个性化细分!$AA$3:$AP$33,MATCH("原瞄准速度",坦克个性化细分!$AA$3:$AP$3,0),FALSE)</f>
        <v>2.6500000000000004</v>
      </c>
      <c r="AI24" s="206">
        <f>VLOOKUP(AD24,坦克个性化细分!$AA$3:$AP$33,MATCH(AI$3,坦克个性化细分!$AA$3:$AP$3,0),FALSE)</f>
        <v>2.8</v>
      </c>
      <c r="AJ24" s="462">
        <f>VLOOKUP(AD24,坦克个性化细分!$AA$3:$AP$33,MATCH("原换弹时间",坦克个性化细分!$AA$3:$AP$3,0),FALSE)</f>
        <v>5.3999999999999995</v>
      </c>
      <c r="AK24" s="208"/>
      <c r="AL24" s="195">
        <v>21</v>
      </c>
      <c r="AM24" s="193" t="str">
        <f t="shared" si="8"/>
        <v>B-1</v>
      </c>
      <c r="AN24" s="206">
        <f>VLOOKUP(AM24,坦克个性化细分!$I$3:$P$33,MATCH("养成区间1",坦克个性化细分!$I$3:$P$3,0),FALSE)</f>
        <v>9.7999999999999972</v>
      </c>
      <c r="AO24" s="462">
        <f>VLOOKUP(AM24,坦克个性化细分!$I$3:$P$33,MATCH("养成区间2",坦克个性化细分!$I$3:$P$3,0),FALSE)</f>
        <v>8.7499999999999982</v>
      </c>
      <c r="AP24" s="462">
        <f>VLOOKUP(AM24,坦克个性化细分!$I$3:$P$33,MATCH("养成区间3",坦克个性化细分!$I$3:$P$3,0),FALSE)</f>
        <v>3.43</v>
      </c>
      <c r="AQ24" s="206">
        <f>VLOOKUP(AM24,坦克个性化细分!$AA$3:$AP$33,MATCH("瞄准区间",坦克个性化细分!$AA$3:$AP$3,0),FALSE)</f>
        <v>0.44166666666666687</v>
      </c>
      <c r="AR24" s="206">
        <f>VLOOKUP(AD24,坦克个性化细分!$AA$3:$AP$33,MATCH("后射击间隔",坦克个性化细分!$AA$3:$AP$3,0),FALSE)-VLOOKUP(AD24,坦克个性化细分!$AA$3:$AP$33,MATCH(AI$3,坦克个性化细分!$AA$3:$AP$3,0),FALSE)</f>
        <v>0</v>
      </c>
      <c r="AS24" s="206">
        <f>VLOOKUP(AM24,坦克个性化细分!$AA$3:$AP$33,MATCH("换弹区间",坦克个性化细分!$AA$3:$AP$3,0),FALSE)</f>
        <v>1.411816838995569</v>
      </c>
      <c r="AT24" s="208"/>
      <c r="AU24" s="364" t="str">
        <f t="shared" si="9"/>
        <v>Puma8</v>
      </c>
      <c r="AV24" s="183">
        <f>IF(AY23&gt;=VLOOKUP(VLOOKUP(AW23,坦克个性化设定!$B$18:$E$48,4,FALSE)&amp;AX23,坦克属性分配比例,MATCH("升星次数",坦克属性分配比例标头,0),FALSE),AV23+1,AV23)</f>
        <v>3</v>
      </c>
      <c r="AW24" s="131" t="str">
        <f t="shared" si="10"/>
        <v>Puma</v>
      </c>
      <c r="AX24" s="177" t="str">
        <f>VLOOKUP(AW24,坦克个性化细分!$I$3:$J$33,2,FALSE)</f>
        <v>中</v>
      </c>
      <c r="AY24" s="183">
        <f t="shared" si="1"/>
        <v>8</v>
      </c>
      <c r="AZ24" s="486">
        <f ca="1">ROUND(VLOOKUP($AW24&amp;"初始",$O$3:$AA$63,MATCH(AZ$3,$O$3:$AA$3,0),FALSE)+((VLOOKUP($AW24&amp;"最终",$O$3:$AA$63,MATCH(AZ$3,$O$3:$AA$3,0),FALSE)*坦克个性化细分!$C$9-VLOOKUP($AW24&amp;"初始",$O$3:$AA$63,MATCH(AZ$3,$O$3:$AA$3,0),FALSE))-(VLOOKUP($AW24&amp;"最终",$O$3:$AA$63,MATCH(AZ$3,$O$3:$AA$3,0),FALSE)-VLOOKUP($AW24&amp;"初始",$O$3:$AA$63,MATCH(AZ$3,$O$3:$AA$3,0),FALSE))*VLOOKUP(VLOOKUP($AW24,坦克个性化设定!$B$18:$E$48,4,FALSE)&amp;$AX24,坦克属性分配比例,MATCH("部件比例",坦克属性分配比例标头,0),FALSE))*$AY24/VLOOKUP(VLOOKUP($AW24,坦克个性化设定!$B$18:$E$48,4,FALSE)&amp;$AX24,坦克属性分配比例,MATCH("升星次数",坦克属性分配比例标头,0),FALSE),0)</f>
        <v>2008</v>
      </c>
      <c r="BA24" s="426">
        <f ca="1">ROUND(VLOOKUP($AW24&amp;"初始",$O$3:$AA$63,MATCH(BA$3,$O$3:$AA$3,0),FALSE)+(VLOOKUP($AW24&amp;"最终",$O$3:$AA$63,MATCH(BA$3,$O$3:$AA$3,0),FALSE)-VLOOKUP($AW24&amp;"初始",$O$3:$AA$63,MATCH(BA$3,$O$3:$AA$3,0),FALSE))*$AY24/VLOOKUP(VLOOKUP($AW24,坦克个性化设定!$B$18:$E$48,4,FALSE)&amp;$AX24,坦克属性分配比例,MATCH("升星次数",坦克属性分配比例标头,0),FALSE)*VLOOKUP(VLOOKUP($AW24,坦克个性化设定!$B$18:$E$48,4,FALSE)&amp;$AX24,坦克属性分配比例,MATCH("升星比例",坦克属性分配比例标头,0),FALSE),0)</f>
        <v>68</v>
      </c>
      <c r="BB24" s="486">
        <f ca="1">ROUND(VLOOKUP($AW24&amp;"初始",$O$3:$AA$63,MATCH(BB$3,$O$3:$AA$3,0),FALSE)+(VLOOKUP($AW24&amp;"最终",$O$3:$AA$63,MATCH(BB$3,$O$3:$AA$3,0),FALSE)-VLOOKUP($AW24&amp;"初始",$O$3:$AA$63,MATCH(BB$3,$O$3:$AA$3,0),FALSE))*$AY24/VLOOKUP(VLOOKUP($AW24,坦克个性化设定!$B$18:$E$48,4,FALSE)&amp;$AX24,坦克属性分配比例,MATCH("升星次数",坦克属性分配比例标头,0),FALSE)*(VLOOKUP(VLOOKUP($AW24,坦克个性化设定!$B$18:$E$48,4,FALSE)&amp;$AX24,坦克属性分配比例,MATCH("升星比例",坦克属性分配比例标头,0),FALSE)+VLOOKUP(VLOOKUP($AW24,坦克个性化设定!$B$18:$E$48,4,FALSE)&amp;$AX24,坦克属性分配比例,MATCH("部件比例",坦克属性分配比例标头,0),FALSE)*$C$3),0)</f>
        <v>590</v>
      </c>
      <c r="BC24" s="486">
        <f ca="1">ROUND(VLOOKUP($AW24&amp;"初始",$O$3:$AA$63,MATCH(BC$3,$O$3:$AA$3,0),FALSE)+(VLOOKUP($AW24&amp;"最终",$O$3:$AA$63,MATCH(BC$3,$O$3:$AA$3,0),FALSE)-VLOOKUP($AW24&amp;"初始",$O$3:$AA$63,MATCH(BC$3,$O$3:$AA$3,0),FALSE))*$AY24/VLOOKUP(VLOOKUP($AW24,坦克个性化设定!$B$18:$E$48,4,FALSE)&amp;$AX24,坦克属性分配比例,MATCH("升星次数",坦克属性分配比例标头,0),FALSE)*(VLOOKUP(VLOOKUP($AW24,坦克个性化设定!$B$18:$E$48,4,FALSE)&amp;$AX24,坦克属性分配比例,MATCH("升星比例",坦克属性分配比例标头,0),FALSE)+VLOOKUP(VLOOKUP($AW24,坦克个性化设定!$B$18:$E$48,4,FALSE)&amp;$AX24,坦克属性分配比例,MATCH("部件比例",坦克属性分配比例标头,0),FALSE)*$C$3),0)</f>
        <v>413</v>
      </c>
      <c r="BD24" s="426">
        <f ca="1">ROUND(VLOOKUP($AW24&amp;"初始",$O$3:$AA$63,MATCH(BD$3,$O$3:$AA$3,0),FALSE)+(VLOOKUP($AW24&amp;"最终",$O$3:$AA$63,MATCH(BD$3,$O$3:$AA$3,0),FALSE)-VLOOKUP($AW24&amp;"初始",$O$3:$AA$63,MATCH(BD$3,$O$3:$AA$3,0),FALSE))*$AY24/VLOOKUP(VLOOKUP($AW24,坦克个性化设定!$B$18:$E$48,4,FALSE)&amp;$AX24,坦克属性分配比例,MATCH("升星次数",坦克属性分配比例标头,0),FALSE)*VLOOKUP(VLOOKUP($AW24,坦克个性化设定!$B$18:$E$48,4,FALSE)&amp;$AX24,坦克属性分配比例,MATCH("升星比例",坦克属性分配比例标头,0),FALSE),0)</f>
        <v>541</v>
      </c>
      <c r="BE24" s="426">
        <f ca="1">ROUND(VLOOKUP($AW24&amp;"初始",$O$3:$AA$63,MATCH(BE$3,$O$3:$AA$3,0),FALSE)+(VLOOKUP($AW24&amp;"最终",$O$3:$AA$63,MATCH(BE$3,$O$3:$AA$3,0),FALSE)-VLOOKUP($AW24&amp;"初始",$O$3:$AA$63,MATCH(BE$3,$O$3:$AA$3,0),FALSE))*$AY24/VLOOKUP(VLOOKUP($AW24,坦克个性化设定!$B$18:$E$48,4,FALSE)&amp;$AX24,坦克属性分配比例,MATCH("升星次数",坦克属性分配比例标头,0),FALSE),0)</f>
        <v>166</v>
      </c>
      <c r="BF24" s="462">
        <f>ROUND(VLOOKUP($AW24,$AD$3:$AJ$33,MATCH(BF$3,$AD$3:$AJ$3,0),FALSE)+$AY24/VLOOKUP(VLOOKUP($AW24,坦克个性化设定!$B$18:$E$48,4,FALSE)&amp;$AX24,坦克属性分配比例,MATCH("升星次数",坦克属性分配比例标头,0),FALSE)*VLOOKUP($AW24,$AM$3:$AS$33,MATCH(BF$3,$AM$3:$AS$3,0),FALSE),1)</f>
        <v>51.2</v>
      </c>
      <c r="BG24" s="462">
        <f>ROUND(VLOOKUP($AW24,$AD$3:$AJ$33,MATCH(BG$3,$AD$3:$AJ$3,0),FALSE)+$AY24/VLOOKUP(VLOOKUP($AW24,坦克个性化设定!$B$18:$E$48,4,FALSE)&amp;$AX24,坦克属性分配比例,MATCH("升星次数",坦克属性分配比例标头,0),FALSE)*VLOOKUP($AW24,$AM$3:$AS$33,MATCH(BG$3,$AM$3:$AS$3,0),FALSE),1)</f>
        <v>60.3</v>
      </c>
      <c r="BH24" s="462">
        <f>ROUND(VLOOKUP($AW24,$AD$3:$AJ$33,MATCH(BH$3,$AD$3:$AJ$3,0),FALSE)+$AY24/VLOOKUP(VLOOKUP($AW24,坦克个性化设定!$B$18:$E$48,4,FALSE)&amp;$AX24,坦克属性分配比例,MATCH("升星次数",坦克属性分配比例标头,0),FALSE)*VLOOKUP($AW24,$AM$3:$AS$33,MATCH(BH$3,$AM$3:$AS$3,0),FALSE),1)</f>
        <v>17.5</v>
      </c>
      <c r="BI24" s="654">
        <f>IF(VLOOKUP(AW24,坦克个性化设定!$B$18:$BB$48,MATCH("装弹类型",坦克个性化设定!$B$18:$BB$18,0),FALSE)="弹夹换弹",0,ROUND(VLOOKUP($AW24,$AD$3:$AJ$33,MATCH("换弹时间",$AD$3:$AJ$3,0),FALSE)-$AY24/VLOOKUP(VLOOKUP($AW24,坦克个性化设定!$B$18:$E$48,4,FALSE)&amp;$AX24,坦克属性分配比例,MATCH("升星次数",坦克属性分配比例标头,0),FALSE)*VLOOKUP($AW24,$AM$3:$AS$33,MATCH("换弹时间",$AM$3:$AS$3,0),FALSE),2))</f>
        <v>0.86</v>
      </c>
      <c r="BJ24" s="462">
        <f>IF(VLOOKUP(AW24,坦克个性化设定!$B$18:$BB$48,MATCH("装弹类型",坦克个性化设定!$B$18:$BB$18,0),FALSE)="弹夹换弹",ROUND(VLOOKUP($AW24,$AD$3:$AJ$33,MATCH("换弹时间",$AD$3:$AJ$3,0),FALSE)-$AY24/VLOOKUP(VLOOKUP($AW24,坦克个性化设定!$B$18:$E$48,4,FALSE)&amp;$AX24,坦克属性分配比例,MATCH("升星次数",坦克属性分配比例标头,0),FALSE)*VLOOKUP($AW24,$AM$3:$AS$33,MATCH("换弹时间",$AM$3:$AS$3,0),FALSE),1),0)</f>
        <v>0</v>
      </c>
      <c r="BK24" s="462">
        <f>ROUND(VLOOKUP($AW24,$AD$3:$AJ$33,MATCH(BK$3,$AD$3:$AJ$3,0),FALSE)+$AY24/VLOOKUP(VLOOKUP($AW24,坦克个性化设定!$B$18:$E$48,4,FALSE)&amp;$AX24,坦克属性分配比例,MATCH("升星次数",坦克属性分配比例标头,0),FALSE)*VLOOKUP($AW24,$AM$3:$AS$33,MATCH(BK$3,$AM$3:$AS$3,0),FALSE),2)</f>
        <v>0.4</v>
      </c>
      <c r="BL24" s="462">
        <f>ROUND(VLOOKUP($AW24,$AD$3:$AJ$33,MATCH(BL$3,$AD$3:$AJ$3,0),FALSE)-$AY24/VLOOKUP(VLOOKUP($AW24,坦克个性化设定!$B$18:$E$48,4,FALSE)&amp;$AX24,坦克属性分配比例,MATCH("升星次数",坦克属性分配比例标头,0),FALSE)*VLOOKUP($AW24,$AM$3:$AS$33,MATCH(BL$3,$AM$3:$AS$3,0),FALSE),2)</f>
        <v>1.08</v>
      </c>
      <c r="BN24" s="183">
        <v>21</v>
      </c>
      <c r="BO24" s="131" t="str">
        <f t="shared" si="11"/>
        <v>B-1</v>
      </c>
      <c r="BP24" s="131" t="str">
        <f>VLOOKUP(BO24,坦克个性化设定!$B$18:$F$48,5,FALSE)</f>
        <v>重坦自动</v>
      </c>
      <c r="BQ24" s="177" t="str">
        <f>VLOOKUP(BO24,坦克个性化细分!$I$3:$J$33,2,FALSE)</f>
        <v>低</v>
      </c>
      <c r="BR24" s="96">
        <f ca="1">(VLOOKUP($BO24&amp;"最终",$O$3:$AA$63,MATCH(BR$3,$O$3:$AA$3,0),FALSE)-VLOOKUP($BO24&amp;"初始",$O$3:$AA$63,MATCH(BR$3,$O$3:$AA$3,0),FALSE))*VLOOKUP(VLOOKUP($BO24,坦克个性化设定!$B$18:$E$48,4,FALSE)&amp;$BQ24,坦克属性分配比例,MATCH("部件比例",坦克属性分配比例标头,0),FALSE)</f>
        <v>123.00270232053219</v>
      </c>
      <c r="BS24" s="96">
        <f ca="1">(VLOOKUP($BO24&amp;"最终",$O$3:$AA$63,MATCH(BS$3,$O$3:$AA$3,0),FALSE)-VLOOKUP($BO24&amp;"初始",$O$3:$AA$63,MATCH(BS$3,$O$3:$AA$3,0),FALSE))*VLOOKUP(VLOOKUP($BO24,坦克个性化设定!$B$18:$E$48,4,FALSE)&amp;$BQ24,坦克属性分配比例,MATCH("部件比例",坦克属性分配比例标头,0),FALSE)</f>
        <v>22.828422632635903</v>
      </c>
      <c r="BT24" s="96">
        <f ca="1">(VLOOKUP($BO24&amp;"最终",$O$3:$AA$63,MATCH(BT$3,$O$3:$AA$3,0),FALSE)-VLOOKUP($BO24&amp;"初始",$O$3:$AA$63,MATCH(BT$3,$O$3:$AA$3,0),FALSE))*VLOOKUP(VLOOKUP($BO24,坦克个性化设定!$B$18:$E$48,4,FALSE)&amp;$BQ24,坦克属性分配比例,MATCH("部件比例",坦克属性分配比例标头,0),FALSE)*(1-$C$3)</f>
        <v>15.048000000000002</v>
      </c>
      <c r="BU24" s="96">
        <f ca="1">(VLOOKUP($BO24&amp;"最终",$O$3:$AA$63,MATCH(BU$3,$O$3:$AA$3,0),FALSE)-VLOOKUP($BO24&amp;"初始",$O$3:$AA$63,MATCH(BU$3,$O$3:$AA$3,0),FALSE))*VLOOKUP(VLOOKUP($BO24,坦克个性化设定!$B$18:$E$48,4,FALSE)&amp;$BQ24,坦克属性分配比例,MATCH("部件比例",坦克属性分配比例标头,0),FALSE)*(1-$C$3)</f>
        <v>12.012000000000004</v>
      </c>
      <c r="BV24" s="96">
        <f ca="1">(VLOOKUP($BO24&amp;"最终",$O$3:$AA$63,MATCH(BV$3,$O$3:$AA$3,0),FALSE)-VLOOKUP($BO24&amp;"初始",$O$3:$AA$63,MATCH(BV$3,$O$3:$AA$3,0),FALSE))*VLOOKUP(VLOOKUP($BO24,坦克个性化设定!$B$18:$E$48,4,FALSE)&amp;$BQ24,坦克属性分配比例,MATCH("部件比例",坦克属性分配比例标头,0),FALSE)</f>
        <v>55.440000000000012</v>
      </c>
    </row>
    <row r="25" spans="2:74" x14ac:dyDescent="0.35">
      <c r="B25" s="137">
        <v>20</v>
      </c>
      <c r="C25" s="176" t="str">
        <f>坦克个性化设定!B38</f>
        <v>挑战者</v>
      </c>
      <c r="D25" s="84"/>
      <c r="E25" s="84"/>
      <c r="F25" s="84"/>
      <c r="G25" s="84"/>
      <c r="H25" s="84"/>
      <c r="I25" s="84"/>
      <c r="J25" s="84"/>
      <c r="K25" s="84"/>
      <c r="L25" s="84"/>
      <c r="M25" s="84"/>
      <c r="N25" s="84"/>
      <c r="O25" s="426" t="str">
        <f t="shared" si="5"/>
        <v>Stuart最终</v>
      </c>
      <c r="P25" s="137">
        <f>IF(COUNTIF(Q$4:Q24,Q24)&gt;=$B$3,P24+1,P24)</f>
        <v>11</v>
      </c>
      <c r="Q25" s="131" t="str">
        <f t="shared" si="6"/>
        <v>Stuart</v>
      </c>
      <c r="R25" s="131" t="str">
        <f>VLOOKUP(Q25,坦克个性化设定!$B$18:$F$48,5,FALSE)</f>
        <v>中坦弹夹</v>
      </c>
      <c r="S25" s="177" t="str">
        <f>VLOOKUP(Q25,坦克个性化细分!$I$3:$J$33,2,FALSE)</f>
        <v>低</v>
      </c>
      <c r="T25" s="137" t="str">
        <f t="shared" si="12"/>
        <v>最终</v>
      </c>
      <c r="U25" s="178" t="str">
        <f>VLOOKUP(VLOOKUP(Q25,坦克个性化设定!$B$18:$F$48,4,FALSE)&amp;S25,坦克等级成长!$P$12:$U$24,MATCH(T25,坦克等级成长!$P$12:$U$12,0),FALSE)</f>
        <v>T1低2</v>
      </c>
      <c r="V25" s="96">
        <f ca="1">VLOOKUP($U25,INDIRECT($R25&amp;"_阶段属性"),MATCH(V$3,属性标头_阶段属性,0),FALSE)*VLOOKUP($Q25,坦克个性化设定!$B$84:$D$114,2,FALSE)</f>
        <v>1013.8377961602521</v>
      </c>
      <c r="W25" s="96">
        <f ca="1">VLOOKUP($U25,INDIRECT($R25&amp;"_阶段属性"),MATCH(W$3,属性标头_阶段属性,0),FALSE)*VLOOKUP($Q25,坦克个性化设定!$B$84:$D$114,3,FALSE)</f>
        <v>67.277457377405369</v>
      </c>
      <c r="X25" s="131">
        <f t="shared" ca="1" si="14"/>
        <v>400</v>
      </c>
      <c r="Y25" s="131">
        <f t="shared" ca="1" si="14"/>
        <v>300</v>
      </c>
      <c r="Z25" s="131">
        <f t="shared" ca="1" si="14"/>
        <v>504</v>
      </c>
      <c r="AA25" s="131">
        <f t="shared" ca="1" si="14"/>
        <v>123</v>
      </c>
      <c r="AC25" s="195">
        <v>22</v>
      </c>
      <c r="AD25" s="193" t="str">
        <f t="shared" si="7"/>
        <v>KV-1</v>
      </c>
      <c r="AE25" s="195">
        <f>VLOOKUP($AD25,坦克个性化细分!$I$3:$P$33,MATCH(AE$3,坦克个性化细分!$I$3:$P$3,0),FALSE)</f>
        <v>39.200000000000003</v>
      </c>
      <c r="AF25" s="195">
        <f>VLOOKUP($AD25,坦克个性化细分!$I$3:$P$33,MATCH(AF$3,坦克个性化细分!$I$3:$P$3,0),FALSE)</f>
        <v>35</v>
      </c>
      <c r="AG25" s="195">
        <f>VLOOKUP($AD25,坦克个性化细分!$I$3:$P$33,MATCH(AG$3,坦克个性化细分!$I$3:$P$3,0),FALSE)</f>
        <v>10.5</v>
      </c>
      <c r="AH25" s="206">
        <f>VLOOKUP(AD25,坦克个性化细分!$AA$3:$AP$33,MATCH("射击偏移角",坦克个性化细分!$AA$3:$AP$3,0),FALSE)/VLOOKUP(AD25,坦克个性化细分!$AA$3:$AP$33,MATCH("原瞄准速度",坦克个性化细分!$AA$3:$AP$3,0),FALSE)</f>
        <v>2.0833333333333335</v>
      </c>
      <c r="AI25" s="206">
        <f>VLOOKUP(AD25,坦克个性化细分!$AA$3:$AP$33,MATCH(AI$3,坦克个性化细分!$AA$3:$AP$3,0),FALSE)</f>
        <v>1.88</v>
      </c>
      <c r="AJ25" s="462">
        <f>VLOOKUP(AD25,坦克个性化细分!$AA$3:$AP$33,MATCH("原换弹时间",坦克个性化细分!$AA$3:$AP$3,0),FALSE)</f>
        <v>3.6</v>
      </c>
      <c r="AK25" s="208"/>
      <c r="AL25" s="195">
        <v>22</v>
      </c>
      <c r="AM25" s="193" t="str">
        <f t="shared" si="8"/>
        <v>KV-1</v>
      </c>
      <c r="AN25" s="206">
        <f>VLOOKUP(AM25,坦克个性化细分!$I$3:$P$33,MATCH("养成区间1",坦克个性化细分!$I$3:$P$3,0),FALSE)</f>
        <v>9.7999999999999972</v>
      </c>
      <c r="AO25" s="462">
        <f>VLOOKUP(AM25,坦克个性化细分!$I$3:$P$33,MATCH("养成区间2",坦克个性化细分!$I$3:$P$3,0),FALSE)</f>
        <v>8.7499999999999982</v>
      </c>
      <c r="AP25" s="462">
        <f>VLOOKUP(AM25,坦克个性化细分!$I$3:$P$33,MATCH("养成区间3",坦克个性化细分!$I$3:$P$3,0),FALSE)</f>
        <v>3.43</v>
      </c>
      <c r="AQ25" s="206">
        <f>VLOOKUP(AM25,坦克个性化细分!$AA$3:$AP$33,MATCH("瞄准区间",坦克个性化细分!$AA$3:$AP$3,0),FALSE)</f>
        <v>0.34722222222222232</v>
      </c>
      <c r="AR25" s="206">
        <f>VLOOKUP(AD25,坦克个性化细分!$AA$3:$AP$33,MATCH("后射击间隔",坦克个性化细分!$AA$3:$AP$3,0),FALSE)-VLOOKUP(AD25,坦克个性化细分!$AA$3:$AP$33,MATCH(AI$3,坦克个性化细分!$AA$3:$AP$3,0),FALSE)</f>
        <v>0</v>
      </c>
      <c r="AS25" s="206">
        <f>VLOOKUP(AM25,坦克个性化细分!$AA$3:$AP$33,MATCH("换弹区间",坦克个性化细分!$AA$3:$AP$3,0),FALSE)</f>
        <v>0.94121122599704643</v>
      </c>
      <c r="AT25" s="208"/>
      <c r="AU25" s="364" t="str">
        <f t="shared" si="9"/>
        <v>Puma9</v>
      </c>
      <c r="AV25" s="183">
        <f>IF(AY24&gt;=VLOOKUP(VLOOKUP(AW24,坦克个性化设定!$B$18:$E$48,4,FALSE)&amp;AX24,坦克属性分配比例,MATCH("升星次数",坦克属性分配比例标头,0),FALSE),AV24+1,AV24)</f>
        <v>3</v>
      </c>
      <c r="AW25" s="131" t="str">
        <f t="shared" si="10"/>
        <v>Puma</v>
      </c>
      <c r="AX25" s="177" t="str">
        <f>VLOOKUP(AW25,坦克个性化细分!$I$3:$J$33,2,FALSE)</f>
        <v>中</v>
      </c>
      <c r="AY25" s="183">
        <f t="shared" si="1"/>
        <v>9</v>
      </c>
      <c r="AZ25" s="486">
        <f ca="1">ROUND(VLOOKUP($AW25&amp;"初始",$O$3:$AA$63,MATCH(AZ$3,$O$3:$AA$3,0),FALSE)+((VLOOKUP($AW25&amp;"最终",$O$3:$AA$63,MATCH(AZ$3,$O$3:$AA$3,0),FALSE)*坦克个性化细分!$C$9-VLOOKUP($AW25&amp;"初始",$O$3:$AA$63,MATCH(AZ$3,$O$3:$AA$3,0),FALSE))-(VLOOKUP($AW25&amp;"最终",$O$3:$AA$63,MATCH(AZ$3,$O$3:$AA$3,0),FALSE)-VLOOKUP($AW25&amp;"初始",$O$3:$AA$63,MATCH(AZ$3,$O$3:$AA$3,0),FALSE))*VLOOKUP(VLOOKUP($AW25,坦克个性化设定!$B$18:$E$48,4,FALSE)&amp;$AX25,坦克属性分配比例,MATCH("部件比例",坦克属性分配比例标头,0),FALSE))*$AY25/VLOOKUP(VLOOKUP($AW25,坦克个性化设定!$B$18:$E$48,4,FALSE)&amp;$AX25,坦克属性分配比例,MATCH("升星次数",坦克属性分配比例标头,0),FALSE),0)</f>
        <v>2126</v>
      </c>
      <c r="BA25" s="426">
        <f ca="1">ROUND(VLOOKUP($AW25&amp;"初始",$O$3:$AA$63,MATCH(BA$3,$O$3:$AA$3,0),FALSE)+(VLOOKUP($AW25&amp;"最终",$O$3:$AA$63,MATCH(BA$3,$O$3:$AA$3,0),FALSE)-VLOOKUP($AW25&amp;"初始",$O$3:$AA$63,MATCH(BA$3,$O$3:$AA$3,0),FALSE))*$AY25/VLOOKUP(VLOOKUP($AW25,坦克个性化设定!$B$18:$E$48,4,FALSE)&amp;$AX25,坦克属性分配比例,MATCH("升星次数",坦克属性分配比例标头,0),FALSE)*VLOOKUP(VLOOKUP($AW25,坦克个性化设定!$B$18:$E$48,4,FALSE)&amp;$AX25,坦克属性分配比例,MATCH("升星比例",坦克属性分配比例标头,0),FALSE),0)</f>
        <v>71</v>
      </c>
      <c r="BB25" s="486">
        <f ca="1">ROUND(VLOOKUP($AW25&amp;"初始",$O$3:$AA$63,MATCH(BB$3,$O$3:$AA$3,0),FALSE)+(VLOOKUP($AW25&amp;"最终",$O$3:$AA$63,MATCH(BB$3,$O$3:$AA$3,0),FALSE)-VLOOKUP($AW25&amp;"初始",$O$3:$AA$63,MATCH(BB$3,$O$3:$AA$3,0),FALSE))*$AY25/VLOOKUP(VLOOKUP($AW25,坦克个性化设定!$B$18:$E$48,4,FALSE)&amp;$AX25,坦克属性分配比例,MATCH("升星次数",坦克属性分配比例标头,0),FALSE)*(VLOOKUP(VLOOKUP($AW25,坦克个性化设定!$B$18:$E$48,4,FALSE)&amp;$AX25,坦克属性分配比例,MATCH("升星比例",坦克属性分配比例标头,0),FALSE)+VLOOKUP(VLOOKUP($AW25,坦克个性化设定!$B$18:$E$48,4,FALSE)&amp;$AX25,坦克属性分配比例,MATCH("部件比例",坦克属性分配比例标头,0),FALSE)*$C$3),0)</f>
        <v>617</v>
      </c>
      <c r="BC25" s="486">
        <f ca="1">ROUND(VLOOKUP($AW25&amp;"初始",$O$3:$AA$63,MATCH(BC$3,$O$3:$AA$3,0),FALSE)+(VLOOKUP($AW25&amp;"最终",$O$3:$AA$63,MATCH(BC$3,$O$3:$AA$3,0),FALSE)-VLOOKUP($AW25&amp;"初始",$O$3:$AA$63,MATCH(BC$3,$O$3:$AA$3,0),FALSE))*$AY25/VLOOKUP(VLOOKUP($AW25,坦克个性化设定!$B$18:$E$48,4,FALSE)&amp;$AX25,坦克属性分配比例,MATCH("升星次数",坦克属性分配比例标头,0),FALSE)*(VLOOKUP(VLOOKUP($AW25,坦克个性化设定!$B$18:$E$48,4,FALSE)&amp;$AX25,坦克属性分配比例,MATCH("升星比例",坦克属性分配比例标头,0),FALSE)+VLOOKUP(VLOOKUP($AW25,坦克个性化设定!$B$18:$E$48,4,FALSE)&amp;$AX25,坦克属性分配比例,MATCH("部件比例",坦克属性分配比例标头,0),FALSE)*$C$3),0)</f>
        <v>432</v>
      </c>
      <c r="BD25" s="426">
        <f ca="1">ROUND(VLOOKUP($AW25&amp;"初始",$O$3:$AA$63,MATCH(BD$3,$O$3:$AA$3,0),FALSE)+(VLOOKUP($AW25&amp;"最终",$O$3:$AA$63,MATCH(BD$3,$O$3:$AA$3,0),FALSE)-VLOOKUP($AW25&amp;"初始",$O$3:$AA$63,MATCH(BD$3,$O$3:$AA$3,0),FALSE))*$AY25/VLOOKUP(VLOOKUP($AW25,坦克个性化设定!$B$18:$E$48,4,FALSE)&amp;$AX25,坦克属性分配比例,MATCH("升星次数",坦克属性分配比例标头,0),FALSE)*VLOOKUP(VLOOKUP($AW25,坦克个性化设定!$B$18:$E$48,4,FALSE)&amp;$AX25,坦克属性分配比例,MATCH("升星比例",坦克属性分配比例标头,0),FALSE),0)</f>
        <v>563</v>
      </c>
      <c r="BE25" s="426">
        <f ca="1">ROUND(VLOOKUP($AW25&amp;"初始",$O$3:$AA$63,MATCH(BE$3,$O$3:$AA$3,0),FALSE)+(VLOOKUP($AW25&amp;"最终",$O$3:$AA$63,MATCH(BE$3,$O$3:$AA$3,0),FALSE)-VLOOKUP($AW25&amp;"初始",$O$3:$AA$63,MATCH(BE$3,$O$3:$AA$3,0),FALSE))*$AY25/VLOOKUP(VLOOKUP($AW25,坦克个性化设定!$B$18:$E$48,4,FALSE)&amp;$AX25,坦克属性分配比例,MATCH("升星次数",坦克属性分配比例标头,0),FALSE),0)</f>
        <v>174</v>
      </c>
      <c r="BF25" s="462">
        <f>ROUND(VLOOKUP($AW25,$AD$3:$AJ$33,MATCH(BF$3,$AD$3:$AJ$3,0),FALSE)+$AY25/VLOOKUP(VLOOKUP($AW25,坦克个性化设定!$B$18:$E$48,4,FALSE)&amp;$AX25,坦克属性分配比例,MATCH("升星次数",坦克属性分配比例标头,0),FALSE)*VLOOKUP($AW25,$AM$3:$AS$33,MATCH(BF$3,$AM$3:$AS$3,0),FALSE),1)</f>
        <v>52.2</v>
      </c>
      <c r="BG25" s="462">
        <f>ROUND(VLOOKUP($AW25,$AD$3:$AJ$33,MATCH(BG$3,$AD$3:$AJ$3,0),FALSE)+$AY25/VLOOKUP(VLOOKUP($AW25,坦克个性化设定!$B$18:$E$48,4,FALSE)&amp;$AX25,坦克属性分配比例,MATCH("升星次数",坦克属性分配比例标头,0),FALSE)*VLOOKUP($AW25,$AM$3:$AS$33,MATCH(BG$3,$AM$3:$AS$3,0),FALSE),1)</f>
        <v>61.4</v>
      </c>
      <c r="BH25" s="462">
        <f>ROUND(VLOOKUP($AW25,$AD$3:$AJ$33,MATCH(BH$3,$AD$3:$AJ$3,0),FALSE)+$AY25/VLOOKUP(VLOOKUP($AW25,坦克个性化设定!$B$18:$E$48,4,FALSE)&amp;$AX25,坦克属性分配比例,MATCH("升星次数",坦克属性分配比例标头,0),FALSE)*VLOOKUP($AW25,$AM$3:$AS$33,MATCH(BH$3,$AM$3:$AS$3,0),FALSE),1)</f>
        <v>17.899999999999999</v>
      </c>
      <c r="BI25" s="654">
        <f>IF(VLOOKUP(AW25,坦克个性化设定!$B$18:$BB$48,MATCH("装弹类型",坦克个性化设定!$B$18:$BB$18,0),FALSE)="弹夹换弹",0,ROUND(VLOOKUP($AW25,$AD$3:$AJ$33,MATCH("换弹时间",$AD$3:$AJ$3,0),FALSE)-$AY25/VLOOKUP(VLOOKUP($AW25,坦克个性化设定!$B$18:$E$48,4,FALSE)&amp;$AX25,坦克属性分配比例,MATCH("升星次数",坦克属性分配比例标头,0),FALSE)*VLOOKUP($AW25,$AM$3:$AS$33,MATCH("换弹时间",$AM$3:$AS$3,0),FALSE),2))</f>
        <v>0.84</v>
      </c>
      <c r="BJ25" s="462">
        <f>IF(VLOOKUP(AW25,坦克个性化设定!$B$18:$BB$48,MATCH("装弹类型",坦克个性化设定!$B$18:$BB$18,0),FALSE)="弹夹换弹",ROUND(VLOOKUP($AW25,$AD$3:$AJ$33,MATCH("换弹时间",$AD$3:$AJ$3,0),FALSE)-$AY25/VLOOKUP(VLOOKUP($AW25,坦克个性化设定!$B$18:$E$48,4,FALSE)&amp;$AX25,坦克属性分配比例,MATCH("升星次数",坦克属性分配比例标头,0),FALSE)*VLOOKUP($AW25,$AM$3:$AS$33,MATCH("换弹时间",$AM$3:$AS$3,0),FALSE),1),0)</f>
        <v>0</v>
      </c>
      <c r="BK25" s="462">
        <f>ROUND(VLOOKUP($AW25,$AD$3:$AJ$33,MATCH(BK$3,$AD$3:$AJ$3,0),FALSE)+$AY25/VLOOKUP(VLOOKUP($AW25,坦克个性化设定!$B$18:$E$48,4,FALSE)&amp;$AX25,坦克属性分配比例,MATCH("升星次数",坦克属性分配比例标头,0),FALSE)*VLOOKUP($AW25,$AM$3:$AS$33,MATCH(BK$3,$AM$3:$AS$3,0),FALSE),2)</f>
        <v>0.4</v>
      </c>
      <c r="BL25" s="462">
        <f>ROUND(VLOOKUP($AW25,$AD$3:$AJ$33,MATCH(BL$3,$AD$3:$AJ$3,0),FALSE)-$AY25/VLOOKUP(VLOOKUP($AW25,坦克个性化设定!$B$18:$E$48,4,FALSE)&amp;$AX25,坦克属性分配比例,MATCH("升星次数",坦克属性分配比例标头,0),FALSE)*VLOOKUP($AW25,$AM$3:$AS$33,MATCH(BL$3,$AM$3:$AS$3,0),FALSE),2)</f>
        <v>1.06</v>
      </c>
      <c r="BN25" s="183">
        <v>22</v>
      </c>
      <c r="BO25" s="131" t="str">
        <f t="shared" si="11"/>
        <v>KV-1</v>
      </c>
      <c r="BP25" s="131" t="str">
        <f>VLOOKUP(BO25,坦克个性化设定!$B$18:$F$48,5,FALSE)</f>
        <v>重坦自动</v>
      </c>
      <c r="BQ25" s="177" t="str">
        <f>VLOOKUP(BO25,坦克个性化细分!$I$3:$J$33,2,FALSE)</f>
        <v>低</v>
      </c>
      <c r="BR25" s="96">
        <f ca="1">(VLOOKUP($BO25&amp;"最终",$O$3:$AA$63,MATCH(BR$3,$O$3:$AA$3,0),FALSE)-VLOOKUP($BO25&amp;"初始",$O$3:$AA$63,MATCH(BR$3,$O$3:$AA$3,0),FALSE))*VLOOKUP(VLOOKUP($BO25,坦克个性化设定!$B$18:$E$48,4,FALSE)&amp;$BQ25,坦克属性分配比例,MATCH("部件比例",坦克属性分配比例标头,0),FALSE)</f>
        <v>239.90189559270402</v>
      </c>
      <c r="BS25" s="96">
        <f ca="1">(VLOOKUP($BO25&amp;"最终",$O$3:$AA$63,MATCH(BS$3,$O$3:$AA$3,0),FALSE)-VLOOKUP($BO25&amp;"初始",$O$3:$AA$63,MATCH(BS$3,$O$3:$AA$3,0),FALSE))*VLOOKUP(VLOOKUP($BO25,坦克个性化设定!$B$18:$E$48,4,FALSE)&amp;$BQ25,坦克属性分配比例,MATCH("部件比例",坦克属性分配比例标头,0),FALSE)</f>
        <v>31.878035791352985</v>
      </c>
      <c r="BT25" s="96">
        <f ca="1">(VLOOKUP($BO25&amp;"最终",$O$3:$AA$63,MATCH(BT$3,$O$3:$AA$3,0),FALSE)-VLOOKUP($BO25&amp;"初始",$O$3:$AA$63,MATCH(BT$3,$O$3:$AA$3,0),FALSE))*VLOOKUP(VLOOKUP($BO25,坦克个性化设定!$B$18:$E$48,4,FALSE)&amp;$BQ25,坦克属性分配比例,MATCH("部件比例",坦克属性分配比例标头,0),FALSE)*(1-$C$3)</f>
        <v>30.369599999999991</v>
      </c>
      <c r="BU25" s="96">
        <f ca="1">(VLOOKUP($BO25&amp;"最终",$O$3:$AA$63,MATCH(BU$3,$O$3:$AA$3,0),FALSE)-VLOOKUP($BO25&amp;"初始",$O$3:$AA$63,MATCH(BU$3,$O$3:$AA$3,0),FALSE))*VLOOKUP(VLOOKUP($BO25,坦克个性化设定!$B$18:$E$48,4,FALSE)&amp;$BQ25,坦克属性分配比例,MATCH("部件比例",坦克属性分配比例标头,0),FALSE)*(1-$C$3)</f>
        <v>24.331199999999995</v>
      </c>
      <c r="BV25" s="96">
        <f ca="1">(VLOOKUP($BO25&amp;"最终",$O$3:$AA$63,MATCH(BV$3,$O$3:$AA$3,0),FALSE)-VLOOKUP($BO25&amp;"初始",$O$3:$AA$63,MATCH(BV$3,$O$3:$AA$3,0),FALSE))*VLOOKUP(VLOOKUP($BO25,坦克个性化设定!$B$18:$E$48,4,FALSE)&amp;$BQ25,坦克属性分配比例,MATCH("部件比例",坦克属性分配比例标头,0),FALSE)</f>
        <v>111.88799999999998</v>
      </c>
    </row>
    <row r="26" spans="2:74" x14ac:dyDescent="0.35">
      <c r="B26" s="137">
        <v>21</v>
      </c>
      <c r="C26" s="176" t="str">
        <f>坦克个性化设定!B39</f>
        <v>B-1</v>
      </c>
      <c r="D26" s="84"/>
      <c r="E26" s="84"/>
      <c r="F26" s="84"/>
      <c r="G26" s="84"/>
      <c r="H26" s="84"/>
      <c r="I26" s="84"/>
      <c r="J26" s="84"/>
      <c r="K26" s="84"/>
      <c r="L26" s="84"/>
      <c r="M26" s="84"/>
      <c r="N26" s="84"/>
      <c r="O26" s="426" t="str">
        <f t="shared" si="5"/>
        <v>T-34初始</v>
      </c>
      <c r="P26" s="137">
        <f>IF(COUNTIF(Q$4:Q25,Q25)&gt;=$B$3,P25+1,P25)</f>
        <v>12</v>
      </c>
      <c r="Q26" s="131" t="str">
        <f t="shared" si="6"/>
        <v>T-34</v>
      </c>
      <c r="R26" s="131" t="str">
        <f>VLOOKUP(Q26,坦克个性化设定!$B$18:$F$48,5,FALSE)</f>
        <v>中坦弹夹</v>
      </c>
      <c r="S26" s="177" t="str">
        <f>VLOOKUP(Q26,坦克个性化细分!$I$3:$J$33,2,FALSE)</f>
        <v>低</v>
      </c>
      <c r="T26" s="137" t="str">
        <f t="shared" si="12"/>
        <v>初始</v>
      </c>
      <c r="U26" s="178" t="str">
        <f>VLOOKUP(VLOOKUP(Q26,坦克个性化设定!$B$18:$F$48,4,FALSE)&amp;S26,坦克等级成长!$P$12:$U$24,MATCH(T26,坦克等级成长!$P$12:$U$12,0),FALSE)</f>
        <v>T2低2</v>
      </c>
      <c r="V26" s="96">
        <f ca="1">VLOOKUP($U26,INDIRECT($R26&amp;"_阶段属性"),MATCH(V$3,属性标头_阶段属性,0),FALSE)*VLOOKUP($Q26,坦克个性化设定!$B$84:$D$114,2,FALSE)</f>
        <v>979.23154441756913</v>
      </c>
      <c r="W26" s="96">
        <f ca="1">VLOOKUP($U26,INDIRECT($R26&amp;"_阶段属性"),MATCH(W$3,属性标头_阶段属性,0),FALSE)*VLOOKUP($Q26,坦克个性化设定!$B$84:$D$114,3,FALSE)</f>
        <v>70.831051547930059</v>
      </c>
      <c r="X26" s="131">
        <f t="shared" ca="1" si="14"/>
        <v>343</v>
      </c>
      <c r="Y26" s="131">
        <f t="shared" ca="1" si="14"/>
        <v>257</v>
      </c>
      <c r="Z26" s="131">
        <f t="shared" ca="1" si="14"/>
        <v>432</v>
      </c>
      <c r="AA26" s="131">
        <f t="shared" ca="1" si="14"/>
        <v>106</v>
      </c>
      <c r="AC26" s="195">
        <v>23</v>
      </c>
      <c r="AD26" s="193" t="str">
        <f t="shared" si="7"/>
        <v>丘吉尔</v>
      </c>
      <c r="AE26" s="195">
        <f>VLOOKUP($AD26,坦克个性化细分!$I$3:$P$33,MATCH(AE$3,坦克个性化细分!$I$3:$P$3,0),FALSE)</f>
        <v>32</v>
      </c>
      <c r="AF26" s="195">
        <f>VLOOKUP($AD26,坦克个性化细分!$I$3:$P$33,MATCH(AF$3,坦克个性化细分!$I$3:$P$3,0),FALSE)</f>
        <v>44.6</v>
      </c>
      <c r="AG26" s="195">
        <f>VLOOKUP($AD26,坦克个性化细分!$I$3:$P$33,MATCH(AG$3,坦克个性化细分!$I$3:$P$3,0),FALSE)</f>
        <v>9.6</v>
      </c>
      <c r="AH26" s="206">
        <f>VLOOKUP(AD26,坦克个性化细分!$AA$3:$AP$33,MATCH("射击偏移角",坦克个性化细分!$AA$3:$AP$3,0),FALSE)/VLOOKUP(AD26,坦克个性化细分!$AA$3:$AP$33,MATCH("原瞄准速度",坦克个性化细分!$AA$3:$AP$3,0),FALSE)</f>
        <v>3</v>
      </c>
      <c r="AI26" s="206">
        <f>VLOOKUP(AD26,坦克个性化细分!$AA$3:$AP$33,MATCH(AI$3,坦克个性化细分!$AA$3:$AP$3,0),FALSE)</f>
        <v>0</v>
      </c>
      <c r="AJ26" s="462">
        <f>VLOOKUP(AD26,坦克个性化细分!$AA$3:$AP$33,MATCH("原换弹时间",坦克个性化细分!$AA$3:$AP$3,0),FALSE)</f>
        <v>6</v>
      </c>
      <c r="AK26" s="208"/>
      <c r="AL26" s="195">
        <v>23</v>
      </c>
      <c r="AM26" s="193" t="str">
        <f t="shared" si="8"/>
        <v>丘吉尔</v>
      </c>
      <c r="AN26" s="206">
        <f>VLOOKUP(AM26,坦克个性化细分!$I$3:$P$33,MATCH("养成区间1",坦克个性化细分!$I$3:$P$3,0),FALSE)</f>
        <v>7.9999999999999982</v>
      </c>
      <c r="AO26" s="462">
        <f>VLOOKUP(AM26,坦克个性化细分!$I$3:$P$33,MATCH("养成区间2",坦克个性化细分!$I$3:$P$3,0),FALSE)</f>
        <v>11.149999999999997</v>
      </c>
      <c r="AP26" s="462">
        <f>VLOOKUP(AM26,坦克个性化细分!$I$3:$P$33,MATCH("养成区间3",坦克个性化细分!$I$3:$P$3,0),FALSE)</f>
        <v>3.14</v>
      </c>
      <c r="AQ26" s="206">
        <f>VLOOKUP(AM26,坦克个性化细分!$AA$3:$AP$33,MATCH("瞄准区间",坦克个性化细分!$AA$3:$AP$3,0),FALSE)</f>
        <v>0.5</v>
      </c>
      <c r="AR26" s="206">
        <f>VLOOKUP(AD26,坦克个性化细分!$AA$3:$AP$33,MATCH("后射击间隔",坦克个性化细分!$AA$3:$AP$3,0),FALSE)-VLOOKUP(AD26,坦克个性化细分!$AA$3:$AP$33,MATCH(AI$3,坦克个性化细分!$AA$3:$AP$3,0),FALSE)</f>
        <v>0</v>
      </c>
      <c r="AS26" s="206">
        <f>VLOOKUP(AM26,坦克个性化细分!$AA$3:$AP$33,MATCH("换弹区间",坦克个性化细分!$AA$3:$AP$3,0),FALSE)</f>
        <v>1.488721804511278</v>
      </c>
      <c r="AT26" s="208"/>
      <c r="AU26" s="364" t="str">
        <f t="shared" si="9"/>
        <v>Puma10</v>
      </c>
      <c r="AV26" s="183">
        <f>IF(AY25&gt;=VLOOKUP(VLOOKUP(AW25,坦克个性化设定!$B$18:$E$48,4,FALSE)&amp;AX25,坦克属性分配比例,MATCH("升星次数",坦克属性分配比例标头,0),FALSE),AV25+1,AV25)</f>
        <v>3</v>
      </c>
      <c r="AW26" s="131" t="str">
        <f t="shared" si="10"/>
        <v>Puma</v>
      </c>
      <c r="AX26" s="177" t="str">
        <f>VLOOKUP(AW26,坦克个性化细分!$I$3:$J$33,2,FALSE)</f>
        <v>中</v>
      </c>
      <c r="AY26" s="183">
        <f t="shared" si="1"/>
        <v>10</v>
      </c>
      <c r="AZ26" s="486">
        <f ca="1">ROUND(VLOOKUP($AW26&amp;"初始",$O$3:$AA$63,MATCH(AZ$3,$O$3:$AA$3,0),FALSE)+((VLOOKUP($AW26&amp;"最终",$O$3:$AA$63,MATCH(AZ$3,$O$3:$AA$3,0),FALSE)*坦克个性化细分!$C$9-VLOOKUP($AW26&amp;"初始",$O$3:$AA$63,MATCH(AZ$3,$O$3:$AA$3,0),FALSE))-(VLOOKUP($AW26&amp;"最终",$O$3:$AA$63,MATCH(AZ$3,$O$3:$AA$3,0),FALSE)-VLOOKUP($AW26&amp;"初始",$O$3:$AA$63,MATCH(AZ$3,$O$3:$AA$3,0),FALSE))*VLOOKUP(VLOOKUP($AW26,坦克个性化设定!$B$18:$E$48,4,FALSE)&amp;$AX26,坦克属性分配比例,MATCH("部件比例",坦克属性分配比例标头,0),FALSE))*$AY26/VLOOKUP(VLOOKUP($AW26,坦克个性化设定!$B$18:$E$48,4,FALSE)&amp;$AX26,坦克属性分配比例,MATCH("升星次数",坦克属性分配比例标头,0),FALSE),0)</f>
        <v>2244</v>
      </c>
      <c r="BA26" s="426">
        <f ca="1">ROUND(VLOOKUP($AW26&amp;"初始",$O$3:$AA$63,MATCH(BA$3,$O$3:$AA$3,0),FALSE)+(VLOOKUP($AW26&amp;"最终",$O$3:$AA$63,MATCH(BA$3,$O$3:$AA$3,0),FALSE)-VLOOKUP($AW26&amp;"初始",$O$3:$AA$63,MATCH(BA$3,$O$3:$AA$3,0),FALSE))*$AY26/VLOOKUP(VLOOKUP($AW26,坦克个性化设定!$B$18:$E$48,4,FALSE)&amp;$AX26,坦克属性分配比例,MATCH("升星次数",坦克属性分配比例标头,0),FALSE)*VLOOKUP(VLOOKUP($AW26,坦克个性化设定!$B$18:$E$48,4,FALSE)&amp;$AX26,坦克属性分配比例,MATCH("升星比例",坦克属性分配比例标头,0),FALSE),0)</f>
        <v>74</v>
      </c>
      <c r="BB26" s="486">
        <f ca="1">ROUND(VLOOKUP($AW26&amp;"初始",$O$3:$AA$63,MATCH(BB$3,$O$3:$AA$3,0),FALSE)+(VLOOKUP($AW26&amp;"最终",$O$3:$AA$63,MATCH(BB$3,$O$3:$AA$3,0),FALSE)-VLOOKUP($AW26&amp;"初始",$O$3:$AA$63,MATCH(BB$3,$O$3:$AA$3,0),FALSE))*$AY26/VLOOKUP(VLOOKUP($AW26,坦克个性化设定!$B$18:$E$48,4,FALSE)&amp;$AX26,坦克属性分配比例,MATCH("升星次数",坦克属性分配比例标头,0),FALSE)*(VLOOKUP(VLOOKUP($AW26,坦克个性化设定!$B$18:$E$48,4,FALSE)&amp;$AX26,坦克属性分配比例,MATCH("升星比例",坦克属性分配比例标头,0),FALSE)+VLOOKUP(VLOOKUP($AW26,坦克个性化设定!$B$18:$E$48,4,FALSE)&amp;$AX26,坦克属性分配比例,MATCH("部件比例",坦克属性分配比例标头,0),FALSE)*$C$3),0)</f>
        <v>645</v>
      </c>
      <c r="BC26" s="486">
        <f ca="1">ROUND(VLOOKUP($AW26&amp;"初始",$O$3:$AA$63,MATCH(BC$3,$O$3:$AA$3,0),FALSE)+(VLOOKUP($AW26&amp;"最终",$O$3:$AA$63,MATCH(BC$3,$O$3:$AA$3,0),FALSE)-VLOOKUP($AW26&amp;"初始",$O$3:$AA$63,MATCH(BC$3,$O$3:$AA$3,0),FALSE))*$AY26/VLOOKUP(VLOOKUP($AW26,坦克个性化设定!$B$18:$E$48,4,FALSE)&amp;$AX26,坦克属性分配比例,MATCH("升星次数",坦克属性分配比例标头,0),FALSE)*(VLOOKUP(VLOOKUP($AW26,坦克个性化设定!$B$18:$E$48,4,FALSE)&amp;$AX26,坦克属性分配比例,MATCH("升星比例",坦克属性分配比例标头,0),FALSE)+VLOOKUP(VLOOKUP($AW26,坦克个性化设定!$B$18:$E$48,4,FALSE)&amp;$AX26,坦克属性分配比例,MATCH("部件比例",坦克属性分配比例标头,0),FALSE)*$C$3),0)</f>
        <v>451</v>
      </c>
      <c r="BD26" s="426">
        <f ca="1">ROUND(VLOOKUP($AW26&amp;"初始",$O$3:$AA$63,MATCH(BD$3,$O$3:$AA$3,0),FALSE)+(VLOOKUP($AW26&amp;"最终",$O$3:$AA$63,MATCH(BD$3,$O$3:$AA$3,0),FALSE)-VLOOKUP($AW26&amp;"初始",$O$3:$AA$63,MATCH(BD$3,$O$3:$AA$3,0),FALSE))*$AY26/VLOOKUP(VLOOKUP($AW26,坦克个性化设定!$B$18:$E$48,4,FALSE)&amp;$AX26,坦克属性分配比例,MATCH("升星次数",坦克属性分配比例标头,0),FALSE)*VLOOKUP(VLOOKUP($AW26,坦克个性化设定!$B$18:$E$48,4,FALSE)&amp;$AX26,坦克属性分配比例,MATCH("升星比例",坦克属性分配比例标头,0),FALSE),0)</f>
        <v>584</v>
      </c>
      <c r="BE26" s="426">
        <f ca="1">ROUND(VLOOKUP($AW26&amp;"初始",$O$3:$AA$63,MATCH(BE$3,$O$3:$AA$3,0),FALSE)+(VLOOKUP($AW26&amp;"最终",$O$3:$AA$63,MATCH(BE$3,$O$3:$AA$3,0),FALSE)-VLOOKUP($AW26&amp;"初始",$O$3:$AA$63,MATCH(BE$3,$O$3:$AA$3,0),FALSE))*$AY26/VLOOKUP(VLOOKUP($AW26,坦克个性化设定!$B$18:$E$48,4,FALSE)&amp;$AX26,坦克属性分配比例,MATCH("升星次数",坦克属性分配比例标头,0),FALSE),0)</f>
        <v>183</v>
      </c>
      <c r="BF26" s="462">
        <f>ROUND(VLOOKUP($AW26,$AD$3:$AJ$33,MATCH(BF$3,$AD$3:$AJ$3,0),FALSE)+$AY26/VLOOKUP(VLOOKUP($AW26,坦克个性化设定!$B$18:$E$48,4,FALSE)&amp;$AX26,坦克属性分配比例,MATCH("升星次数",坦克属性分配比例标头,0),FALSE)*VLOOKUP($AW26,$AM$3:$AS$33,MATCH(BF$3,$AM$3:$AS$3,0),FALSE),1)</f>
        <v>53.1</v>
      </c>
      <c r="BG26" s="462">
        <f>ROUND(VLOOKUP($AW26,$AD$3:$AJ$33,MATCH(BG$3,$AD$3:$AJ$3,0),FALSE)+$AY26/VLOOKUP(VLOOKUP($AW26,坦克个性化设定!$B$18:$E$48,4,FALSE)&amp;$AX26,坦克属性分配比例,MATCH("升星次数",坦克属性分配比例标头,0),FALSE)*VLOOKUP($AW26,$AM$3:$AS$33,MATCH(BG$3,$AM$3:$AS$3,0),FALSE),1)</f>
        <v>62.6</v>
      </c>
      <c r="BH26" s="462">
        <f>ROUND(VLOOKUP($AW26,$AD$3:$AJ$33,MATCH(BH$3,$AD$3:$AJ$3,0),FALSE)+$AY26/VLOOKUP(VLOOKUP($AW26,坦克个性化设定!$B$18:$E$48,4,FALSE)&amp;$AX26,坦克属性分配比例,MATCH("升星次数",坦克属性分配比例标头,0),FALSE)*VLOOKUP($AW26,$AM$3:$AS$33,MATCH(BH$3,$AM$3:$AS$3,0),FALSE),1)</f>
        <v>18.3</v>
      </c>
      <c r="BI26" s="654">
        <f>IF(VLOOKUP(AW26,坦克个性化设定!$B$18:$BB$48,MATCH("装弹类型",坦克个性化设定!$B$18:$BB$18,0),FALSE)="弹夹换弹",0,ROUND(VLOOKUP($AW26,$AD$3:$AJ$33,MATCH("换弹时间",$AD$3:$AJ$3,0),FALSE)-$AY26/VLOOKUP(VLOOKUP($AW26,坦克个性化设定!$B$18:$E$48,4,FALSE)&amp;$AX26,坦克属性分配比例,MATCH("升星次数",坦克属性分配比例标头,0),FALSE)*VLOOKUP($AW26,$AM$3:$AS$33,MATCH("换弹时间",$AM$3:$AS$3,0),FALSE),2))</f>
        <v>0.82</v>
      </c>
      <c r="BJ26" s="462">
        <f>IF(VLOOKUP(AW26,坦克个性化设定!$B$18:$BB$48,MATCH("装弹类型",坦克个性化设定!$B$18:$BB$18,0),FALSE)="弹夹换弹",ROUND(VLOOKUP($AW26,$AD$3:$AJ$33,MATCH("换弹时间",$AD$3:$AJ$3,0),FALSE)-$AY26/VLOOKUP(VLOOKUP($AW26,坦克个性化设定!$B$18:$E$48,4,FALSE)&amp;$AX26,坦克属性分配比例,MATCH("升星次数",坦克属性分配比例标头,0),FALSE)*VLOOKUP($AW26,$AM$3:$AS$33,MATCH("换弹时间",$AM$3:$AS$3,0),FALSE),1),0)</f>
        <v>0</v>
      </c>
      <c r="BK26" s="462">
        <f>ROUND(VLOOKUP($AW26,$AD$3:$AJ$33,MATCH(BK$3,$AD$3:$AJ$3,0),FALSE)+$AY26/VLOOKUP(VLOOKUP($AW26,坦克个性化设定!$B$18:$E$48,4,FALSE)&amp;$AX26,坦克属性分配比例,MATCH("升星次数",坦克属性分配比例标头,0),FALSE)*VLOOKUP($AW26,$AM$3:$AS$33,MATCH(BK$3,$AM$3:$AS$3,0),FALSE),2)</f>
        <v>0.4</v>
      </c>
      <c r="BL26" s="462">
        <f>ROUND(VLOOKUP($AW26,$AD$3:$AJ$33,MATCH(BL$3,$AD$3:$AJ$3,0),FALSE)-$AY26/VLOOKUP(VLOOKUP($AW26,坦克个性化设定!$B$18:$E$48,4,FALSE)&amp;$AX26,坦克属性分配比例,MATCH("升星次数",坦克属性分配比例标头,0),FALSE)*VLOOKUP($AW26,$AM$3:$AS$33,MATCH(BL$3,$AM$3:$AS$3,0),FALSE),2)</f>
        <v>1.04</v>
      </c>
      <c r="BN26" s="183">
        <v>23</v>
      </c>
      <c r="BO26" s="131" t="str">
        <f t="shared" si="11"/>
        <v>丘吉尔</v>
      </c>
      <c r="BP26" s="131" t="str">
        <f>VLOOKUP(BO26,坦克个性化设定!$B$18:$F$48,5,FALSE)</f>
        <v>重坦单发</v>
      </c>
      <c r="BQ26" s="177" t="str">
        <f>VLOOKUP(BO26,坦克个性化细分!$I$3:$J$33,2,FALSE)</f>
        <v>中</v>
      </c>
      <c r="BR26" s="96">
        <f ca="1">(VLOOKUP($BO26&amp;"最终",$O$3:$AA$63,MATCH(BR$3,$O$3:$AA$3,0),FALSE)-VLOOKUP($BO26&amp;"初始",$O$3:$AA$63,MATCH(BR$3,$O$3:$AA$3,0),FALSE))*VLOOKUP(VLOOKUP($BO26,坦克个性化设定!$B$18:$E$48,4,FALSE)&amp;$BQ26,坦克属性分配比例,MATCH("部件比例",坦克属性分配比例标头,0),FALSE)</f>
        <v>357.77081419489537</v>
      </c>
      <c r="BS26" s="96">
        <f ca="1">(VLOOKUP($BO26&amp;"最终",$O$3:$AA$63,MATCH(BS$3,$O$3:$AA$3,0),FALSE)-VLOOKUP($BO26&amp;"初始",$O$3:$AA$63,MATCH(BS$3,$O$3:$AA$3,0),FALSE))*VLOOKUP(VLOOKUP($BO26,坦克个性化设定!$B$18:$E$48,4,FALSE)&amp;$BQ26,坦克属性分配比例,MATCH("部件比例",坦克属性分配比例标头,0),FALSE)</f>
        <v>72.079801249983504</v>
      </c>
      <c r="BT26" s="96">
        <f ca="1">(VLOOKUP($BO26&amp;"最终",$O$3:$AA$63,MATCH(BT$3,$O$3:$AA$3,0),FALSE)-VLOOKUP($BO26&amp;"初始",$O$3:$AA$63,MATCH(BT$3,$O$3:$AA$3,0),FALSE))*VLOOKUP(VLOOKUP($BO26,坦克个性化设定!$B$18:$E$48,4,FALSE)&amp;$BQ26,坦克属性分配比例,MATCH("部件比例",坦克属性分配比例标头,0),FALSE)*(1-$C$3)</f>
        <v>46.624634482758609</v>
      </c>
      <c r="BU26" s="96">
        <f ca="1">(VLOOKUP($BO26&amp;"最终",$O$3:$AA$63,MATCH(BU$3,$O$3:$AA$3,0),FALSE)-VLOOKUP($BO26&amp;"初始",$O$3:$AA$63,MATCH(BU$3,$O$3:$AA$3,0),FALSE))*VLOOKUP(VLOOKUP($BO26,坦克个性化设定!$B$18:$E$48,4,FALSE)&amp;$BQ26,坦克属性分配比例,MATCH("部件比例",坦克属性分配比例标头,0),FALSE)*(1-$C$3)</f>
        <v>37.402179310344813</v>
      </c>
      <c r="BV26" s="96">
        <f ca="1">(VLOOKUP($BO26&amp;"最终",$O$3:$AA$63,MATCH(BV$3,$O$3:$AA$3,0),FALSE)-VLOOKUP($BO26&amp;"初始",$O$3:$AA$63,MATCH(BV$3,$O$3:$AA$3,0),FALSE))*VLOOKUP(VLOOKUP($BO26,坦克个性化设定!$B$18:$E$48,4,FALSE)&amp;$BQ26,坦克属性分配比例,MATCH("部件比例",坦克属性分配比例标头,0),FALSE)</f>
        <v>155.94915517241375</v>
      </c>
    </row>
    <row r="27" spans="2:74" x14ac:dyDescent="0.35">
      <c r="B27" s="137">
        <v>22</v>
      </c>
      <c r="C27" s="176" t="str">
        <f>坦克个性化设定!B40</f>
        <v>KV-1</v>
      </c>
      <c r="D27" s="84"/>
      <c r="E27" s="84"/>
      <c r="F27" s="84"/>
      <c r="G27" s="84"/>
      <c r="H27" s="84"/>
      <c r="I27" s="84"/>
      <c r="J27" s="84"/>
      <c r="K27" s="84"/>
      <c r="L27" s="84"/>
      <c r="M27" s="84"/>
      <c r="N27" s="84"/>
      <c r="O27" s="426" t="str">
        <f t="shared" si="5"/>
        <v>T-34最终</v>
      </c>
      <c r="P27" s="137">
        <f>IF(COUNTIF(Q$4:Q26,Q26)&gt;=$B$3,P26+1,P26)</f>
        <v>12</v>
      </c>
      <c r="Q27" s="131" t="str">
        <f t="shared" si="6"/>
        <v>T-34</v>
      </c>
      <c r="R27" s="131" t="str">
        <f>VLOOKUP(Q27,坦克个性化设定!$B$18:$F$48,5,FALSE)</f>
        <v>中坦弹夹</v>
      </c>
      <c r="S27" s="177" t="str">
        <f>VLOOKUP(Q27,坦克个性化细分!$I$3:$J$33,2,FALSE)</f>
        <v>低</v>
      </c>
      <c r="T27" s="137" t="str">
        <f t="shared" si="12"/>
        <v>最终</v>
      </c>
      <c r="U27" s="178" t="str">
        <f>VLOOKUP(VLOOKUP(Q27,坦克个性化设定!$B$18:$F$48,4,FALSE)&amp;S27,坦克等级成长!$P$12:$U$24,MATCH(T27,坦克等级成长!$P$12:$U$12,0),FALSE)</f>
        <v>T2低3</v>
      </c>
      <c r="V27" s="96">
        <f ca="1">VLOOKUP($U27,INDIRECT($R27&amp;"_阶段属性"),MATCH(V$3,属性标头_阶段属性,0),FALSE)*VLOOKUP($Q27,坦克个性化设定!$B$84:$D$114,2,FALSE)</f>
        <v>1469.7746192252339</v>
      </c>
      <c r="W27" s="96">
        <f ca="1">VLOOKUP($U27,INDIRECT($R27&amp;"_阶段属性"),MATCH(W$3,属性标头_阶段属性,0),FALSE)*VLOOKUP($Q27,坦克个性化设定!$B$84:$D$114,3,FALSE)</f>
        <v>107.28821043289405</v>
      </c>
      <c r="X27" s="131">
        <f t="shared" ca="1" si="14"/>
        <v>514</v>
      </c>
      <c r="Y27" s="131">
        <f t="shared" ca="1" si="14"/>
        <v>386</v>
      </c>
      <c r="Z27" s="131">
        <f t="shared" ca="1" si="14"/>
        <v>648</v>
      </c>
      <c r="AA27" s="131">
        <f t="shared" ca="1" si="14"/>
        <v>158</v>
      </c>
      <c r="AC27" s="195">
        <v>24</v>
      </c>
      <c r="AD27" s="193" t="str">
        <f t="shared" si="7"/>
        <v>黑豹</v>
      </c>
      <c r="AE27" s="195">
        <f>VLOOKUP($AD27,坦克个性化细分!$I$3:$P$33,MATCH(AE$3,坦克个性化细分!$I$3:$P$3,0),FALSE)</f>
        <v>31.3</v>
      </c>
      <c r="AF27" s="195">
        <f>VLOOKUP($AD27,坦克个性化细分!$I$3:$P$33,MATCH(AF$3,坦克个性化细分!$I$3:$P$3,0),FALSE)</f>
        <v>43.8</v>
      </c>
      <c r="AG27" s="195">
        <f>VLOOKUP($AD27,坦克个性化细分!$I$3:$P$33,MATCH(AG$3,坦克个性化细分!$I$3:$P$3,0),FALSE)</f>
        <v>9.5</v>
      </c>
      <c r="AH27" s="206">
        <f>VLOOKUP(AD27,坦克个性化细分!$AA$3:$AP$33,MATCH("射击偏移角",坦克个性化细分!$AA$3:$AP$3,0),FALSE)/VLOOKUP(AD27,坦克个性化细分!$AA$3:$AP$33,MATCH("原瞄准速度",坦克个性化细分!$AA$3:$AP$3,0),FALSE)</f>
        <v>3</v>
      </c>
      <c r="AI27" s="206">
        <f>VLOOKUP(AD27,坦克个性化细分!$AA$3:$AP$33,MATCH(AI$3,坦克个性化细分!$AA$3:$AP$3,0),FALSE)</f>
        <v>0</v>
      </c>
      <c r="AJ27" s="462">
        <f>VLOOKUP(AD27,坦克个性化细分!$AA$3:$AP$33,MATCH("原换弹时间",坦克个性化细分!$AA$3:$AP$3,0),FALSE)</f>
        <v>6</v>
      </c>
      <c r="AK27" s="208"/>
      <c r="AL27" s="195">
        <v>24</v>
      </c>
      <c r="AM27" s="193" t="str">
        <f t="shared" si="8"/>
        <v>黑豹</v>
      </c>
      <c r="AN27" s="206">
        <f>VLOOKUP(AM27,坦克个性化细分!$I$3:$P$33,MATCH("养成区间1",坦克个性化细分!$I$3:$P$3,0),FALSE)</f>
        <v>7.8249999999999984</v>
      </c>
      <c r="AO27" s="462">
        <f>VLOOKUP(AM27,坦克个性化细分!$I$3:$P$33,MATCH("养成区间2",坦克个性化细分!$I$3:$P$3,0),FALSE)</f>
        <v>10.949999999999996</v>
      </c>
      <c r="AP27" s="462">
        <f>VLOOKUP(AM27,坦克个性化细分!$I$3:$P$33,MATCH("养成区间3",坦克个性化细分!$I$3:$P$3,0),FALSE)</f>
        <v>3.1</v>
      </c>
      <c r="AQ27" s="206">
        <f>VLOOKUP(AM27,坦克个性化细分!$AA$3:$AP$33,MATCH("瞄准区间",坦克个性化细分!$AA$3:$AP$3,0),FALSE)</f>
        <v>0.5</v>
      </c>
      <c r="AR27" s="206">
        <f>VLOOKUP(AD27,坦克个性化细分!$AA$3:$AP$33,MATCH("后射击间隔",坦克个性化细分!$AA$3:$AP$3,0),FALSE)-VLOOKUP(AD27,坦克个性化细分!$AA$3:$AP$33,MATCH(AI$3,坦克个性化细分!$AA$3:$AP$3,0),FALSE)</f>
        <v>0</v>
      </c>
      <c r="AS27" s="206">
        <f>VLOOKUP(AM27,坦克个性化细分!$AA$3:$AP$33,MATCH("换弹区间",坦克个性化细分!$AA$3:$AP$3,0),FALSE)</f>
        <v>1.488721804511278</v>
      </c>
      <c r="AT27" s="208"/>
      <c r="AU27" s="364" t="str">
        <f t="shared" si="9"/>
        <v>Puma11</v>
      </c>
      <c r="AV27" s="183">
        <f>IF(AY26&gt;=VLOOKUP(VLOOKUP(AW26,坦克个性化设定!$B$18:$E$48,4,FALSE)&amp;AX26,坦克属性分配比例,MATCH("升星次数",坦克属性分配比例标头,0),FALSE),AV26+1,AV26)</f>
        <v>3</v>
      </c>
      <c r="AW27" s="131" t="str">
        <f t="shared" si="10"/>
        <v>Puma</v>
      </c>
      <c r="AX27" s="177" t="str">
        <f>VLOOKUP(AW27,坦克个性化细分!$I$3:$J$33,2,FALSE)</f>
        <v>中</v>
      </c>
      <c r="AY27" s="183">
        <f t="shared" si="1"/>
        <v>11</v>
      </c>
      <c r="AZ27" s="486">
        <f ca="1">ROUND(VLOOKUP($AW27&amp;"初始",$O$3:$AA$63,MATCH(AZ$3,$O$3:$AA$3,0),FALSE)+((VLOOKUP($AW27&amp;"最终",$O$3:$AA$63,MATCH(AZ$3,$O$3:$AA$3,0),FALSE)*坦克个性化细分!$C$9-VLOOKUP($AW27&amp;"初始",$O$3:$AA$63,MATCH(AZ$3,$O$3:$AA$3,0),FALSE))-(VLOOKUP($AW27&amp;"最终",$O$3:$AA$63,MATCH(AZ$3,$O$3:$AA$3,0),FALSE)-VLOOKUP($AW27&amp;"初始",$O$3:$AA$63,MATCH(AZ$3,$O$3:$AA$3,0),FALSE))*VLOOKUP(VLOOKUP($AW27,坦克个性化设定!$B$18:$E$48,4,FALSE)&amp;$AX27,坦克属性分配比例,MATCH("部件比例",坦克属性分配比例标头,0),FALSE))*$AY27/VLOOKUP(VLOOKUP($AW27,坦克个性化设定!$B$18:$E$48,4,FALSE)&amp;$AX27,坦克属性分配比例,MATCH("升星次数",坦克属性分配比例标头,0),FALSE),0)</f>
        <v>2362</v>
      </c>
      <c r="BA27" s="426">
        <f ca="1">ROUND(VLOOKUP($AW27&amp;"初始",$O$3:$AA$63,MATCH(BA$3,$O$3:$AA$3,0),FALSE)+(VLOOKUP($AW27&amp;"最终",$O$3:$AA$63,MATCH(BA$3,$O$3:$AA$3,0),FALSE)-VLOOKUP($AW27&amp;"初始",$O$3:$AA$63,MATCH(BA$3,$O$3:$AA$3,0),FALSE))*$AY27/VLOOKUP(VLOOKUP($AW27,坦克个性化设定!$B$18:$E$48,4,FALSE)&amp;$AX27,坦克属性分配比例,MATCH("升星次数",坦克属性分配比例标头,0),FALSE)*VLOOKUP(VLOOKUP($AW27,坦克个性化设定!$B$18:$E$48,4,FALSE)&amp;$AX27,坦克属性分配比例,MATCH("升星比例",坦克属性分配比例标头,0),FALSE),0)</f>
        <v>76</v>
      </c>
      <c r="BB27" s="486">
        <f ca="1">ROUND(VLOOKUP($AW27&amp;"初始",$O$3:$AA$63,MATCH(BB$3,$O$3:$AA$3,0),FALSE)+(VLOOKUP($AW27&amp;"最终",$O$3:$AA$63,MATCH(BB$3,$O$3:$AA$3,0),FALSE)-VLOOKUP($AW27&amp;"初始",$O$3:$AA$63,MATCH(BB$3,$O$3:$AA$3,0),FALSE))*$AY27/VLOOKUP(VLOOKUP($AW27,坦克个性化设定!$B$18:$E$48,4,FALSE)&amp;$AX27,坦克属性分配比例,MATCH("升星次数",坦克属性分配比例标头,0),FALSE)*(VLOOKUP(VLOOKUP($AW27,坦克个性化设定!$B$18:$E$48,4,FALSE)&amp;$AX27,坦克属性分配比例,MATCH("升星比例",坦克属性分配比例标头,0),FALSE)+VLOOKUP(VLOOKUP($AW27,坦克个性化设定!$B$18:$E$48,4,FALSE)&amp;$AX27,坦克属性分配比例,MATCH("部件比例",坦克属性分配比例标头,0),FALSE)*$C$3),0)</f>
        <v>672</v>
      </c>
      <c r="BC27" s="486">
        <f ca="1">ROUND(VLOOKUP($AW27&amp;"初始",$O$3:$AA$63,MATCH(BC$3,$O$3:$AA$3,0),FALSE)+(VLOOKUP($AW27&amp;"最终",$O$3:$AA$63,MATCH(BC$3,$O$3:$AA$3,0),FALSE)-VLOOKUP($AW27&amp;"初始",$O$3:$AA$63,MATCH(BC$3,$O$3:$AA$3,0),FALSE))*$AY27/VLOOKUP(VLOOKUP($AW27,坦克个性化设定!$B$18:$E$48,4,FALSE)&amp;$AX27,坦克属性分配比例,MATCH("升星次数",坦克属性分配比例标头,0),FALSE)*(VLOOKUP(VLOOKUP($AW27,坦克个性化设定!$B$18:$E$48,4,FALSE)&amp;$AX27,坦克属性分配比例,MATCH("升星比例",坦克属性分配比例标头,0),FALSE)+VLOOKUP(VLOOKUP($AW27,坦克个性化设定!$B$18:$E$48,4,FALSE)&amp;$AX27,坦克属性分配比例,MATCH("部件比例",坦克属性分配比例标头,0),FALSE)*$C$3),0)</f>
        <v>471</v>
      </c>
      <c r="BD27" s="426">
        <f ca="1">ROUND(VLOOKUP($AW27&amp;"初始",$O$3:$AA$63,MATCH(BD$3,$O$3:$AA$3,0),FALSE)+(VLOOKUP($AW27&amp;"最终",$O$3:$AA$63,MATCH(BD$3,$O$3:$AA$3,0),FALSE)-VLOOKUP($AW27&amp;"初始",$O$3:$AA$63,MATCH(BD$3,$O$3:$AA$3,0),FALSE))*$AY27/VLOOKUP(VLOOKUP($AW27,坦克个性化设定!$B$18:$E$48,4,FALSE)&amp;$AX27,坦克属性分配比例,MATCH("升星次数",坦克属性分配比例标头,0),FALSE)*VLOOKUP(VLOOKUP($AW27,坦克个性化设定!$B$18:$E$48,4,FALSE)&amp;$AX27,坦克属性分配比例,MATCH("升星比例",坦克属性分配比例标头,0),FALSE),0)</f>
        <v>606</v>
      </c>
      <c r="BE27" s="426">
        <f ca="1">ROUND(VLOOKUP($AW27&amp;"初始",$O$3:$AA$63,MATCH(BE$3,$O$3:$AA$3,0),FALSE)+(VLOOKUP($AW27&amp;"最终",$O$3:$AA$63,MATCH(BE$3,$O$3:$AA$3,0),FALSE)-VLOOKUP($AW27&amp;"初始",$O$3:$AA$63,MATCH(BE$3,$O$3:$AA$3,0),FALSE))*$AY27/VLOOKUP(VLOOKUP($AW27,坦克个性化设定!$B$18:$E$48,4,FALSE)&amp;$AX27,坦克属性分配比例,MATCH("升星次数",坦克属性分配比例标头,0),FALSE),0)</f>
        <v>191</v>
      </c>
      <c r="BF27" s="462">
        <f>ROUND(VLOOKUP($AW27,$AD$3:$AJ$33,MATCH(BF$3,$AD$3:$AJ$3,0),FALSE)+$AY27/VLOOKUP(VLOOKUP($AW27,坦克个性化设定!$B$18:$E$48,4,FALSE)&amp;$AX27,坦克属性分配比例,MATCH("升星次数",坦克属性分配比例标头,0),FALSE)*VLOOKUP($AW27,$AM$3:$AS$33,MATCH(BF$3,$AM$3:$AS$3,0),FALSE),1)</f>
        <v>54.1</v>
      </c>
      <c r="BG27" s="462">
        <f>ROUND(VLOOKUP($AW27,$AD$3:$AJ$33,MATCH(BG$3,$AD$3:$AJ$3,0),FALSE)+$AY27/VLOOKUP(VLOOKUP($AW27,坦克个性化设定!$B$18:$E$48,4,FALSE)&amp;$AX27,坦克属性分配比例,MATCH("升星次数",坦克属性分配比例标头,0),FALSE)*VLOOKUP($AW27,$AM$3:$AS$33,MATCH(BG$3,$AM$3:$AS$3,0),FALSE),1)</f>
        <v>63.8</v>
      </c>
      <c r="BH27" s="462">
        <f>ROUND(VLOOKUP($AW27,$AD$3:$AJ$33,MATCH(BH$3,$AD$3:$AJ$3,0),FALSE)+$AY27/VLOOKUP(VLOOKUP($AW27,坦克个性化设定!$B$18:$E$48,4,FALSE)&amp;$AX27,坦克属性分配比例,MATCH("升星次数",坦克属性分配比例标头,0),FALSE)*VLOOKUP($AW27,$AM$3:$AS$33,MATCH(BH$3,$AM$3:$AS$3,0),FALSE),1)</f>
        <v>18.7</v>
      </c>
      <c r="BI27" s="654">
        <f>IF(VLOOKUP(AW27,坦克个性化设定!$B$18:$BB$48,MATCH("装弹类型",坦克个性化设定!$B$18:$BB$18,0),FALSE)="弹夹换弹",0,ROUND(VLOOKUP($AW27,$AD$3:$AJ$33,MATCH("换弹时间",$AD$3:$AJ$3,0),FALSE)-$AY27/VLOOKUP(VLOOKUP($AW27,坦克个性化设定!$B$18:$E$48,4,FALSE)&amp;$AX27,坦克属性分配比例,MATCH("升星次数",坦克属性分配比例标头,0),FALSE)*VLOOKUP($AW27,$AM$3:$AS$33,MATCH("换弹时间",$AM$3:$AS$3,0),FALSE),2))</f>
        <v>0.79</v>
      </c>
      <c r="BJ27" s="462">
        <f>IF(VLOOKUP(AW27,坦克个性化设定!$B$18:$BB$48,MATCH("装弹类型",坦克个性化设定!$B$18:$BB$18,0),FALSE)="弹夹换弹",ROUND(VLOOKUP($AW27,$AD$3:$AJ$33,MATCH("换弹时间",$AD$3:$AJ$3,0),FALSE)-$AY27/VLOOKUP(VLOOKUP($AW27,坦克个性化设定!$B$18:$E$48,4,FALSE)&amp;$AX27,坦克属性分配比例,MATCH("升星次数",坦克属性分配比例标头,0),FALSE)*VLOOKUP($AW27,$AM$3:$AS$33,MATCH("换弹时间",$AM$3:$AS$3,0),FALSE),1),0)</f>
        <v>0</v>
      </c>
      <c r="BK27" s="462">
        <f>ROUND(VLOOKUP($AW27,$AD$3:$AJ$33,MATCH(BK$3,$AD$3:$AJ$3,0),FALSE)+$AY27/VLOOKUP(VLOOKUP($AW27,坦克个性化设定!$B$18:$E$48,4,FALSE)&amp;$AX27,坦克属性分配比例,MATCH("升星次数",坦克属性分配比例标头,0),FALSE)*VLOOKUP($AW27,$AM$3:$AS$33,MATCH(BK$3,$AM$3:$AS$3,0),FALSE),2)</f>
        <v>0.4</v>
      </c>
      <c r="BL27" s="462">
        <f>ROUND(VLOOKUP($AW27,$AD$3:$AJ$33,MATCH(BL$3,$AD$3:$AJ$3,0),FALSE)-$AY27/VLOOKUP(VLOOKUP($AW27,坦克个性化设定!$B$18:$E$48,4,FALSE)&amp;$AX27,坦克属性分配比例,MATCH("升星次数",坦克属性分配比例标头,0),FALSE)*VLOOKUP($AW27,$AM$3:$AS$33,MATCH(BL$3,$AM$3:$AS$3,0),FALSE),2)</f>
        <v>1.02</v>
      </c>
      <c r="BN27" s="183">
        <v>24</v>
      </c>
      <c r="BO27" s="131" t="str">
        <f t="shared" si="11"/>
        <v>黑豹</v>
      </c>
      <c r="BP27" s="131" t="str">
        <f>VLOOKUP(BO27,坦克个性化设定!$B$18:$F$48,5,FALSE)</f>
        <v>重坦单发</v>
      </c>
      <c r="BQ27" s="177" t="str">
        <f>VLOOKUP(BO27,坦克个性化细分!$I$3:$J$33,2,FALSE)</f>
        <v>低</v>
      </c>
      <c r="BR27" s="96">
        <f ca="1">(VLOOKUP($BO27&amp;"最终",$O$3:$AA$63,MATCH(BR$3,$O$3:$AA$3,0),FALSE)-VLOOKUP($BO27&amp;"初始",$O$3:$AA$63,MATCH(BR$3,$O$3:$AA$3,0),FALSE))*VLOOKUP(VLOOKUP($BO27,坦克个性化设定!$B$18:$E$48,4,FALSE)&amp;$BQ27,坦克属性分配比例,MATCH("部件比例",坦克属性分配比例标头,0),FALSE)</f>
        <v>428.10565614705155</v>
      </c>
      <c r="BS27" s="96">
        <f ca="1">(VLOOKUP($BO27&amp;"最终",$O$3:$AA$63,MATCH(BS$3,$O$3:$AA$3,0),FALSE)-VLOOKUP($BO27&amp;"初始",$O$3:$AA$63,MATCH(BS$3,$O$3:$AA$3,0),FALSE))*VLOOKUP(VLOOKUP($BO27,坦克个性化设定!$B$18:$E$48,4,FALSE)&amp;$BQ27,坦克属性分配比例,MATCH("部件比例",坦克属性分配比例标头,0),FALSE)</f>
        <v>89.367314792865997</v>
      </c>
      <c r="BT27" s="96">
        <f ca="1">(VLOOKUP($BO27&amp;"最终",$O$3:$AA$63,MATCH(BT$3,$O$3:$AA$3,0),FALSE)-VLOOKUP($BO27&amp;"初始",$O$3:$AA$63,MATCH(BT$3,$O$3:$AA$3,0),FALSE))*VLOOKUP(VLOOKUP($BO27,坦克个性化设定!$B$18:$E$48,4,FALSE)&amp;$BQ27,坦克属性分配比例,MATCH("部件比例",坦克属性分配比例标头,0),FALSE)*(1-$C$3)</f>
        <v>57.07800000000001</v>
      </c>
      <c r="BU27" s="96">
        <f ca="1">(VLOOKUP($BO27&amp;"最终",$O$3:$AA$63,MATCH(BU$3,$O$3:$AA$3,0),FALSE)-VLOOKUP($BO27&amp;"初始",$O$3:$AA$63,MATCH(BU$3,$O$3:$AA$3,0),FALSE))*VLOOKUP(VLOOKUP($BO27,坦克个性化设定!$B$18:$E$48,4,FALSE)&amp;$BQ27,坦克属性分配比例,MATCH("部件比例",坦克属性分配比例标头,0),FALSE)*(1-$C$3)</f>
        <v>45.526500000000006</v>
      </c>
      <c r="BV27" s="96">
        <f ca="1">(VLOOKUP($BO27&amp;"最终",$O$3:$AA$63,MATCH(BV$3,$O$3:$AA$3,0),FALSE)-VLOOKUP($BO27&amp;"初始",$O$3:$AA$63,MATCH(BV$3,$O$3:$AA$3,0),FALSE))*VLOOKUP(VLOOKUP($BO27,坦克个性化设定!$B$18:$E$48,4,FALSE)&amp;$BQ27,坦克属性分配比例,MATCH("部件比例",坦克属性分配比例标头,0),FALSE)</f>
        <v>190.26000000000002</v>
      </c>
    </row>
    <row r="28" spans="2:74" x14ac:dyDescent="0.35">
      <c r="B28" s="137">
        <v>23</v>
      </c>
      <c r="C28" s="176" t="str">
        <f>坦克个性化设定!B41</f>
        <v>丘吉尔</v>
      </c>
      <c r="D28" s="84"/>
      <c r="E28" s="84"/>
      <c r="F28" s="84"/>
      <c r="G28" s="84"/>
      <c r="H28" s="84"/>
      <c r="I28" s="84"/>
      <c r="J28" s="84"/>
      <c r="K28" s="84"/>
      <c r="L28" s="84"/>
      <c r="M28" s="84"/>
      <c r="N28" s="84"/>
      <c r="O28" s="426" t="str">
        <f t="shared" si="5"/>
        <v>四号初始</v>
      </c>
      <c r="P28" s="137">
        <f>IF(COUNTIF(Q$4:Q27,Q27)&gt;=$B$3,P27+1,P27)</f>
        <v>13</v>
      </c>
      <c r="Q28" s="131" t="str">
        <f t="shared" si="6"/>
        <v>四号</v>
      </c>
      <c r="R28" s="131" t="str">
        <f>VLOOKUP(Q28,坦克个性化设定!$B$18:$F$48,5,FALSE)</f>
        <v>中坦单发</v>
      </c>
      <c r="S28" s="177" t="str">
        <f>VLOOKUP(Q28,坦克个性化细分!$I$3:$J$33,2,FALSE)</f>
        <v>中</v>
      </c>
      <c r="T28" s="137" t="str">
        <f t="shared" si="12"/>
        <v>初始</v>
      </c>
      <c r="U28" s="178" t="str">
        <f>VLOOKUP(VLOOKUP(Q28,坦克个性化设定!$B$18:$F$48,4,FALSE)&amp;S28,坦克等级成长!$P$12:$U$24,MATCH(T28,坦克等级成长!$P$12:$U$12,0),FALSE)</f>
        <v>T2中2</v>
      </c>
      <c r="V28" s="96">
        <f ca="1">VLOOKUP($U28,INDIRECT($R28&amp;"_阶段属性"),MATCH(V$3,属性标头_阶段属性,0),FALSE)*VLOOKUP($Q28,坦克个性化设定!$B$84:$D$114,2,FALSE)</f>
        <v>1035.8571820711345</v>
      </c>
      <c r="W28" s="96">
        <f ca="1">VLOOKUP($U28,INDIRECT($R28&amp;"_阶段属性"),MATCH(W$3,属性标头_阶段属性,0),FALSE)*VLOOKUP($Q28,坦克个性化设定!$B$84:$D$114,3,FALSE)</f>
        <v>198.68633520779014</v>
      </c>
      <c r="X28" s="131">
        <f t="shared" ca="1" si="14"/>
        <v>404</v>
      </c>
      <c r="Y28" s="131">
        <f t="shared" ca="1" si="14"/>
        <v>303</v>
      </c>
      <c r="Z28" s="131">
        <f t="shared" ca="1" si="14"/>
        <v>443</v>
      </c>
      <c r="AA28" s="131">
        <f t="shared" ca="1" si="14"/>
        <v>108</v>
      </c>
      <c r="AC28" s="195">
        <v>25</v>
      </c>
      <c r="AD28" s="193" t="str">
        <f t="shared" si="7"/>
        <v>虎式</v>
      </c>
      <c r="AE28" s="195">
        <f>VLOOKUP($AD28,坦克个性化细分!$I$3:$P$33,MATCH(AE$3,坦克个性化细分!$I$3:$P$3,0),FALSE)</f>
        <v>32</v>
      </c>
      <c r="AF28" s="195">
        <f>VLOOKUP($AD28,坦克个性化细分!$I$3:$P$33,MATCH(AF$3,坦克个性化细分!$I$3:$P$3,0),FALSE)</f>
        <v>44.6</v>
      </c>
      <c r="AG28" s="195">
        <f>VLOOKUP($AD28,坦克个性化细分!$I$3:$P$33,MATCH(AG$3,坦克个性化细分!$I$3:$P$3,0),FALSE)</f>
        <v>9.6</v>
      </c>
      <c r="AH28" s="206">
        <f>VLOOKUP(AD28,坦克个性化细分!$AA$3:$AP$33,MATCH("射击偏移角",坦克个性化细分!$AA$3:$AP$3,0),FALSE)/VLOOKUP(AD28,坦克个性化细分!$AA$3:$AP$33,MATCH("原瞄准速度",坦克个性化细分!$AA$3:$AP$3,0),FALSE)</f>
        <v>3</v>
      </c>
      <c r="AI28" s="206">
        <f>VLOOKUP(AD28,坦克个性化细分!$AA$3:$AP$33,MATCH(AI$3,坦克个性化细分!$AA$3:$AP$3,0),FALSE)</f>
        <v>0</v>
      </c>
      <c r="AJ28" s="462">
        <f>VLOOKUP(AD28,坦克个性化细分!$AA$3:$AP$33,MATCH("原换弹时间",坦克个性化细分!$AA$3:$AP$3,0),FALSE)</f>
        <v>6</v>
      </c>
      <c r="AK28" s="208"/>
      <c r="AL28" s="195">
        <v>25</v>
      </c>
      <c r="AM28" s="193" t="str">
        <f t="shared" si="8"/>
        <v>虎式</v>
      </c>
      <c r="AN28" s="206">
        <f>VLOOKUP(AM28,坦克个性化细分!$I$3:$P$33,MATCH("养成区间1",坦克个性化细分!$I$3:$P$3,0),FALSE)</f>
        <v>7.9999999999999982</v>
      </c>
      <c r="AO28" s="462">
        <f>VLOOKUP(AM28,坦克个性化细分!$I$3:$P$33,MATCH("养成区间2",坦克个性化细分!$I$3:$P$3,0),FALSE)</f>
        <v>11.149999999999997</v>
      </c>
      <c r="AP28" s="462">
        <f>VLOOKUP(AM28,坦克个性化细分!$I$3:$P$33,MATCH("养成区间3",坦克个性化细分!$I$3:$P$3,0),FALSE)</f>
        <v>3.14</v>
      </c>
      <c r="AQ28" s="206">
        <f>VLOOKUP(AM28,坦克个性化细分!$AA$3:$AP$33,MATCH("瞄准区间",坦克个性化细分!$AA$3:$AP$3,0),FALSE)</f>
        <v>0.5</v>
      </c>
      <c r="AR28" s="206">
        <f>VLOOKUP(AD28,坦克个性化细分!$AA$3:$AP$33,MATCH("后射击间隔",坦克个性化细分!$AA$3:$AP$3,0),FALSE)-VLOOKUP(AD28,坦克个性化细分!$AA$3:$AP$33,MATCH(AI$3,坦克个性化细分!$AA$3:$AP$3,0),FALSE)</f>
        <v>0</v>
      </c>
      <c r="AS28" s="206">
        <f>VLOOKUP(AM28,坦克个性化细分!$AA$3:$AP$33,MATCH("换弹区间",坦克个性化细分!$AA$3:$AP$3,0),FALSE)</f>
        <v>1.488721804511278</v>
      </c>
      <c r="AT28" s="208"/>
      <c r="AU28" s="364" t="str">
        <f t="shared" si="9"/>
        <v>35(t)0</v>
      </c>
      <c r="AV28" s="183">
        <f>IF(AY27&gt;=VLOOKUP(VLOOKUP(AW27,坦克个性化设定!$B$18:$E$48,4,FALSE)&amp;AX27,坦克属性分配比例,MATCH("升星次数",坦克属性分配比例标头,0),FALSE),AV27+1,AV27)</f>
        <v>4</v>
      </c>
      <c r="AW28" s="131" t="str">
        <f t="shared" si="10"/>
        <v>35(t)</v>
      </c>
      <c r="AX28" s="177" t="str">
        <f>VLOOKUP(AW28,坦克个性化细分!$I$3:$J$33,2,FALSE)</f>
        <v>低</v>
      </c>
      <c r="AY28" s="183">
        <f t="shared" si="1"/>
        <v>0</v>
      </c>
      <c r="AZ28" s="486">
        <f ca="1">ROUND(VLOOKUP($AW28&amp;"初始",$O$3:$AA$63,MATCH(AZ$3,$O$3:$AA$3,0),FALSE)+((VLOOKUP($AW28&amp;"最终",$O$3:$AA$63,MATCH(AZ$3,$O$3:$AA$3,0),FALSE)*坦克个性化细分!$C$9-VLOOKUP($AW28&amp;"初始",$O$3:$AA$63,MATCH(AZ$3,$O$3:$AA$3,0),FALSE))-(VLOOKUP($AW28&amp;"最终",$O$3:$AA$63,MATCH(AZ$3,$O$3:$AA$3,0),FALSE)-VLOOKUP($AW28&amp;"初始",$O$3:$AA$63,MATCH(AZ$3,$O$3:$AA$3,0),FALSE))*VLOOKUP(VLOOKUP($AW28,坦克个性化设定!$B$18:$E$48,4,FALSE)&amp;$AX28,坦克属性分配比例,MATCH("部件比例",坦克属性分配比例标头,0),FALSE))*$AY28/VLOOKUP(VLOOKUP($AW28,坦克个性化设定!$B$18:$E$48,4,FALSE)&amp;$AX28,坦克属性分配比例,MATCH("升星次数",坦克属性分配比例标头,0),FALSE),0)</f>
        <v>1109</v>
      </c>
      <c r="BA28" s="426">
        <f ca="1">ROUND(VLOOKUP($AW28&amp;"初始",$O$3:$AA$63,MATCH(BA$3,$O$3:$AA$3,0),FALSE)+(VLOOKUP($AW28&amp;"最终",$O$3:$AA$63,MATCH(BA$3,$O$3:$AA$3,0),FALSE)-VLOOKUP($AW28&amp;"初始",$O$3:$AA$63,MATCH(BA$3,$O$3:$AA$3,0),FALSE))*$AY28/VLOOKUP(VLOOKUP($AW28,坦克个性化设定!$B$18:$E$48,4,FALSE)&amp;$AX28,坦克属性分配比例,MATCH("升星次数",坦克属性分配比例标头,0),FALSE)*VLOOKUP(VLOOKUP($AW28,坦克个性化设定!$B$18:$E$48,4,FALSE)&amp;$AX28,坦克属性分配比例,MATCH("升星比例",坦克属性分配比例标头,0),FALSE),0)</f>
        <v>79</v>
      </c>
      <c r="BB28" s="486">
        <f ca="1">ROUND(VLOOKUP($AW28&amp;"初始",$O$3:$AA$63,MATCH(BB$3,$O$3:$AA$3,0),FALSE)+(VLOOKUP($AW28&amp;"最终",$O$3:$AA$63,MATCH(BB$3,$O$3:$AA$3,0),FALSE)-VLOOKUP($AW28&amp;"初始",$O$3:$AA$63,MATCH(BB$3,$O$3:$AA$3,0),FALSE))*$AY28/VLOOKUP(VLOOKUP($AW28,坦克个性化设定!$B$18:$E$48,4,FALSE)&amp;$AX28,坦克属性分配比例,MATCH("升星次数",坦克属性分配比例标头,0),FALSE)*(VLOOKUP(VLOOKUP($AW28,坦克个性化设定!$B$18:$E$48,4,FALSE)&amp;$AX28,坦克属性分配比例,MATCH("升星比例",坦克属性分配比例标头,0),FALSE)+VLOOKUP(VLOOKUP($AW28,坦克个性化设定!$B$18:$E$48,4,FALSE)&amp;$AX28,坦克属性分配比例,MATCH("部件比例",坦克属性分配比例标头,0),FALSE)*$C$3),0)</f>
        <v>450</v>
      </c>
      <c r="BC28" s="486">
        <f ca="1">ROUND(VLOOKUP($AW28&amp;"初始",$O$3:$AA$63,MATCH(BC$3,$O$3:$AA$3,0),FALSE)+(VLOOKUP($AW28&amp;"最终",$O$3:$AA$63,MATCH(BC$3,$O$3:$AA$3,0),FALSE)-VLOOKUP($AW28&amp;"初始",$O$3:$AA$63,MATCH(BC$3,$O$3:$AA$3,0),FALSE))*$AY28/VLOOKUP(VLOOKUP($AW28,坦克个性化设定!$B$18:$E$48,4,FALSE)&amp;$AX28,坦克属性分配比例,MATCH("升星次数",坦克属性分配比例标头,0),FALSE)*(VLOOKUP(VLOOKUP($AW28,坦克个性化设定!$B$18:$E$48,4,FALSE)&amp;$AX28,坦克属性分配比例,MATCH("升星比例",坦克属性分配比例标头,0),FALSE)+VLOOKUP(VLOOKUP($AW28,坦克个性化设定!$B$18:$E$48,4,FALSE)&amp;$AX28,坦克属性分配比例,MATCH("部件比例",坦克属性分配比例标头,0),FALSE)*$C$3),0)</f>
        <v>315</v>
      </c>
      <c r="BD28" s="426">
        <f ca="1">ROUND(VLOOKUP($AW28&amp;"初始",$O$3:$AA$63,MATCH(BD$3,$O$3:$AA$3,0),FALSE)+(VLOOKUP($AW28&amp;"最终",$O$3:$AA$63,MATCH(BD$3,$O$3:$AA$3,0),FALSE)-VLOOKUP($AW28&amp;"初始",$O$3:$AA$63,MATCH(BD$3,$O$3:$AA$3,0),FALSE))*$AY28/VLOOKUP(VLOOKUP($AW28,坦克个性化设定!$B$18:$E$48,4,FALSE)&amp;$AX28,坦克属性分配比例,MATCH("升星次数",坦克属性分配比例标头,0),FALSE)*VLOOKUP(VLOOKUP($AW28,坦克个性化设定!$B$18:$E$48,4,FALSE)&amp;$AX28,坦克属性分配比例,MATCH("升星比例",坦克属性分配比例标头,0),FALSE),0)</f>
        <v>450</v>
      </c>
      <c r="BE28" s="426">
        <f ca="1">ROUND(VLOOKUP($AW28&amp;"初始",$O$3:$AA$63,MATCH(BE$3,$O$3:$AA$3,0),FALSE)+(VLOOKUP($AW28&amp;"最终",$O$3:$AA$63,MATCH(BE$3,$O$3:$AA$3,0),FALSE)-VLOOKUP($AW28&amp;"初始",$O$3:$AA$63,MATCH(BE$3,$O$3:$AA$3,0),FALSE))*$AY28/VLOOKUP(VLOOKUP($AW28,坦克个性化设定!$B$18:$E$48,4,FALSE)&amp;$AX28,坦克属性分配比例,MATCH("升星次数",坦克属性分配比例标头,0),FALSE),0)</f>
        <v>120</v>
      </c>
      <c r="BF28" s="462">
        <f>ROUND(VLOOKUP($AW28,$AD$3:$AJ$33,MATCH(BF$3,$AD$3:$AJ$3,0),FALSE)+$AY28/VLOOKUP(VLOOKUP($AW28,坦克个性化设定!$B$18:$E$48,4,FALSE)&amp;$AX28,坦克属性分配比例,MATCH("升星次数",坦克属性分配比例标头,0),FALSE)*VLOOKUP($AW28,$AM$3:$AS$33,MATCH(BF$3,$AM$3:$AS$3,0),FALSE),1)</f>
        <v>42.4</v>
      </c>
      <c r="BG28" s="462">
        <f>ROUND(VLOOKUP($AW28,$AD$3:$AJ$33,MATCH(BG$3,$AD$3:$AJ$3,0),FALSE)+$AY28/VLOOKUP(VLOOKUP($AW28,坦克个性化设定!$B$18:$E$48,4,FALSE)&amp;$AX28,坦克属性分配比例,MATCH("升星次数",坦克属性分配比例标头,0),FALSE)*VLOOKUP($AW28,$AM$3:$AS$33,MATCH(BG$3,$AM$3:$AS$3,0),FALSE),1)</f>
        <v>50</v>
      </c>
      <c r="BH28" s="462">
        <f>ROUND(VLOOKUP($AW28,$AD$3:$AJ$33,MATCH(BH$3,$AD$3:$AJ$3,0),FALSE)+$AY28/VLOOKUP(VLOOKUP($AW28,坦克个性化设定!$B$18:$E$48,4,FALSE)&amp;$AX28,坦克属性分配比例,MATCH("升星次数",坦克属性分配比例标头,0),FALSE)*VLOOKUP($AW28,$AM$3:$AS$33,MATCH(BH$3,$AM$3:$AS$3,0),FALSE),1)</f>
        <v>13.9</v>
      </c>
      <c r="BI28" s="654">
        <f>IF(VLOOKUP(AW28,坦克个性化设定!$B$18:$BB$48,MATCH("装弹类型",坦克个性化设定!$B$18:$BB$18,0),FALSE)="弹夹换弹",0,ROUND(VLOOKUP($AW28,$AD$3:$AJ$33,MATCH("换弹时间",$AD$3:$AJ$3,0),FALSE)-$AY28/VLOOKUP(VLOOKUP($AW28,坦克个性化设定!$B$18:$E$48,4,FALSE)&amp;$AX28,坦克属性分配比例,MATCH("升星次数",坦克属性分配比例标头,0),FALSE)*VLOOKUP($AW28,$AM$3:$AS$33,MATCH("换弹时间",$AM$3:$AS$3,0),FALSE),2))</f>
        <v>1.4</v>
      </c>
      <c r="BJ28" s="462">
        <f>IF(VLOOKUP(AW28,坦克个性化设定!$B$18:$BB$48,MATCH("装弹类型",坦克个性化设定!$B$18:$BB$18,0),FALSE)="弹夹换弹",ROUND(VLOOKUP($AW28,$AD$3:$AJ$33,MATCH("换弹时间",$AD$3:$AJ$3,0),FALSE)-$AY28/VLOOKUP(VLOOKUP($AW28,坦克个性化设定!$B$18:$E$48,4,FALSE)&amp;$AX28,坦克属性分配比例,MATCH("升星次数",坦克属性分配比例标头,0),FALSE)*VLOOKUP($AW28,$AM$3:$AS$33,MATCH("换弹时间",$AM$3:$AS$3,0),FALSE),1),0)</f>
        <v>0</v>
      </c>
      <c r="BK28" s="462">
        <f>ROUND(VLOOKUP($AW28,$AD$3:$AJ$33,MATCH(BK$3,$AD$3:$AJ$3,0),FALSE)+$AY28/VLOOKUP(VLOOKUP($AW28,坦克个性化设定!$B$18:$E$48,4,FALSE)&amp;$AX28,坦克属性分配比例,MATCH("升星次数",坦克属性分配比例标头,0),FALSE)*VLOOKUP($AW28,$AM$3:$AS$33,MATCH(BK$3,$AM$3:$AS$3,0),FALSE),2)</f>
        <v>0.4</v>
      </c>
      <c r="BL28" s="462">
        <f>ROUND(VLOOKUP($AW28,$AD$3:$AJ$33,MATCH(BL$3,$AD$3:$AJ$3,0),FALSE)-$AY28/VLOOKUP(VLOOKUP($AW28,坦克个性化设定!$B$18:$E$48,4,FALSE)&amp;$AX28,坦克属性分配比例,MATCH("升星次数",坦克属性分配比例标头,0),FALSE)*VLOOKUP($AW28,$AM$3:$AS$33,MATCH(BL$3,$AM$3:$AS$3,0),FALSE),2)</f>
        <v>0.95</v>
      </c>
      <c r="BN28" s="183">
        <v>25</v>
      </c>
      <c r="BO28" s="131" t="str">
        <f t="shared" si="11"/>
        <v>虎式</v>
      </c>
      <c r="BP28" s="131" t="str">
        <f>VLOOKUP(BO28,坦克个性化设定!$B$18:$F$48,5,FALSE)</f>
        <v>重坦单发</v>
      </c>
      <c r="BQ28" s="177" t="str">
        <f>VLOOKUP(BO28,坦克个性化细分!$I$3:$J$33,2,FALSE)</f>
        <v>中</v>
      </c>
      <c r="BR28" s="96">
        <f ca="1">(VLOOKUP($BO28&amp;"最终",$O$3:$AA$63,MATCH(BR$3,$O$3:$AA$3,0),FALSE)-VLOOKUP($BO28&amp;"初始",$O$3:$AA$63,MATCH(BR$3,$O$3:$AA$3,0),FALSE))*VLOOKUP(VLOOKUP($BO28,坦克个性化设定!$B$18:$E$48,4,FALSE)&amp;$BQ28,坦克属性分配比例,MATCH("部件比例",坦克属性分配比例标头,0),FALSE)</f>
        <v>566.44969854362159</v>
      </c>
      <c r="BS28" s="96">
        <f ca="1">(VLOOKUP($BO28&amp;"最终",$O$3:$AA$63,MATCH(BS$3,$O$3:$AA$3,0),FALSE)-VLOOKUP($BO28&amp;"初始",$O$3:$AA$63,MATCH(BS$3,$O$3:$AA$3,0),FALSE))*VLOOKUP(VLOOKUP($BO28,坦克个性化设定!$B$18:$E$48,4,FALSE)&amp;$BQ28,坦克属性分配比例,MATCH("部件比例",坦克属性分配比例标头,0),FALSE)</f>
        <v>128.00009298815152</v>
      </c>
      <c r="BT28" s="96">
        <f ca="1">(VLOOKUP($BO28&amp;"最终",$O$3:$AA$63,MATCH(BT$3,$O$3:$AA$3,0),FALSE)-VLOOKUP($BO28&amp;"初始",$O$3:$AA$63,MATCH(BT$3,$O$3:$AA$3,0),FALSE))*VLOOKUP(VLOOKUP($BO28,坦克个性化设定!$B$18:$E$48,4,FALSE)&amp;$BQ28,坦克属性分配比例,MATCH("部件比例",坦克属性分配比例标头,0),FALSE)*(1-$C$3)</f>
        <v>78.371617627118653</v>
      </c>
      <c r="BU28" s="96">
        <f ca="1">(VLOOKUP($BO28&amp;"最终",$O$3:$AA$63,MATCH(BU$3,$O$3:$AA$3,0),FALSE)-VLOOKUP($BO28&amp;"初始",$O$3:$AA$63,MATCH(BU$3,$O$3:$AA$3,0),FALSE))*VLOOKUP(VLOOKUP($BO28,坦克个性化设定!$B$18:$E$48,4,FALSE)&amp;$BQ28,坦克属性分配比例,MATCH("部件比例",坦克属性分配比例标头,0),FALSE)*(1-$C$3)</f>
        <v>62.798855593220338</v>
      </c>
      <c r="BV28" s="96">
        <f ca="1">(VLOOKUP($BO28&amp;"最终",$O$3:$AA$63,MATCH(BV$3,$O$3:$AA$3,0),FALSE)-VLOOKUP($BO28&amp;"初始",$O$3:$AA$63,MATCH(BV$3,$O$3:$AA$3,0),FALSE))*VLOOKUP(VLOOKUP($BO28,坦克个性化设定!$B$18:$E$48,4,FALSE)&amp;$BQ28,坦克属性分配比例,MATCH("部件比例",坦克属性分配比例标头,0),FALSE)</f>
        <v>261.944013559322</v>
      </c>
    </row>
    <row r="29" spans="2:74" x14ac:dyDescent="0.35">
      <c r="B29" s="137">
        <v>24</v>
      </c>
      <c r="C29" s="176" t="str">
        <f>坦克个性化设定!B42</f>
        <v>黑豹</v>
      </c>
      <c r="D29" s="84"/>
      <c r="E29" s="84"/>
      <c r="F29" s="84"/>
      <c r="G29" s="84"/>
      <c r="H29" s="84"/>
      <c r="I29" s="84"/>
      <c r="J29" s="84"/>
      <c r="K29" s="84"/>
      <c r="L29" s="84"/>
      <c r="M29" s="84"/>
      <c r="N29" s="84"/>
      <c r="O29" s="426" t="str">
        <f t="shared" si="5"/>
        <v>四号最终</v>
      </c>
      <c r="P29" s="137">
        <f>IF(COUNTIF(Q$4:Q28,Q28)&gt;=$B$3,P28+1,P28)</f>
        <v>13</v>
      </c>
      <c r="Q29" s="131" t="str">
        <f t="shared" si="6"/>
        <v>四号</v>
      </c>
      <c r="R29" s="131" t="str">
        <f>VLOOKUP(Q29,坦克个性化设定!$B$18:$F$48,5,FALSE)</f>
        <v>中坦单发</v>
      </c>
      <c r="S29" s="177" t="str">
        <f>VLOOKUP(Q29,坦克个性化细分!$I$3:$J$33,2,FALSE)</f>
        <v>中</v>
      </c>
      <c r="T29" s="137" t="str">
        <f t="shared" si="12"/>
        <v>最终</v>
      </c>
      <c r="U29" s="178" t="str">
        <f>VLOOKUP(VLOOKUP(Q29,坦克个性化设定!$B$18:$F$48,4,FALSE)&amp;S29,坦克等级成长!$P$12:$U$24,MATCH(T29,坦克等级成长!$P$12:$U$12,0),FALSE)</f>
        <v>T2中4</v>
      </c>
      <c r="V29" s="96">
        <f ca="1">VLOOKUP($U29,INDIRECT($R29&amp;"_阶段属性"),MATCH(V$3,属性标头_阶段属性,0),FALSE)*VLOOKUP($Q29,坦克个性化设定!$B$84:$D$114,2,FALSE)</f>
        <v>2012.4132142914746</v>
      </c>
      <c r="W29" s="96">
        <f ca="1">VLOOKUP($U29,INDIRECT($R29&amp;"_阶段属性"),MATCH(W$3,属性标头_阶段属性,0),FALSE)*VLOOKUP($Q29,坦克个性化设定!$B$84:$D$114,3,FALSE)</f>
        <v>386.45583881075663</v>
      </c>
      <c r="X29" s="131">
        <f t="shared" ca="1" si="14"/>
        <v>785</v>
      </c>
      <c r="Y29" s="131">
        <f t="shared" ca="1" si="14"/>
        <v>589</v>
      </c>
      <c r="Z29" s="131">
        <f t="shared" ca="1" si="14"/>
        <v>860</v>
      </c>
      <c r="AA29" s="131">
        <f t="shared" ca="1" si="14"/>
        <v>210</v>
      </c>
      <c r="AC29" s="195">
        <v>26</v>
      </c>
      <c r="AD29" s="193" t="str">
        <f t="shared" si="7"/>
        <v>KV-2</v>
      </c>
      <c r="AE29" s="195">
        <f>VLOOKUP($AD29,坦克个性化细分!$I$3:$P$33,MATCH(AE$3,坦克个性化细分!$I$3:$P$3,0),FALSE)</f>
        <v>41.1</v>
      </c>
      <c r="AF29" s="195">
        <f>VLOOKUP($AD29,坦克个性化细分!$I$3:$P$33,MATCH(AF$3,坦克个性化细分!$I$3:$P$3,0),FALSE)</f>
        <v>36.799999999999997</v>
      </c>
      <c r="AG29" s="195">
        <f>VLOOKUP($AD29,坦克个性化细分!$I$3:$P$33,MATCH(AG$3,坦克个性化细分!$I$3:$P$3,0),FALSE)</f>
        <v>11</v>
      </c>
      <c r="AH29" s="206">
        <f>VLOOKUP(AD29,坦克个性化细分!$AA$3:$AP$33,MATCH("射击偏移角",坦克个性化细分!$AA$3:$AP$3,0),FALSE)/VLOOKUP(AD29,坦克个性化细分!$AA$3:$AP$33,MATCH("原瞄准速度",坦克个性化细分!$AA$3:$AP$3,0),FALSE)</f>
        <v>2.2500000000000004</v>
      </c>
      <c r="AI29" s="206">
        <f>VLOOKUP(AD29,坦克个性化细分!$AA$3:$AP$33,MATCH(AI$3,坦克个性化细分!$AA$3:$AP$3,0),FALSE)</f>
        <v>2</v>
      </c>
      <c r="AJ29" s="462">
        <f>VLOOKUP(AD29,坦克个性化细分!$AA$3:$AP$33,MATCH("原换弹时间",坦克个性化细分!$AA$3:$AP$3,0),FALSE)</f>
        <v>4.05</v>
      </c>
      <c r="AK29" s="208"/>
      <c r="AL29" s="195">
        <v>26</v>
      </c>
      <c r="AM29" s="193" t="str">
        <f t="shared" si="8"/>
        <v>KV-2</v>
      </c>
      <c r="AN29" s="206">
        <f>VLOOKUP(AM29,坦克个性化细分!$I$3:$P$33,MATCH("养成区间1",坦克个性化细分!$I$3:$P$3,0),FALSE)</f>
        <v>10.274999999999999</v>
      </c>
      <c r="AO29" s="462">
        <f>VLOOKUP(AM29,坦克个性化细分!$I$3:$P$33,MATCH("养成区间2",坦克个性化细分!$I$3:$P$3,0),FALSE)</f>
        <v>9.1999999999999957</v>
      </c>
      <c r="AP29" s="462">
        <f>VLOOKUP(AM29,坦克个性化细分!$I$3:$P$33,MATCH("养成区间3",坦克个性化细分!$I$3:$P$3,0),FALSE)</f>
        <v>3.59</v>
      </c>
      <c r="AQ29" s="206">
        <f>VLOOKUP(AM29,坦克个性化细分!$AA$3:$AP$33,MATCH("瞄准区间",坦克个性化细分!$AA$3:$AP$3,0),FALSE)</f>
        <v>0.37500000000000022</v>
      </c>
      <c r="AR29" s="206">
        <f>VLOOKUP(AD29,坦克个性化细分!$AA$3:$AP$33,MATCH("后射击间隔",坦克个性化细分!$AA$3:$AP$3,0),FALSE)-VLOOKUP(AD29,坦克个性化细分!$AA$3:$AP$33,MATCH(AI$3,坦克个性化细分!$AA$3:$AP$3,0),FALSE)</f>
        <v>0</v>
      </c>
      <c r="AS29" s="206">
        <f>VLOOKUP(AM29,坦克个性化细分!$AA$3:$AP$33,MATCH("换弹区间",坦克个性化细分!$AA$3:$AP$3,0),FALSE)</f>
        <v>1.0287392763894072</v>
      </c>
      <c r="AT29" s="208"/>
      <c r="AU29" s="364" t="str">
        <f t="shared" si="9"/>
        <v>35(t)1</v>
      </c>
      <c r="AV29" s="183">
        <f>IF(AY28&gt;=VLOOKUP(VLOOKUP(AW28,坦克个性化设定!$B$18:$E$48,4,FALSE)&amp;AX28,坦克属性分配比例,MATCH("升星次数",坦克属性分配比例标头,0),FALSE),AV28+1,AV28)</f>
        <v>4</v>
      </c>
      <c r="AW29" s="131" t="str">
        <f t="shared" si="10"/>
        <v>35(t)</v>
      </c>
      <c r="AX29" s="177" t="str">
        <f>VLOOKUP(AW29,坦克个性化细分!$I$3:$J$33,2,FALSE)</f>
        <v>低</v>
      </c>
      <c r="AY29" s="183">
        <f t="shared" si="1"/>
        <v>1</v>
      </c>
      <c r="AZ29" s="486">
        <f ca="1">ROUND(VLOOKUP($AW29&amp;"初始",$O$3:$AA$63,MATCH(AZ$3,$O$3:$AA$3,0),FALSE)+((VLOOKUP($AW29&amp;"最终",$O$3:$AA$63,MATCH(AZ$3,$O$3:$AA$3,0),FALSE)*坦克个性化细分!$C$9-VLOOKUP($AW29&amp;"初始",$O$3:$AA$63,MATCH(AZ$3,$O$3:$AA$3,0),FALSE))-(VLOOKUP($AW29&amp;"最终",$O$3:$AA$63,MATCH(AZ$3,$O$3:$AA$3,0),FALSE)-VLOOKUP($AW29&amp;"初始",$O$3:$AA$63,MATCH(AZ$3,$O$3:$AA$3,0),FALSE))*VLOOKUP(VLOOKUP($AW29,坦克个性化设定!$B$18:$E$48,4,FALSE)&amp;$AX29,坦克属性分配比例,MATCH("部件比例",坦克属性分配比例标头,0),FALSE))*$AY29/VLOOKUP(VLOOKUP($AW29,坦克个性化设定!$B$18:$E$48,4,FALSE)&amp;$AX29,坦克属性分配比例,MATCH("升星次数",坦克属性分配比例标头,0),FALSE),0)</f>
        <v>1205</v>
      </c>
      <c r="BA29" s="426">
        <f ca="1">ROUND(VLOOKUP($AW29&amp;"初始",$O$3:$AA$63,MATCH(BA$3,$O$3:$AA$3,0),FALSE)+(VLOOKUP($AW29&amp;"最终",$O$3:$AA$63,MATCH(BA$3,$O$3:$AA$3,0),FALSE)-VLOOKUP($AW29&amp;"初始",$O$3:$AA$63,MATCH(BA$3,$O$3:$AA$3,0),FALSE))*$AY29/VLOOKUP(VLOOKUP($AW29,坦克个性化设定!$B$18:$E$48,4,FALSE)&amp;$AX29,坦克属性分配比例,MATCH("升星次数",坦克属性分配比例标头,0),FALSE)*VLOOKUP(VLOOKUP($AW29,坦克个性化设定!$B$18:$E$48,4,FALSE)&amp;$AX29,坦克属性分配比例,MATCH("升星比例",坦克属性分配比例标头,0),FALSE),0)</f>
        <v>82</v>
      </c>
      <c r="BB29" s="486">
        <f ca="1">ROUND(VLOOKUP($AW29&amp;"初始",$O$3:$AA$63,MATCH(BB$3,$O$3:$AA$3,0),FALSE)+(VLOOKUP($AW29&amp;"最终",$O$3:$AA$63,MATCH(BB$3,$O$3:$AA$3,0),FALSE)-VLOOKUP($AW29&amp;"初始",$O$3:$AA$63,MATCH(BB$3,$O$3:$AA$3,0),FALSE))*$AY29/VLOOKUP(VLOOKUP($AW29,坦克个性化设定!$B$18:$E$48,4,FALSE)&amp;$AX29,坦克属性分配比例,MATCH("升星次数",坦克属性分配比例标头,0),FALSE)*(VLOOKUP(VLOOKUP($AW29,坦克个性化设定!$B$18:$E$48,4,FALSE)&amp;$AX29,坦克属性分配比例,MATCH("升星比例",坦克属性分配比例标头,0),FALSE)+VLOOKUP(VLOOKUP($AW29,坦克个性化设定!$B$18:$E$48,4,FALSE)&amp;$AX29,坦克属性分配比例,MATCH("部件比例",坦克属性分配比例标头,0),FALSE)*$C$3),0)</f>
        <v>473</v>
      </c>
      <c r="BC29" s="486">
        <f ca="1">ROUND(VLOOKUP($AW29&amp;"初始",$O$3:$AA$63,MATCH(BC$3,$O$3:$AA$3,0),FALSE)+(VLOOKUP($AW29&amp;"最终",$O$3:$AA$63,MATCH(BC$3,$O$3:$AA$3,0),FALSE)-VLOOKUP($AW29&amp;"初始",$O$3:$AA$63,MATCH(BC$3,$O$3:$AA$3,0),FALSE))*$AY29/VLOOKUP(VLOOKUP($AW29,坦克个性化设定!$B$18:$E$48,4,FALSE)&amp;$AX29,坦克属性分配比例,MATCH("升星次数",坦克属性分配比例标头,0),FALSE)*(VLOOKUP(VLOOKUP($AW29,坦克个性化设定!$B$18:$E$48,4,FALSE)&amp;$AX29,坦克属性分配比例,MATCH("升星比例",坦克属性分配比例标头,0),FALSE)+VLOOKUP(VLOOKUP($AW29,坦克个性化设定!$B$18:$E$48,4,FALSE)&amp;$AX29,坦克属性分配比例,MATCH("部件比例",坦克属性分配比例标头,0),FALSE)*$C$3),0)</f>
        <v>331</v>
      </c>
      <c r="BD29" s="426">
        <f ca="1">ROUND(VLOOKUP($AW29&amp;"初始",$O$3:$AA$63,MATCH(BD$3,$O$3:$AA$3,0),FALSE)+(VLOOKUP($AW29&amp;"最终",$O$3:$AA$63,MATCH(BD$3,$O$3:$AA$3,0),FALSE)-VLOOKUP($AW29&amp;"初始",$O$3:$AA$63,MATCH(BD$3,$O$3:$AA$3,0),FALSE))*$AY29/VLOOKUP(VLOOKUP($AW29,坦克个性化设定!$B$18:$E$48,4,FALSE)&amp;$AX29,坦克属性分配比例,MATCH("升星次数",坦克属性分配比例标头,0),FALSE)*VLOOKUP(VLOOKUP($AW29,坦克个性化设定!$B$18:$E$48,4,FALSE)&amp;$AX29,坦克属性分配比例,MATCH("升星比例",坦克属性分配比例标头,0),FALSE),0)</f>
        <v>463</v>
      </c>
      <c r="BE29" s="426">
        <f ca="1">ROUND(VLOOKUP($AW29&amp;"初始",$O$3:$AA$63,MATCH(BE$3,$O$3:$AA$3,0),FALSE)+(VLOOKUP($AW29&amp;"最终",$O$3:$AA$63,MATCH(BE$3,$O$3:$AA$3,0),FALSE)-VLOOKUP($AW29&amp;"初始",$O$3:$AA$63,MATCH(BE$3,$O$3:$AA$3,0),FALSE))*$AY29/VLOOKUP(VLOOKUP($AW29,坦克个性化设定!$B$18:$E$48,4,FALSE)&amp;$AX29,坦克属性分配比例,MATCH("升星次数",坦克属性分配比例标头,0),FALSE),0)</f>
        <v>128</v>
      </c>
      <c r="BF29" s="462">
        <f>ROUND(VLOOKUP($AW29,$AD$3:$AJ$33,MATCH(BF$3,$AD$3:$AJ$3,0),FALSE)+$AY29/VLOOKUP(VLOOKUP($AW29,坦克个性化设定!$B$18:$E$48,4,FALSE)&amp;$AX29,坦克属性分配比例,MATCH("升星次数",坦克属性分配比例标头,0),FALSE)*VLOOKUP($AW29,$AM$3:$AS$33,MATCH(BF$3,$AM$3:$AS$3,0),FALSE),1)</f>
        <v>43.7</v>
      </c>
      <c r="BG29" s="462">
        <f>ROUND(VLOOKUP($AW29,$AD$3:$AJ$33,MATCH(BG$3,$AD$3:$AJ$3,0),FALSE)+$AY29/VLOOKUP(VLOOKUP($AW29,坦克个性化设定!$B$18:$E$48,4,FALSE)&amp;$AX29,坦克属性分配比例,MATCH("升星次数",坦克属性分配比例标头,0),FALSE)*VLOOKUP($AW29,$AM$3:$AS$33,MATCH(BG$3,$AM$3:$AS$3,0),FALSE),1)</f>
        <v>51.6</v>
      </c>
      <c r="BH29" s="462">
        <f>ROUND(VLOOKUP($AW29,$AD$3:$AJ$33,MATCH(BH$3,$AD$3:$AJ$3,0),FALSE)+$AY29/VLOOKUP(VLOOKUP($AW29,坦克个性化设定!$B$18:$E$48,4,FALSE)&amp;$AX29,坦克属性分配比例,MATCH("升星次数",坦克属性分配比例标头,0),FALSE)*VLOOKUP($AW29,$AM$3:$AS$33,MATCH(BH$3,$AM$3:$AS$3,0),FALSE),1)</f>
        <v>14.5</v>
      </c>
      <c r="BI29" s="654">
        <f>IF(VLOOKUP(AW29,坦克个性化设定!$B$18:$BB$48,MATCH("装弹类型",坦克个性化设定!$B$18:$BB$18,0),FALSE)="弹夹换弹",0,ROUND(VLOOKUP($AW29,$AD$3:$AJ$33,MATCH("换弹时间",$AD$3:$AJ$3,0),FALSE)-$AY29/VLOOKUP(VLOOKUP($AW29,坦克个性化设定!$B$18:$E$48,4,FALSE)&amp;$AX29,坦克属性分配比例,MATCH("升星次数",坦克属性分配比例标头,0),FALSE)*VLOOKUP($AW29,$AM$3:$AS$33,MATCH("换弹时间",$AM$3:$AS$3,0),FALSE),2))</f>
        <v>1.36</v>
      </c>
      <c r="BJ29" s="462">
        <f>IF(VLOOKUP(AW29,坦克个性化设定!$B$18:$BB$48,MATCH("装弹类型",坦克个性化设定!$B$18:$BB$18,0),FALSE)="弹夹换弹",ROUND(VLOOKUP($AW29,$AD$3:$AJ$33,MATCH("换弹时间",$AD$3:$AJ$3,0),FALSE)-$AY29/VLOOKUP(VLOOKUP($AW29,坦克个性化设定!$B$18:$E$48,4,FALSE)&amp;$AX29,坦克属性分配比例,MATCH("升星次数",坦克属性分配比例标头,0),FALSE)*VLOOKUP($AW29,$AM$3:$AS$33,MATCH("换弹时间",$AM$3:$AS$3,0),FALSE),1),0)</f>
        <v>0</v>
      </c>
      <c r="BK29" s="462">
        <f>ROUND(VLOOKUP($AW29,$AD$3:$AJ$33,MATCH(BK$3,$AD$3:$AJ$3,0),FALSE)+$AY29/VLOOKUP(VLOOKUP($AW29,坦克个性化设定!$B$18:$E$48,4,FALSE)&amp;$AX29,坦克属性分配比例,MATCH("升星次数",坦克属性分配比例标头,0),FALSE)*VLOOKUP($AW29,$AM$3:$AS$33,MATCH(BK$3,$AM$3:$AS$3,0),FALSE),2)</f>
        <v>0.4</v>
      </c>
      <c r="BL29" s="462">
        <f>ROUND(VLOOKUP($AW29,$AD$3:$AJ$33,MATCH(BL$3,$AD$3:$AJ$3,0),FALSE)-$AY29/VLOOKUP(VLOOKUP($AW29,坦克个性化设定!$B$18:$E$48,4,FALSE)&amp;$AX29,坦克属性分配比例,MATCH("升星次数",坦克属性分配比例标头,0),FALSE)*VLOOKUP($AW29,$AM$3:$AS$33,MATCH(BL$3,$AM$3:$AS$3,0),FALSE),2)</f>
        <v>0.93</v>
      </c>
      <c r="BN29" s="183">
        <v>26</v>
      </c>
      <c r="BO29" s="131" t="str">
        <f t="shared" si="11"/>
        <v>KV-2</v>
      </c>
      <c r="BP29" s="131" t="str">
        <f>VLOOKUP(BO29,坦克个性化设定!$B$18:$F$48,5,FALSE)</f>
        <v>重坦自动</v>
      </c>
      <c r="BQ29" s="177" t="str">
        <f>VLOOKUP(BO29,坦克个性化细分!$I$3:$J$33,2,FALSE)</f>
        <v>高</v>
      </c>
      <c r="BR29" s="96">
        <f ca="1">(VLOOKUP($BO29&amp;"最终",$O$3:$AA$63,MATCH(BR$3,$O$3:$AA$3,0),FALSE)-VLOOKUP($BO29&amp;"初始",$O$3:$AA$63,MATCH(BR$3,$O$3:$AA$3,0),FALSE))*VLOOKUP(VLOOKUP($BO29,坦克个性化设定!$B$18:$E$48,4,FALSE)&amp;$BQ29,坦克属性分配比例,MATCH("部件比例",坦克属性分配比例标头,0),FALSE)</f>
        <v>605.76782917597336</v>
      </c>
      <c r="BS29" s="96">
        <f ca="1">(VLOOKUP($BO29&amp;"最终",$O$3:$AA$63,MATCH(BS$3,$O$3:$AA$3,0),FALSE)-VLOOKUP($BO29&amp;"初始",$O$3:$AA$63,MATCH(BS$3,$O$3:$AA$3,0),FALSE))*VLOOKUP(VLOOKUP($BO29,坦克个性化设定!$B$18:$E$48,4,FALSE)&amp;$BQ29,坦克属性分配比例,MATCH("部件比例",坦克属性分配比例标头,0),FALSE)</f>
        <v>91.341880101075517</v>
      </c>
      <c r="BT29" s="96">
        <f ca="1">(VLOOKUP($BO29&amp;"最终",$O$3:$AA$63,MATCH(BT$3,$O$3:$AA$3,0),FALSE)-VLOOKUP($BO29&amp;"初始",$O$3:$AA$63,MATCH(BT$3,$O$3:$AA$3,0),FALSE))*VLOOKUP(VLOOKUP($BO29,坦克个性化设定!$B$18:$E$48,4,FALSE)&amp;$BQ29,坦克属性分配比例,MATCH("部件比例",坦克属性分配比例标头,0),FALSE)*(1-$C$3)</f>
        <v>74.774340000000009</v>
      </c>
      <c r="BU29" s="96">
        <f ca="1">(VLOOKUP($BO29&amp;"最终",$O$3:$AA$63,MATCH(BU$3,$O$3:$AA$3,0),FALSE)-VLOOKUP($BO29&amp;"初始",$O$3:$AA$63,MATCH(BU$3,$O$3:$AA$3,0),FALSE))*VLOOKUP(VLOOKUP($BO29,坦克个性化设定!$B$18:$E$48,4,FALSE)&amp;$BQ29,坦克属性分配比例,MATCH("部件比例",坦克属性分配比例标头,0),FALSE)*(1-$C$3)</f>
        <v>59.884920000000001</v>
      </c>
      <c r="BV29" s="96">
        <f ca="1">(VLOOKUP($BO29&amp;"最终",$O$3:$AA$63,MATCH(BV$3,$O$3:$AA$3,0),FALSE)-VLOOKUP($BO29&amp;"初始",$O$3:$AA$63,MATCH(BV$3,$O$3:$AA$3,0),FALSE))*VLOOKUP(VLOOKUP($BO29,坦克个性化设定!$B$18:$E$48,4,FALSE)&amp;$BQ29,坦克属性分配比例,MATCH("部件比例",坦克属性分配比例标头,0),FALSE)</f>
        <v>274.88159999999999</v>
      </c>
    </row>
    <row r="30" spans="2:74" x14ac:dyDescent="0.35">
      <c r="B30" s="137">
        <v>25</v>
      </c>
      <c r="C30" s="176" t="str">
        <f>坦克个性化设定!B43</f>
        <v>虎式</v>
      </c>
      <c r="D30" s="84"/>
      <c r="E30" s="84"/>
      <c r="F30" s="84"/>
      <c r="G30" s="84"/>
      <c r="H30" s="84"/>
      <c r="I30" s="84"/>
      <c r="J30" s="84"/>
      <c r="K30" s="84"/>
      <c r="L30" s="84"/>
      <c r="M30" s="84"/>
      <c r="N30" s="84"/>
      <c r="O30" s="426" t="str">
        <f t="shared" si="5"/>
        <v>玛蒂尔达初始</v>
      </c>
      <c r="P30" s="137">
        <f>IF(COUNTIF(Q$4:Q29,Q29)&gt;=$B$3,P29+1,P29)</f>
        <v>14</v>
      </c>
      <c r="Q30" s="131" t="str">
        <f t="shared" si="6"/>
        <v>玛蒂尔达</v>
      </c>
      <c r="R30" s="131" t="str">
        <f>VLOOKUP(Q30,坦克个性化设定!$B$18:$F$48,5,FALSE)</f>
        <v>中坦弹夹</v>
      </c>
      <c r="S30" s="177" t="str">
        <f>VLOOKUP(Q30,坦克个性化细分!$I$3:$J$33,2,FALSE)</f>
        <v>低</v>
      </c>
      <c r="T30" s="137" t="str">
        <f t="shared" si="12"/>
        <v>初始</v>
      </c>
      <c r="U30" s="178" t="str">
        <f>VLOOKUP(VLOOKUP(Q30,坦克个性化设定!$B$18:$F$48,4,FALSE)&amp;S30,坦克等级成长!$P$12:$U$24,MATCH(T30,坦克等级成长!$P$12:$U$12,0),FALSE)</f>
        <v>T3低3</v>
      </c>
      <c r="V30" s="96">
        <f ca="1">VLOOKUP($U30,INDIRECT($R30&amp;"_阶段属性"),MATCH(V$3,属性标头_阶段属性,0),FALSE)*VLOOKUP($Q30,坦克个性化设定!$B$84:$D$114,2,FALSE)</f>
        <v>1253.980913677769</v>
      </c>
      <c r="W30" s="96">
        <f ca="1">VLOOKUP($U30,INDIRECT($R30&amp;"_阶段属性"),MATCH(W$3,属性标头_阶段属性,0),FALSE)*VLOOKUP($Q30,坦克个性化设定!$B$84:$D$114,3,FALSE)</f>
        <v>64.12378300413485</v>
      </c>
      <c r="X30" s="131">
        <f t="shared" ca="1" si="14"/>
        <v>429</v>
      </c>
      <c r="Y30" s="131">
        <f t="shared" ca="1" si="14"/>
        <v>321</v>
      </c>
      <c r="Z30" s="131">
        <f t="shared" ca="1" si="14"/>
        <v>540</v>
      </c>
      <c r="AA30" s="131">
        <f t="shared" ca="1" si="14"/>
        <v>132</v>
      </c>
      <c r="AC30" s="195">
        <v>27</v>
      </c>
      <c r="AD30" s="193" t="str">
        <f t="shared" si="7"/>
        <v>征服者</v>
      </c>
      <c r="AE30" s="195">
        <f>VLOOKUP($AD30,坦克个性化细分!$I$3:$P$33,MATCH(AE$3,坦克个性化细分!$I$3:$P$3,0),FALSE)</f>
        <v>31.3</v>
      </c>
      <c r="AF30" s="195">
        <f>VLOOKUP($AD30,坦克个性化细分!$I$3:$P$33,MATCH(AF$3,坦克个性化细分!$I$3:$P$3,0),FALSE)</f>
        <v>43.8</v>
      </c>
      <c r="AG30" s="195">
        <f>VLOOKUP($AD30,坦克个性化细分!$I$3:$P$33,MATCH(AG$3,坦克个性化细分!$I$3:$P$3,0),FALSE)</f>
        <v>9.5</v>
      </c>
      <c r="AH30" s="206">
        <f>VLOOKUP(AD30,坦克个性化细分!$AA$3:$AP$33,MATCH("射击偏移角",坦克个性化细分!$AA$3:$AP$3,0),FALSE)/VLOOKUP(AD30,坦克个性化细分!$AA$3:$AP$33,MATCH("原瞄准速度",坦克个性化细分!$AA$3:$AP$3,0),FALSE)</f>
        <v>3</v>
      </c>
      <c r="AI30" s="206">
        <f>VLOOKUP(AD30,坦克个性化细分!$AA$3:$AP$33,MATCH(AI$3,坦克个性化细分!$AA$3:$AP$3,0),FALSE)</f>
        <v>0</v>
      </c>
      <c r="AJ30" s="462">
        <f>VLOOKUP(AD30,坦克个性化细分!$AA$3:$AP$33,MATCH("原换弹时间",坦克个性化细分!$AA$3:$AP$3,0),FALSE)</f>
        <v>6</v>
      </c>
      <c r="AK30" s="208"/>
      <c r="AL30" s="195">
        <v>27</v>
      </c>
      <c r="AM30" s="193" t="str">
        <f t="shared" si="8"/>
        <v>征服者</v>
      </c>
      <c r="AN30" s="206">
        <f>VLOOKUP(AM30,坦克个性化细分!$I$3:$P$33,MATCH("养成区间1",坦克个性化细分!$I$3:$P$3,0),FALSE)</f>
        <v>7.8249999999999984</v>
      </c>
      <c r="AO30" s="462">
        <f>VLOOKUP(AM30,坦克个性化细分!$I$3:$P$33,MATCH("养成区间2",坦克个性化细分!$I$3:$P$3,0),FALSE)</f>
        <v>10.949999999999996</v>
      </c>
      <c r="AP30" s="462">
        <f>VLOOKUP(AM30,坦克个性化细分!$I$3:$P$33,MATCH("养成区间3",坦克个性化细分!$I$3:$P$3,0),FALSE)</f>
        <v>3.1</v>
      </c>
      <c r="AQ30" s="206">
        <f>VLOOKUP(AM30,坦克个性化细分!$AA$3:$AP$33,MATCH("瞄准区间",坦克个性化细分!$AA$3:$AP$3,0),FALSE)</f>
        <v>0.5</v>
      </c>
      <c r="AR30" s="206">
        <f>VLOOKUP(AD30,坦克个性化细分!$AA$3:$AP$33,MATCH("后射击间隔",坦克个性化细分!$AA$3:$AP$3,0),FALSE)-VLOOKUP(AD30,坦克个性化细分!$AA$3:$AP$33,MATCH(AI$3,坦克个性化细分!$AA$3:$AP$3,0),FALSE)</f>
        <v>0</v>
      </c>
      <c r="AS30" s="206">
        <f>VLOOKUP(AM30,坦克个性化细分!$AA$3:$AP$33,MATCH("换弹区间",坦克个性化细分!$AA$3:$AP$3,0),FALSE)</f>
        <v>1.488721804511278</v>
      </c>
      <c r="AT30" s="208"/>
      <c r="AU30" s="364" t="str">
        <f t="shared" si="9"/>
        <v>35(t)2</v>
      </c>
      <c r="AV30" s="183">
        <f>IF(AY29&gt;=VLOOKUP(VLOOKUP(AW29,坦克个性化设定!$B$18:$E$48,4,FALSE)&amp;AX29,坦克属性分配比例,MATCH("升星次数",坦克属性分配比例标头,0),FALSE),AV29+1,AV29)</f>
        <v>4</v>
      </c>
      <c r="AW30" s="131" t="str">
        <f t="shared" si="10"/>
        <v>35(t)</v>
      </c>
      <c r="AX30" s="177" t="str">
        <f>VLOOKUP(AW30,坦克个性化细分!$I$3:$J$33,2,FALSE)</f>
        <v>低</v>
      </c>
      <c r="AY30" s="183">
        <f t="shared" si="1"/>
        <v>2</v>
      </c>
      <c r="AZ30" s="486">
        <f ca="1">ROUND(VLOOKUP($AW30&amp;"初始",$O$3:$AA$63,MATCH(AZ$3,$O$3:$AA$3,0),FALSE)+((VLOOKUP($AW30&amp;"最终",$O$3:$AA$63,MATCH(AZ$3,$O$3:$AA$3,0),FALSE)*坦克个性化细分!$C$9-VLOOKUP($AW30&amp;"初始",$O$3:$AA$63,MATCH(AZ$3,$O$3:$AA$3,0),FALSE))-(VLOOKUP($AW30&amp;"最终",$O$3:$AA$63,MATCH(AZ$3,$O$3:$AA$3,0),FALSE)-VLOOKUP($AW30&amp;"初始",$O$3:$AA$63,MATCH(AZ$3,$O$3:$AA$3,0),FALSE))*VLOOKUP(VLOOKUP($AW30,坦克个性化设定!$B$18:$E$48,4,FALSE)&amp;$AX30,坦克属性分配比例,MATCH("部件比例",坦克属性分配比例标头,0),FALSE))*$AY30/VLOOKUP(VLOOKUP($AW30,坦克个性化设定!$B$18:$E$48,4,FALSE)&amp;$AX30,坦克属性分配比例,MATCH("升星次数",坦克属性分配比例标头,0),FALSE),0)</f>
        <v>1301</v>
      </c>
      <c r="BA30" s="426">
        <f ca="1">ROUND(VLOOKUP($AW30&amp;"初始",$O$3:$AA$63,MATCH(BA$3,$O$3:$AA$3,0),FALSE)+(VLOOKUP($AW30&amp;"最终",$O$3:$AA$63,MATCH(BA$3,$O$3:$AA$3,0),FALSE)-VLOOKUP($AW30&amp;"初始",$O$3:$AA$63,MATCH(BA$3,$O$3:$AA$3,0),FALSE))*$AY30/VLOOKUP(VLOOKUP($AW30,坦克个性化设定!$B$18:$E$48,4,FALSE)&amp;$AX30,坦克属性分配比例,MATCH("升星次数",坦克属性分配比例标头,0),FALSE)*VLOOKUP(VLOOKUP($AW30,坦克个性化设定!$B$18:$E$48,4,FALSE)&amp;$AX30,坦克属性分配比例,MATCH("升星比例",坦克属性分配比例标头,0),FALSE),0)</f>
        <v>84</v>
      </c>
      <c r="BB30" s="486">
        <f ca="1">ROUND(VLOOKUP($AW30&amp;"初始",$O$3:$AA$63,MATCH(BB$3,$O$3:$AA$3,0),FALSE)+(VLOOKUP($AW30&amp;"最终",$O$3:$AA$63,MATCH(BB$3,$O$3:$AA$3,0),FALSE)-VLOOKUP($AW30&amp;"初始",$O$3:$AA$63,MATCH(BB$3,$O$3:$AA$3,0),FALSE))*$AY30/VLOOKUP(VLOOKUP($AW30,坦克个性化设定!$B$18:$E$48,4,FALSE)&amp;$AX30,坦克属性分配比例,MATCH("升星次数",坦克属性分配比例标头,0),FALSE)*(VLOOKUP(VLOOKUP($AW30,坦克个性化设定!$B$18:$E$48,4,FALSE)&amp;$AX30,坦克属性分配比例,MATCH("升星比例",坦克属性分配比例标头,0),FALSE)+VLOOKUP(VLOOKUP($AW30,坦克个性化设定!$B$18:$E$48,4,FALSE)&amp;$AX30,坦克属性分配比例,MATCH("部件比例",坦克属性分配比例标头,0),FALSE)*$C$3),0)</f>
        <v>496</v>
      </c>
      <c r="BC30" s="486">
        <f ca="1">ROUND(VLOOKUP($AW30&amp;"初始",$O$3:$AA$63,MATCH(BC$3,$O$3:$AA$3,0),FALSE)+(VLOOKUP($AW30&amp;"最终",$O$3:$AA$63,MATCH(BC$3,$O$3:$AA$3,0),FALSE)-VLOOKUP($AW30&amp;"初始",$O$3:$AA$63,MATCH(BC$3,$O$3:$AA$3,0),FALSE))*$AY30/VLOOKUP(VLOOKUP($AW30,坦克个性化设定!$B$18:$E$48,4,FALSE)&amp;$AX30,坦克属性分配比例,MATCH("升星次数",坦克属性分配比例标头,0),FALSE)*(VLOOKUP(VLOOKUP($AW30,坦克个性化设定!$B$18:$E$48,4,FALSE)&amp;$AX30,坦克属性分配比例,MATCH("升星比例",坦克属性分配比例标头,0),FALSE)+VLOOKUP(VLOOKUP($AW30,坦克个性化设定!$B$18:$E$48,4,FALSE)&amp;$AX30,坦克属性分配比例,MATCH("部件比例",坦克属性分配比例标头,0),FALSE)*$C$3),0)</f>
        <v>347</v>
      </c>
      <c r="BD30" s="426">
        <f ca="1">ROUND(VLOOKUP($AW30&amp;"初始",$O$3:$AA$63,MATCH(BD$3,$O$3:$AA$3,0),FALSE)+(VLOOKUP($AW30&amp;"最终",$O$3:$AA$63,MATCH(BD$3,$O$3:$AA$3,0),FALSE)-VLOOKUP($AW30&amp;"初始",$O$3:$AA$63,MATCH(BD$3,$O$3:$AA$3,0),FALSE))*$AY30/VLOOKUP(VLOOKUP($AW30,坦克个性化设定!$B$18:$E$48,4,FALSE)&amp;$AX30,坦克属性分配比例,MATCH("升星次数",坦克属性分配比例标头,0),FALSE)*VLOOKUP(VLOOKUP($AW30,坦克个性化设定!$B$18:$E$48,4,FALSE)&amp;$AX30,坦克属性分配比例,MATCH("升星比例",坦克属性分配比例标头,0),FALSE),0)</f>
        <v>476</v>
      </c>
      <c r="BE30" s="426">
        <f ca="1">ROUND(VLOOKUP($AW30&amp;"初始",$O$3:$AA$63,MATCH(BE$3,$O$3:$AA$3,0),FALSE)+(VLOOKUP($AW30&amp;"最终",$O$3:$AA$63,MATCH(BE$3,$O$3:$AA$3,0),FALSE)-VLOOKUP($AW30&amp;"初始",$O$3:$AA$63,MATCH(BE$3,$O$3:$AA$3,0),FALSE))*$AY30/VLOOKUP(VLOOKUP($AW30,坦克个性化设定!$B$18:$E$48,4,FALSE)&amp;$AX30,坦克属性分配比例,MATCH("升星次数",坦克属性分配比例标头,0),FALSE),0)</f>
        <v>136</v>
      </c>
      <c r="BF30" s="462">
        <f>ROUND(VLOOKUP($AW30,$AD$3:$AJ$33,MATCH(BF$3,$AD$3:$AJ$3,0),FALSE)+$AY30/VLOOKUP(VLOOKUP($AW30,坦克个性化设定!$B$18:$E$48,4,FALSE)&amp;$AX30,坦克属性分配比例,MATCH("升星次数",坦克属性分配比例标头,0),FALSE)*VLOOKUP($AW30,$AM$3:$AS$33,MATCH(BF$3,$AM$3:$AS$3,0),FALSE),1)</f>
        <v>45.1</v>
      </c>
      <c r="BG30" s="462">
        <f>ROUND(VLOOKUP($AW30,$AD$3:$AJ$33,MATCH(BG$3,$AD$3:$AJ$3,0),FALSE)+$AY30/VLOOKUP(VLOOKUP($AW30,坦克个性化设定!$B$18:$E$48,4,FALSE)&amp;$AX30,坦克属性分配比例,MATCH("升星次数",坦克属性分配比例标头,0),FALSE)*VLOOKUP($AW30,$AM$3:$AS$33,MATCH(BG$3,$AM$3:$AS$3,0),FALSE),1)</f>
        <v>53.1</v>
      </c>
      <c r="BH30" s="462">
        <f>ROUND(VLOOKUP($AW30,$AD$3:$AJ$33,MATCH(BH$3,$AD$3:$AJ$3,0),FALSE)+$AY30/VLOOKUP(VLOOKUP($AW30,坦克个性化设定!$B$18:$E$48,4,FALSE)&amp;$AX30,坦克属性分配比例,MATCH("升星次数",坦克属性分配比例标头,0),FALSE)*VLOOKUP($AW30,$AM$3:$AS$33,MATCH(BH$3,$AM$3:$AS$3,0),FALSE),1)</f>
        <v>15</v>
      </c>
      <c r="BI30" s="654">
        <f>IF(VLOOKUP(AW30,坦克个性化设定!$B$18:$BB$48,MATCH("装弹类型",坦克个性化设定!$B$18:$BB$18,0),FALSE)="弹夹换弹",0,ROUND(VLOOKUP($AW30,$AD$3:$AJ$33,MATCH("换弹时间",$AD$3:$AJ$3,0),FALSE)-$AY30/VLOOKUP(VLOOKUP($AW30,坦克个性化设定!$B$18:$E$48,4,FALSE)&amp;$AX30,坦克属性分配比例,MATCH("升星次数",坦克属性分配比例标头,0),FALSE)*VLOOKUP($AW30,$AM$3:$AS$33,MATCH("换弹时间",$AM$3:$AS$3,0),FALSE),2))</f>
        <v>1.31</v>
      </c>
      <c r="BJ30" s="462">
        <f>IF(VLOOKUP(AW30,坦克个性化设定!$B$18:$BB$48,MATCH("装弹类型",坦克个性化设定!$B$18:$BB$18,0),FALSE)="弹夹换弹",ROUND(VLOOKUP($AW30,$AD$3:$AJ$33,MATCH("换弹时间",$AD$3:$AJ$3,0),FALSE)-$AY30/VLOOKUP(VLOOKUP($AW30,坦克个性化设定!$B$18:$E$48,4,FALSE)&amp;$AX30,坦克属性分配比例,MATCH("升星次数",坦克属性分配比例标头,0),FALSE)*VLOOKUP($AW30,$AM$3:$AS$33,MATCH("换弹时间",$AM$3:$AS$3,0),FALSE),1),0)</f>
        <v>0</v>
      </c>
      <c r="BK30" s="462">
        <f>ROUND(VLOOKUP($AW30,$AD$3:$AJ$33,MATCH(BK$3,$AD$3:$AJ$3,0),FALSE)+$AY30/VLOOKUP(VLOOKUP($AW30,坦克个性化设定!$B$18:$E$48,4,FALSE)&amp;$AX30,坦克属性分配比例,MATCH("升星次数",坦克属性分配比例标头,0),FALSE)*VLOOKUP($AW30,$AM$3:$AS$33,MATCH(BK$3,$AM$3:$AS$3,0),FALSE),2)</f>
        <v>0.4</v>
      </c>
      <c r="BL30" s="462">
        <f>ROUND(VLOOKUP($AW30,$AD$3:$AJ$33,MATCH(BL$3,$AD$3:$AJ$3,0),FALSE)-$AY30/VLOOKUP(VLOOKUP($AW30,坦克个性化设定!$B$18:$E$48,4,FALSE)&amp;$AX30,坦克属性分配比例,MATCH("升星次数",坦克属性分配比例标头,0),FALSE)*VLOOKUP($AW30,$AM$3:$AS$33,MATCH(BL$3,$AM$3:$AS$3,0),FALSE),2)</f>
        <v>0.91</v>
      </c>
      <c r="BN30" s="183">
        <v>27</v>
      </c>
      <c r="BO30" s="131" t="str">
        <f t="shared" si="11"/>
        <v>征服者</v>
      </c>
      <c r="BP30" s="131" t="str">
        <f>VLOOKUP(BO30,坦克个性化设定!$B$18:$F$48,5,FALSE)</f>
        <v>重坦单发</v>
      </c>
      <c r="BQ30" s="177" t="str">
        <f>VLOOKUP(BO30,坦克个性化细分!$I$3:$J$33,2,FALSE)</f>
        <v>低</v>
      </c>
      <c r="BR30" s="96">
        <f ca="1">(VLOOKUP($BO30&amp;"最终",$O$3:$AA$63,MATCH(BR$3,$O$3:$AA$3,0),FALSE)-VLOOKUP($BO30&amp;"初始",$O$3:$AA$63,MATCH(BR$3,$O$3:$AA$3,0),FALSE))*VLOOKUP(VLOOKUP($BO30,坦克个性化设定!$B$18:$E$48,4,FALSE)&amp;$BQ30,坦克属性分配比例,MATCH("部件比例",坦克属性分配比例标头,0),FALSE)</f>
        <v>776.5217845152755</v>
      </c>
      <c r="BS30" s="96">
        <f ca="1">(VLOOKUP($BO30&amp;"最终",$O$3:$AA$63,MATCH(BS$3,$O$3:$AA$3,0),FALSE)-VLOOKUP($BO30&amp;"初始",$O$3:$AA$63,MATCH(BS$3,$O$3:$AA$3,0),FALSE))*VLOOKUP(VLOOKUP($BO30,坦克个性化设定!$B$18:$E$48,4,FALSE)&amp;$BQ30,坦克属性分配比例,MATCH("部件比例",坦克属性分配比例标头,0),FALSE)</f>
        <v>141.28497036368952</v>
      </c>
      <c r="BT30" s="96">
        <f ca="1">(VLOOKUP($BO30&amp;"最终",$O$3:$AA$63,MATCH(BT$3,$O$3:$AA$3,0),FALSE)-VLOOKUP($BO30&amp;"初始",$O$3:$AA$63,MATCH(BT$3,$O$3:$AA$3,0),FALSE))*VLOOKUP(VLOOKUP($BO30,坦克个性化设定!$B$18:$E$48,4,FALSE)&amp;$BQ30,坦克属性分配比例,MATCH("部件比例",坦克属性分配比例标头,0),FALSE)*(1-$C$3)</f>
        <v>96.410560000000018</v>
      </c>
      <c r="BU30" s="96">
        <f ca="1">(VLOOKUP($BO30&amp;"最终",$O$3:$AA$63,MATCH(BU$3,$O$3:$AA$3,0),FALSE)-VLOOKUP($BO30&amp;"初始",$O$3:$AA$63,MATCH(BU$3,$O$3:$AA$3,0),FALSE))*VLOOKUP(VLOOKUP($BO30,坦克个性化设定!$B$18:$E$48,4,FALSE)&amp;$BQ30,坦克属性分配比例,MATCH("部件比例",坦克属性分配比例标头,0),FALSE)*(1-$C$3)</f>
        <v>77.06704000000002</v>
      </c>
      <c r="BV30" s="96">
        <f ca="1">(VLOOKUP($BO30&amp;"最终",$O$3:$AA$63,MATCH(BV$3,$O$3:$AA$3,0),FALSE)-VLOOKUP($BO30&amp;"初始",$O$3:$AA$63,MATCH(BV$3,$O$3:$AA$3,0),FALSE))*VLOOKUP(VLOOKUP($BO30,坦克个性化设定!$B$18:$E$48,4,FALSE)&amp;$BQ30,坦克属性分配比例,MATCH("部件比例",坦克属性分配比例标头,0),FALSE)</f>
        <v>322.39200000000005</v>
      </c>
    </row>
    <row r="31" spans="2:74" x14ac:dyDescent="0.35">
      <c r="B31" s="137">
        <v>26</v>
      </c>
      <c r="C31" s="176" t="str">
        <f>坦克个性化设定!B44</f>
        <v>KV-2</v>
      </c>
      <c r="D31" s="84"/>
      <c r="E31" s="84"/>
      <c r="F31" s="84"/>
      <c r="G31" s="84"/>
      <c r="H31" s="84"/>
      <c r="I31" s="84"/>
      <c r="J31" s="84"/>
      <c r="K31" s="84"/>
      <c r="L31" s="84"/>
      <c r="M31" s="84"/>
      <c r="N31" s="84"/>
      <c r="O31" s="426" t="str">
        <f t="shared" si="5"/>
        <v>玛蒂尔达最终</v>
      </c>
      <c r="P31" s="137">
        <f>IF(COUNTIF(Q$4:Q30,Q30)&gt;=$B$3,P30+1,P30)</f>
        <v>14</v>
      </c>
      <c r="Q31" s="131" t="str">
        <f t="shared" si="6"/>
        <v>玛蒂尔达</v>
      </c>
      <c r="R31" s="131" t="str">
        <f>VLOOKUP(Q31,坦克个性化设定!$B$18:$F$48,5,FALSE)</f>
        <v>中坦弹夹</v>
      </c>
      <c r="S31" s="177" t="str">
        <f>VLOOKUP(Q31,坦克个性化细分!$I$3:$J$33,2,FALSE)</f>
        <v>低</v>
      </c>
      <c r="T31" s="137" t="str">
        <f t="shared" si="12"/>
        <v>最终</v>
      </c>
      <c r="U31" s="178" t="str">
        <f>VLOOKUP(VLOOKUP(Q31,坦克个性化设定!$B$18:$F$48,4,FALSE)&amp;S31,坦克等级成长!$P$12:$U$24,MATCH(T31,坦克等级成长!$P$12:$U$12,0),FALSE)</f>
        <v>T3低4</v>
      </c>
      <c r="V31" s="96">
        <f ca="1">VLOOKUP($U31,INDIRECT($R31&amp;"_阶段属性"),MATCH(V$3,属性标头_阶段属性,0),FALSE)*VLOOKUP($Q31,坦克个性化设定!$B$84:$D$114,2,FALSE)</f>
        <v>1923.7207198465774</v>
      </c>
      <c r="W31" s="96">
        <f ca="1">VLOOKUP($U31,INDIRECT($R31&amp;"_阶段属性"),MATCH(W$3,属性标头_阶段属性,0),FALSE)*VLOOKUP($Q31,坦克个性化设定!$B$84:$D$114,3,FALSE)</f>
        <v>97.676925273740295</v>
      </c>
      <c r="X31" s="131">
        <f t="shared" ca="1" si="14"/>
        <v>657</v>
      </c>
      <c r="Y31" s="131">
        <f t="shared" ca="1" si="14"/>
        <v>493</v>
      </c>
      <c r="Z31" s="131">
        <f t="shared" ca="1" si="14"/>
        <v>828</v>
      </c>
      <c r="AA31" s="131">
        <f t="shared" ca="1" si="14"/>
        <v>202</v>
      </c>
      <c r="AC31" s="195">
        <v>28</v>
      </c>
      <c r="AD31" s="193" t="str">
        <f t="shared" si="7"/>
        <v>IS-4</v>
      </c>
      <c r="AE31" s="195">
        <f>VLOOKUP($AD31,坦克个性化细分!$I$3:$P$33,MATCH(AE$3,坦克个性化细分!$I$3:$P$3,0),FALSE)</f>
        <v>32</v>
      </c>
      <c r="AF31" s="195">
        <f>VLOOKUP($AD31,坦克个性化细分!$I$3:$P$33,MATCH(AF$3,坦克个性化细分!$I$3:$P$3,0),FALSE)</f>
        <v>44.6</v>
      </c>
      <c r="AG31" s="195">
        <f>VLOOKUP($AD31,坦克个性化细分!$I$3:$P$33,MATCH(AG$3,坦克个性化细分!$I$3:$P$3,0),FALSE)</f>
        <v>9.6</v>
      </c>
      <c r="AH31" s="206">
        <f>VLOOKUP(AD31,坦克个性化细分!$AA$3:$AP$33,MATCH("射击偏移角",坦克个性化细分!$AA$3:$AP$3,0),FALSE)/VLOOKUP(AD31,坦克个性化细分!$AA$3:$AP$33,MATCH("原瞄准速度",坦克个性化细分!$AA$3:$AP$3,0),FALSE)</f>
        <v>2.2500000000000004</v>
      </c>
      <c r="AI31" s="206">
        <f>VLOOKUP(AD31,坦克个性化细分!$AA$3:$AP$33,MATCH(AI$3,坦克个性化细分!$AA$3:$AP$3,0),FALSE)</f>
        <v>2</v>
      </c>
      <c r="AJ31" s="462">
        <f>VLOOKUP(AD31,坦克个性化细分!$AA$3:$AP$33,MATCH("原换弹时间",坦克个性化细分!$AA$3:$AP$3,0),FALSE)</f>
        <v>4.5</v>
      </c>
      <c r="AK31" s="208"/>
      <c r="AL31" s="195">
        <v>28</v>
      </c>
      <c r="AM31" s="193" t="str">
        <f t="shared" si="8"/>
        <v>IS-4</v>
      </c>
      <c r="AN31" s="206">
        <f>VLOOKUP(AM31,坦克个性化细分!$I$3:$P$33,MATCH("养成区间1",坦克个性化细分!$I$3:$P$3,0),FALSE)</f>
        <v>7.9999999999999982</v>
      </c>
      <c r="AO31" s="462">
        <f>VLOOKUP(AM31,坦克个性化细分!$I$3:$P$33,MATCH("养成区间2",坦克个性化细分!$I$3:$P$3,0),FALSE)</f>
        <v>11.149999999999997</v>
      </c>
      <c r="AP31" s="462">
        <f>VLOOKUP(AM31,坦克个性化细分!$I$3:$P$33,MATCH("养成区间3",坦克个性化细分!$I$3:$P$3,0),FALSE)</f>
        <v>3.14</v>
      </c>
      <c r="AQ31" s="206">
        <f>VLOOKUP(AM31,坦克个性化细分!$AA$3:$AP$33,MATCH("瞄准区间",坦克个性化细分!$AA$3:$AP$3,0),FALSE)</f>
        <v>0.37500000000000022</v>
      </c>
      <c r="AR31" s="206">
        <f>VLOOKUP(AD31,坦克个性化细分!$AA$3:$AP$33,MATCH("后射击间隔",坦克个性化细分!$AA$3:$AP$3,0),FALSE)-VLOOKUP(AD31,坦克个性化细分!$AA$3:$AP$33,MATCH(AI$3,坦克个性化细分!$AA$3:$AP$3,0),FALSE)</f>
        <v>0</v>
      </c>
      <c r="AS31" s="206">
        <f>VLOOKUP(AM31,坦克个性化细分!$AA$3:$AP$33,MATCH("换弹区间",坦克个性化细分!$AA$3:$AP$3,0),FALSE)</f>
        <v>1.1542750929368029</v>
      </c>
      <c r="AT31" s="208"/>
      <c r="AU31" s="364" t="str">
        <f t="shared" si="9"/>
        <v>35(t)3</v>
      </c>
      <c r="AV31" s="183">
        <f>IF(AY30&gt;=VLOOKUP(VLOOKUP(AW30,坦克个性化设定!$B$18:$E$48,4,FALSE)&amp;AX30,坦克属性分配比例,MATCH("升星次数",坦克属性分配比例标头,0),FALSE),AV30+1,AV30)</f>
        <v>4</v>
      </c>
      <c r="AW31" s="131" t="str">
        <f t="shared" si="10"/>
        <v>35(t)</v>
      </c>
      <c r="AX31" s="177" t="str">
        <f>VLOOKUP(AW31,坦克个性化细分!$I$3:$J$33,2,FALSE)</f>
        <v>低</v>
      </c>
      <c r="AY31" s="183">
        <f t="shared" si="1"/>
        <v>3</v>
      </c>
      <c r="AZ31" s="486">
        <f ca="1">ROUND(VLOOKUP($AW31&amp;"初始",$O$3:$AA$63,MATCH(AZ$3,$O$3:$AA$3,0),FALSE)+((VLOOKUP($AW31&amp;"最终",$O$3:$AA$63,MATCH(AZ$3,$O$3:$AA$3,0),FALSE)*坦克个性化细分!$C$9-VLOOKUP($AW31&amp;"初始",$O$3:$AA$63,MATCH(AZ$3,$O$3:$AA$3,0),FALSE))-(VLOOKUP($AW31&amp;"最终",$O$3:$AA$63,MATCH(AZ$3,$O$3:$AA$3,0),FALSE)-VLOOKUP($AW31&amp;"初始",$O$3:$AA$63,MATCH(AZ$3,$O$3:$AA$3,0),FALSE))*VLOOKUP(VLOOKUP($AW31,坦克个性化设定!$B$18:$E$48,4,FALSE)&amp;$AX31,坦克属性分配比例,MATCH("部件比例",坦克属性分配比例标头,0),FALSE))*$AY31/VLOOKUP(VLOOKUP($AW31,坦克个性化设定!$B$18:$E$48,4,FALSE)&amp;$AX31,坦克属性分配比例,MATCH("升星次数",坦克属性分配比例标头,0),FALSE),0)</f>
        <v>1397</v>
      </c>
      <c r="BA31" s="426">
        <f ca="1">ROUND(VLOOKUP($AW31&amp;"初始",$O$3:$AA$63,MATCH(BA$3,$O$3:$AA$3,0),FALSE)+(VLOOKUP($AW31&amp;"最终",$O$3:$AA$63,MATCH(BA$3,$O$3:$AA$3,0),FALSE)-VLOOKUP($AW31&amp;"初始",$O$3:$AA$63,MATCH(BA$3,$O$3:$AA$3,0),FALSE))*$AY31/VLOOKUP(VLOOKUP($AW31,坦克个性化设定!$B$18:$E$48,4,FALSE)&amp;$AX31,坦克属性分配比例,MATCH("升星次数",坦克属性分配比例标头,0),FALSE)*VLOOKUP(VLOOKUP($AW31,坦克个性化设定!$B$18:$E$48,4,FALSE)&amp;$AX31,坦克属性分配比例,MATCH("升星比例",坦克属性分配比例标头,0),FALSE),0)</f>
        <v>86</v>
      </c>
      <c r="BB31" s="486">
        <f ca="1">ROUND(VLOOKUP($AW31&amp;"初始",$O$3:$AA$63,MATCH(BB$3,$O$3:$AA$3,0),FALSE)+(VLOOKUP($AW31&amp;"最终",$O$3:$AA$63,MATCH(BB$3,$O$3:$AA$3,0),FALSE)-VLOOKUP($AW31&amp;"初始",$O$3:$AA$63,MATCH(BB$3,$O$3:$AA$3,0),FALSE))*$AY31/VLOOKUP(VLOOKUP($AW31,坦克个性化设定!$B$18:$E$48,4,FALSE)&amp;$AX31,坦克属性分配比例,MATCH("升星次数",坦克属性分配比例标头,0),FALSE)*(VLOOKUP(VLOOKUP($AW31,坦克个性化设定!$B$18:$E$48,4,FALSE)&amp;$AX31,坦克属性分配比例,MATCH("升星比例",坦克属性分配比例标头,0),FALSE)+VLOOKUP(VLOOKUP($AW31,坦克个性化设定!$B$18:$E$48,4,FALSE)&amp;$AX31,坦克属性分配比例,MATCH("部件比例",坦克属性分配比例标头,0),FALSE)*$C$3),0)</f>
        <v>520</v>
      </c>
      <c r="BC31" s="486">
        <f ca="1">ROUND(VLOOKUP($AW31&amp;"初始",$O$3:$AA$63,MATCH(BC$3,$O$3:$AA$3,0),FALSE)+(VLOOKUP($AW31&amp;"最终",$O$3:$AA$63,MATCH(BC$3,$O$3:$AA$3,0),FALSE)-VLOOKUP($AW31&amp;"初始",$O$3:$AA$63,MATCH(BC$3,$O$3:$AA$3,0),FALSE))*$AY31/VLOOKUP(VLOOKUP($AW31,坦克个性化设定!$B$18:$E$48,4,FALSE)&amp;$AX31,坦克属性分配比例,MATCH("升星次数",坦克属性分配比例标头,0),FALSE)*(VLOOKUP(VLOOKUP($AW31,坦克个性化设定!$B$18:$E$48,4,FALSE)&amp;$AX31,坦克属性分配比例,MATCH("升星比例",坦克属性分配比例标头,0),FALSE)+VLOOKUP(VLOOKUP($AW31,坦克个性化设定!$B$18:$E$48,4,FALSE)&amp;$AX31,坦克属性分配比例,MATCH("部件比例",坦克属性分配比例标头,0),FALSE)*$C$3),0)</f>
        <v>364</v>
      </c>
      <c r="BD31" s="426">
        <f ca="1">ROUND(VLOOKUP($AW31&amp;"初始",$O$3:$AA$63,MATCH(BD$3,$O$3:$AA$3,0),FALSE)+(VLOOKUP($AW31&amp;"最终",$O$3:$AA$63,MATCH(BD$3,$O$3:$AA$3,0),FALSE)-VLOOKUP($AW31&amp;"初始",$O$3:$AA$63,MATCH(BD$3,$O$3:$AA$3,0),FALSE))*$AY31/VLOOKUP(VLOOKUP($AW31,坦克个性化设定!$B$18:$E$48,4,FALSE)&amp;$AX31,坦克属性分配比例,MATCH("升星次数",坦克属性分配比例标头,0),FALSE)*VLOOKUP(VLOOKUP($AW31,坦克个性化设定!$B$18:$E$48,4,FALSE)&amp;$AX31,坦克属性分配比例,MATCH("升星比例",坦克属性分配比例标头,0),FALSE),0)</f>
        <v>489</v>
      </c>
      <c r="BE31" s="426">
        <f ca="1">ROUND(VLOOKUP($AW31&amp;"初始",$O$3:$AA$63,MATCH(BE$3,$O$3:$AA$3,0),FALSE)+(VLOOKUP($AW31&amp;"最终",$O$3:$AA$63,MATCH(BE$3,$O$3:$AA$3,0),FALSE)-VLOOKUP($AW31&amp;"初始",$O$3:$AA$63,MATCH(BE$3,$O$3:$AA$3,0),FALSE))*$AY31/VLOOKUP(VLOOKUP($AW31,坦克个性化设定!$B$18:$E$48,4,FALSE)&amp;$AX31,坦克属性分配比例,MATCH("升星次数",坦克属性分配比例标头,0),FALSE),0)</f>
        <v>144</v>
      </c>
      <c r="BF31" s="462">
        <f>ROUND(VLOOKUP($AW31,$AD$3:$AJ$33,MATCH(BF$3,$AD$3:$AJ$3,0),FALSE)+$AY31/VLOOKUP(VLOOKUP($AW31,坦克个性化设定!$B$18:$E$48,4,FALSE)&amp;$AX31,坦克属性分配比例,MATCH("升星次数",坦克属性分配比例标头,0),FALSE)*VLOOKUP($AW31,$AM$3:$AS$33,MATCH(BF$3,$AM$3:$AS$3,0),FALSE),1)</f>
        <v>46.4</v>
      </c>
      <c r="BG31" s="462">
        <f>ROUND(VLOOKUP($AW31,$AD$3:$AJ$33,MATCH(BG$3,$AD$3:$AJ$3,0),FALSE)+$AY31/VLOOKUP(VLOOKUP($AW31,坦克个性化设定!$B$18:$E$48,4,FALSE)&amp;$AX31,坦克属性分配比例,MATCH("升星次数",坦克属性分配比例标头,0),FALSE)*VLOOKUP($AW31,$AM$3:$AS$33,MATCH(BG$3,$AM$3:$AS$3,0),FALSE),1)</f>
        <v>54.7</v>
      </c>
      <c r="BH31" s="462">
        <f>ROUND(VLOOKUP($AW31,$AD$3:$AJ$33,MATCH(BH$3,$AD$3:$AJ$3,0),FALSE)+$AY31/VLOOKUP(VLOOKUP($AW31,坦克个性化设定!$B$18:$E$48,4,FALSE)&amp;$AX31,坦克属性分配比例,MATCH("升星次数",坦克属性分配比例标头,0),FALSE)*VLOOKUP($AW31,$AM$3:$AS$33,MATCH(BH$3,$AM$3:$AS$3,0),FALSE),1)</f>
        <v>15.6</v>
      </c>
      <c r="BI31" s="654">
        <f>IF(VLOOKUP(AW31,坦克个性化设定!$B$18:$BB$48,MATCH("装弹类型",坦克个性化设定!$B$18:$BB$18,0),FALSE)="弹夹换弹",0,ROUND(VLOOKUP($AW31,$AD$3:$AJ$33,MATCH("换弹时间",$AD$3:$AJ$3,0),FALSE)-$AY31/VLOOKUP(VLOOKUP($AW31,坦克个性化设定!$B$18:$E$48,4,FALSE)&amp;$AX31,坦克属性分配比例,MATCH("升星次数",坦克属性分配比例标头,0),FALSE)*VLOOKUP($AW31,$AM$3:$AS$33,MATCH("换弹时间",$AM$3:$AS$3,0),FALSE),2))</f>
        <v>1.27</v>
      </c>
      <c r="BJ31" s="462">
        <f>IF(VLOOKUP(AW31,坦克个性化设定!$B$18:$BB$48,MATCH("装弹类型",坦克个性化设定!$B$18:$BB$18,0),FALSE)="弹夹换弹",ROUND(VLOOKUP($AW31,$AD$3:$AJ$33,MATCH("换弹时间",$AD$3:$AJ$3,0),FALSE)-$AY31/VLOOKUP(VLOOKUP($AW31,坦克个性化设定!$B$18:$E$48,4,FALSE)&amp;$AX31,坦克属性分配比例,MATCH("升星次数",坦克属性分配比例标头,0),FALSE)*VLOOKUP($AW31,$AM$3:$AS$33,MATCH("换弹时间",$AM$3:$AS$3,0),FALSE),1),0)</f>
        <v>0</v>
      </c>
      <c r="BK31" s="462">
        <f>ROUND(VLOOKUP($AW31,$AD$3:$AJ$33,MATCH(BK$3,$AD$3:$AJ$3,0),FALSE)+$AY31/VLOOKUP(VLOOKUP($AW31,坦克个性化设定!$B$18:$E$48,4,FALSE)&amp;$AX31,坦克属性分配比例,MATCH("升星次数",坦克属性分配比例标头,0),FALSE)*VLOOKUP($AW31,$AM$3:$AS$33,MATCH(BK$3,$AM$3:$AS$3,0),FALSE),2)</f>
        <v>0.4</v>
      </c>
      <c r="BL31" s="462">
        <f>ROUND(VLOOKUP($AW31,$AD$3:$AJ$33,MATCH(BL$3,$AD$3:$AJ$3,0),FALSE)-$AY31/VLOOKUP(VLOOKUP($AW31,坦克个性化设定!$B$18:$E$48,4,FALSE)&amp;$AX31,坦克属性分配比例,MATCH("升星次数",坦克属性分配比例标头,0),FALSE)*VLOOKUP($AW31,$AM$3:$AS$33,MATCH(BL$3,$AM$3:$AS$3,0),FALSE),2)</f>
        <v>0.89</v>
      </c>
      <c r="BN31" s="183">
        <v>28</v>
      </c>
      <c r="BO31" s="131" t="str">
        <f t="shared" si="11"/>
        <v>IS-4</v>
      </c>
      <c r="BP31" s="131" t="str">
        <f>VLOOKUP(BO31,坦克个性化设定!$B$18:$F$48,5,FALSE)</f>
        <v>重坦自动</v>
      </c>
      <c r="BQ31" s="177" t="str">
        <f>VLOOKUP(BO31,坦克个性化细分!$I$3:$J$33,2,FALSE)</f>
        <v>中</v>
      </c>
      <c r="BR31" s="96">
        <f ca="1">(VLOOKUP($BO31&amp;"最终",$O$3:$AA$63,MATCH(BR$3,$O$3:$AA$3,0),FALSE)-VLOOKUP($BO31&amp;"初始",$O$3:$AA$63,MATCH(BR$3,$O$3:$AA$3,0),FALSE))*VLOOKUP(VLOOKUP($BO31,坦克个性化设定!$B$18:$E$48,4,FALSE)&amp;$BQ31,坦克属性分配比例,MATCH("部件比例",坦克属性分配比例标头,0),FALSE)</f>
        <v>913.54521731725902</v>
      </c>
      <c r="BS31" s="96">
        <f ca="1">(VLOOKUP($BO31&amp;"最终",$O$3:$AA$63,MATCH(BS$3,$O$3:$AA$3,0),FALSE)-VLOOKUP($BO31&amp;"初始",$O$3:$AA$63,MATCH(BS$3,$O$3:$AA$3,0),FALSE))*VLOOKUP(VLOOKUP($BO31,坦克个性化设定!$B$18:$E$48,4,FALSE)&amp;$BQ31,坦克属性分配比例,MATCH("部件比例",坦克属性分配比例标头,0),FALSE)</f>
        <v>151.93108340486125</v>
      </c>
      <c r="BT31" s="96">
        <f ca="1">(VLOOKUP($BO31&amp;"最终",$O$3:$AA$63,MATCH(BT$3,$O$3:$AA$3,0),FALSE)-VLOOKUP($BO31&amp;"初始",$O$3:$AA$63,MATCH(BT$3,$O$3:$AA$3,0),FALSE))*VLOOKUP(VLOOKUP($BO31,坦克个性化设定!$B$18:$E$48,4,FALSE)&amp;$BQ31,坦克属性分配比例,MATCH("部件比例",坦克属性分配比例标头,0),FALSE)*(1-$C$3)</f>
        <v>111.90614525139665</v>
      </c>
      <c r="BU31" s="96">
        <f ca="1">(VLOOKUP($BO31&amp;"最终",$O$3:$AA$63,MATCH(BU$3,$O$3:$AA$3,0),FALSE)-VLOOKUP($BO31&amp;"初始",$O$3:$AA$63,MATCH(BU$3,$O$3:$AA$3,0),FALSE))*VLOOKUP(VLOOKUP($BO31,坦克个性化设定!$B$18:$E$48,4,FALSE)&amp;$BQ31,坦克属性分配比例,MATCH("部件比例",坦克属性分配比例标头,0),FALSE)*(1-$C$3)</f>
        <v>89.568715083798892</v>
      </c>
      <c r="BV31" s="96">
        <f ca="1">(VLOOKUP($BO31&amp;"最终",$O$3:$AA$63,MATCH(BV$3,$O$3:$AA$3,0),FALSE)-VLOOKUP($BO31&amp;"初始",$O$3:$AA$63,MATCH(BV$3,$O$3:$AA$3,0),FALSE))*VLOOKUP(VLOOKUP($BO31,坦克个性化设定!$B$18:$E$48,4,FALSE)&amp;$BQ31,坦克属性分配比例,MATCH("部件比例",坦克属性分配比例标头,0),FALSE)</f>
        <v>411.70949720670387</v>
      </c>
    </row>
    <row r="32" spans="2:74" x14ac:dyDescent="0.35">
      <c r="B32" s="137">
        <v>27</v>
      </c>
      <c r="C32" s="176" t="str">
        <f>坦克个性化设定!B45</f>
        <v>征服者</v>
      </c>
      <c r="D32" s="84"/>
      <c r="E32" s="84"/>
      <c r="F32" s="84"/>
      <c r="G32" s="84"/>
      <c r="H32" s="84"/>
      <c r="I32" s="84"/>
      <c r="J32" s="84"/>
      <c r="K32" s="84"/>
      <c r="L32" s="84"/>
      <c r="M32" s="84"/>
      <c r="N32" s="84"/>
      <c r="O32" s="426" t="str">
        <f t="shared" si="5"/>
        <v>谢尔曼初始</v>
      </c>
      <c r="P32" s="137">
        <f>IF(COUNTIF(Q$4:Q31,Q31)&gt;=$B$3,P31+1,P31)</f>
        <v>15</v>
      </c>
      <c r="Q32" s="131" t="str">
        <f t="shared" si="6"/>
        <v>谢尔曼</v>
      </c>
      <c r="R32" s="131" t="str">
        <f>VLOOKUP(Q32,坦克个性化设定!$B$18:$F$48,5,FALSE)</f>
        <v>中坦单发</v>
      </c>
      <c r="S32" s="177" t="str">
        <f>VLOOKUP(Q32,坦克个性化细分!$I$3:$J$33,2,FALSE)</f>
        <v>中</v>
      </c>
      <c r="T32" s="137" t="str">
        <f t="shared" si="12"/>
        <v>初始</v>
      </c>
      <c r="U32" s="178" t="str">
        <f>VLOOKUP(VLOOKUP(Q32,坦克个性化设定!$B$18:$F$48,4,FALSE)&amp;S32,坦克等级成长!$P$12:$U$24,MATCH(T32,坦克等级成长!$P$12:$U$12,0),FALSE)</f>
        <v>T3中3</v>
      </c>
      <c r="V32" s="96">
        <f ca="1">VLOOKUP($U32,INDIRECT($R32&amp;"_阶段属性"),MATCH(V$3,属性标头_阶段属性,0),FALSE)*VLOOKUP($Q32,坦克个性化设定!$B$84:$D$114,2,FALSE)</f>
        <v>1327.862034406279</v>
      </c>
      <c r="W32" s="96">
        <f ca="1">VLOOKUP($U32,INDIRECT($R32&amp;"_阶段属性"),MATCH(W$3,属性标头_阶段属性,0),FALSE)*VLOOKUP($Q32,坦克个性化设定!$B$84:$D$114,3,FALSE)</f>
        <v>244.90038786231912</v>
      </c>
      <c r="X32" s="131">
        <f t="shared" ca="1" si="14"/>
        <v>508</v>
      </c>
      <c r="Y32" s="131">
        <f t="shared" ca="1" si="14"/>
        <v>381</v>
      </c>
      <c r="Z32" s="131">
        <f t="shared" ca="1" si="14"/>
        <v>556</v>
      </c>
      <c r="AA32" s="131">
        <f t="shared" ca="1" si="14"/>
        <v>136</v>
      </c>
      <c r="AC32" s="195">
        <v>29</v>
      </c>
      <c r="AD32" s="193" t="str">
        <f t="shared" si="7"/>
        <v>T-32</v>
      </c>
      <c r="AE32" s="195">
        <f>VLOOKUP($AD32,坦克个性化细分!$I$3:$P$33,MATCH(AE$3,坦克个性化细分!$I$3:$P$3,0),FALSE)</f>
        <v>32.9</v>
      </c>
      <c r="AF32" s="195">
        <f>VLOOKUP($AD32,坦克个性化细分!$I$3:$P$33,MATCH(AF$3,坦克个性化细分!$I$3:$P$3,0),FALSE)</f>
        <v>45.9</v>
      </c>
      <c r="AG32" s="195">
        <f>VLOOKUP($AD32,坦克个性化细分!$I$3:$P$33,MATCH(AG$3,坦克个性化细分!$I$3:$P$3,0),FALSE)</f>
        <v>9.9</v>
      </c>
      <c r="AH32" s="206">
        <f>VLOOKUP(AD32,坦克个性化细分!$AA$3:$AP$33,MATCH("射击偏移角",坦克个性化细分!$AA$3:$AP$3,0),FALSE)/VLOOKUP(AD32,坦克个性化细分!$AA$3:$AP$33,MATCH("原瞄准速度",坦克个性化细分!$AA$3:$AP$3,0),FALSE)</f>
        <v>3</v>
      </c>
      <c r="AI32" s="206">
        <f>VLOOKUP(AD32,坦克个性化细分!$AA$3:$AP$33,MATCH(AI$3,坦克个性化细分!$AA$3:$AP$3,0),FALSE)</f>
        <v>0</v>
      </c>
      <c r="AJ32" s="462">
        <f>VLOOKUP(AD32,坦克个性化细分!$AA$3:$AP$33,MATCH("原换弹时间",坦克个性化细分!$AA$3:$AP$3,0),FALSE)</f>
        <v>6</v>
      </c>
      <c r="AK32" s="208"/>
      <c r="AL32" s="195">
        <v>29</v>
      </c>
      <c r="AM32" s="193" t="str">
        <f t="shared" si="8"/>
        <v>T-32</v>
      </c>
      <c r="AN32" s="206">
        <f>VLOOKUP(AM32,坦克个性化细分!$I$3:$P$33,MATCH("养成区间1",坦克个性化细分!$I$3:$P$3,0),FALSE)</f>
        <v>8.2249999999999961</v>
      </c>
      <c r="AO32" s="462">
        <f>VLOOKUP(AM32,坦克个性化细分!$I$3:$P$33,MATCH("养成区间2",坦克个性化细分!$I$3:$P$3,0),FALSE)</f>
        <v>11.474999999999996</v>
      </c>
      <c r="AP32" s="462">
        <f>VLOOKUP(AM32,坦克个性化细分!$I$3:$P$33,MATCH("养成区间3",坦克个性化细分!$I$3:$P$3,0),FALSE)</f>
        <v>3.23</v>
      </c>
      <c r="AQ32" s="206">
        <f>VLOOKUP(AM32,坦克个性化细分!$AA$3:$AP$33,MATCH("瞄准区间",坦克个性化细分!$AA$3:$AP$3,0),FALSE)</f>
        <v>0.5</v>
      </c>
      <c r="AR32" s="206">
        <f>VLOOKUP(AD32,坦克个性化细分!$AA$3:$AP$33,MATCH("后射击间隔",坦克个性化细分!$AA$3:$AP$3,0),FALSE)-VLOOKUP(AD32,坦克个性化细分!$AA$3:$AP$33,MATCH(AI$3,坦克个性化细分!$AA$3:$AP$3,0),FALSE)</f>
        <v>0</v>
      </c>
      <c r="AS32" s="206">
        <f>VLOOKUP(AM32,坦克个性化细分!$AA$3:$AP$33,MATCH("换弹区间",坦克个性化细分!$AA$3:$AP$3,0),FALSE)</f>
        <v>1.488721804511278</v>
      </c>
      <c r="AT32" s="208"/>
      <c r="AU32" s="364" t="str">
        <f t="shared" si="9"/>
        <v>35(t)4</v>
      </c>
      <c r="AV32" s="183">
        <f>IF(AY31&gt;=VLOOKUP(VLOOKUP(AW31,坦克个性化设定!$B$18:$E$48,4,FALSE)&amp;AX31,坦克属性分配比例,MATCH("升星次数",坦克属性分配比例标头,0),FALSE),AV31+1,AV31)</f>
        <v>4</v>
      </c>
      <c r="AW32" s="131" t="str">
        <f t="shared" si="10"/>
        <v>35(t)</v>
      </c>
      <c r="AX32" s="177" t="str">
        <f>VLOOKUP(AW32,坦克个性化细分!$I$3:$J$33,2,FALSE)</f>
        <v>低</v>
      </c>
      <c r="AY32" s="183">
        <f t="shared" si="1"/>
        <v>4</v>
      </c>
      <c r="AZ32" s="486">
        <f ca="1">ROUND(VLOOKUP($AW32&amp;"初始",$O$3:$AA$63,MATCH(AZ$3,$O$3:$AA$3,0),FALSE)+((VLOOKUP($AW32&amp;"最终",$O$3:$AA$63,MATCH(AZ$3,$O$3:$AA$3,0),FALSE)*坦克个性化细分!$C$9-VLOOKUP($AW32&amp;"初始",$O$3:$AA$63,MATCH(AZ$3,$O$3:$AA$3,0),FALSE))-(VLOOKUP($AW32&amp;"最终",$O$3:$AA$63,MATCH(AZ$3,$O$3:$AA$3,0),FALSE)-VLOOKUP($AW32&amp;"初始",$O$3:$AA$63,MATCH(AZ$3,$O$3:$AA$3,0),FALSE))*VLOOKUP(VLOOKUP($AW32,坦克个性化设定!$B$18:$E$48,4,FALSE)&amp;$AX32,坦克属性分配比例,MATCH("部件比例",坦克属性分配比例标头,0),FALSE))*$AY32/VLOOKUP(VLOOKUP($AW32,坦克个性化设定!$B$18:$E$48,4,FALSE)&amp;$AX32,坦克属性分配比例,MATCH("升星次数",坦克属性分配比例标头,0),FALSE),0)</f>
        <v>1492</v>
      </c>
      <c r="BA32" s="426">
        <f ca="1">ROUND(VLOOKUP($AW32&amp;"初始",$O$3:$AA$63,MATCH(BA$3,$O$3:$AA$3,0),FALSE)+(VLOOKUP($AW32&amp;"最终",$O$3:$AA$63,MATCH(BA$3,$O$3:$AA$3,0),FALSE)-VLOOKUP($AW32&amp;"初始",$O$3:$AA$63,MATCH(BA$3,$O$3:$AA$3,0),FALSE))*$AY32/VLOOKUP(VLOOKUP($AW32,坦克个性化设定!$B$18:$E$48,4,FALSE)&amp;$AX32,坦克属性分配比例,MATCH("升星次数",坦克属性分配比例标头,0),FALSE)*VLOOKUP(VLOOKUP($AW32,坦克个性化设定!$B$18:$E$48,4,FALSE)&amp;$AX32,坦克属性分配比例,MATCH("升星比例",坦克属性分配比例标头,0),FALSE),0)</f>
        <v>89</v>
      </c>
      <c r="BB32" s="486">
        <f ca="1">ROUND(VLOOKUP($AW32&amp;"初始",$O$3:$AA$63,MATCH(BB$3,$O$3:$AA$3,0),FALSE)+(VLOOKUP($AW32&amp;"最终",$O$3:$AA$63,MATCH(BB$3,$O$3:$AA$3,0),FALSE)-VLOOKUP($AW32&amp;"初始",$O$3:$AA$63,MATCH(BB$3,$O$3:$AA$3,0),FALSE))*$AY32/VLOOKUP(VLOOKUP($AW32,坦克个性化设定!$B$18:$E$48,4,FALSE)&amp;$AX32,坦克属性分配比例,MATCH("升星次数",坦克属性分配比例标头,0),FALSE)*(VLOOKUP(VLOOKUP($AW32,坦克个性化设定!$B$18:$E$48,4,FALSE)&amp;$AX32,坦克属性分配比例,MATCH("升星比例",坦克属性分配比例标头,0),FALSE)+VLOOKUP(VLOOKUP($AW32,坦克个性化设定!$B$18:$E$48,4,FALSE)&amp;$AX32,坦克属性分配比例,MATCH("部件比例",坦克属性分配比例标头,0),FALSE)*$C$3),0)</f>
        <v>543</v>
      </c>
      <c r="BC32" s="486">
        <f ca="1">ROUND(VLOOKUP($AW32&amp;"初始",$O$3:$AA$63,MATCH(BC$3,$O$3:$AA$3,0),FALSE)+(VLOOKUP($AW32&amp;"最终",$O$3:$AA$63,MATCH(BC$3,$O$3:$AA$3,0),FALSE)-VLOOKUP($AW32&amp;"初始",$O$3:$AA$63,MATCH(BC$3,$O$3:$AA$3,0),FALSE))*$AY32/VLOOKUP(VLOOKUP($AW32,坦克个性化设定!$B$18:$E$48,4,FALSE)&amp;$AX32,坦克属性分配比例,MATCH("升星次数",坦克属性分配比例标头,0),FALSE)*(VLOOKUP(VLOOKUP($AW32,坦克个性化设定!$B$18:$E$48,4,FALSE)&amp;$AX32,坦克属性分配比例,MATCH("升星比例",坦克属性分配比例标头,0),FALSE)+VLOOKUP(VLOOKUP($AW32,坦克个性化设定!$B$18:$E$48,4,FALSE)&amp;$AX32,坦克属性分配比例,MATCH("部件比例",坦克属性分配比例标头,0),FALSE)*$C$3),0)</f>
        <v>380</v>
      </c>
      <c r="BD32" s="426">
        <f ca="1">ROUND(VLOOKUP($AW32&amp;"初始",$O$3:$AA$63,MATCH(BD$3,$O$3:$AA$3,0),FALSE)+(VLOOKUP($AW32&amp;"最终",$O$3:$AA$63,MATCH(BD$3,$O$3:$AA$3,0),FALSE)-VLOOKUP($AW32&amp;"初始",$O$3:$AA$63,MATCH(BD$3,$O$3:$AA$3,0),FALSE))*$AY32/VLOOKUP(VLOOKUP($AW32,坦克个性化设定!$B$18:$E$48,4,FALSE)&amp;$AX32,坦克属性分配比例,MATCH("升星次数",坦克属性分配比例标头,0),FALSE)*VLOOKUP(VLOOKUP($AW32,坦克个性化设定!$B$18:$E$48,4,FALSE)&amp;$AX32,坦克属性分配比例,MATCH("升星比例",坦克属性分配比例标头,0),FALSE),0)</f>
        <v>502</v>
      </c>
      <c r="BE32" s="426">
        <f ca="1">ROUND(VLOOKUP($AW32&amp;"初始",$O$3:$AA$63,MATCH(BE$3,$O$3:$AA$3,0),FALSE)+(VLOOKUP($AW32&amp;"最终",$O$3:$AA$63,MATCH(BE$3,$O$3:$AA$3,0),FALSE)-VLOOKUP($AW32&amp;"初始",$O$3:$AA$63,MATCH(BE$3,$O$3:$AA$3,0),FALSE))*$AY32/VLOOKUP(VLOOKUP($AW32,坦克个性化设定!$B$18:$E$48,4,FALSE)&amp;$AX32,坦克属性分配比例,MATCH("升星次数",坦克属性分配比例标头,0),FALSE),0)</f>
        <v>152</v>
      </c>
      <c r="BF32" s="462">
        <f>ROUND(VLOOKUP($AW32,$AD$3:$AJ$33,MATCH(BF$3,$AD$3:$AJ$3,0),FALSE)+$AY32/VLOOKUP(VLOOKUP($AW32,坦克个性化设定!$B$18:$E$48,4,FALSE)&amp;$AX32,坦克属性分配比例,MATCH("升星次数",坦克属性分配比例标头,0),FALSE)*VLOOKUP($AW32,$AM$3:$AS$33,MATCH(BF$3,$AM$3:$AS$3,0),FALSE),1)</f>
        <v>47.7</v>
      </c>
      <c r="BG32" s="462">
        <f>ROUND(VLOOKUP($AW32,$AD$3:$AJ$33,MATCH(BG$3,$AD$3:$AJ$3,0),FALSE)+$AY32/VLOOKUP(VLOOKUP($AW32,坦克个性化设定!$B$18:$E$48,4,FALSE)&amp;$AX32,坦克属性分配比例,MATCH("升星次数",坦克属性分配比例标头,0),FALSE)*VLOOKUP($AW32,$AM$3:$AS$33,MATCH(BG$3,$AM$3:$AS$3,0),FALSE),1)</f>
        <v>56.3</v>
      </c>
      <c r="BH32" s="462">
        <f>ROUND(VLOOKUP($AW32,$AD$3:$AJ$33,MATCH(BH$3,$AD$3:$AJ$3,0),FALSE)+$AY32/VLOOKUP(VLOOKUP($AW32,坦克个性化设定!$B$18:$E$48,4,FALSE)&amp;$AX32,坦克属性分配比例,MATCH("升星次数",坦克属性分配比例标头,0),FALSE)*VLOOKUP($AW32,$AM$3:$AS$33,MATCH(BH$3,$AM$3:$AS$3,0),FALSE),1)</f>
        <v>16.2</v>
      </c>
      <c r="BI32" s="654">
        <f>IF(VLOOKUP(AW32,坦克个性化设定!$B$18:$BB$48,MATCH("装弹类型",坦克个性化设定!$B$18:$BB$18,0),FALSE)="弹夹换弹",0,ROUND(VLOOKUP($AW32,$AD$3:$AJ$33,MATCH("换弹时间",$AD$3:$AJ$3,0),FALSE)-$AY32/VLOOKUP(VLOOKUP($AW32,坦克个性化设定!$B$18:$E$48,4,FALSE)&amp;$AX32,坦克属性分配比例,MATCH("升星次数",坦克属性分配比例标头,0),FALSE)*VLOOKUP($AW32,$AM$3:$AS$33,MATCH("换弹时间",$AM$3:$AS$3,0),FALSE),2))</f>
        <v>1.22</v>
      </c>
      <c r="BJ32" s="462">
        <f>IF(VLOOKUP(AW32,坦克个性化设定!$B$18:$BB$48,MATCH("装弹类型",坦克个性化设定!$B$18:$BB$18,0),FALSE)="弹夹换弹",ROUND(VLOOKUP($AW32,$AD$3:$AJ$33,MATCH("换弹时间",$AD$3:$AJ$3,0),FALSE)-$AY32/VLOOKUP(VLOOKUP($AW32,坦克个性化设定!$B$18:$E$48,4,FALSE)&amp;$AX32,坦克属性分配比例,MATCH("升星次数",坦克属性分配比例标头,0),FALSE)*VLOOKUP($AW32,$AM$3:$AS$33,MATCH("换弹时间",$AM$3:$AS$3,0),FALSE),1),0)</f>
        <v>0</v>
      </c>
      <c r="BK32" s="462">
        <f>ROUND(VLOOKUP($AW32,$AD$3:$AJ$33,MATCH(BK$3,$AD$3:$AJ$3,0),FALSE)+$AY32/VLOOKUP(VLOOKUP($AW32,坦克个性化设定!$B$18:$E$48,4,FALSE)&amp;$AX32,坦克属性分配比例,MATCH("升星次数",坦克属性分配比例标头,0),FALSE)*VLOOKUP($AW32,$AM$3:$AS$33,MATCH(BK$3,$AM$3:$AS$3,0),FALSE),2)</f>
        <v>0.4</v>
      </c>
      <c r="BL32" s="462">
        <f>ROUND(VLOOKUP($AW32,$AD$3:$AJ$33,MATCH(BL$3,$AD$3:$AJ$3,0),FALSE)-$AY32/VLOOKUP(VLOOKUP($AW32,坦克个性化设定!$B$18:$E$48,4,FALSE)&amp;$AX32,坦克属性分配比例,MATCH("升星次数",坦克属性分配比例标头,0),FALSE)*VLOOKUP($AW32,$AM$3:$AS$33,MATCH(BL$3,$AM$3:$AS$3,0),FALSE),2)</f>
        <v>0.87</v>
      </c>
      <c r="BN32" s="183">
        <v>29</v>
      </c>
      <c r="BO32" s="131" t="str">
        <f t="shared" si="11"/>
        <v>T-32</v>
      </c>
      <c r="BP32" s="131" t="str">
        <f>VLOOKUP(BO32,坦克个性化设定!$B$18:$F$48,5,FALSE)</f>
        <v>重坦单发</v>
      </c>
      <c r="BQ32" s="177" t="str">
        <f>VLOOKUP(BO32,坦克个性化细分!$I$3:$J$33,2,FALSE)</f>
        <v>高</v>
      </c>
      <c r="BR32" s="96">
        <f ca="1">(VLOOKUP($BO32&amp;"最终",$O$3:$AA$63,MATCH(BR$3,$O$3:$AA$3,0),FALSE)-VLOOKUP($BO32&amp;"初始",$O$3:$AA$63,MATCH(BR$3,$O$3:$AA$3,0),FALSE))*VLOOKUP(VLOOKUP($BO32,坦克个性化设定!$B$18:$E$48,4,FALSE)&amp;$BQ32,坦克属性分配比例,MATCH("部件比例",坦克属性分配比例标头,0),FALSE)</f>
        <v>1010.3577857841223</v>
      </c>
      <c r="BS32" s="96">
        <f ca="1">(VLOOKUP($BO32&amp;"最终",$O$3:$AA$63,MATCH(BS$3,$O$3:$AA$3,0),FALSE)-VLOOKUP($BO32&amp;"初始",$O$3:$AA$63,MATCH(BS$3,$O$3:$AA$3,0),FALSE))*VLOOKUP(VLOOKUP($BO32,坦克个性化设定!$B$18:$E$48,4,FALSE)&amp;$BQ32,坦克属性分配比例,MATCH("部件比例",坦克属性分配比例标头,0),FALSE)</f>
        <v>196.01156196720535</v>
      </c>
      <c r="BT32" s="96">
        <f ca="1">(VLOOKUP($BO32&amp;"最终",$O$3:$AA$63,MATCH(BT$3,$O$3:$AA$3,0),FALSE)-VLOOKUP($BO32&amp;"初始",$O$3:$AA$63,MATCH(BT$3,$O$3:$AA$3,0),FALSE))*VLOOKUP(VLOOKUP($BO32,坦克个性化设定!$B$18:$E$48,4,FALSE)&amp;$BQ32,坦克属性分配比例,MATCH("部件比例",坦克属性分配比例标头,0),FALSE)*(1-$C$3)</f>
        <v>129.54639175257734</v>
      </c>
      <c r="BU32" s="96">
        <f ca="1">(VLOOKUP($BO32&amp;"最终",$O$3:$AA$63,MATCH(BU$3,$O$3:$AA$3,0),FALSE)-VLOOKUP($BO32&amp;"初始",$O$3:$AA$63,MATCH(BU$3,$O$3:$AA$3,0),FALSE))*VLOOKUP(VLOOKUP($BO32,坦克个性化设定!$B$18:$E$48,4,FALSE)&amp;$BQ32,坦克属性分配比例,MATCH("部件比例",坦克属性分配比例标头,0),FALSE)*(1-$C$3)</f>
        <v>103.63711340206186</v>
      </c>
      <c r="BV32" s="96">
        <f ca="1">(VLOOKUP($BO32&amp;"最终",$O$3:$AA$63,MATCH(BV$3,$O$3:$AA$3,0),FALSE)-VLOOKUP($BO32&amp;"初始",$O$3:$AA$63,MATCH(BV$3,$O$3:$AA$3,0),FALSE))*VLOOKUP(VLOOKUP($BO32,坦克个性化设定!$B$18:$E$48,4,FALSE)&amp;$BQ32,坦克属性分配比例,MATCH("部件比例",坦克属性分配比例标头,0),FALSE)</f>
        <v>432.70618556701032</v>
      </c>
    </row>
    <row r="33" spans="2:74" x14ac:dyDescent="0.35">
      <c r="B33" s="137">
        <v>28</v>
      </c>
      <c r="C33" s="176" t="str">
        <f>坦克个性化设定!B46</f>
        <v>IS-4</v>
      </c>
      <c r="D33" s="84"/>
      <c r="E33" s="84"/>
      <c r="F33" s="84"/>
      <c r="G33" s="84"/>
      <c r="H33" s="84"/>
      <c r="I33" s="84"/>
      <c r="J33" s="84"/>
      <c r="K33" s="84"/>
      <c r="L33" s="84"/>
      <c r="M33" s="84"/>
      <c r="N33" s="84"/>
      <c r="O33" s="426" t="str">
        <f t="shared" si="5"/>
        <v>谢尔曼最终</v>
      </c>
      <c r="P33" s="137">
        <f>IF(COUNTIF(Q$4:Q32,Q32)&gt;=$B$3,P32+1,P32)</f>
        <v>15</v>
      </c>
      <c r="Q33" s="131" t="str">
        <f t="shared" si="6"/>
        <v>谢尔曼</v>
      </c>
      <c r="R33" s="131" t="str">
        <f>VLOOKUP(Q33,坦克个性化设定!$B$18:$F$48,5,FALSE)</f>
        <v>中坦单发</v>
      </c>
      <c r="S33" s="177" t="str">
        <f>VLOOKUP(Q33,坦克个性化细分!$I$3:$J$33,2,FALSE)</f>
        <v>中</v>
      </c>
      <c r="T33" s="137" t="str">
        <f t="shared" si="12"/>
        <v>最终</v>
      </c>
      <c r="U33" s="178" t="str">
        <f>VLOOKUP(VLOOKUP(Q33,坦克个性化设定!$B$18:$F$48,4,FALSE)&amp;S33,坦克等级成长!$P$12:$U$24,MATCH(T33,坦克等级成长!$P$12:$U$12,0),FALSE)</f>
        <v>T3中5</v>
      </c>
      <c r="V33" s="96">
        <f ca="1">VLOOKUP($U33,INDIRECT($R33&amp;"_阶段属性"),MATCH(V$3,属性标头_阶段属性,0),FALSE)*VLOOKUP($Q33,坦克个性化设定!$B$84:$D$114,2,FALSE)</f>
        <v>2596.1655510928649</v>
      </c>
      <c r="W33" s="96">
        <f ca="1">VLOOKUP($U33,INDIRECT($R33&amp;"_阶段属性"),MATCH(W$3,属性标头_阶段属性,0),FALSE)*VLOOKUP($Q33,坦克个性化设定!$B$84:$D$114,3,FALSE)</f>
        <v>478.03700163518187</v>
      </c>
      <c r="X33" s="131">
        <f t="shared" ca="1" si="14"/>
        <v>992</v>
      </c>
      <c r="Y33" s="131">
        <f t="shared" ca="1" si="14"/>
        <v>744</v>
      </c>
      <c r="Z33" s="131">
        <f t="shared" ca="1" si="14"/>
        <v>1087</v>
      </c>
      <c r="AA33" s="131">
        <f t="shared" ca="1" si="14"/>
        <v>266</v>
      </c>
      <c r="AC33" s="195">
        <v>30</v>
      </c>
      <c r="AD33" s="193" t="str">
        <f t="shared" si="7"/>
        <v>M1A2</v>
      </c>
      <c r="AE33" s="195">
        <f>VLOOKUP($AD33,坦克个性化细分!$I$3:$P$33,MATCH(AE$3,坦克个性化细分!$I$3:$P$3,0),FALSE)</f>
        <v>31.3</v>
      </c>
      <c r="AF33" s="195">
        <f>VLOOKUP($AD33,坦克个性化细分!$I$3:$P$33,MATCH(AF$3,坦克个性化细分!$I$3:$P$3,0),FALSE)</f>
        <v>43.8</v>
      </c>
      <c r="AG33" s="195">
        <f>VLOOKUP($AD33,坦克个性化细分!$I$3:$P$33,MATCH(AG$3,坦克个性化细分!$I$3:$P$3,0),FALSE)</f>
        <v>9.5</v>
      </c>
      <c r="AH33" s="206">
        <f>VLOOKUP(AD33,坦克个性化细分!$AA$3:$AP$33,MATCH("射击偏移角",坦克个性化细分!$AA$3:$AP$3,0),FALSE)/VLOOKUP(AD33,坦克个性化细分!$AA$3:$AP$33,MATCH("原瞄准速度",坦克个性化细分!$AA$3:$AP$3,0),FALSE)</f>
        <v>3</v>
      </c>
      <c r="AI33" s="206">
        <f>VLOOKUP(AD33,坦克个性化细分!$AA$3:$AP$33,MATCH(AI$3,坦克个性化细分!$AA$3:$AP$3,0),FALSE)</f>
        <v>0</v>
      </c>
      <c r="AJ33" s="462">
        <f>VLOOKUP(AD33,坦克个性化细分!$AA$3:$AP$33,MATCH("原换弹时间",坦克个性化细分!$AA$3:$AP$3,0),FALSE)</f>
        <v>6</v>
      </c>
      <c r="AK33" s="208"/>
      <c r="AL33" s="195">
        <v>30</v>
      </c>
      <c r="AM33" s="193" t="str">
        <f t="shared" si="8"/>
        <v>M1A2</v>
      </c>
      <c r="AN33" s="206">
        <f>VLOOKUP(AM33,坦克个性化细分!$I$3:$P$33,MATCH("养成区间1",坦克个性化细分!$I$3:$P$3,0),FALSE)</f>
        <v>7.8249999999999984</v>
      </c>
      <c r="AO33" s="462">
        <f>VLOOKUP(AM33,坦克个性化细分!$I$3:$P$33,MATCH("养成区间2",坦克个性化细分!$I$3:$P$3,0),FALSE)</f>
        <v>10.949999999999996</v>
      </c>
      <c r="AP33" s="462">
        <f>VLOOKUP(AM33,坦克个性化细分!$I$3:$P$33,MATCH("养成区间3",坦克个性化细分!$I$3:$P$3,0),FALSE)</f>
        <v>3.1</v>
      </c>
      <c r="AQ33" s="206">
        <f>VLOOKUP(AM33,坦克个性化细分!$AA$3:$AP$33,MATCH("瞄准区间",坦克个性化细分!$AA$3:$AP$3,0),FALSE)</f>
        <v>0.5</v>
      </c>
      <c r="AR33" s="206">
        <f>VLOOKUP(AD33,坦克个性化细分!$AA$3:$AP$33,MATCH("后射击间隔",坦克个性化细分!$AA$3:$AP$3,0),FALSE)-VLOOKUP(AD33,坦克个性化细分!$AA$3:$AP$33,MATCH(AI$3,坦克个性化细分!$AA$3:$AP$3,0),FALSE)</f>
        <v>0</v>
      </c>
      <c r="AS33" s="206">
        <f>VLOOKUP(AM33,坦克个性化细分!$AA$3:$AP$33,MATCH("换弹区间",坦克个性化细分!$AA$3:$AP$3,0),FALSE)</f>
        <v>1.488721804511278</v>
      </c>
      <c r="AT33" s="208"/>
      <c r="AU33" s="364" t="str">
        <f t="shared" si="9"/>
        <v>35(t)5</v>
      </c>
      <c r="AV33" s="183">
        <f>IF(AY32&gt;=VLOOKUP(VLOOKUP(AW32,坦克个性化设定!$B$18:$E$48,4,FALSE)&amp;AX32,坦克属性分配比例,MATCH("升星次数",坦克属性分配比例标头,0),FALSE),AV32+1,AV32)</f>
        <v>4</v>
      </c>
      <c r="AW33" s="131" t="str">
        <f t="shared" si="10"/>
        <v>35(t)</v>
      </c>
      <c r="AX33" s="177" t="str">
        <f>VLOOKUP(AW33,坦克个性化细分!$I$3:$J$33,2,FALSE)</f>
        <v>低</v>
      </c>
      <c r="AY33" s="183">
        <f t="shared" si="1"/>
        <v>5</v>
      </c>
      <c r="AZ33" s="486">
        <f ca="1">ROUND(VLOOKUP($AW33&amp;"初始",$O$3:$AA$63,MATCH(AZ$3,$O$3:$AA$3,0),FALSE)+((VLOOKUP($AW33&amp;"最终",$O$3:$AA$63,MATCH(AZ$3,$O$3:$AA$3,0),FALSE)*坦克个性化细分!$C$9-VLOOKUP($AW33&amp;"初始",$O$3:$AA$63,MATCH(AZ$3,$O$3:$AA$3,0),FALSE))-(VLOOKUP($AW33&amp;"最终",$O$3:$AA$63,MATCH(AZ$3,$O$3:$AA$3,0),FALSE)-VLOOKUP($AW33&amp;"初始",$O$3:$AA$63,MATCH(AZ$3,$O$3:$AA$3,0),FALSE))*VLOOKUP(VLOOKUP($AW33,坦克个性化设定!$B$18:$E$48,4,FALSE)&amp;$AX33,坦克属性分配比例,MATCH("部件比例",坦克属性分配比例标头,0),FALSE))*$AY33/VLOOKUP(VLOOKUP($AW33,坦克个性化设定!$B$18:$E$48,4,FALSE)&amp;$AX33,坦克属性分配比例,MATCH("升星次数",坦克属性分配比例标头,0),FALSE),0)</f>
        <v>1588</v>
      </c>
      <c r="BA33" s="426">
        <f ca="1">ROUND(VLOOKUP($AW33&amp;"初始",$O$3:$AA$63,MATCH(BA$3,$O$3:$AA$3,0),FALSE)+(VLOOKUP($AW33&amp;"最终",$O$3:$AA$63,MATCH(BA$3,$O$3:$AA$3,0),FALSE)-VLOOKUP($AW33&amp;"初始",$O$3:$AA$63,MATCH(BA$3,$O$3:$AA$3,0),FALSE))*$AY33/VLOOKUP(VLOOKUP($AW33,坦克个性化设定!$B$18:$E$48,4,FALSE)&amp;$AX33,坦克属性分配比例,MATCH("升星次数",坦克属性分配比例标头,0),FALSE)*VLOOKUP(VLOOKUP($AW33,坦克个性化设定!$B$18:$E$48,4,FALSE)&amp;$AX33,坦克属性分配比例,MATCH("升星比例",坦克属性分配比例标头,0),FALSE),0)</f>
        <v>91</v>
      </c>
      <c r="BB33" s="486">
        <f ca="1">ROUND(VLOOKUP($AW33&amp;"初始",$O$3:$AA$63,MATCH(BB$3,$O$3:$AA$3,0),FALSE)+(VLOOKUP($AW33&amp;"最终",$O$3:$AA$63,MATCH(BB$3,$O$3:$AA$3,0),FALSE)-VLOOKUP($AW33&amp;"初始",$O$3:$AA$63,MATCH(BB$3,$O$3:$AA$3,0),FALSE))*$AY33/VLOOKUP(VLOOKUP($AW33,坦克个性化设定!$B$18:$E$48,4,FALSE)&amp;$AX33,坦克属性分配比例,MATCH("升星次数",坦克属性分配比例标头,0),FALSE)*(VLOOKUP(VLOOKUP($AW33,坦克个性化设定!$B$18:$E$48,4,FALSE)&amp;$AX33,坦克属性分配比例,MATCH("升星比例",坦克属性分配比例标头,0),FALSE)+VLOOKUP(VLOOKUP($AW33,坦克个性化设定!$B$18:$E$48,4,FALSE)&amp;$AX33,坦克属性分配比例,MATCH("部件比例",坦克属性分配比例标头,0),FALSE)*$C$3),0)</f>
        <v>566</v>
      </c>
      <c r="BC33" s="486">
        <f ca="1">ROUND(VLOOKUP($AW33&amp;"初始",$O$3:$AA$63,MATCH(BC$3,$O$3:$AA$3,0),FALSE)+(VLOOKUP($AW33&amp;"最终",$O$3:$AA$63,MATCH(BC$3,$O$3:$AA$3,0),FALSE)-VLOOKUP($AW33&amp;"初始",$O$3:$AA$63,MATCH(BC$3,$O$3:$AA$3,0),FALSE))*$AY33/VLOOKUP(VLOOKUP($AW33,坦克个性化设定!$B$18:$E$48,4,FALSE)&amp;$AX33,坦克属性分配比例,MATCH("升星次数",坦克属性分配比例标头,0),FALSE)*(VLOOKUP(VLOOKUP($AW33,坦克个性化设定!$B$18:$E$48,4,FALSE)&amp;$AX33,坦克属性分配比例,MATCH("升星比例",坦克属性分配比例标头,0),FALSE)+VLOOKUP(VLOOKUP($AW33,坦克个性化设定!$B$18:$E$48,4,FALSE)&amp;$AX33,坦克属性分配比例,MATCH("部件比例",坦克属性分配比例标头,0),FALSE)*$C$3),0)</f>
        <v>396</v>
      </c>
      <c r="BD33" s="426">
        <f ca="1">ROUND(VLOOKUP($AW33&amp;"初始",$O$3:$AA$63,MATCH(BD$3,$O$3:$AA$3,0),FALSE)+(VLOOKUP($AW33&amp;"最终",$O$3:$AA$63,MATCH(BD$3,$O$3:$AA$3,0),FALSE)-VLOOKUP($AW33&amp;"初始",$O$3:$AA$63,MATCH(BD$3,$O$3:$AA$3,0),FALSE))*$AY33/VLOOKUP(VLOOKUP($AW33,坦克个性化设定!$B$18:$E$48,4,FALSE)&amp;$AX33,坦克属性分配比例,MATCH("升星次数",坦克属性分配比例标头,0),FALSE)*VLOOKUP(VLOOKUP($AW33,坦克个性化设定!$B$18:$E$48,4,FALSE)&amp;$AX33,坦克属性分配比例,MATCH("升星比例",坦克属性分配比例标头,0),FALSE),0)</f>
        <v>515</v>
      </c>
      <c r="BE33" s="426">
        <f ca="1">ROUND(VLOOKUP($AW33&amp;"初始",$O$3:$AA$63,MATCH(BE$3,$O$3:$AA$3,0),FALSE)+(VLOOKUP($AW33&amp;"最终",$O$3:$AA$63,MATCH(BE$3,$O$3:$AA$3,0),FALSE)-VLOOKUP($AW33&amp;"初始",$O$3:$AA$63,MATCH(BE$3,$O$3:$AA$3,0),FALSE))*$AY33/VLOOKUP(VLOOKUP($AW33,坦克个性化设定!$B$18:$E$48,4,FALSE)&amp;$AX33,坦克属性分配比例,MATCH("升星次数",坦克属性分配比例标头,0),FALSE),0)</f>
        <v>160</v>
      </c>
      <c r="BF33" s="462">
        <f>ROUND(VLOOKUP($AW33,$AD$3:$AJ$33,MATCH(BF$3,$AD$3:$AJ$3,0),FALSE)+$AY33/VLOOKUP(VLOOKUP($AW33,坦克个性化设定!$B$18:$E$48,4,FALSE)&amp;$AX33,坦克属性分配比例,MATCH("升星次数",坦克属性分配比例标头,0),FALSE)*VLOOKUP($AW33,$AM$3:$AS$33,MATCH(BF$3,$AM$3:$AS$3,0),FALSE),1)</f>
        <v>49</v>
      </c>
      <c r="BG33" s="462">
        <f>ROUND(VLOOKUP($AW33,$AD$3:$AJ$33,MATCH(BG$3,$AD$3:$AJ$3,0),FALSE)+$AY33/VLOOKUP(VLOOKUP($AW33,坦克个性化设定!$B$18:$E$48,4,FALSE)&amp;$AX33,坦克属性分配比例,MATCH("升星次数",坦克属性分配比例标头,0),FALSE)*VLOOKUP($AW33,$AM$3:$AS$33,MATCH(BG$3,$AM$3:$AS$3,0),FALSE),1)</f>
        <v>57.8</v>
      </c>
      <c r="BH33" s="462">
        <f>ROUND(VLOOKUP($AW33,$AD$3:$AJ$33,MATCH(BH$3,$AD$3:$AJ$3,0),FALSE)+$AY33/VLOOKUP(VLOOKUP($AW33,坦克个性化设定!$B$18:$E$48,4,FALSE)&amp;$AX33,坦克属性分配比例,MATCH("升星次数",坦克属性分配比例标头,0),FALSE)*VLOOKUP($AW33,$AM$3:$AS$33,MATCH(BH$3,$AM$3:$AS$3,0),FALSE),1)</f>
        <v>16.7</v>
      </c>
      <c r="BI33" s="654">
        <f>IF(VLOOKUP(AW33,坦克个性化设定!$B$18:$BB$48,MATCH("装弹类型",坦克个性化设定!$B$18:$BB$18,0),FALSE)="弹夹换弹",0,ROUND(VLOOKUP($AW33,$AD$3:$AJ$33,MATCH("换弹时间",$AD$3:$AJ$3,0),FALSE)-$AY33/VLOOKUP(VLOOKUP($AW33,坦克个性化设定!$B$18:$E$48,4,FALSE)&amp;$AX33,坦克属性分配比例,MATCH("升星次数",坦克属性分配比例标头,0),FALSE)*VLOOKUP($AW33,$AM$3:$AS$33,MATCH("换弹时间",$AM$3:$AS$3,0),FALSE),2))</f>
        <v>1.18</v>
      </c>
      <c r="BJ33" s="462">
        <f>IF(VLOOKUP(AW33,坦克个性化设定!$B$18:$BB$48,MATCH("装弹类型",坦克个性化设定!$B$18:$BB$18,0),FALSE)="弹夹换弹",ROUND(VLOOKUP($AW33,$AD$3:$AJ$33,MATCH("换弹时间",$AD$3:$AJ$3,0),FALSE)-$AY33/VLOOKUP(VLOOKUP($AW33,坦克个性化设定!$B$18:$E$48,4,FALSE)&amp;$AX33,坦克属性分配比例,MATCH("升星次数",坦克属性分配比例标头,0),FALSE)*VLOOKUP($AW33,$AM$3:$AS$33,MATCH("换弹时间",$AM$3:$AS$3,0),FALSE),1),0)</f>
        <v>0</v>
      </c>
      <c r="BK33" s="462">
        <f>ROUND(VLOOKUP($AW33,$AD$3:$AJ$33,MATCH(BK$3,$AD$3:$AJ$3,0),FALSE)+$AY33/VLOOKUP(VLOOKUP($AW33,坦克个性化设定!$B$18:$E$48,4,FALSE)&amp;$AX33,坦克属性分配比例,MATCH("升星次数",坦克属性分配比例标头,0),FALSE)*VLOOKUP($AW33,$AM$3:$AS$33,MATCH(BK$3,$AM$3:$AS$3,0),FALSE),2)</f>
        <v>0.4</v>
      </c>
      <c r="BL33" s="462">
        <f>ROUND(VLOOKUP($AW33,$AD$3:$AJ$33,MATCH(BL$3,$AD$3:$AJ$3,0),FALSE)-$AY33/VLOOKUP(VLOOKUP($AW33,坦克个性化设定!$B$18:$E$48,4,FALSE)&amp;$AX33,坦克属性分配比例,MATCH("升星次数",坦克属性分配比例标头,0),FALSE)*VLOOKUP($AW33,$AM$3:$AS$33,MATCH(BL$3,$AM$3:$AS$3,0),FALSE),2)</f>
        <v>0.85</v>
      </c>
      <c r="BN33" s="183">
        <v>30</v>
      </c>
      <c r="BO33" s="131" t="str">
        <f t="shared" si="11"/>
        <v>M1A2</v>
      </c>
      <c r="BP33" s="131" t="str">
        <f>VLOOKUP(BO33,坦克个性化设定!$B$18:$F$48,5,FALSE)</f>
        <v>重坦单发</v>
      </c>
      <c r="BQ33" s="177" t="str">
        <f>VLOOKUP(BO33,坦克个性化细分!$I$3:$J$33,2,FALSE)</f>
        <v>低</v>
      </c>
      <c r="BR33" s="96">
        <f ca="1">(VLOOKUP($BO33&amp;"最终",$O$3:$AA$63,MATCH(BR$3,$O$3:$AA$3,0),FALSE)-VLOOKUP($BO33&amp;"初始",$O$3:$AA$63,MATCH(BR$3,$O$3:$AA$3,0),FALSE))*VLOOKUP(VLOOKUP($BO33,坦克个性化设定!$B$18:$E$48,4,FALSE)&amp;$BQ33,坦克属性分配比例,MATCH("部件比例",坦克属性分配比例标头,0),FALSE)</f>
        <v>1198.8816684212259</v>
      </c>
      <c r="BS33" s="96">
        <f ca="1">(VLOOKUP($BO33&amp;"最终",$O$3:$AA$63,MATCH(BS$3,$O$3:$AA$3,0),FALSE)-VLOOKUP($BO33&amp;"初始",$O$3:$AA$63,MATCH(BS$3,$O$3:$AA$3,0),FALSE))*VLOOKUP(VLOOKUP($BO33,坦克个性化设定!$B$18:$E$48,4,FALSE)&amp;$BQ33,坦克属性分配比例,MATCH("部件比例",坦克属性分配比例标头,0),FALSE)</f>
        <v>223.65426635732894</v>
      </c>
      <c r="BT33" s="96">
        <f ca="1">(VLOOKUP($BO33&amp;"最终",$O$3:$AA$63,MATCH(BT$3,$O$3:$AA$3,0),FALSE)-VLOOKUP($BO33&amp;"初始",$O$3:$AA$63,MATCH(BT$3,$O$3:$AA$3,0),FALSE))*VLOOKUP(VLOOKUP($BO33,坦克个性化设定!$B$18:$E$48,4,FALSE)&amp;$BQ33,坦克属性分配比例,MATCH("部件比例",坦克属性分配比例标头,0),FALSE)*(1-$C$3)</f>
        <v>150.79999999999998</v>
      </c>
      <c r="BU33" s="96">
        <f ca="1">(VLOOKUP($BO33&amp;"最终",$O$3:$AA$63,MATCH(BU$3,$O$3:$AA$3,0),FALSE)-VLOOKUP($BO33&amp;"初始",$O$3:$AA$63,MATCH(BU$3,$O$3:$AA$3,0),FALSE))*VLOOKUP(VLOOKUP($BO33,坦克个性化设定!$B$18:$E$48,4,FALSE)&amp;$BQ33,坦克属性分配比例,MATCH("部件比例",坦克属性分配比例标头,0),FALSE)*(1-$C$3)</f>
        <v>120.79999999999998</v>
      </c>
      <c r="BV33" s="96">
        <f ca="1">(VLOOKUP($BO33&amp;"最终",$O$3:$AA$63,MATCH(BV$3,$O$3:$AA$3,0),FALSE)-VLOOKUP($BO33&amp;"初始",$O$3:$AA$63,MATCH(BV$3,$O$3:$AA$3,0),FALSE))*VLOOKUP(VLOOKUP($BO33,坦克个性化设定!$B$18:$E$48,4,FALSE)&amp;$BQ33,坦克属性分配比例,MATCH("部件比例",坦克属性分配比例标头,0),FALSE)</f>
        <v>503.99999999999989</v>
      </c>
    </row>
    <row r="34" spans="2:74" x14ac:dyDescent="0.35">
      <c r="B34" s="137">
        <v>29</v>
      </c>
      <c r="C34" s="176" t="str">
        <f>坦克个性化设定!B47</f>
        <v>T-32</v>
      </c>
      <c r="D34" s="84"/>
      <c r="E34" s="84"/>
      <c r="F34" s="84"/>
      <c r="G34" s="84"/>
      <c r="H34" s="84"/>
      <c r="I34" s="84"/>
      <c r="J34" s="84"/>
      <c r="K34" s="84"/>
      <c r="L34" s="84"/>
      <c r="M34" s="84"/>
      <c r="N34" s="84"/>
      <c r="O34" s="426" t="str">
        <f t="shared" si="5"/>
        <v>彗星初始</v>
      </c>
      <c r="P34" s="137">
        <f>IF(COUNTIF(Q$4:Q33,Q33)&gt;=$B$3,P33+1,P33)</f>
        <v>16</v>
      </c>
      <c r="Q34" s="131" t="str">
        <f t="shared" si="6"/>
        <v>彗星</v>
      </c>
      <c r="R34" s="131" t="str">
        <f>VLOOKUP(Q34,坦克个性化设定!$B$18:$F$48,5,FALSE)</f>
        <v>中坦单发</v>
      </c>
      <c r="S34" s="177" t="str">
        <f>VLOOKUP(Q34,坦克个性化细分!$I$3:$J$33,2,FALSE)</f>
        <v>高</v>
      </c>
      <c r="T34" s="137" t="str">
        <f t="shared" si="12"/>
        <v>初始</v>
      </c>
      <c r="U34" s="178" t="str">
        <f>VLOOKUP(VLOOKUP(Q34,坦克个性化设定!$B$18:$F$48,4,FALSE)&amp;S34,坦克等级成长!$P$12:$U$24,MATCH(T34,坦克等级成长!$P$12:$U$12,0),FALSE)</f>
        <v>T3高3</v>
      </c>
      <c r="V34" s="96">
        <f ca="1">VLOOKUP($U34,INDIRECT($R34&amp;"_阶段属性"),MATCH(V$3,属性标头_阶段属性,0),FALSE)*VLOOKUP($Q34,坦克个性化设定!$B$84:$D$114,2,FALSE)</f>
        <v>1433.8137571211576</v>
      </c>
      <c r="W34" s="96">
        <f ca="1">VLOOKUP($U34,INDIRECT($R34&amp;"_阶段属性"),MATCH(W$3,属性标头_阶段属性,0),FALSE)*VLOOKUP($Q34,坦克个性化设定!$B$84:$D$114,3,FALSE)</f>
        <v>249.23329571250213</v>
      </c>
      <c r="X34" s="131">
        <f t="shared" ref="X34:AA43" ca="1" si="15">VLOOKUP($U34,INDIRECT($R34&amp;"_阶段属性"),MATCH(X$3,属性标头_阶段属性,0),FALSE)</f>
        <v>532</v>
      </c>
      <c r="Y34" s="131">
        <f t="shared" ca="1" si="15"/>
        <v>399</v>
      </c>
      <c r="Z34" s="131">
        <f t="shared" ca="1" si="15"/>
        <v>583</v>
      </c>
      <c r="AA34" s="131">
        <f t="shared" ca="1" si="15"/>
        <v>143</v>
      </c>
      <c r="AU34" s="364" t="str">
        <f t="shared" si="9"/>
        <v>35(t)6</v>
      </c>
      <c r="AV34" s="183">
        <f>IF(AY33&gt;=VLOOKUP(VLOOKUP(AW33,坦克个性化设定!$B$18:$E$48,4,FALSE)&amp;AX33,坦克属性分配比例,MATCH("升星次数",坦克属性分配比例标头,0),FALSE),AV33+1,AV33)</f>
        <v>4</v>
      </c>
      <c r="AW34" s="131" t="str">
        <f t="shared" si="10"/>
        <v>35(t)</v>
      </c>
      <c r="AX34" s="177" t="str">
        <f>VLOOKUP(AW34,坦克个性化细分!$I$3:$J$33,2,FALSE)</f>
        <v>低</v>
      </c>
      <c r="AY34" s="183">
        <f t="shared" si="1"/>
        <v>6</v>
      </c>
      <c r="AZ34" s="486">
        <f ca="1">ROUND(VLOOKUP($AW34&amp;"初始",$O$3:$AA$63,MATCH(AZ$3,$O$3:$AA$3,0),FALSE)+((VLOOKUP($AW34&amp;"最终",$O$3:$AA$63,MATCH(AZ$3,$O$3:$AA$3,0),FALSE)*坦克个性化细分!$C$9-VLOOKUP($AW34&amp;"初始",$O$3:$AA$63,MATCH(AZ$3,$O$3:$AA$3,0),FALSE))-(VLOOKUP($AW34&amp;"最终",$O$3:$AA$63,MATCH(AZ$3,$O$3:$AA$3,0),FALSE)-VLOOKUP($AW34&amp;"初始",$O$3:$AA$63,MATCH(AZ$3,$O$3:$AA$3,0),FALSE))*VLOOKUP(VLOOKUP($AW34,坦克个性化设定!$B$18:$E$48,4,FALSE)&amp;$AX34,坦克属性分配比例,MATCH("部件比例",坦克属性分配比例标头,0),FALSE))*$AY34/VLOOKUP(VLOOKUP($AW34,坦克个性化设定!$B$18:$E$48,4,FALSE)&amp;$AX34,坦克属性分配比例,MATCH("升星次数",坦克属性分配比例标头,0),FALSE),0)</f>
        <v>1684</v>
      </c>
      <c r="BA34" s="426">
        <f ca="1">ROUND(VLOOKUP($AW34&amp;"初始",$O$3:$AA$63,MATCH(BA$3,$O$3:$AA$3,0),FALSE)+(VLOOKUP($AW34&amp;"最终",$O$3:$AA$63,MATCH(BA$3,$O$3:$AA$3,0),FALSE)-VLOOKUP($AW34&amp;"初始",$O$3:$AA$63,MATCH(BA$3,$O$3:$AA$3,0),FALSE))*$AY34/VLOOKUP(VLOOKUP($AW34,坦克个性化设定!$B$18:$E$48,4,FALSE)&amp;$AX34,坦克属性分配比例,MATCH("升星次数",坦克属性分配比例标头,0),FALSE)*VLOOKUP(VLOOKUP($AW34,坦克个性化设定!$B$18:$E$48,4,FALSE)&amp;$AX34,坦克属性分配比例,MATCH("升星比例",坦克属性分配比例标头,0),FALSE),0)</f>
        <v>93</v>
      </c>
      <c r="BB34" s="486">
        <f ca="1">ROUND(VLOOKUP($AW34&amp;"初始",$O$3:$AA$63,MATCH(BB$3,$O$3:$AA$3,0),FALSE)+(VLOOKUP($AW34&amp;"最终",$O$3:$AA$63,MATCH(BB$3,$O$3:$AA$3,0),FALSE)-VLOOKUP($AW34&amp;"初始",$O$3:$AA$63,MATCH(BB$3,$O$3:$AA$3,0),FALSE))*$AY34/VLOOKUP(VLOOKUP($AW34,坦克个性化设定!$B$18:$E$48,4,FALSE)&amp;$AX34,坦克属性分配比例,MATCH("升星次数",坦克属性分配比例标头,0),FALSE)*(VLOOKUP(VLOOKUP($AW34,坦克个性化设定!$B$18:$E$48,4,FALSE)&amp;$AX34,坦克属性分配比例,MATCH("升星比例",坦克属性分配比例标头,0),FALSE)+VLOOKUP(VLOOKUP($AW34,坦克个性化设定!$B$18:$E$48,4,FALSE)&amp;$AX34,坦克属性分配比例,MATCH("部件比例",坦克属性分配比例标头,0),FALSE)*$C$3),0)</f>
        <v>589</v>
      </c>
      <c r="BC34" s="486">
        <f ca="1">ROUND(VLOOKUP($AW34&amp;"初始",$O$3:$AA$63,MATCH(BC$3,$O$3:$AA$3,0),FALSE)+(VLOOKUP($AW34&amp;"最终",$O$3:$AA$63,MATCH(BC$3,$O$3:$AA$3,0),FALSE)-VLOOKUP($AW34&amp;"初始",$O$3:$AA$63,MATCH(BC$3,$O$3:$AA$3,0),FALSE))*$AY34/VLOOKUP(VLOOKUP($AW34,坦克个性化设定!$B$18:$E$48,4,FALSE)&amp;$AX34,坦克属性分配比例,MATCH("升星次数",坦克属性分配比例标头,0),FALSE)*(VLOOKUP(VLOOKUP($AW34,坦克个性化设定!$B$18:$E$48,4,FALSE)&amp;$AX34,坦克属性分配比例,MATCH("升星比例",坦克属性分配比例标头,0),FALSE)+VLOOKUP(VLOOKUP($AW34,坦克个性化设定!$B$18:$E$48,4,FALSE)&amp;$AX34,坦克属性分配比例,MATCH("部件比例",坦克属性分配比例标头,0),FALSE)*$C$3),0)</f>
        <v>412</v>
      </c>
      <c r="BD34" s="426">
        <f ca="1">ROUND(VLOOKUP($AW34&amp;"初始",$O$3:$AA$63,MATCH(BD$3,$O$3:$AA$3,0),FALSE)+(VLOOKUP($AW34&amp;"最终",$O$3:$AA$63,MATCH(BD$3,$O$3:$AA$3,0),FALSE)-VLOOKUP($AW34&amp;"初始",$O$3:$AA$63,MATCH(BD$3,$O$3:$AA$3,0),FALSE))*$AY34/VLOOKUP(VLOOKUP($AW34,坦克个性化设定!$B$18:$E$48,4,FALSE)&amp;$AX34,坦克属性分配比例,MATCH("升星次数",坦克属性分配比例标头,0),FALSE)*VLOOKUP(VLOOKUP($AW34,坦克个性化设定!$B$18:$E$48,4,FALSE)&amp;$AX34,坦克属性分配比例,MATCH("升星比例",坦克属性分配比例标头,0),FALSE),0)</f>
        <v>528</v>
      </c>
      <c r="BE34" s="426">
        <f ca="1">ROUND(VLOOKUP($AW34&amp;"初始",$O$3:$AA$63,MATCH(BE$3,$O$3:$AA$3,0),FALSE)+(VLOOKUP($AW34&amp;"最终",$O$3:$AA$63,MATCH(BE$3,$O$3:$AA$3,0),FALSE)-VLOOKUP($AW34&amp;"初始",$O$3:$AA$63,MATCH(BE$3,$O$3:$AA$3,0),FALSE))*$AY34/VLOOKUP(VLOOKUP($AW34,坦克个性化设定!$B$18:$E$48,4,FALSE)&amp;$AX34,坦克属性分配比例,MATCH("升星次数",坦克属性分配比例标头,0),FALSE),0)</f>
        <v>168</v>
      </c>
      <c r="BF34" s="462">
        <f>ROUND(VLOOKUP($AW34,$AD$3:$AJ$33,MATCH(BF$3,$AD$3:$AJ$3,0),FALSE)+$AY34/VLOOKUP(VLOOKUP($AW34,坦克个性化设定!$B$18:$E$48,4,FALSE)&amp;$AX34,坦克属性分配比例,MATCH("升星次数",坦克属性分配比例标头,0),FALSE)*VLOOKUP($AW34,$AM$3:$AS$33,MATCH(BF$3,$AM$3:$AS$3,0),FALSE),1)</f>
        <v>50.4</v>
      </c>
      <c r="BG34" s="462">
        <f>ROUND(VLOOKUP($AW34,$AD$3:$AJ$33,MATCH(BG$3,$AD$3:$AJ$3,0),FALSE)+$AY34/VLOOKUP(VLOOKUP($AW34,坦克个性化设定!$B$18:$E$48,4,FALSE)&amp;$AX34,坦克属性分配比例,MATCH("升星次数",坦克属性分配比例标头,0),FALSE)*VLOOKUP($AW34,$AM$3:$AS$33,MATCH(BG$3,$AM$3:$AS$3,0),FALSE),1)</f>
        <v>59.4</v>
      </c>
      <c r="BH34" s="462">
        <f>ROUND(VLOOKUP($AW34,$AD$3:$AJ$33,MATCH(BH$3,$AD$3:$AJ$3,0),FALSE)+$AY34/VLOOKUP(VLOOKUP($AW34,坦克个性化设定!$B$18:$E$48,4,FALSE)&amp;$AX34,坦克属性分配比例,MATCH("升星次数",坦克属性分配比例标头,0),FALSE)*VLOOKUP($AW34,$AM$3:$AS$33,MATCH(BH$3,$AM$3:$AS$3,0),FALSE),1)</f>
        <v>17.3</v>
      </c>
      <c r="BI34" s="654">
        <f>IF(VLOOKUP(AW34,坦克个性化设定!$B$18:$BB$48,MATCH("装弹类型",坦克个性化设定!$B$18:$BB$18,0),FALSE)="弹夹换弹",0,ROUND(VLOOKUP($AW34,$AD$3:$AJ$33,MATCH("换弹时间",$AD$3:$AJ$3,0),FALSE)-$AY34/VLOOKUP(VLOOKUP($AW34,坦克个性化设定!$B$18:$E$48,4,FALSE)&amp;$AX34,坦克属性分配比例,MATCH("升星次数",坦克属性分配比例标头,0),FALSE)*VLOOKUP($AW34,$AM$3:$AS$33,MATCH("换弹时间",$AM$3:$AS$3,0),FALSE),2))</f>
        <v>1.1299999999999999</v>
      </c>
      <c r="BJ34" s="462">
        <f>IF(VLOOKUP(AW34,坦克个性化设定!$B$18:$BB$48,MATCH("装弹类型",坦克个性化设定!$B$18:$BB$18,0),FALSE)="弹夹换弹",ROUND(VLOOKUP($AW34,$AD$3:$AJ$33,MATCH("换弹时间",$AD$3:$AJ$3,0),FALSE)-$AY34/VLOOKUP(VLOOKUP($AW34,坦克个性化设定!$B$18:$E$48,4,FALSE)&amp;$AX34,坦克属性分配比例,MATCH("升星次数",坦克属性分配比例标头,0),FALSE)*VLOOKUP($AW34,$AM$3:$AS$33,MATCH("换弹时间",$AM$3:$AS$3,0),FALSE),1),0)</f>
        <v>0</v>
      </c>
      <c r="BK34" s="462">
        <f>ROUND(VLOOKUP($AW34,$AD$3:$AJ$33,MATCH(BK$3,$AD$3:$AJ$3,0),FALSE)+$AY34/VLOOKUP(VLOOKUP($AW34,坦克个性化设定!$B$18:$E$48,4,FALSE)&amp;$AX34,坦克属性分配比例,MATCH("升星次数",坦克属性分配比例标头,0),FALSE)*VLOOKUP($AW34,$AM$3:$AS$33,MATCH(BK$3,$AM$3:$AS$3,0),FALSE),2)</f>
        <v>0.4</v>
      </c>
      <c r="BL34" s="462">
        <f>ROUND(VLOOKUP($AW34,$AD$3:$AJ$33,MATCH(BL$3,$AD$3:$AJ$3,0),FALSE)-$AY34/VLOOKUP(VLOOKUP($AW34,坦克个性化设定!$B$18:$E$48,4,FALSE)&amp;$AX34,坦克属性分配比例,MATCH("升星次数",坦克属性分配比例标头,0),FALSE)*VLOOKUP($AW34,$AM$3:$AS$33,MATCH(BL$3,$AM$3:$AS$3,0),FALSE),2)</f>
        <v>0.83</v>
      </c>
    </row>
    <row r="35" spans="2:74" x14ac:dyDescent="0.35">
      <c r="B35" s="137">
        <v>30</v>
      </c>
      <c r="C35" s="176" t="str">
        <f>坦克个性化设定!B48</f>
        <v>M1A2</v>
      </c>
      <c r="D35" s="84"/>
      <c r="E35" s="84"/>
      <c r="F35" s="84"/>
      <c r="G35" s="84"/>
      <c r="H35" s="84"/>
      <c r="I35" s="84"/>
      <c r="J35" s="84"/>
      <c r="K35" s="84"/>
      <c r="L35" s="84"/>
      <c r="M35" s="84"/>
      <c r="N35" s="84"/>
      <c r="O35" s="426" t="str">
        <f t="shared" si="5"/>
        <v>彗星最终</v>
      </c>
      <c r="P35" s="137">
        <f>IF(COUNTIF(Q$4:Q34,Q34)&gt;=$B$3,P34+1,P34)</f>
        <v>16</v>
      </c>
      <c r="Q35" s="131" t="str">
        <f t="shared" si="6"/>
        <v>彗星</v>
      </c>
      <c r="R35" s="131" t="str">
        <f>VLOOKUP(Q35,坦克个性化设定!$B$18:$F$48,5,FALSE)</f>
        <v>中坦单发</v>
      </c>
      <c r="S35" s="177" t="str">
        <f>VLOOKUP(Q35,坦克个性化细分!$I$3:$J$33,2,FALSE)</f>
        <v>高</v>
      </c>
      <c r="T35" s="137" t="str">
        <f t="shared" si="12"/>
        <v>最终</v>
      </c>
      <c r="U35" s="178" t="str">
        <f>VLOOKUP(VLOOKUP(Q35,坦克个性化设定!$B$18:$F$48,4,FALSE)&amp;S35,坦克等级成长!$P$12:$U$24,MATCH(T35,坦克等级成长!$P$12:$U$12,0),FALSE)</f>
        <v>T3高5</v>
      </c>
      <c r="V35" s="96">
        <f ca="1">VLOOKUP($U35,INDIRECT($R35&amp;"_阶段属性"),MATCH(V$3,属性标头_阶段属性,0),FALSE)*VLOOKUP($Q35,坦克个性化设定!$B$84:$D$114,2,FALSE)</f>
        <v>2850.5343628600854</v>
      </c>
      <c r="W35" s="96">
        <f ca="1">VLOOKUP($U35,INDIRECT($R35&amp;"_阶段属性"),MATCH(W$3,属性标头_阶段属性,0),FALSE)*VLOOKUP($Q35,坦克个性化设定!$B$84:$D$114,3,FALSE)</f>
        <v>495.35117522859798</v>
      </c>
      <c r="X35" s="131">
        <f t="shared" ca="1" si="15"/>
        <v>1058</v>
      </c>
      <c r="Y35" s="131">
        <f t="shared" ca="1" si="15"/>
        <v>794</v>
      </c>
      <c r="Z35" s="131">
        <f t="shared" ca="1" si="15"/>
        <v>1159</v>
      </c>
      <c r="AA35" s="131">
        <f t="shared" ca="1" si="15"/>
        <v>283</v>
      </c>
      <c r="AU35" s="364" t="str">
        <f t="shared" si="9"/>
        <v>35(t)7</v>
      </c>
      <c r="AV35" s="183">
        <f>IF(AY34&gt;=VLOOKUP(VLOOKUP(AW34,坦克个性化设定!$B$18:$E$48,4,FALSE)&amp;AX34,坦克属性分配比例,MATCH("升星次数",坦克属性分配比例标头,0),FALSE),AV34+1,AV34)</f>
        <v>4</v>
      </c>
      <c r="AW35" s="131" t="str">
        <f t="shared" si="10"/>
        <v>35(t)</v>
      </c>
      <c r="AX35" s="177" t="str">
        <f>VLOOKUP(AW35,坦克个性化细分!$I$3:$J$33,2,FALSE)</f>
        <v>低</v>
      </c>
      <c r="AY35" s="183">
        <f t="shared" si="1"/>
        <v>7</v>
      </c>
      <c r="AZ35" s="486">
        <f ca="1">ROUND(VLOOKUP($AW35&amp;"初始",$O$3:$AA$63,MATCH(AZ$3,$O$3:$AA$3,0),FALSE)+((VLOOKUP($AW35&amp;"最终",$O$3:$AA$63,MATCH(AZ$3,$O$3:$AA$3,0),FALSE)*坦克个性化细分!$C$9-VLOOKUP($AW35&amp;"初始",$O$3:$AA$63,MATCH(AZ$3,$O$3:$AA$3,0),FALSE))-(VLOOKUP($AW35&amp;"最终",$O$3:$AA$63,MATCH(AZ$3,$O$3:$AA$3,0),FALSE)-VLOOKUP($AW35&amp;"初始",$O$3:$AA$63,MATCH(AZ$3,$O$3:$AA$3,0),FALSE))*VLOOKUP(VLOOKUP($AW35,坦克个性化设定!$B$18:$E$48,4,FALSE)&amp;$AX35,坦克属性分配比例,MATCH("部件比例",坦克属性分配比例标头,0),FALSE))*$AY35/VLOOKUP(VLOOKUP($AW35,坦克个性化设定!$B$18:$E$48,4,FALSE)&amp;$AX35,坦克属性分配比例,MATCH("升星次数",坦克属性分配比例标头,0),FALSE),0)</f>
        <v>1780</v>
      </c>
      <c r="BA35" s="426">
        <f ca="1">ROUND(VLOOKUP($AW35&amp;"初始",$O$3:$AA$63,MATCH(BA$3,$O$3:$AA$3,0),FALSE)+(VLOOKUP($AW35&amp;"最终",$O$3:$AA$63,MATCH(BA$3,$O$3:$AA$3,0),FALSE)-VLOOKUP($AW35&amp;"初始",$O$3:$AA$63,MATCH(BA$3,$O$3:$AA$3,0),FALSE))*$AY35/VLOOKUP(VLOOKUP($AW35,坦克个性化设定!$B$18:$E$48,4,FALSE)&amp;$AX35,坦克属性分配比例,MATCH("升星次数",坦克属性分配比例标头,0),FALSE)*VLOOKUP(VLOOKUP($AW35,坦克个性化设定!$B$18:$E$48,4,FALSE)&amp;$AX35,坦克属性分配比例,MATCH("升星比例",坦克属性分配比例标头,0),FALSE),0)</f>
        <v>96</v>
      </c>
      <c r="BB35" s="486">
        <f ca="1">ROUND(VLOOKUP($AW35&amp;"初始",$O$3:$AA$63,MATCH(BB$3,$O$3:$AA$3,0),FALSE)+(VLOOKUP($AW35&amp;"最终",$O$3:$AA$63,MATCH(BB$3,$O$3:$AA$3,0),FALSE)-VLOOKUP($AW35&amp;"初始",$O$3:$AA$63,MATCH(BB$3,$O$3:$AA$3,0),FALSE))*$AY35/VLOOKUP(VLOOKUP($AW35,坦克个性化设定!$B$18:$E$48,4,FALSE)&amp;$AX35,坦克属性分配比例,MATCH("升星次数",坦克属性分配比例标头,0),FALSE)*(VLOOKUP(VLOOKUP($AW35,坦克个性化设定!$B$18:$E$48,4,FALSE)&amp;$AX35,坦克属性分配比例,MATCH("升星比例",坦克属性分配比例标头,0),FALSE)+VLOOKUP(VLOOKUP($AW35,坦克个性化设定!$B$18:$E$48,4,FALSE)&amp;$AX35,坦克属性分配比例,MATCH("部件比例",坦克属性分配比例标头,0),FALSE)*$C$3),0)</f>
        <v>612</v>
      </c>
      <c r="BC35" s="486">
        <f ca="1">ROUND(VLOOKUP($AW35&amp;"初始",$O$3:$AA$63,MATCH(BC$3,$O$3:$AA$3,0),FALSE)+(VLOOKUP($AW35&amp;"最终",$O$3:$AA$63,MATCH(BC$3,$O$3:$AA$3,0),FALSE)-VLOOKUP($AW35&amp;"初始",$O$3:$AA$63,MATCH(BC$3,$O$3:$AA$3,0),FALSE))*$AY35/VLOOKUP(VLOOKUP($AW35,坦克个性化设定!$B$18:$E$48,4,FALSE)&amp;$AX35,坦克属性分配比例,MATCH("升星次数",坦克属性分配比例标头,0),FALSE)*(VLOOKUP(VLOOKUP($AW35,坦克个性化设定!$B$18:$E$48,4,FALSE)&amp;$AX35,坦克属性分配比例,MATCH("升星比例",坦克属性分配比例标头,0),FALSE)+VLOOKUP(VLOOKUP($AW35,坦克个性化设定!$B$18:$E$48,4,FALSE)&amp;$AX35,坦克属性分配比例,MATCH("部件比例",坦克属性分配比例标头,0),FALSE)*$C$3),0)</f>
        <v>429</v>
      </c>
      <c r="BD35" s="426">
        <f ca="1">ROUND(VLOOKUP($AW35&amp;"初始",$O$3:$AA$63,MATCH(BD$3,$O$3:$AA$3,0),FALSE)+(VLOOKUP($AW35&amp;"最终",$O$3:$AA$63,MATCH(BD$3,$O$3:$AA$3,0),FALSE)-VLOOKUP($AW35&amp;"初始",$O$3:$AA$63,MATCH(BD$3,$O$3:$AA$3,0),FALSE))*$AY35/VLOOKUP(VLOOKUP($AW35,坦克个性化设定!$B$18:$E$48,4,FALSE)&amp;$AX35,坦克属性分配比例,MATCH("升星次数",坦克属性分配比例标头,0),FALSE)*VLOOKUP(VLOOKUP($AW35,坦克个性化设定!$B$18:$E$48,4,FALSE)&amp;$AX35,坦克属性分配比例,MATCH("升星比例",坦克属性分配比例标头,0),FALSE),0)</f>
        <v>541</v>
      </c>
      <c r="BE35" s="426">
        <f ca="1">ROUND(VLOOKUP($AW35&amp;"初始",$O$3:$AA$63,MATCH(BE$3,$O$3:$AA$3,0),FALSE)+(VLOOKUP($AW35&amp;"最终",$O$3:$AA$63,MATCH(BE$3,$O$3:$AA$3,0),FALSE)-VLOOKUP($AW35&amp;"初始",$O$3:$AA$63,MATCH(BE$3,$O$3:$AA$3,0),FALSE))*$AY35/VLOOKUP(VLOOKUP($AW35,坦克个性化设定!$B$18:$E$48,4,FALSE)&amp;$AX35,坦克属性分配比例,MATCH("升星次数",坦克属性分配比例标头,0),FALSE),0)</f>
        <v>176</v>
      </c>
      <c r="BF35" s="462">
        <f>ROUND(VLOOKUP($AW35,$AD$3:$AJ$33,MATCH(BF$3,$AD$3:$AJ$3,0),FALSE)+$AY35/VLOOKUP(VLOOKUP($AW35,坦克个性化设定!$B$18:$E$48,4,FALSE)&amp;$AX35,坦克属性分配比例,MATCH("升星次数",坦克属性分配比例标头,0),FALSE)*VLOOKUP($AW35,$AM$3:$AS$33,MATCH(BF$3,$AM$3:$AS$3,0),FALSE),1)</f>
        <v>51.7</v>
      </c>
      <c r="BG35" s="462">
        <f>ROUND(VLOOKUP($AW35,$AD$3:$AJ$33,MATCH(BG$3,$AD$3:$AJ$3,0),FALSE)+$AY35/VLOOKUP(VLOOKUP($AW35,坦克个性化设定!$B$18:$E$48,4,FALSE)&amp;$AX35,坦克属性分配比例,MATCH("升星次数",坦克属性分配比例标头,0),FALSE)*VLOOKUP($AW35,$AM$3:$AS$33,MATCH(BG$3,$AM$3:$AS$3,0),FALSE),1)</f>
        <v>60.9</v>
      </c>
      <c r="BH35" s="462">
        <f>ROUND(VLOOKUP($AW35,$AD$3:$AJ$33,MATCH(BH$3,$AD$3:$AJ$3,0),FALSE)+$AY35/VLOOKUP(VLOOKUP($AW35,坦克个性化设定!$B$18:$E$48,4,FALSE)&amp;$AX35,坦克属性分配比例,MATCH("升星次数",坦克属性分配比例标头,0),FALSE)*VLOOKUP($AW35,$AM$3:$AS$33,MATCH(BH$3,$AM$3:$AS$3,0),FALSE),1)</f>
        <v>17.899999999999999</v>
      </c>
      <c r="BI35" s="654">
        <f>IF(VLOOKUP(AW35,坦克个性化设定!$B$18:$BB$48,MATCH("装弹类型",坦克个性化设定!$B$18:$BB$18,0),FALSE)="弹夹换弹",0,ROUND(VLOOKUP($AW35,$AD$3:$AJ$33,MATCH("换弹时间",$AD$3:$AJ$3,0),FALSE)-$AY35/VLOOKUP(VLOOKUP($AW35,坦克个性化设定!$B$18:$E$48,4,FALSE)&amp;$AX35,坦克属性分配比例,MATCH("升星次数",坦克属性分配比例标头,0),FALSE)*VLOOKUP($AW35,$AM$3:$AS$33,MATCH("换弹时间",$AM$3:$AS$3,0),FALSE),2))</f>
        <v>1.0900000000000001</v>
      </c>
      <c r="BJ35" s="462">
        <f>IF(VLOOKUP(AW35,坦克个性化设定!$B$18:$BB$48,MATCH("装弹类型",坦克个性化设定!$B$18:$BB$18,0),FALSE)="弹夹换弹",ROUND(VLOOKUP($AW35,$AD$3:$AJ$33,MATCH("换弹时间",$AD$3:$AJ$3,0),FALSE)-$AY35/VLOOKUP(VLOOKUP($AW35,坦克个性化设定!$B$18:$E$48,4,FALSE)&amp;$AX35,坦克属性分配比例,MATCH("升星次数",坦克属性分配比例标头,0),FALSE)*VLOOKUP($AW35,$AM$3:$AS$33,MATCH("换弹时间",$AM$3:$AS$3,0),FALSE),1),0)</f>
        <v>0</v>
      </c>
      <c r="BK35" s="462">
        <f>ROUND(VLOOKUP($AW35,$AD$3:$AJ$33,MATCH(BK$3,$AD$3:$AJ$3,0),FALSE)+$AY35/VLOOKUP(VLOOKUP($AW35,坦克个性化设定!$B$18:$E$48,4,FALSE)&amp;$AX35,坦克属性分配比例,MATCH("升星次数",坦克属性分配比例标头,0),FALSE)*VLOOKUP($AW35,$AM$3:$AS$33,MATCH(BK$3,$AM$3:$AS$3,0),FALSE),2)</f>
        <v>0.4</v>
      </c>
      <c r="BL35" s="462">
        <f>ROUND(VLOOKUP($AW35,$AD$3:$AJ$33,MATCH(BL$3,$AD$3:$AJ$3,0),FALSE)-$AY35/VLOOKUP(VLOOKUP($AW35,坦克个性化设定!$B$18:$E$48,4,FALSE)&amp;$AX35,坦克属性分配比例,MATCH("升星次数",坦克属性分配比例标头,0),FALSE)*VLOOKUP($AW35,$AM$3:$AS$33,MATCH(BL$3,$AM$3:$AS$3,0),FALSE),2)</f>
        <v>0.81</v>
      </c>
    </row>
    <row r="36" spans="2:74" x14ac:dyDescent="0.35">
      <c r="O36" s="426" t="str">
        <f t="shared" si="5"/>
        <v>M-48初始</v>
      </c>
      <c r="P36" s="137">
        <f>IF(COUNTIF(Q$4:Q35,Q35)&gt;=$B$3,P35+1,P35)</f>
        <v>17</v>
      </c>
      <c r="Q36" s="131" t="str">
        <f t="shared" si="6"/>
        <v>M-48</v>
      </c>
      <c r="R36" s="131" t="str">
        <f>VLOOKUP(Q36,坦克个性化设定!$B$18:$F$48,5,FALSE)</f>
        <v>中坦弹夹</v>
      </c>
      <c r="S36" s="177" t="str">
        <f>VLOOKUP(Q36,坦克个性化细分!$I$3:$J$33,2,FALSE)</f>
        <v>低</v>
      </c>
      <c r="T36" s="137" t="str">
        <f t="shared" si="12"/>
        <v>初始</v>
      </c>
      <c r="U36" s="178" t="str">
        <f>VLOOKUP(VLOOKUP(Q36,坦克个性化设定!$B$18:$F$48,4,FALSE)&amp;S36,坦克等级成长!$P$12:$U$24,MATCH(T36,坦克等级成长!$P$12:$U$12,0),FALSE)</f>
        <v>T4低4</v>
      </c>
      <c r="V36" s="96">
        <f ca="1">VLOOKUP($U36,INDIRECT($R36&amp;"_阶段属性"),MATCH(V$3,属性标头_阶段属性,0),FALSE)*VLOOKUP($Q36,坦克个性化设定!$B$84:$D$114,2,FALSE)</f>
        <v>1794.9496082491694</v>
      </c>
      <c r="W36" s="96">
        <f ca="1">VLOOKUP($U36,INDIRECT($R36&amp;"_阶段属性"),MATCH(W$3,属性标头_阶段属性,0),FALSE)*VLOOKUP($Q36,坦克个性化设定!$B$84:$D$114,3,FALSE)</f>
        <v>104.43727731323445</v>
      </c>
      <c r="X36" s="131">
        <f t="shared" ca="1" si="15"/>
        <v>543</v>
      </c>
      <c r="Y36" s="131">
        <f t="shared" ca="1" si="15"/>
        <v>407</v>
      </c>
      <c r="Z36" s="131">
        <f t="shared" ca="1" si="15"/>
        <v>684</v>
      </c>
      <c r="AA36" s="131">
        <f t="shared" ca="1" si="15"/>
        <v>167</v>
      </c>
      <c r="AK36" s="288"/>
      <c r="AU36" s="364" t="str">
        <f t="shared" si="9"/>
        <v>35(t)8</v>
      </c>
      <c r="AV36" s="183">
        <f>IF(AY35&gt;=VLOOKUP(VLOOKUP(AW35,坦克个性化设定!$B$18:$E$48,4,FALSE)&amp;AX35,坦克属性分配比例,MATCH("升星次数",坦克属性分配比例标头,0),FALSE),AV35+1,AV35)</f>
        <v>4</v>
      </c>
      <c r="AW36" s="131" t="str">
        <f t="shared" si="10"/>
        <v>35(t)</v>
      </c>
      <c r="AX36" s="177" t="str">
        <f>VLOOKUP(AW36,坦克个性化细分!$I$3:$J$33,2,FALSE)</f>
        <v>低</v>
      </c>
      <c r="AY36" s="183">
        <f t="shared" si="1"/>
        <v>8</v>
      </c>
      <c r="AZ36" s="486">
        <f ca="1">ROUND(VLOOKUP($AW36&amp;"初始",$O$3:$AA$63,MATCH(AZ$3,$O$3:$AA$3,0),FALSE)+((VLOOKUP($AW36&amp;"最终",$O$3:$AA$63,MATCH(AZ$3,$O$3:$AA$3,0),FALSE)*坦克个性化细分!$C$9-VLOOKUP($AW36&amp;"初始",$O$3:$AA$63,MATCH(AZ$3,$O$3:$AA$3,0),FALSE))-(VLOOKUP($AW36&amp;"最终",$O$3:$AA$63,MATCH(AZ$3,$O$3:$AA$3,0),FALSE)-VLOOKUP($AW36&amp;"初始",$O$3:$AA$63,MATCH(AZ$3,$O$3:$AA$3,0),FALSE))*VLOOKUP(VLOOKUP($AW36,坦克个性化设定!$B$18:$E$48,4,FALSE)&amp;$AX36,坦克属性分配比例,MATCH("部件比例",坦克属性分配比例标头,0),FALSE))*$AY36/VLOOKUP(VLOOKUP($AW36,坦克个性化设定!$B$18:$E$48,4,FALSE)&amp;$AX36,坦克属性分配比例,MATCH("升星次数",坦克属性分配比例标头,0),FALSE),0)</f>
        <v>1876</v>
      </c>
      <c r="BA36" s="426">
        <f ca="1">ROUND(VLOOKUP($AW36&amp;"初始",$O$3:$AA$63,MATCH(BA$3,$O$3:$AA$3,0),FALSE)+(VLOOKUP($AW36&amp;"最终",$O$3:$AA$63,MATCH(BA$3,$O$3:$AA$3,0),FALSE)-VLOOKUP($AW36&amp;"初始",$O$3:$AA$63,MATCH(BA$3,$O$3:$AA$3,0),FALSE))*$AY36/VLOOKUP(VLOOKUP($AW36,坦克个性化设定!$B$18:$E$48,4,FALSE)&amp;$AX36,坦克属性分配比例,MATCH("升星次数",坦克属性分配比例标头,0),FALSE)*VLOOKUP(VLOOKUP($AW36,坦克个性化设定!$B$18:$E$48,4,FALSE)&amp;$AX36,坦克属性分配比例,MATCH("升星比例",坦克属性分配比例标头,0),FALSE),0)</f>
        <v>98</v>
      </c>
      <c r="BB36" s="486">
        <f ca="1">ROUND(VLOOKUP($AW36&amp;"初始",$O$3:$AA$63,MATCH(BB$3,$O$3:$AA$3,0),FALSE)+(VLOOKUP($AW36&amp;"最终",$O$3:$AA$63,MATCH(BB$3,$O$3:$AA$3,0),FALSE)-VLOOKUP($AW36&amp;"初始",$O$3:$AA$63,MATCH(BB$3,$O$3:$AA$3,0),FALSE))*$AY36/VLOOKUP(VLOOKUP($AW36,坦克个性化设定!$B$18:$E$48,4,FALSE)&amp;$AX36,坦克属性分配比例,MATCH("升星次数",坦克属性分配比例标头,0),FALSE)*(VLOOKUP(VLOOKUP($AW36,坦克个性化设定!$B$18:$E$48,4,FALSE)&amp;$AX36,坦克属性分配比例,MATCH("升星比例",坦克属性分配比例标头,0),FALSE)+VLOOKUP(VLOOKUP($AW36,坦克个性化设定!$B$18:$E$48,4,FALSE)&amp;$AX36,坦克属性分配比例,MATCH("部件比例",坦克属性分配比例标头,0),FALSE)*$C$3),0)</f>
        <v>636</v>
      </c>
      <c r="BC36" s="486">
        <f ca="1">ROUND(VLOOKUP($AW36&amp;"初始",$O$3:$AA$63,MATCH(BC$3,$O$3:$AA$3,0),FALSE)+(VLOOKUP($AW36&amp;"最终",$O$3:$AA$63,MATCH(BC$3,$O$3:$AA$3,0),FALSE)-VLOOKUP($AW36&amp;"初始",$O$3:$AA$63,MATCH(BC$3,$O$3:$AA$3,0),FALSE))*$AY36/VLOOKUP(VLOOKUP($AW36,坦克个性化设定!$B$18:$E$48,4,FALSE)&amp;$AX36,坦克属性分配比例,MATCH("升星次数",坦克属性分配比例标头,0),FALSE)*(VLOOKUP(VLOOKUP($AW36,坦克个性化设定!$B$18:$E$48,4,FALSE)&amp;$AX36,坦克属性分配比例,MATCH("升星比例",坦克属性分配比例标头,0),FALSE)+VLOOKUP(VLOOKUP($AW36,坦克个性化设定!$B$18:$E$48,4,FALSE)&amp;$AX36,坦克属性分配比例,MATCH("部件比例",坦克属性分配比例标头,0),FALSE)*$C$3),0)</f>
        <v>445</v>
      </c>
      <c r="BD36" s="426">
        <f ca="1">ROUND(VLOOKUP($AW36&amp;"初始",$O$3:$AA$63,MATCH(BD$3,$O$3:$AA$3,0),FALSE)+(VLOOKUP($AW36&amp;"最终",$O$3:$AA$63,MATCH(BD$3,$O$3:$AA$3,0),FALSE)-VLOOKUP($AW36&amp;"初始",$O$3:$AA$63,MATCH(BD$3,$O$3:$AA$3,0),FALSE))*$AY36/VLOOKUP(VLOOKUP($AW36,坦克个性化设定!$B$18:$E$48,4,FALSE)&amp;$AX36,坦克属性分配比例,MATCH("升星次数",坦克属性分配比例标头,0),FALSE)*VLOOKUP(VLOOKUP($AW36,坦克个性化设定!$B$18:$E$48,4,FALSE)&amp;$AX36,坦克属性分配比例,MATCH("升星比例",坦克属性分配比例标头,0),FALSE),0)</f>
        <v>554</v>
      </c>
      <c r="BE36" s="426">
        <f ca="1">ROUND(VLOOKUP($AW36&amp;"初始",$O$3:$AA$63,MATCH(BE$3,$O$3:$AA$3,0),FALSE)+(VLOOKUP($AW36&amp;"最终",$O$3:$AA$63,MATCH(BE$3,$O$3:$AA$3,0),FALSE)-VLOOKUP($AW36&amp;"初始",$O$3:$AA$63,MATCH(BE$3,$O$3:$AA$3,0),FALSE))*$AY36/VLOOKUP(VLOOKUP($AW36,坦克个性化设定!$B$18:$E$48,4,FALSE)&amp;$AX36,坦克属性分配比例,MATCH("升星次数",坦克属性分配比例标头,0),FALSE),0)</f>
        <v>184</v>
      </c>
      <c r="BF36" s="462">
        <f>ROUND(VLOOKUP($AW36,$AD$3:$AJ$33,MATCH(BF$3,$AD$3:$AJ$3,0),FALSE)+$AY36/VLOOKUP(VLOOKUP($AW36,坦克个性化设定!$B$18:$E$48,4,FALSE)&amp;$AX36,坦克属性分配比例,MATCH("升星次数",坦克属性分配比例标头,0),FALSE)*VLOOKUP($AW36,$AM$3:$AS$33,MATCH(BF$3,$AM$3:$AS$3,0),FALSE),1)</f>
        <v>53</v>
      </c>
      <c r="BG36" s="462">
        <f>ROUND(VLOOKUP($AW36,$AD$3:$AJ$33,MATCH(BG$3,$AD$3:$AJ$3,0),FALSE)+$AY36/VLOOKUP(VLOOKUP($AW36,坦克个性化设定!$B$18:$E$48,4,FALSE)&amp;$AX36,坦克属性分配比例,MATCH("升星次数",坦克属性分配比例标头,0),FALSE)*VLOOKUP($AW36,$AM$3:$AS$33,MATCH(BG$3,$AM$3:$AS$3,0),FALSE),1)</f>
        <v>62.5</v>
      </c>
      <c r="BH36" s="462">
        <f>ROUND(VLOOKUP($AW36,$AD$3:$AJ$33,MATCH(BH$3,$AD$3:$AJ$3,0),FALSE)+$AY36/VLOOKUP(VLOOKUP($AW36,坦克个性化设定!$B$18:$E$48,4,FALSE)&amp;$AX36,坦克属性分配比例,MATCH("升星次数",坦克属性分配比例标头,0),FALSE)*VLOOKUP($AW36,$AM$3:$AS$33,MATCH(BH$3,$AM$3:$AS$3,0),FALSE),1)</f>
        <v>18.399999999999999</v>
      </c>
      <c r="BI36" s="654">
        <f>IF(VLOOKUP(AW36,坦克个性化设定!$B$18:$BB$48,MATCH("装弹类型",坦克个性化设定!$B$18:$BB$18,0),FALSE)="弹夹换弹",0,ROUND(VLOOKUP($AW36,$AD$3:$AJ$33,MATCH("换弹时间",$AD$3:$AJ$3,0),FALSE)-$AY36/VLOOKUP(VLOOKUP($AW36,坦克个性化设定!$B$18:$E$48,4,FALSE)&amp;$AX36,坦克属性分配比例,MATCH("升星次数",坦克属性分配比例标头,0),FALSE)*VLOOKUP($AW36,$AM$3:$AS$33,MATCH("换弹时间",$AM$3:$AS$3,0),FALSE),2))</f>
        <v>1.04</v>
      </c>
      <c r="BJ36" s="462">
        <f>IF(VLOOKUP(AW36,坦克个性化设定!$B$18:$BB$48,MATCH("装弹类型",坦克个性化设定!$B$18:$BB$18,0),FALSE)="弹夹换弹",ROUND(VLOOKUP($AW36,$AD$3:$AJ$33,MATCH("换弹时间",$AD$3:$AJ$3,0),FALSE)-$AY36/VLOOKUP(VLOOKUP($AW36,坦克个性化设定!$B$18:$E$48,4,FALSE)&amp;$AX36,坦克属性分配比例,MATCH("升星次数",坦克属性分配比例标头,0),FALSE)*VLOOKUP($AW36,$AM$3:$AS$33,MATCH("换弹时间",$AM$3:$AS$3,0),FALSE),1),0)</f>
        <v>0</v>
      </c>
      <c r="BK36" s="462">
        <f>ROUND(VLOOKUP($AW36,$AD$3:$AJ$33,MATCH(BK$3,$AD$3:$AJ$3,0),FALSE)+$AY36/VLOOKUP(VLOOKUP($AW36,坦克个性化设定!$B$18:$E$48,4,FALSE)&amp;$AX36,坦克属性分配比例,MATCH("升星次数",坦克属性分配比例标头,0),FALSE)*VLOOKUP($AW36,$AM$3:$AS$33,MATCH(BK$3,$AM$3:$AS$3,0),FALSE),2)</f>
        <v>0.4</v>
      </c>
      <c r="BL36" s="462">
        <f>ROUND(VLOOKUP($AW36,$AD$3:$AJ$33,MATCH(BL$3,$AD$3:$AJ$3,0),FALSE)-$AY36/VLOOKUP(VLOOKUP($AW36,坦克个性化设定!$B$18:$E$48,4,FALSE)&amp;$AX36,坦克属性分配比例,MATCH("升星次数",坦克属性分配比例标头,0),FALSE)*VLOOKUP($AW36,$AM$3:$AS$33,MATCH(BL$3,$AM$3:$AS$3,0),FALSE),2)</f>
        <v>0.79</v>
      </c>
    </row>
    <row r="37" spans="2:74" x14ac:dyDescent="0.35">
      <c r="O37" s="426" t="str">
        <f t="shared" si="5"/>
        <v>M-48最终</v>
      </c>
      <c r="P37" s="137">
        <f>IF(COUNTIF(Q$4:Q36,Q36)&gt;=$B$3,P36+1,P36)</f>
        <v>17</v>
      </c>
      <c r="Q37" s="131" t="str">
        <f t="shared" si="6"/>
        <v>M-48</v>
      </c>
      <c r="R37" s="131" t="str">
        <f>VLOOKUP(Q37,坦克个性化设定!$B$18:$F$48,5,FALSE)</f>
        <v>中坦弹夹</v>
      </c>
      <c r="S37" s="177" t="str">
        <f>VLOOKUP(Q37,坦克个性化细分!$I$3:$J$33,2,FALSE)</f>
        <v>低</v>
      </c>
      <c r="T37" s="137" t="str">
        <f t="shared" si="12"/>
        <v>最终</v>
      </c>
      <c r="U37" s="178" t="str">
        <f>VLOOKUP(VLOOKUP(Q37,坦克个性化设定!$B$18:$F$48,4,FALSE)&amp;S37,坦克等级成长!$P$12:$U$24,MATCH(T37,坦克等级成长!$P$12:$U$12,0),FALSE)</f>
        <v>T4低5</v>
      </c>
      <c r="V37" s="96">
        <f ca="1">VLOOKUP($U37,INDIRECT($R37&amp;"_阶段属性"),MATCH(V$3,属性标头_阶段属性,0),FALSE)*VLOOKUP($Q37,坦克个性化设定!$B$84:$D$114,2,FALSE)</f>
        <v>2739.0952479737771</v>
      </c>
      <c r="W37" s="96">
        <f ca="1">VLOOKUP($U37,INDIRECT($R37&amp;"_阶段属性"),MATCH(W$3,属性标头_阶段属性,0),FALSE)*VLOOKUP($Q37,坦克个性化设定!$B$84:$D$114,3,FALSE)</f>
        <v>159.55695145077485</v>
      </c>
      <c r="X37" s="131">
        <f t="shared" ca="1" si="15"/>
        <v>829</v>
      </c>
      <c r="Y37" s="131">
        <f t="shared" ca="1" si="15"/>
        <v>621</v>
      </c>
      <c r="Z37" s="131">
        <f t="shared" ca="1" si="15"/>
        <v>1044</v>
      </c>
      <c r="AA37" s="131">
        <f t="shared" ca="1" si="15"/>
        <v>255</v>
      </c>
      <c r="AU37" s="364" t="str">
        <f t="shared" si="9"/>
        <v>十字军0</v>
      </c>
      <c r="AV37" s="183">
        <f>IF(AY36&gt;=VLOOKUP(VLOOKUP(AW36,坦克个性化设定!$B$18:$E$48,4,FALSE)&amp;AX36,坦克属性分配比例,MATCH("升星次数",坦克属性分配比例标头,0),FALSE),AV36+1,AV36)</f>
        <v>5</v>
      </c>
      <c r="AW37" s="131" t="str">
        <f t="shared" si="10"/>
        <v>十字军</v>
      </c>
      <c r="AX37" s="177" t="str">
        <f>VLOOKUP(AW37,坦克个性化细分!$I$3:$J$33,2,FALSE)</f>
        <v>中</v>
      </c>
      <c r="AY37" s="183">
        <f t="shared" si="1"/>
        <v>0</v>
      </c>
      <c r="AZ37" s="486">
        <f ca="1">ROUND(VLOOKUP($AW37&amp;"初始",$O$3:$AA$63,MATCH(AZ$3,$O$3:$AA$3,0),FALSE)+((VLOOKUP($AW37&amp;"最终",$O$3:$AA$63,MATCH(AZ$3,$O$3:$AA$3,0),FALSE)*坦克个性化细分!$C$9-VLOOKUP($AW37&amp;"初始",$O$3:$AA$63,MATCH(AZ$3,$O$3:$AA$3,0),FALSE))-(VLOOKUP($AW37&amp;"最终",$O$3:$AA$63,MATCH(AZ$3,$O$3:$AA$3,0),FALSE)-VLOOKUP($AW37&amp;"初始",$O$3:$AA$63,MATCH(AZ$3,$O$3:$AA$3,0),FALSE))*VLOOKUP(VLOOKUP($AW37,坦克个性化设定!$B$18:$E$48,4,FALSE)&amp;$AX37,坦克属性分配比例,MATCH("部件比例",坦克属性分配比例标头,0),FALSE))*$AY37/VLOOKUP(VLOOKUP($AW37,坦克个性化设定!$B$18:$E$48,4,FALSE)&amp;$AX37,坦克属性分配比例,MATCH("升星次数",坦克属性分配比例标头,0),FALSE),0)</f>
        <v>1268</v>
      </c>
      <c r="BA37" s="426">
        <f ca="1">ROUND(VLOOKUP($AW37&amp;"初始",$O$3:$AA$63,MATCH(BA$3,$O$3:$AA$3,0),FALSE)+(VLOOKUP($AW37&amp;"最终",$O$3:$AA$63,MATCH(BA$3,$O$3:$AA$3,0),FALSE)-VLOOKUP($AW37&amp;"初始",$O$3:$AA$63,MATCH(BA$3,$O$3:$AA$3,0),FALSE))*$AY37/VLOOKUP(VLOOKUP($AW37,坦克个性化设定!$B$18:$E$48,4,FALSE)&amp;$AX37,坦克属性分配比例,MATCH("升星次数",坦克属性分配比例标头,0),FALSE)*VLOOKUP(VLOOKUP($AW37,坦克个性化设定!$B$18:$E$48,4,FALSE)&amp;$AX37,坦克属性分配比例,MATCH("升星比例",坦克属性分配比例标头,0),FALSE),0)</f>
        <v>47</v>
      </c>
      <c r="BB37" s="486">
        <f ca="1">ROUND(VLOOKUP($AW37&amp;"初始",$O$3:$AA$63,MATCH(BB$3,$O$3:$AA$3,0),FALSE)+(VLOOKUP($AW37&amp;"最终",$O$3:$AA$63,MATCH(BB$3,$O$3:$AA$3,0),FALSE)-VLOOKUP($AW37&amp;"初始",$O$3:$AA$63,MATCH(BB$3,$O$3:$AA$3,0),FALSE))*$AY37/VLOOKUP(VLOOKUP($AW37,坦克个性化设定!$B$18:$E$48,4,FALSE)&amp;$AX37,坦克属性分配比例,MATCH("升星次数",坦克属性分配比例标头,0),FALSE)*(VLOOKUP(VLOOKUP($AW37,坦克个性化设定!$B$18:$E$48,4,FALSE)&amp;$AX37,坦克属性分配比例,MATCH("升星比例",坦克属性分配比例标头,0),FALSE)+VLOOKUP(VLOOKUP($AW37,坦克个性化设定!$B$18:$E$48,4,FALSE)&amp;$AX37,坦克属性分配比例,MATCH("部件比例",坦克属性分配比例标头,0),FALSE)*$C$3),0)</f>
        <v>508</v>
      </c>
      <c r="BC37" s="486">
        <f ca="1">ROUND(VLOOKUP($AW37&amp;"初始",$O$3:$AA$63,MATCH(BC$3,$O$3:$AA$3,0),FALSE)+(VLOOKUP($AW37&amp;"最终",$O$3:$AA$63,MATCH(BC$3,$O$3:$AA$3,0),FALSE)-VLOOKUP($AW37&amp;"初始",$O$3:$AA$63,MATCH(BC$3,$O$3:$AA$3,0),FALSE))*$AY37/VLOOKUP(VLOOKUP($AW37,坦克个性化设定!$B$18:$E$48,4,FALSE)&amp;$AX37,坦克属性分配比例,MATCH("升星次数",坦克属性分配比例标头,0),FALSE)*(VLOOKUP(VLOOKUP($AW37,坦克个性化设定!$B$18:$E$48,4,FALSE)&amp;$AX37,坦克属性分配比例,MATCH("升星比例",坦克属性分配比例标头,0),FALSE)+VLOOKUP(VLOOKUP($AW37,坦克个性化设定!$B$18:$E$48,4,FALSE)&amp;$AX37,坦克属性分配比例,MATCH("部件比例",坦克属性分配比例标头,0),FALSE)*$C$3),0)</f>
        <v>355</v>
      </c>
      <c r="BD37" s="426">
        <f ca="1">ROUND(VLOOKUP($AW37&amp;"初始",$O$3:$AA$63,MATCH(BD$3,$O$3:$AA$3,0),FALSE)+(VLOOKUP($AW37&amp;"最终",$O$3:$AA$63,MATCH(BD$3,$O$3:$AA$3,0),FALSE)-VLOOKUP($AW37&amp;"初始",$O$3:$AA$63,MATCH(BD$3,$O$3:$AA$3,0),FALSE))*$AY37/VLOOKUP(VLOOKUP($AW37,坦克个性化设定!$B$18:$E$48,4,FALSE)&amp;$AX37,坦克属性分配比例,MATCH("升星次数",坦克属性分配比例标头,0),FALSE)*VLOOKUP(VLOOKUP($AW37,坦克个性化设定!$B$18:$E$48,4,FALSE)&amp;$AX37,坦克属性分配比例,MATCH("升星比例",坦克属性分配比例标头,0),FALSE),0)</f>
        <v>464</v>
      </c>
      <c r="BE37" s="426">
        <f ca="1">ROUND(VLOOKUP($AW37&amp;"初始",$O$3:$AA$63,MATCH(BE$3,$O$3:$AA$3,0),FALSE)+(VLOOKUP($AW37&amp;"最终",$O$3:$AA$63,MATCH(BE$3,$O$3:$AA$3,0),FALSE)-VLOOKUP($AW37&amp;"初始",$O$3:$AA$63,MATCH(BE$3,$O$3:$AA$3,0),FALSE))*$AY37/VLOOKUP(VLOOKUP($AW37,坦克个性化设定!$B$18:$E$48,4,FALSE)&amp;$AX37,坦克属性分配比例,MATCH("升星次数",坦克属性分配比例标头,0),FALSE),0)</f>
        <v>124</v>
      </c>
      <c r="BF37" s="462">
        <f>ROUND(VLOOKUP($AW37,$AD$3:$AJ$33,MATCH(BF$3,$AD$3:$AJ$3,0),FALSE)+$AY37/VLOOKUP(VLOOKUP($AW37,坦克个性化设定!$B$18:$E$48,4,FALSE)&amp;$AX37,坦克属性分配比例,MATCH("升星次数",坦克属性分配比例标头,0),FALSE)*VLOOKUP($AW37,$AM$3:$AS$33,MATCH(BF$3,$AM$3:$AS$3,0),FALSE),1)</f>
        <v>48.1</v>
      </c>
      <c r="BG37" s="462">
        <f>ROUND(VLOOKUP($AW37,$AD$3:$AJ$33,MATCH(BG$3,$AD$3:$AJ$3,0),FALSE)+$AY37/VLOOKUP(VLOOKUP($AW37,坦克个性化设定!$B$18:$E$48,4,FALSE)&amp;$AX37,坦克属性分配比例,MATCH("升星次数",坦克属性分配比例标头,0),FALSE)*VLOOKUP($AW37,$AM$3:$AS$33,MATCH(BG$3,$AM$3:$AS$3,0),FALSE),1)</f>
        <v>45.9</v>
      </c>
      <c r="BH37" s="462">
        <f>ROUND(VLOOKUP($AW37,$AD$3:$AJ$33,MATCH(BH$3,$AD$3:$AJ$3,0),FALSE)+$AY37/VLOOKUP(VLOOKUP($AW37,坦克个性化设定!$B$18:$E$48,4,FALSE)&amp;$AX37,坦克属性分配比例,MATCH("升星次数",坦克属性分配比例标头,0),FALSE)*VLOOKUP($AW37,$AM$3:$AS$33,MATCH(BH$3,$AM$3:$AS$3,0),FALSE),1)</f>
        <v>14.9</v>
      </c>
      <c r="BI37" s="654">
        <f>IF(VLOOKUP(AW37,坦克个性化设定!$B$18:$BB$48,MATCH("装弹类型",坦克个性化设定!$B$18:$BB$18,0),FALSE)="弹夹换弹",0,ROUND(VLOOKUP($AW37,$AD$3:$AJ$33,MATCH("换弹时间",$AD$3:$AJ$3,0),FALSE)-$AY37/VLOOKUP(VLOOKUP($AW37,坦克个性化设定!$B$18:$E$48,4,FALSE)&amp;$AX37,坦克属性分配比例,MATCH("升星次数",坦克属性分配比例标头,0),FALSE)*VLOOKUP($AW37,$AM$3:$AS$33,MATCH("换弹时间",$AM$3:$AS$3,0),FALSE),2))</f>
        <v>0</v>
      </c>
      <c r="BJ37" s="462">
        <f>IF(VLOOKUP(AW37,坦克个性化设定!$B$18:$BB$48,MATCH("装弹类型",坦克个性化设定!$B$18:$BB$18,0),FALSE)="弹夹换弹",ROUND(VLOOKUP($AW37,$AD$3:$AJ$33,MATCH("换弹时间",$AD$3:$AJ$3,0),FALSE)-$AY37/VLOOKUP(VLOOKUP($AW37,坦克个性化设定!$B$18:$E$48,4,FALSE)&amp;$AX37,坦克属性分配比例,MATCH("升星次数",坦克属性分配比例标头,0),FALSE)*VLOOKUP($AW37,$AM$3:$AS$33,MATCH("换弹时间",$AM$3:$AS$3,0),FALSE),1),0)</f>
        <v>6.3</v>
      </c>
      <c r="BK37" s="462">
        <f>ROUND(VLOOKUP($AW37,$AD$3:$AJ$33,MATCH(BK$3,$AD$3:$AJ$3,0),FALSE)+$AY37/VLOOKUP(VLOOKUP($AW37,坦克个性化设定!$B$18:$E$48,4,FALSE)&amp;$AX37,坦克属性分配比例,MATCH("升星次数",坦克属性分配比例标头,0),FALSE)*VLOOKUP($AW37,$AM$3:$AS$33,MATCH(BK$3,$AM$3:$AS$3,0),FALSE),2)</f>
        <v>0.3</v>
      </c>
      <c r="BL37" s="462">
        <f>ROUND(VLOOKUP($AW37,$AD$3:$AJ$33,MATCH(BL$3,$AD$3:$AJ$3,0),FALSE)-$AY37/VLOOKUP(VLOOKUP($AW37,坦克个性化设定!$B$18:$E$48,4,FALSE)&amp;$AX37,坦克属性分配比例,MATCH("升星次数",坦克属性分配比例标头,0),FALSE)*VLOOKUP($AW37,$AM$3:$AS$33,MATCH(BL$3,$AM$3:$AS$3,0),FALSE),2)</f>
        <v>0.7</v>
      </c>
    </row>
    <row r="38" spans="2:74" x14ac:dyDescent="0.35">
      <c r="O38" s="426" t="str">
        <f t="shared" si="5"/>
        <v>潘兴初始</v>
      </c>
      <c r="P38" s="137">
        <f>IF(COUNTIF(Q$4:Q37,Q37)&gt;=$B$3,P37+1,P37)</f>
        <v>18</v>
      </c>
      <c r="Q38" s="131" t="str">
        <f t="shared" si="6"/>
        <v>潘兴</v>
      </c>
      <c r="R38" s="131" t="str">
        <f>VLOOKUP(Q38,坦克个性化设定!$B$18:$F$48,5,FALSE)</f>
        <v>中坦单发</v>
      </c>
      <c r="S38" s="177" t="str">
        <f>VLOOKUP(Q38,坦克个性化细分!$I$3:$J$33,2,FALSE)</f>
        <v>中</v>
      </c>
      <c r="T38" s="137" t="str">
        <f t="shared" si="12"/>
        <v>初始</v>
      </c>
      <c r="U38" s="178" t="str">
        <f>VLOOKUP(VLOOKUP(Q38,坦克个性化设定!$B$18:$F$48,4,FALSE)&amp;S38,坦克等级成长!$P$12:$U$24,MATCH(T38,坦克等级成长!$P$12:$U$12,0),FALSE)</f>
        <v>T4中4</v>
      </c>
      <c r="V38" s="96">
        <f ca="1">VLOOKUP($U38,INDIRECT($R38&amp;"_阶段属性"),MATCH(V$3,属性标头_阶段属性,0),FALSE)*VLOOKUP($Q38,坦克个性化设定!$B$84:$D$114,2,FALSE)</f>
        <v>1715.4957954410218</v>
      </c>
      <c r="W38" s="96">
        <f ca="1">VLOOKUP($U38,INDIRECT($R38&amp;"_阶段属性"),MATCH(W$3,属性标头_阶段属性,0),FALSE)*VLOOKUP($Q38,坦克个性化设定!$B$84:$D$114,3,FALSE)</f>
        <v>304.48470055029304</v>
      </c>
      <c r="X38" s="131">
        <f t="shared" ca="1" si="15"/>
        <v>644</v>
      </c>
      <c r="Y38" s="131">
        <f t="shared" ca="1" si="15"/>
        <v>483</v>
      </c>
      <c r="Z38" s="131">
        <f t="shared" ca="1" si="15"/>
        <v>706</v>
      </c>
      <c r="AA38" s="131">
        <f t="shared" ca="1" si="15"/>
        <v>173</v>
      </c>
      <c r="AU38" s="364" t="str">
        <f t="shared" si="9"/>
        <v>十字军1</v>
      </c>
      <c r="AV38" s="183">
        <f>IF(AY37&gt;=VLOOKUP(VLOOKUP(AW37,坦克个性化设定!$B$18:$E$48,4,FALSE)&amp;AX37,坦克属性分配比例,MATCH("升星次数",坦克属性分配比例标头,0),FALSE),AV37+1,AV37)</f>
        <v>5</v>
      </c>
      <c r="AW38" s="131" t="str">
        <f t="shared" si="10"/>
        <v>十字军</v>
      </c>
      <c r="AX38" s="177" t="str">
        <f>VLOOKUP(AW38,坦克个性化细分!$I$3:$J$33,2,FALSE)</f>
        <v>中</v>
      </c>
      <c r="AY38" s="183">
        <f t="shared" si="1"/>
        <v>1</v>
      </c>
      <c r="AZ38" s="486">
        <f ca="1">ROUND(VLOOKUP($AW38&amp;"初始",$O$3:$AA$63,MATCH(AZ$3,$O$3:$AA$3,0),FALSE)+((VLOOKUP($AW38&amp;"最终",$O$3:$AA$63,MATCH(AZ$3,$O$3:$AA$3,0),FALSE)*坦克个性化细分!$C$9-VLOOKUP($AW38&amp;"初始",$O$3:$AA$63,MATCH(AZ$3,$O$3:$AA$3,0),FALSE))-(VLOOKUP($AW38&amp;"最终",$O$3:$AA$63,MATCH(AZ$3,$O$3:$AA$3,0),FALSE)-VLOOKUP($AW38&amp;"初始",$O$3:$AA$63,MATCH(AZ$3,$O$3:$AA$3,0),FALSE))*VLOOKUP(VLOOKUP($AW38,坦克个性化设定!$B$18:$E$48,4,FALSE)&amp;$AX38,坦克属性分配比例,MATCH("部件比例",坦克属性分配比例标头,0),FALSE))*$AY38/VLOOKUP(VLOOKUP($AW38,坦克个性化设定!$B$18:$E$48,4,FALSE)&amp;$AX38,坦克属性分配比例,MATCH("升星次数",坦克属性分配比例标头,0),FALSE),0)</f>
        <v>1371</v>
      </c>
      <c r="BA38" s="426">
        <f ca="1">ROUND(VLOOKUP($AW38&amp;"初始",$O$3:$AA$63,MATCH(BA$3,$O$3:$AA$3,0),FALSE)+(VLOOKUP($AW38&amp;"最终",$O$3:$AA$63,MATCH(BA$3,$O$3:$AA$3,0),FALSE)-VLOOKUP($AW38&amp;"初始",$O$3:$AA$63,MATCH(BA$3,$O$3:$AA$3,0),FALSE))*$AY38/VLOOKUP(VLOOKUP($AW38,坦克个性化设定!$B$18:$E$48,4,FALSE)&amp;$AX38,坦克属性分配比例,MATCH("升星次数",坦克属性分配比例标头,0),FALSE)*VLOOKUP(VLOOKUP($AW38,坦克个性化设定!$B$18:$E$48,4,FALSE)&amp;$AX38,坦克属性分配比例,MATCH("升星比例",坦克属性分配比例标头,0),FALSE),0)</f>
        <v>49</v>
      </c>
      <c r="BB38" s="486">
        <f ca="1">ROUND(VLOOKUP($AW38&amp;"初始",$O$3:$AA$63,MATCH(BB$3,$O$3:$AA$3,0),FALSE)+(VLOOKUP($AW38&amp;"最终",$O$3:$AA$63,MATCH(BB$3,$O$3:$AA$3,0),FALSE)-VLOOKUP($AW38&amp;"初始",$O$3:$AA$63,MATCH(BB$3,$O$3:$AA$3,0),FALSE))*$AY38/VLOOKUP(VLOOKUP($AW38,坦克个性化设定!$B$18:$E$48,4,FALSE)&amp;$AX38,坦克属性分配比例,MATCH("升星次数",坦克属性分配比例标头,0),FALSE)*(VLOOKUP(VLOOKUP($AW38,坦克个性化设定!$B$18:$E$48,4,FALSE)&amp;$AX38,坦克属性分配比例,MATCH("升星比例",坦克属性分配比例标头,0),FALSE)+VLOOKUP(VLOOKUP($AW38,坦克个性化设定!$B$18:$E$48,4,FALSE)&amp;$AX38,坦克属性分配比例,MATCH("部件比例",坦克属性分配比例标头,0),FALSE)*$C$3),0)</f>
        <v>537</v>
      </c>
      <c r="BC38" s="486">
        <f ca="1">ROUND(VLOOKUP($AW38&amp;"初始",$O$3:$AA$63,MATCH(BC$3,$O$3:$AA$3,0),FALSE)+(VLOOKUP($AW38&amp;"最终",$O$3:$AA$63,MATCH(BC$3,$O$3:$AA$3,0),FALSE)-VLOOKUP($AW38&amp;"初始",$O$3:$AA$63,MATCH(BC$3,$O$3:$AA$3,0),FALSE))*$AY38/VLOOKUP(VLOOKUP($AW38,坦克个性化设定!$B$18:$E$48,4,FALSE)&amp;$AX38,坦克属性分配比例,MATCH("升星次数",坦克属性分配比例标头,0),FALSE)*(VLOOKUP(VLOOKUP($AW38,坦克个性化设定!$B$18:$E$48,4,FALSE)&amp;$AX38,坦克属性分配比例,MATCH("升星比例",坦克属性分配比例标头,0),FALSE)+VLOOKUP(VLOOKUP($AW38,坦克个性化设定!$B$18:$E$48,4,FALSE)&amp;$AX38,坦克属性分配比例,MATCH("部件比例",坦克属性分配比例标头,0),FALSE)*$C$3),0)</f>
        <v>375</v>
      </c>
      <c r="BD38" s="426">
        <f ca="1">ROUND(VLOOKUP($AW38&amp;"初始",$O$3:$AA$63,MATCH(BD$3,$O$3:$AA$3,0),FALSE)+(VLOOKUP($AW38&amp;"最终",$O$3:$AA$63,MATCH(BD$3,$O$3:$AA$3,0),FALSE)-VLOOKUP($AW38&amp;"初始",$O$3:$AA$63,MATCH(BD$3,$O$3:$AA$3,0),FALSE))*$AY38/VLOOKUP(VLOOKUP($AW38,坦克个性化设定!$B$18:$E$48,4,FALSE)&amp;$AX38,坦克属性分配比例,MATCH("升星次数",坦克属性分配比例标头,0),FALSE)*VLOOKUP(VLOOKUP($AW38,坦克个性化设定!$B$18:$E$48,4,FALSE)&amp;$AX38,坦克属性分配比例,MATCH("升星比例",坦克属性分配比例标头,0),FALSE),0)</f>
        <v>482</v>
      </c>
      <c r="BE38" s="426">
        <f ca="1">ROUND(VLOOKUP($AW38&amp;"初始",$O$3:$AA$63,MATCH(BE$3,$O$3:$AA$3,0),FALSE)+(VLOOKUP($AW38&amp;"最终",$O$3:$AA$63,MATCH(BE$3,$O$3:$AA$3,0),FALSE)-VLOOKUP($AW38&amp;"初始",$O$3:$AA$63,MATCH(BE$3,$O$3:$AA$3,0),FALSE))*$AY38/VLOOKUP(VLOOKUP($AW38,坦克个性化设定!$B$18:$E$48,4,FALSE)&amp;$AX38,坦克属性分配比例,MATCH("升星次数",坦克属性分配比例标头,0),FALSE),0)</f>
        <v>132</v>
      </c>
      <c r="BF38" s="462">
        <f>ROUND(VLOOKUP($AW38,$AD$3:$AJ$33,MATCH(BF$3,$AD$3:$AJ$3,0),FALSE)+$AY38/VLOOKUP(VLOOKUP($AW38,坦克个性化设定!$B$18:$E$48,4,FALSE)&amp;$AX38,坦克属性分配比例,MATCH("升星次数",坦克属性分配比例标头,0),FALSE)*VLOOKUP($AW38,$AM$3:$AS$33,MATCH(BF$3,$AM$3:$AS$3,0),FALSE),1)</f>
        <v>49</v>
      </c>
      <c r="BG38" s="462">
        <f>ROUND(VLOOKUP($AW38,$AD$3:$AJ$33,MATCH(BG$3,$AD$3:$AJ$3,0),FALSE)+$AY38/VLOOKUP(VLOOKUP($AW38,坦克个性化设定!$B$18:$E$48,4,FALSE)&amp;$AX38,坦克属性分配比例,MATCH("升星次数",坦克属性分配比例标头,0),FALSE)*VLOOKUP($AW38,$AM$3:$AS$33,MATCH(BG$3,$AM$3:$AS$3,0),FALSE),1)</f>
        <v>46.7</v>
      </c>
      <c r="BH38" s="462">
        <f>ROUND(VLOOKUP($AW38,$AD$3:$AJ$33,MATCH(BH$3,$AD$3:$AJ$3,0),FALSE)+$AY38/VLOOKUP(VLOOKUP($AW38,坦克个性化设定!$B$18:$E$48,4,FALSE)&amp;$AX38,坦克属性分配比例,MATCH("升星次数",坦克属性分配比例标头,0),FALSE)*VLOOKUP($AW38,$AM$3:$AS$33,MATCH(BH$3,$AM$3:$AS$3,0),FALSE),1)</f>
        <v>15.2</v>
      </c>
      <c r="BI38" s="654">
        <f>IF(VLOOKUP(AW38,坦克个性化设定!$B$18:$BB$48,MATCH("装弹类型",坦克个性化设定!$B$18:$BB$18,0),FALSE)="弹夹换弹",0,ROUND(VLOOKUP($AW38,$AD$3:$AJ$33,MATCH("换弹时间",$AD$3:$AJ$3,0),FALSE)-$AY38/VLOOKUP(VLOOKUP($AW38,坦克个性化设定!$B$18:$E$48,4,FALSE)&amp;$AX38,坦克属性分配比例,MATCH("升星次数",坦克属性分配比例标头,0),FALSE)*VLOOKUP($AW38,$AM$3:$AS$33,MATCH("换弹时间",$AM$3:$AS$3,0),FALSE),2))</f>
        <v>0</v>
      </c>
      <c r="BJ38" s="462">
        <f>IF(VLOOKUP(AW38,坦克个性化设定!$B$18:$BB$48,MATCH("装弹类型",坦克个性化设定!$B$18:$BB$18,0),FALSE)="弹夹换弹",ROUND(VLOOKUP($AW38,$AD$3:$AJ$33,MATCH("换弹时间",$AD$3:$AJ$3,0),FALSE)-$AY38/VLOOKUP(VLOOKUP($AW38,坦克个性化设定!$B$18:$E$48,4,FALSE)&amp;$AX38,坦克属性分配比例,MATCH("升星次数",坦克属性分配比例标头,0),FALSE)*VLOOKUP($AW38,$AM$3:$AS$33,MATCH("换弹时间",$AM$3:$AS$3,0),FALSE),1),0)</f>
        <v>6.1</v>
      </c>
      <c r="BK38" s="462">
        <f>ROUND(VLOOKUP($AW38,$AD$3:$AJ$33,MATCH(BK$3,$AD$3:$AJ$3,0),FALSE)+$AY38/VLOOKUP(VLOOKUP($AW38,坦克个性化设定!$B$18:$E$48,4,FALSE)&amp;$AX38,坦克属性分配比例,MATCH("升星次数",坦克属性分配比例标头,0),FALSE)*VLOOKUP($AW38,$AM$3:$AS$33,MATCH(BK$3,$AM$3:$AS$3,0),FALSE),2)</f>
        <v>0.3</v>
      </c>
      <c r="BL38" s="462">
        <f>ROUND(VLOOKUP($AW38,$AD$3:$AJ$33,MATCH(BL$3,$AD$3:$AJ$3,0),FALSE)-$AY38/VLOOKUP(VLOOKUP($AW38,坦克个性化设定!$B$18:$E$48,4,FALSE)&amp;$AX38,坦克属性分配比例,MATCH("升星次数",坦克属性分配比例标头,0),FALSE)*VLOOKUP($AW38,$AM$3:$AS$33,MATCH(BL$3,$AM$3:$AS$3,0),FALSE),2)</f>
        <v>0.69</v>
      </c>
    </row>
    <row r="39" spans="2:74" x14ac:dyDescent="0.35">
      <c r="O39" s="426" t="str">
        <f t="shared" si="5"/>
        <v>潘兴最终</v>
      </c>
      <c r="P39" s="137">
        <f>IF(COUNTIF(Q$4:Q38,Q38)&gt;=$B$3,P38+1,P38)</f>
        <v>18</v>
      </c>
      <c r="Q39" s="131" t="str">
        <f t="shared" si="6"/>
        <v>潘兴</v>
      </c>
      <c r="R39" s="131" t="str">
        <f>VLOOKUP(Q39,坦克个性化设定!$B$18:$F$48,5,FALSE)</f>
        <v>中坦单发</v>
      </c>
      <c r="S39" s="177" t="str">
        <f>VLOOKUP(Q39,坦克个性化细分!$I$3:$J$33,2,FALSE)</f>
        <v>中</v>
      </c>
      <c r="T39" s="137" t="str">
        <f t="shared" si="12"/>
        <v>最终</v>
      </c>
      <c r="U39" s="178" t="str">
        <f>VLOOKUP(VLOOKUP(Q39,坦克个性化设定!$B$18:$F$48,4,FALSE)&amp;S39,坦克等级成长!$P$12:$U$24,MATCH(T39,坦克等级成长!$P$12:$U$12,0),FALSE)</f>
        <v>T4中6</v>
      </c>
      <c r="V39" s="96">
        <f ca="1">VLOOKUP($U39,INDIRECT($R39&amp;"_阶段属性"),MATCH(V$3,属性标头_阶段属性,0),FALSE)*VLOOKUP($Q39,坦克个性化设定!$B$84:$D$114,2,FALSE)</f>
        <v>3282.8125337685874</v>
      </c>
      <c r="W39" s="96">
        <f ca="1">VLOOKUP($U39,INDIRECT($R39&amp;"_阶段属性"),MATCH(W$3,属性标头_阶段属性,0),FALSE)*VLOOKUP($Q39,坦克个性化设定!$B$84:$D$114,3,FALSE)</f>
        <v>583.77066726194118</v>
      </c>
      <c r="X39" s="131">
        <f t="shared" ca="1" si="15"/>
        <v>1232</v>
      </c>
      <c r="Y39" s="131">
        <f t="shared" ca="1" si="15"/>
        <v>924</v>
      </c>
      <c r="Z39" s="131">
        <f t="shared" ca="1" si="15"/>
        <v>1350</v>
      </c>
      <c r="AA39" s="131">
        <f t="shared" ca="1" si="15"/>
        <v>330</v>
      </c>
      <c r="AU39" s="364" t="str">
        <f t="shared" si="9"/>
        <v>十字军2</v>
      </c>
      <c r="AV39" s="183">
        <f>IF(AY38&gt;=VLOOKUP(VLOOKUP(AW38,坦克个性化设定!$B$18:$E$48,4,FALSE)&amp;AX38,坦克属性分配比例,MATCH("升星次数",坦克属性分配比例标头,0),FALSE),AV38+1,AV38)</f>
        <v>5</v>
      </c>
      <c r="AW39" s="131" t="str">
        <f t="shared" si="10"/>
        <v>十字军</v>
      </c>
      <c r="AX39" s="177" t="str">
        <f>VLOOKUP(AW39,坦克个性化细分!$I$3:$J$33,2,FALSE)</f>
        <v>中</v>
      </c>
      <c r="AY39" s="183">
        <f t="shared" si="1"/>
        <v>2</v>
      </c>
      <c r="AZ39" s="486">
        <f ca="1">ROUND(VLOOKUP($AW39&amp;"初始",$O$3:$AA$63,MATCH(AZ$3,$O$3:$AA$3,0),FALSE)+((VLOOKUP($AW39&amp;"最终",$O$3:$AA$63,MATCH(AZ$3,$O$3:$AA$3,0),FALSE)*坦克个性化细分!$C$9-VLOOKUP($AW39&amp;"初始",$O$3:$AA$63,MATCH(AZ$3,$O$3:$AA$3,0),FALSE))-(VLOOKUP($AW39&amp;"最终",$O$3:$AA$63,MATCH(AZ$3,$O$3:$AA$3,0),FALSE)-VLOOKUP($AW39&amp;"初始",$O$3:$AA$63,MATCH(AZ$3,$O$3:$AA$3,0),FALSE))*VLOOKUP(VLOOKUP($AW39,坦克个性化设定!$B$18:$E$48,4,FALSE)&amp;$AX39,坦克属性分配比例,MATCH("部件比例",坦克属性分配比例标头,0),FALSE))*$AY39/VLOOKUP(VLOOKUP($AW39,坦克个性化设定!$B$18:$E$48,4,FALSE)&amp;$AX39,坦克属性分配比例,MATCH("升星次数",坦克属性分配比例标头,0),FALSE),0)</f>
        <v>1474</v>
      </c>
      <c r="BA39" s="426">
        <f ca="1">ROUND(VLOOKUP($AW39&amp;"初始",$O$3:$AA$63,MATCH(BA$3,$O$3:$AA$3,0),FALSE)+(VLOOKUP($AW39&amp;"最终",$O$3:$AA$63,MATCH(BA$3,$O$3:$AA$3,0),FALSE)-VLOOKUP($AW39&amp;"初始",$O$3:$AA$63,MATCH(BA$3,$O$3:$AA$3,0),FALSE))*$AY39/VLOOKUP(VLOOKUP($AW39,坦克个性化设定!$B$18:$E$48,4,FALSE)&amp;$AX39,坦克属性分配比例,MATCH("升星次数",坦克属性分配比例标头,0),FALSE)*VLOOKUP(VLOOKUP($AW39,坦克个性化设定!$B$18:$E$48,4,FALSE)&amp;$AX39,坦克属性分配比例,MATCH("升星比例",坦克属性分配比例标头,0),FALSE),0)</f>
        <v>51</v>
      </c>
      <c r="BB39" s="486">
        <f ca="1">ROUND(VLOOKUP($AW39&amp;"初始",$O$3:$AA$63,MATCH(BB$3,$O$3:$AA$3,0),FALSE)+(VLOOKUP($AW39&amp;"最终",$O$3:$AA$63,MATCH(BB$3,$O$3:$AA$3,0),FALSE)-VLOOKUP($AW39&amp;"初始",$O$3:$AA$63,MATCH(BB$3,$O$3:$AA$3,0),FALSE))*$AY39/VLOOKUP(VLOOKUP($AW39,坦克个性化设定!$B$18:$E$48,4,FALSE)&amp;$AX39,坦克属性分配比例,MATCH("升星次数",坦克属性分配比例标头,0),FALSE)*(VLOOKUP(VLOOKUP($AW39,坦克个性化设定!$B$18:$E$48,4,FALSE)&amp;$AX39,坦克属性分配比例,MATCH("升星比例",坦克属性分配比例标头,0),FALSE)+VLOOKUP(VLOOKUP($AW39,坦克个性化设定!$B$18:$E$48,4,FALSE)&amp;$AX39,坦克属性分配比例,MATCH("部件比例",坦克属性分配比例标头,0),FALSE)*$C$3),0)</f>
        <v>565</v>
      </c>
      <c r="BC39" s="486">
        <f ca="1">ROUND(VLOOKUP($AW39&amp;"初始",$O$3:$AA$63,MATCH(BC$3,$O$3:$AA$3,0),FALSE)+(VLOOKUP($AW39&amp;"最终",$O$3:$AA$63,MATCH(BC$3,$O$3:$AA$3,0),FALSE)-VLOOKUP($AW39&amp;"初始",$O$3:$AA$63,MATCH(BC$3,$O$3:$AA$3,0),FALSE))*$AY39/VLOOKUP(VLOOKUP($AW39,坦克个性化设定!$B$18:$E$48,4,FALSE)&amp;$AX39,坦克属性分配比例,MATCH("升星次数",坦克属性分配比例标头,0),FALSE)*(VLOOKUP(VLOOKUP($AW39,坦克个性化设定!$B$18:$E$48,4,FALSE)&amp;$AX39,坦克属性分配比例,MATCH("升星比例",坦克属性分配比例标头,0),FALSE)+VLOOKUP(VLOOKUP($AW39,坦克个性化设定!$B$18:$E$48,4,FALSE)&amp;$AX39,坦克属性分配比例,MATCH("部件比例",坦克属性分配比例标头,0),FALSE)*$C$3),0)</f>
        <v>395</v>
      </c>
      <c r="BD39" s="426">
        <f ca="1">ROUND(VLOOKUP($AW39&amp;"初始",$O$3:$AA$63,MATCH(BD$3,$O$3:$AA$3,0),FALSE)+(VLOOKUP($AW39&amp;"最终",$O$3:$AA$63,MATCH(BD$3,$O$3:$AA$3,0),FALSE)-VLOOKUP($AW39&amp;"初始",$O$3:$AA$63,MATCH(BD$3,$O$3:$AA$3,0),FALSE))*$AY39/VLOOKUP(VLOOKUP($AW39,坦克个性化设定!$B$18:$E$48,4,FALSE)&amp;$AX39,坦克属性分配比例,MATCH("升星次数",坦克属性分配比例标头,0),FALSE)*VLOOKUP(VLOOKUP($AW39,坦克个性化设定!$B$18:$E$48,4,FALSE)&amp;$AX39,坦克属性分配比例,MATCH("升星比例",坦克属性分配比例标头,0),FALSE),0)</f>
        <v>500</v>
      </c>
      <c r="BE39" s="426">
        <f ca="1">ROUND(VLOOKUP($AW39&amp;"初始",$O$3:$AA$63,MATCH(BE$3,$O$3:$AA$3,0),FALSE)+(VLOOKUP($AW39&amp;"最终",$O$3:$AA$63,MATCH(BE$3,$O$3:$AA$3,0),FALSE)-VLOOKUP($AW39&amp;"初始",$O$3:$AA$63,MATCH(BE$3,$O$3:$AA$3,0),FALSE))*$AY39/VLOOKUP(VLOOKUP($AW39,坦克个性化设定!$B$18:$E$48,4,FALSE)&amp;$AX39,坦克属性分配比例,MATCH("升星次数",坦克属性分配比例标头,0),FALSE),0)</f>
        <v>141</v>
      </c>
      <c r="BF39" s="462">
        <f>ROUND(VLOOKUP($AW39,$AD$3:$AJ$33,MATCH(BF$3,$AD$3:$AJ$3,0),FALSE)+$AY39/VLOOKUP(VLOOKUP($AW39,坦克个性化设定!$B$18:$E$48,4,FALSE)&amp;$AX39,坦克属性分配比例,MATCH("升星次数",坦克属性分配比例标头,0),FALSE)*VLOOKUP($AW39,$AM$3:$AS$33,MATCH(BF$3,$AM$3:$AS$3,0),FALSE),1)</f>
        <v>49.8</v>
      </c>
      <c r="BG39" s="462">
        <f>ROUND(VLOOKUP($AW39,$AD$3:$AJ$33,MATCH(BG$3,$AD$3:$AJ$3,0),FALSE)+$AY39/VLOOKUP(VLOOKUP($AW39,坦克个性化设定!$B$18:$E$48,4,FALSE)&amp;$AX39,坦克属性分配比例,MATCH("升星次数",坦克属性分配比例标头,0),FALSE)*VLOOKUP($AW39,$AM$3:$AS$33,MATCH(BG$3,$AM$3:$AS$3,0),FALSE),1)</f>
        <v>47.5</v>
      </c>
      <c r="BH39" s="462">
        <f>ROUND(VLOOKUP($AW39,$AD$3:$AJ$33,MATCH(BH$3,$AD$3:$AJ$3,0),FALSE)+$AY39/VLOOKUP(VLOOKUP($AW39,坦克个性化设定!$B$18:$E$48,4,FALSE)&amp;$AX39,坦克属性分配比例,MATCH("升星次数",坦克属性分配比例标头,0),FALSE)*VLOOKUP($AW39,$AM$3:$AS$33,MATCH(BH$3,$AM$3:$AS$3,0),FALSE),1)</f>
        <v>15.6</v>
      </c>
      <c r="BI39" s="654">
        <f>IF(VLOOKUP(AW39,坦克个性化设定!$B$18:$BB$48,MATCH("装弹类型",坦克个性化设定!$B$18:$BB$18,0),FALSE)="弹夹换弹",0,ROUND(VLOOKUP($AW39,$AD$3:$AJ$33,MATCH("换弹时间",$AD$3:$AJ$3,0),FALSE)-$AY39/VLOOKUP(VLOOKUP($AW39,坦克个性化设定!$B$18:$E$48,4,FALSE)&amp;$AX39,坦克属性分配比例,MATCH("升星次数",坦克属性分配比例标头,0),FALSE)*VLOOKUP($AW39,$AM$3:$AS$33,MATCH("换弹时间",$AM$3:$AS$3,0),FALSE),2))</f>
        <v>0</v>
      </c>
      <c r="BJ39" s="462">
        <f>IF(VLOOKUP(AW39,坦克个性化设定!$B$18:$BB$48,MATCH("装弹类型",坦克个性化设定!$B$18:$BB$18,0),FALSE)="弹夹换弹",ROUND(VLOOKUP($AW39,$AD$3:$AJ$33,MATCH("换弹时间",$AD$3:$AJ$3,0),FALSE)-$AY39/VLOOKUP(VLOOKUP($AW39,坦克个性化设定!$B$18:$E$48,4,FALSE)&amp;$AX39,坦克属性分配比例,MATCH("升星次数",坦克属性分配比例标头,0),FALSE)*VLOOKUP($AW39,$AM$3:$AS$33,MATCH("换弹时间",$AM$3:$AS$3,0),FALSE),1),0)</f>
        <v>6</v>
      </c>
      <c r="BK39" s="462">
        <f>ROUND(VLOOKUP($AW39,$AD$3:$AJ$33,MATCH(BK$3,$AD$3:$AJ$3,0),FALSE)+$AY39/VLOOKUP(VLOOKUP($AW39,坦克个性化设定!$B$18:$E$48,4,FALSE)&amp;$AX39,坦克属性分配比例,MATCH("升星次数",坦克属性分配比例标头,0),FALSE)*VLOOKUP($AW39,$AM$3:$AS$33,MATCH(BK$3,$AM$3:$AS$3,0),FALSE),2)</f>
        <v>0.3</v>
      </c>
      <c r="BL39" s="462">
        <f>ROUND(VLOOKUP($AW39,$AD$3:$AJ$33,MATCH(BL$3,$AD$3:$AJ$3,0),FALSE)-$AY39/VLOOKUP(VLOOKUP($AW39,坦克个性化设定!$B$18:$E$48,4,FALSE)&amp;$AX39,坦克属性分配比例,MATCH("升星次数",坦克属性分配比例标头,0),FALSE)*VLOOKUP($AW39,$AM$3:$AS$33,MATCH(BL$3,$AM$3:$AS$3,0),FALSE),2)</f>
        <v>0.68</v>
      </c>
    </row>
    <row r="40" spans="2:74" x14ac:dyDescent="0.35">
      <c r="O40" s="426" t="str">
        <f t="shared" si="5"/>
        <v>百夫长初始</v>
      </c>
      <c r="P40" s="137">
        <f>IF(COUNTIF(Q$4:Q39,Q39)&gt;=$B$3,P39+1,P39)</f>
        <v>19</v>
      </c>
      <c r="Q40" s="131" t="str">
        <f t="shared" si="6"/>
        <v>百夫长</v>
      </c>
      <c r="R40" s="131" t="str">
        <f>VLOOKUP(Q40,坦克个性化设定!$B$18:$F$48,5,FALSE)</f>
        <v>中坦单发</v>
      </c>
      <c r="S40" s="177" t="str">
        <f>VLOOKUP(Q40,坦克个性化细分!$I$3:$J$33,2,FALSE)</f>
        <v>高</v>
      </c>
      <c r="T40" s="137" t="str">
        <f t="shared" si="12"/>
        <v>初始</v>
      </c>
      <c r="U40" s="178" t="str">
        <f>VLOOKUP(VLOOKUP(Q40,坦克个性化设定!$B$18:$F$48,4,FALSE)&amp;S40,坦克等级成长!$P$12:$U$24,MATCH(T40,坦克等级成长!$P$12:$U$12,0),FALSE)</f>
        <v>T4高4</v>
      </c>
      <c r="V40" s="96">
        <f ca="1">VLOOKUP($U40,INDIRECT($R40&amp;"_阶段属性"),MATCH(V$3,属性标头_阶段属性,0),FALSE)*VLOOKUP($Q40,坦克个性化设定!$B$84:$D$114,2,FALSE)</f>
        <v>2041.4228187712608</v>
      </c>
      <c r="W40" s="96">
        <f ca="1">VLOOKUP($U40,INDIRECT($R40&amp;"_阶段属性"),MATCH(W$3,属性标头_阶段属性,0),FALSE)*VLOOKUP($Q40,坦克个性化设定!$B$84:$D$114,3,FALSE)</f>
        <v>270.87235183000035</v>
      </c>
      <c r="X40" s="131">
        <f t="shared" ca="1" si="15"/>
        <v>677</v>
      </c>
      <c r="Y40" s="131">
        <f t="shared" ca="1" si="15"/>
        <v>508</v>
      </c>
      <c r="Z40" s="131">
        <f t="shared" ca="1" si="15"/>
        <v>742</v>
      </c>
      <c r="AA40" s="131">
        <f t="shared" ca="1" si="15"/>
        <v>181</v>
      </c>
      <c r="AU40" s="364" t="str">
        <f t="shared" si="9"/>
        <v>十字军3</v>
      </c>
      <c r="AV40" s="183">
        <f>IF(AY39&gt;=VLOOKUP(VLOOKUP(AW39,坦克个性化设定!$B$18:$E$48,4,FALSE)&amp;AX39,坦克属性分配比例,MATCH("升星次数",坦克属性分配比例标头,0),FALSE),AV39+1,AV39)</f>
        <v>5</v>
      </c>
      <c r="AW40" s="131" t="str">
        <f t="shared" si="10"/>
        <v>十字军</v>
      </c>
      <c r="AX40" s="177" t="str">
        <f>VLOOKUP(AW40,坦克个性化细分!$I$3:$J$33,2,FALSE)</f>
        <v>中</v>
      </c>
      <c r="AY40" s="183">
        <f t="shared" si="1"/>
        <v>3</v>
      </c>
      <c r="AZ40" s="486">
        <f ca="1">ROUND(VLOOKUP($AW40&amp;"初始",$O$3:$AA$63,MATCH(AZ$3,$O$3:$AA$3,0),FALSE)+((VLOOKUP($AW40&amp;"最终",$O$3:$AA$63,MATCH(AZ$3,$O$3:$AA$3,0),FALSE)*坦克个性化细分!$C$9-VLOOKUP($AW40&amp;"初始",$O$3:$AA$63,MATCH(AZ$3,$O$3:$AA$3,0),FALSE))-(VLOOKUP($AW40&amp;"最终",$O$3:$AA$63,MATCH(AZ$3,$O$3:$AA$3,0),FALSE)-VLOOKUP($AW40&amp;"初始",$O$3:$AA$63,MATCH(AZ$3,$O$3:$AA$3,0),FALSE))*VLOOKUP(VLOOKUP($AW40,坦克个性化设定!$B$18:$E$48,4,FALSE)&amp;$AX40,坦克属性分配比例,MATCH("部件比例",坦克属性分配比例标头,0),FALSE))*$AY40/VLOOKUP(VLOOKUP($AW40,坦克个性化设定!$B$18:$E$48,4,FALSE)&amp;$AX40,坦克属性分配比例,MATCH("升星次数",坦克属性分配比例标头,0),FALSE),0)</f>
        <v>1577</v>
      </c>
      <c r="BA40" s="426">
        <f ca="1">ROUND(VLOOKUP($AW40&amp;"初始",$O$3:$AA$63,MATCH(BA$3,$O$3:$AA$3,0),FALSE)+(VLOOKUP($AW40&amp;"最终",$O$3:$AA$63,MATCH(BA$3,$O$3:$AA$3,0),FALSE)-VLOOKUP($AW40&amp;"初始",$O$3:$AA$63,MATCH(BA$3,$O$3:$AA$3,0),FALSE))*$AY40/VLOOKUP(VLOOKUP($AW40,坦克个性化设定!$B$18:$E$48,4,FALSE)&amp;$AX40,坦克属性分配比例,MATCH("升星次数",坦克属性分配比例标头,0),FALSE)*VLOOKUP(VLOOKUP($AW40,坦克个性化设定!$B$18:$E$48,4,FALSE)&amp;$AX40,坦克属性分配比例,MATCH("升星比例",坦克属性分配比例标头,0),FALSE),0)</f>
        <v>53</v>
      </c>
      <c r="BB40" s="486">
        <f ca="1">ROUND(VLOOKUP($AW40&amp;"初始",$O$3:$AA$63,MATCH(BB$3,$O$3:$AA$3,0),FALSE)+(VLOOKUP($AW40&amp;"最终",$O$3:$AA$63,MATCH(BB$3,$O$3:$AA$3,0),FALSE)-VLOOKUP($AW40&amp;"初始",$O$3:$AA$63,MATCH(BB$3,$O$3:$AA$3,0),FALSE))*$AY40/VLOOKUP(VLOOKUP($AW40,坦克个性化设定!$B$18:$E$48,4,FALSE)&amp;$AX40,坦克属性分配比例,MATCH("升星次数",坦克属性分配比例标头,0),FALSE)*(VLOOKUP(VLOOKUP($AW40,坦克个性化设定!$B$18:$E$48,4,FALSE)&amp;$AX40,坦克属性分配比例,MATCH("升星比例",坦克属性分配比例标头,0),FALSE)+VLOOKUP(VLOOKUP($AW40,坦克个性化设定!$B$18:$E$48,4,FALSE)&amp;$AX40,坦克属性分配比例,MATCH("部件比例",坦克属性分配比例标头,0),FALSE)*$C$3),0)</f>
        <v>594</v>
      </c>
      <c r="BC40" s="486">
        <f ca="1">ROUND(VLOOKUP($AW40&amp;"初始",$O$3:$AA$63,MATCH(BC$3,$O$3:$AA$3,0),FALSE)+(VLOOKUP($AW40&amp;"最终",$O$3:$AA$63,MATCH(BC$3,$O$3:$AA$3,0),FALSE)-VLOOKUP($AW40&amp;"初始",$O$3:$AA$63,MATCH(BC$3,$O$3:$AA$3,0),FALSE))*$AY40/VLOOKUP(VLOOKUP($AW40,坦克个性化设定!$B$18:$E$48,4,FALSE)&amp;$AX40,坦克属性分配比例,MATCH("升星次数",坦克属性分配比例标头,0),FALSE)*(VLOOKUP(VLOOKUP($AW40,坦克个性化设定!$B$18:$E$48,4,FALSE)&amp;$AX40,坦克属性分配比例,MATCH("升星比例",坦克属性分配比例标头,0),FALSE)+VLOOKUP(VLOOKUP($AW40,坦克个性化设定!$B$18:$E$48,4,FALSE)&amp;$AX40,坦克属性分配比例,MATCH("部件比例",坦克属性分配比例标头,0),FALSE)*$C$3),0)</f>
        <v>416</v>
      </c>
      <c r="BD40" s="426">
        <f ca="1">ROUND(VLOOKUP($AW40&amp;"初始",$O$3:$AA$63,MATCH(BD$3,$O$3:$AA$3,0),FALSE)+(VLOOKUP($AW40&amp;"最终",$O$3:$AA$63,MATCH(BD$3,$O$3:$AA$3,0),FALSE)-VLOOKUP($AW40&amp;"初始",$O$3:$AA$63,MATCH(BD$3,$O$3:$AA$3,0),FALSE))*$AY40/VLOOKUP(VLOOKUP($AW40,坦克个性化设定!$B$18:$E$48,4,FALSE)&amp;$AX40,坦克属性分配比例,MATCH("升星次数",坦克属性分配比例标头,0),FALSE)*VLOOKUP(VLOOKUP($AW40,坦克个性化设定!$B$18:$E$48,4,FALSE)&amp;$AX40,坦克属性分配比例,MATCH("升星比例",坦克属性分配比例标头,0),FALSE),0)</f>
        <v>519</v>
      </c>
      <c r="BE40" s="426">
        <f ca="1">ROUND(VLOOKUP($AW40&amp;"初始",$O$3:$AA$63,MATCH(BE$3,$O$3:$AA$3,0),FALSE)+(VLOOKUP($AW40&amp;"最终",$O$3:$AA$63,MATCH(BE$3,$O$3:$AA$3,0),FALSE)-VLOOKUP($AW40&amp;"初始",$O$3:$AA$63,MATCH(BE$3,$O$3:$AA$3,0),FALSE))*$AY40/VLOOKUP(VLOOKUP($AW40,坦克个性化设定!$B$18:$E$48,4,FALSE)&amp;$AX40,坦克属性分配比例,MATCH("升星次数",坦克属性分配比例标头,0),FALSE),0)</f>
        <v>149</v>
      </c>
      <c r="BF40" s="462">
        <f>ROUND(VLOOKUP($AW40,$AD$3:$AJ$33,MATCH(BF$3,$AD$3:$AJ$3,0),FALSE)+$AY40/VLOOKUP(VLOOKUP($AW40,坦克个性化设定!$B$18:$E$48,4,FALSE)&amp;$AX40,坦克属性分配比例,MATCH("升星次数",坦克属性分配比例标头,0),FALSE)*VLOOKUP($AW40,$AM$3:$AS$33,MATCH(BF$3,$AM$3:$AS$3,0),FALSE),1)</f>
        <v>50.7</v>
      </c>
      <c r="BG40" s="462">
        <f>ROUND(VLOOKUP($AW40,$AD$3:$AJ$33,MATCH(BG$3,$AD$3:$AJ$3,0),FALSE)+$AY40/VLOOKUP(VLOOKUP($AW40,坦克个性化设定!$B$18:$E$48,4,FALSE)&amp;$AX40,坦克属性分配比例,MATCH("升星次数",坦克属性分配比例标头,0),FALSE)*VLOOKUP($AW40,$AM$3:$AS$33,MATCH(BG$3,$AM$3:$AS$3,0),FALSE),1)</f>
        <v>48.4</v>
      </c>
      <c r="BH40" s="462">
        <f>ROUND(VLOOKUP($AW40,$AD$3:$AJ$33,MATCH(BH$3,$AD$3:$AJ$3,0),FALSE)+$AY40/VLOOKUP(VLOOKUP($AW40,坦克个性化设定!$B$18:$E$48,4,FALSE)&amp;$AX40,坦克属性分配比例,MATCH("升星次数",坦克属性分配比例标头,0),FALSE)*VLOOKUP($AW40,$AM$3:$AS$33,MATCH(BH$3,$AM$3:$AS$3,0),FALSE),1)</f>
        <v>15.9</v>
      </c>
      <c r="BI40" s="654">
        <f>IF(VLOOKUP(AW40,坦克个性化设定!$B$18:$BB$48,MATCH("装弹类型",坦克个性化设定!$B$18:$BB$18,0),FALSE)="弹夹换弹",0,ROUND(VLOOKUP($AW40,$AD$3:$AJ$33,MATCH("换弹时间",$AD$3:$AJ$3,0),FALSE)-$AY40/VLOOKUP(VLOOKUP($AW40,坦克个性化设定!$B$18:$E$48,4,FALSE)&amp;$AX40,坦克属性分配比例,MATCH("升星次数",坦克属性分配比例标头,0),FALSE)*VLOOKUP($AW40,$AM$3:$AS$33,MATCH("换弹时间",$AM$3:$AS$3,0),FALSE),2))</f>
        <v>0</v>
      </c>
      <c r="BJ40" s="462">
        <f>IF(VLOOKUP(AW40,坦克个性化设定!$B$18:$BB$48,MATCH("装弹类型",坦克个性化设定!$B$18:$BB$18,0),FALSE)="弹夹换弹",ROUND(VLOOKUP($AW40,$AD$3:$AJ$33,MATCH("换弹时间",$AD$3:$AJ$3,0),FALSE)-$AY40/VLOOKUP(VLOOKUP($AW40,坦克个性化设定!$B$18:$E$48,4,FALSE)&amp;$AX40,坦克属性分配比例,MATCH("升星次数",坦克属性分配比例标头,0),FALSE)*VLOOKUP($AW40,$AM$3:$AS$33,MATCH("换弹时间",$AM$3:$AS$3,0),FALSE),1),0)</f>
        <v>5.8</v>
      </c>
      <c r="BK40" s="462">
        <f>ROUND(VLOOKUP($AW40,$AD$3:$AJ$33,MATCH(BK$3,$AD$3:$AJ$3,0),FALSE)+$AY40/VLOOKUP(VLOOKUP($AW40,坦克个性化设定!$B$18:$E$48,4,FALSE)&amp;$AX40,坦克属性分配比例,MATCH("升星次数",坦克属性分配比例标头,0),FALSE)*VLOOKUP($AW40,$AM$3:$AS$33,MATCH(BK$3,$AM$3:$AS$3,0),FALSE),2)</f>
        <v>0.3</v>
      </c>
      <c r="BL40" s="462">
        <f>ROUND(VLOOKUP($AW40,$AD$3:$AJ$33,MATCH(BL$3,$AD$3:$AJ$3,0),FALSE)-$AY40/VLOOKUP(VLOOKUP($AW40,坦克个性化设定!$B$18:$E$48,4,FALSE)&amp;$AX40,坦克属性分配比例,MATCH("升星次数",坦克属性分配比例标头,0),FALSE)*VLOOKUP($AW40,$AM$3:$AS$33,MATCH(BL$3,$AM$3:$AS$3,0),FALSE),2)</f>
        <v>0.68</v>
      </c>
    </row>
    <row r="41" spans="2:74" x14ac:dyDescent="0.35">
      <c r="O41" s="426" t="str">
        <f t="shared" si="5"/>
        <v>百夫长最终</v>
      </c>
      <c r="P41" s="137">
        <f>IF(COUNTIF(Q$4:Q40,Q40)&gt;=$B$3,P40+1,P40)</f>
        <v>19</v>
      </c>
      <c r="Q41" s="131" t="str">
        <f t="shared" si="6"/>
        <v>百夫长</v>
      </c>
      <c r="R41" s="131" t="str">
        <f>VLOOKUP(Q41,坦克个性化设定!$B$18:$F$48,5,FALSE)</f>
        <v>中坦单发</v>
      </c>
      <c r="S41" s="177" t="str">
        <f>VLOOKUP(Q41,坦克个性化细分!$I$3:$J$33,2,FALSE)</f>
        <v>高</v>
      </c>
      <c r="T41" s="137" t="str">
        <f t="shared" si="12"/>
        <v>最终</v>
      </c>
      <c r="U41" s="178" t="str">
        <f>VLOOKUP(VLOOKUP(Q41,坦克个性化设定!$B$18:$F$48,4,FALSE)&amp;S41,坦克等级成长!$P$12:$U$24,MATCH(T41,坦克等级成长!$P$12:$U$12,0),FALSE)</f>
        <v>T4高6</v>
      </c>
      <c r="V41" s="96">
        <f ca="1">VLOOKUP($U41,INDIRECT($R41&amp;"_阶段属性"),MATCH(V$3,属性标头_阶段属性,0),FALSE)*VLOOKUP($Q41,坦克个性化设定!$B$84:$D$114,2,FALSE)</f>
        <v>3964.616516764263</v>
      </c>
      <c r="W41" s="96">
        <f ca="1">VLOOKUP($U41,INDIRECT($R41&amp;"_阶段属性"),MATCH(W$3,属性标头_阶段属性,0),FALSE)*VLOOKUP($Q41,坦克个性化设定!$B$84:$D$114,3,FALSE)</f>
        <v>526.64690044324664</v>
      </c>
      <c r="X41" s="131">
        <f t="shared" ca="1" si="15"/>
        <v>1314</v>
      </c>
      <c r="Y41" s="131">
        <f t="shared" ca="1" si="15"/>
        <v>986</v>
      </c>
      <c r="Z41" s="131">
        <f t="shared" ca="1" si="15"/>
        <v>1440</v>
      </c>
      <c r="AA41" s="131">
        <f t="shared" ca="1" si="15"/>
        <v>352</v>
      </c>
      <c r="AU41" s="364" t="str">
        <f t="shared" si="9"/>
        <v>十字军4</v>
      </c>
      <c r="AV41" s="183">
        <f>IF(AY40&gt;=VLOOKUP(VLOOKUP(AW40,坦克个性化设定!$B$18:$E$48,4,FALSE)&amp;AX40,坦克属性分配比例,MATCH("升星次数",坦克属性分配比例标头,0),FALSE),AV40+1,AV40)</f>
        <v>5</v>
      </c>
      <c r="AW41" s="131" t="str">
        <f t="shared" si="10"/>
        <v>十字军</v>
      </c>
      <c r="AX41" s="177" t="str">
        <f>VLOOKUP(AW41,坦克个性化细分!$I$3:$J$33,2,FALSE)</f>
        <v>中</v>
      </c>
      <c r="AY41" s="183">
        <f t="shared" si="1"/>
        <v>4</v>
      </c>
      <c r="AZ41" s="486">
        <f ca="1">ROUND(VLOOKUP($AW41&amp;"初始",$O$3:$AA$63,MATCH(AZ$3,$O$3:$AA$3,0),FALSE)+((VLOOKUP($AW41&amp;"最终",$O$3:$AA$63,MATCH(AZ$3,$O$3:$AA$3,0),FALSE)*坦克个性化细分!$C$9-VLOOKUP($AW41&amp;"初始",$O$3:$AA$63,MATCH(AZ$3,$O$3:$AA$3,0),FALSE))-(VLOOKUP($AW41&amp;"最终",$O$3:$AA$63,MATCH(AZ$3,$O$3:$AA$3,0),FALSE)-VLOOKUP($AW41&amp;"初始",$O$3:$AA$63,MATCH(AZ$3,$O$3:$AA$3,0),FALSE))*VLOOKUP(VLOOKUP($AW41,坦克个性化设定!$B$18:$E$48,4,FALSE)&amp;$AX41,坦克属性分配比例,MATCH("部件比例",坦克属性分配比例标头,0),FALSE))*$AY41/VLOOKUP(VLOOKUP($AW41,坦克个性化设定!$B$18:$E$48,4,FALSE)&amp;$AX41,坦克属性分配比例,MATCH("升星次数",坦克属性分配比例标头,0),FALSE),0)</f>
        <v>1679</v>
      </c>
      <c r="BA41" s="426">
        <f ca="1">ROUND(VLOOKUP($AW41&amp;"初始",$O$3:$AA$63,MATCH(BA$3,$O$3:$AA$3,0),FALSE)+(VLOOKUP($AW41&amp;"最终",$O$3:$AA$63,MATCH(BA$3,$O$3:$AA$3,0),FALSE)-VLOOKUP($AW41&amp;"初始",$O$3:$AA$63,MATCH(BA$3,$O$3:$AA$3,0),FALSE))*$AY41/VLOOKUP(VLOOKUP($AW41,坦克个性化设定!$B$18:$E$48,4,FALSE)&amp;$AX41,坦克属性分配比例,MATCH("升星次数",坦克属性分配比例标头,0),FALSE)*VLOOKUP(VLOOKUP($AW41,坦克个性化设定!$B$18:$E$48,4,FALSE)&amp;$AX41,坦克属性分配比例,MATCH("升星比例",坦克属性分配比例标头,0),FALSE),0)</f>
        <v>55</v>
      </c>
      <c r="BB41" s="486">
        <f ca="1">ROUND(VLOOKUP($AW41&amp;"初始",$O$3:$AA$63,MATCH(BB$3,$O$3:$AA$3,0),FALSE)+(VLOOKUP($AW41&amp;"最终",$O$3:$AA$63,MATCH(BB$3,$O$3:$AA$3,0),FALSE)-VLOOKUP($AW41&amp;"初始",$O$3:$AA$63,MATCH(BB$3,$O$3:$AA$3,0),FALSE))*$AY41/VLOOKUP(VLOOKUP($AW41,坦克个性化设定!$B$18:$E$48,4,FALSE)&amp;$AX41,坦克属性分配比例,MATCH("升星次数",坦克属性分配比例标头,0),FALSE)*(VLOOKUP(VLOOKUP($AW41,坦克个性化设定!$B$18:$E$48,4,FALSE)&amp;$AX41,坦克属性分配比例,MATCH("升星比例",坦克属性分配比例标头,0),FALSE)+VLOOKUP(VLOOKUP($AW41,坦克个性化设定!$B$18:$E$48,4,FALSE)&amp;$AX41,坦克属性分配比例,MATCH("部件比例",坦克属性分配比例标头,0),FALSE)*$C$3),0)</f>
        <v>623</v>
      </c>
      <c r="BC41" s="486">
        <f ca="1">ROUND(VLOOKUP($AW41&amp;"初始",$O$3:$AA$63,MATCH(BC$3,$O$3:$AA$3,0),FALSE)+(VLOOKUP($AW41&amp;"最终",$O$3:$AA$63,MATCH(BC$3,$O$3:$AA$3,0),FALSE)-VLOOKUP($AW41&amp;"初始",$O$3:$AA$63,MATCH(BC$3,$O$3:$AA$3,0),FALSE))*$AY41/VLOOKUP(VLOOKUP($AW41,坦克个性化设定!$B$18:$E$48,4,FALSE)&amp;$AX41,坦克属性分配比例,MATCH("升星次数",坦克属性分配比例标头,0),FALSE)*(VLOOKUP(VLOOKUP($AW41,坦克个性化设定!$B$18:$E$48,4,FALSE)&amp;$AX41,坦克属性分配比例,MATCH("升星比例",坦克属性分配比例标头,0),FALSE)+VLOOKUP(VLOOKUP($AW41,坦克个性化设定!$B$18:$E$48,4,FALSE)&amp;$AX41,坦克属性分配比例,MATCH("部件比例",坦克属性分配比例标头,0),FALSE)*$C$3),0)</f>
        <v>436</v>
      </c>
      <c r="BD41" s="426">
        <f ca="1">ROUND(VLOOKUP($AW41&amp;"初始",$O$3:$AA$63,MATCH(BD$3,$O$3:$AA$3,0),FALSE)+(VLOOKUP($AW41&amp;"最终",$O$3:$AA$63,MATCH(BD$3,$O$3:$AA$3,0),FALSE)-VLOOKUP($AW41&amp;"初始",$O$3:$AA$63,MATCH(BD$3,$O$3:$AA$3,0),FALSE))*$AY41/VLOOKUP(VLOOKUP($AW41,坦克个性化设定!$B$18:$E$48,4,FALSE)&amp;$AX41,坦克属性分配比例,MATCH("升星次数",坦克属性分配比例标头,0),FALSE)*VLOOKUP(VLOOKUP($AW41,坦克个性化设定!$B$18:$E$48,4,FALSE)&amp;$AX41,坦克属性分配比例,MATCH("升星比例",坦克属性分配比例标头,0),FALSE),0)</f>
        <v>537</v>
      </c>
      <c r="BE41" s="426">
        <f ca="1">ROUND(VLOOKUP($AW41&amp;"初始",$O$3:$AA$63,MATCH(BE$3,$O$3:$AA$3,0),FALSE)+(VLOOKUP($AW41&amp;"最终",$O$3:$AA$63,MATCH(BE$3,$O$3:$AA$3,0),FALSE)-VLOOKUP($AW41&amp;"初始",$O$3:$AA$63,MATCH(BE$3,$O$3:$AA$3,0),FALSE))*$AY41/VLOOKUP(VLOOKUP($AW41,坦克个性化设定!$B$18:$E$48,4,FALSE)&amp;$AX41,坦克属性分配比例,MATCH("升星次数",坦克属性分配比例标头,0),FALSE),0)</f>
        <v>158</v>
      </c>
      <c r="BF41" s="462">
        <f>ROUND(VLOOKUP($AW41,$AD$3:$AJ$33,MATCH(BF$3,$AD$3:$AJ$3,0),FALSE)+$AY41/VLOOKUP(VLOOKUP($AW41,坦克个性化设定!$B$18:$E$48,4,FALSE)&amp;$AX41,坦克属性分配比例,MATCH("升星次数",坦克属性分配比例标头,0),FALSE)*VLOOKUP($AW41,$AM$3:$AS$33,MATCH(BF$3,$AM$3:$AS$3,0),FALSE),1)</f>
        <v>51.5</v>
      </c>
      <c r="BG41" s="462">
        <f>ROUND(VLOOKUP($AW41,$AD$3:$AJ$33,MATCH(BG$3,$AD$3:$AJ$3,0),FALSE)+$AY41/VLOOKUP(VLOOKUP($AW41,坦克个性化设定!$B$18:$E$48,4,FALSE)&amp;$AX41,坦克属性分配比例,MATCH("升星次数",坦克属性分配比例标头,0),FALSE)*VLOOKUP($AW41,$AM$3:$AS$33,MATCH(BG$3,$AM$3:$AS$3,0),FALSE),1)</f>
        <v>49.2</v>
      </c>
      <c r="BH41" s="462">
        <f>ROUND(VLOOKUP($AW41,$AD$3:$AJ$33,MATCH(BH$3,$AD$3:$AJ$3,0),FALSE)+$AY41/VLOOKUP(VLOOKUP($AW41,坦克个性化设定!$B$18:$E$48,4,FALSE)&amp;$AX41,坦克属性分配比例,MATCH("升星次数",坦克属性分配比例标头,0),FALSE)*VLOOKUP($AW41,$AM$3:$AS$33,MATCH(BH$3,$AM$3:$AS$3,0),FALSE),1)</f>
        <v>16.3</v>
      </c>
      <c r="BI41" s="654">
        <f>IF(VLOOKUP(AW41,坦克个性化设定!$B$18:$BB$48,MATCH("装弹类型",坦克个性化设定!$B$18:$BB$18,0),FALSE)="弹夹换弹",0,ROUND(VLOOKUP($AW41,$AD$3:$AJ$33,MATCH("换弹时间",$AD$3:$AJ$3,0),FALSE)-$AY41/VLOOKUP(VLOOKUP($AW41,坦克个性化设定!$B$18:$E$48,4,FALSE)&amp;$AX41,坦克属性分配比例,MATCH("升星次数",坦克属性分配比例标头,0),FALSE)*VLOOKUP($AW41,$AM$3:$AS$33,MATCH("换弹时间",$AM$3:$AS$3,0),FALSE),2))</f>
        <v>0</v>
      </c>
      <c r="BJ41" s="462">
        <f>IF(VLOOKUP(AW41,坦克个性化设定!$B$18:$BB$48,MATCH("装弹类型",坦克个性化设定!$B$18:$BB$18,0),FALSE)="弹夹换弹",ROUND(VLOOKUP($AW41,$AD$3:$AJ$33,MATCH("换弹时间",$AD$3:$AJ$3,0),FALSE)-$AY41/VLOOKUP(VLOOKUP($AW41,坦克个性化设定!$B$18:$E$48,4,FALSE)&amp;$AX41,坦克属性分配比例,MATCH("升星次数",坦克属性分配比例标头,0),FALSE)*VLOOKUP($AW41,$AM$3:$AS$33,MATCH("换弹时间",$AM$3:$AS$3,0),FALSE),1),0)</f>
        <v>5.7</v>
      </c>
      <c r="BK41" s="462">
        <f>ROUND(VLOOKUP($AW41,$AD$3:$AJ$33,MATCH(BK$3,$AD$3:$AJ$3,0),FALSE)+$AY41/VLOOKUP(VLOOKUP($AW41,坦克个性化设定!$B$18:$E$48,4,FALSE)&amp;$AX41,坦克属性分配比例,MATCH("升星次数",坦克属性分配比例标头,0),FALSE)*VLOOKUP($AW41,$AM$3:$AS$33,MATCH(BK$3,$AM$3:$AS$3,0),FALSE),2)</f>
        <v>0.3</v>
      </c>
      <c r="BL41" s="462">
        <f>ROUND(VLOOKUP($AW41,$AD$3:$AJ$33,MATCH(BL$3,$AD$3:$AJ$3,0),FALSE)-$AY41/VLOOKUP(VLOOKUP($AW41,坦克个性化设定!$B$18:$E$48,4,FALSE)&amp;$AX41,坦克属性分配比例,MATCH("升星次数",坦克属性分配比例标头,0),FALSE)*VLOOKUP($AW41,$AM$3:$AS$33,MATCH(BL$3,$AM$3:$AS$3,0),FALSE),2)</f>
        <v>0.67</v>
      </c>
    </row>
    <row r="42" spans="2:74" x14ac:dyDescent="0.35">
      <c r="O42" s="426" t="str">
        <f t="shared" si="5"/>
        <v>挑战者初始</v>
      </c>
      <c r="P42" s="137">
        <f>IF(COUNTIF(Q$4:Q41,Q41)&gt;=$B$3,P41+1,P41)</f>
        <v>20</v>
      </c>
      <c r="Q42" s="131" t="str">
        <f t="shared" si="6"/>
        <v>挑战者</v>
      </c>
      <c r="R42" s="131" t="str">
        <f>VLOOKUP(Q42,坦克个性化设定!$B$18:$F$48,5,FALSE)</f>
        <v>中坦单发</v>
      </c>
      <c r="S42" s="177" t="str">
        <f>VLOOKUP(Q42,坦克个性化细分!$I$3:$J$33,2,FALSE)</f>
        <v>低</v>
      </c>
      <c r="T42" s="137" t="str">
        <f t="shared" si="12"/>
        <v>初始</v>
      </c>
      <c r="U42" s="178" t="str">
        <f>VLOOKUP(VLOOKUP(Q42,坦克个性化设定!$B$18:$F$48,4,FALSE)&amp;S42,坦克等级成长!$P$12:$U$24,MATCH(T42,坦克等级成长!$P$12:$U$12,0),FALSE)</f>
        <v>T5低5</v>
      </c>
      <c r="V42" s="96">
        <f ca="1">VLOOKUP($U42,INDIRECT($R42&amp;"_阶段属性"),MATCH(V$3,属性标头_阶段属性,0),FALSE)*VLOOKUP($Q42,坦克个性化设定!$B$84:$D$114,2,FALSE)</f>
        <v>2384.3701402381594</v>
      </c>
      <c r="W42" s="96">
        <f ca="1">VLOOKUP($U42,INDIRECT($R42&amp;"_阶段属性"),MATCH(W$3,属性标头_阶段属性,0),FALSE)*VLOOKUP($Q42,坦克个性化设定!$B$84:$D$114,3,FALSE)</f>
        <v>329.41536842970402</v>
      </c>
      <c r="X42" s="131">
        <f t="shared" ca="1" si="15"/>
        <v>789</v>
      </c>
      <c r="Y42" s="131">
        <f t="shared" ca="1" si="15"/>
        <v>591</v>
      </c>
      <c r="Z42" s="131">
        <f t="shared" ca="1" si="15"/>
        <v>864</v>
      </c>
      <c r="AA42" s="131">
        <f t="shared" ca="1" si="15"/>
        <v>211</v>
      </c>
      <c r="AU42" s="364" t="str">
        <f t="shared" si="9"/>
        <v>十字军5</v>
      </c>
      <c r="AV42" s="183">
        <f>IF(AY41&gt;=VLOOKUP(VLOOKUP(AW41,坦克个性化设定!$B$18:$E$48,4,FALSE)&amp;AX41,坦克属性分配比例,MATCH("升星次数",坦克属性分配比例标头,0),FALSE),AV41+1,AV41)</f>
        <v>5</v>
      </c>
      <c r="AW42" s="131" t="str">
        <f t="shared" si="10"/>
        <v>十字军</v>
      </c>
      <c r="AX42" s="177" t="str">
        <f>VLOOKUP(AW42,坦克个性化细分!$I$3:$J$33,2,FALSE)</f>
        <v>中</v>
      </c>
      <c r="AY42" s="183">
        <f t="shared" si="1"/>
        <v>5</v>
      </c>
      <c r="AZ42" s="486">
        <f ca="1">ROUND(VLOOKUP($AW42&amp;"初始",$O$3:$AA$63,MATCH(AZ$3,$O$3:$AA$3,0),FALSE)+((VLOOKUP($AW42&amp;"最终",$O$3:$AA$63,MATCH(AZ$3,$O$3:$AA$3,0),FALSE)*坦克个性化细分!$C$9-VLOOKUP($AW42&amp;"初始",$O$3:$AA$63,MATCH(AZ$3,$O$3:$AA$3,0),FALSE))-(VLOOKUP($AW42&amp;"最终",$O$3:$AA$63,MATCH(AZ$3,$O$3:$AA$3,0),FALSE)-VLOOKUP($AW42&amp;"初始",$O$3:$AA$63,MATCH(AZ$3,$O$3:$AA$3,0),FALSE))*VLOOKUP(VLOOKUP($AW42,坦克个性化设定!$B$18:$E$48,4,FALSE)&amp;$AX42,坦克属性分配比例,MATCH("部件比例",坦克属性分配比例标头,0),FALSE))*$AY42/VLOOKUP(VLOOKUP($AW42,坦克个性化设定!$B$18:$E$48,4,FALSE)&amp;$AX42,坦克属性分配比例,MATCH("升星次数",坦克属性分配比例标头,0),FALSE),0)</f>
        <v>1782</v>
      </c>
      <c r="BA42" s="426">
        <f ca="1">ROUND(VLOOKUP($AW42&amp;"初始",$O$3:$AA$63,MATCH(BA$3,$O$3:$AA$3,0),FALSE)+(VLOOKUP($AW42&amp;"最终",$O$3:$AA$63,MATCH(BA$3,$O$3:$AA$3,0),FALSE)-VLOOKUP($AW42&amp;"初始",$O$3:$AA$63,MATCH(BA$3,$O$3:$AA$3,0),FALSE))*$AY42/VLOOKUP(VLOOKUP($AW42,坦克个性化设定!$B$18:$E$48,4,FALSE)&amp;$AX42,坦克属性分配比例,MATCH("升星次数",坦克属性分配比例标头,0),FALSE)*VLOOKUP(VLOOKUP($AW42,坦克个性化设定!$B$18:$E$48,4,FALSE)&amp;$AX42,坦克属性分配比例,MATCH("升星比例",坦克属性分配比例标头,0),FALSE),0)</f>
        <v>57</v>
      </c>
      <c r="BB42" s="486">
        <f ca="1">ROUND(VLOOKUP($AW42&amp;"初始",$O$3:$AA$63,MATCH(BB$3,$O$3:$AA$3,0),FALSE)+(VLOOKUP($AW42&amp;"最终",$O$3:$AA$63,MATCH(BB$3,$O$3:$AA$3,0),FALSE)-VLOOKUP($AW42&amp;"初始",$O$3:$AA$63,MATCH(BB$3,$O$3:$AA$3,0),FALSE))*$AY42/VLOOKUP(VLOOKUP($AW42,坦克个性化设定!$B$18:$E$48,4,FALSE)&amp;$AX42,坦克属性分配比例,MATCH("升星次数",坦克属性分配比例标头,0),FALSE)*(VLOOKUP(VLOOKUP($AW42,坦克个性化设定!$B$18:$E$48,4,FALSE)&amp;$AX42,坦克属性分配比例,MATCH("升星比例",坦克属性分配比例标头,0),FALSE)+VLOOKUP(VLOOKUP($AW42,坦克个性化设定!$B$18:$E$48,4,FALSE)&amp;$AX42,坦克属性分配比例,MATCH("部件比例",坦克属性分配比例标头,0),FALSE)*$C$3),0)</f>
        <v>652</v>
      </c>
      <c r="BC42" s="486">
        <f ca="1">ROUND(VLOOKUP($AW42&amp;"初始",$O$3:$AA$63,MATCH(BC$3,$O$3:$AA$3,0),FALSE)+(VLOOKUP($AW42&amp;"最终",$O$3:$AA$63,MATCH(BC$3,$O$3:$AA$3,0),FALSE)-VLOOKUP($AW42&amp;"初始",$O$3:$AA$63,MATCH(BC$3,$O$3:$AA$3,0),FALSE))*$AY42/VLOOKUP(VLOOKUP($AW42,坦克个性化设定!$B$18:$E$48,4,FALSE)&amp;$AX42,坦克属性分配比例,MATCH("升星次数",坦克属性分配比例标头,0),FALSE)*(VLOOKUP(VLOOKUP($AW42,坦克个性化设定!$B$18:$E$48,4,FALSE)&amp;$AX42,坦克属性分配比例,MATCH("升星比例",坦克属性分配比例标头,0),FALSE)+VLOOKUP(VLOOKUP($AW42,坦克个性化设定!$B$18:$E$48,4,FALSE)&amp;$AX42,坦克属性分配比例,MATCH("部件比例",坦克属性分配比例标头,0),FALSE)*$C$3),0)</f>
        <v>456</v>
      </c>
      <c r="BD42" s="426">
        <f ca="1">ROUND(VLOOKUP($AW42&amp;"初始",$O$3:$AA$63,MATCH(BD$3,$O$3:$AA$3,0),FALSE)+(VLOOKUP($AW42&amp;"最终",$O$3:$AA$63,MATCH(BD$3,$O$3:$AA$3,0),FALSE)-VLOOKUP($AW42&amp;"初始",$O$3:$AA$63,MATCH(BD$3,$O$3:$AA$3,0),FALSE))*$AY42/VLOOKUP(VLOOKUP($AW42,坦克个性化设定!$B$18:$E$48,4,FALSE)&amp;$AX42,坦克属性分配比例,MATCH("升星次数",坦克属性分配比例标头,0),FALSE)*VLOOKUP(VLOOKUP($AW42,坦克个性化设定!$B$18:$E$48,4,FALSE)&amp;$AX42,坦克属性分配比例,MATCH("升星比例",坦克属性分配比例标头,0),FALSE),0)</f>
        <v>555</v>
      </c>
      <c r="BE42" s="426">
        <f ca="1">ROUND(VLOOKUP($AW42&amp;"初始",$O$3:$AA$63,MATCH(BE$3,$O$3:$AA$3,0),FALSE)+(VLOOKUP($AW42&amp;"最终",$O$3:$AA$63,MATCH(BE$3,$O$3:$AA$3,0),FALSE)-VLOOKUP($AW42&amp;"初始",$O$3:$AA$63,MATCH(BE$3,$O$3:$AA$3,0),FALSE))*$AY42/VLOOKUP(VLOOKUP($AW42,坦克个性化设定!$B$18:$E$48,4,FALSE)&amp;$AX42,坦克属性分配比例,MATCH("升星次数",坦克属性分配比例标头,0),FALSE),0)</f>
        <v>166</v>
      </c>
      <c r="BF42" s="462">
        <f>ROUND(VLOOKUP($AW42,$AD$3:$AJ$33,MATCH(BF$3,$AD$3:$AJ$3,0),FALSE)+$AY42/VLOOKUP(VLOOKUP($AW42,坦克个性化设定!$B$18:$E$48,4,FALSE)&amp;$AX42,坦克属性分配比例,MATCH("升星次数",坦克属性分配比例标头,0),FALSE)*VLOOKUP($AW42,$AM$3:$AS$33,MATCH(BF$3,$AM$3:$AS$3,0),FALSE),1)</f>
        <v>52.4</v>
      </c>
      <c r="BG42" s="462">
        <f>ROUND(VLOOKUP($AW42,$AD$3:$AJ$33,MATCH(BG$3,$AD$3:$AJ$3,0),FALSE)+$AY42/VLOOKUP(VLOOKUP($AW42,坦克个性化设定!$B$18:$E$48,4,FALSE)&amp;$AX42,坦克属性分配比例,MATCH("升星次数",坦克属性分配比例标头,0),FALSE)*VLOOKUP($AW42,$AM$3:$AS$33,MATCH(BG$3,$AM$3:$AS$3,0),FALSE),1)</f>
        <v>50</v>
      </c>
      <c r="BH42" s="462">
        <f>ROUND(VLOOKUP($AW42,$AD$3:$AJ$33,MATCH(BH$3,$AD$3:$AJ$3,0),FALSE)+$AY42/VLOOKUP(VLOOKUP($AW42,坦克个性化设定!$B$18:$E$48,4,FALSE)&amp;$AX42,坦克属性分配比例,MATCH("升星次数",坦克属性分配比例标头,0),FALSE)*VLOOKUP($AW42,$AM$3:$AS$33,MATCH(BH$3,$AM$3:$AS$3,0),FALSE),1)</f>
        <v>16.600000000000001</v>
      </c>
      <c r="BI42" s="654">
        <f>IF(VLOOKUP(AW42,坦克个性化设定!$B$18:$BB$48,MATCH("装弹类型",坦克个性化设定!$B$18:$BB$18,0),FALSE)="弹夹换弹",0,ROUND(VLOOKUP($AW42,$AD$3:$AJ$33,MATCH("换弹时间",$AD$3:$AJ$3,0),FALSE)-$AY42/VLOOKUP(VLOOKUP($AW42,坦克个性化设定!$B$18:$E$48,4,FALSE)&amp;$AX42,坦克属性分配比例,MATCH("升星次数",坦克属性分配比例标头,0),FALSE)*VLOOKUP($AW42,$AM$3:$AS$33,MATCH("换弹时间",$AM$3:$AS$3,0),FALSE),2))</f>
        <v>0</v>
      </c>
      <c r="BJ42" s="462">
        <f>IF(VLOOKUP(AW42,坦克个性化设定!$B$18:$BB$48,MATCH("装弹类型",坦克个性化设定!$B$18:$BB$18,0),FALSE)="弹夹换弹",ROUND(VLOOKUP($AW42,$AD$3:$AJ$33,MATCH("换弹时间",$AD$3:$AJ$3,0),FALSE)-$AY42/VLOOKUP(VLOOKUP($AW42,坦克个性化设定!$B$18:$E$48,4,FALSE)&amp;$AX42,坦克属性分配比例,MATCH("升星次数",坦克属性分配比例标头,0),FALSE)*VLOOKUP($AW42,$AM$3:$AS$33,MATCH("换弹时间",$AM$3:$AS$3,0),FALSE),1),0)</f>
        <v>5.5</v>
      </c>
      <c r="BK42" s="462">
        <f>ROUND(VLOOKUP($AW42,$AD$3:$AJ$33,MATCH(BK$3,$AD$3:$AJ$3,0),FALSE)+$AY42/VLOOKUP(VLOOKUP($AW42,坦克个性化设定!$B$18:$E$48,4,FALSE)&amp;$AX42,坦克属性分配比例,MATCH("升星次数",坦克属性分配比例标头,0),FALSE)*VLOOKUP($AW42,$AM$3:$AS$33,MATCH(BK$3,$AM$3:$AS$3,0),FALSE),2)</f>
        <v>0.3</v>
      </c>
      <c r="BL42" s="462">
        <f>ROUND(VLOOKUP($AW42,$AD$3:$AJ$33,MATCH(BL$3,$AD$3:$AJ$3,0),FALSE)-$AY42/VLOOKUP(VLOOKUP($AW42,坦克个性化设定!$B$18:$E$48,4,FALSE)&amp;$AX42,坦克属性分配比例,MATCH("升星次数",坦克属性分配比例标头,0),FALSE)*VLOOKUP($AW42,$AM$3:$AS$33,MATCH(BL$3,$AM$3:$AS$3,0),FALSE),2)</f>
        <v>0.66</v>
      </c>
    </row>
    <row r="43" spans="2:74" x14ac:dyDescent="0.35">
      <c r="O43" s="426" t="str">
        <f t="shared" si="5"/>
        <v>挑战者最终</v>
      </c>
      <c r="P43" s="137">
        <f>IF(COUNTIF(Q$4:Q42,Q42)&gt;=$B$3,P42+1,P42)</f>
        <v>20</v>
      </c>
      <c r="Q43" s="131" t="str">
        <f t="shared" si="6"/>
        <v>挑战者</v>
      </c>
      <c r="R43" s="131" t="str">
        <f>VLOOKUP(Q43,坦克个性化设定!$B$18:$F$48,5,FALSE)</f>
        <v>中坦单发</v>
      </c>
      <c r="S43" s="177" t="str">
        <f>VLOOKUP(Q43,坦克个性化细分!$I$3:$J$33,2,FALSE)</f>
        <v>低</v>
      </c>
      <c r="T43" s="137" t="str">
        <f t="shared" si="12"/>
        <v>最终</v>
      </c>
      <c r="U43" s="178" t="str">
        <f>VLOOKUP(VLOOKUP(Q43,坦克个性化设定!$B$18:$F$48,4,FALSE)&amp;S43,坦克等级成长!$P$12:$U$24,MATCH(T43,坦克等级成长!$P$12:$U$12,0),FALSE)</f>
        <v>T5低6</v>
      </c>
      <c r="V43" s="96">
        <f ca="1">VLOOKUP($U43,INDIRECT($R43&amp;"_阶段属性"),MATCH(V$3,属性标头_阶段属性,0),FALSE)*VLOOKUP($Q43,坦克个性化设定!$B$84:$D$114,2,FALSE)</f>
        <v>3575.9909959369274</v>
      </c>
      <c r="W43" s="96">
        <f ca="1">VLOOKUP($U43,INDIRECT($R43&amp;"_阶段属性"),MATCH(W$3,属性标头_阶段属性,0),FALSE)*VLOOKUP($Q43,坦克个性化设定!$B$84:$D$114,3,FALSE)</f>
        <v>493.1977285759333</v>
      </c>
      <c r="X43" s="131">
        <f t="shared" ca="1" si="15"/>
        <v>1183</v>
      </c>
      <c r="Y43" s="131">
        <f t="shared" ca="1" si="15"/>
        <v>887</v>
      </c>
      <c r="Z43" s="131">
        <f t="shared" ca="1" si="15"/>
        <v>1296</v>
      </c>
      <c r="AA43" s="131">
        <f t="shared" ca="1" si="15"/>
        <v>317</v>
      </c>
      <c r="AU43" s="364" t="str">
        <f t="shared" si="9"/>
        <v>十字军6</v>
      </c>
      <c r="AV43" s="183">
        <f>IF(AY42&gt;=VLOOKUP(VLOOKUP(AW42,坦克个性化设定!$B$18:$E$48,4,FALSE)&amp;AX42,坦克属性分配比例,MATCH("升星次数",坦克属性分配比例标头,0),FALSE),AV42+1,AV42)</f>
        <v>5</v>
      </c>
      <c r="AW43" s="131" t="str">
        <f t="shared" si="10"/>
        <v>十字军</v>
      </c>
      <c r="AX43" s="177" t="str">
        <f>VLOOKUP(AW43,坦克个性化细分!$I$3:$J$33,2,FALSE)</f>
        <v>中</v>
      </c>
      <c r="AY43" s="183">
        <f t="shared" si="1"/>
        <v>6</v>
      </c>
      <c r="AZ43" s="486">
        <f ca="1">ROUND(VLOOKUP($AW43&amp;"初始",$O$3:$AA$63,MATCH(AZ$3,$O$3:$AA$3,0),FALSE)+((VLOOKUP($AW43&amp;"最终",$O$3:$AA$63,MATCH(AZ$3,$O$3:$AA$3,0),FALSE)*坦克个性化细分!$C$9-VLOOKUP($AW43&amp;"初始",$O$3:$AA$63,MATCH(AZ$3,$O$3:$AA$3,0),FALSE))-(VLOOKUP($AW43&amp;"最终",$O$3:$AA$63,MATCH(AZ$3,$O$3:$AA$3,0),FALSE)-VLOOKUP($AW43&amp;"初始",$O$3:$AA$63,MATCH(AZ$3,$O$3:$AA$3,0),FALSE))*VLOOKUP(VLOOKUP($AW43,坦克个性化设定!$B$18:$E$48,4,FALSE)&amp;$AX43,坦克属性分配比例,MATCH("部件比例",坦克属性分配比例标头,0),FALSE))*$AY43/VLOOKUP(VLOOKUP($AW43,坦克个性化设定!$B$18:$E$48,4,FALSE)&amp;$AX43,坦克属性分配比例,MATCH("升星次数",坦克属性分配比例标头,0),FALSE),0)</f>
        <v>1885</v>
      </c>
      <c r="BA43" s="426">
        <f ca="1">ROUND(VLOOKUP($AW43&amp;"初始",$O$3:$AA$63,MATCH(BA$3,$O$3:$AA$3,0),FALSE)+(VLOOKUP($AW43&amp;"最终",$O$3:$AA$63,MATCH(BA$3,$O$3:$AA$3,0),FALSE)-VLOOKUP($AW43&amp;"初始",$O$3:$AA$63,MATCH(BA$3,$O$3:$AA$3,0),FALSE))*$AY43/VLOOKUP(VLOOKUP($AW43,坦克个性化设定!$B$18:$E$48,4,FALSE)&amp;$AX43,坦克属性分配比例,MATCH("升星次数",坦克属性分配比例标头,0),FALSE)*VLOOKUP(VLOOKUP($AW43,坦克个性化设定!$B$18:$E$48,4,FALSE)&amp;$AX43,坦克属性分配比例,MATCH("升星比例",坦克属性分配比例标头,0),FALSE),0)</f>
        <v>58</v>
      </c>
      <c r="BB43" s="486">
        <f ca="1">ROUND(VLOOKUP($AW43&amp;"初始",$O$3:$AA$63,MATCH(BB$3,$O$3:$AA$3,0),FALSE)+(VLOOKUP($AW43&amp;"最终",$O$3:$AA$63,MATCH(BB$3,$O$3:$AA$3,0),FALSE)-VLOOKUP($AW43&amp;"初始",$O$3:$AA$63,MATCH(BB$3,$O$3:$AA$3,0),FALSE))*$AY43/VLOOKUP(VLOOKUP($AW43,坦克个性化设定!$B$18:$E$48,4,FALSE)&amp;$AX43,坦克属性分配比例,MATCH("升星次数",坦克属性分配比例标头,0),FALSE)*(VLOOKUP(VLOOKUP($AW43,坦克个性化设定!$B$18:$E$48,4,FALSE)&amp;$AX43,坦克属性分配比例,MATCH("升星比例",坦克属性分配比例标头,0),FALSE)+VLOOKUP(VLOOKUP($AW43,坦克个性化设定!$B$18:$E$48,4,FALSE)&amp;$AX43,坦克属性分配比例,MATCH("部件比例",坦克属性分配比例标头,0),FALSE)*$C$3),0)</f>
        <v>680</v>
      </c>
      <c r="BC43" s="486">
        <f ca="1">ROUND(VLOOKUP($AW43&amp;"初始",$O$3:$AA$63,MATCH(BC$3,$O$3:$AA$3,0),FALSE)+(VLOOKUP($AW43&amp;"最终",$O$3:$AA$63,MATCH(BC$3,$O$3:$AA$3,0),FALSE)-VLOOKUP($AW43&amp;"初始",$O$3:$AA$63,MATCH(BC$3,$O$3:$AA$3,0),FALSE))*$AY43/VLOOKUP(VLOOKUP($AW43,坦克个性化设定!$B$18:$E$48,4,FALSE)&amp;$AX43,坦克属性分配比例,MATCH("升星次数",坦克属性分配比例标头,0),FALSE)*(VLOOKUP(VLOOKUP($AW43,坦克个性化设定!$B$18:$E$48,4,FALSE)&amp;$AX43,坦克属性分配比例,MATCH("升星比例",坦克属性分配比例标头,0),FALSE)+VLOOKUP(VLOOKUP($AW43,坦克个性化设定!$B$18:$E$48,4,FALSE)&amp;$AX43,坦克属性分配比例,MATCH("部件比例",坦克属性分配比例标头,0),FALSE)*$C$3),0)</f>
        <v>476</v>
      </c>
      <c r="BD43" s="426">
        <f ca="1">ROUND(VLOOKUP($AW43&amp;"初始",$O$3:$AA$63,MATCH(BD$3,$O$3:$AA$3,0),FALSE)+(VLOOKUP($AW43&amp;"最终",$O$3:$AA$63,MATCH(BD$3,$O$3:$AA$3,0),FALSE)-VLOOKUP($AW43&amp;"初始",$O$3:$AA$63,MATCH(BD$3,$O$3:$AA$3,0),FALSE))*$AY43/VLOOKUP(VLOOKUP($AW43,坦克个性化设定!$B$18:$E$48,4,FALSE)&amp;$AX43,坦克属性分配比例,MATCH("升星次数",坦克属性分配比例标头,0),FALSE)*VLOOKUP(VLOOKUP($AW43,坦克个性化设定!$B$18:$E$48,4,FALSE)&amp;$AX43,坦克属性分配比例,MATCH("升星比例",坦克属性分配比例标头,0),FALSE),0)</f>
        <v>573</v>
      </c>
      <c r="BE43" s="426">
        <f ca="1">ROUND(VLOOKUP($AW43&amp;"初始",$O$3:$AA$63,MATCH(BE$3,$O$3:$AA$3,0),FALSE)+(VLOOKUP($AW43&amp;"最终",$O$3:$AA$63,MATCH(BE$3,$O$3:$AA$3,0),FALSE)-VLOOKUP($AW43&amp;"初始",$O$3:$AA$63,MATCH(BE$3,$O$3:$AA$3,0),FALSE))*$AY43/VLOOKUP(VLOOKUP($AW43,坦克个性化设定!$B$18:$E$48,4,FALSE)&amp;$AX43,坦克属性分配比例,MATCH("升星次数",坦克属性分配比例标头,0),FALSE),0)</f>
        <v>175</v>
      </c>
      <c r="BF43" s="462">
        <f>ROUND(VLOOKUP($AW43,$AD$3:$AJ$33,MATCH(BF$3,$AD$3:$AJ$3,0),FALSE)+$AY43/VLOOKUP(VLOOKUP($AW43,坦克个性化设定!$B$18:$E$48,4,FALSE)&amp;$AX43,坦克属性分配比例,MATCH("升星次数",坦克属性分配比例标头,0),FALSE)*VLOOKUP($AW43,$AM$3:$AS$33,MATCH(BF$3,$AM$3:$AS$3,0),FALSE),1)</f>
        <v>53.3</v>
      </c>
      <c r="BG43" s="462">
        <f>ROUND(VLOOKUP($AW43,$AD$3:$AJ$33,MATCH(BG$3,$AD$3:$AJ$3,0),FALSE)+$AY43/VLOOKUP(VLOOKUP($AW43,坦克个性化设定!$B$18:$E$48,4,FALSE)&amp;$AX43,坦克属性分配比例,MATCH("升星次数",坦克属性分配比例标头,0),FALSE)*VLOOKUP($AW43,$AM$3:$AS$33,MATCH(BG$3,$AM$3:$AS$3,0),FALSE),1)</f>
        <v>50.8</v>
      </c>
      <c r="BH43" s="462">
        <f>ROUND(VLOOKUP($AW43,$AD$3:$AJ$33,MATCH(BH$3,$AD$3:$AJ$3,0),FALSE)+$AY43/VLOOKUP(VLOOKUP($AW43,坦克个性化设定!$B$18:$E$48,4,FALSE)&amp;$AX43,坦克属性分配比例,MATCH("升星次数",坦克属性分配比例标头,0),FALSE)*VLOOKUP($AW43,$AM$3:$AS$33,MATCH(BH$3,$AM$3:$AS$3,0),FALSE),1)</f>
        <v>17</v>
      </c>
      <c r="BI43" s="654">
        <f>IF(VLOOKUP(AW43,坦克个性化设定!$B$18:$BB$48,MATCH("装弹类型",坦克个性化设定!$B$18:$BB$18,0),FALSE)="弹夹换弹",0,ROUND(VLOOKUP($AW43,$AD$3:$AJ$33,MATCH("换弹时间",$AD$3:$AJ$3,0),FALSE)-$AY43/VLOOKUP(VLOOKUP($AW43,坦克个性化设定!$B$18:$E$48,4,FALSE)&amp;$AX43,坦克属性分配比例,MATCH("升星次数",坦克属性分配比例标头,0),FALSE)*VLOOKUP($AW43,$AM$3:$AS$33,MATCH("换弹时间",$AM$3:$AS$3,0),FALSE),2))</f>
        <v>0</v>
      </c>
      <c r="BJ43" s="462">
        <f>IF(VLOOKUP(AW43,坦克个性化设定!$B$18:$BB$48,MATCH("装弹类型",坦克个性化设定!$B$18:$BB$18,0),FALSE)="弹夹换弹",ROUND(VLOOKUP($AW43,$AD$3:$AJ$33,MATCH("换弹时间",$AD$3:$AJ$3,0),FALSE)-$AY43/VLOOKUP(VLOOKUP($AW43,坦克个性化设定!$B$18:$E$48,4,FALSE)&amp;$AX43,坦克属性分配比例,MATCH("升星次数",坦克属性分配比例标头,0),FALSE)*VLOOKUP($AW43,$AM$3:$AS$33,MATCH("换弹时间",$AM$3:$AS$3,0),FALSE),1),0)</f>
        <v>5.3</v>
      </c>
      <c r="BK43" s="462">
        <f>ROUND(VLOOKUP($AW43,$AD$3:$AJ$33,MATCH(BK$3,$AD$3:$AJ$3,0),FALSE)+$AY43/VLOOKUP(VLOOKUP($AW43,坦克个性化设定!$B$18:$E$48,4,FALSE)&amp;$AX43,坦克属性分配比例,MATCH("升星次数",坦克属性分配比例标头,0),FALSE)*VLOOKUP($AW43,$AM$3:$AS$33,MATCH(BK$3,$AM$3:$AS$3,0),FALSE),2)</f>
        <v>0.3</v>
      </c>
      <c r="BL43" s="462">
        <f>ROUND(VLOOKUP($AW43,$AD$3:$AJ$33,MATCH(BL$3,$AD$3:$AJ$3,0),FALSE)-$AY43/VLOOKUP(VLOOKUP($AW43,坦克个性化设定!$B$18:$E$48,4,FALSE)&amp;$AX43,坦克属性分配比例,MATCH("升星次数",坦克属性分配比例标头,0),FALSE)*VLOOKUP($AW43,$AM$3:$AS$33,MATCH(BL$3,$AM$3:$AS$3,0),FALSE),2)</f>
        <v>0.65</v>
      </c>
    </row>
    <row r="44" spans="2:74" x14ac:dyDescent="0.35">
      <c r="O44" s="426" t="str">
        <f t="shared" si="5"/>
        <v>B-1初始</v>
      </c>
      <c r="P44" s="137">
        <f>IF(COUNTIF(Q$4:Q43,Q43)&gt;=$B$3,P43+1,P43)</f>
        <v>21</v>
      </c>
      <c r="Q44" s="131" t="str">
        <f t="shared" si="6"/>
        <v>B-1</v>
      </c>
      <c r="R44" s="131" t="str">
        <f>VLOOKUP(Q44,坦克个性化设定!$B$18:$F$48,5,FALSE)</f>
        <v>重坦自动</v>
      </c>
      <c r="S44" s="177" t="str">
        <f>VLOOKUP(Q44,坦克个性化细分!$I$3:$J$33,2,FALSE)</f>
        <v>低</v>
      </c>
      <c r="T44" s="137" t="str">
        <f t="shared" si="12"/>
        <v>初始</v>
      </c>
      <c r="U44" s="178" t="str">
        <f>VLOOKUP(VLOOKUP(Q44,坦克个性化设定!$B$18:$F$48,4,FALSE)&amp;S44,坦克等级成长!$P$12:$U$24,MATCH(T44,坦克等级成长!$P$12:$U$12,0),FALSE)</f>
        <v>T1低1</v>
      </c>
      <c r="V44" s="96">
        <f ca="1">VLOOKUP($U44,INDIRECT($R44&amp;"_阶段属性"),MATCH(V$3,属性标头_阶段属性,0),FALSE)*VLOOKUP($Q44,坦克个性化设定!$B$84:$D$114,2,FALSE)</f>
        <v>929.39288319816706</v>
      </c>
      <c r="W44" s="96">
        <f ca="1">VLOOKUP($U44,INDIRECT($R44&amp;"_阶段属性"),MATCH(W$3,属性标头_阶段属性,0),FALSE)*VLOOKUP($Q44,坦克个性化设定!$B$84:$D$114,3,FALSE)</f>
        <v>173.52884178891182</v>
      </c>
      <c r="X44" s="131">
        <f t="shared" ref="X44:AA53" ca="1" si="16">VLOOKUP($U44,INDIRECT($R44&amp;"_阶段属性"),MATCH(X$3,属性标头_阶段属性,0),FALSE)</f>
        <v>286</v>
      </c>
      <c r="Y44" s="131">
        <f t="shared" ca="1" si="16"/>
        <v>229</v>
      </c>
      <c r="Z44" s="131">
        <f t="shared" ca="1" si="16"/>
        <v>420</v>
      </c>
      <c r="AA44" s="131">
        <f t="shared" ca="1" si="16"/>
        <v>95</v>
      </c>
      <c r="AU44" s="364" t="str">
        <f t="shared" si="9"/>
        <v>十字军7</v>
      </c>
      <c r="AV44" s="183">
        <f>IF(AY43&gt;=VLOOKUP(VLOOKUP(AW43,坦克个性化设定!$B$18:$E$48,4,FALSE)&amp;AX43,坦克属性分配比例,MATCH("升星次数",坦克属性分配比例标头,0),FALSE),AV43+1,AV43)</f>
        <v>5</v>
      </c>
      <c r="AW44" s="131" t="str">
        <f t="shared" si="10"/>
        <v>十字军</v>
      </c>
      <c r="AX44" s="177" t="str">
        <f>VLOOKUP(AW44,坦克个性化细分!$I$3:$J$33,2,FALSE)</f>
        <v>中</v>
      </c>
      <c r="AY44" s="183">
        <f t="shared" si="1"/>
        <v>7</v>
      </c>
      <c r="AZ44" s="486">
        <f ca="1">ROUND(VLOOKUP($AW44&amp;"初始",$O$3:$AA$63,MATCH(AZ$3,$O$3:$AA$3,0),FALSE)+((VLOOKUP($AW44&amp;"最终",$O$3:$AA$63,MATCH(AZ$3,$O$3:$AA$3,0),FALSE)*坦克个性化细分!$C$9-VLOOKUP($AW44&amp;"初始",$O$3:$AA$63,MATCH(AZ$3,$O$3:$AA$3,0),FALSE))-(VLOOKUP($AW44&amp;"最终",$O$3:$AA$63,MATCH(AZ$3,$O$3:$AA$3,0),FALSE)-VLOOKUP($AW44&amp;"初始",$O$3:$AA$63,MATCH(AZ$3,$O$3:$AA$3,0),FALSE))*VLOOKUP(VLOOKUP($AW44,坦克个性化设定!$B$18:$E$48,4,FALSE)&amp;$AX44,坦克属性分配比例,MATCH("部件比例",坦克属性分配比例标头,0),FALSE))*$AY44/VLOOKUP(VLOOKUP($AW44,坦克个性化设定!$B$18:$E$48,4,FALSE)&amp;$AX44,坦克属性分配比例,MATCH("升星次数",坦克属性分配比例标头,0),FALSE),0)</f>
        <v>1988</v>
      </c>
      <c r="BA44" s="426">
        <f ca="1">ROUND(VLOOKUP($AW44&amp;"初始",$O$3:$AA$63,MATCH(BA$3,$O$3:$AA$3,0),FALSE)+(VLOOKUP($AW44&amp;"最终",$O$3:$AA$63,MATCH(BA$3,$O$3:$AA$3,0),FALSE)-VLOOKUP($AW44&amp;"初始",$O$3:$AA$63,MATCH(BA$3,$O$3:$AA$3,0),FALSE))*$AY44/VLOOKUP(VLOOKUP($AW44,坦克个性化设定!$B$18:$E$48,4,FALSE)&amp;$AX44,坦克属性分配比例,MATCH("升星次数",坦克属性分配比例标头,0),FALSE)*VLOOKUP(VLOOKUP($AW44,坦克个性化设定!$B$18:$E$48,4,FALSE)&amp;$AX44,坦克属性分配比例,MATCH("升星比例",坦克属性分配比例标头,0),FALSE),0)</f>
        <v>60</v>
      </c>
      <c r="BB44" s="486">
        <f ca="1">ROUND(VLOOKUP($AW44&amp;"初始",$O$3:$AA$63,MATCH(BB$3,$O$3:$AA$3,0),FALSE)+(VLOOKUP($AW44&amp;"最终",$O$3:$AA$63,MATCH(BB$3,$O$3:$AA$3,0),FALSE)-VLOOKUP($AW44&amp;"初始",$O$3:$AA$63,MATCH(BB$3,$O$3:$AA$3,0),FALSE))*$AY44/VLOOKUP(VLOOKUP($AW44,坦克个性化设定!$B$18:$E$48,4,FALSE)&amp;$AX44,坦克属性分配比例,MATCH("升星次数",坦克属性分配比例标头,0),FALSE)*(VLOOKUP(VLOOKUP($AW44,坦克个性化设定!$B$18:$E$48,4,FALSE)&amp;$AX44,坦克属性分配比例,MATCH("升星比例",坦克属性分配比例标头,0),FALSE)+VLOOKUP(VLOOKUP($AW44,坦克个性化设定!$B$18:$E$48,4,FALSE)&amp;$AX44,坦克属性分配比例,MATCH("部件比例",坦克属性分配比例标头,0),FALSE)*$C$3),0)</f>
        <v>709</v>
      </c>
      <c r="BC44" s="486">
        <f ca="1">ROUND(VLOOKUP($AW44&amp;"初始",$O$3:$AA$63,MATCH(BC$3,$O$3:$AA$3,0),FALSE)+(VLOOKUP($AW44&amp;"最终",$O$3:$AA$63,MATCH(BC$3,$O$3:$AA$3,0),FALSE)-VLOOKUP($AW44&amp;"初始",$O$3:$AA$63,MATCH(BC$3,$O$3:$AA$3,0),FALSE))*$AY44/VLOOKUP(VLOOKUP($AW44,坦克个性化设定!$B$18:$E$48,4,FALSE)&amp;$AX44,坦克属性分配比例,MATCH("升星次数",坦克属性分配比例标头,0),FALSE)*(VLOOKUP(VLOOKUP($AW44,坦克个性化设定!$B$18:$E$48,4,FALSE)&amp;$AX44,坦克属性分配比例,MATCH("升星比例",坦克属性分配比例标头,0),FALSE)+VLOOKUP(VLOOKUP($AW44,坦克个性化设定!$B$18:$E$48,4,FALSE)&amp;$AX44,坦克属性分配比例,MATCH("部件比例",坦克属性分配比例标头,0),FALSE)*$C$3),0)</f>
        <v>496</v>
      </c>
      <c r="BD44" s="426">
        <f ca="1">ROUND(VLOOKUP($AW44&amp;"初始",$O$3:$AA$63,MATCH(BD$3,$O$3:$AA$3,0),FALSE)+(VLOOKUP($AW44&amp;"最终",$O$3:$AA$63,MATCH(BD$3,$O$3:$AA$3,0),FALSE)-VLOOKUP($AW44&amp;"初始",$O$3:$AA$63,MATCH(BD$3,$O$3:$AA$3,0),FALSE))*$AY44/VLOOKUP(VLOOKUP($AW44,坦克个性化设定!$B$18:$E$48,4,FALSE)&amp;$AX44,坦克属性分配比例,MATCH("升星次数",坦克属性分配比例标头,0),FALSE)*VLOOKUP(VLOOKUP($AW44,坦克个性化设定!$B$18:$E$48,4,FALSE)&amp;$AX44,坦克属性分配比例,MATCH("升星比例",坦克属性分配比例标头,0),FALSE),0)</f>
        <v>591</v>
      </c>
      <c r="BE44" s="426">
        <f ca="1">ROUND(VLOOKUP($AW44&amp;"初始",$O$3:$AA$63,MATCH(BE$3,$O$3:$AA$3,0),FALSE)+(VLOOKUP($AW44&amp;"最终",$O$3:$AA$63,MATCH(BE$3,$O$3:$AA$3,0),FALSE)-VLOOKUP($AW44&amp;"初始",$O$3:$AA$63,MATCH(BE$3,$O$3:$AA$3,0),FALSE))*$AY44/VLOOKUP(VLOOKUP($AW44,坦克个性化设定!$B$18:$E$48,4,FALSE)&amp;$AX44,坦克属性分配比例,MATCH("升星次数",坦克属性分配比例标头,0),FALSE),0)</f>
        <v>183</v>
      </c>
      <c r="BF44" s="462">
        <f>ROUND(VLOOKUP($AW44,$AD$3:$AJ$33,MATCH(BF$3,$AD$3:$AJ$3,0),FALSE)+$AY44/VLOOKUP(VLOOKUP($AW44,坦克个性化设定!$B$18:$E$48,4,FALSE)&amp;$AX44,坦克属性分配比例,MATCH("升星次数",坦克属性分配比例标头,0),FALSE)*VLOOKUP($AW44,$AM$3:$AS$33,MATCH(BF$3,$AM$3:$AS$3,0),FALSE),1)</f>
        <v>54.1</v>
      </c>
      <c r="BG44" s="462">
        <f>ROUND(VLOOKUP($AW44,$AD$3:$AJ$33,MATCH(BG$3,$AD$3:$AJ$3,0),FALSE)+$AY44/VLOOKUP(VLOOKUP($AW44,坦克个性化设定!$B$18:$E$48,4,FALSE)&amp;$AX44,坦克属性分配比例,MATCH("升星次数",坦克属性分配比例标头,0),FALSE)*VLOOKUP($AW44,$AM$3:$AS$33,MATCH(BG$3,$AM$3:$AS$3,0),FALSE),1)</f>
        <v>51.6</v>
      </c>
      <c r="BH44" s="462">
        <f>ROUND(VLOOKUP($AW44,$AD$3:$AJ$33,MATCH(BH$3,$AD$3:$AJ$3,0),FALSE)+$AY44/VLOOKUP(VLOOKUP($AW44,坦克个性化设定!$B$18:$E$48,4,FALSE)&amp;$AX44,坦克属性分配比例,MATCH("升星次数",坦克属性分配比例标头,0),FALSE)*VLOOKUP($AW44,$AM$3:$AS$33,MATCH(BH$3,$AM$3:$AS$3,0),FALSE),1)</f>
        <v>17.3</v>
      </c>
      <c r="BI44" s="654">
        <f>IF(VLOOKUP(AW44,坦克个性化设定!$B$18:$BB$48,MATCH("装弹类型",坦克个性化设定!$B$18:$BB$18,0),FALSE)="弹夹换弹",0,ROUND(VLOOKUP($AW44,$AD$3:$AJ$33,MATCH("换弹时间",$AD$3:$AJ$3,0),FALSE)-$AY44/VLOOKUP(VLOOKUP($AW44,坦克个性化设定!$B$18:$E$48,4,FALSE)&amp;$AX44,坦克属性分配比例,MATCH("升星次数",坦克属性分配比例标头,0),FALSE)*VLOOKUP($AW44,$AM$3:$AS$33,MATCH("换弹时间",$AM$3:$AS$3,0),FALSE),2))</f>
        <v>0</v>
      </c>
      <c r="BJ44" s="462">
        <f>IF(VLOOKUP(AW44,坦克个性化设定!$B$18:$BB$48,MATCH("装弹类型",坦克个性化设定!$B$18:$BB$18,0),FALSE)="弹夹换弹",ROUND(VLOOKUP($AW44,$AD$3:$AJ$33,MATCH("换弹时间",$AD$3:$AJ$3,0),FALSE)-$AY44/VLOOKUP(VLOOKUP($AW44,坦克个性化设定!$B$18:$E$48,4,FALSE)&amp;$AX44,坦克属性分配比例,MATCH("升星次数",坦克属性分配比例标头,0),FALSE)*VLOOKUP($AW44,$AM$3:$AS$33,MATCH("换弹时间",$AM$3:$AS$3,0),FALSE),1),0)</f>
        <v>5.2</v>
      </c>
      <c r="BK44" s="462">
        <f>ROUND(VLOOKUP($AW44,$AD$3:$AJ$33,MATCH(BK$3,$AD$3:$AJ$3,0),FALSE)+$AY44/VLOOKUP(VLOOKUP($AW44,坦克个性化设定!$B$18:$E$48,4,FALSE)&amp;$AX44,坦克属性分配比例,MATCH("升星次数",坦克属性分配比例标头,0),FALSE)*VLOOKUP($AW44,$AM$3:$AS$33,MATCH(BK$3,$AM$3:$AS$3,0),FALSE),2)</f>
        <v>0.3</v>
      </c>
      <c r="BL44" s="462">
        <f>ROUND(VLOOKUP($AW44,$AD$3:$AJ$33,MATCH(BL$3,$AD$3:$AJ$3,0),FALSE)-$AY44/VLOOKUP(VLOOKUP($AW44,坦克个性化设定!$B$18:$E$48,4,FALSE)&amp;$AX44,坦克属性分配比例,MATCH("升星次数",坦克属性分配比例标头,0),FALSE)*VLOOKUP($AW44,$AM$3:$AS$33,MATCH(BL$3,$AM$3:$AS$3,0),FALSE),2)</f>
        <v>0.64</v>
      </c>
    </row>
    <row r="45" spans="2:74" x14ac:dyDescent="0.35">
      <c r="O45" s="426" t="str">
        <f t="shared" si="5"/>
        <v>B-1最终</v>
      </c>
      <c r="P45" s="137">
        <f>IF(COUNTIF(Q$4:Q44,Q44)&gt;=$B$3,P44+1,P44)</f>
        <v>21</v>
      </c>
      <c r="Q45" s="131" t="str">
        <f t="shared" si="6"/>
        <v>B-1</v>
      </c>
      <c r="R45" s="131" t="str">
        <f>VLOOKUP(Q45,坦克个性化设定!$B$18:$F$48,5,FALSE)</f>
        <v>重坦自动</v>
      </c>
      <c r="S45" s="177" t="str">
        <f>VLOOKUP(Q45,坦克个性化细分!$I$3:$J$33,2,FALSE)</f>
        <v>低</v>
      </c>
      <c r="T45" s="137" t="str">
        <f t="shared" si="12"/>
        <v>最终</v>
      </c>
      <c r="U45" s="178" t="str">
        <f>VLOOKUP(VLOOKUP(Q45,坦克个性化设定!$B$18:$F$48,4,FALSE)&amp;S45,坦克等级成长!$P$12:$U$24,MATCH(T45,坦克等级成长!$P$12:$U$12,0),FALSE)</f>
        <v>T1低2</v>
      </c>
      <c r="V45" s="96">
        <f ca="1">VLOOKUP($U45,INDIRECT($R45&amp;"_阶段属性"),MATCH(V$3,属性标头_阶段属性,0),FALSE)*VLOOKUP($Q45,坦克个性化设定!$B$84:$D$114,2,FALSE)</f>
        <v>1302.1283447755372</v>
      </c>
      <c r="W45" s="96">
        <f ca="1">VLOOKUP($U45,INDIRECT($R45&amp;"_阶段属性"),MATCH(W$3,属性标头_阶段属性,0),FALSE)*VLOOKUP($Q45,坦克个性化设定!$B$84:$D$114,3,FALSE)</f>
        <v>242.70588006962666</v>
      </c>
      <c r="X45" s="131">
        <f t="shared" ca="1" si="16"/>
        <v>400</v>
      </c>
      <c r="Y45" s="131">
        <f t="shared" ca="1" si="16"/>
        <v>320</v>
      </c>
      <c r="Z45" s="131">
        <f t="shared" ca="1" si="16"/>
        <v>588</v>
      </c>
      <c r="AA45" s="131">
        <f t="shared" ca="1" si="16"/>
        <v>133</v>
      </c>
      <c r="AU45" s="364" t="str">
        <f t="shared" si="9"/>
        <v>十字军8</v>
      </c>
      <c r="AV45" s="183">
        <f>IF(AY44&gt;=VLOOKUP(VLOOKUP(AW44,坦克个性化设定!$B$18:$E$48,4,FALSE)&amp;AX44,坦克属性分配比例,MATCH("升星次数",坦克属性分配比例标头,0),FALSE),AV44+1,AV44)</f>
        <v>5</v>
      </c>
      <c r="AW45" s="131" t="str">
        <f t="shared" si="10"/>
        <v>十字军</v>
      </c>
      <c r="AX45" s="177" t="str">
        <f>VLOOKUP(AW45,坦克个性化细分!$I$3:$J$33,2,FALSE)</f>
        <v>中</v>
      </c>
      <c r="AY45" s="183">
        <f t="shared" si="1"/>
        <v>8</v>
      </c>
      <c r="AZ45" s="486">
        <f ca="1">ROUND(VLOOKUP($AW45&amp;"初始",$O$3:$AA$63,MATCH(AZ$3,$O$3:$AA$3,0),FALSE)+((VLOOKUP($AW45&amp;"最终",$O$3:$AA$63,MATCH(AZ$3,$O$3:$AA$3,0),FALSE)*坦克个性化细分!$C$9-VLOOKUP($AW45&amp;"初始",$O$3:$AA$63,MATCH(AZ$3,$O$3:$AA$3,0),FALSE))-(VLOOKUP($AW45&amp;"最终",$O$3:$AA$63,MATCH(AZ$3,$O$3:$AA$3,0),FALSE)-VLOOKUP($AW45&amp;"初始",$O$3:$AA$63,MATCH(AZ$3,$O$3:$AA$3,0),FALSE))*VLOOKUP(VLOOKUP($AW45,坦克个性化设定!$B$18:$E$48,4,FALSE)&amp;$AX45,坦克属性分配比例,MATCH("部件比例",坦克属性分配比例标头,0),FALSE))*$AY45/VLOOKUP(VLOOKUP($AW45,坦克个性化设定!$B$18:$E$48,4,FALSE)&amp;$AX45,坦克属性分配比例,MATCH("升星次数",坦克属性分配比例标头,0),FALSE),0)</f>
        <v>2091</v>
      </c>
      <c r="BA45" s="426">
        <f ca="1">ROUND(VLOOKUP($AW45&amp;"初始",$O$3:$AA$63,MATCH(BA$3,$O$3:$AA$3,0),FALSE)+(VLOOKUP($AW45&amp;"最终",$O$3:$AA$63,MATCH(BA$3,$O$3:$AA$3,0),FALSE)-VLOOKUP($AW45&amp;"初始",$O$3:$AA$63,MATCH(BA$3,$O$3:$AA$3,0),FALSE))*$AY45/VLOOKUP(VLOOKUP($AW45,坦克个性化设定!$B$18:$E$48,4,FALSE)&amp;$AX45,坦克属性分配比例,MATCH("升星次数",坦克属性分配比例标头,0),FALSE)*VLOOKUP(VLOOKUP($AW45,坦克个性化设定!$B$18:$E$48,4,FALSE)&amp;$AX45,坦克属性分配比例,MATCH("升星比例",坦克属性分配比例标头,0),FALSE),0)</f>
        <v>62</v>
      </c>
      <c r="BB45" s="486">
        <f ca="1">ROUND(VLOOKUP($AW45&amp;"初始",$O$3:$AA$63,MATCH(BB$3,$O$3:$AA$3,0),FALSE)+(VLOOKUP($AW45&amp;"最终",$O$3:$AA$63,MATCH(BB$3,$O$3:$AA$3,0),FALSE)-VLOOKUP($AW45&amp;"初始",$O$3:$AA$63,MATCH(BB$3,$O$3:$AA$3,0),FALSE))*$AY45/VLOOKUP(VLOOKUP($AW45,坦克个性化设定!$B$18:$E$48,4,FALSE)&amp;$AX45,坦克属性分配比例,MATCH("升星次数",坦克属性分配比例标头,0),FALSE)*(VLOOKUP(VLOOKUP($AW45,坦克个性化设定!$B$18:$E$48,4,FALSE)&amp;$AX45,坦克属性分配比例,MATCH("升星比例",坦克属性分配比例标头,0),FALSE)+VLOOKUP(VLOOKUP($AW45,坦克个性化设定!$B$18:$E$48,4,FALSE)&amp;$AX45,坦克属性分配比例,MATCH("部件比例",坦克属性分配比例标头,0),FALSE)*$C$3),0)</f>
        <v>738</v>
      </c>
      <c r="BC45" s="486">
        <f ca="1">ROUND(VLOOKUP($AW45&amp;"初始",$O$3:$AA$63,MATCH(BC$3,$O$3:$AA$3,0),FALSE)+(VLOOKUP($AW45&amp;"最终",$O$3:$AA$63,MATCH(BC$3,$O$3:$AA$3,0),FALSE)-VLOOKUP($AW45&amp;"初始",$O$3:$AA$63,MATCH(BC$3,$O$3:$AA$3,0),FALSE))*$AY45/VLOOKUP(VLOOKUP($AW45,坦克个性化设定!$B$18:$E$48,4,FALSE)&amp;$AX45,坦克属性分配比例,MATCH("升星次数",坦克属性分配比例标头,0),FALSE)*(VLOOKUP(VLOOKUP($AW45,坦克个性化设定!$B$18:$E$48,4,FALSE)&amp;$AX45,坦克属性分配比例,MATCH("升星比例",坦克属性分配比例标头,0),FALSE)+VLOOKUP(VLOOKUP($AW45,坦克个性化设定!$B$18:$E$48,4,FALSE)&amp;$AX45,坦克属性分配比例,MATCH("部件比例",坦克属性分配比例标头,0),FALSE)*$C$3),0)</f>
        <v>516</v>
      </c>
      <c r="BD45" s="426">
        <f ca="1">ROUND(VLOOKUP($AW45&amp;"初始",$O$3:$AA$63,MATCH(BD$3,$O$3:$AA$3,0),FALSE)+(VLOOKUP($AW45&amp;"最终",$O$3:$AA$63,MATCH(BD$3,$O$3:$AA$3,0),FALSE)-VLOOKUP($AW45&amp;"初始",$O$3:$AA$63,MATCH(BD$3,$O$3:$AA$3,0),FALSE))*$AY45/VLOOKUP(VLOOKUP($AW45,坦克个性化设定!$B$18:$E$48,4,FALSE)&amp;$AX45,坦克属性分配比例,MATCH("升星次数",坦克属性分配比例标头,0),FALSE)*VLOOKUP(VLOOKUP($AW45,坦克个性化设定!$B$18:$E$48,4,FALSE)&amp;$AX45,坦克属性分配比例,MATCH("升星比例",坦克属性分配比例标头,0),FALSE),0)</f>
        <v>610</v>
      </c>
      <c r="BE45" s="426">
        <f ca="1">ROUND(VLOOKUP($AW45&amp;"初始",$O$3:$AA$63,MATCH(BE$3,$O$3:$AA$3,0),FALSE)+(VLOOKUP($AW45&amp;"最终",$O$3:$AA$63,MATCH(BE$3,$O$3:$AA$3,0),FALSE)-VLOOKUP($AW45&amp;"初始",$O$3:$AA$63,MATCH(BE$3,$O$3:$AA$3,0),FALSE))*$AY45/VLOOKUP(VLOOKUP($AW45,坦克个性化设定!$B$18:$E$48,4,FALSE)&amp;$AX45,坦克属性分配比例,MATCH("升星次数",坦克属性分配比例标头,0),FALSE),0)</f>
        <v>191</v>
      </c>
      <c r="BF45" s="462">
        <f>ROUND(VLOOKUP($AW45,$AD$3:$AJ$33,MATCH(BF$3,$AD$3:$AJ$3,0),FALSE)+$AY45/VLOOKUP(VLOOKUP($AW45,坦克个性化设定!$B$18:$E$48,4,FALSE)&amp;$AX45,坦克属性分配比例,MATCH("升星次数",坦克属性分配比例标头,0),FALSE)*VLOOKUP($AW45,$AM$3:$AS$33,MATCH(BF$3,$AM$3:$AS$3,0),FALSE),1)</f>
        <v>55</v>
      </c>
      <c r="BG45" s="462">
        <f>ROUND(VLOOKUP($AW45,$AD$3:$AJ$33,MATCH(BG$3,$AD$3:$AJ$3,0),FALSE)+$AY45/VLOOKUP(VLOOKUP($AW45,坦克个性化设定!$B$18:$E$48,4,FALSE)&amp;$AX45,坦克属性分配比例,MATCH("升星次数",坦克属性分配比例标头,0),FALSE)*VLOOKUP($AW45,$AM$3:$AS$33,MATCH(BG$3,$AM$3:$AS$3,0),FALSE),1)</f>
        <v>52.5</v>
      </c>
      <c r="BH45" s="462">
        <f>ROUND(VLOOKUP($AW45,$AD$3:$AJ$33,MATCH(BH$3,$AD$3:$AJ$3,0),FALSE)+$AY45/VLOOKUP(VLOOKUP($AW45,坦克个性化设定!$B$18:$E$48,4,FALSE)&amp;$AX45,坦克属性分配比例,MATCH("升星次数",坦克属性分配比例标头,0),FALSE)*VLOOKUP($AW45,$AM$3:$AS$33,MATCH(BH$3,$AM$3:$AS$3,0),FALSE),1)</f>
        <v>17.7</v>
      </c>
      <c r="BI45" s="654">
        <f>IF(VLOOKUP(AW45,坦克个性化设定!$B$18:$BB$48,MATCH("装弹类型",坦克个性化设定!$B$18:$BB$18,0),FALSE)="弹夹换弹",0,ROUND(VLOOKUP($AW45,$AD$3:$AJ$33,MATCH("换弹时间",$AD$3:$AJ$3,0),FALSE)-$AY45/VLOOKUP(VLOOKUP($AW45,坦克个性化设定!$B$18:$E$48,4,FALSE)&amp;$AX45,坦克属性分配比例,MATCH("升星次数",坦克属性分配比例标头,0),FALSE)*VLOOKUP($AW45,$AM$3:$AS$33,MATCH("换弹时间",$AM$3:$AS$3,0),FALSE),2))</f>
        <v>0</v>
      </c>
      <c r="BJ45" s="462">
        <f>IF(VLOOKUP(AW45,坦克个性化设定!$B$18:$BB$48,MATCH("装弹类型",坦克个性化设定!$B$18:$BB$18,0),FALSE)="弹夹换弹",ROUND(VLOOKUP($AW45,$AD$3:$AJ$33,MATCH("换弹时间",$AD$3:$AJ$3,0),FALSE)-$AY45/VLOOKUP(VLOOKUP($AW45,坦克个性化设定!$B$18:$E$48,4,FALSE)&amp;$AX45,坦克属性分配比例,MATCH("升星次数",坦克属性分配比例标头,0),FALSE)*VLOOKUP($AW45,$AM$3:$AS$33,MATCH("换弹时间",$AM$3:$AS$3,0),FALSE),1),0)</f>
        <v>5</v>
      </c>
      <c r="BK45" s="462">
        <f>ROUND(VLOOKUP($AW45,$AD$3:$AJ$33,MATCH(BK$3,$AD$3:$AJ$3,0),FALSE)+$AY45/VLOOKUP(VLOOKUP($AW45,坦克个性化设定!$B$18:$E$48,4,FALSE)&amp;$AX45,坦克属性分配比例,MATCH("升星次数",坦克属性分配比例标头,0),FALSE)*VLOOKUP($AW45,$AM$3:$AS$33,MATCH(BK$3,$AM$3:$AS$3,0),FALSE),2)</f>
        <v>0.3</v>
      </c>
      <c r="BL45" s="462">
        <f>ROUND(VLOOKUP($AW45,$AD$3:$AJ$33,MATCH(BL$3,$AD$3:$AJ$3,0),FALSE)-$AY45/VLOOKUP(VLOOKUP($AW45,坦克个性化设定!$B$18:$E$48,4,FALSE)&amp;$AX45,坦克属性分配比例,MATCH("升星次数",坦克属性分配比例标头,0),FALSE)*VLOOKUP($AW45,$AM$3:$AS$33,MATCH(BL$3,$AM$3:$AS$3,0),FALSE),2)</f>
        <v>0.63</v>
      </c>
    </row>
    <row r="46" spans="2:74" x14ac:dyDescent="0.35">
      <c r="O46" s="426" t="str">
        <f t="shared" si="5"/>
        <v>KV-1初始</v>
      </c>
      <c r="P46" s="137">
        <f>IF(COUNTIF(Q$4:Q45,Q45)&gt;=$B$3,P45+1,P45)</f>
        <v>22</v>
      </c>
      <c r="Q46" s="131" t="str">
        <f t="shared" si="6"/>
        <v>KV-1</v>
      </c>
      <c r="R46" s="131" t="str">
        <f>VLOOKUP(Q46,坦克个性化设定!$B$18:$F$48,5,FALSE)</f>
        <v>重坦自动</v>
      </c>
      <c r="S46" s="177" t="str">
        <f>VLOOKUP(Q46,坦克个性化细分!$I$3:$J$33,2,FALSE)</f>
        <v>低</v>
      </c>
      <c r="T46" s="137" t="str">
        <f t="shared" si="12"/>
        <v>初始</v>
      </c>
      <c r="U46" s="178" t="str">
        <f>VLOOKUP(VLOOKUP(Q46,坦克个性化设定!$B$18:$F$48,4,FALSE)&amp;S46,坦克等级成长!$P$12:$U$24,MATCH(T46,坦克等级成长!$P$12:$U$12,0),FALSE)</f>
        <v>T2低2</v>
      </c>
      <c r="V46" s="96">
        <f ca="1">VLOOKUP($U46,INDIRECT($R46&amp;"_阶段属性"),MATCH(V$3,属性标头_阶段属性,0),FALSE)*VLOOKUP($Q46,坦克个性化设定!$B$84:$D$114,2,FALSE)</f>
        <v>1081.587098432414</v>
      </c>
      <c r="W46" s="96">
        <f ca="1">VLOOKUP($U46,INDIRECT($R46&amp;"_阶段属性"),MATCH(W$3,属性标头_阶段属性,0),FALSE)*VLOOKUP($Q46,坦克个性化设定!$B$84:$D$114,3,FALSE)</f>
        <v>142.78804370557441</v>
      </c>
      <c r="X46" s="131">
        <f t="shared" ca="1" si="16"/>
        <v>343</v>
      </c>
      <c r="Y46" s="131">
        <f t="shared" ca="1" si="16"/>
        <v>274</v>
      </c>
      <c r="Z46" s="131">
        <f t="shared" ca="1" si="16"/>
        <v>504</v>
      </c>
      <c r="AA46" s="131">
        <f t="shared" ca="1" si="16"/>
        <v>114</v>
      </c>
      <c r="AU46" s="364" t="str">
        <f t="shared" si="9"/>
        <v>十字军9</v>
      </c>
      <c r="AV46" s="183">
        <f>IF(AY45&gt;=VLOOKUP(VLOOKUP(AW45,坦克个性化设定!$B$18:$E$48,4,FALSE)&amp;AX45,坦克属性分配比例,MATCH("升星次数",坦克属性分配比例标头,0),FALSE),AV45+1,AV45)</f>
        <v>5</v>
      </c>
      <c r="AW46" s="131" t="str">
        <f t="shared" si="10"/>
        <v>十字军</v>
      </c>
      <c r="AX46" s="177" t="str">
        <f>VLOOKUP(AW46,坦克个性化细分!$I$3:$J$33,2,FALSE)</f>
        <v>中</v>
      </c>
      <c r="AY46" s="183">
        <f t="shared" si="1"/>
        <v>9</v>
      </c>
      <c r="AZ46" s="486">
        <f ca="1">ROUND(VLOOKUP($AW46&amp;"初始",$O$3:$AA$63,MATCH(AZ$3,$O$3:$AA$3,0),FALSE)+((VLOOKUP($AW46&amp;"最终",$O$3:$AA$63,MATCH(AZ$3,$O$3:$AA$3,0),FALSE)*坦克个性化细分!$C$9-VLOOKUP($AW46&amp;"初始",$O$3:$AA$63,MATCH(AZ$3,$O$3:$AA$3,0),FALSE))-(VLOOKUP($AW46&amp;"最终",$O$3:$AA$63,MATCH(AZ$3,$O$3:$AA$3,0),FALSE)-VLOOKUP($AW46&amp;"初始",$O$3:$AA$63,MATCH(AZ$3,$O$3:$AA$3,0),FALSE))*VLOOKUP(VLOOKUP($AW46,坦克个性化设定!$B$18:$E$48,4,FALSE)&amp;$AX46,坦克属性分配比例,MATCH("部件比例",坦克属性分配比例标头,0),FALSE))*$AY46/VLOOKUP(VLOOKUP($AW46,坦克个性化设定!$B$18:$E$48,4,FALSE)&amp;$AX46,坦克属性分配比例,MATCH("升星次数",坦克属性分配比例标头,0),FALSE),0)</f>
        <v>2194</v>
      </c>
      <c r="BA46" s="426">
        <f ca="1">ROUND(VLOOKUP($AW46&amp;"初始",$O$3:$AA$63,MATCH(BA$3,$O$3:$AA$3,0),FALSE)+(VLOOKUP($AW46&amp;"最终",$O$3:$AA$63,MATCH(BA$3,$O$3:$AA$3,0),FALSE)-VLOOKUP($AW46&amp;"初始",$O$3:$AA$63,MATCH(BA$3,$O$3:$AA$3,0),FALSE))*$AY46/VLOOKUP(VLOOKUP($AW46,坦克个性化设定!$B$18:$E$48,4,FALSE)&amp;$AX46,坦克属性分配比例,MATCH("升星次数",坦克属性分配比例标头,0),FALSE)*VLOOKUP(VLOOKUP($AW46,坦克个性化设定!$B$18:$E$48,4,FALSE)&amp;$AX46,坦克属性分配比例,MATCH("升星比例",坦克属性分配比例标头,0),FALSE),0)</f>
        <v>64</v>
      </c>
      <c r="BB46" s="486">
        <f ca="1">ROUND(VLOOKUP($AW46&amp;"初始",$O$3:$AA$63,MATCH(BB$3,$O$3:$AA$3,0),FALSE)+(VLOOKUP($AW46&amp;"最终",$O$3:$AA$63,MATCH(BB$3,$O$3:$AA$3,0),FALSE)-VLOOKUP($AW46&amp;"初始",$O$3:$AA$63,MATCH(BB$3,$O$3:$AA$3,0),FALSE))*$AY46/VLOOKUP(VLOOKUP($AW46,坦克个性化设定!$B$18:$E$48,4,FALSE)&amp;$AX46,坦克属性分配比例,MATCH("升星次数",坦克属性分配比例标头,0),FALSE)*(VLOOKUP(VLOOKUP($AW46,坦克个性化设定!$B$18:$E$48,4,FALSE)&amp;$AX46,坦克属性分配比例,MATCH("升星比例",坦克属性分配比例标头,0),FALSE)+VLOOKUP(VLOOKUP($AW46,坦克个性化设定!$B$18:$E$48,4,FALSE)&amp;$AX46,坦克属性分配比例,MATCH("部件比例",坦克属性分配比例标头,0),FALSE)*$C$3),0)</f>
        <v>766</v>
      </c>
      <c r="BC46" s="486">
        <f ca="1">ROUND(VLOOKUP($AW46&amp;"初始",$O$3:$AA$63,MATCH(BC$3,$O$3:$AA$3,0),FALSE)+(VLOOKUP($AW46&amp;"最终",$O$3:$AA$63,MATCH(BC$3,$O$3:$AA$3,0),FALSE)-VLOOKUP($AW46&amp;"初始",$O$3:$AA$63,MATCH(BC$3,$O$3:$AA$3,0),FALSE))*$AY46/VLOOKUP(VLOOKUP($AW46,坦克个性化设定!$B$18:$E$48,4,FALSE)&amp;$AX46,坦克属性分配比例,MATCH("升星次数",坦克属性分配比例标头,0),FALSE)*(VLOOKUP(VLOOKUP($AW46,坦克个性化设定!$B$18:$E$48,4,FALSE)&amp;$AX46,坦克属性分配比例,MATCH("升星比例",坦克属性分配比例标头,0),FALSE)+VLOOKUP(VLOOKUP($AW46,坦克个性化设定!$B$18:$E$48,4,FALSE)&amp;$AX46,坦克属性分配比例,MATCH("部件比例",坦克属性分配比例标头,0),FALSE)*$C$3),0)</f>
        <v>537</v>
      </c>
      <c r="BD46" s="426">
        <f ca="1">ROUND(VLOOKUP($AW46&amp;"初始",$O$3:$AA$63,MATCH(BD$3,$O$3:$AA$3,0),FALSE)+(VLOOKUP($AW46&amp;"最终",$O$3:$AA$63,MATCH(BD$3,$O$3:$AA$3,0),FALSE)-VLOOKUP($AW46&amp;"初始",$O$3:$AA$63,MATCH(BD$3,$O$3:$AA$3,0),FALSE))*$AY46/VLOOKUP(VLOOKUP($AW46,坦克个性化设定!$B$18:$E$48,4,FALSE)&amp;$AX46,坦克属性分配比例,MATCH("升星次数",坦克属性分配比例标头,0),FALSE)*VLOOKUP(VLOOKUP($AW46,坦克个性化设定!$B$18:$E$48,4,FALSE)&amp;$AX46,坦克属性分配比例,MATCH("升星比例",坦克属性分配比例标头,0),FALSE),0)</f>
        <v>628</v>
      </c>
      <c r="BE46" s="426">
        <f ca="1">ROUND(VLOOKUP($AW46&amp;"初始",$O$3:$AA$63,MATCH(BE$3,$O$3:$AA$3,0),FALSE)+(VLOOKUP($AW46&amp;"最终",$O$3:$AA$63,MATCH(BE$3,$O$3:$AA$3,0),FALSE)-VLOOKUP($AW46&amp;"初始",$O$3:$AA$63,MATCH(BE$3,$O$3:$AA$3,0),FALSE))*$AY46/VLOOKUP(VLOOKUP($AW46,坦克个性化设定!$B$18:$E$48,4,FALSE)&amp;$AX46,坦克属性分配比例,MATCH("升星次数",坦克属性分配比例标头,0),FALSE),0)</f>
        <v>200</v>
      </c>
      <c r="BF46" s="462">
        <f>ROUND(VLOOKUP($AW46,$AD$3:$AJ$33,MATCH(BF$3,$AD$3:$AJ$3,0),FALSE)+$AY46/VLOOKUP(VLOOKUP($AW46,坦克个性化设定!$B$18:$E$48,4,FALSE)&amp;$AX46,坦克属性分配比例,MATCH("升星次数",坦克属性分配比例标头,0),FALSE)*VLOOKUP($AW46,$AM$3:$AS$33,MATCH(BF$3,$AM$3:$AS$3,0),FALSE),1)</f>
        <v>55.8</v>
      </c>
      <c r="BG46" s="462">
        <f>ROUND(VLOOKUP($AW46,$AD$3:$AJ$33,MATCH(BG$3,$AD$3:$AJ$3,0),FALSE)+$AY46/VLOOKUP(VLOOKUP($AW46,坦克个性化设定!$B$18:$E$48,4,FALSE)&amp;$AX46,坦克属性分配比例,MATCH("升星次数",坦克属性分配比例标头,0),FALSE)*VLOOKUP($AW46,$AM$3:$AS$33,MATCH(BG$3,$AM$3:$AS$3,0),FALSE),1)</f>
        <v>53.3</v>
      </c>
      <c r="BH46" s="462">
        <f>ROUND(VLOOKUP($AW46,$AD$3:$AJ$33,MATCH(BH$3,$AD$3:$AJ$3,0),FALSE)+$AY46/VLOOKUP(VLOOKUP($AW46,坦克个性化设定!$B$18:$E$48,4,FALSE)&amp;$AX46,坦克属性分配比例,MATCH("升星次数",坦克属性分配比例标头,0),FALSE)*VLOOKUP($AW46,$AM$3:$AS$33,MATCH(BH$3,$AM$3:$AS$3,0),FALSE),1)</f>
        <v>18</v>
      </c>
      <c r="BI46" s="654">
        <f>IF(VLOOKUP(AW46,坦克个性化设定!$B$18:$BB$48,MATCH("装弹类型",坦克个性化设定!$B$18:$BB$18,0),FALSE)="弹夹换弹",0,ROUND(VLOOKUP($AW46,$AD$3:$AJ$33,MATCH("换弹时间",$AD$3:$AJ$3,0),FALSE)-$AY46/VLOOKUP(VLOOKUP($AW46,坦克个性化设定!$B$18:$E$48,4,FALSE)&amp;$AX46,坦克属性分配比例,MATCH("升星次数",坦克属性分配比例标头,0),FALSE)*VLOOKUP($AW46,$AM$3:$AS$33,MATCH("换弹时间",$AM$3:$AS$3,0),FALSE),2))</f>
        <v>0</v>
      </c>
      <c r="BJ46" s="462">
        <f>IF(VLOOKUP(AW46,坦克个性化设定!$B$18:$BB$48,MATCH("装弹类型",坦克个性化设定!$B$18:$BB$18,0),FALSE)="弹夹换弹",ROUND(VLOOKUP($AW46,$AD$3:$AJ$33,MATCH("换弹时间",$AD$3:$AJ$3,0),FALSE)-$AY46/VLOOKUP(VLOOKUP($AW46,坦克个性化设定!$B$18:$E$48,4,FALSE)&amp;$AX46,坦克属性分配比例,MATCH("升星次数",坦克属性分配比例标头,0),FALSE)*VLOOKUP($AW46,$AM$3:$AS$33,MATCH("换弹时间",$AM$3:$AS$3,0),FALSE),1),0)</f>
        <v>4.9000000000000004</v>
      </c>
      <c r="BK46" s="462">
        <f>ROUND(VLOOKUP($AW46,$AD$3:$AJ$33,MATCH(BK$3,$AD$3:$AJ$3,0),FALSE)+$AY46/VLOOKUP(VLOOKUP($AW46,坦克个性化设定!$B$18:$E$48,4,FALSE)&amp;$AX46,坦克属性分配比例,MATCH("升星次数",坦克属性分配比例标头,0),FALSE)*VLOOKUP($AW46,$AM$3:$AS$33,MATCH(BK$3,$AM$3:$AS$3,0),FALSE),2)</f>
        <v>0.3</v>
      </c>
      <c r="BL46" s="462">
        <f>ROUND(VLOOKUP($AW46,$AD$3:$AJ$33,MATCH(BL$3,$AD$3:$AJ$3,0),FALSE)-$AY46/VLOOKUP(VLOOKUP($AW46,坦克个性化设定!$B$18:$E$48,4,FALSE)&amp;$AX46,坦克属性分配比例,MATCH("升星次数",坦克属性分配比例标头,0),FALSE)*VLOOKUP($AW46,$AM$3:$AS$33,MATCH(BL$3,$AM$3:$AS$3,0),FALSE),2)</f>
        <v>0.63</v>
      </c>
    </row>
    <row r="47" spans="2:74" x14ac:dyDescent="0.35">
      <c r="O47" s="426" t="str">
        <f t="shared" si="5"/>
        <v>KV-1最终</v>
      </c>
      <c r="P47" s="137">
        <f>IF(COUNTIF(Q$4:Q46,Q46)&gt;=$B$3,P46+1,P46)</f>
        <v>22</v>
      </c>
      <c r="Q47" s="131" t="str">
        <f t="shared" si="6"/>
        <v>KV-1</v>
      </c>
      <c r="R47" s="131" t="str">
        <f>VLOOKUP(Q47,坦克个性化设定!$B$18:$F$48,5,FALSE)</f>
        <v>重坦自动</v>
      </c>
      <c r="S47" s="177" t="str">
        <f>VLOOKUP(Q47,坦克个性化细分!$I$3:$J$33,2,FALSE)</f>
        <v>低</v>
      </c>
      <c r="T47" s="137" t="str">
        <f t="shared" si="12"/>
        <v>最终</v>
      </c>
      <c r="U47" s="178" t="str">
        <f>VLOOKUP(VLOOKUP(Q47,坦克个性化设定!$B$18:$F$48,4,FALSE)&amp;S47,坦克等级成长!$P$12:$U$24,MATCH(T47,坦克等级成长!$P$12:$U$12,0),FALSE)</f>
        <v>T2低3</v>
      </c>
      <c r="V47" s="96">
        <f ca="1">VLOOKUP($U47,INDIRECT($R47&amp;"_阶段属性"),MATCH(V$3,属性标头_阶段属性,0),FALSE)*VLOOKUP($Q47,坦克个性化设定!$B$84:$D$114,2,FALSE)</f>
        <v>1621.9066831006664</v>
      </c>
      <c r="W47" s="96">
        <f ca="1">VLOOKUP($U47,INDIRECT($R47&amp;"_阶段属性"),MATCH(W$3,属性标头_阶段属性,0),FALSE)*VLOOKUP($Q47,坦克个性化设定!$B$84:$D$114,3,FALSE)</f>
        <v>214.5854216140271</v>
      </c>
      <c r="X47" s="131">
        <f t="shared" ca="1" si="16"/>
        <v>514</v>
      </c>
      <c r="Y47" s="131">
        <f t="shared" ca="1" si="16"/>
        <v>411</v>
      </c>
      <c r="Z47" s="131">
        <f t="shared" ca="1" si="16"/>
        <v>756</v>
      </c>
      <c r="AA47" s="131">
        <f t="shared" ca="1" si="16"/>
        <v>171</v>
      </c>
      <c r="AU47" s="364" t="str">
        <f t="shared" si="9"/>
        <v>十字军10</v>
      </c>
      <c r="AV47" s="183">
        <f>IF(AY46&gt;=VLOOKUP(VLOOKUP(AW46,坦克个性化设定!$B$18:$E$48,4,FALSE)&amp;AX46,坦克属性分配比例,MATCH("升星次数",坦克属性分配比例标头,0),FALSE),AV46+1,AV46)</f>
        <v>5</v>
      </c>
      <c r="AW47" s="131" t="str">
        <f t="shared" si="10"/>
        <v>十字军</v>
      </c>
      <c r="AX47" s="177" t="str">
        <f>VLOOKUP(AW47,坦克个性化细分!$I$3:$J$33,2,FALSE)</f>
        <v>中</v>
      </c>
      <c r="AY47" s="183">
        <f t="shared" si="1"/>
        <v>10</v>
      </c>
      <c r="AZ47" s="486">
        <f ca="1">ROUND(VLOOKUP($AW47&amp;"初始",$O$3:$AA$63,MATCH(AZ$3,$O$3:$AA$3,0),FALSE)+((VLOOKUP($AW47&amp;"最终",$O$3:$AA$63,MATCH(AZ$3,$O$3:$AA$3,0),FALSE)*坦克个性化细分!$C$9-VLOOKUP($AW47&amp;"初始",$O$3:$AA$63,MATCH(AZ$3,$O$3:$AA$3,0),FALSE))-(VLOOKUP($AW47&amp;"最终",$O$3:$AA$63,MATCH(AZ$3,$O$3:$AA$3,0),FALSE)-VLOOKUP($AW47&amp;"初始",$O$3:$AA$63,MATCH(AZ$3,$O$3:$AA$3,0),FALSE))*VLOOKUP(VLOOKUP($AW47,坦克个性化设定!$B$18:$E$48,4,FALSE)&amp;$AX47,坦克属性分配比例,MATCH("部件比例",坦克属性分配比例标头,0),FALSE))*$AY47/VLOOKUP(VLOOKUP($AW47,坦克个性化设定!$B$18:$E$48,4,FALSE)&amp;$AX47,坦克属性分配比例,MATCH("升星次数",坦克属性分配比例标头,0),FALSE),0)</f>
        <v>2297</v>
      </c>
      <c r="BA47" s="426">
        <f ca="1">ROUND(VLOOKUP($AW47&amp;"初始",$O$3:$AA$63,MATCH(BA$3,$O$3:$AA$3,0),FALSE)+(VLOOKUP($AW47&amp;"最终",$O$3:$AA$63,MATCH(BA$3,$O$3:$AA$3,0),FALSE)-VLOOKUP($AW47&amp;"初始",$O$3:$AA$63,MATCH(BA$3,$O$3:$AA$3,0),FALSE))*$AY47/VLOOKUP(VLOOKUP($AW47,坦克个性化设定!$B$18:$E$48,4,FALSE)&amp;$AX47,坦克属性分配比例,MATCH("升星次数",坦克属性分配比例标头,0),FALSE)*VLOOKUP(VLOOKUP($AW47,坦克个性化设定!$B$18:$E$48,4,FALSE)&amp;$AX47,坦克属性分配比例,MATCH("升星比例",坦克属性分配比例标头,0),FALSE),0)</f>
        <v>66</v>
      </c>
      <c r="BB47" s="486">
        <f ca="1">ROUND(VLOOKUP($AW47&amp;"初始",$O$3:$AA$63,MATCH(BB$3,$O$3:$AA$3,0),FALSE)+(VLOOKUP($AW47&amp;"最终",$O$3:$AA$63,MATCH(BB$3,$O$3:$AA$3,0),FALSE)-VLOOKUP($AW47&amp;"初始",$O$3:$AA$63,MATCH(BB$3,$O$3:$AA$3,0),FALSE))*$AY47/VLOOKUP(VLOOKUP($AW47,坦克个性化设定!$B$18:$E$48,4,FALSE)&amp;$AX47,坦克属性分配比例,MATCH("升星次数",坦克属性分配比例标头,0),FALSE)*(VLOOKUP(VLOOKUP($AW47,坦克个性化设定!$B$18:$E$48,4,FALSE)&amp;$AX47,坦克属性分配比例,MATCH("升星比例",坦克属性分配比例标头,0),FALSE)+VLOOKUP(VLOOKUP($AW47,坦克个性化设定!$B$18:$E$48,4,FALSE)&amp;$AX47,坦克属性分配比例,MATCH("部件比例",坦克属性分配比例标头,0),FALSE)*$C$3),0)</f>
        <v>795</v>
      </c>
      <c r="BC47" s="486">
        <f ca="1">ROUND(VLOOKUP($AW47&amp;"初始",$O$3:$AA$63,MATCH(BC$3,$O$3:$AA$3,0),FALSE)+(VLOOKUP($AW47&amp;"最终",$O$3:$AA$63,MATCH(BC$3,$O$3:$AA$3,0),FALSE)-VLOOKUP($AW47&amp;"初始",$O$3:$AA$63,MATCH(BC$3,$O$3:$AA$3,0),FALSE))*$AY47/VLOOKUP(VLOOKUP($AW47,坦克个性化设定!$B$18:$E$48,4,FALSE)&amp;$AX47,坦克属性分配比例,MATCH("升星次数",坦克属性分配比例标头,0),FALSE)*(VLOOKUP(VLOOKUP($AW47,坦克个性化设定!$B$18:$E$48,4,FALSE)&amp;$AX47,坦克属性分配比例,MATCH("升星比例",坦克属性分配比例标头,0),FALSE)+VLOOKUP(VLOOKUP($AW47,坦克个性化设定!$B$18:$E$48,4,FALSE)&amp;$AX47,坦克属性分配比例,MATCH("部件比例",坦克属性分配比例标头,0),FALSE)*$C$3),0)</f>
        <v>557</v>
      </c>
      <c r="BD47" s="426">
        <f ca="1">ROUND(VLOOKUP($AW47&amp;"初始",$O$3:$AA$63,MATCH(BD$3,$O$3:$AA$3,0),FALSE)+(VLOOKUP($AW47&amp;"最终",$O$3:$AA$63,MATCH(BD$3,$O$3:$AA$3,0),FALSE)-VLOOKUP($AW47&amp;"初始",$O$3:$AA$63,MATCH(BD$3,$O$3:$AA$3,0),FALSE))*$AY47/VLOOKUP(VLOOKUP($AW47,坦克个性化设定!$B$18:$E$48,4,FALSE)&amp;$AX47,坦克属性分配比例,MATCH("升星次数",坦克属性分配比例标头,0),FALSE)*VLOOKUP(VLOOKUP($AW47,坦克个性化设定!$B$18:$E$48,4,FALSE)&amp;$AX47,坦克属性分配比例,MATCH("升星比例",坦克属性分配比例标头,0),FALSE),0)</f>
        <v>646</v>
      </c>
      <c r="BE47" s="426">
        <f ca="1">ROUND(VLOOKUP($AW47&amp;"初始",$O$3:$AA$63,MATCH(BE$3,$O$3:$AA$3,0),FALSE)+(VLOOKUP($AW47&amp;"最终",$O$3:$AA$63,MATCH(BE$3,$O$3:$AA$3,0),FALSE)-VLOOKUP($AW47&amp;"初始",$O$3:$AA$63,MATCH(BE$3,$O$3:$AA$3,0),FALSE))*$AY47/VLOOKUP(VLOOKUP($AW47,坦克个性化设定!$B$18:$E$48,4,FALSE)&amp;$AX47,坦克属性分配比例,MATCH("升星次数",坦克属性分配比例标头,0),FALSE),0)</f>
        <v>208</v>
      </c>
      <c r="BF47" s="462">
        <f>ROUND(VLOOKUP($AW47,$AD$3:$AJ$33,MATCH(BF$3,$AD$3:$AJ$3,0),FALSE)+$AY47/VLOOKUP(VLOOKUP($AW47,坦克个性化设定!$B$18:$E$48,4,FALSE)&amp;$AX47,坦克属性分配比例,MATCH("升星次数",坦克属性分配比例标头,0),FALSE)*VLOOKUP($AW47,$AM$3:$AS$33,MATCH(BF$3,$AM$3:$AS$3,0),FALSE),1)</f>
        <v>56.7</v>
      </c>
      <c r="BG47" s="462">
        <f>ROUND(VLOOKUP($AW47,$AD$3:$AJ$33,MATCH(BG$3,$AD$3:$AJ$3,0),FALSE)+$AY47/VLOOKUP(VLOOKUP($AW47,坦克个性化设定!$B$18:$E$48,4,FALSE)&amp;$AX47,坦克属性分配比例,MATCH("升星次数",坦克属性分配比例标头,0),FALSE)*VLOOKUP($AW47,$AM$3:$AS$33,MATCH(BG$3,$AM$3:$AS$3,0),FALSE),1)</f>
        <v>54.1</v>
      </c>
      <c r="BH47" s="462">
        <f>ROUND(VLOOKUP($AW47,$AD$3:$AJ$33,MATCH(BH$3,$AD$3:$AJ$3,0),FALSE)+$AY47/VLOOKUP(VLOOKUP($AW47,坦克个性化设定!$B$18:$E$48,4,FALSE)&amp;$AX47,坦克属性分配比例,MATCH("升星次数",坦克属性分配比例标头,0),FALSE)*VLOOKUP($AW47,$AM$3:$AS$33,MATCH(BH$3,$AM$3:$AS$3,0),FALSE),1)</f>
        <v>18.399999999999999</v>
      </c>
      <c r="BI47" s="654">
        <f>IF(VLOOKUP(AW47,坦克个性化设定!$B$18:$BB$48,MATCH("装弹类型",坦克个性化设定!$B$18:$BB$18,0),FALSE)="弹夹换弹",0,ROUND(VLOOKUP($AW47,$AD$3:$AJ$33,MATCH("换弹时间",$AD$3:$AJ$3,0),FALSE)-$AY47/VLOOKUP(VLOOKUP($AW47,坦克个性化设定!$B$18:$E$48,4,FALSE)&amp;$AX47,坦克属性分配比例,MATCH("升星次数",坦克属性分配比例标头,0),FALSE)*VLOOKUP($AW47,$AM$3:$AS$33,MATCH("换弹时间",$AM$3:$AS$3,0),FALSE),2))</f>
        <v>0</v>
      </c>
      <c r="BJ47" s="462">
        <f>IF(VLOOKUP(AW47,坦克个性化设定!$B$18:$BB$48,MATCH("装弹类型",坦克个性化设定!$B$18:$BB$18,0),FALSE)="弹夹换弹",ROUND(VLOOKUP($AW47,$AD$3:$AJ$33,MATCH("换弹时间",$AD$3:$AJ$3,0),FALSE)-$AY47/VLOOKUP(VLOOKUP($AW47,坦克个性化设定!$B$18:$E$48,4,FALSE)&amp;$AX47,坦克属性分配比例,MATCH("升星次数",坦克属性分配比例标头,0),FALSE)*VLOOKUP($AW47,$AM$3:$AS$33,MATCH("换弹时间",$AM$3:$AS$3,0),FALSE),1),0)</f>
        <v>4.7</v>
      </c>
      <c r="BK47" s="462">
        <f>ROUND(VLOOKUP($AW47,$AD$3:$AJ$33,MATCH(BK$3,$AD$3:$AJ$3,0),FALSE)+$AY47/VLOOKUP(VLOOKUP($AW47,坦克个性化设定!$B$18:$E$48,4,FALSE)&amp;$AX47,坦克属性分配比例,MATCH("升星次数",坦克属性分配比例标头,0),FALSE)*VLOOKUP($AW47,$AM$3:$AS$33,MATCH(BK$3,$AM$3:$AS$3,0),FALSE),2)</f>
        <v>0.3</v>
      </c>
      <c r="BL47" s="462">
        <f>ROUND(VLOOKUP($AW47,$AD$3:$AJ$33,MATCH(BL$3,$AD$3:$AJ$3,0),FALSE)-$AY47/VLOOKUP(VLOOKUP($AW47,坦克个性化设定!$B$18:$E$48,4,FALSE)&amp;$AX47,坦克属性分配比例,MATCH("升星次数",坦克属性分配比例标头,0),FALSE)*VLOOKUP($AW47,$AM$3:$AS$33,MATCH(BL$3,$AM$3:$AS$3,0),FALSE),2)</f>
        <v>0.62</v>
      </c>
    </row>
    <row r="48" spans="2:74" x14ac:dyDescent="0.35">
      <c r="O48" s="426" t="str">
        <f t="shared" si="5"/>
        <v>丘吉尔初始</v>
      </c>
      <c r="P48" s="137">
        <f>IF(COUNTIF(Q$4:Q47,Q47)&gt;=$B$3,P47+1,P47)</f>
        <v>23</v>
      </c>
      <c r="Q48" s="131" t="str">
        <f t="shared" si="6"/>
        <v>丘吉尔</v>
      </c>
      <c r="R48" s="131" t="str">
        <f>VLOOKUP(Q48,坦克个性化设定!$B$18:$F$48,5,FALSE)</f>
        <v>重坦单发</v>
      </c>
      <c r="S48" s="177" t="str">
        <f>VLOOKUP(Q48,坦克个性化细分!$I$3:$J$33,2,FALSE)</f>
        <v>中</v>
      </c>
      <c r="T48" s="137" t="str">
        <f t="shared" si="12"/>
        <v>初始</v>
      </c>
      <c r="U48" s="178" t="str">
        <f>VLOOKUP(VLOOKUP(Q48,坦克个性化设定!$B$18:$F$48,4,FALSE)&amp;S48,坦克等级成长!$P$12:$U$24,MATCH(T48,坦克等级成长!$P$12:$U$12,0),FALSE)</f>
        <v>T2中2</v>
      </c>
      <c r="V48" s="96">
        <f ca="1">VLOOKUP($U48,INDIRECT($R48&amp;"_阶段属性"),MATCH(V$3,属性标头_阶段属性,0),FALSE)*VLOOKUP($Q48,坦克个性化设定!$B$84:$D$114,2,FALSE)</f>
        <v>1184.10398545673</v>
      </c>
      <c r="W48" s="96">
        <f ca="1">VLOOKUP($U48,INDIRECT($R48&amp;"_阶段属性"),MATCH(W$3,属性标头_阶段属性,0),FALSE)*VLOOKUP($Q48,坦克个性化设定!$B$84:$D$114,3,FALSE)</f>
        <v>237.92589456687969</v>
      </c>
      <c r="X48" s="131">
        <f t="shared" ca="1" si="16"/>
        <v>387</v>
      </c>
      <c r="Y48" s="131">
        <f t="shared" ca="1" si="16"/>
        <v>309</v>
      </c>
      <c r="Z48" s="131">
        <f t="shared" ca="1" si="16"/>
        <v>517</v>
      </c>
      <c r="AA48" s="131">
        <f t="shared" ca="1" si="16"/>
        <v>117</v>
      </c>
      <c r="AU48" s="364" t="str">
        <f t="shared" si="9"/>
        <v>十字军11</v>
      </c>
      <c r="AV48" s="183">
        <f>IF(AY47&gt;=VLOOKUP(VLOOKUP(AW47,坦克个性化设定!$B$18:$E$48,4,FALSE)&amp;AX47,坦克属性分配比例,MATCH("升星次数",坦克属性分配比例标头,0),FALSE),AV47+1,AV47)</f>
        <v>5</v>
      </c>
      <c r="AW48" s="131" t="str">
        <f t="shared" si="10"/>
        <v>十字军</v>
      </c>
      <c r="AX48" s="177" t="str">
        <f>VLOOKUP(AW48,坦克个性化细分!$I$3:$J$33,2,FALSE)</f>
        <v>中</v>
      </c>
      <c r="AY48" s="183">
        <f t="shared" si="1"/>
        <v>11</v>
      </c>
      <c r="AZ48" s="486">
        <f ca="1">ROUND(VLOOKUP($AW48&amp;"初始",$O$3:$AA$63,MATCH(AZ$3,$O$3:$AA$3,0),FALSE)+((VLOOKUP($AW48&amp;"最终",$O$3:$AA$63,MATCH(AZ$3,$O$3:$AA$3,0),FALSE)*坦克个性化细分!$C$9-VLOOKUP($AW48&amp;"初始",$O$3:$AA$63,MATCH(AZ$3,$O$3:$AA$3,0),FALSE))-(VLOOKUP($AW48&amp;"最终",$O$3:$AA$63,MATCH(AZ$3,$O$3:$AA$3,0),FALSE)-VLOOKUP($AW48&amp;"初始",$O$3:$AA$63,MATCH(AZ$3,$O$3:$AA$3,0),FALSE))*VLOOKUP(VLOOKUP($AW48,坦克个性化设定!$B$18:$E$48,4,FALSE)&amp;$AX48,坦克属性分配比例,MATCH("部件比例",坦克属性分配比例标头,0),FALSE))*$AY48/VLOOKUP(VLOOKUP($AW48,坦克个性化设定!$B$18:$E$48,4,FALSE)&amp;$AX48,坦克属性分配比例,MATCH("升星次数",坦克属性分配比例标头,0),FALSE),0)</f>
        <v>2400</v>
      </c>
      <c r="BA48" s="426">
        <f ca="1">ROUND(VLOOKUP($AW48&amp;"初始",$O$3:$AA$63,MATCH(BA$3,$O$3:$AA$3,0),FALSE)+(VLOOKUP($AW48&amp;"最终",$O$3:$AA$63,MATCH(BA$3,$O$3:$AA$3,0),FALSE)-VLOOKUP($AW48&amp;"初始",$O$3:$AA$63,MATCH(BA$3,$O$3:$AA$3,0),FALSE))*$AY48/VLOOKUP(VLOOKUP($AW48,坦克个性化设定!$B$18:$E$48,4,FALSE)&amp;$AX48,坦克属性分配比例,MATCH("升星次数",坦克属性分配比例标头,0),FALSE)*VLOOKUP(VLOOKUP($AW48,坦克个性化设定!$B$18:$E$48,4,FALSE)&amp;$AX48,坦克属性分配比例,MATCH("升星比例",坦克属性分配比例标头,0),FALSE),0)</f>
        <v>68</v>
      </c>
      <c r="BB48" s="486">
        <f ca="1">ROUND(VLOOKUP($AW48&amp;"初始",$O$3:$AA$63,MATCH(BB$3,$O$3:$AA$3,0),FALSE)+(VLOOKUP($AW48&amp;"最终",$O$3:$AA$63,MATCH(BB$3,$O$3:$AA$3,0),FALSE)-VLOOKUP($AW48&amp;"初始",$O$3:$AA$63,MATCH(BB$3,$O$3:$AA$3,0),FALSE))*$AY48/VLOOKUP(VLOOKUP($AW48,坦克个性化设定!$B$18:$E$48,4,FALSE)&amp;$AX48,坦克属性分配比例,MATCH("升星次数",坦克属性分配比例标头,0),FALSE)*(VLOOKUP(VLOOKUP($AW48,坦克个性化设定!$B$18:$E$48,4,FALSE)&amp;$AX48,坦克属性分配比例,MATCH("升星比例",坦克属性分配比例标头,0),FALSE)+VLOOKUP(VLOOKUP($AW48,坦克个性化设定!$B$18:$E$48,4,FALSE)&amp;$AX48,坦克属性分配比例,MATCH("部件比例",坦克属性分配比例标头,0),FALSE)*$C$3),0)</f>
        <v>824</v>
      </c>
      <c r="BC48" s="486">
        <f ca="1">ROUND(VLOOKUP($AW48&amp;"初始",$O$3:$AA$63,MATCH(BC$3,$O$3:$AA$3,0),FALSE)+(VLOOKUP($AW48&amp;"最终",$O$3:$AA$63,MATCH(BC$3,$O$3:$AA$3,0),FALSE)-VLOOKUP($AW48&amp;"初始",$O$3:$AA$63,MATCH(BC$3,$O$3:$AA$3,0),FALSE))*$AY48/VLOOKUP(VLOOKUP($AW48,坦克个性化设定!$B$18:$E$48,4,FALSE)&amp;$AX48,坦克属性分配比例,MATCH("升星次数",坦克属性分配比例标头,0),FALSE)*(VLOOKUP(VLOOKUP($AW48,坦克个性化设定!$B$18:$E$48,4,FALSE)&amp;$AX48,坦克属性分配比例,MATCH("升星比例",坦克属性分配比例标头,0),FALSE)+VLOOKUP(VLOOKUP($AW48,坦克个性化设定!$B$18:$E$48,4,FALSE)&amp;$AX48,坦克属性分配比例,MATCH("部件比例",坦克属性分配比例标头,0),FALSE)*$C$3),0)</f>
        <v>577</v>
      </c>
      <c r="BD48" s="426">
        <f ca="1">ROUND(VLOOKUP($AW48&amp;"初始",$O$3:$AA$63,MATCH(BD$3,$O$3:$AA$3,0),FALSE)+(VLOOKUP($AW48&amp;"最终",$O$3:$AA$63,MATCH(BD$3,$O$3:$AA$3,0),FALSE)-VLOOKUP($AW48&amp;"初始",$O$3:$AA$63,MATCH(BD$3,$O$3:$AA$3,0),FALSE))*$AY48/VLOOKUP(VLOOKUP($AW48,坦克个性化设定!$B$18:$E$48,4,FALSE)&amp;$AX48,坦克属性分配比例,MATCH("升星次数",坦克属性分配比例标头,0),FALSE)*VLOOKUP(VLOOKUP($AW48,坦克个性化设定!$B$18:$E$48,4,FALSE)&amp;$AX48,坦克属性分配比例,MATCH("升星比例",坦克属性分配比例标头,0),FALSE),0)</f>
        <v>664</v>
      </c>
      <c r="BE48" s="426">
        <f ca="1">ROUND(VLOOKUP($AW48&amp;"初始",$O$3:$AA$63,MATCH(BE$3,$O$3:$AA$3,0),FALSE)+(VLOOKUP($AW48&amp;"最终",$O$3:$AA$63,MATCH(BE$3,$O$3:$AA$3,0),FALSE)-VLOOKUP($AW48&amp;"初始",$O$3:$AA$63,MATCH(BE$3,$O$3:$AA$3,0),FALSE))*$AY48/VLOOKUP(VLOOKUP($AW48,坦克个性化设定!$B$18:$E$48,4,FALSE)&amp;$AX48,坦克属性分配比例,MATCH("升星次数",坦克属性分配比例标头,0),FALSE),0)</f>
        <v>217</v>
      </c>
      <c r="BF48" s="462">
        <f>ROUND(VLOOKUP($AW48,$AD$3:$AJ$33,MATCH(BF$3,$AD$3:$AJ$3,0),FALSE)+$AY48/VLOOKUP(VLOOKUP($AW48,坦克个性化设定!$B$18:$E$48,4,FALSE)&amp;$AX48,坦克属性分配比例,MATCH("升星次数",坦克属性分配比例标头,0),FALSE)*VLOOKUP($AW48,$AM$3:$AS$33,MATCH(BF$3,$AM$3:$AS$3,0),FALSE),1)</f>
        <v>57.5</v>
      </c>
      <c r="BG48" s="462">
        <f>ROUND(VLOOKUP($AW48,$AD$3:$AJ$33,MATCH(BG$3,$AD$3:$AJ$3,0),FALSE)+$AY48/VLOOKUP(VLOOKUP($AW48,坦克个性化设定!$B$18:$E$48,4,FALSE)&amp;$AX48,坦克属性分配比例,MATCH("升星次数",坦克属性分配比例标头,0),FALSE)*VLOOKUP($AW48,$AM$3:$AS$33,MATCH(BG$3,$AM$3:$AS$3,0),FALSE),1)</f>
        <v>54.9</v>
      </c>
      <c r="BH48" s="462">
        <f>ROUND(VLOOKUP($AW48,$AD$3:$AJ$33,MATCH(BH$3,$AD$3:$AJ$3,0),FALSE)+$AY48/VLOOKUP(VLOOKUP($AW48,坦克个性化设定!$B$18:$E$48,4,FALSE)&amp;$AX48,坦克属性分配比例,MATCH("升星次数",坦克属性分配比例标头,0),FALSE)*VLOOKUP($AW48,$AM$3:$AS$33,MATCH(BH$3,$AM$3:$AS$3,0),FALSE),1)</f>
        <v>18.7</v>
      </c>
      <c r="BI48" s="654">
        <f>IF(VLOOKUP(AW48,坦克个性化设定!$B$18:$BB$48,MATCH("装弹类型",坦克个性化设定!$B$18:$BB$18,0),FALSE)="弹夹换弹",0,ROUND(VLOOKUP($AW48,$AD$3:$AJ$33,MATCH("换弹时间",$AD$3:$AJ$3,0),FALSE)-$AY48/VLOOKUP(VLOOKUP($AW48,坦克个性化设定!$B$18:$E$48,4,FALSE)&amp;$AX48,坦克属性分配比例,MATCH("升星次数",坦克属性分配比例标头,0),FALSE)*VLOOKUP($AW48,$AM$3:$AS$33,MATCH("换弹时间",$AM$3:$AS$3,0),FALSE),2))</f>
        <v>0</v>
      </c>
      <c r="BJ48" s="462">
        <f>IF(VLOOKUP(AW48,坦克个性化设定!$B$18:$BB$48,MATCH("装弹类型",坦克个性化设定!$B$18:$BB$18,0),FALSE)="弹夹换弹",ROUND(VLOOKUP($AW48,$AD$3:$AJ$33,MATCH("换弹时间",$AD$3:$AJ$3,0),FALSE)-$AY48/VLOOKUP(VLOOKUP($AW48,坦克个性化设定!$B$18:$E$48,4,FALSE)&amp;$AX48,坦克属性分配比例,MATCH("升星次数",坦克属性分配比例标头,0),FALSE)*VLOOKUP($AW48,$AM$3:$AS$33,MATCH("换弹时间",$AM$3:$AS$3,0),FALSE),1),0)</f>
        <v>4.5</v>
      </c>
      <c r="BK48" s="462">
        <f>ROUND(VLOOKUP($AW48,$AD$3:$AJ$33,MATCH(BK$3,$AD$3:$AJ$3,0),FALSE)+$AY48/VLOOKUP(VLOOKUP($AW48,坦克个性化设定!$B$18:$E$48,4,FALSE)&amp;$AX48,坦克属性分配比例,MATCH("升星次数",坦克属性分配比例标头,0),FALSE)*VLOOKUP($AW48,$AM$3:$AS$33,MATCH(BK$3,$AM$3:$AS$3,0),FALSE),2)</f>
        <v>0.3</v>
      </c>
      <c r="BL48" s="462">
        <f>ROUND(VLOOKUP($AW48,$AD$3:$AJ$33,MATCH(BL$3,$AD$3:$AJ$3,0),FALSE)-$AY48/VLOOKUP(VLOOKUP($AW48,坦克个性化设定!$B$18:$E$48,4,FALSE)&amp;$AX48,坦克属性分配比例,MATCH("升星次数",坦克属性分配比例标头,0),FALSE)*VLOOKUP($AW48,$AM$3:$AS$33,MATCH(BL$3,$AM$3:$AS$3,0),FALSE),2)</f>
        <v>0.61</v>
      </c>
    </row>
    <row r="49" spans="15:64" x14ac:dyDescent="0.35">
      <c r="O49" s="426" t="str">
        <f t="shared" si="5"/>
        <v>丘吉尔最终</v>
      </c>
      <c r="P49" s="137">
        <f>IF(COUNTIF(Q$4:Q48,Q48)&gt;=$B$3,P48+1,P48)</f>
        <v>23</v>
      </c>
      <c r="Q49" s="131" t="str">
        <f t="shared" si="6"/>
        <v>丘吉尔</v>
      </c>
      <c r="R49" s="131" t="str">
        <f>VLOOKUP(Q49,坦克个性化设定!$B$18:$F$48,5,FALSE)</f>
        <v>重坦单发</v>
      </c>
      <c r="S49" s="177" t="str">
        <f>VLOOKUP(Q49,坦克个性化细分!$I$3:$J$33,2,FALSE)</f>
        <v>中</v>
      </c>
      <c r="T49" s="137" t="str">
        <f t="shared" si="12"/>
        <v>最终</v>
      </c>
      <c r="U49" s="178" t="str">
        <f>VLOOKUP(VLOOKUP(Q49,坦克个性化设定!$B$18:$F$48,4,FALSE)&amp;S49,坦克等级成长!$P$12:$U$24,MATCH(T49,坦克等级成长!$P$12:$U$12,0),FALSE)</f>
        <v>T2中4</v>
      </c>
      <c r="V49" s="96">
        <f ca="1">VLOOKUP($U49,INDIRECT($R49&amp;"_阶段属性"),MATCH(V$3,属性标头_阶段属性,0),FALSE)*VLOOKUP($Q49,坦克个性化设定!$B$84:$D$114,2,FALSE)</f>
        <v>2301.3552223761258</v>
      </c>
      <c r="W49" s="96">
        <f ca="1">VLOOKUP($U49,INDIRECT($R49&amp;"_阶段属性"),MATCH(W$3,属性标头_阶段属性,0),FALSE)*VLOOKUP($Q49,坦克个性化设定!$B$84:$D$114,3,FALSE)</f>
        <v>463.01761224840902</v>
      </c>
      <c r="X49" s="131">
        <f t="shared" ca="1" si="16"/>
        <v>751</v>
      </c>
      <c r="Y49" s="131">
        <f t="shared" ca="1" si="16"/>
        <v>601</v>
      </c>
      <c r="Z49" s="131">
        <f t="shared" ca="1" si="16"/>
        <v>1004</v>
      </c>
      <c r="AA49" s="131">
        <f t="shared" ca="1" si="16"/>
        <v>227</v>
      </c>
      <c r="AU49" s="364" t="str">
        <f t="shared" si="9"/>
        <v>十字军12</v>
      </c>
      <c r="AV49" s="183">
        <f>IF(AY48&gt;=VLOOKUP(VLOOKUP(AW48,坦克个性化设定!$B$18:$E$48,4,FALSE)&amp;AX48,坦克属性分配比例,MATCH("升星次数",坦克属性分配比例标头,0),FALSE),AV48+1,AV48)</f>
        <v>5</v>
      </c>
      <c r="AW49" s="131" t="str">
        <f t="shared" si="10"/>
        <v>十字军</v>
      </c>
      <c r="AX49" s="177" t="str">
        <f>VLOOKUP(AW49,坦克个性化细分!$I$3:$J$33,2,FALSE)</f>
        <v>中</v>
      </c>
      <c r="AY49" s="183">
        <f t="shared" si="1"/>
        <v>12</v>
      </c>
      <c r="AZ49" s="486">
        <f ca="1">ROUND(VLOOKUP($AW49&amp;"初始",$O$3:$AA$63,MATCH(AZ$3,$O$3:$AA$3,0),FALSE)+((VLOOKUP($AW49&amp;"最终",$O$3:$AA$63,MATCH(AZ$3,$O$3:$AA$3,0),FALSE)*坦克个性化细分!$C$9-VLOOKUP($AW49&amp;"初始",$O$3:$AA$63,MATCH(AZ$3,$O$3:$AA$3,0),FALSE))-(VLOOKUP($AW49&amp;"最终",$O$3:$AA$63,MATCH(AZ$3,$O$3:$AA$3,0),FALSE)-VLOOKUP($AW49&amp;"初始",$O$3:$AA$63,MATCH(AZ$3,$O$3:$AA$3,0),FALSE))*VLOOKUP(VLOOKUP($AW49,坦克个性化设定!$B$18:$E$48,4,FALSE)&amp;$AX49,坦克属性分配比例,MATCH("部件比例",坦克属性分配比例标头,0),FALSE))*$AY49/VLOOKUP(VLOOKUP($AW49,坦克个性化设定!$B$18:$E$48,4,FALSE)&amp;$AX49,坦克属性分配比例,MATCH("升星次数",坦克属性分配比例标头,0),FALSE),0)</f>
        <v>2503</v>
      </c>
      <c r="BA49" s="426">
        <f ca="1">ROUND(VLOOKUP($AW49&amp;"初始",$O$3:$AA$63,MATCH(BA$3,$O$3:$AA$3,0),FALSE)+(VLOOKUP($AW49&amp;"最终",$O$3:$AA$63,MATCH(BA$3,$O$3:$AA$3,0),FALSE)-VLOOKUP($AW49&amp;"初始",$O$3:$AA$63,MATCH(BA$3,$O$3:$AA$3,0),FALSE))*$AY49/VLOOKUP(VLOOKUP($AW49,坦克个性化设定!$B$18:$E$48,4,FALSE)&amp;$AX49,坦克属性分配比例,MATCH("升星次数",坦克属性分配比例标头,0),FALSE)*VLOOKUP(VLOOKUP($AW49,坦克个性化设定!$B$18:$E$48,4,FALSE)&amp;$AX49,坦克属性分配比例,MATCH("升星比例",坦克属性分配比例标头,0),FALSE),0)</f>
        <v>70</v>
      </c>
      <c r="BB49" s="486">
        <f ca="1">ROUND(VLOOKUP($AW49&amp;"初始",$O$3:$AA$63,MATCH(BB$3,$O$3:$AA$3,0),FALSE)+(VLOOKUP($AW49&amp;"最终",$O$3:$AA$63,MATCH(BB$3,$O$3:$AA$3,0),FALSE)-VLOOKUP($AW49&amp;"初始",$O$3:$AA$63,MATCH(BB$3,$O$3:$AA$3,0),FALSE))*$AY49/VLOOKUP(VLOOKUP($AW49,坦克个性化设定!$B$18:$E$48,4,FALSE)&amp;$AX49,坦克属性分配比例,MATCH("升星次数",坦克属性分配比例标头,0),FALSE)*(VLOOKUP(VLOOKUP($AW49,坦克个性化设定!$B$18:$E$48,4,FALSE)&amp;$AX49,坦克属性分配比例,MATCH("升星比例",坦克属性分配比例标头,0),FALSE)+VLOOKUP(VLOOKUP($AW49,坦克个性化设定!$B$18:$E$48,4,FALSE)&amp;$AX49,坦克属性分配比例,MATCH("部件比例",坦克属性分配比例标头,0),FALSE)*$C$3),0)</f>
        <v>853</v>
      </c>
      <c r="BC49" s="486">
        <f ca="1">ROUND(VLOOKUP($AW49&amp;"初始",$O$3:$AA$63,MATCH(BC$3,$O$3:$AA$3,0),FALSE)+(VLOOKUP($AW49&amp;"最终",$O$3:$AA$63,MATCH(BC$3,$O$3:$AA$3,0),FALSE)-VLOOKUP($AW49&amp;"初始",$O$3:$AA$63,MATCH(BC$3,$O$3:$AA$3,0),FALSE))*$AY49/VLOOKUP(VLOOKUP($AW49,坦克个性化设定!$B$18:$E$48,4,FALSE)&amp;$AX49,坦克属性分配比例,MATCH("升星次数",坦克属性分配比例标头,0),FALSE)*(VLOOKUP(VLOOKUP($AW49,坦克个性化设定!$B$18:$E$48,4,FALSE)&amp;$AX49,坦克属性分配比例,MATCH("升星比例",坦克属性分配比例标头,0),FALSE)+VLOOKUP(VLOOKUP($AW49,坦克个性化设定!$B$18:$E$48,4,FALSE)&amp;$AX49,坦克属性分配比例,MATCH("部件比例",坦克属性分配比例标头,0),FALSE)*$C$3),0)</f>
        <v>597</v>
      </c>
      <c r="BD49" s="426">
        <f ca="1">ROUND(VLOOKUP($AW49&amp;"初始",$O$3:$AA$63,MATCH(BD$3,$O$3:$AA$3,0),FALSE)+(VLOOKUP($AW49&amp;"最终",$O$3:$AA$63,MATCH(BD$3,$O$3:$AA$3,0),FALSE)-VLOOKUP($AW49&amp;"初始",$O$3:$AA$63,MATCH(BD$3,$O$3:$AA$3,0),FALSE))*$AY49/VLOOKUP(VLOOKUP($AW49,坦克个性化设定!$B$18:$E$48,4,FALSE)&amp;$AX49,坦克属性分配比例,MATCH("升星次数",坦克属性分配比例标头,0),FALSE)*VLOOKUP(VLOOKUP($AW49,坦克个性化设定!$B$18:$E$48,4,FALSE)&amp;$AX49,坦克属性分配比例,MATCH("升星比例",坦克属性分配比例标头,0),FALSE),0)</f>
        <v>683</v>
      </c>
      <c r="BE49" s="426">
        <f ca="1">ROUND(VLOOKUP($AW49&amp;"初始",$O$3:$AA$63,MATCH(BE$3,$O$3:$AA$3,0),FALSE)+(VLOOKUP($AW49&amp;"最终",$O$3:$AA$63,MATCH(BE$3,$O$3:$AA$3,0),FALSE)-VLOOKUP($AW49&amp;"初始",$O$3:$AA$63,MATCH(BE$3,$O$3:$AA$3,0),FALSE))*$AY49/VLOOKUP(VLOOKUP($AW49,坦克个性化设定!$B$18:$E$48,4,FALSE)&amp;$AX49,坦克属性分配比例,MATCH("升星次数",坦克属性分配比例标头,0),FALSE),0)</f>
        <v>225</v>
      </c>
      <c r="BF49" s="462">
        <f>ROUND(VLOOKUP($AW49,$AD$3:$AJ$33,MATCH(BF$3,$AD$3:$AJ$3,0),FALSE)+$AY49/VLOOKUP(VLOOKUP($AW49,坦克个性化设定!$B$18:$E$48,4,FALSE)&amp;$AX49,坦克属性分配比例,MATCH("升星次数",坦克属性分配比例标头,0),FALSE)*VLOOKUP($AW49,$AM$3:$AS$33,MATCH(BF$3,$AM$3:$AS$3,0),FALSE),1)</f>
        <v>58.4</v>
      </c>
      <c r="BG49" s="462">
        <f>ROUND(VLOOKUP($AW49,$AD$3:$AJ$33,MATCH(BG$3,$AD$3:$AJ$3,0),FALSE)+$AY49/VLOOKUP(VLOOKUP($AW49,坦克个性化设定!$B$18:$E$48,4,FALSE)&amp;$AX49,坦克属性分配比例,MATCH("升星次数",坦克属性分配比例标头,0),FALSE)*VLOOKUP($AW49,$AM$3:$AS$33,MATCH(BG$3,$AM$3:$AS$3,0),FALSE),1)</f>
        <v>55.7</v>
      </c>
      <c r="BH49" s="462">
        <f>ROUND(VLOOKUP($AW49,$AD$3:$AJ$33,MATCH(BH$3,$AD$3:$AJ$3,0),FALSE)+$AY49/VLOOKUP(VLOOKUP($AW49,坦克个性化设定!$B$18:$E$48,4,FALSE)&amp;$AX49,坦克属性分配比例,MATCH("升星次数",坦克属性分配比例标头,0),FALSE)*VLOOKUP($AW49,$AM$3:$AS$33,MATCH(BH$3,$AM$3:$AS$3,0),FALSE),1)</f>
        <v>19.100000000000001</v>
      </c>
      <c r="BI49" s="654">
        <f>IF(VLOOKUP(AW49,坦克个性化设定!$B$18:$BB$48,MATCH("装弹类型",坦克个性化设定!$B$18:$BB$18,0),FALSE)="弹夹换弹",0,ROUND(VLOOKUP($AW49,$AD$3:$AJ$33,MATCH("换弹时间",$AD$3:$AJ$3,0),FALSE)-$AY49/VLOOKUP(VLOOKUP($AW49,坦克个性化设定!$B$18:$E$48,4,FALSE)&amp;$AX49,坦克属性分配比例,MATCH("升星次数",坦克属性分配比例标头,0),FALSE)*VLOOKUP($AW49,$AM$3:$AS$33,MATCH("换弹时间",$AM$3:$AS$3,0),FALSE),2))</f>
        <v>0</v>
      </c>
      <c r="BJ49" s="462">
        <f>IF(VLOOKUP(AW49,坦克个性化设定!$B$18:$BB$48,MATCH("装弹类型",坦克个性化设定!$B$18:$BB$18,0),FALSE)="弹夹换弹",ROUND(VLOOKUP($AW49,$AD$3:$AJ$33,MATCH("换弹时间",$AD$3:$AJ$3,0),FALSE)-$AY49/VLOOKUP(VLOOKUP($AW49,坦克个性化设定!$B$18:$E$48,4,FALSE)&amp;$AX49,坦克属性分配比例,MATCH("升星次数",坦克属性分配比例标头,0),FALSE)*VLOOKUP($AW49,$AM$3:$AS$33,MATCH("换弹时间",$AM$3:$AS$3,0),FALSE),1),0)</f>
        <v>4.4000000000000004</v>
      </c>
      <c r="BK49" s="462">
        <f>ROUND(VLOOKUP($AW49,$AD$3:$AJ$33,MATCH(BK$3,$AD$3:$AJ$3,0),FALSE)+$AY49/VLOOKUP(VLOOKUP($AW49,坦克个性化设定!$B$18:$E$48,4,FALSE)&amp;$AX49,坦克属性分配比例,MATCH("升星次数",坦克属性分配比例标头,0),FALSE)*VLOOKUP($AW49,$AM$3:$AS$33,MATCH(BK$3,$AM$3:$AS$3,0),FALSE),2)</f>
        <v>0.3</v>
      </c>
      <c r="BL49" s="462">
        <f>ROUND(VLOOKUP($AW49,$AD$3:$AJ$33,MATCH(BL$3,$AD$3:$AJ$3,0),FALSE)-$AY49/VLOOKUP(VLOOKUP($AW49,坦克个性化设定!$B$18:$E$48,4,FALSE)&amp;$AX49,坦克属性分配比例,MATCH("升星次数",坦克属性分配比例标头,0),FALSE)*VLOOKUP($AW49,$AM$3:$AS$33,MATCH(BL$3,$AM$3:$AS$3,0),FALSE),2)</f>
        <v>0.6</v>
      </c>
    </row>
    <row r="50" spans="15:64" x14ac:dyDescent="0.35">
      <c r="O50" s="426" t="str">
        <f t="shared" si="5"/>
        <v>黑豹初始</v>
      </c>
      <c r="P50" s="137">
        <f>IF(COUNTIF(Q$4:Q49,Q49)&gt;=$B$3,P49+1,P49)</f>
        <v>24</v>
      </c>
      <c r="Q50" s="131" t="str">
        <f t="shared" si="6"/>
        <v>黑豹</v>
      </c>
      <c r="R50" s="131" t="str">
        <f>VLOOKUP(Q50,坦克个性化设定!$B$18:$F$48,5,FALSE)</f>
        <v>重坦单发</v>
      </c>
      <c r="S50" s="177" t="str">
        <f>VLOOKUP(Q50,坦克个性化细分!$I$3:$J$33,2,FALSE)</f>
        <v>低</v>
      </c>
      <c r="T50" s="137" t="str">
        <f t="shared" si="12"/>
        <v>初始</v>
      </c>
      <c r="U50" s="178" t="str">
        <f>VLOOKUP(VLOOKUP(Q50,坦克个性化设定!$B$18:$F$48,4,FALSE)&amp;S50,坦克等级成长!$P$12:$U$24,MATCH(T50,坦克等级成长!$P$12:$U$12,0),FALSE)</f>
        <v>T3低3</v>
      </c>
      <c r="V50" s="96">
        <f ca="1">VLOOKUP($U50,INDIRECT($R50&amp;"_阶段属性"),MATCH(V$3,属性标头_阶段属性,0),FALSE)*VLOOKUP($Q50,坦克个性化设定!$B$84:$D$114,2,FALSE)</f>
        <v>1418.563182678507</v>
      </c>
      <c r="W50" s="96">
        <f ca="1">VLOOKUP($U50,INDIRECT($R50&amp;"_阶段属性"),MATCH(W$3,属性标头_阶段属性,0),FALSE)*VLOOKUP($Q50,坦克个性化设定!$B$84:$D$114,3,FALSE)</f>
        <v>295.541294966073</v>
      </c>
      <c r="X50" s="131">
        <f t="shared" ca="1" si="16"/>
        <v>471</v>
      </c>
      <c r="Y50" s="131">
        <f t="shared" ca="1" si="16"/>
        <v>377</v>
      </c>
      <c r="Z50" s="131">
        <f t="shared" ca="1" si="16"/>
        <v>630</v>
      </c>
      <c r="AA50" s="131">
        <f t="shared" ca="1" si="16"/>
        <v>143</v>
      </c>
      <c r="AU50" s="364" t="str">
        <f t="shared" si="9"/>
        <v>十字军13</v>
      </c>
      <c r="AV50" s="183">
        <f>IF(AY49&gt;=VLOOKUP(VLOOKUP(AW49,坦克个性化设定!$B$18:$E$48,4,FALSE)&amp;AX49,坦克属性分配比例,MATCH("升星次数",坦克属性分配比例标头,0),FALSE),AV49+1,AV49)</f>
        <v>5</v>
      </c>
      <c r="AW50" s="131" t="str">
        <f t="shared" si="10"/>
        <v>十字军</v>
      </c>
      <c r="AX50" s="177" t="str">
        <f>VLOOKUP(AW50,坦克个性化细分!$I$3:$J$33,2,FALSE)</f>
        <v>中</v>
      </c>
      <c r="AY50" s="183">
        <f t="shared" si="1"/>
        <v>13</v>
      </c>
      <c r="AZ50" s="486">
        <f ca="1">ROUND(VLOOKUP($AW50&amp;"初始",$O$3:$AA$63,MATCH(AZ$3,$O$3:$AA$3,0),FALSE)+((VLOOKUP($AW50&amp;"最终",$O$3:$AA$63,MATCH(AZ$3,$O$3:$AA$3,0),FALSE)*坦克个性化细分!$C$9-VLOOKUP($AW50&amp;"初始",$O$3:$AA$63,MATCH(AZ$3,$O$3:$AA$3,0),FALSE))-(VLOOKUP($AW50&amp;"最终",$O$3:$AA$63,MATCH(AZ$3,$O$3:$AA$3,0),FALSE)-VLOOKUP($AW50&amp;"初始",$O$3:$AA$63,MATCH(AZ$3,$O$3:$AA$3,0),FALSE))*VLOOKUP(VLOOKUP($AW50,坦克个性化设定!$B$18:$E$48,4,FALSE)&amp;$AX50,坦克属性分配比例,MATCH("部件比例",坦克属性分配比例标头,0),FALSE))*$AY50/VLOOKUP(VLOOKUP($AW50,坦克个性化设定!$B$18:$E$48,4,FALSE)&amp;$AX50,坦克属性分配比例,MATCH("升星次数",坦克属性分配比例标头,0),FALSE),0)</f>
        <v>2606</v>
      </c>
      <c r="BA50" s="426">
        <f ca="1">ROUND(VLOOKUP($AW50&amp;"初始",$O$3:$AA$63,MATCH(BA$3,$O$3:$AA$3,0),FALSE)+(VLOOKUP($AW50&amp;"最终",$O$3:$AA$63,MATCH(BA$3,$O$3:$AA$3,0),FALSE)-VLOOKUP($AW50&amp;"初始",$O$3:$AA$63,MATCH(BA$3,$O$3:$AA$3,0),FALSE))*$AY50/VLOOKUP(VLOOKUP($AW50,坦克个性化设定!$B$18:$E$48,4,FALSE)&amp;$AX50,坦克属性分配比例,MATCH("升星次数",坦克属性分配比例标头,0),FALSE)*VLOOKUP(VLOOKUP($AW50,坦克个性化设定!$B$18:$E$48,4,FALSE)&amp;$AX50,坦克属性分配比例,MATCH("升星比例",坦克属性分配比例标头,0),FALSE),0)</f>
        <v>71</v>
      </c>
      <c r="BB50" s="486">
        <f ca="1">ROUND(VLOOKUP($AW50&amp;"初始",$O$3:$AA$63,MATCH(BB$3,$O$3:$AA$3,0),FALSE)+(VLOOKUP($AW50&amp;"最终",$O$3:$AA$63,MATCH(BB$3,$O$3:$AA$3,0),FALSE)-VLOOKUP($AW50&amp;"初始",$O$3:$AA$63,MATCH(BB$3,$O$3:$AA$3,0),FALSE))*$AY50/VLOOKUP(VLOOKUP($AW50,坦克个性化设定!$B$18:$E$48,4,FALSE)&amp;$AX50,坦克属性分配比例,MATCH("升星次数",坦克属性分配比例标头,0),FALSE)*(VLOOKUP(VLOOKUP($AW50,坦克个性化设定!$B$18:$E$48,4,FALSE)&amp;$AX50,坦克属性分配比例,MATCH("升星比例",坦克属性分配比例标头,0),FALSE)+VLOOKUP(VLOOKUP($AW50,坦克个性化设定!$B$18:$E$48,4,FALSE)&amp;$AX50,坦克属性分配比例,MATCH("部件比例",坦克属性分配比例标头,0),FALSE)*$C$3),0)</f>
        <v>881</v>
      </c>
      <c r="BC50" s="486">
        <f ca="1">ROUND(VLOOKUP($AW50&amp;"初始",$O$3:$AA$63,MATCH(BC$3,$O$3:$AA$3,0),FALSE)+(VLOOKUP($AW50&amp;"最终",$O$3:$AA$63,MATCH(BC$3,$O$3:$AA$3,0),FALSE)-VLOOKUP($AW50&amp;"初始",$O$3:$AA$63,MATCH(BC$3,$O$3:$AA$3,0),FALSE))*$AY50/VLOOKUP(VLOOKUP($AW50,坦克个性化设定!$B$18:$E$48,4,FALSE)&amp;$AX50,坦克属性分配比例,MATCH("升星次数",坦克属性分配比例标头,0),FALSE)*(VLOOKUP(VLOOKUP($AW50,坦克个性化设定!$B$18:$E$48,4,FALSE)&amp;$AX50,坦克属性分配比例,MATCH("升星比例",坦克属性分配比例标头,0),FALSE)+VLOOKUP(VLOOKUP($AW50,坦克个性化设定!$B$18:$E$48,4,FALSE)&amp;$AX50,坦克属性分配比例,MATCH("部件比例",坦克属性分配比例标头,0),FALSE)*$C$3),0)</f>
        <v>617</v>
      </c>
      <c r="BD50" s="426">
        <f ca="1">ROUND(VLOOKUP($AW50&amp;"初始",$O$3:$AA$63,MATCH(BD$3,$O$3:$AA$3,0),FALSE)+(VLOOKUP($AW50&amp;"最终",$O$3:$AA$63,MATCH(BD$3,$O$3:$AA$3,0),FALSE)-VLOOKUP($AW50&amp;"初始",$O$3:$AA$63,MATCH(BD$3,$O$3:$AA$3,0),FALSE))*$AY50/VLOOKUP(VLOOKUP($AW50,坦克个性化设定!$B$18:$E$48,4,FALSE)&amp;$AX50,坦克属性分配比例,MATCH("升星次数",坦克属性分配比例标头,0),FALSE)*VLOOKUP(VLOOKUP($AW50,坦克个性化设定!$B$18:$E$48,4,FALSE)&amp;$AX50,坦克属性分配比例,MATCH("升星比例",坦克属性分配比例标头,0),FALSE),0)</f>
        <v>701</v>
      </c>
      <c r="BE50" s="426">
        <f ca="1">ROUND(VLOOKUP($AW50&amp;"初始",$O$3:$AA$63,MATCH(BE$3,$O$3:$AA$3,0),FALSE)+(VLOOKUP($AW50&amp;"最终",$O$3:$AA$63,MATCH(BE$3,$O$3:$AA$3,0),FALSE)-VLOOKUP($AW50&amp;"初始",$O$3:$AA$63,MATCH(BE$3,$O$3:$AA$3,0),FALSE))*$AY50/VLOOKUP(VLOOKUP($AW50,坦克个性化设定!$B$18:$E$48,4,FALSE)&amp;$AX50,坦克属性分配比例,MATCH("升星次数",坦克属性分配比例标头,0),FALSE),0)</f>
        <v>234</v>
      </c>
      <c r="BF50" s="462">
        <f>ROUND(VLOOKUP($AW50,$AD$3:$AJ$33,MATCH(BF$3,$AD$3:$AJ$3,0),FALSE)+$AY50/VLOOKUP(VLOOKUP($AW50,坦克个性化设定!$B$18:$E$48,4,FALSE)&amp;$AX50,坦克属性分配比例,MATCH("升星次数",坦克属性分配比例标头,0),FALSE)*VLOOKUP($AW50,$AM$3:$AS$33,MATCH(BF$3,$AM$3:$AS$3,0),FALSE),1)</f>
        <v>59.3</v>
      </c>
      <c r="BG50" s="462">
        <f>ROUND(VLOOKUP($AW50,$AD$3:$AJ$33,MATCH(BG$3,$AD$3:$AJ$3,0),FALSE)+$AY50/VLOOKUP(VLOOKUP($AW50,坦克个性化设定!$B$18:$E$48,4,FALSE)&amp;$AX50,坦克属性分配比例,MATCH("升星次数",坦克属性分配比例标头,0),FALSE)*VLOOKUP($AW50,$AM$3:$AS$33,MATCH(BG$3,$AM$3:$AS$3,0),FALSE),1)</f>
        <v>56.6</v>
      </c>
      <c r="BH50" s="462">
        <f>ROUND(VLOOKUP($AW50,$AD$3:$AJ$33,MATCH(BH$3,$AD$3:$AJ$3,0),FALSE)+$AY50/VLOOKUP(VLOOKUP($AW50,坦克个性化设定!$B$18:$E$48,4,FALSE)&amp;$AX50,坦克属性分配比例,MATCH("升星次数",坦克属性分配比例标头,0),FALSE)*VLOOKUP($AW50,$AM$3:$AS$33,MATCH(BH$3,$AM$3:$AS$3,0),FALSE),1)</f>
        <v>19.399999999999999</v>
      </c>
      <c r="BI50" s="654">
        <f>IF(VLOOKUP(AW50,坦克个性化设定!$B$18:$BB$48,MATCH("装弹类型",坦克个性化设定!$B$18:$BB$18,0),FALSE)="弹夹换弹",0,ROUND(VLOOKUP($AW50,$AD$3:$AJ$33,MATCH("换弹时间",$AD$3:$AJ$3,0),FALSE)-$AY50/VLOOKUP(VLOOKUP($AW50,坦克个性化设定!$B$18:$E$48,4,FALSE)&amp;$AX50,坦克属性分配比例,MATCH("升星次数",坦克属性分配比例标头,0),FALSE)*VLOOKUP($AW50,$AM$3:$AS$33,MATCH("换弹时间",$AM$3:$AS$3,0),FALSE),2))</f>
        <v>0</v>
      </c>
      <c r="BJ50" s="462">
        <f>IF(VLOOKUP(AW50,坦克个性化设定!$B$18:$BB$48,MATCH("装弹类型",坦克个性化设定!$B$18:$BB$18,0),FALSE)="弹夹换弹",ROUND(VLOOKUP($AW50,$AD$3:$AJ$33,MATCH("换弹时间",$AD$3:$AJ$3,0),FALSE)-$AY50/VLOOKUP(VLOOKUP($AW50,坦克个性化设定!$B$18:$E$48,4,FALSE)&amp;$AX50,坦克属性分配比例,MATCH("升星次数",坦克属性分配比例标头,0),FALSE)*VLOOKUP($AW50,$AM$3:$AS$33,MATCH("换弹时间",$AM$3:$AS$3,0),FALSE),1),0)</f>
        <v>4.2</v>
      </c>
      <c r="BK50" s="462">
        <f>ROUND(VLOOKUP($AW50,$AD$3:$AJ$33,MATCH(BK$3,$AD$3:$AJ$3,0),FALSE)+$AY50/VLOOKUP(VLOOKUP($AW50,坦克个性化设定!$B$18:$E$48,4,FALSE)&amp;$AX50,坦克属性分配比例,MATCH("升星次数",坦克属性分配比例标头,0),FALSE)*VLOOKUP($AW50,$AM$3:$AS$33,MATCH(BK$3,$AM$3:$AS$3,0),FALSE),2)</f>
        <v>0.3</v>
      </c>
      <c r="BL50" s="462">
        <f>ROUND(VLOOKUP($AW50,$AD$3:$AJ$33,MATCH(BL$3,$AD$3:$AJ$3,0),FALSE)-$AY50/VLOOKUP(VLOOKUP($AW50,坦克个性化设定!$B$18:$E$48,4,FALSE)&amp;$AX50,坦克属性分配比例,MATCH("升星次数",坦克属性分配比例标头,0),FALSE)*VLOOKUP($AW50,$AM$3:$AS$33,MATCH(BL$3,$AM$3:$AS$3,0),FALSE),2)</f>
        <v>0.59</v>
      </c>
    </row>
    <row r="51" spans="15:64" x14ac:dyDescent="0.35">
      <c r="O51" s="426" t="str">
        <f t="shared" si="5"/>
        <v>黑豹最终</v>
      </c>
      <c r="P51" s="137">
        <f>IF(COUNTIF(Q$4:Q50,Q50)&gt;=$B$3,P50+1,P50)</f>
        <v>24</v>
      </c>
      <c r="Q51" s="131" t="str">
        <f t="shared" si="6"/>
        <v>黑豹</v>
      </c>
      <c r="R51" s="131" t="str">
        <f>VLOOKUP(Q51,坦克个性化设定!$B$18:$F$48,5,FALSE)</f>
        <v>重坦单发</v>
      </c>
      <c r="S51" s="177" t="str">
        <f>VLOOKUP(Q51,坦克个性化细分!$I$3:$J$33,2,FALSE)</f>
        <v>低</v>
      </c>
      <c r="T51" s="137" t="str">
        <f t="shared" si="12"/>
        <v>最终</v>
      </c>
      <c r="U51" s="178" t="str">
        <f>VLOOKUP(VLOOKUP(Q51,坦克个性化设定!$B$18:$F$48,4,FALSE)&amp;S51,坦克等级成长!$P$12:$U$24,MATCH(T51,坦克等级成长!$P$12:$U$12,0),FALSE)</f>
        <v>T3低4</v>
      </c>
      <c r="V51" s="96">
        <f ca="1">VLOOKUP($U51,INDIRECT($R51&amp;"_阶段属性"),MATCH(V$3,属性标头_阶段属性,0),FALSE)*VLOOKUP($Q51,坦克个性化设定!$B$84:$D$114,2,FALSE)</f>
        <v>2174.5996615253971</v>
      </c>
      <c r="W51" s="96">
        <f ca="1">VLOOKUP($U51,INDIRECT($R51&amp;"_阶段属性"),MATCH(W$3,属性标头_阶段属性,0),FALSE)*VLOOKUP($Q51,坦克个性化设定!$B$84:$D$114,3,FALSE)</f>
        <v>453.36436744795554</v>
      </c>
      <c r="X51" s="131">
        <f t="shared" ca="1" si="16"/>
        <v>723</v>
      </c>
      <c r="Y51" s="131">
        <f t="shared" ca="1" si="16"/>
        <v>578</v>
      </c>
      <c r="Z51" s="131">
        <f t="shared" ca="1" si="16"/>
        <v>966</v>
      </c>
      <c r="AA51" s="131">
        <f t="shared" ca="1" si="16"/>
        <v>219</v>
      </c>
      <c r="AU51" s="364" t="str">
        <f t="shared" si="9"/>
        <v>十字军14</v>
      </c>
      <c r="AV51" s="183">
        <f>IF(AY50&gt;=VLOOKUP(VLOOKUP(AW50,坦克个性化设定!$B$18:$E$48,4,FALSE)&amp;AX50,坦克属性分配比例,MATCH("升星次数",坦克属性分配比例标头,0),FALSE),AV50+1,AV50)</f>
        <v>5</v>
      </c>
      <c r="AW51" s="131" t="str">
        <f t="shared" si="10"/>
        <v>十字军</v>
      </c>
      <c r="AX51" s="177" t="str">
        <f>VLOOKUP(AW51,坦克个性化细分!$I$3:$J$33,2,FALSE)</f>
        <v>中</v>
      </c>
      <c r="AY51" s="183">
        <f t="shared" si="1"/>
        <v>14</v>
      </c>
      <c r="AZ51" s="486">
        <f ca="1">ROUND(VLOOKUP($AW51&amp;"初始",$O$3:$AA$63,MATCH(AZ$3,$O$3:$AA$3,0),FALSE)+((VLOOKUP($AW51&amp;"最终",$O$3:$AA$63,MATCH(AZ$3,$O$3:$AA$3,0),FALSE)*坦克个性化细分!$C$9-VLOOKUP($AW51&amp;"初始",$O$3:$AA$63,MATCH(AZ$3,$O$3:$AA$3,0),FALSE))-(VLOOKUP($AW51&amp;"最终",$O$3:$AA$63,MATCH(AZ$3,$O$3:$AA$3,0),FALSE)-VLOOKUP($AW51&amp;"初始",$O$3:$AA$63,MATCH(AZ$3,$O$3:$AA$3,0),FALSE))*VLOOKUP(VLOOKUP($AW51,坦克个性化设定!$B$18:$E$48,4,FALSE)&amp;$AX51,坦克属性分配比例,MATCH("部件比例",坦克属性分配比例标头,0),FALSE))*$AY51/VLOOKUP(VLOOKUP($AW51,坦克个性化设定!$B$18:$E$48,4,FALSE)&amp;$AX51,坦克属性分配比例,MATCH("升星次数",坦克属性分配比例标头,0),FALSE),0)</f>
        <v>2709</v>
      </c>
      <c r="BA51" s="426">
        <f ca="1">ROUND(VLOOKUP($AW51&amp;"初始",$O$3:$AA$63,MATCH(BA$3,$O$3:$AA$3,0),FALSE)+(VLOOKUP($AW51&amp;"最终",$O$3:$AA$63,MATCH(BA$3,$O$3:$AA$3,0),FALSE)-VLOOKUP($AW51&amp;"初始",$O$3:$AA$63,MATCH(BA$3,$O$3:$AA$3,0),FALSE))*$AY51/VLOOKUP(VLOOKUP($AW51,坦克个性化设定!$B$18:$E$48,4,FALSE)&amp;$AX51,坦克属性分配比例,MATCH("升星次数",坦克属性分配比例标头,0),FALSE)*VLOOKUP(VLOOKUP($AW51,坦克个性化设定!$B$18:$E$48,4,FALSE)&amp;$AX51,坦克属性分配比例,MATCH("升星比例",坦克属性分配比例标头,0),FALSE),0)</f>
        <v>73</v>
      </c>
      <c r="BB51" s="486">
        <f ca="1">ROUND(VLOOKUP($AW51&amp;"初始",$O$3:$AA$63,MATCH(BB$3,$O$3:$AA$3,0),FALSE)+(VLOOKUP($AW51&amp;"最终",$O$3:$AA$63,MATCH(BB$3,$O$3:$AA$3,0),FALSE)-VLOOKUP($AW51&amp;"初始",$O$3:$AA$63,MATCH(BB$3,$O$3:$AA$3,0),FALSE))*$AY51/VLOOKUP(VLOOKUP($AW51,坦克个性化设定!$B$18:$E$48,4,FALSE)&amp;$AX51,坦克属性分配比例,MATCH("升星次数",坦克属性分配比例标头,0),FALSE)*(VLOOKUP(VLOOKUP($AW51,坦克个性化设定!$B$18:$E$48,4,FALSE)&amp;$AX51,坦克属性分配比例,MATCH("升星比例",坦克属性分配比例标头,0),FALSE)+VLOOKUP(VLOOKUP($AW51,坦克个性化设定!$B$18:$E$48,4,FALSE)&amp;$AX51,坦克属性分配比例,MATCH("部件比例",坦克属性分配比例标头,0),FALSE)*$C$3),0)</f>
        <v>910</v>
      </c>
      <c r="BC51" s="486">
        <f ca="1">ROUND(VLOOKUP($AW51&amp;"初始",$O$3:$AA$63,MATCH(BC$3,$O$3:$AA$3,0),FALSE)+(VLOOKUP($AW51&amp;"最终",$O$3:$AA$63,MATCH(BC$3,$O$3:$AA$3,0),FALSE)-VLOOKUP($AW51&amp;"初始",$O$3:$AA$63,MATCH(BC$3,$O$3:$AA$3,0),FALSE))*$AY51/VLOOKUP(VLOOKUP($AW51,坦克个性化设定!$B$18:$E$48,4,FALSE)&amp;$AX51,坦克属性分配比例,MATCH("升星次数",坦克属性分配比例标头,0),FALSE)*(VLOOKUP(VLOOKUP($AW51,坦克个性化设定!$B$18:$E$48,4,FALSE)&amp;$AX51,坦克属性分配比例,MATCH("升星比例",坦克属性分配比例标头,0),FALSE)+VLOOKUP(VLOOKUP($AW51,坦克个性化设定!$B$18:$E$48,4,FALSE)&amp;$AX51,坦克属性分配比例,MATCH("部件比例",坦克属性分配比例标头,0),FALSE)*$C$3),0)</f>
        <v>637</v>
      </c>
      <c r="BD51" s="426">
        <f ca="1">ROUND(VLOOKUP($AW51&amp;"初始",$O$3:$AA$63,MATCH(BD$3,$O$3:$AA$3,0),FALSE)+(VLOOKUP($AW51&amp;"最终",$O$3:$AA$63,MATCH(BD$3,$O$3:$AA$3,0),FALSE)-VLOOKUP($AW51&amp;"初始",$O$3:$AA$63,MATCH(BD$3,$O$3:$AA$3,0),FALSE))*$AY51/VLOOKUP(VLOOKUP($AW51,坦克个性化设定!$B$18:$E$48,4,FALSE)&amp;$AX51,坦克属性分配比例,MATCH("升星次数",坦克属性分配比例标头,0),FALSE)*VLOOKUP(VLOOKUP($AW51,坦克个性化设定!$B$18:$E$48,4,FALSE)&amp;$AX51,坦克属性分配比例,MATCH("升星比例",坦克属性分配比例标头,0),FALSE),0)</f>
        <v>719</v>
      </c>
      <c r="BE51" s="426">
        <f ca="1">ROUND(VLOOKUP($AW51&amp;"初始",$O$3:$AA$63,MATCH(BE$3,$O$3:$AA$3,0),FALSE)+(VLOOKUP($AW51&amp;"最终",$O$3:$AA$63,MATCH(BE$3,$O$3:$AA$3,0),FALSE)-VLOOKUP($AW51&amp;"初始",$O$3:$AA$63,MATCH(BE$3,$O$3:$AA$3,0),FALSE))*$AY51/VLOOKUP(VLOOKUP($AW51,坦克个性化设定!$B$18:$E$48,4,FALSE)&amp;$AX51,坦克属性分配比例,MATCH("升星次数",坦克属性分配比例标头,0),FALSE),0)</f>
        <v>242</v>
      </c>
      <c r="BF51" s="462">
        <f>ROUND(VLOOKUP($AW51,$AD$3:$AJ$33,MATCH(BF$3,$AD$3:$AJ$3,0),FALSE)+$AY51/VLOOKUP(VLOOKUP($AW51,坦克个性化设定!$B$18:$E$48,4,FALSE)&amp;$AX51,坦克属性分配比例,MATCH("升星次数",坦克属性分配比例标头,0),FALSE)*VLOOKUP($AW51,$AM$3:$AS$33,MATCH(BF$3,$AM$3:$AS$3,0),FALSE),1)</f>
        <v>60.1</v>
      </c>
      <c r="BG51" s="462">
        <f>ROUND(VLOOKUP($AW51,$AD$3:$AJ$33,MATCH(BG$3,$AD$3:$AJ$3,0),FALSE)+$AY51/VLOOKUP(VLOOKUP($AW51,坦克个性化设定!$B$18:$E$48,4,FALSE)&amp;$AX51,坦克属性分配比例,MATCH("升星次数",坦克属性分配比例标头,0),FALSE)*VLOOKUP($AW51,$AM$3:$AS$33,MATCH(BG$3,$AM$3:$AS$3,0),FALSE),1)</f>
        <v>57.4</v>
      </c>
      <c r="BH51" s="462">
        <f>ROUND(VLOOKUP($AW51,$AD$3:$AJ$33,MATCH(BH$3,$AD$3:$AJ$3,0),FALSE)+$AY51/VLOOKUP(VLOOKUP($AW51,坦克个性化设定!$B$18:$E$48,4,FALSE)&amp;$AX51,坦克属性分配比例,MATCH("升星次数",坦克属性分配比例标头,0),FALSE)*VLOOKUP($AW51,$AM$3:$AS$33,MATCH(BH$3,$AM$3:$AS$3,0),FALSE),1)</f>
        <v>19.8</v>
      </c>
      <c r="BI51" s="654">
        <f>IF(VLOOKUP(AW51,坦克个性化设定!$B$18:$BB$48,MATCH("装弹类型",坦克个性化设定!$B$18:$BB$18,0),FALSE)="弹夹换弹",0,ROUND(VLOOKUP($AW51,$AD$3:$AJ$33,MATCH("换弹时间",$AD$3:$AJ$3,0),FALSE)-$AY51/VLOOKUP(VLOOKUP($AW51,坦克个性化设定!$B$18:$E$48,4,FALSE)&amp;$AX51,坦克属性分配比例,MATCH("升星次数",坦克属性分配比例标头,0),FALSE)*VLOOKUP($AW51,$AM$3:$AS$33,MATCH("换弹时间",$AM$3:$AS$3,0),FALSE),2))</f>
        <v>0</v>
      </c>
      <c r="BJ51" s="462">
        <f>IF(VLOOKUP(AW51,坦克个性化设定!$B$18:$BB$48,MATCH("装弹类型",坦克个性化设定!$B$18:$BB$18,0),FALSE)="弹夹换弹",ROUND(VLOOKUP($AW51,$AD$3:$AJ$33,MATCH("换弹时间",$AD$3:$AJ$3,0),FALSE)-$AY51/VLOOKUP(VLOOKUP($AW51,坦克个性化设定!$B$18:$E$48,4,FALSE)&amp;$AX51,坦克属性分配比例,MATCH("升星次数",坦克属性分配比例标头,0),FALSE)*VLOOKUP($AW51,$AM$3:$AS$33,MATCH("换弹时间",$AM$3:$AS$3,0),FALSE),1),0)</f>
        <v>4.0999999999999996</v>
      </c>
      <c r="BK51" s="462">
        <f>ROUND(VLOOKUP($AW51,$AD$3:$AJ$33,MATCH(BK$3,$AD$3:$AJ$3,0),FALSE)+$AY51/VLOOKUP(VLOOKUP($AW51,坦克个性化设定!$B$18:$E$48,4,FALSE)&amp;$AX51,坦克属性分配比例,MATCH("升星次数",坦克属性分配比例标头,0),FALSE)*VLOOKUP($AW51,$AM$3:$AS$33,MATCH(BK$3,$AM$3:$AS$3,0),FALSE),2)</f>
        <v>0.3</v>
      </c>
      <c r="BL51" s="462">
        <f>ROUND(VLOOKUP($AW51,$AD$3:$AJ$33,MATCH(BL$3,$AD$3:$AJ$3,0),FALSE)-$AY51/VLOOKUP(VLOOKUP($AW51,坦克个性化设定!$B$18:$E$48,4,FALSE)&amp;$AX51,坦克属性分配比例,MATCH("升星次数",坦克属性分配比例标头,0),FALSE)*VLOOKUP($AW51,$AM$3:$AS$33,MATCH(BL$3,$AM$3:$AS$3,0),FALSE),2)</f>
        <v>0.57999999999999996</v>
      </c>
    </row>
    <row r="52" spans="15:64" x14ac:dyDescent="0.35">
      <c r="O52" s="426" t="str">
        <f t="shared" si="5"/>
        <v>虎式初始</v>
      </c>
      <c r="P52" s="137">
        <f>IF(COUNTIF(Q$4:Q51,Q51)&gt;=$B$3,P51+1,P51)</f>
        <v>25</v>
      </c>
      <c r="Q52" s="131" t="str">
        <f t="shared" si="6"/>
        <v>虎式</v>
      </c>
      <c r="R52" s="131" t="str">
        <f>VLOOKUP(Q52,坦克个性化设定!$B$18:$F$48,5,FALSE)</f>
        <v>重坦单发</v>
      </c>
      <c r="S52" s="177" t="str">
        <f>VLOOKUP(Q52,坦克个性化细分!$I$3:$J$33,2,FALSE)</f>
        <v>中</v>
      </c>
      <c r="T52" s="137" t="str">
        <f t="shared" si="12"/>
        <v>初始</v>
      </c>
      <c r="U52" s="178" t="str">
        <f>VLOOKUP(VLOOKUP(Q52,坦克个性化设定!$B$18:$F$48,4,FALSE)&amp;S52,坦克等级成长!$P$12:$U$24,MATCH(T52,坦克等级成长!$P$12:$U$12,0),FALSE)</f>
        <v>T3中3</v>
      </c>
      <c r="V52" s="96">
        <f ca="1">VLOOKUP($U52,INDIRECT($R52&amp;"_阶段属性"),MATCH(V$3,属性标头_阶段属性,0),FALSE)*VLOOKUP($Q52,坦克个性化设定!$B$84:$D$114,2,FALSE)</f>
        <v>1403.5477164876645</v>
      </c>
      <c r="W52" s="96">
        <f ca="1">VLOOKUP($U52,INDIRECT($R52&amp;"_阶段属性"),MATCH(W$3,属性标头_阶段属性,0),FALSE)*VLOOKUP($Q52,坦克个性化设定!$B$84:$D$114,3,FALSE)</f>
        <v>317.12993777929171</v>
      </c>
      <c r="X52" s="131">
        <f t="shared" ca="1" si="16"/>
        <v>486</v>
      </c>
      <c r="Y52" s="131">
        <f t="shared" ca="1" si="16"/>
        <v>388</v>
      </c>
      <c r="Z52" s="131">
        <f t="shared" ca="1" si="16"/>
        <v>649</v>
      </c>
      <c r="AA52" s="131">
        <f t="shared" ca="1" si="16"/>
        <v>147</v>
      </c>
      <c r="AU52" s="364" t="str">
        <f t="shared" si="9"/>
        <v>AMX-130</v>
      </c>
      <c r="AV52" s="183">
        <f>IF(AY51&gt;=VLOOKUP(VLOOKUP(AW51,坦克个性化设定!$B$18:$E$48,4,FALSE)&amp;AX51,坦克属性分配比例,MATCH("升星次数",坦克属性分配比例标头,0),FALSE),AV51+1,AV51)</f>
        <v>6</v>
      </c>
      <c r="AW52" s="131" t="str">
        <f t="shared" si="10"/>
        <v>AMX-13</v>
      </c>
      <c r="AX52" s="177" t="str">
        <f>VLOOKUP(AW52,坦克个性化细分!$I$3:$J$33,2,FALSE)</f>
        <v>高</v>
      </c>
      <c r="AY52" s="183">
        <f t="shared" si="1"/>
        <v>0</v>
      </c>
      <c r="AZ52" s="486">
        <f ca="1">ROUND(VLOOKUP($AW52&amp;"初始",$O$3:$AA$63,MATCH(AZ$3,$O$3:$AA$3,0),FALSE)+((VLOOKUP($AW52&amp;"最终",$O$3:$AA$63,MATCH(AZ$3,$O$3:$AA$3,0),FALSE)*坦克个性化细分!$C$9-VLOOKUP($AW52&amp;"初始",$O$3:$AA$63,MATCH(AZ$3,$O$3:$AA$3,0),FALSE))-(VLOOKUP($AW52&amp;"最终",$O$3:$AA$63,MATCH(AZ$3,$O$3:$AA$3,0),FALSE)-VLOOKUP($AW52&amp;"初始",$O$3:$AA$63,MATCH(AZ$3,$O$3:$AA$3,0),FALSE))*VLOOKUP(VLOOKUP($AW52,坦克个性化设定!$B$18:$E$48,4,FALSE)&amp;$AX52,坦克属性分配比例,MATCH("部件比例",坦克属性分配比例标头,0),FALSE))*$AY52/VLOOKUP(VLOOKUP($AW52,坦克个性化设定!$B$18:$E$48,4,FALSE)&amp;$AX52,坦克属性分配比例,MATCH("升星次数",坦克属性分配比例标头,0),FALSE),0)</f>
        <v>1229</v>
      </c>
      <c r="BA52" s="426">
        <f ca="1">ROUND(VLOOKUP($AW52&amp;"初始",$O$3:$AA$63,MATCH(BA$3,$O$3:$AA$3,0),FALSE)+(VLOOKUP($AW52&amp;"最终",$O$3:$AA$63,MATCH(BA$3,$O$3:$AA$3,0),FALSE)-VLOOKUP($AW52&amp;"初始",$O$3:$AA$63,MATCH(BA$3,$O$3:$AA$3,0),FALSE))*$AY52/VLOOKUP(VLOOKUP($AW52,坦克个性化设定!$B$18:$E$48,4,FALSE)&amp;$AX52,坦克属性分配比例,MATCH("升星次数",坦克属性分配比例标头,0),FALSE)*VLOOKUP(VLOOKUP($AW52,坦克个性化设定!$B$18:$E$48,4,FALSE)&amp;$AX52,坦克属性分配比例,MATCH("升星比例",坦克属性分配比例标头,0),FALSE),0)</f>
        <v>167</v>
      </c>
      <c r="BB52" s="486">
        <f ca="1">ROUND(VLOOKUP($AW52&amp;"初始",$O$3:$AA$63,MATCH(BB$3,$O$3:$AA$3,0),FALSE)+(VLOOKUP($AW52&amp;"最终",$O$3:$AA$63,MATCH(BB$3,$O$3:$AA$3,0),FALSE)-VLOOKUP($AW52&amp;"初始",$O$3:$AA$63,MATCH(BB$3,$O$3:$AA$3,0),FALSE))*$AY52/VLOOKUP(VLOOKUP($AW52,坦克个性化设定!$B$18:$E$48,4,FALSE)&amp;$AX52,坦克属性分配比例,MATCH("升星次数",坦克属性分配比例标头,0),FALSE)*(VLOOKUP(VLOOKUP($AW52,坦克个性化设定!$B$18:$E$48,4,FALSE)&amp;$AX52,坦克属性分配比例,MATCH("升星比例",坦克属性分配比例标头,0),FALSE)+VLOOKUP(VLOOKUP($AW52,坦克个性化设定!$B$18:$E$48,4,FALSE)&amp;$AX52,坦克属性分配比例,MATCH("部件比例",坦克属性分配比例标头,0),FALSE)*$C$3),0)</f>
        <v>579</v>
      </c>
      <c r="BC52" s="486">
        <f ca="1">ROUND(VLOOKUP($AW52&amp;"初始",$O$3:$AA$63,MATCH(BC$3,$O$3:$AA$3,0),FALSE)+(VLOOKUP($AW52&amp;"最终",$O$3:$AA$63,MATCH(BC$3,$O$3:$AA$3,0),FALSE)-VLOOKUP($AW52&amp;"初始",$O$3:$AA$63,MATCH(BC$3,$O$3:$AA$3,0),FALSE))*$AY52/VLOOKUP(VLOOKUP($AW52,坦克个性化设定!$B$18:$E$48,4,FALSE)&amp;$AX52,坦克属性分配比例,MATCH("升星次数",坦克属性分配比例标头,0),FALSE)*(VLOOKUP(VLOOKUP($AW52,坦克个性化设定!$B$18:$E$48,4,FALSE)&amp;$AX52,坦克属性分配比例,MATCH("升星比例",坦克属性分配比例标头,0),FALSE)+VLOOKUP(VLOOKUP($AW52,坦克个性化设定!$B$18:$E$48,4,FALSE)&amp;$AX52,坦克属性分配比例,MATCH("部件比例",坦克属性分配比例标头,0),FALSE)*$C$3),0)</f>
        <v>405</v>
      </c>
      <c r="BD52" s="426">
        <f ca="1">ROUND(VLOOKUP($AW52&amp;"初始",$O$3:$AA$63,MATCH(BD$3,$O$3:$AA$3,0),FALSE)+(VLOOKUP($AW52&amp;"最终",$O$3:$AA$63,MATCH(BD$3,$O$3:$AA$3,0),FALSE)-VLOOKUP($AW52&amp;"初始",$O$3:$AA$63,MATCH(BD$3,$O$3:$AA$3,0),FALSE))*$AY52/VLOOKUP(VLOOKUP($AW52,坦克个性化设定!$B$18:$E$48,4,FALSE)&amp;$AX52,坦克属性分配比例,MATCH("升星次数",坦克属性分配比例标头,0),FALSE)*VLOOKUP(VLOOKUP($AW52,坦克个性化设定!$B$18:$E$48,4,FALSE)&amp;$AX52,坦克属性分配比例,MATCH("升星比例",坦克属性分配比例标头,0),FALSE),0)</f>
        <v>486</v>
      </c>
      <c r="BE52" s="426">
        <f ca="1">ROUND(VLOOKUP($AW52&amp;"初始",$O$3:$AA$63,MATCH(BE$3,$O$3:$AA$3,0),FALSE)+(VLOOKUP($AW52&amp;"最终",$O$3:$AA$63,MATCH(BE$3,$O$3:$AA$3,0),FALSE)-VLOOKUP($AW52&amp;"初始",$O$3:$AA$63,MATCH(BE$3,$O$3:$AA$3,0),FALSE))*$AY52/VLOOKUP(VLOOKUP($AW52,坦克个性化设定!$B$18:$E$48,4,FALSE)&amp;$AX52,坦克属性分配比例,MATCH("升星次数",坦克属性分配比例标头,0),FALSE),0)</f>
        <v>130</v>
      </c>
      <c r="BF52" s="462">
        <f>ROUND(VLOOKUP($AW52,$AD$3:$AJ$33,MATCH(BF$3,$AD$3:$AJ$3,0),FALSE)+$AY52/VLOOKUP(VLOOKUP($AW52,坦克个性化设定!$B$18:$E$48,4,FALSE)&amp;$AX52,坦克属性分配比例,MATCH("升星次数",坦克属性分配比例标头,0),FALSE)*VLOOKUP($AW52,$AM$3:$AS$33,MATCH(BF$3,$AM$3:$AS$3,0),FALSE),1)</f>
        <v>39.6</v>
      </c>
      <c r="BG52" s="462">
        <f>ROUND(VLOOKUP($AW52,$AD$3:$AJ$33,MATCH(BG$3,$AD$3:$AJ$3,0),FALSE)+$AY52/VLOOKUP(VLOOKUP($AW52,坦克个性化设定!$B$18:$E$48,4,FALSE)&amp;$AX52,坦克属性分配比例,MATCH("升星次数",坦克属性分配比例标头,0),FALSE)*VLOOKUP($AW52,$AM$3:$AS$33,MATCH(BG$3,$AM$3:$AS$3,0),FALSE),1)</f>
        <v>59.1</v>
      </c>
      <c r="BH52" s="462">
        <f>ROUND(VLOOKUP($AW52,$AD$3:$AJ$33,MATCH(BH$3,$AD$3:$AJ$3,0),FALSE)+$AY52/VLOOKUP(VLOOKUP($AW52,坦克个性化设定!$B$18:$E$48,4,FALSE)&amp;$AX52,坦克属性分配比例,MATCH("升星次数",坦克属性分配比例标头,0),FALSE)*VLOOKUP($AW52,$AM$3:$AS$33,MATCH(BH$3,$AM$3:$AS$3,0),FALSE),1)</f>
        <v>13.8</v>
      </c>
      <c r="BI52" s="654">
        <f>IF(VLOOKUP(AW52,坦克个性化设定!$B$18:$BB$48,MATCH("装弹类型",坦克个性化设定!$B$18:$BB$18,0),FALSE)="弹夹换弹",0,ROUND(VLOOKUP($AW52,$AD$3:$AJ$33,MATCH("换弹时间",$AD$3:$AJ$3,0),FALSE)-$AY52/VLOOKUP(VLOOKUP($AW52,坦克个性化设定!$B$18:$E$48,4,FALSE)&amp;$AX52,坦克属性分配比例,MATCH("升星次数",坦克属性分配比例标头,0),FALSE)*VLOOKUP($AW52,$AM$3:$AS$33,MATCH("换弹时间",$AM$3:$AS$3,0),FALSE),2))</f>
        <v>3</v>
      </c>
      <c r="BJ52" s="462">
        <f>IF(VLOOKUP(AW52,坦克个性化设定!$B$18:$BB$48,MATCH("装弹类型",坦克个性化设定!$B$18:$BB$18,0),FALSE)="弹夹换弹",ROUND(VLOOKUP($AW52,$AD$3:$AJ$33,MATCH("换弹时间",$AD$3:$AJ$3,0),FALSE)-$AY52/VLOOKUP(VLOOKUP($AW52,坦克个性化设定!$B$18:$E$48,4,FALSE)&amp;$AX52,坦克属性分配比例,MATCH("升星次数",坦克属性分配比例标头,0),FALSE)*VLOOKUP($AW52,$AM$3:$AS$33,MATCH("换弹时间",$AM$3:$AS$3,0),FALSE),1),0)</f>
        <v>0</v>
      </c>
      <c r="BK52" s="462">
        <f>ROUND(VLOOKUP($AW52,$AD$3:$AJ$33,MATCH(BK$3,$AD$3:$AJ$3,0),FALSE)+$AY52/VLOOKUP(VLOOKUP($AW52,坦克个性化设定!$B$18:$E$48,4,FALSE)&amp;$AX52,坦克属性分配比例,MATCH("升星次数",坦克属性分配比例标头,0),FALSE)*VLOOKUP($AW52,$AM$3:$AS$33,MATCH(BK$3,$AM$3:$AS$3,0),FALSE),2)</f>
        <v>0</v>
      </c>
      <c r="BL52" s="462">
        <f>ROUND(VLOOKUP($AW52,$AD$3:$AJ$33,MATCH(BL$3,$AD$3:$AJ$3,0),FALSE)-$AY52/VLOOKUP(VLOOKUP($AW52,坦克个性化设定!$B$18:$E$48,4,FALSE)&amp;$AX52,坦克属性分配比例,MATCH("升星次数",坦克属性分配比例标头,0),FALSE)*VLOOKUP($AW52,$AM$3:$AS$33,MATCH(BL$3,$AM$3:$AS$3,0),FALSE),2)</f>
        <v>1.8</v>
      </c>
    </row>
    <row r="53" spans="15:64" x14ac:dyDescent="0.35">
      <c r="O53" s="426" t="str">
        <f t="shared" si="5"/>
        <v>虎式最终</v>
      </c>
      <c r="P53" s="137">
        <f>IF(COUNTIF(Q$4:Q52,Q52)&gt;=$B$3,P52+1,P52)</f>
        <v>25</v>
      </c>
      <c r="Q53" s="131" t="str">
        <f t="shared" si="6"/>
        <v>虎式</v>
      </c>
      <c r="R53" s="131" t="str">
        <f>VLOOKUP(Q53,坦克个性化设定!$B$18:$F$48,5,FALSE)</f>
        <v>重坦单发</v>
      </c>
      <c r="S53" s="177" t="str">
        <f>VLOOKUP(Q53,坦克个性化细分!$I$3:$J$33,2,FALSE)</f>
        <v>中</v>
      </c>
      <c r="T53" s="137" t="str">
        <f t="shared" si="12"/>
        <v>最终</v>
      </c>
      <c r="U53" s="178" t="str">
        <f>VLOOKUP(VLOOKUP(Q53,坦克个性化设定!$B$18:$F$48,4,FALSE)&amp;S53,坦克等级成长!$P$12:$U$24,MATCH(T53,坦克等级成长!$P$12:$U$12,0),FALSE)</f>
        <v>T3中5</v>
      </c>
      <c r="V53" s="96">
        <f ca="1">VLOOKUP($U53,INDIRECT($R53&amp;"_阶段属性"),MATCH(V$3,属性标头_阶段属性,0),FALSE)*VLOOKUP($Q53,坦克个性化设定!$B$84:$D$114,2,FALSE)</f>
        <v>2742.1252187335581</v>
      </c>
      <c r="W53" s="96">
        <f ca="1">VLOOKUP($U53,INDIRECT($R53&amp;"_阶段属性"),MATCH(W$3,属性标头_阶段属性,0),FALSE)*VLOOKUP($Q53,坦克个性化设定!$B$84:$D$114,3,FALSE)</f>
        <v>619.6070071463389</v>
      </c>
      <c r="X53" s="131">
        <f t="shared" ca="1" si="16"/>
        <v>949</v>
      </c>
      <c r="Y53" s="131">
        <f t="shared" ca="1" si="16"/>
        <v>759</v>
      </c>
      <c r="Z53" s="131">
        <f t="shared" ca="1" si="16"/>
        <v>1268</v>
      </c>
      <c r="AA53" s="131">
        <f t="shared" ca="1" si="16"/>
        <v>287</v>
      </c>
      <c r="AU53" s="364" t="str">
        <f t="shared" si="9"/>
        <v>AMX-131</v>
      </c>
      <c r="AV53" s="183">
        <f>IF(AY52&gt;=VLOOKUP(VLOOKUP(AW52,坦克个性化设定!$B$18:$E$48,4,FALSE)&amp;AX52,坦克属性分配比例,MATCH("升星次数",坦克属性分配比例标头,0),FALSE),AV52+1,AV52)</f>
        <v>6</v>
      </c>
      <c r="AW53" s="131" t="str">
        <f t="shared" si="10"/>
        <v>AMX-13</v>
      </c>
      <c r="AX53" s="177" t="str">
        <f>VLOOKUP(AW53,坦克个性化细分!$I$3:$J$33,2,FALSE)</f>
        <v>高</v>
      </c>
      <c r="AY53" s="183">
        <f t="shared" si="1"/>
        <v>1</v>
      </c>
      <c r="AZ53" s="486">
        <f ca="1">ROUND(VLOOKUP($AW53&amp;"初始",$O$3:$AA$63,MATCH(AZ$3,$O$3:$AA$3,0),FALSE)+((VLOOKUP($AW53&amp;"最终",$O$3:$AA$63,MATCH(AZ$3,$O$3:$AA$3,0),FALSE)*坦克个性化细分!$C$9-VLOOKUP($AW53&amp;"初始",$O$3:$AA$63,MATCH(AZ$3,$O$3:$AA$3,0),FALSE))-(VLOOKUP($AW53&amp;"最终",$O$3:$AA$63,MATCH(AZ$3,$O$3:$AA$3,0),FALSE)-VLOOKUP($AW53&amp;"初始",$O$3:$AA$63,MATCH(AZ$3,$O$3:$AA$3,0),FALSE))*VLOOKUP(VLOOKUP($AW53,坦克个性化设定!$B$18:$E$48,4,FALSE)&amp;$AX53,坦克属性分配比例,MATCH("部件比例",坦克属性分配比例标头,0),FALSE))*$AY53/VLOOKUP(VLOOKUP($AW53,坦克个性化设定!$B$18:$E$48,4,FALSE)&amp;$AX53,坦克属性分配比例,MATCH("升星次数",坦克属性分配比例标头,0),FALSE),0)</f>
        <v>1333</v>
      </c>
      <c r="BA53" s="426">
        <f ca="1">ROUND(VLOOKUP($AW53&amp;"初始",$O$3:$AA$63,MATCH(BA$3,$O$3:$AA$3,0),FALSE)+(VLOOKUP($AW53&amp;"最终",$O$3:$AA$63,MATCH(BA$3,$O$3:$AA$3,0),FALSE)-VLOOKUP($AW53&amp;"初始",$O$3:$AA$63,MATCH(BA$3,$O$3:$AA$3,0),FALSE))*$AY53/VLOOKUP(VLOOKUP($AW53,坦克个性化设定!$B$18:$E$48,4,FALSE)&amp;$AX53,坦克属性分配比例,MATCH("升星次数",坦克属性分配比例标头,0),FALSE)*VLOOKUP(VLOOKUP($AW53,坦克个性化设定!$B$18:$E$48,4,FALSE)&amp;$AX53,坦克属性分配比例,MATCH("升星比例",坦克属性分配比例标头,0),FALSE),0)</f>
        <v>174</v>
      </c>
      <c r="BB53" s="486">
        <f ca="1">ROUND(VLOOKUP($AW53&amp;"初始",$O$3:$AA$63,MATCH(BB$3,$O$3:$AA$3,0),FALSE)+(VLOOKUP($AW53&amp;"最终",$O$3:$AA$63,MATCH(BB$3,$O$3:$AA$3,0),FALSE)-VLOOKUP($AW53&amp;"初始",$O$3:$AA$63,MATCH(BB$3,$O$3:$AA$3,0),FALSE))*$AY53/VLOOKUP(VLOOKUP($AW53,坦克个性化设定!$B$18:$E$48,4,FALSE)&amp;$AX53,坦克属性分配比例,MATCH("升星次数",坦克属性分配比例标头,0),FALSE)*(VLOOKUP(VLOOKUP($AW53,坦克个性化设定!$B$18:$E$48,4,FALSE)&amp;$AX53,坦克属性分配比例,MATCH("升星比例",坦克属性分配比例标头,0),FALSE)+VLOOKUP(VLOOKUP($AW53,坦克个性化设定!$B$18:$E$48,4,FALSE)&amp;$AX53,坦克属性分配比例,MATCH("部件比例",坦克属性分配比例标头,0),FALSE)*$C$3),0)</f>
        <v>613</v>
      </c>
      <c r="BC53" s="486">
        <f ca="1">ROUND(VLOOKUP($AW53&amp;"初始",$O$3:$AA$63,MATCH(BC$3,$O$3:$AA$3,0),FALSE)+(VLOOKUP($AW53&amp;"最终",$O$3:$AA$63,MATCH(BC$3,$O$3:$AA$3,0),FALSE)-VLOOKUP($AW53&amp;"初始",$O$3:$AA$63,MATCH(BC$3,$O$3:$AA$3,0),FALSE))*$AY53/VLOOKUP(VLOOKUP($AW53,坦克个性化设定!$B$18:$E$48,4,FALSE)&amp;$AX53,坦克属性分配比例,MATCH("升星次数",坦克属性分配比例标头,0),FALSE)*(VLOOKUP(VLOOKUP($AW53,坦克个性化设定!$B$18:$E$48,4,FALSE)&amp;$AX53,坦克属性分配比例,MATCH("升星比例",坦克属性分配比例标头,0),FALSE)+VLOOKUP(VLOOKUP($AW53,坦克个性化设定!$B$18:$E$48,4,FALSE)&amp;$AX53,坦克属性分配比例,MATCH("部件比例",坦克属性分配比例标头,0),FALSE)*$C$3),0)</f>
        <v>429</v>
      </c>
      <c r="BD53" s="426">
        <f ca="1">ROUND(VLOOKUP($AW53&amp;"初始",$O$3:$AA$63,MATCH(BD$3,$O$3:$AA$3,0),FALSE)+(VLOOKUP($AW53&amp;"最终",$O$3:$AA$63,MATCH(BD$3,$O$3:$AA$3,0),FALSE)-VLOOKUP($AW53&amp;"初始",$O$3:$AA$63,MATCH(BD$3,$O$3:$AA$3,0),FALSE))*$AY53/VLOOKUP(VLOOKUP($AW53,坦克个性化设定!$B$18:$E$48,4,FALSE)&amp;$AX53,坦克属性分配比例,MATCH("升星次数",坦克属性分配比例标头,0),FALSE)*VLOOKUP(VLOOKUP($AW53,坦克个性化设定!$B$18:$E$48,4,FALSE)&amp;$AX53,坦克属性分配比例,MATCH("升星比例",坦克属性分配比例标头,0),FALSE),0)</f>
        <v>506</v>
      </c>
      <c r="BE53" s="426">
        <f ca="1">ROUND(VLOOKUP($AW53&amp;"初始",$O$3:$AA$63,MATCH(BE$3,$O$3:$AA$3,0),FALSE)+(VLOOKUP($AW53&amp;"最终",$O$3:$AA$63,MATCH(BE$3,$O$3:$AA$3,0),FALSE)-VLOOKUP($AW53&amp;"初始",$O$3:$AA$63,MATCH(BE$3,$O$3:$AA$3,0),FALSE))*$AY53/VLOOKUP(VLOOKUP($AW53,坦克个性化设定!$B$18:$E$48,4,FALSE)&amp;$AX53,坦克属性分配比例,MATCH("升星次数",坦克属性分配比例标头,0),FALSE),0)</f>
        <v>139</v>
      </c>
      <c r="BF53" s="462">
        <f>ROUND(VLOOKUP($AW53,$AD$3:$AJ$33,MATCH(BF$3,$AD$3:$AJ$3,0),FALSE)+$AY53/VLOOKUP(VLOOKUP($AW53,坦克个性化设定!$B$18:$E$48,4,FALSE)&amp;$AX53,坦克属性分配比例,MATCH("升星次数",坦克属性分配比例标头,0),FALSE)*VLOOKUP($AW53,$AM$3:$AS$33,MATCH(BF$3,$AM$3:$AS$3,0),FALSE),1)</f>
        <v>40.299999999999997</v>
      </c>
      <c r="BG53" s="462">
        <f>ROUND(VLOOKUP($AW53,$AD$3:$AJ$33,MATCH(BG$3,$AD$3:$AJ$3,0),FALSE)+$AY53/VLOOKUP(VLOOKUP($AW53,坦克个性化设定!$B$18:$E$48,4,FALSE)&amp;$AX53,坦克属性分配比例,MATCH("升星次数",坦克属性分配比例标头,0),FALSE)*VLOOKUP($AW53,$AM$3:$AS$33,MATCH(BG$3,$AM$3:$AS$3,0),FALSE),1)</f>
        <v>60.2</v>
      </c>
      <c r="BH53" s="462">
        <f>ROUND(VLOOKUP($AW53,$AD$3:$AJ$33,MATCH(BH$3,$AD$3:$AJ$3,0),FALSE)+$AY53/VLOOKUP(VLOOKUP($AW53,坦克个性化设定!$B$18:$E$48,4,FALSE)&amp;$AX53,坦克属性分配比例,MATCH("升星次数",坦克属性分配比例标头,0),FALSE)*VLOOKUP($AW53,$AM$3:$AS$33,MATCH(BH$3,$AM$3:$AS$3,0),FALSE),1)</f>
        <v>14.1</v>
      </c>
      <c r="BI53" s="654">
        <f>IF(VLOOKUP(AW53,坦克个性化设定!$B$18:$BB$48,MATCH("装弹类型",坦克个性化设定!$B$18:$BB$18,0),FALSE)="弹夹换弹",0,ROUND(VLOOKUP($AW53,$AD$3:$AJ$33,MATCH("换弹时间",$AD$3:$AJ$3,0),FALSE)-$AY53/VLOOKUP(VLOOKUP($AW53,坦克个性化设定!$B$18:$E$48,4,FALSE)&amp;$AX53,坦克属性分配比例,MATCH("升星次数",坦克属性分配比例标头,0),FALSE)*VLOOKUP($AW53,$AM$3:$AS$33,MATCH("换弹时间",$AM$3:$AS$3,0),FALSE),2))</f>
        <v>2.95</v>
      </c>
      <c r="BJ53" s="462">
        <f>IF(VLOOKUP(AW53,坦克个性化设定!$B$18:$BB$48,MATCH("装弹类型",坦克个性化设定!$B$18:$BB$18,0),FALSE)="弹夹换弹",ROUND(VLOOKUP($AW53,$AD$3:$AJ$33,MATCH("换弹时间",$AD$3:$AJ$3,0),FALSE)-$AY53/VLOOKUP(VLOOKUP($AW53,坦克个性化设定!$B$18:$E$48,4,FALSE)&amp;$AX53,坦克属性分配比例,MATCH("升星次数",坦克属性分配比例标头,0),FALSE)*VLOOKUP($AW53,$AM$3:$AS$33,MATCH("换弹时间",$AM$3:$AS$3,0),FALSE),1),0)</f>
        <v>0</v>
      </c>
      <c r="BK53" s="462">
        <f>ROUND(VLOOKUP($AW53,$AD$3:$AJ$33,MATCH(BK$3,$AD$3:$AJ$3,0),FALSE)+$AY53/VLOOKUP(VLOOKUP($AW53,坦克个性化设定!$B$18:$E$48,4,FALSE)&amp;$AX53,坦克属性分配比例,MATCH("升星次数",坦克属性分配比例标头,0),FALSE)*VLOOKUP($AW53,$AM$3:$AS$33,MATCH(BK$3,$AM$3:$AS$3,0),FALSE),2)</f>
        <v>0</v>
      </c>
      <c r="BL53" s="462">
        <f>ROUND(VLOOKUP($AW53,$AD$3:$AJ$33,MATCH(BL$3,$AD$3:$AJ$3,0),FALSE)-$AY53/VLOOKUP(VLOOKUP($AW53,坦克个性化设定!$B$18:$E$48,4,FALSE)&amp;$AX53,坦克属性分配比例,MATCH("升星次数",坦克属性分配比例标头,0),FALSE)*VLOOKUP($AW53,$AM$3:$AS$33,MATCH(BL$3,$AM$3:$AS$3,0),FALSE),2)</f>
        <v>1.78</v>
      </c>
    </row>
    <row r="54" spans="15:64" x14ac:dyDescent="0.35">
      <c r="O54" s="426" t="str">
        <f t="shared" si="5"/>
        <v>KV-2初始</v>
      </c>
      <c r="P54" s="137">
        <f>IF(COUNTIF(Q$4:Q53,Q53)&gt;=$B$3,P53+1,P53)</f>
        <v>26</v>
      </c>
      <c r="Q54" s="131" t="str">
        <f t="shared" si="6"/>
        <v>KV-2</v>
      </c>
      <c r="R54" s="131" t="str">
        <f>VLOOKUP(Q54,坦克个性化设定!$B$18:$F$48,5,FALSE)</f>
        <v>重坦自动</v>
      </c>
      <c r="S54" s="177" t="str">
        <f>VLOOKUP(Q54,坦克个性化细分!$I$3:$J$33,2,FALSE)</f>
        <v>高</v>
      </c>
      <c r="T54" s="137" t="str">
        <f t="shared" si="12"/>
        <v>初始</v>
      </c>
      <c r="U54" s="178" t="str">
        <f>VLOOKUP(VLOOKUP(Q54,坦克个性化设定!$B$18:$F$48,4,FALSE)&amp;S54,坦克等级成长!$P$12:$U$24,MATCH(T54,坦克等级成长!$P$12:$U$12,0),FALSE)</f>
        <v>T3高3</v>
      </c>
      <c r="V54" s="96">
        <f ca="1">VLOOKUP($U54,INDIRECT($R54&amp;"_阶段属性"),MATCH(V$3,属性标头_阶段属性,0),FALSE)*VLOOKUP($Q54,坦克个性化设定!$B$84:$D$114,2,FALSE)</f>
        <v>1499.4131491812325</v>
      </c>
      <c r="W54" s="96">
        <f ca="1">VLOOKUP($U54,INDIRECT($R54&amp;"_阶段属性"),MATCH(W$3,属性标头_阶段属性,0),FALSE)*VLOOKUP($Q54,坦克个性化设定!$B$84:$D$114,3,FALSE)</f>
        <v>226.14107247422248</v>
      </c>
      <c r="X54" s="131">
        <f t="shared" ref="X54:AA63" ca="1" si="17">VLOOKUP($U54,INDIRECT($R54&amp;"_阶段属性"),MATCH(X$3,属性标头_阶段属性,0),FALSE)</f>
        <v>463</v>
      </c>
      <c r="Y54" s="131">
        <f t="shared" ca="1" si="17"/>
        <v>370</v>
      </c>
      <c r="Z54" s="131">
        <f t="shared" ca="1" si="17"/>
        <v>680</v>
      </c>
      <c r="AA54" s="131">
        <f t="shared" ca="1" si="17"/>
        <v>154</v>
      </c>
      <c r="AU54" s="364" t="str">
        <f t="shared" si="9"/>
        <v>AMX-132</v>
      </c>
      <c r="AV54" s="183">
        <f>IF(AY53&gt;=VLOOKUP(VLOOKUP(AW53,坦克个性化设定!$B$18:$E$48,4,FALSE)&amp;AX53,坦克属性分配比例,MATCH("升星次数",坦克属性分配比例标头,0),FALSE),AV53+1,AV53)</f>
        <v>6</v>
      </c>
      <c r="AW54" s="131" t="str">
        <f t="shared" si="10"/>
        <v>AMX-13</v>
      </c>
      <c r="AX54" s="177" t="str">
        <f>VLOOKUP(AW54,坦克个性化细分!$I$3:$J$33,2,FALSE)</f>
        <v>高</v>
      </c>
      <c r="AY54" s="183">
        <f t="shared" si="1"/>
        <v>2</v>
      </c>
      <c r="AZ54" s="486">
        <f ca="1">ROUND(VLOOKUP($AW54&amp;"初始",$O$3:$AA$63,MATCH(AZ$3,$O$3:$AA$3,0),FALSE)+((VLOOKUP($AW54&amp;"最终",$O$3:$AA$63,MATCH(AZ$3,$O$3:$AA$3,0),FALSE)*坦克个性化细分!$C$9-VLOOKUP($AW54&amp;"初始",$O$3:$AA$63,MATCH(AZ$3,$O$3:$AA$3,0),FALSE))-(VLOOKUP($AW54&amp;"最终",$O$3:$AA$63,MATCH(AZ$3,$O$3:$AA$3,0),FALSE)-VLOOKUP($AW54&amp;"初始",$O$3:$AA$63,MATCH(AZ$3,$O$3:$AA$3,0),FALSE))*VLOOKUP(VLOOKUP($AW54,坦克个性化设定!$B$18:$E$48,4,FALSE)&amp;$AX54,坦克属性分配比例,MATCH("部件比例",坦克属性分配比例标头,0),FALSE))*$AY54/VLOOKUP(VLOOKUP($AW54,坦克个性化设定!$B$18:$E$48,4,FALSE)&amp;$AX54,坦克属性分配比例,MATCH("升星次数",坦克属性分配比例标头,0),FALSE),0)</f>
        <v>1436</v>
      </c>
      <c r="BA54" s="426">
        <f ca="1">ROUND(VLOOKUP($AW54&amp;"初始",$O$3:$AA$63,MATCH(BA$3,$O$3:$AA$3,0),FALSE)+(VLOOKUP($AW54&amp;"最终",$O$3:$AA$63,MATCH(BA$3,$O$3:$AA$3,0),FALSE)-VLOOKUP($AW54&amp;"初始",$O$3:$AA$63,MATCH(BA$3,$O$3:$AA$3,0),FALSE))*$AY54/VLOOKUP(VLOOKUP($AW54,坦克个性化设定!$B$18:$E$48,4,FALSE)&amp;$AX54,坦克属性分配比例,MATCH("升星次数",坦克属性分配比例标头,0),FALSE)*VLOOKUP(VLOOKUP($AW54,坦克个性化设定!$B$18:$E$48,4,FALSE)&amp;$AX54,坦克属性分配比例,MATCH("升星比例",坦克属性分配比例标头,0),FALSE),0)</f>
        <v>180</v>
      </c>
      <c r="BB54" s="486">
        <f ca="1">ROUND(VLOOKUP($AW54&amp;"初始",$O$3:$AA$63,MATCH(BB$3,$O$3:$AA$3,0),FALSE)+(VLOOKUP($AW54&amp;"最终",$O$3:$AA$63,MATCH(BB$3,$O$3:$AA$3,0),FALSE)-VLOOKUP($AW54&amp;"初始",$O$3:$AA$63,MATCH(BB$3,$O$3:$AA$3,0),FALSE))*$AY54/VLOOKUP(VLOOKUP($AW54,坦克个性化设定!$B$18:$E$48,4,FALSE)&amp;$AX54,坦克属性分配比例,MATCH("升星次数",坦克属性分配比例标头,0),FALSE)*(VLOOKUP(VLOOKUP($AW54,坦克个性化设定!$B$18:$E$48,4,FALSE)&amp;$AX54,坦克属性分配比例,MATCH("升星比例",坦克属性分配比例标头,0),FALSE)+VLOOKUP(VLOOKUP($AW54,坦克个性化设定!$B$18:$E$48,4,FALSE)&amp;$AX54,坦克属性分配比例,MATCH("部件比例",坦克属性分配比例标头,0),FALSE)*$C$3),0)</f>
        <v>647</v>
      </c>
      <c r="BC54" s="486">
        <f ca="1">ROUND(VLOOKUP($AW54&amp;"初始",$O$3:$AA$63,MATCH(BC$3,$O$3:$AA$3,0),FALSE)+(VLOOKUP($AW54&amp;"最终",$O$3:$AA$63,MATCH(BC$3,$O$3:$AA$3,0),FALSE)-VLOOKUP($AW54&amp;"初始",$O$3:$AA$63,MATCH(BC$3,$O$3:$AA$3,0),FALSE))*$AY54/VLOOKUP(VLOOKUP($AW54,坦克个性化设定!$B$18:$E$48,4,FALSE)&amp;$AX54,坦克属性分配比例,MATCH("升星次数",坦克属性分配比例标头,0),FALSE)*(VLOOKUP(VLOOKUP($AW54,坦克个性化设定!$B$18:$E$48,4,FALSE)&amp;$AX54,坦克属性分配比例,MATCH("升星比例",坦克属性分配比例标头,0),FALSE)+VLOOKUP(VLOOKUP($AW54,坦克个性化设定!$B$18:$E$48,4,FALSE)&amp;$AX54,坦克属性分配比例,MATCH("部件比例",坦克属性分配比例标头,0),FALSE)*$C$3),0)</f>
        <v>453</v>
      </c>
      <c r="BD54" s="426">
        <f ca="1">ROUND(VLOOKUP($AW54&amp;"初始",$O$3:$AA$63,MATCH(BD$3,$O$3:$AA$3,0),FALSE)+(VLOOKUP($AW54&amp;"最终",$O$3:$AA$63,MATCH(BD$3,$O$3:$AA$3,0),FALSE)-VLOOKUP($AW54&amp;"初始",$O$3:$AA$63,MATCH(BD$3,$O$3:$AA$3,0),FALSE))*$AY54/VLOOKUP(VLOOKUP($AW54,坦克个性化设定!$B$18:$E$48,4,FALSE)&amp;$AX54,坦克属性分配比例,MATCH("升星次数",坦克属性分配比例标头,0),FALSE)*VLOOKUP(VLOOKUP($AW54,坦克个性化设定!$B$18:$E$48,4,FALSE)&amp;$AX54,坦克属性分配比例,MATCH("升星比例",坦克属性分配比例标头,0),FALSE),0)</f>
        <v>527</v>
      </c>
      <c r="BE54" s="426">
        <f ca="1">ROUND(VLOOKUP($AW54&amp;"初始",$O$3:$AA$63,MATCH(BE$3,$O$3:$AA$3,0),FALSE)+(VLOOKUP($AW54&amp;"最终",$O$3:$AA$63,MATCH(BE$3,$O$3:$AA$3,0),FALSE)-VLOOKUP($AW54&amp;"初始",$O$3:$AA$63,MATCH(BE$3,$O$3:$AA$3,0),FALSE))*$AY54/VLOOKUP(VLOOKUP($AW54,坦克个性化设定!$B$18:$E$48,4,FALSE)&amp;$AX54,坦克属性分配比例,MATCH("升星次数",坦克属性分配比例标头,0),FALSE),0)</f>
        <v>148</v>
      </c>
      <c r="BF54" s="462">
        <f>ROUND(VLOOKUP($AW54,$AD$3:$AJ$33,MATCH(BF$3,$AD$3:$AJ$3,0),FALSE)+$AY54/VLOOKUP(VLOOKUP($AW54,坦克个性化设定!$B$18:$E$48,4,FALSE)&amp;$AX54,坦克属性分配比例,MATCH("升星次数",坦克属性分配比例标头,0),FALSE)*VLOOKUP($AW54,$AM$3:$AS$33,MATCH(BF$3,$AM$3:$AS$3,0),FALSE),1)</f>
        <v>41</v>
      </c>
      <c r="BG54" s="462">
        <f>ROUND(VLOOKUP($AW54,$AD$3:$AJ$33,MATCH(BG$3,$AD$3:$AJ$3,0),FALSE)+$AY54/VLOOKUP(VLOOKUP($AW54,坦克个性化设定!$B$18:$E$48,4,FALSE)&amp;$AX54,坦克属性分配比例,MATCH("升星次数",坦克属性分配比例标头,0),FALSE)*VLOOKUP($AW54,$AM$3:$AS$33,MATCH(BG$3,$AM$3:$AS$3,0),FALSE),1)</f>
        <v>61.2</v>
      </c>
      <c r="BH54" s="462">
        <f>ROUND(VLOOKUP($AW54,$AD$3:$AJ$33,MATCH(BH$3,$AD$3:$AJ$3,0),FALSE)+$AY54/VLOOKUP(VLOOKUP($AW54,坦克个性化设定!$B$18:$E$48,4,FALSE)&amp;$AX54,坦克属性分配比例,MATCH("升星次数",坦克属性分配比例标头,0),FALSE)*VLOOKUP($AW54,$AM$3:$AS$33,MATCH(BH$3,$AM$3:$AS$3,0),FALSE),1)</f>
        <v>14.4</v>
      </c>
      <c r="BI54" s="654">
        <f>IF(VLOOKUP(AW54,坦克个性化设定!$B$18:$BB$48,MATCH("装弹类型",坦克个性化设定!$B$18:$BB$18,0),FALSE)="弹夹换弹",0,ROUND(VLOOKUP($AW54,$AD$3:$AJ$33,MATCH("换弹时间",$AD$3:$AJ$3,0),FALSE)-$AY54/VLOOKUP(VLOOKUP($AW54,坦克个性化设定!$B$18:$E$48,4,FALSE)&amp;$AX54,坦克属性分配比例,MATCH("升星次数",坦克属性分配比例标头,0),FALSE)*VLOOKUP($AW54,$AM$3:$AS$33,MATCH("换弹时间",$AM$3:$AS$3,0),FALSE),2))</f>
        <v>2.9</v>
      </c>
      <c r="BJ54" s="462">
        <f>IF(VLOOKUP(AW54,坦克个性化设定!$B$18:$BB$48,MATCH("装弹类型",坦克个性化设定!$B$18:$BB$18,0),FALSE)="弹夹换弹",ROUND(VLOOKUP($AW54,$AD$3:$AJ$33,MATCH("换弹时间",$AD$3:$AJ$3,0),FALSE)-$AY54/VLOOKUP(VLOOKUP($AW54,坦克个性化设定!$B$18:$E$48,4,FALSE)&amp;$AX54,坦克属性分配比例,MATCH("升星次数",坦克属性分配比例标头,0),FALSE)*VLOOKUP($AW54,$AM$3:$AS$33,MATCH("换弹时间",$AM$3:$AS$3,0),FALSE),1),0)</f>
        <v>0</v>
      </c>
      <c r="BK54" s="462">
        <f>ROUND(VLOOKUP($AW54,$AD$3:$AJ$33,MATCH(BK$3,$AD$3:$AJ$3,0),FALSE)+$AY54/VLOOKUP(VLOOKUP($AW54,坦克个性化设定!$B$18:$E$48,4,FALSE)&amp;$AX54,坦克属性分配比例,MATCH("升星次数",坦克属性分配比例标头,0),FALSE)*VLOOKUP($AW54,$AM$3:$AS$33,MATCH(BK$3,$AM$3:$AS$3,0),FALSE),2)</f>
        <v>0</v>
      </c>
      <c r="BL54" s="462">
        <f>ROUND(VLOOKUP($AW54,$AD$3:$AJ$33,MATCH(BL$3,$AD$3:$AJ$3,0),FALSE)-$AY54/VLOOKUP(VLOOKUP($AW54,坦克个性化设定!$B$18:$E$48,4,FALSE)&amp;$AX54,坦克属性分配比例,MATCH("升星次数",坦克属性分配比例标头,0),FALSE)*VLOOKUP($AW54,$AM$3:$AS$33,MATCH(BL$3,$AM$3:$AS$3,0),FALSE),2)</f>
        <v>1.76</v>
      </c>
    </row>
    <row r="55" spans="15:64" x14ac:dyDescent="0.35">
      <c r="O55" s="426" t="str">
        <f t="shared" si="5"/>
        <v>KV-2最终</v>
      </c>
      <c r="P55" s="137">
        <f>IF(COUNTIF(Q$4:Q54,Q54)&gt;=$B$3,P54+1,P54)</f>
        <v>26</v>
      </c>
      <c r="Q55" s="131" t="str">
        <f t="shared" si="6"/>
        <v>KV-2</v>
      </c>
      <c r="R55" s="131" t="str">
        <f>VLOOKUP(Q55,坦克个性化设定!$B$18:$F$48,5,FALSE)</f>
        <v>重坦自动</v>
      </c>
      <c r="S55" s="177" t="str">
        <f>VLOOKUP(Q55,坦克个性化细分!$I$3:$J$33,2,FALSE)</f>
        <v>高</v>
      </c>
      <c r="T55" s="137" t="str">
        <f t="shared" si="12"/>
        <v>最终</v>
      </c>
      <c r="U55" s="178" t="str">
        <f>VLOOKUP(VLOOKUP(Q55,坦克个性化设定!$B$18:$F$48,4,FALSE)&amp;S55,坦克等级成长!$P$12:$U$24,MATCH(T55,坦克等级成长!$P$12:$U$12,0),FALSE)</f>
        <v>T3高5</v>
      </c>
      <c r="V55" s="96">
        <f ca="1">VLOOKUP($U55,INDIRECT($R55&amp;"_阶段属性"),MATCH(V$3,属性标头_阶段属性,0),FALSE)*VLOOKUP($Q55,坦克个性化设定!$B$84:$D$114,2,FALSE)</f>
        <v>2980.3270452232159</v>
      </c>
      <c r="W55" s="96">
        <f ca="1">VLOOKUP($U55,INDIRECT($R55&amp;"_阶段属性"),MATCH(W$3,属性标头_阶段属性,0),FALSE)*VLOOKUP($Q55,坦克个性化设定!$B$84:$D$114,3,FALSE)</f>
        <v>449.44355408056771</v>
      </c>
      <c r="X55" s="131">
        <f t="shared" ca="1" si="17"/>
        <v>920</v>
      </c>
      <c r="Y55" s="131">
        <f t="shared" ca="1" si="17"/>
        <v>736</v>
      </c>
      <c r="Z55" s="131">
        <f t="shared" ca="1" si="17"/>
        <v>1352</v>
      </c>
      <c r="AA55" s="131">
        <f t="shared" ca="1" si="17"/>
        <v>306</v>
      </c>
      <c r="AU55" s="364" t="str">
        <f t="shared" si="9"/>
        <v>AMX-133</v>
      </c>
      <c r="AV55" s="183">
        <f>IF(AY54&gt;=VLOOKUP(VLOOKUP(AW54,坦克个性化设定!$B$18:$E$48,4,FALSE)&amp;AX54,坦克属性分配比例,MATCH("升星次数",坦克属性分配比例标头,0),FALSE),AV54+1,AV54)</f>
        <v>6</v>
      </c>
      <c r="AW55" s="131" t="str">
        <f t="shared" si="10"/>
        <v>AMX-13</v>
      </c>
      <c r="AX55" s="177" t="str">
        <f>VLOOKUP(AW55,坦克个性化细分!$I$3:$J$33,2,FALSE)</f>
        <v>高</v>
      </c>
      <c r="AY55" s="183">
        <f t="shared" si="1"/>
        <v>3</v>
      </c>
      <c r="AZ55" s="486">
        <f ca="1">ROUND(VLOOKUP($AW55&amp;"初始",$O$3:$AA$63,MATCH(AZ$3,$O$3:$AA$3,0),FALSE)+((VLOOKUP($AW55&amp;"最终",$O$3:$AA$63,MATCH(AZ$3,$O$3:$AA$3,0),FALSE)*坦克个性化细分!$C$9-VLOOKUP($AW55&amp;"初始",$O$3:$AA$63,MATCH(AZ$3,$O$3:$AA$3,0),FALSE))-(VLOOKUP($AW55&amp;"最终",$O$3:$AA$63,MATCH(AZ$3,$O$3:$AA$3,0),FALSE)-VLOOKUP($AW55&amp;"初始",$O$3:$AA$63,MATCH(AZ$3,$O$3:$AA$3,0),FALSE))*VLOOKUP(VLOOKUP($AW55,坦克个性化设定!$B$18:$E$48,4,FALSE)&amp;$AX55,坦克属性分配比例,MATCH("部件比例",坦克属性分配比例标头,0),FALSE))*$AY55/VLOOKUP(VLOOKUP($AW55,坦克个性化设定!$B$18:$E$48,4,FALSE)&amp;$AX55,坦克属性分配比例,MATCH("升星次数",坦克属性分配比例标头,0),FALSE),0)</f>
        <v>1540</v>
      </c>
      <c r="BA55" s="426">
        <f ca="1">ROUND(VLOOKUP($AW55&amp;"初始",$O$3:$AA$63,MATCH(BA$3,$O$3:$AA$3,0),FALSE)+(VLOOKUP($AW55&amp;"最终",$O$3:$AA$63,MATCH(BA$3,$O$3:$AA$3,0),FALSE)-VLOOKUP($AW55&amp;"初始",$O$3:$AA$63,MATCH(BA$3,$O$3:$AA$3,0),FALSE))*$AY55/VLOOKUP(VLOOKUP($AW55,坦克个性化设定!$B$18:$E$48,4,FALSE)&amp;$AX55,坦克属性分配比例,MATCH("升星次数",坦克属性分配比例标头,0),FALSE)*VLOOKUP(VLOOKUP($AW55,坦克个性化设定!$B$18:$E$48,4,FALSE)&amp;$AX55,坦克属性分配比例,MATCH("升星比例",坦克属性分配比例标头,0),FALSE),0)</f>
        <v>187</v>
      </c>
      <c r="BB55" s="486">
        <f ca="1">ROUND(VLOOKUP($AW55&amp;"初始",$O$3:$AA$63,MATCH(BB$3,$O$3:$AA$3,0),FALSE)+(VLOOKUP($AW55&amp;"最终",$O$3:$AA$63,MATCH(BB$3,$O$3:$AA$3,0),FALSE)-VLOOKUP($AW55&amp;"初始",$O$3:$AA$63,MATCH(BB$3,$O$3:$AA$3,0),FALSE))*$AY55/VLOOKUP(VLOOKUP($AW55,坦克个性化设定!$B$18:$E$48,4,FALSE)&amp;$AX55,坦克属性分配比例,MATCH("升星次数",坦克属性分配比例标头,0),FALSE)*(VLOOKUP(VLOOKUP($AW55,坦克个性化设定!$B$18:$E$48,4,FALSE)&amp;$AX55,坦克属性分配比例,MATCH("升星比例",坦克属性分配比例标头,0),FALSE)+VLOOKUP(VLOOKUP($AW55,坦克个性化设定!$B$18:$E$48,4,FALSE)&amp;$AX55,坦克属性分配比例,MATCH("部件比例",坦克属性分配比例标头,0),FALSE)*$C$3),0)</f>
        <v>681</v>
      </c>
      <c r="BC55" s="486">
        <f ca="1">ROUND(VLOOKUP($AW55&amp;"初始",$O$3:$AA$63,MATCH(BC$3,$O$3:$AA$3,0),FALSE)+(VLOOKUP($AW55&amp;"最终",$O$3:$AA$63,MATCH(BC$3,$O$3:$AA$3,0),FALSE)-VLOOKUP($AW55&amp;"初始",$O$3:$AA$63,MATCH(BC$3,$O$3:$AA$3,0),FALSE))*$AY55/VLOOKUP(VLOOKUP($AW55,坦克个性化设定!$B$18:$E$48,4,FALSE)&amp;$AX55,坦克属性分配比例,MATCH("升星次数",坦克属性分配比例标头,0),FALSE)*(VLOOKUP(VLOOKUP($AW55,坦克个性化设定!$B$18:$E$48,4,FALSE)&amp;$AX55,坦克属性分配比例,MATCH("升星比例",坦克属性分配比例标头,0),FALSE)+VLOOKUP(VLOOKUP($AW55,坦克个性化设定!$B$18:$E$48,4,FALSE)&amp;$AX55,坦克属性分配比例,MATCH("部件比例",坦克属性分配比例标头,0),FALSE)*$C$3),0)</f>
        <v>477</v>
      </c>
      <c r="BD55" s="426">
        <f ca="1">ROUND(VLOOKUP($AW55&amp;"初始",$O$3:$AA$63,MATCH(BD$3,$O$3:$AA$3,0),FALSE)+(VLOOKUP($AW55&amp;"最终",$O$3:$AA$63,MATCH(BD$3,$O$3:$AA$3,0),FALSE)-VLOOKUP($AW55&amp;"初始",$O$3:$AA$63,MATCH(BD$3,$O$3:$AA$3,0),FALSE))*$AY55/VLOOKUP(VLOOKUP($AW55,坦克个性化设定!$B$18:$E$48,4,FALSE)&amp;$AX55,坦克属性分配比例,MATCH("升星次数",坦克属性分配比例标头,0),FALSE)*VLOOKUP(VLOOKUP($AW55,坦克个性化设定!$B$18:$E$48,4,FALSE)&amp;$AX55,坦克属性分配比例,MATCH("升星比例",坦克属性分配比例标头,0),FALSE),0)</f>
        <v>547</v>
      </c>
      <c r="BE55" s="426">
        <f ca="1">ROUND(VLOOKUP($AW55&amp;"初始",$O$3:$AA$63,MATCH(BE$3,$O$3:$AA$3,0),FALSE)+(VLOOKUP($AW55&amp;"最终",$O$3:$AA$63,MATCH(BE$3,$O$3:$AA$3,0),FALSE)-VLOOKUP($AW55&amp;"初始",$O$3:$AA$63,MATCH(BE$3,$O$3:$AA$3,0),FALSE))*$AY55/VLOOKUP(VLOOKUP($AW55,坦克个性化设定!$B$18:$E$48,4,FALSE)&amp;$AX55,坦克属性分配比例,MATCH("升星次数",坦克属性分配比例标头,0),FALSE),0)</f>
        <v>157</v>
      </c>
      <c r="BF55" s="462">
        <f>ROUND(VLOOKUP($AW55,$AD$3:$AJ$33,MATCH(BF$3,$AD$3:$AJ$3,0),FALSE)+$AY55/VLOOKUP(VLOOKUP($AW55,坦克个性化设定!$B$18:$E$48,4,FALSE)&amp;$AX55,坦克属性分配比例,MATCH("升星次数",坦克属性分配比例标头,0),FALSE)*VLOOKUP($AW55,$AM$3:$AS$33,MATCH(BF$3,$AM$3:$AS$3,0),FALSE),1)</f>
        <v>41.7</v>
      </c>
      <c r="BG55" s="462">
        <f>ROUND(VLOOKUP($AW55,$AD$3:$AJ$33,MATCH(BG$3,$AD$3:$AJ$3,0),FALSE)+$AY55/VLOOKUP(VLOOKUP($AW55,坦克个性化设定!$B$18:$E$48,4,FALSE)&amp;$AX55,坦克属性分配比例,MATCH("升星次数",坦克属性分配比例标头,0),FALSE)*VLOOKUP($AW55,$AM$3:$AS$33,MATCH(BG$3,$AM$3:$AS$3,0),FALSE),1)</f>
        <v>62.3</v>
      </c>
      <c r="BH55" s="462">
        <f>ROUND(VLOOKUP($AW55,$AD$3:$AJ$33,MATCH(BH$3,$AD$3:$AJ$3,0),FALSE)+$AY55/VLOOKUP(VLOOKUP($AW55,坦克个性化设定!$B$18:$E$48,4,FALSE)&amp;$AX55,坦克属性分配比例,MATCH("升星次数",坦克属性分配比例标头,0),FALSE)*VLOOKUP($AW55,$AM$3:$AS$33,MATCH(BH$3,$AM$3:$AS$3,0),FALSE),1)</f>
        <v>14.8</v>
      </c>
      <c r="BI55" s="654">
        <f>IF(VLOOKUP(AW55,坦克个性化设定!$B$18:$BB$48,MATCH("装弹类型",坦克个性化设定!$B$18:$BB$18,0),FALSE)="弹夹换弹",0,ROUND(VLOOKUP($AW55,$AD$3:$AJ$33,MATCH("换弹时间",$AD$3:$AJ$3,0),FALSE)-$AY55/VLOOKUP(VLOOKUP($AW55,坦克个性化设定!$B$18:$E$48,4,FALSE)&amp;$AX55,坦克属性分配比例,MATCH("升星次数",坦克属性分配比例标头,0),FALSE)*VLOOKUP($AW55,$AM$3:$AS$33,MATCH("换弹时间",$AM$3:$AS$3,0),FALSE),2))</f>
        <v>2.85</v>
      </c>
      <c r="BJ55" s="462">
        <f>IF(VLOOKUP(AW55,坦克个性化设定!$B$18:$BB$48,MATCH("装弹类型",坦克个性化设定!$B$18:$BB$18,0),FALSE)="弹夹换弹",ROUND(VLOOKUP($AW55,$AD$3:$AJ$33,MATCH("换弹时间",$AD$3:$AJ$3,0),FALSE)-$AY55/VLOOKUP(VLOOKUP($AW55,坦克个性化设定!$B$18:$E$48,4,FALSE)&amp;$AX55,坦克属性分配比例,MATCH("升星次数",坦克属性分配比例标头,0),FALSE)*VLOOKUP($AW55,$AM$3:$AS$33,MATCH("换弹时间",$AM$3:$AS$3,0),FALSE),1),0)</f>
        <v>0</v>
      </c>
      <c r="BK55" s="462">
        <f>ROUND(VLOOKUP($AW55,$AD$3:$AJ$33,MATCH(BK$3,$AD$3:$AJ$3,0),FALSE)+$AY55/VLOOKUP(VLOOKUP($AW55,坦克个性化设定!$B$18:$E$48,4,FALSE)&amp;$AX55,坦克属性分配比例,MATCH("升星次数",坦克属性分配比例标头,0),FALSE)*VLOOKUP($AW55,$AM$3:$AS$33,MATCH(BK$3,$AM$3:$AS$3,0),FALSE),2)</f>
        <v>0</v>
      </c>
      <c r="BL55" s="462">
        <f>ROUND(VLOOKUP($AW55,$AD$3:$AJ$33,MATCH(BL$3,$AD$3:$AJ$3,0),FALSE)-$AY55/VLOOKUP(VLOOKUP($AW55,坦克个性化设定!$B$18:$E$48,4,FALSE)&amp;$AX55,坦克属性分配比例,MATCH("升星次数",坦克属性分配比例标头,0),FALSE)*VLOOKUP($AW55,$AM$3:$AS$33,MATCH(BL$3,$AM$3:$AS$3,0),FALSE),2)</f>
        <v>1.74</v>
      </c>
    </row>
    <row r="56" spans="15:64" x14ac:dyDescent="0.35">
      <c r="O56" s="426" t="str">
        <f t="shared" si="5"/>
        <v>征服者初始</v>
      </c>
      <c r="P56" s="137">
        <f>IF(COUNTIF(Q$4:Q55,Q55)&gt;=$B$3,P55+1,P55)</f>
        <v>27</v>
      </c>
      <c r="Q56" s="131" t="str">
        <f t="shared" si="6"/>
        <v>征服者</v>
      </c>
      <c r="R56" s="131" t="str">
        <f>VLOOKUP(Q56,坦克个性化设定!$B$18:$F$48,5,FALSE)</f>
        <v>重坦单发</v>
      </c>
      <c r="S56" s="177" t="str">
        <f>VLOOKUP(Q56,坦克个性化细分!$I$3:$J$33,2,FALSE)</f>
        <v>低</v>
      </c>
      <c r="T56" s="137" t="str">
        <f t="shared" si="12"/>
        <v>初始</v>
      </c>
      <c r="U56" s="178" t="str">
        <f>VLOOKUP(VLOOKUP(Q56,坦克个性化设定!$B$18:$F$48,4,FALSE)&amp;S56,坦克等级成长!$P$12:$U$24,MATCH(T56,坦克等级成长!$P$12:$U$12,0),FALSE)</f>
        <v>T4低4</v>
      </c>
      <c r="V56" s="96">
        <f ca="1">VLOOKUP($U56,INDIRECT($R56&amp;"_阶段属性"),MATCH(V$3,属性标头_阶段属性,0),FALSE)*VLOOKUP($Q56,坦克个性化设定!$B$84:$D$114,2,FALSE)</f>
        <v>1923.1484913120701</v>
      </c>
      <c r="W56" s="96">
        <f ca="1">VLOOKUP($U56,INDIRECT($R56&amp;"_阶段属性"),MATCH(W$3,属性标头_阶段属性,0),FALSE)*VLOOKUP($Q56,坦克个性化设定!$B$84:$D$114,3,FALSE)</f>
        <v>350.2787242083474</v>
      </c>
      <c r="X56" s="131">
        <f t="shared" ca="1" si="17"/>
        <v>597</v>
      </c>
      <c r="Y56" s="131">
        <f t="shared" ca="1" si="17"/>
        <v>478</v>
      </c>
      <c r="Z56" s="131">
        <f t="shared" ca="1" si="17"/>
        <v>798</v>
      </c>
      <c r="AA56" s="131">
        <f t="shared" ca="1" si="17"/>
        <v>181</v>
      </c>
      <c r="AU56" s="364" t="str">
        <f t="shared" si="9"/>
        <v>AMX-134</v>
      </c>
      <c r="AV56" s="183">
        <f>IF(AY55&gt;=VLOOKUP(VLOOKUP(AW55,坦克个性化设定!$B$18:$E$48,4,FALSE)&amp;AX55,坦克属性分配比例,MATCH("升星次数",坦克属性分配比例标头,0),FALSE),AV55+1,AV55)</f>
        <v>6</v>
      </c>
      <c r="AW56" s="131" t="str">
        <f t="shared" si="10"/>
        <v>AMX-13</v>
      </c>
      <c r="AX56" s="177" t="str">
        <f>VLOOKUP(AW56,坦克个性化细分!$I$3:$J$33,2,FALSE)</f>
        <v>高</v>
      </c>
      <c r="AY56" s="183">
        <f t="shared" si="1"/>
        <v>4</v>
      </c>
      <c r="AZ56" s="486">
        <f ca="1">ROUND(VLOOKUP($AW56&amp;"初始",$O$3:$AA$63,MATCH(AZ$3,$O$3:$AA$3,0),FALSE)+((VLOOKUP($AW56&amp;"最终",$O$3:$AA$63,MATCH(AZ$3,$O$3:$AA$3,0),FALSE)*坦克个性化细分!$C$9-VLOOKUP($AW56&amp;"初始",$O$3:$AA$63,MATCH(AZ$3,$O$3:$AA$3,0),FALSE))-(VLOOKUP($AW56&amp;"最终",$O$3:$AA$63,MATCH(AZ$3,$O$3:$AA$3,0),FALSE)-VLOOKUP($AW56&amp;"初始",$O$3:$AA$63,MATCH(AZ$3,$O$3:$AA$3,0),FALSE))*VLOOKUP(VLOOKUP($AW56,坦克个性化设定!$B$18:$E$48,4,FALSE)&amp;$AX56,坦克属性分配比例,MATCH("部件比例",坦克属性分配比例标头,0),FALSE))*$AY56/VLOOKUP(VLOOKUP($AW56,坦克个性化设定!$B$18:$E$48,4,FALSE)&amp;$AX56,坦克属性分配比例,MATCH("升星次数",坦克属性分配比例标头,0),FALSE),0)</f>
        <v>1644</v>
      </c>
      <c r="BA56" s="426">
        <f ca="1">ROUND(VLOOKUP($AW56&amp;"初始",$O$3:$AA$63,MATCH(BA$3,$O$3:$AA$3,0),FALSE)+(VLOOKUP($AW56&amp;"最终",$O$3:$AA$63,MATCH(BA$3,$O$3:$AA$3,0),FALSE)-VLOOKUP($AW56&amp;"初始",$O$3:$AA$63,MATCH(BA$3,$O$3:$AA$3,0),FALSE))*$AY56/VLOOKUP(VLOOKUP($AW56,坦克个性化设定!$B$18:$E$48,4,FALSE)&amp;$AX56,坦克属性分配比例,MATCH("升星次数",坦克属性分配比例标头,0),FALSE)*VLOOKUP(VLOOKUP($AW56,坦克个性化设定!$B$18:$E$48,4,FALSE)&amp;$AX56,坦克属性分配比例,MATCH("升星比例",坦克属性分配比例标头,0),FALSE),0)</f>
        <v>194</v>
      </c>
      <c r="BB56" s="486">
        <f ca="1">ROUND(VLOOKUP($AW56&amp;"初始",$O$3:$AA$63,MATCH(BB$3,$O$3:$AA$3,0),FALSE)+(VLOOKUP($AW56&amp;"最终",$O$3:$AA$63,MATCH(BB$3,$O$3:$AA$3,0),FALSE)-VLOOKUP($AW56&amp;"初始",$O$3:$AA$63,MATCH(BB$3,$O$3:$AA$3,0),FALSE))*$AY56/VLOOKUP(VLOOKUP($AW56,坦克个性化设定!$B$18:$E$48,4,FALSE)&amp;$AX56,坦克属性分配比例,MATCH("升星次数",坦克属性分配比例标头,0),FALSE)*(VLOOKUP(VLOOKUP($AW56,坦克个性化设定!$B$18:$E$48,4,FALSE)&amp;$AX56,坦克属性分配比例,MATCH("升星比例",坦克属性分配比例标头,0),FALSE)+VLOOKUP(VLOOKUP($AW56,坦克个性化设定!$B$18:$E$48,4,FALSE)&amp;$AX56,坦克属性分配比例,MATCH("部件比例",坦克属性分配比例标头,0),FALSE)*$C$3),0)</f>
        <v>715</v>
      </c>
      <c r="BC56" s="486">
        <f ca="1">ROUND(VLOOKUP($AW56&amp;"初始",$O$3:$AA$63,MATCH(BC$3,$O$3:$AA$3,0),FALSE)+(VLOOKUP($AW56&amp;"最终",$O$3:$AA$63,MATCH(BC$3,$O$3:$AA$3,0),FALSE)-VLOOKUP($AW56&amp;"初始",$O$3:$AA$63,MATCH(BC$3,$O$3:$AA$3,0),FALSE))*$AY56/VLOOKUP(VLOOKUP($AW56,坦克个性化设定!$B$18:$E$48,4,FALSE)&amp;$AX56,坦克属性分配比例,MATCH("升星次数",坦克属性分配比例标头,0),FALSE)*(VLOOKUP(VLOOKUP($AW56,坦克个性化设定!$B$18:$E$48,4,FALSE)&amp;$AX56,坦克属性分配比例,MATCH("升星比例",坦克属性分配比例标头,0),FALSE)+VLOOKUP(VLOOKUP($AW56,坦克个性化设定!$B$18:$E$48,4,FALSE)&amp;$AX56,坦克属性分配比例,MATCH("部件比例",坦克属性分配比例标头,0),FALSE)*$C$3),0)</f>
        <v>501</v>
      </c>
      <c r="BD56" s="426">
        <f ca="1">ROUND(VLOOKUP($AW56&amp;"初始",$O$3:$AA$63,MATCH(BD$3,$O$3:$AA$3,0),FALSE)+(VLOOKUP($AW56&amp;"最终",$O$3:$AA$63,MATCH(BD$3,$O$3:$AA$3,0),FALSE)-VLOOKUP($AW56&amp;"初始",$O$3:$AA$63,MATCH(BD$3,$O$3:$AA$3,0),FALSE))*$AY56/VLOOKUP(VLOOKUP($AW56,坦克个性化设定!$B$18:$E$48,4,FALSE)&amp;$AX56,坦克属性分配比例,MATCH("升星次数",坦克属性分配比例标头,0),FALSE)*VLOOKUP(VLOOKUP($AW56,坦克个性化设定!$B$18:$E$48,4,FALSE)&amp;$AX56,坦克属性分配比例,MATCH("升星比例",坦克属性分配比例标头,0),FALSE),0)</f>
        <v>567</v>
      </c>
      <c r="BE56" s="426">
        <f ca="1">ROUND(VLOOKUP($AW56&amp;"初始",$O$3:$AA$63,MATCH(BE$3,$O$3:$AA$3,0),FALSE)+(VLOOKUP($AW56&amp;"最终",$O$3:$AA$63,MATCH(BE$3,$O$3:$AA$3,0),FALSE)-VLOOKUP($AW56&amp;"初始",$O$3:$AA$63,MATCH(BE$3,$O$3:$AA$3,0),FALSE))*$AY56/VLOOKUP(VLOOKUP($AW56,坦克个性化设定!$B$18:$E$48,4,FALSE)&amp;$AX56,坦克属性分配比例,MATCH("升星次数",坦克属性分配比例标头,0),FALSE),0)</f>
        <v>167</v>
      </c>
      <c r="BF56" s="462">
        <f>ROUND(VLOOKUP($AW56,$AD$3:$AJ$33,MATCH(BF$3,$AD$3:$AJ$3,0),FALSE)+$AY56/VLOOKUP(VLOOKUP($AW56,坦克个性化设定!$B$18:$E$48,4,FALSE)&amp;$AX56,坦克属性分配比例,MATCH("升星次数",坦克属性分配比例标头,0),FALSE)*VLOOKUP($AW56,$AM$3:$AS$33,MATCH(BF$3,$AM$3:$AS$3,0),FALSE),1)</f>
        <v>42.4</v>
      </c>
      <c r="BG56" s="462">
        <f>ROUND(VLOOKUP($AW56,$AD$3:$AJ$33,MATCH(BG$3,$AD$3:$AJ$3,0),FALSE)+$AY56/VLOOKUP(VLOOKUP($AW56,坦克个性化设定!$B$18:$E$48,4,FALSE)&amp;$AX56,坦克属性分配比例,MATCH("升星次数",坦克属性分配比例标头,0),FALSE)*VLOOKUP($AW56,$AM$3:$AS$33,MATCH(BG$3,$AM$3:$AS$3,0),FALSE),1)</f>
        <v>63.3</v>
      </c>
      <c r="BH56" s="462">
        <f>ROUND(VLOOKUP($AW56,$AD$3:$AJ$33,MATCH(BH$3,$AD$3:$AJ$3,0),FALSE)+$AY56/VLOOKUP(VLOOKUP($AW56,坦克个性化设定!$B$18:$E$48,4,FALSE)&amp;$AX56,坦克属性分配比例,MATCH("升星次数",坦克属性分配比例标头,0),FALSE)*VLOOKUP($AW56,$AM$3:$AS$33,MATCH(BH$3,$AM$3:$AS$3,0),FALSE),1)</f>
        <v>15.1</v>
      </c>
      <c r="BI56" s="654">
        <f>IF(VLOOKUP(AW56,坦克个性化设定!$B$18:$BB$48,MATCH("装弹类型",坦克个性化设定!$B$18:$BB$18,0),FALSE)="弹夹换弹",0,ROUND(VLOOKUP($AW56,$AD$3:$AJ$33,MATCH("换弹时间",$AD$3:$AJ$3,0),FALSE)-$AY56/VLOOKUP(VLOOKUP($AW56,坦克个性化设定!$B$18:$E$48,4,FALSE)&amp;$AX56,坦克属性分配比例,MATCH("升星次数",坦克属性分配比例标头,0),FALSE)*VLOOKUP($AW56,$AM$3:$AS$33,MATCH("换弹时间",$AM$3:$AS$3,0),FALSE),2))</f>
        <v>2.79</v>
      </c>
      <c r="BJ56" s="462">
        <f>IF(VLOOKUP(AW56,坦克个性化设定!$B$18:$BB$48,MATCH("装弹类型",坦克个性化设定!$B$18:$BB$18,0),FALSE)="弹夹换弹",ROUND(VLOOKUP($AW56,$AD$3:$AJ$33,MATCH("换弹时间",$AD$3:$AJ$3,0),FALSE)-$AY56/VLOOKUP(VLOOKUP($AW56,坦克个性化设定!$B$18:$E$48,4,FALSE)&amp;$AX56,坦克属性分配比例,MATCH("升星次数",坦克属性分配比例标头,0),FALSE)*VLOOKUP($AW56,$AM$3:$AS$33,MATCH("换弹时间",$AM$3:$AS$3,0),FALSE),1),0)</f>
        <v>0</v>
      </c>
      <c r="BK56" s="462">
        <f>ROUND(VLOOKUP($AW56,$AD$3:$AJ$33,MATCH(BK$3,$AD$3:$AJ$3,0),FALSE)+$AY56/VLOOKUP(VLOOKUP($AW56,坦克个性化设定!$B$18:$E$48,4,FALSE)&amp;$AX56,坦克属性分配比例,MATCH("升星次数",坦克属性分配比例标头,0),FALSE)*VLOOKUP($AW56,$AM$3:$AS$33,MATCH(BK$3,$AM$3:$AS$3,0),FALSE),2)</f>
        <v>0</v>
      </c>
      <c r="BL56" s="462">
        <f>ROUND(VLOOKUP($AW56,$AD$3:$AJ$33,MATCH(BL$3,$AD$3:$AJ$3,0),FALSE)-$AY56/VLOOKUP(VLOOKUP($AW56,坦克个性化设定!$B$18:$E$48,4,FALSE)&amp;$AX56,坦克属性分配比例,MATCH("升星次数",坦克属性分配比例标头,0),FALSE)*VLOOKUP($AW56,$AM$3:$AS$33,MATCH(BL$3,$AM$3:$AS$3,0),FALSE),2)</f>
        <v>1.71</v>
      </c>
    </row>
    <row r="57" spans="15:64" x14ac:dyDescent="0.35">
      <c r="O57" s="426" t="str">
        <f t="shared" si="5"/>
        <v>征服者最终</v>
      </c>
      <c r="P57" s="137">
        <f>IF(COUNTIF(Q$4:Q56,Q56)&gt;=$B$3,P56+1,P56)</f>
        <v>27</v>
      </c>
      <c r="Q57" s="131" t="str">
        <f t="shared" si="6"/>
        <v>征服者</v>
      </c>
      <c r="R57" s="131" t="str">
        <f>VLOOKUP(Q57,坦克个性化设定!$B$18:$F$48,5,FALSE)</f>
        <v>重坦单发</v>
      </c>
      <c r="S57" s="177" t="str">
        <f>VLOOKUP(Q57,坦克个性化细分!$I$3:$J$33,2,FALSE)</f>
        <v>低</v>
      </c>
      <c r="T57" s="137" t="str">
        <f t="shared" si="12"/>
        <v>最终</v>
      </c>
      <c r="U57" s="178" t="str">
        <f>VLOOKUP(VLOOKUP(Q57,坦克个性化设定!$B$18:$F$48,4,FALSE)&amp;S57,坦克等级成长!$P$12:$U$24,MATCH(T57,坦克等级成长!$P$12:$U$12,0),FALSE)</f>
        <v>T4低5</v>
      </c>
      <c r="V57" s="96">
        <f ca="1">VLOOKUP($U57,INDIRECT($R57&amp;"_阶段属性"),MATCH(V$3,属性标头_阶段属性,0),FALSE)*VLOOKUP($Q57,坦克个性化设定!$B$84:$D$114,2,FALSE)</f>
        <v>2934.7714518582861</v>
      </c>
      <c r="W57" s="96">
        <f ca="1">VLOOKUP($U57,INDIRECT($R57&amp;"_阶段属性"),MATCH(W$3,属性标头_阶段属性,0),FALSE)*VLOOKUP($Q57,坦克个性化设定!$B$84:$D$114,3,FALSE)</f>
        <v>534.33939430174178</v>
      </c>
      <c r="X57" s="131">
        <f t="shared" ca="1" si="17"/>
        <v>911</v>
      </c>
      <c r="Y57" s="131">
        <f t="shared" ca="1" si="17"/>
        <v>729</v>
      </c>
      <c r="Z57" s="131">
        <f t="shared" ca="1" si="17"/>
        <v>1218</v>
      </c>
      <c r="AA57" s="131">
        <f t="shared" ca="1" si="17"/>
        <v>276</v>
      </c>
      <c r="AU57" s="364" t="str">
        <f t="shared" si="9"/>
        <v>AMX-135</v>
      </c>
      <c r="AV57" s="183">
        <f>IF(AY56&gt;=VLOOKUP(VLOOKUP(AW56,坦克个性化设定!$B$18:$E$48,4,FALSE)&amp;AX56,坦克属性分配比例,MATCH("升星次数",坦克属性分配比例标头,0),FALSE),AV56+1,AV56)</f>
        <v>6</v>
      </c>
      <c r="AW57" s="131" t="str">
        <f t="shared" si="10"/>
        <v>AMX-13</v>
      </c>
      <c r="AX57" s="177" t="str">
        <f>VLOOKUP(AW57,坦克个性化细分!$I$3:$J$33,2,FALSE)</f>
        <v>高</v>
      </c>
      <c r="AY57" s="183">
        <f t="shared" si="1"/>
        <v>5</v>
      </c>
      <c r="AZ57" s="486">
        <f ca="1">ROUND(VLOOKUP($AW57&amp;"初始",$O$3:$AA$63,MATCH(AZ$3,$O$3:$AA$3,0),FALSE)+((VLOOKUP($AW57&amp;"最终",$O$3:$AA$63,MATCH(AZ$3,$O$3:$AA$3,0),FALSE)*坦克个性化细分!$C$9-VLOOKUP($AW57&amp;"初始",$O$3:$AA$63,MATCH(AZ$3,$O$3:$AA$3,0),FALSE))-(VLOOKUP($AW57&amp;"最终",$O$3:$AA$63,MATCH(AZ$3,$O$3:$AA$3,0),FALSE)-VLOOKUP($AW57&amp;"初始",$O$3:$AA$63,MATCH(AZ$3,$O$3:$AA$3,0),FALSE))*VLOOKUP(VLOOKUP($AW57,坦克个性化设定!$B$18:$E$48,4,FALSE)&amp;$AX57,坦克属性分配比例,MATCH("部件比例",坦克属性分配比例标头,0),FALSE))*$AY57/VLOOKUP(VLOOKUP($AW57,坦克个性化设定!$B$18:$E$48,4,FALSE)&amp;$AX57,坦克属性分配比例,MATCH("升星次数",坦克属性分配比例标头,0),FALSE),0)</f>
        <v>1747</v>
      </c>
      <c r="BA57" s="426">
        <f ca="1">ROUND(VLOOKUP($AW57&amp;"初始",$O$3:$AA$63,MATCH(BA$3,$O$3:$AA$3,0),FALSE)+(VLOOKUP($AW57&amp;"最终",$O$3:$AA$63,MATCH(BA$3,$O$3:$AA$3,0),FALSE)-VLOOKUP($AW57&amp;"初始",$O$3:$AA$63,MATCH(BA$3,$O$3:$AA$3,0),FALSE))*$AY57/VLOOKUP(VLOOKUP($AW57,坦克个性化设定!$B$18:$E$48,4,FALSE)&amp;$AX57,坦克属性分配比例,MATCH("升星次数",坦克属性分配比例标头,0),FALSE)*VLOOKUP(VLOOKUP($AW57,坦克个性化设定!$B$18:$E$48,4,FALSE)&amp;$AX57,坦克属性分配比例,MATCH("升星比例",坦克属性分配比例标头,0),FALSE),0)</f>
        <v>201</v>
      </c>
      <c r="BB57" s="486">
        <f ca="1">ROUND(VLOOKUP($AW57&amp;"初始",$O$3:$AA$63,MATCH(BB$3,$O$3:$AA$3,0),FALSE)+(VLOOKUP($AW57&amp;"最终",$O$3:$AA$63,MATCH(BB$3,$O$3:$AA$3,0),FALSE)-VLOOKUP($AW57&amp;"初始",$O$3:$AA$63,MATCH(BB$3,$O$3:$AA$3,0),FALSE))*$AY57/VLOOKUP(VLOOKUP($AW57,坦克个性化设定!$B$18:$E$48,4,FALSE)&amp;$AX57,坦克属性分配比例,MATCH("升星次数",坦克属性分配比例标头,0),FALSE)*(VLOOKUP(VLOOKUP($AW57,坦克个性化设定!$B$18:$E$48,4,FALSE)&amp;$AX57,坦克属性分配比例,MATCH("升星比例",坦克属性分配比例标头,0),FALSE)+VLOOKUP(VLOOKUP($AW57,坦克个性化设定!$B$18:$E$48,4,FALSE)&amp;$AX57,坦克属性分配比例,MATCH("部件比例",坦克属性分配比例标头,0),FALSE)*$C$3),0)</f>
        <v>750</v>
      </c>
      <c r="BC57" s="486">
        <f ca="1">ROUND(VLOOKUP($AW57&amp;"初始",$O$3:$AA$63,MATCH(BC$3,$O$3:$AA$3,0),FALSE)+(VLOOKUP($AW57&amp;"最终",$O$3:$AA$63,MATCH(BC$3,$O$3:$AA$3,0),FALSE)-VLOOKUP($AW57&amp;"初始",$O$3:$AA$63,MATCH(BC$3,$O$3:$AA$3,0),FALSE))*$AY57/VLOOKUP(VLOOKUP($AW57,坦克个性化设定!$B$18:$E$48,4,FALSE)&amp;$AX57,坦克属性分配比例,MATCH("升星次数",坦克属性分配比例标头,0),FALSE)*(VLOOKUP(VLOOKUP($AW57,坦克个性化设定!$B$18:$E$48,4,FALSE)&amp;$AX57,坦克属性分配比例,MATCH("升星比例",坦克属性分配比例标头,0),FALSE)+VLOOKUP(VLOOKUP($AW57,坦克个性化设定!$B$18:$E$48,4,FALSE)&amp;$AX57,坦克属性分配比例,MATCH("部件比例",坦克属性分配比例标头,0),FALSE)*$C$3),0)</f>
        <v>524</v>
      </c>
      <c r="BD57" s="426">
        <f ca="1">ROUND(VLOOKUP($AW57&amp;"初始",$O$3:$AA$63,MATCH(BD$3,$O$3:$AA$3,0),FALSE)+(VLOOKUP($AW57&amp;"最终",$O$3:$AA$63,MATCH(BD$3,$O$3:$AA$3,0),FALSE)-VLOOKUP($AW57&amp;"初始",$O$3:$AA$63,MATCH(BD$3,$O$3:$AA$3,0),FALSE))*$AY57/VLOOKUP(VLOOKUP($AW57,坦克个性化设定!$B$18:$E$48,4,FALSE)&amp;$AX57,坦克属性分配比例,MATCH("升星次数",坦克属性分配比例标头,0),FALSE)*VLOOKUP(VLOOKUP($AW57,坦克个性化设定!$B$18:$E$48,4,FALSE)&amp;$AX57,坦克属性分配比例,MATCH("升星比例",坦克属性分配比例标头,0),FALSE),0)</f>
        <v>587</v>
      </c>
      <c r="BE57" s="426">
        <f ca="1">ROUND(VLOOKUP($AW57&amp;"初始",$O$3:$AA$63,MATCH(BE$3,$O$3:$AA$3,0),FALSE)+(VLOOKUP($AW57&amp;"最终",$O$3:$AA$63,MATCH(BE$3,$O$3:$AA$3,0),FALSE)-VLOOKUP($AW57&amp;"初始",$O$3:$AA$63,MATCH(BE$3,$O$3:$AA$3,0),FALSE))*$AY57/VLOOKUP(VLOOKUP($AW57,坦克个性化设定!$B$18:$E$48,4,FALSE)&amp;$AX57,坦克属性分配比例,MATCH("升星次数",坦克属性分配比例标头,0),FALSE),0)</f>
        <v>176</v>
      </c>
      <c r="BF57" s="462">
        <f>ROUND(VLOOKUP($AW57,$AD$3:$AJ$33,MATCH(BF$3,$AD$3:$AJ$3,0),FALSE)+$AY57/VLOOKUP(VLOOKUP($AW57,坦克个性化设定!$B$18:$E$48,4,FALSE)&amp;$AX57,坦克属性分配比例,MATCH("升星次数",坦克属性分配比例标头,0),FALSE)*VLOOKUP($AW57,$AM$3:$AS$33,MATCH(BF$3,$AM$3:$AS$3,0),FALSE),1)</f>
        <v>43.1</v>
      </c>
      <c r="BG57" s="462">
        <f>ROUND(VLOOKUP($AW57,$AD$3:$AJ$33,MATCH(BG$3,$AD$3:$AJ$3,0),FALSE)+$AY57/VLOOKUP(VLOOKUP($AW57,坦克个性化设定!$B$18:$E$48,4,FALSE)&amp;$AX57,坦克属性分配比例,MATCH("升星次数",坦克属性分配比例标头,0),FALSE)*VLOOKUP($AW57,$AM$3:$AS$33,MATCH(BG$3,$AM$3:$AS$3,0),FALSE),1)</f>
        <v>64.400000000000006</v>
      </c>
      <c r="BH57" s="462">
        <f>ROUND(VLOOKUP($AW57,$AD$3:$AJ$33,MATCH(BH$3,$AD$3:$AJ$3,0),FALSE)+$AY57/VLOOKUP(VLOOKUP($AW57,坦克个性化设定!$B$18:$E$48,4,FALSE)&amp;$AX57,坦克属性分配比例,MATCH("升星次数",坦克属性分配比例标头,0),FALSE)*VLOOKUP($AW57,$AM$3:$AS$33,MATCH(BH$3,$AM$3:$AS$3,0),FALSE),1)</f>
        <v>15.4</v>
      </c>
      <c r="BI57" s="654">
        <f>IF(VLOOKUP(AW57,坦克个性化设定!$B$18:$BB$48,MATCH("装弹类型",坦克个性化设定!$B$18:$BB$18,0),FALSE)="弹夹换弹",0,ROUND(VLOOKUP($AW57,$AD$3:$AJ$33,MATCH("换弹时间",$AD$3:$AJ$3,0),FALSE)-$AY57/VLOOKUP(VLOOKUP($AW57,坦克个性化设定!$B$18:$E$48,4,FALSE)&amp;$AX57,坦克属性分配比例,MATCH("升星次数",坦克属性分配比例标头,0),FALSE)*VLOOKUP($AW57,$AM$3:$AS$33,MATCH("换弹时间",$AM$3:$AS$3,0),FALSE),2))</f>
        <v>2.74</v>
      </c>
      <c r="BJ57" s="462">
        <f>IF(VLOOKUP(AW57,坦克个性化设定!$B$18:$BB$48,MATCH("装弹类型",坦克个性化设定!$B$18:$BB$18,0),FALSE)="弹夹换弹",ROUND(VLOOKUP($AW57,$AD$3:$AJ$33,MATCH("换弹时间",$AD$3:$AJ$3,0),FALSE)-$AY57/VLOOKUP(VLOOKUP($AW57,坦克个性化设定!$B$18:$E$48,4,FALSE)&amp;$AX57,坦克属性分配比例,MATCH("升星次数",坦克属性分配比例标头,0),FALSE)*VLOOKUP($AW57,$AM$3:$AS$33,MATCH("换弹时间",$AM$3:$AS$3,0),FALSE),1),0)</f>
        <v>0</v>
      </c>
      <c r="BK57" s="462">
        <f>ROUND(VLOOKUP($AW57,$AD$3:$AJ$33,MATCH(BK$3,$AD$3:$AJ$3,0),FALSE)+$AY57/VLOOKUP(VLOOKUP($AW57,坦克个性化设定!$B$18:$E$48,4,FALSE)&amp;$AX57,坦克属性分配比例,MATCH("升星次数",坦克属性分配比例标头,0),FALSE)*VLOOKUP($AW57,$AM$3:$AS$33,MATCH(BK$3,$AM$3:$AS$3,0),FALSE),2)</f>
        <v>0</v>
      </c>
      <c r="BL57" s="462">
        <f>ROUND(VLOOKUP($AW57,$AD$3:$AJ$33,MATCH(BL$3,$AD$3:$AJ$3,0),FALSE)-$AY57/VLOOKUP(VLOOKUP($AW57,坦克个性化设定!$B$18:$E$48,4,FALSE)&amp;$AX57,坦克属性分配比例,MATCH("升星次数",坦克属性分配比例标头,0),FALSE)*VLOOKUP($AW57,$AM$3:$AS$33,MATCH(BL$3,$AM$3:$AS$3,0),FALSE),2)</f>
        <v>1.69</v>
      </c>
    </row>
    <row r="58" spans="15:64" x14ac:dyDescent="0.35">
      <c r="O58" s="426" t="str">
        <f t="shared" si="5"/>
        <v>IS-4初始</v>
      </c>
      <c r="P58" s="137">
        <f>IF(COUNTIF(Q$4:Q57,Q57)&gt;=$B$3,P57+1,P57)</f>
        <v>28</v>
      </c>
      <c r="Q58" s="131" t="str">
        <f t="shared" si="6"/>
        <v>IS-4</v>
      </c>
      <c r="R58" s="131" t="str">
        <f>VLOOKUP(Q58,坦克个性化设定!$B$18:$F$48,5,FALSE)</f>
        <v>重坦自动</v>
      </c>
      <c r="S58" s="177" t="str">
        <f>VLOOKUP(Q58,坦克个性化细分!$I$3:$J$33,2,FALSE)</f>
        <v>中</v>
      </c>
      <c r="T58" s="137" t="str">
        <f t="shared" si="12"/>
        <v>初始</v>
      </c>
      <c r="U58" s="178" t="str">
        <f>VLOOKUP(VLOOKUP(Q58,坦克个性化设定!$B$18:$F$48,4,FALSE)&amp;S58,坦克等级成长!$P$12:$U$24,MATCH(T58,坦克等级成长!$P$12:$U$12,0),FALSE)</f>
        <v>T4中4</v>
      </c>
      <c r="V58" s="96">
        <f ca="1">VLOOKUP($U58,INDIRECT($R58&amp;"_阶段属性"),MATCH(V$3,属性标头_阶段属性,0),FALSE)*VLOOKUP($Q58,坦克个性化设定!$B$84:$D$114,2,FALSE)</f>
        <v>1827.5343341570237</v>
      </c>
      <c r="W58" s="96">
        <f ca="1">VLOOKUP($U58,INDIRECT($R58&amp;"_阶段属性"),MATCH(W$3,属性标头_阶段属性,0),FALSE)*VLOOKUP($Q58,坦克个性化设定!$B$84:$D$114,3,FALSE)</f>
        <v>302.63946382814305</v>
      </c>
      <c r="X58" s="131">
        <f t="shared" ca="1" si="17"/>
        <v>560</v>
      </c>
      <c r="Y58" s="131">
        <f t="shared" ca="1" si="17"/>
        <v>448</v>
      </c>
      <c r="Z58" s="131">
        <f t="shared" ca="1" si="17"/>
        <v>823</v>
      </c>
      <c r="AA58" s="131">
        <f t="shared" ca="1" si="17"/>
        <v>186</v>
      </c>
      <c r="AU58" s="364" t="str">
        <f t="shared" si="9"/>
        <v>AMX-136</v>
      </c>
      <c r="AV58" s="183">
        <f>IF(AY57&gt;=VLOOKUP(VLOOKUP(AW57,坦克个性化设定!$B$18:$E$48,4,FALSE)&amp;AX57,坦克属性分配比例,MATCH("升星次数",坦克属性分配比例标头,0),FALSE),AV57+1,AV57)</f>
        <v>6</v>
      </c>
      <c r="AW58" s="131" t="str">
        <f t="shared" si="10"/>
        <v>AMX-13</v>
      </c>
      <c r="AX58" s="177" t="str">
        <f>VLOOKUP(AW58,坦克个性化细分!$I$3:$J$33,2,FALSE)</f>
        <v>高</v>
      </c>
      <c r="AY58" s="183">
        <f t="shared" si="1"/>
        <v>6</v>
      </c>
      <c r="AZ58" s="486">
        <f ca="1">ROUND(VLOOKUP($AW58&amp;"初始",$O$3:$AA$63,MATCH(AZ$3,$O$3:$AA$3,0),FALSE)+((VLOOKUP($AW58&amp;"最终",$O$3:$AA$63,MATCH(AZ$3,$O$3:$AA$3,0),FALSE)*坦克个性化细分!$C$9-VLOOKUP($AW58&amp;"初始",$O$3:$AA$63,MATCH(AZ$3,$O$3:$AA$3,0),FALSE))-(VLOOKUP($AW58&amp;"最终",$O$3:$AA$63,MATCH(AZ$3,$O$3:$AA$3,0),FALSE)-VLOOKUP($AW58&amp;"初始",$O$3:$AA$63,MATCH(AZ$3,$O$3:$AA$3,0),FALSE))*VLOOKUP(VLOOKUP($AW58,坦克个性化设定!$B$18:$E$48,4,FALSE)&amp;$AX58,坦克属性分配比例,MATCH("部件比例",坦克属性分配比例标头,0),FALSE))*$AY58/VLOOKUP(VLOOKUP($AW58,坦克个性化设定!$B$18:$E$48,4,FALSE)&amp;$AX58,坦克属性分配比例,MATCH("升星次数",坦克属性分配比例标头,0),FALSE),0)</f>
        <v>1851</v>
      </c>
      <c r="BA58" s="426">
        <f ca="1">ROUND(VLOOKUP($AW58&amp;"初始",$O$3:$AA$63,MATCH(BA$3,$O$3:$AA$3,0),FALSE)+(VLOOKUP($AW58&amp;"最终",$O$3:$AA$63,MATCH(BA$3,$O$3:$AA$3,0),FALSE)-VLOOKUP($AW58&amp;"初始",$O$3:$AA$63,MATCH(BA$3,$O$3:$AA$3,0),FALSE))*$AY58/VLOOKUP(VLOOKUP($AW58,坦克个性化设定!$B$18:$E$48,4,FALSE)&amp;$AX58,坦克属性分配比例,MATCH("升星次数",坦克属性分配比例标头,0),FALSE)*VLOOKUP(VLOOKUP($AW58,坦克个性化设定!$B$18:$E$48,4,FALSE)&amp;$AX58,坦克属性分配比例,MATCH("升星比例",坦克属性分配比例标头,0),FALSE),0)</f>
        <v>208</v>
      </c>
      <c r="BB58" s="486">
        <f ca="1">ROUND(VLOOKUP($AW58&amp;"初始",$O$3:$AA$63,MATCH(BB$3,$O$3:$AA$3,0),FALSE)+(VLOOKUP($AW58&amp;"最终",$O$3:$AA$63,MATCH(BB$3,$O$3:$AA$3,0),FALSE)-VLOOKUP($AW58&amp;"初始",$O$3:$AA$63,MATCH(BB$3,$O$3:$AA$3,0),FALSE))*$AY58/VLOOKUP(VLOOKUP($AW58,坦克个性化设定!$B$18:$E$48,4,FALSE)&amp;$AX58,坦克属性分配比例,MATCH("升星次数",坦克属性分配比例标头,0),FALSE)*(VLOOKUP(VLOOKUP($AW58,坦克个性化设定!$B$18:$E$48,4,FALSE)&amp;$AX58,坦克属性分配比例,MATCH("升星比例",坦克属性分配比例标头,0),FALSE)+VLOOKUP(VLOOKUP($AW58,坦克个性化设定!$B$18:$E$48,4,FALSE)&amp;$AX58,坦克属性分配比例,MATCH("部件比例",坦克属性分配比例标头,0),FALSE)*$C$3),0)</f>
        <v>784</v>
      </c>
      <c r="BC58" s="486">
        <f ca="1">ROUND(VLOOKUP($AW58&amp;"初始",$O$3:$AA$63,MATCH(BC$3,$O$3:$AA$3,0),FALSE)+(VLOOKUP($AW58&amp;"最终",$O$3:$AA$63,MATCH(BC$3,$O$3:$AA$3,0),FALSE)-VLOOKUP($AW58&amp;"初始",$O$3:$AA$63,MATCH(BC$3,$O$3:$AA$3,0),FALSE))*$AY58/VLOOKUP(VLOOKUP($AW58,坦克个性化设定!$B$18:$E$48,4,FALSE)&amp;$AX58,坦克属性分配比例,MATCH("升星次数",坦克属性分配比例标头,0),FALSE)*(VLOOKUP(VLOOKUP($AW58,坦克个性化设定!$B$18:$E$48,4,FALSE)&amp;$AX58,坦克属性分配比例,MATCH("升星比例",坦克属性分配比例标头,0),FALSE)+VLOOKUP(VLOOKUP($AW58,坦克个性化设定!$B$18:$E$48,4,FALSE)&amp;$AX58,坦克属性分配比例,MATCH("部件比例",坦克属性分配比例标头,0),FALSE)*$C$3),0)</f>
        <v>548</v>
      </c>
      <c r="BD58" s="426">
        <f ca="1">ROUND(VLOOKUP($AW58&amp;"初始",$O$3:$AA$63,MATCH(BD$3,$O$3:$AA$3,0),FALSE)+(VLOOKUP($AW58&amp;"最终",$O$3:$AA$63,MATCH(BD$3,$O$3:$AA$3,0),FALSE)-VLOOKUP($AW58&amp;"初始",$O$3:$AA$63,MATCH(BD$3,$O$3:$AA$3,0),FALSE))*$AY58/VLOOKUP(VLOOKUP($AW58,坦克个性化设定!$B$18:$E$48,4,FALSE)&amp;$AX58,坦克属性分配比例,MATCH("升星次数",坦克属性分配比例标头,0),FALSE)*VLOOKUP(VLOOKUP($AW58,坦克个性化设定!$B$18:$E$48,4,FALSE)&amp;$AX58,坦克属性分配比例,MATCH("升星比例",坦克属性分配比例标头,0),FALSE),0)</f>
        <v>608</v>
      </c>
      <c r="BE58" s="426">
        <f ca="1">ROUND(VLOOKUP($AW58&amp;"初始",$O$3:$AA$63,MATCH(BE$3,$O$3:$AA$3,0),FALSE)+(VLOOKUP($AW58&amp;"最终",$O$3:$AA$63,MATCH(BE$3,$O$3:$AA$3,0),FALSE)-VLOOKUP($AW58&amp;"初始",$O$3:$AA$63,MATCH(BE$3,$O$3:$AA$3,0),FALSE))*$AY58/VLOOKUP(VLOOKUP($AW58,坦克个性化设定!$B$18:$E$48,4,FALSE)&amp;$AX58,坦克属性分配比例,MATCH("升星次数",坦克属性分配比例标头,0),FALSE),0)</f>
        <v>185</v>
      </c>
      <c r="BF58" s="462">
        <f>ROUND(VLOOKUP($AW58,$AD$3:$AJ$33,MATCH(BF$3,$AD$3:$AJ$3,0),FALSE)+$AY58/VLOOKUP(VLOOKUP($AW58,坦克个性化设定!$B$18:$E$48,4,FALSE)&amp;$AX58,坦克属性分配比例,MATCH("升星次数",坦克属性分配比例标头,0),FALSE)*VLOOKUP($AW58,$AM$3:$AS$33,MATCH(BF$3,$AM$3:$AS$3,0),FALSE),1)</f>
        <v>43.8</v>
      </c>
      <c r="BG58" s="462">
        <f>ROUND(VLOOKUP($AW58,$AD$3:$AJ$33,MATCH(BG$3,$AD$3:$AJ$3,0),FALSE)+$AY58/VLOOKUP(VLOOKUP($AW58,坦克个性化设定!$B$18:$E$48,4,FALSE)&amp;$AX58,坦克属性分配比例,MATCH("升星次数",坦克属性分配比例标头,0),FALSE)*VLOOKUP($AW58,$AM$3:$AS$33,MATCH(BG$3,$AM$3:$AS$3,0),FALSE),1)</f>
        <v>65.400000000000006</v>
      </c>
      <c r="BH58" s="462">
        <f>ROUND(VLOOKUP($AW58,$AD$3:$AJ$33,MATCH(BH$3,$AD$3:$AJ$3,0),FALSE)+$AY58/VLOOKUP(VLOOKUP($AW58,坦克个性化设定!$B$18:$E$48,4,FALSE)&amp;$AX58,坦克属性分配比例,MATCH("升星次数",坦克属性分配比例标头,0),FALSE)*VLOOKUP($AW58,$AM$3:$AS$33,MATCH(BH$3,$AM$3:$AS$3,0),FALSE),1)</f>
        <v>15.7</v>
      </c>
      <c r="BI58" s="654">
        <f>IF(VLOOKUP(AW58,坦克个性化设定!$B$18:$BB$48,MATCH("装弹类型",坦克个性化设定!$B$18:$BB$18,0),FALSE)="弹夹换弹",0,ROUND(VLOOKUP($AW58,$AD$3:$AJ$33,MATCH("换弹时间",$AD$3:$AJ$3,0),FALSE)-$AY58/VLOOKUP(VLOOKUP($AW58,坦克个性化设定!$B$18:$E$48,4,FALSE)&amp;$AX58,坦克属性分配比例,MATCH("升星次数",坦克属性分配比例标头,0),FALSE)*VLOOKUP($AW58,$AM$3:$AS$33,MATCH("换弹时间",$AM$3:$AS$3,0),FALSE),2))</f>
        <v>2.69</v>
      </c>
      <c r="BJ58" s="462">
        <f>IF(VLOOKUP(AW58,坦克个性化设定!$B$18:$BB$48,MATCH("装弹类型",坦克个性化设定!$B$18:$BB$18,0),FALSE)="弹夹换弹",ROUND(VLOOKUP($AW58,$AD$3:$AJ$33,MATCH("换弹时间",$AD$3:$AJ$3,0),FALSE)-$AY58/VLOOKUP(VLOOKUP($AW58,坦克个性化设定!$B$18:$E$48,4,FALSE)&amp;$AX58,坦克属性分配比例,MATCH("升星次数",坦克属性分配比例标头,0),FALSE)*VLOOKUP($AW58,$AM$3:$AS$33,MATCH("换弹时间",$AM$3:$AS$3,0),FALSE),1),0)</f>
        <v>0</v>
      </c>
      <c r="BK58" s="462">
        <f>ROUND(VLOOKUP($AW58,$AD$3:$AJ$33,MATCH(BK$3,$AD$3:$AJ$3,0),FALSE)+$AY58/VLOOKUP(VLOOKUP($AW58,坦克个性化设定!$B$18:$E$48,4,FALSE)&amp;$AX58,坦克属性分配比例,MATCH("升星次数",坦克属性分配比例标头,0),FALSE)*VLOOKUP($AW58,$AM$3:$AS$33,MATCH(BK$3,$AM$3:$AS$3,0),FALSE),2)</f>
        <v>0</v>
      </c>
      <c r="BL58" s="462">
        <f>ROUND(VLOOKUP($AW58,$AD$3:$AJ$33,MATCH(BL$3,$AD$3:$AJ$3,0),FALSE)-$AY58/VLOOKUP(VLOOKUP($AW58,坦克个性化设定!$B$18:$E$48,4,FALSE)&amp;$AX58,坦克属性分配比例,MATCH("升星次数",坦克属性分配比例标头,0),FALSE)*VLOOKUP($AW58,$AM$3:$AS$33,MATCH(BL$3,$AM$3:$AS$3,0),FALSE),2)</f>
        <v>1.67</v>
      </c>
    </row>
    <row r="59" spans="15:64" x14ac:dyDescent="0.35">
      <c r="O59" s="426" t="str">
        <f t="shared" si="5"/>
        <v>IS-4最终</v>
      </c>
      <c r="P59" s="137">
        <f>IF(COUNTIF(Q$4:Q58,Q58)&gt;=$B$3,P58+1,P58)</f>
        <v>28</v>
      </c>
      <c r="Q59" s="131" t="str">
        <f t="shared" si="6"/>
        <v>IS-4</v>
      </c>
      <c r="R59" s="131" t="str">
        <f>VLOOKUP(Q59,坦克个性化设定!$B$18:$F$48,5,FALSE)</f>
        <v>重坦自动</v>
      </c>
      <c r="S59" s="177" t="str">
        <f>VLOOKUP(Q59,坦克个性化细分!$I$3:$J$33,2,FALSE)</f>
        <v>中</v>
      </c>
      <c r="T59" s="137" t="str">
        <f t="shared" si="12"/>
        <v>最终</v>
      </c>
      <c r="U59" s="178" t="str">
        <f>VLOOKUP(VLOOKUP(Q59,坦克个性化设定!$B$18:$F$48,4,FALSE)&amp;S59,坦克等级成长!$P$12:$U$24,MATCH(T59,坦克等级成长!$P$12:$U$12,0),FALSE)</f>
        <v>T4中6</v>
      </c>
      <c r="V59" s="96">
        <f ca="1">VLOOKUP($U59,INDIRECT($R59&amp;"_阶段属性"),MATCH(V$3,属性标头_阶段属性,0),FALSE)*VLOOKUP($Q59,坦克个性化设定!$B$84:$D$114,2,FALSE)</f>
        <v>3496.1526392569153</v>
      </c>
      <c r="W59" s="96">
        <f ca="1">VLOOKUP($U59,INDIRECT($R59&amp;"_阶段属性"),MATCH(W$3,属性标头_阶段属性,0),FALSE)*VLOOKUP($Q59,坦克个性化设定!$B$84:$D$114,3,FALSE)</f>
        <v>580.14623861865493</v>
      </c>
      <c r="X59" s="131">
        <f t="shared" ca="1" si="17"/>
        <v>1071</v>
      </c>
      <c r="Y59" s="131">
        <f t="shared" ca="1" si="17"/>
        <v>857</v>
      </c>
      <c r="Z59" s="131">
        <f t="shared" ca="1" si="17"/>
        <v>1575</v>
      </c>
      <c r="AA59" s="131">
        <f t="shared" ca="1" si="17"/>
        <v>356</v>
      </c>
      <c r="AU59" s="364" t="str">
        <f t="shared" si="9"/>
        <v>AMX-137</v>
      </c>
      <c r="AV59" s="183">
        <f>IF(AY58&gt;=VLOOKUP(VLOOKUP(AW58,坦克个性化设定!$B$18:$E$48,4,FALSE)&amp;AX58,坦克属性分配比例,MATCH("升星次数",坦克属性分配比例标头,0),FALSE),AV58+1,AV58)</f>
        <v>6</v>
      </c>
      <c r="AW59" s="131" t="str">
        <f t="shared" si="10"/>
        <v>AMX-13</v>
      </c>
      <c r="AX59" s="177" t="str">
        <f>VLOOKUP(AW59,坦克个性化细分!$I$3:$J$33,2,FALSE)</f>
        <v>高</v>
      </c>
      <c r="AY59" s="183">
        <f t="shared" si="1"/>
        <v>7</v>
      </c>
      <c r="AZ59" s="486">
        <f ca="1">ROUND(VLOOKUP($AW59&amp;"初始",$O$3:$AA$63,MATCH(AZ$3,$O$3:$AA$3,0),FALSE)+((VLOOKUP($AW59&amp;"最终",$O$3:$AA$63,MATCH(AZ$3,$O$3:$AA$3,0),FALSE)*坦克个性化细分!$C$9-VLOOKUP($AW59&amp;"初始",$O$3:$AA$63,MATCH(AZ$3,$O$3:$AA$3,0),FALSE))-(VLOOKUP($AW59&amp;"最终",$O$3:$AA$63,MATCH(AZ$3,$O$3:$AA$3,0),FALSE)-VLOOKUP($AW59&amp;"初始",$O$3:$AA$63,MATCH(AZ$3,$O$3:$AA$3,0),FALSE))*VLOOKUP(VLOOKUP($AW59,坦克个性化设定!$B$18:$E$48,4,FALSE)&amp;$AX59,坦克属性分配比例,MATCH("部件比例",坦克属性分配比例标头,0),FALSE))*$AY59/VLOOKUP(VLOOKUP($AW59,坦克个性化设定!$B$18:$E$48,4,FALSE)&amp;$AX59,坦克属性分配比例,MATCH("升星次数",坦克属性分配比例标头,0),FALSE),0)</f>
        <v>1954</v>
      </c>
      <c r="BA59" s="426">
        <f ca="1">ROUND(VLOOKUP($AW59&amp;"初始",$O$3:$AA$63,MATCH(BA$3,$O$3:$AA$3,0),FALSE)+(VLOOKUP($AW59&amp;"最终",$O$3:$AA$63,MATCH(BA$3,$O$3:$AA$3,0),FALSE)-VLOOKUP($AW59&amp;"初始",$O$3:$AA$63,MATCH(BA$3,$O$3:$AA$3,0),FALSE))*$AY59/VLOOKUP(VLOOKUP($AW59,坦克个性化设定!$B$18:$E$48,4,FALSE)&amp;$AX59,坦克属性分配比例,MATCH("升星次数",坦克属性分配比例标头,0),FALSE)*VLOOKUP(VLOOKUP($AW59,坦克个性化设定!$B$18:$E$48,4,FALSE)&amp;$AX59,坦克属性分配比例,MATCH("升星比例",坦克属性分配比例标头,0),FALSE),0)</f>
        <v>215</v>
      </c>
      <c r="BB59" s="486">
        <f ca="1">ROUND(VLOOKUP($AW59&amp;"初始",$O$3:$AA$63,MATCH(BB$3,$O$3:$AA$3,0),FALSE)+(VLOOKUP($AW59&amp;"最终",$O$3:$AA$63,MATCH(BB$3,$O$3:$AA$3,0),FALSE)-VLOOKUP($AW59&amp;"初始",$O$3:$AA$63,MATCH(BB$3,$O$3:$AA$3,0),FALSE))*$AY59/VLOOKUP(VLOOKUP($AW59,坦克个性化设定!$B$18:$E$48,4,FALSE)&amp;$AX59,坦克属性分配比例,MATCH("升星次数",坦克属性分配比例标头,0),FALSE)*(VLOOKUP(VLOOKUP($AW59,坦克个性化设定!$B$18:$E$48,4,FALSE)&amp;$AX59,坦克属性分配比例,MATCH("升星比例",坦克属性分配比例标头,0),FALSE)+VLOOKUP(VLOOKUP($AW59,坦克个性化设定!$B$18:$E$48,4,FALSE)&amp;$AX59,坦克属性分配比例,MATCH("部件比例",坦克属性分配比例标头,0),FALSE)*$C$3),0)</f>
        <v>818</v>
      </c>
      <c r="BC59" s="486">
        <f ca="1">ROUND(VLOOKUP($AW59&amp;"初始",$O$3:$AA$63,MATCH(BC$3,$O$3:$AA$3,0),FALSE)+(VLOOKUP($AW59&amp;"最终",$O$3:$AA$63,MATCH(BC$3,$O$3:$AA$3,0),FALSE)-VLOOKUP($AW59&amp;"初始",$O$3:$AA$63,MATCH(BC$3,$O$3:$AA$3,0),FALSE))*$AY59/VLOOKUP(VLOOKUP($AW59,坦克个性化设定!$B$18:$E$48,4,FALSE)&amp;$AX59,坦克属性分配比例,MATCH("升星次数",坦克属性分配比例标头,0),FALSE)*(VLOOKUP(VLOOKUP($AW59,坦克个性化设定!$B$18:$E$48,4,FALSE)&amp;$AX59,坦克属性分配比例,MATCH("升星比例",坦克属性分配比例标头,0),FALSE)+VLOOKUP(VLOOKUP($AW59,坦克个性化设定!$B$18:$E$48,4,FALSE)&amp;$AX59,坦克属性分配比例,MATCH("部件比例",坦克属性分配比例标头,0),FALSE)*$C$3),0)</f>
        <v>572</v>
      </c>
      <c r="BD59" s="426">
        <f ca="1">ROUND(VLOOKUP($AW59&amp;"初始",$O$3:$AA$63,MATCH(BD$3,$O$3:$AA$3,0),FALSE)+(VLOOKUP($AW59&amp;"最终",$O$3:$AA$63,MATCH(BD$3,$O$3:$AA$3,0),FALSE)-VLOOKUP($AW59&amp;"初始",$O$3:$AA$63,MATCH(BD$3,$O$3:$AA$3,0),FALSE))*$AY59/VLOOKUP(VLOOKUP($AW59,坦克个性化设定!$B$18:$E$48,4,FALSE)&amp;$AX59,坦克属性分配比例,MATCH("升星次数",坦克属性分配比例标头,0),FALSE)*VLOOKUP(VLOOKUP($AW59,坦克个性化设定!$B$18:$E$48,4,FALSE)&amp;$AX59,坦克属性分配比例,MATCH("升星比例",坦克属性分配比例标头,0),FALSE),0)</f>
        <v>628</v>
      </c>
      <c r="BE59" s="426">
        <f ca="1">ROUND(VLOOKUP($AW59&amp;"初始",$O$3:$AA$63,MATCH(BE$3,$O$3:$AA$3,0),FALSE)+(VLOOKUP($AW59&amp;"最终",$O$3:$AA$63,MATCH(BE$3,$O$3:$AA$3,0),FALSE)-VLOOKUP($AW59&amp;"初始",$O$3:$AA$63,MATCH(BE$3,$O$3:$AA$3,0),FALSE))*$AY59/VLOOKUP(VLOOKUP($AW59,坦克个性化设定!$B$18:$E$48,4,FALSE)&amp;$AX59,坦克属性分配比例,MATCH("升星次数",坦克属性分配比例标头,0),FALSE),0)</f>
        <v>194</v>
      </c>
      <c r="BF59" s="462">
        <f>ROUND(VLOOKUP($AW59,$AD$3:$AJ$33,MATCH(BF$3,$AD$3:$AJ$3,0),FALSE)+$AY59/VLOOKUP(VLOOKUP($AW59,坦克个性化设定!$B$18:$E$48,4,FALSE)&amp;$AX59,坦克属性分配比例,MATCH("升星次数",坦克属性分配比例标头,0),FALSE)*VLOOKUP($AW59,$AM$3:$AS$33,MATCH(BF$3,$AM$3:$AS$3,0),FALSE),1)</f>
        <v>44.6</v>
      </c>
      <c r="BG59" s="462">
        <f>ROUND(VLOOKUP($AW59,$AD$3:$AJ$33,MATCH(BG$3,$AD$3:$AJ$3,0),FALSE)+$AY59/VLOOKUP(VLOOKUP($AW59,坦克个性化设定!$B$18:$E$48,4,FALSE)&amp;$AX59,坦克属性分配比例,MATCH("升星次数",坦克属性分配比例标头,0),FALSE)*VLOOKUP($AW59,$AM$3:$AS$33,MATCH(BG$3,$AM$3:$AS$3,0),FALSE),1)</f>
        <v>66.5</v>
      </c>
      <c r="BH59" s="462">
        <f>ROUND(VLOOKUP($AW59,$AD$3:$AJ$33,MATCH(BH$3,$AD$3:$AJ$3,0),FALSE)+$AY59/VLOOKUP(VLOOKUP($AW59,坦克个性化设定!$B$18:$E$48,4,FALSE)&amp;$AX59,坦克属性分配比例,MATCH("升星次数",坦克属性分配比例标头,0),FALSE)*VLOOKUP($AW59,$AM$3:$AS$33,MATCH(BH$3,$AM$3:$AS$3,0),FALSE),1)</f>
        <v>16.100000000000001</v>
      </c>
      <c r="BI59" s="654">
        <f>IF(VLOOKUP(AW59,坦克个性化设定!$B$18:$BB$48,MATCH("装弹类型",坦克个性化设定!$B$18:$BB$18,0),FALSE)="弹夹换弹",0,ROUND(VLOOKUP($AW59,$AD$3:$AJ$33,MATCH("换弹时间",$AD$3:$AJ$3,0),FALSE)-$AY59/VLOOKUP(VLOOKUP($AW59,坦克个性化设定!$B$18:$E$48,4,FALSE)&amp;$AX59,坦克属性分配比例,MATCH("升星次数",坦克属性分配比例标头,0),FALSE)*VLOOKUP($AW59,$AM$3:$AS$33,MATCH("换弹时间",$AM$3:$AS$3,0),FALSE),2))</f>
        <v>2.64</v>
      </c>
      <c r="BJ59" s="462">
        <f>IF(VLOOKUP(AW59,坦克个性化设定!$B$18:$BB$48,MATCH("装弹类型",坦克个性化设定!$B$18:$BB$18,0),FALSE)="弹夹换弹",ROUND(VLOOKUP($AW59,$AD$3:$AJ$33,MATCH("换弹时间",$AD$3:$AJ$3,0),FALSE)-$AY59/VLOOKUP(VLOOKUP($AW59,坦克个性化设定!$B$18:$E$48,4,FALSE)&amp;$AX59,坦克属性分配比例,MATCH("升星次数",坦克属性分配比例标头,0),FALSE)*VLOOKUP($AW59,$AM$3:$AS$33,MATCH("换弹时间",$AM$3:$AS$3,0),FALSE),1),0)</f>
        <v>0</v>
      </c>
      <c r="BK59" s="462">
        <f>ROUND(VLOOKUP($AW59,$AD$3:$AJ$33,MATCH(BK$3,$AD$3:$AJ$3,0),FALSE)+$AY59/VLOOKUP(VLOOKUP($AW59,坦克个性化设定!$B$18:$E$48,4,FALSE)&amp;$AX59,坦克属性分配比例,MATCH("升星次数",坦克属性分配比例标头,0),FALSE)*VLOOKUP($AW59,$AM$3:$AS$33,MATCH(BK$3,$AM$3:$AS$3,0),FALSE),2)</f>
        <v>0</v>
      </c>
      <c r="BL59" s="462">
        <f>ROUND(VLOOKUP($AW59,$AD$3:$AJ$33,MATCH(BL$3,$AD$3:$AJ$3,0),FALSE)-$AY59/VLOOKUP(VLOOKUP($AW59,坦克个性化设定!$B$18:$E$48,4,FALSE)&amp;$AX59,坦克属性分配比例,MATCH("升星次数",坦克属性分配比例标头,0),FALSE)*VLOOKUP($AW59,$AM$3:$AS$33,MATCH(BL$3,$AM$3:$AS$3,0),FALSE),2)</f>
        <v>1.65</v>
      </c>
    </row>
    <row r="60" spans="15:64" x14ac:dyDescent="0.35">
      <c r="O60" s="426" t="str">
        <f t="shared" si="5"/>
        <v>T-32初始</v>
      </c>
      <c r="P60" s="137">
        <f>IF(COUNTIF(Q$4:Q59,Q59)&gt;=$B$3,P59+1,P59)</f>
        <v>29</v>
      </c>
      <c r="Q60" s="131" t="str">
        <f t="shared" si="6"/>
        <v>T-32</v>
      </c>
      <c r="R60" s="131" t="str">
        <f>VLOOKUP(Q60,坦克个性化设定!$B$18:$F$48,5,FALSE)</f>
        <v>重坦单发</v>
      </c>
      <c r="S60" s="177" t="str">
        <f>VLOOKUP(Q60,坦克个性化细分!$I$3:$J$33,2,FALSE)</f>
        <v>高</v>
      </c>
      <c r="T60" s="137" t="str">
        <f t="shared" si="12"/>
        <v>初始</v>
      </c>
      <c r="U60" s="178" t="str">
        <f>VLOOKUP(VLOOKUP(Q60,坦克个性化设定!$B$18:$F$48,4,FALSE)&amp;S60,坦克等级成长!$P$12:$U$24,MATCH(T60,坦克等级成长!$P$12:$U$12,0),FALSE)</f>
        <v>T4高4</v>
      </c>
      <c r="V60" s="96">
        <f ca="1">VLOOKUP($U60,INDIRECT($R60&amp;"_阶段属性"),MATCH(V$3,属性标头_阶段属性,0),FALSE)*VLOOKUP($Q60,坦克个性化设定!$B$84:$D$114,2,FALSE)</f>
        <v>2020.6517366513824</v>
      </c>
      <c r="W60" s="96">
        <f ca="1">VLOOKUP($U60,INDIRECT($R60&amp;"_阶段属性"),MATCH(W$3,属性标头_阶段属性,0),FALSE)*VLOOKUP($Q60,坦克个性化设定!$B$84:$D$114,3,FALSE)</f>
        <v>391.47369418091591</v>
      </c>
      <c r="X60" s="131">
        <f t="shared" ca="1" si="17"/>
        <v>647</v>
      </c>
      <c r="Y60" s="131">
        <f t="shared" ca="1" si="17"/>
        <v>518</v>
      </c>
      <c r="Z60" s="131">
        <f t="shared" ca="1" si="17"/>
        <v>865</v>
      </c>
      <c r="AA60" s="131">
        <f t="shared" ca="1" si="17"/>
        <v>196</v>
      </c>
      <c r="AU60" s="364" t="str">
        <f t="shared" si="9"/>
        <v>AMX-138</v>
      </c>
      <c r="AV60" s="183">
        <f>IF(AY59&gt;=VLOOKUP(VLOOKUP(AW59,坦克个性化设定!$B$18:$E$48,4,FALSE)&amp;AX59,坦克属性分配比例,MATCH("升星次数",坦克属性分配比例标头,0),FALSE),AV59+1,AV59)</f>
        <v>6</v>
      </c>
      <c r="AW60" s="131" t="str">
        <f t="shared" si="10"/>
        <v>AMX-13</v>
      </c>
      <c r="AX60" s="177" t="str">
        <f>VLOOKUP(AW60,坦克个性化细分!$I$3:$J$33,2,FALSE)</f>
        <v>高</v>
      </c>
      <c r="AY60" s="183">
        <f t="shared" si="1"/>
        <v>8</v>
      </c>
      <c r="AZ60" s="486">
        <f ca="1">ROUND(VLOOKUP($AW60&amp;"初始",$O$3:$AA$63,MATCH(AZ$3,$O$3:$AA$3,0),FALSE)+((VLOOKUP($AW60&amp;"最终",$O$3:$AA$63,MATCH(AZ$3,$O$3:$AA$3,0),FALSE)*坦克个性化细分!$C$9-VLOOKUP($AW60&amp;"初始",$O$3:$AA$63,MATCH(AZ$3,$O$3:$AA$3,0),FALSE))-(VLOOKUP($AW60&amp;"最终",$O$3:$AA$63,MATCH(AZ$3,$O$3:$AA$3,0),FALSE)-VLOOKUP($AW60&amp;"初始",$O$3:$AA$63,MATCH(AZ$3,$O$3:$AA$3,0),FALSE))*VLOOKUP(VLOOKUP($AW60,坦克个性化设定!$B$18:$E$48,4,FALSE)&amp;$AX60,坦克属性分配比例,MATCH("部件比例",坦克属性分配比例标头,0),FALSE))*$AY60/VLOOKUP(VLOOKUP($AW60,坦克个性化设定!$B$18:$E$48,4,FALSE)&amp;$AX60,坦克属性分配比例,MATCH("升星次数",坦克属性分配比例标头,0),FALSE),0)</f>
        <v>2058</v>
      </c>
      <c r="BA60" s="426">
        <f ca="1">ROUND(VLOOKUP($AW60&amp;"初始",$O$3:$AA$63,MATCH(BA$3,$O$3:$AA$3,0),FALSE)+(VLOOKUP($AW60&amp;"最终",$O$3:$AA$63,MATCH(BA$3,$O$3:$AA$3,0),FALSE)-VLOOKUP($AW60&amp;"初始",$O$3:$AA$63,MATCH(BA$3,$O$3:$AA$3,0),FALSE))*$AY60/VLOOKUP(VLOOKUP($AW60,坦克个性化设定!$B$18:$E$48,4,FALSE)&amp;$AX60,坦克属性分配比例,MATCH("升星次数",坦克属性分配比例标头,0),FALSE)*VLOOKUP(VLOOKUP($AW60,坦克个性化设定!$B$18:$E$48,4,FALSE)&amp;$AX60,坦克属性分配比例,MATCH("升星比例",坦克属性分配比例标头,0),FALSE),0)</f>
        <v>222</v>
      </c>
      <c r="BB60" s="486">
        <f ca="1">ROUND(VLOOKUP($AW60&amp;"初始",$O$3:$AA$63,MATCH(BB$3,$O$3:$AA$3,0),FALSE)+(VLOOKUP($AW60&amp;"最终",$O$3:$AA$63,MATCH(BB$3,$O$3:$AA$3,0),FALSE)-VLOOKUP($AW60&amp;"初始",$O$3:$AA$63,MATCH(BB$3,$O$3:$AA$3,0),FALSE))*$AY60/VLOOKUP(VLOOKUP($AW60,坦克个性化设定!$B$18:$E$48,4,FALSE)&amp;$AX60,坦克属性分配比例,MATCH("升星次数",坦克属性分配比例标头,0),FALSE)*(VLOOKUP(VLOOKUP($AW60,坦克个性化设定!$B$18:$E$48,4,FALSE)&amp;$AX60,坦克属性分配比例,MATCH("升星比例",坦克属性分配比例标头,0),FALSE)+VLOOKUP(VLOOKUP($AW60,坦克个性化设定!$B$18:$E$48,4,FALSE)&amp;$AX60,坦克属性分配比例,MATCH("部件比例",坦克属性分配比例标头,0),FALSE)*$C$3),0)</f>
        <v>852</v>
      </c>
      <c r="BC60" s="486">
        <f ca="1">ROUND(VLOOKUP($AW60&amp;"初始",$O$3:$AA$63,MATCH(BC$3,$O$3:$AA$3,0),FALSE)+(VLOOKUP($AW60&amp;"最终",$O$3:$AA$63,MATCH(BC$3,$O$3:$AA$3,0),FALSE)-VLOOKUP($AW60&amp;"初始",$O$3:$AA$63,MATCH(BC$3,$O$3:$AA$3,0),FALSE))*$AY60/VLOOKUP(VLOOKUP($AW60,坦克个性化设定!$B$18:$E$48,4,FALSE)&amp;$AX60,坦克属性分配比例,MATCH("升星次数",坦克属性分配比例标头,0),FALSE)*(VLOOKUP(VLOOKUP($AW60,坦克个性化设定!$B$18:$E$48,4,FALSE)&amp;$AX60,坦克属性分配比例,MATCH("升星比例",坦克属性分配比例标头,0),FALSE)+VLOOKUP(VLOOKUP($AW60,坦克个性化设定!$B$18:$E$48,4,FALSE)&amp;$AX60,坦克属性分配比例,MATCH("部件比例",坦克属性分配比例标头,0),FALSE)*$C$3),0)</f>
        <v>596</v>
      </c>
      <c r="BD60" s="426">
        <f ca="1">ROUND(VLOOKUP($AW60&amp;"初始",$O$3:$AA$63,MATCH(BD$3,$O$3:$AA$3,0),FALSE)+(VLOOKUP($AW60&amp;"最终",$O$3:$AA$63,MATCH(BD$3,$O$3:$AA$3,0),FALSE)-VLOOKUP($AW60&amp;"初始",$O$3:$AA$63,MATCH(BD$3,$O$3:$AA$3,0),FALSE))*$AY60/VLOOKUP(VLOOKUP($AW60,坦克个性化设定!$B$18:$E$48,4,FALSE)&amp;$AX60,坦克属性分配比例,MATCH("升星次数",坦克属性分配比例标头,0),FALSE)*VLOOKUP(VLOOKUP($AW60,坦克个性化设定!$B$18:$E$48,4,FALSE)&amp;$AX60,坦克属性分配比例,MATCH("升星比例",坦克属性分配比例标头,0),FALSE),0)</f>
        <v>648</v>
      </c>
      <c r="BE60" s="426">
        <f ca="1">ROUND(VLOOKUP($AW60&amp;"初始",$O$3:$AA$63,MATCH(BE$3,$O$3:$AA$3,0),FALSE)+(VLOOKUP($AW60&amp;"最终",$O$3:$AA$63,MATCH(BE$3,$O$3:$AA$3,0),FALSE)-VLOOKUP($AW60&amp;"初始",$O$3:$AA$63,MATCH(BE$3,$O$3:$AA$3,0),FALSE))*$AY60/VLOOKUP(VLOOKUP($AW60,坦克个性化设定!$B$18:$E$48,4,FALSE)&amp;$AX60,坦克属性分配比例,MATCH("升星次数",坦克属性分配比例标头,0),FALSE),0)</f>
        <v>203</v>
      </c>
      <c r="BF60" s="462">
        <f>ROUND(VLOOKUP($AW60,$AD$3:$AJ$33,MATCH(BF$3,$AD$3:$AJ$3,0),FALSE)+$AY60/VLOOKUP(VLOOKUP($AW60,坦克个性化设定!$B$18:$E$48,4,FALSE)&amp;$AX60,坦克属性分配比例,MATCH("升星次数",坦克属性分配比例标头,0),FALSE)*VLOOKUP($AW60,$AM$3:$AS$33,MATCH(BF$3,$AM$3:$AS$3,0),FALSE),1)</f>
        <v>45.3</v>
      </c>
      <c r="BG60" s="462">
        <f>ROUND(VLOOKUP($AW60,$AD$3:$AJ$33,MATCH(BG$3,$AD$3:$AJ$3,0),FALSE)+$AY60/VLOOKUP(VLOOKUP($AW60,坦克个性化设定!$B$18:$E$48,4,FALSE)&amp;$AX60,坦克属性分配比例,MATCH("升星次数",坦克属性分配比例标头,0),FALSE)*VLOOKUP($AW60,$AM$3:$AS$33,MATCH(BG$3,$AM$3:$AS$3,0),FALSE),1)</f>
        <v>67.5</v>
      </c>
      <c r="BH60" s="462">
        <f>ROUND(VLOOKUP($AW60,$AD$3:$AJ$33,MATCH(BH$3,$AD$3:$AJ$3,0),FALSE)+$AY60/VLOOKUP(VLOOKUP($AW60,坦克个性化设定!$B$18:$E$48,4,FALSE)&amp;$AX60,坦克属性分配比例,MATCH("升星次数",坦克属性分配比例标头,0),FALSE)*VLOOKUP($AW60,$AM$3:$AS$33,MATCH(BH$3,$AM$3:$AS$3,0),FALSE),1)</f>
        <v>16.399999999999999</v>
      </c>
      <c r="BI60" s="654">
        <f>IF(VLOOKUP(AW60,坦克个性化设定!$B$18:$BB$48,MATCH("装弹类型",坦克个性化设定!$B$18:$BB$18,0),FALSE)="弹夹换弹",0,ROUND(VLOOKUP($AW60,$AD$3:$AJ$33,MATCH("换弹时间",$AD$3:$AJ$3,0),FALSE)-$AY60/VLOOKUP(VLOOKUP($AW60,坦克个性化设定!$B$18:$E$48,4,FALSE)&amp;$AX60,坦克属性分配比例,MATCH("升星次数",坦克属性分配比例标头,0),FALSE)*VLOOKUP($AW60,$AM$3:$AS$33,MATCH("换弹时间",$AM$3:$AS$3,0),FALSE),2))</f>
        <v>2.59</v>
      </c>
      <c r="BJ60" s="462">
        <f>IF(VLOOKUP(AW60,坦克个性化设定!$B$18:$BB$48,MATCH("装弹类型",坦克个性化设定!$B$18:$BB$18,0),FALSE)="弹夹换弹",ROUND(VLOOKUP($AW60,$AD$3:$AJ$33,MATCH("换弹时间",$AD$3:$AJ$3,0),FALSE)-$AY60/VLOOKUP(VLOOKUP($AW60,坦克个性化设定!$B$18:$E$48,4,FALSE)&amp;$AX60,坦克属性分配比例,MATCH("升星次数",坦克属性分配比例标头,0),FALSE)*VLOOKUP($AW60,$AM$3:$AS$33,MATCH("换弹时间",$AM$3:$AS$3,0),FALSE),1),0)</f>
        <v>0</v>
      </c>
      <c r="BK60" s="462">
        <f>ROUND(VLOOKUP($AW60,$AD$3:$AJ$33,MATCH(BK$3,$AD$3:$AJ$3,0),FALSE)+$AY60/VLOOKUP(VLOOKUP($AW60,坦克个性化设定!$B$18:$E$48,4,FALSE)&amp;$AX60,坦克属性分配比例,MATCH("升星次数",坦克属性分配比例标头,0),FALSE)*VLOOKUP($AW60,$AM$3:$AS$33,MATCH(BK$3,$AM$3:$AS$3,0),FALSE),2)</f>
        <v>0</v>
      </c>
      <c r="BL60" s="462">
        <f>ROUND(VLOOKUP($AW60,$AD$3:$AJ$33,MATCH(BL$3,$AD$3:$AJ$3,0),FALSE)-$AY60/VLOOKUP(VLOOKUP($AW60,坦克个性化设定!$B$18:$E$48,4,FALSE)&amp;$AX60,坦克属性分配比例,MATCH("升星次数",坦克属性分配比例标头,0),FALSE)*VLOOKUP($AW60,$AM$3:$AS$33,MATCH(BL$3,$AM$3:$AS$3,0),FALSE),2)</f>
        <v>1.63</v>
      </c>
    </row>
    <row r="61" spans="15:64" x14ac:dyDescent="0.35">
      <c r="O61" s="426" t="str">
        <f t="shared" si="5"/>
        <v>T-32最终</v>
      </c>
      <c r="P61" s="137">
        <f>IF(COUNTIF(Q$4:Q60,Q60)&gt;=$B$3,P60+1,P60)</f>
        <v>29</v>
      </c>
      <c r="Q61" s="131" t="str">
        <f t="shared" si="6"/>
        <v>T-32</v>
      </c>
      <c r="R61" s="131" t="str">
        <f>VLOOKUP(Q61,坦克个性化设定!$B$18:$F$48,5,FALSE)</f>
        <v>重坦单发</v>
      </c>
      <c r="S61" s="177" t="str">
        <f>VLOOKUP(Q61,坦克个性化细分!$I$3:$J$33,2,FALSE)</f>
        <v>高</v>
      </c>
      <c r="T61" s="137" t="str">
        <f t="shared" si="12"/>
        <v>最终</v>
      </c>
      <c r="U61" s="178" t="str">
        <f>VLOOKUP(VLOOKUP(Q61,坦克个性化设定!$B$18:$F$48,4,FALSE)&amp;S61,坦克等级成长!$P$12:$U$24,MATCH(T61,坦克等级成长!$P$12:$U$12,0),FALSE)</f>
        <v>T4高6</v>
      </c>
      <c r="V61" s="96">
        <f ca="1">VLOOKUP($U61,INDIRECT($R61&amp;"_阶段属性"),MATCH(V$3,属性标头_阶段属性,0),FALSE)*VLOOKUP($Q61,坦克个性化设定!$B$84:$D$114,2,FALSE)</f>
        <v>3923.655721526331</v>
      </c>
      <c r="W61" s="96">
        <f ca="1">VLOOKUP($U61,INDIRECT($R61&amp;"_阶段属性"),MATCH(W$3,属性标头_阶段属性,0),FALSE)*VLOOKUP($Q61,坦克个性化设定!$B$84:$D$114,3,FALSE)</f>
        <v>760.66051963371046</v>
      </c>
      <c r="X61" s="131">
        <f t="shared" ca="1" si="17"/>
        <v>1257</v>
      </c>
      <c r="Y61" s="131">
        <f t="shared" ca="1" si="17"/>
        <v>1006</v>
      </c>
      <c r="Z61" s="131">
        <f t="shared" ca="1" si="17"/>
        <v>1680</v>
      </c>
      <c r="AA61" s="131">
        <f t="shared" ca="1" si="17"/>
        <v>380</v>
      </c>
      <c r="AU61" s="364" t="str">
        <f t="shared" si="9"/>
        <v>AMX-139</v>
      </c>
      <c r="AV61" s="183">
        <f>IF(AY60&gt;=VLOOKUP(VLOOKUP(AW60,坦克个性化设定!$B$18:$E$48,4,FALSE)&amp;AX60,坦克属性分配比例,MATCH("升星次数",坦克属性分配比例标头,0),FALSE),AV60+1,AV60)</f>
        <v>6</v>
      </c>
      <c r="AW61" s="131" t="str">
        <f t="shared" si="10"/>
        <v>AMX-13</v>
      </c>
      <c r="AX61" s="177" t="str">
        <f>VLOOKUP(AW61,坦克个性化细分!$I$3:$J$33,2,FALSE)</f>
        <v>高</v>
      </c>
      <c r="AY61" s="183">
        <f t="shared" si="1"/>
        <v>9</v>
      </c>
      <c r="AZ61" s="486">
        <f ca="1">ROUND(VLOOKUP($AW61&amp;"初始",$O$3:$AA$63,MATCH(AZ$3,$O$3:$AA$3,0),FALSE)+((VLOOKUP($AW61&amp;"最终",$O$3:$AA$63,MATCH(AZ$3,$O$3:$AA$3,0),FALSE)*坦克个性化细分!$C$9-VLOOKUP($AW61&amp;"初始",$O$3:$AA$63,MATCH(AZ$3,$O$3:$AA$3,0),FALSE))-(VLOOKUP($AW61&amp;"最终",$O$3:$AA$63,MATCH(AZ$3,$O$3:$AA$3,0),FALSE)-VLOOKUP($AW61&amp;"初始",$O$3:$AA$63,MATCH(AZ$3,$O$3:$AA$3,0),FALSE))*VLOOKUP(VLOOKUP($AW61,坦克个性化设定!$B$18:$E$48,4,FALSE)&amp;$AX61,坦克属性分配比例,MATCH("部件比例",坦克属性分配比例标头,0),FALSE))*$AY61/VLOOKUP(VLOOKUP($AW61,坦克个性化设定!$B$18:$E$48,4,FALSE)&amp;$AX61,坦克属性分配比例,MATCH("升星次数",坦克属性分配比例标头,0),FALSE),0)</f>
        <v>2162</v>
      </c>
      <c r="BA61" s="426">
        <f ca="1">ROUND(VLOOKUP($AW61&amp;"初始",$O$3:$AA$63,MATCH(BA$3,$O$3:$AA$3,0),FALSE)+(VLOOKUP($AW61&amp;"最终",$O$3:$AA$63,MATCH(BA$3,$O$3:$AA$3,0),FALSE)-VLOOKUP($AW61&amp;"初始",$O$3:$AA$63,MATCH(BA$3,$O$3:$AA$3,0),FALSE))*$AY61/VLOOKUP(VLOOKUP($AW61,坦克个性化设定!$B$18:$E$48,4,FALSE)&amp;$AX61,坦克属性分配比例,MATCH("升星次数",坦克属性分配比例标头,0),FALSE)*VLOOKUP(VLOOKUP($AW61,坦克个性化设定!$B$18:$E$48,4,FALSE)&amp;$AX61,坦克属性分配比例,MATCH("升星比例",坦克属性分配比例标头,0),FALSE),0)</f>
        <v>229</v>
      </c>
      <c r="BB61" s="486">
        <f ca="1">ROUND(VLOOKUP($AW61&amp;"初始",$O$3:$AA$63,MATCH(BB$3,$O$3:$AA$3,0),FALSE)+(VLOOKUP($AW61&amp;"最终",$O$3:$AA$63,MATCH(BB$3,$O$3:$AA$3,0),FALSE)-VLOOKUP($AW61&amp;"初始",$O$3:$AA$63,MATCH(BB$3,$O$3:$AA$3,0),FALSE))*$AY61/VLOOKUP(VLOOKUP($AW61,坦克个性化设定!$B$18:$E$48,4,FALSE)&amp;$AX61,坦克属性分配比例,MATCH("升星次数",坦克属性分配比例标头,0),FALSE)*(VLOOKUP(VLOOKUP($AW61,坦克个性化设定!$B$18:$E$48,4,FALSE)&amp;$AX61,坦克属性分配比例,MATCH("升星比例",坦克属性分配比例标头,0),FALSE)+VLOOKUP(VLOOKUP($AW61,坦克个性化设定!$B$18:$E$48,4,FALSE)&amp;$AX61,坦克属性分配比例,MATCH("部件比例",坦克属性分配比例标头,0),FALSE)*$C$3),0)</f>
        <v>886</v>
      </c>
      <c r="BC61" s="486">
        <f ca="1">ROUND(VLOOKUP($AW61&amp;"初始",$O$3:$AA$63,MATCH(BC$3,$O$3:$AA$3,0),FALSE)+(VLOOKUP($AW61&amp;"最终",$O$3:$AA$63,MATCH(BC$3,$O$3:$AA$3,0),FALSE)-VLOOKUP($AW61&amp;"初始",$O$3:$AA$63,MATCH(BC$3,$O$3:$AA$3,0),FALSE))*$AY61/VLOOKUP(VLOOKUP($AW61,坦克个性化设定!$B$18:$E$48,4,FALSE)&amp;$AX61,坦克属性分配比例,MATCH("升星次数",坦克属性分配比例标头,0),FALSE)*(VLOOKUP(VLOOKUP($AW61,坦克个性化设定!$B$18:$E$48,4,FALSE)&amp;$AX61,坦克属性分配比例,MATCH("升星比例",坦克属性分配比例标头,0),FALSE)+VLOOKUP(VLOOKUP($AW61,坦克个性化设定!$B$18:$E$48,4,FALSE)&amp;$AX61,坦克属性分配比例,MATCH("部件比例",坦克属性分配比例标头,0),FALSE)*$C$3),0)</f>
        <v>620</v>
      </c>
      <c r="BD61" s="426">
        <f ca="1">ROUND(VLOOKUP($AW61&amp;"初始",$O$3:$AA$63,MATCH(BD$3,$O$3:$AA$3,0),FALSE)+(VLOOKUP($AW61&amp;"最终",$O$3:$AA$63,MATCH(BD$3,$O$3:$AA$3,0),FALSE)-VLOOKUP($AW61&amp;"初始",$O$3:$AA$63,MATCH(BD$3,$O$3:$AA$3,0),FALSE))*$AY61/VLOOKUP(VLOOKUP($AW61,坦克个性化设定!$B$18:$E$48,4,FALSE)&amp;$AX61,坦克属性分配比例,MATCH("升星次数",坦克属性分配比例标头,0),FALSE)*VLOOKUP(VLOOKUP($AW61,坦克个性化设定!$B$18:$E$48,4,FALSE)&amp;$AX61,坦克属性分配比例,MATCH("升星比例",坦克属性分配比例标头,0),FALSE),0)</f>
        <v>668</v>
      </c>
      <c r="BE61" s="426">
        <f ca="1">ROUND(VLOOKUP($AW61&amp;"初始",$O$3:$AA$63,MATCH(BE$3,$O$3:$AA$3,0),FALSE)+(VLOOKUP($AW61&amp;"最终",$O$3:$AA$63,MATCH(BE$3,$O$3:$AA$3,0),FALSE)-VLOOKUP($AW61&amp;"初始",$O$3:$AA$63,MATCH(BE$3,$O$3:$AA$3,0),FALSE))*$AY61/VLOOKUP(VLOOKUP($AW61,坦克个性化设定!$B$18:$E$48,4,FALSE)&amp;$AX61,坦克属性分配比例,MATCH("升星次数",坦克属性分配比例标头,0),FALSE),0)</f>
        <v>212</v>
      </c>
      <c r="BF61" s="462">
        <f>ROUND(VLOOKUP($AW61,$AD$3:$AJ$33,MATCH(BF$3,$AD$3:$AJ$3,0),FALSE)+$AY61/VLOOKUP(VLOOKUP($AW61,坦克个性化设定!$B$18:$E$48,4,FALSE)&amp;$AX61,坦克属性分配比例,MATCH("升星次数",坦克属性分配比例标头,0),FALSE)*VLOOKUP($AW61,$AM$3:$AS$33,MATCH(BF$3,$AM$3:$AS$3,0),FALSE),1)</f>
        <v>46</v>
      </c>
      <c r="BG61" s="462">
        <f>ROUND(VLOOKUP($AW61,$AD$3:$AJ$33,MATCH(BG$3,$AD$3:$AJ$3,0),FALSE)+$AY61/VLOOKUP(VLOOKUP($AW61,坦克个性化设定!$B$18:$E$48,4,FALSE)&amp;$AX61,坦克属性分配比例,MATCH("升星次数",坦克属性分配比例标头,0),FALSE)*VLOOKUP($AW61,$AM$3:$AS$33,MATCH(BG$3,$AM$3:$AS$3,0),FALSE),1)</f>
        <v>68.599999999999994</v>
      </c>
      <c r="BH61" s="462">
        <f>ROUND(VLOOKUP($AW61,$AD$3:$AJ$33,MATCH(BH$3,$AD$3:$AJ$3,0),FALSE)+$AY61/VLOOKUP(VLOOKUP($AW61,坦克个性化设定!$B$18:$E$48,4,FALSE)&amp;$AX61,坦克属性分配比例,MATCH("升星次数",坦克属性分配比例标头,0),FALSE)*VLOOKUP($AW61,$AM$3:$AS$33,MATCH(BH$3,$AM$3:$AS$3,0),FALSE),1)</f>
        <v>16.7</v>
      </c>
      <c r="BI61" s="654">
        <f>IF(VLOOKUP(AW61,坦克个性化设定!$B$18:$BB$48,MATCH("装弹类型",坦克个性化设定!$B$18:$BB$18,0),FALSE)="弹夹换弹",0,ROUND(VLOOKUP($AW61,$AD$3:$AJ$33,MATCH("换弹时间",$AD$3:$AJ$3,0),FALSE)-$AY61/VLOOKUP(VLOOKUP($AW61,坦克个性化设定!$B$18:$E$48,4,FALSE)&amp;$AX61,坦克属性分配比例,MATCH("升星次数",坦克属性分配比例标头,0),FALSE)*VLOOKUP($AW61,$AM$3:$AS$33,MATCH("换弹时间",$AM$3:$AS$3,0),FALSE),2))</f>
        <v>2.54</v>
      </c>
      <c r="BJ61" s="462">
        <f>IF(VLOOKUP(AW61,坦克个性化设定!$B$18:$BB$48,MATCH("装弹类型",坦克个性化设定!$B$18:$BB$18,0),FALSE)="弹夹换弹",ROUND(VLOOKUP($AW61,$AD$3:$AJ$33,MATCH("换弹时间",$AD$3:$AJ$3,0),FALSE)-$AY61/VLOOKUP(VLOOKUP($AW61,坦克个性化设定!$B$18:$E$48,4,FALSE)&amp;$AX61,坦克属性分配比例,MATCH("升星次数",坦克属性分配比例标头,0),FALSE)*VLOOKUP($AW61,$AM$3:$AS$33,MATCH("换弹时间",$AM$3:$AS$3,0),FALSE),1),0)</f>
        <v>0</v>
      </c>
      <c r="BK61" s="462">
        <f>ROUND(VLOOKUP($AW61,$AD$3:$AJ$33,MATCH(BK$3,$AD$3:$AJ$3,0),FALSE)+$AY61/VLOOKUP(VLOOKUP($AW61,坦克个性化设定!$B$18:$E$48,4,FALSE)&amp;$AX61,坦克属性分配比例,MATCH("升星次数",坦克属性分配比例标头,0),FALSE)*VLOOKUP($AW61,$AM$3:$AS$33,MATCH(BK$3,$AM$3:$AS$3,0),FALSE),2)</f>
        <v>0</v>
      </c>
      <c r="BL61" s="462">
        <f>ROUND(VLOOKUP($AW61,$AD$3:$AJ$33,MATCH(BL$3,$AD$3:$AJ$3,0),FALSE)-$AY61/VLOOKUP(VLOOKUP($AW61,坦克个性化设定!$B$18:$E$48,4,FALSE)&amp;$AX61,坦克属性分配比例,MATCH("升星次数",坦克属性分配比例标头,0),FALSE)*VLOOKUP($AW61,$AM$3:$AS$33,MATCH(BL$3,$AM$3:$AS$3,0),FALSE),2)</f>
        <v>1.61</v>
      </c>
    </row>
    <row r="62" spans="15:64" x14ac:dyDescent="0.35">
      <c r="O62" s="426" t="str">
        <f t="shared" si="5"/>
        <v>M1A2初始</v>
      </c>
      <c r="P62" s="137">
        <f>IF(COUNTIF(Q$4:Q61,Q61)&gt;=$B$3,P61+1,P61)</f>
        <v>30</v>
      </c>
      <c r="Q62" s="131" t="str">
        <f t="shared" si="6"/>
        <v>M1A2</v>
      </c>
      <c r="R62" s="131" t="str">
        <f>VLOOKUP(Q62,坦克个性化设定!$B$18:$F$48,5,FALSE)</f>
        <v>重坦单发</v>
      </c>
      <c r="S62" s="177" t="str">
        <f>VLOOKUP(Q62,坦克个性化细分!$I$3:$J$33,2,FALSE)</f>
        <v>低</v>
      </c>
      <c r="T62" s="137" t="str">
        <f t="shared" si="12"/>
        <v>初始</v>
      </c>
      <c r="U62" s="178" t="str">
        <f>VLOOKUP(VLOOKUP(Q62,坦克个性化设定!$B$18:$F$48,4,FALSE)&amp;S62,坦克等级成长!$P$12:$U$24,MATCH(T62,坦克等级成长!$P$12:$U$12,0),FALSE)</f>
        <v>T5低5</v>
      </c>
      <c r="V62" s="96">
        <f ca="1">VLOOKUP($U62,INDIRECT($R62&amp;"_阶段属性"),MATCH(V$3,属性标头_阶段属性,0),FALSE)*VLOOKUP($Q62,坦克个性化设定!$B$84:$D$114,2,FALSE)</f>
        <v>2396.7126079481309</v>
      </c>
      <c r="W62" s="96">
        <f ca="1">VLOOKUP($U62,INDIRECT($R62&amp;"_阶段属性"),MATCH(W$3,属性标头_阶段属性,0),FALSE)*VLOOKUP($Q62,坦克个性化设定!$B$84:$D$114,3,FALSE)</f>
        <v>448.26025299702974</v>
      </c>
      <c r="X62" s="131">
        <f t="shared" ca="1" si="17"/>
        <v>754</v>
      </c>
      <c r="Y62" s="131">
        <f t="shared" ca="1" si="17"/>
        <v>603</v>
      </c>
      <c r="Z62" s="131">
        <f t="shared" ca="1" si="17"/>
        <v>1008</v>
      </c>
      <c r="AA62" s="131">
        <f t="shared" ca="1" si="17"/>
        <v>228</v>
      </c>
      <c r="AU62" s="364" t="str">
        <f t="shared" si="9"/>
        <v>AMX-1310</v>
      </c>
      <c r="AV62" s="183">
        <f>IF(AY61&gt;=VLOOKUP(VLOOKUP(AW61,坦克个性化设定!$B$18:$E$48,4,FALSE)&amp;AX61,坦克属性分配比例,MATCH("升星次数",坦克属性分配比例标头,0),FALSE),AV61+1,AV61)</f>
        <v>6</v>
      </c>
      <c r="AW62" s="131" t="str">
        <f t="shared" si="10"/>
        <v>AMX-13</v>
      </c>
      <c r="AX62" s="177" t="str">
        <f>VLOOKUP(AW62,坦克个性化细分!$I$3:$J$33,2,FALSE)</f>
        <v>高</v>
      </c>
      <c r="AY62" s="183">
        <f t="shared" si="1"/>
        <v>10</v>
      </c>
      <c r="AZ62" s="486">
        <f ca="1">ROUND(VLOOKUP($AW62&amp;"初始",$O$3:$AA$63,MATCH(AZ$3,$O$3:$AA$3,0),FALSE)+((VLOOKUP($AW62&amp;"最终",$O$3:$AA$63,MATCH(AZ$3,$O$3:$AA$3,0),FALSE)*坦克个性化细分!$C$9-VLOOKUP($AW62&amp;"初始",$O$3:$AA$63,MATCH(AZ$3,$O$3:$AA$3,0),FALSE))-(VLOOKUP($AW62&amp;"最终",$O$3:$AA$63,MATCH(AZ$3,$O$3:$AA$3,0),FALSE)-VLOOKUP($AW62&amp;"初始",$O$3:$AA$63,MATCH(AZ$3,$O$3:$AA$3,0),FALSE))*VLOOKUP(VLOOKUP($AW62,坦克个性化设定!$B$18:$E$48,4,FALSE)&amp;$AX62,坦克属性分配比例,MATCH("部件比例",坦克属性分配比例标头,0),FALSE))*$AY62/VLOOKUP(VLOOKUP($AW62,坦克个性化设定!$B$18:$E$48,4,FALSE)&amp;$AX62,坦克属性分配比例,MATCH("升星次数",坦克属性分配比例标头,0),FALSE),0)</f>
        <v>2265</v>
      </c>
      <c r="BA62" s="426">
        <f ca="1">ROUND(VLOOKUP($AW62&amp;"初始",$O$3:$AA$63,MATCH(BA$3,$O$3:$AA$3,0),FALSE)+(VLOOKUP($AW62&amp;"最终",$O$3:$AA$63,MATCH(BA$3,$O$3:$AA$3,0),FALSE)-VLOOKUP($AW62&amp;"初始",$O$3:$AA$63,MATCH(BA$3,$O$3:$AA$3,0),FALSE))*$AY62/VLOOKUP(VLOOKUP($AW62,坦克个性化设定!$B$18:$E$48,4,FALSE)&amp;$AX62,坦克属性分配比例,MATCH("升星次数",坦克属性分配比例标头,0),FALSE)*VLOOKUP(VLOOKUP($AW62,坦克个性化设定!$B$18:$E$48,4,FALSE)&amp;$AX62,坦克属性分配比例,MATCH("升星比例",坦克属性分配比例标头,0),FALSE),0)</f>
        <v>236</v>
      </c>
      <c r="BB62" s="486">
        <f ca="1">ROUND(VLOOKUP($AW62&amp;"初始",$O$3:$AA$63,MATCH(BB$3,$O$3:$AA$3,0),FALSE)+(VLOOKUP($AW62&amp;"最终",$O$3:$AA$63,MATCH(BB$3,$O$3:$AA$3,0),FALSE)-VLOOKUP($AW62&amp;"初始",$O$3:$AA$63,MATCH(BB$3,$O$3:$AA$3,0),FALSE))*$AY62/VLOOKUP(VLOOKUP($AW62,坦克个性化设定!$B$18:$E$48,4,FALSE)&amp;$AX62,坦克属性分配比例,MATCH("升星次数",坦克属性分配比例标头,0),FALSE)*(VLOOKUP(VLOOKUP($AW62,坦克个性化设定!$B$18:$E$48,4,FALSE)&amp;$AX62,坦克属性分配比例,MATCH("升星比例",坦克属性分配比例标头,0),FALSE)+VLOOKUP(VLOOKUP($AW62,坦克个性化设定!$B$18:$E$48,4,FALSE)&amp;$AX62,坦克属性分配比例,MATCH("部件比例",坦克属性分配比例标头,0),FALSE)*$C$3),0)</f>
        <v>920</v>
      </c>
      <c r="BC62" s="486">
        <f ca="1">ROUND(VLOOKUP($AW62&amp;"初始",$O$3:$AA$63,MATCH(BC$3,$O$3:$AA$3,0),FALSE)+(VLOOKUP($AW62&amp;"最终",$O$3:$AA$63,MATCH(BC$3,$O$3:$AA$3,0),FALSE)-VLOOKUP($AW62&amp;"初始",$O$3:$AA$63,MATCH(BC$3,$O$3:$AA$3,0),FALSE))*$AY62/VLOOKUP(VLOOKUP($AW62,坦克个性化设定!$B$18:$E$48,4,FALSE)&amp;$AX62,坦克属性分配比例,MATCH("升星次数",坦克属性分配比例标头,0),FALSE)*(VLOOKUP(VLOOKUP($AW62,坦克个性化设定!$B$18:$E$48,4,FALSE)&amp;$AX62,坦克属性分配比例,MATCH("升星比例",坦克属性分配比例标头,0),FALSE)+VLOOKUP(VLOOKUP($AW62,坦克个性化设定!$B$18:$E$48,4,FALSE)&amp;$AX62,坦克属性分配比例,MATCH("部件比例",坦克属性分配比例标头,0),FALSE)*$C$3),0)</f>
        <v>644</v>
      </c>
      <c r="BD62" s="426">
        <f ca="1">ROUND(VLOOKUP($AW62&amp;"初始",$O$3:$AA$63,MATCH(BD$3,$O$3:$AA$3,0),FALSE)+(VLOOKUP($AW62&amp;"最终",$O$3:$AA$63,MATCH(BD$3,$O$3:$AA$3,0),FALSE)-VLOOKUP($AW62&amp;"初始",$O$3:$AA$63,MATCH(BD$3,$O$3:$AA$3,0),FALSE))*$AY62/VLOOKUP(VLOOKUP($AW62,坦克个性化设定!$B$18:$E$48,4,FALSE)&amp;$AX62,坦克属性分配比例,MATCH("升星次数",坦克属性分配比例标头,0),FALSE)*VLOOKUP(VLOOKUP($AW62,坦克个性化设定!$B$18:$E$48,4,FALSE)&amp;$AX62,坦克属性分配比例,MATCH("升星比例",坦克属性分配比例标头,0),FALSE),0)</f>
        <v>689</v>
      </c>
      <c r="BE62" s="426">
        <f ca="1">ROUND(VLOOKUP($AW62&amp;"初始",$O$3:$AA$63,MATCH(BE$3,$O$3:$AA$3,0),FALSE)+(VLOOKUP($AW62&amp;"最终",$O$3:$AA$63,MATCH(BE$3,$O$3:$AA$3,0),FALSE)-VLOOKUP($AW62&amp;"初始",$O$3:$AA$63,MATCH(BE$3,$O$3:$AA$3,0),FALSE))*$AY62/VLOOKUP(VLOOKUP($AW62,坦克个性化设定!$B$18:$E$48,4,FALSE)&amp;$AX62,坦克属性分配比例,MATCH("升星次数",坦克属性分配比例标头,0),FALSE),0)</f>
        <v>221</v>
      </c>
      <c r="BF62" s="462">
        <f>ROUND(VLOOKUP($AW62,$AD$3:$AJ$33,MATCH(BF$3,$AD$3:$AJ$3,0),FALSE)+$AY62/VLOOKUP(VLOOKUP($AW62,坦克个性化设定!$B$18:$E$48,4,FALSE)&amp;$AX62,坦克属性分配比例,MATCH("升星次数",坦克属性分配比例标头,0),FALSE)*VLOOKUP($AW62,$AM$3:$AS$33,MATCH(BF$3,$AM$3:$AS$3,0),FALSE),1)</f>
        <v>46.7</v>
      </c>
      <c r="BG62" s="462">
        <f>ROUND(VLOOKUP($AW62,$AD$3:$AJ$33,MATCH(BG$3,$AD$3:$AJ$3,0),FALSE)+$AY62/VLOOKUP(VLOOKUP($AW62,坦克个性化设定!$B$18:$E$48,4,FALSE)&amp;$AX62,坦克属性分配比例,MATCH("升星次数",坦克属性分配比例标头,0),FALSE)*VLOOKUP($AW62,$AM$3:$AS$33,MATCH(BG$3,$AM$3:$AS$3,0),FALSE),1)</f>
        <v>69.7</v>
      </c>
      <c r="BH62" s="462">
        <f>ROUND(VLOOKUP($AW62,$AD$3:$AJ$33,MATCH(BH$3,$AD$3:$AJ$3,0),FALSE)+$AY62/VLOOKUP(VLOOKUP($AW62,坦克个性化设定!$B$18:$E$48,4,FALSE)&amp;$AX62,坦克属性分配比例,MATCH("升星次数",坦克属性分配比例标头,0),FALSE)*VLOOKUP($AW62,$AM$3:$AS$33,MATCH(BH$3,$AM$3:$AS$3,0),FALSE),1)</f>
        <v>17</v>
      </c>
      <c r="BI62" s="654">
        <f>IF(VLOOKUP(AW62,坦克个性化设定!$B$18:$BB$48,MATCH("装弹类型",坦克个性化设定!$B$18:$BB$18,0),FALSE)="弹夹换弹",0,ROUND(VLOOKUP($AW62,$AD$3:$AJ$33,MATCH("换弹时间",$AD$3:$AJ$3,0),FALSE)-$AY62/VLOOKUP(VLOOKUP($AW62,坦克个性化设定!$B$18:$E$48,4,FALSE)&amp;$AX62,坦克属性分配比例,MATCH("升星次数",坦克属性分配比例标头,0),FALSE)*VLOOKUP($AW62,$AM$3:$AS$33,MATCH("换弹时间",$AM$3:$AS$3,0),FALSE),2))</f>
        <v>2.4900000000000002</v>
      </c>
      <c r="BJ62" s="462">
        <f>IF(VLOOKUP(AW62,坦克个性化设定!$B$18:$BB$48,MATCH("装弹类型",坦克个性化设定!$B$18:$BB$18,0),FALSE)="弹夹换弹",ROUND(VLOOKUP($AW62,$AD$3:$AJ$33,MATCH("换弹时间",$AD$3:$AJ$3,0),FALSE)-$AY62/VLOOKUP(VLOOKUP($AW62,坦克个性化设定!$B$18:$E$48,4,FALSE)&amp;$AX62,坦克属性分配比例,MATCH("升星次数",坦克属性分配比例标头,0),FALSE)*VLOOKUP($AW62,$AM$3:$AS$33,MATCH("换弹时间",$AM$3:$AS$3,0),FALSE),1),0)</f>
        <v>0</v>
      </c>
      <c r="BK62" s="462">
        <f>ROUND(VLOOKUP($AW62,$AD$3:$AJ$33,MATCH(BK$3,$AD$3:$AJ$3,0),FALSE)+$AY62/VLOOKUP(VLOOKUP($AW62,坦克个性化设定!$B$18:$E$48,4,FALSE)&amp;$AX62,坦克属性分配比例,MATCH("升星次数",坦克属性分配比例标头,0),FALSE)*VLOOKUP($AW62,$AM$3:$AS$33,MATCH(BK$3,$AM$3:$AS$3,0),FALSE),2)</f>
        <v>0</v>
      </c>
      <c r="BL62" s="462">
        <f>ROUND(VLOOKUP($AW62,$AD$3:$AJ$33,MATCH(BL$3,$AD$3:$AJ$3,0),FALSE)-$AY62/VLOOKUP(VLOOKUP($AW62,坦克个性化设定!$B$18:$E$48,4,FALSE)&amp;$AX62,坦克属性分配比例,MATCH("升星次数",坦克属性分配比例标头,0),FALSE)*VLOOKUP($AW62,$AM$3:$AS$33,MATCH(BL$3,$AM$3:$AS$3,0),FALSE),2)</f>
        <v>1.59</v>
      </c>
    </row>
    <row r="63" spans="15:64" x14ac:dyDescent="0.35">
      <c r="O63" s="426" t="str">
        <f t="shared" si="5"/>
        <v>M1A2最终</v>
      </c>
      <c r="P63" s="137">
        <f>IF(COUNTIF(Q$4:Q62,Q62)&gt;=$B$3,P62+1,P62)</f>
        <v>30</v>
      </c>
      <c r="Q63" s="131" t="str">
        <f t="shared" si="6"/>
        <v>M1A2</v>
      </c>
      <c r="R63" s="131" t="str">
        <f>VLOOKUP(Q63,坦克个性化设定!$B$18:$F$48,5,FALSE)</f>
        <v>重坦单发</v>
      </c>
      <c r="S63" s="177" t="str">
        <f>VLOOKUP(Q63,坦克个性化细分!$I$3:$J$33,2,FALSE)</f>
        <v>低</v>
      </c>
      <c r="T63" s="137" t="str">
        <f t="shared" si="12"/>
        <v>最终</v>
      </c>
      <c r="U63" s="178" t="str">
        <f>VLOOKUP(VLOOKUP(Q63,坦克个性化设定!$B$18:$F$48,4,FALSE)&amp;S63,坦克等级成长!$P$12:$U$24,MATCH(T63,坦克等级成长!$P$12:$U$12,0),FALSE)</f>
        <v>T5低6</v>
      </c>
      <c r="V63" s="96">
        <f ca="1">VLOOKUP($U63,INDIRECT($R63&amp;"_阶段属性"),MATCH(V$3,属性标头_阶段属性,0),FALSE)*VLOOKUP($Q63,坦克个性化设定!$B$84:$D$114,2,FALSE)</f>
        <v>3595.594276369357</v>
      </c>
      <c r="W63" s="96">
        <f ca="1">VLOOKUP($U63,INDIRECT($R63&amp;"_阶段属性"),MATCH(W$3,属性标头_阶段属性,0),FALSE)*VLOOKUP($Q63,坦克个性化设定!$B$84:$D$114,3,FALSE)</f>
        <v>671.91451935435873</v>
      </c>
      <c r="X63" s="131">
        <f t="shared" ca="1" si="17"/>
        <v>1131</v>
      </c>
      <c r="Y63" s="131">
        <f t="shared" ca="1" si="17"/>
        <v>905</v>
      </c>
      <c r="Z63" s="131">
        <f t="shared" ca="1" si="17"/>
        <v>1512</v>
      </c>
      <c r="AA63" s="131">
        <f t="shared" ca="1" si="17"/>
        <v>342</v>
      </c>
      <c r="AU63" s="364" t="str">
        <f t="shared" si="9"/>
        <v>AMX-1311</v>
      </c>
      <c r="AV63" s="183">
        <f>IF(AY62&gt;=VLOOKUP(VLOOKUP(AW62,坦克个性化设定!$B$18:$E$48,4,FALSE)&amp;AX62,坦克属性分配比例,MATCH("升星次数",坦克属性分配比例标头,0),FALSE),AV62+1,AV62)</f>
        <v>6</v>
      </c>
      <c r="AW63" s="131" t="str">
        <f t="shared" si="10"/>
        <v>AMX-13</v>
      </c>
      <c r="AX63" s="177" t="str">
        <f>VLOOKUP(AW63,坦克个性化细分!$I$3:$J$33,2,FALSE)</f>
        <v>高</v>
      </c>
      <c r="AY63" s="183">
        <f t="shared" si="1"/>
        <v>11</v>
      </c>
      <c r="AZ63" s="486">
        <f ca="1">ROUND(VLOOKUP($AW63&amp;"初始",$O$3:$AA$63,MATCH(AZ$3,$O$3:$AA$3,0),FALSE)+((VLOOKUP($AW63&amp;"最终",$O$3:$AA$63,MATCH(AZ$3,$O$3:$AA$3,0),FALSE)*坦克个性化细分!$C$9-VLOOKUP($AW63&amp;"初始",$O$3:$AA$63,MATCH(AZ$3,$O$3:$AA$3,0),FALSE))-(VLOOKUP($AW63&amp;"最终",$O$3:$AA$63,MATCH(AZ$3,$O$3:$AA$3,0),FALSE)-VLOOKUP($AW63&amp;"初始",$O$3:$AA$63,MATCH(AZ$3,$O$3:$AA$3,0),FALSE))*VLOOKUP(VLOOKUP($AW63,坦克个性化设定!$B$18:$E$48,4,FALSE)&amp;$AX63,坦克属性分配比例,MATCH("部件比例",坦克属性分配比例标头,0),FALSE))*$AY63/VLOOKUP(VLOOKUP($AW63,坦克个性化设定!$B$18:$E$48,4,FALSE)&amp;$AX63,坦克属性分配比例,MATCH("升星次数",坦克属性分配比例标头,0),FALSE),0)</f>
        <v>2369</v>
      </c>
      <c r="BA63" s="426">
        <f ca="1">ROUND(VLOOKUP($AW63&amp;"初始",$O$3:$AA$63,MATCH(BA$3,$O$3:$AA$3,0),FALSE)+(VLOOKUP($AW63&amp;"最终",$O$3:$AA$63,MATCH(BA$3,$O$3:$AA$3,0),FALSE)-VLOOKUP($AW63&amp;"初始",$O$3:$AA$63,MATCH(BA$3,$O$3:$AA$3,0),FALSE))*$AY63/VLOOKUP(VLOOKUP($AW63,坦克个性化设定!$B$18:$E$48,4,FALSE)&amp;$AX63,坦克属性分配比例,MATCH("升星次数",坦克属性分配比例标头,0),FALSE)*VLOOKUP(VLOOKUP($AW63,坦克个性化设定!$B$18:$E$48,4,FALSE)&amp;$AX63,坦克属性分配比例,MATCH("升星比例",坦克属性分配比例标头,0),FALSE),0)</f>
        <v>243</v>
      </c>
      <c r="BB63" s="486">
        <f ca="1">ROUND(VLOOKUP($AW63&amp;"初始",$O$3:$AA$63,MATCH(BB$3,$O$3:$AA$3,0),FALSE)+(VLOOKUP($AW63&amp;"最终",$O$3:$AA$63,MATCH(BB$3,$O$3:$AA$3,0),FALSE)-VLOOKUP($AW63&amp;"初始",$O$3:$AA$63,MATCH(BB$3,$O$3:$AA$3,0),FALSE))*$AY63/VLOOKUP(VLOOKUP($AW63,坦克个性化设定!$B$18:$E$48,4,FALSE)&amp;$AX63,坦克属性分配比例,MATCH("升星次数",坦克属性分配比例标头,0),FALSE)*(VLOOKUP(VLOOKUP($AW63,坦克个性化设定!$B$18:$E$48,4,FALSE)&amp;$AX63,坦克属性分配比例,MATCH("升星比例",坦克属性分配比例标头,0),FALSE)+VLOOKUP(VLOOKUP($AW63,坦克个性化设定!$B$18:$E$48,4,FALSE)&amp;$AX63,坦克属性分配比例,MATCH("部件比例",坦克属性分配比例标头,0),FALSE)*$C$3),0)</f>
        <v>954</v>
      </c>
      <c r="BC63" s="486">
        <f ca="1">ROUND(VLOOKUP($AW63&amp;"初始",$O$3:$AA$63,MATCH(BC$3,$O$3:$AA$3,0),FALSE)+(VLOOKUP($AW63&amp;"最终",$O$3:$AA$63,MATCH(BC$3,$O$3:$AA$3,0),FALSE)-VLOOKUP($AW63&amp;"初始",$O$3:$AA$63,MATCH(BC$3,$O$3:$AA$3,0),FALSE))*$AY63/VLOOKUP(VLOOKUP($AW63,坦克个性化设定!$B$18:$E$48,4,FALSE)&amp;$AX63,坦克属性分配比例,MATCH("升星次数",坦克属性分配比例标头,0),FALSE)*(VLOOKUP(VLOOKUP($AW63,坦克个性化设定!$B$18:$E$48,4,FALSE)&amp;$AX63,坦克属性分配比例,MATCH("升星比例",坦克属性分配比例标头,0),FALSE)+VLOOKUP(VLOOKUP($AW63,坦克个性化设定!$B$18:$E$48,4,FALSE)&amp;$AX63,坦克属性分配比例,MATCH("部件比例",坦克属性分配比例标头,0),FALSE)*$C$3),0)</f>
        <v>668</v>
      </c>
      <c r="BD63" s="426">
        <f ca="1">ROUND(VLOOKUP($AW63&amp;"初始",$O$3:$AA$63,MATCH(BD$3,$O$3:$AA$3,0),FALSE)+(VLOOKUP($AW63&amp;"最终",$O$3:$AA$63,MATCH(BD$3,$O$3:$AA$3,0),FALSE)-VLOOKUP($AW63&amp;"初始",$O$3:$AA$63,MATCH(BD$3,$O$3:$AA$3,0),FALSE))*$AY63/VLOOKUP(VLOOKUP($AW63,坦克个性化设定!$B$18:$E$48,4,FALSE)&amp;$AX63,坦克属性分配比例,MATCH("升星次数",坦克属性分配比例标头,0),FALSE)*VLOOKUP(VLOOKUP($AW63,坦克个性化设定!$B$18:$E$48,4,FALSE)&amp;$AX63,坦克属性分配比例,MATCH("升星比例",坦克属性分配比例标头,0),FALSE),0)</f>
        <v>709</v>
      </c>
      <c r="BE63" s="426">
        <f ca="1">ROUND(VLOOKUP($AW63&amp;"初始",$O$3:$AA$63,MATCH(BE$3,$O$3:$AA$3,0),FALSE)+(VLOOKUP($AW63&amp;"最终",$O$3:$AA$63,MATCH(BE$3,$O$3:$AA$3,0),FALSE)-VLOOKUP($AW63&amp;"初始",$O$3:$AA$63,MATCH(BE$3,$O$3:$AA$3,0),FALSE))*$AY63/VLOOKUP(VLOOKUP($AW63,坦克个性化设定!$B$18:$E$48,4,FALSE)&amp;$AX63,坦克属性分配比例,MATCH("升星次数",坦克属性分配比例标头,0),FALSE),0)</f>
        <v>231</v>
      </c>
      <c r="BF63" s="462">
        <f>ROUND(VLOOKUP($AW63,$AD$3:$AJ$33,MATCH(BF$3,$AD$3:$AJ$3,0),FALSE)+$AY63/VLOOKUP(VLOOKUP($AW63,坦克个性化设定!$B$18:$E$48,4,FALSE)&amp;$AX63,坦克属性分配比例,MATCH("升星次数",坦克属性分配比例标头,0),FALSE)*VLOOKUP($AW63,$AM$3:$AS$33,MATCH(BF$3,$AM$3:$AS$3,0),FALSE),1)</f>
        <v>47.4</v>
      </c>
      <c r="BG63" s="462">
        <f>ROUND(VLOOKUP($AW63,$AD$3:$AJ$33,MATCH(BG$3,$AD$3:$AJ$3,0),FALSE)+$AY63/VLOOKUP(VLOOKUP($AW63,坦克个性化设定!$B$18:$E$48,4,FALSE)&amp;$AX63,坦克属性分配比例,MATCH("升星次数",坦克属性分配比例标头,0),FALSE)*VLOOKUP($AW63,$AM$3:$AS$33,MATCH(BG$3,$AM$3:$AS$3,0),FALSE),1)</f>
        <v>70.7</v>
      </c>
      <c r="BH63" s="462">
        <f>ROUND(VLOOKUP($AW63,$AD$3:$AJ$33,MATCH(BH$3,$AD$3:$AJ$3,0),FALSE)+$AY63/VLOOKUP(VLOOKUP($AW63,坦克个性化设定!$B$18:$E$48,4,FALSE)&amp;$AX63,坦克属性分配比例,MATCH("升星次数",坦克属性分配比例标头,0),FALSE)*VLOOKUP($AW63,$AM$3:$AS$33,MATCH(BH$3,$AM$3:$AS$3,0),FALSE),1)</f>
        <v>17.3</v>
      </c>
      <c r="BI63" s="654">
        <f>IF(VLOOKUP(AW63,坦克个性化设定!$B$18:$BB$48,MATCH("装弹类型",坦克个性化设定!$B$18:$BB$18,0),FALSE)="弹夹换弹",0,ROUND(VLOOKUP($AW63,$AD$3:$AJ$33,MATCH("换弹时间",$AD$3:$AJ$3,0),FALSE)-$AY63/VLOOKUP(VLOOKUP($AW63,坦克个性化设定!$B$18:$E$48,4,FALSE)&amp;$AX63,坦克属性分配比例,MATCH("升星次数",坦克属性分配比例标头,0),FALSE)*VLOOKUP($AW63,$AM$3:$AS$33,MATCH("换弹时间",$AM$3:$AS$3,0),FALSE),2))</f>
        <v>2.44</v>
      </c>
      <c r="BJ63" s="462">
        <f>IF(VLOOKUP(AW63,坦克个性化设定!$B$18:$BB$48,MATCH("装弹类型",坦克个性化设定!$B$18:$BB$18,0),FALSE)="弹夹换弹",ROUND(VLOOKUP($AW63,$AD$3:$AJ$33,MATCH("换弹时间",$AD$3:$AJ$3,0),FALSE)-$AY63/VLOOKUP(VLOOKUP($AW63,坦克个性化设定!$B$18:$E$48,4,FALSE)&amp;$AX63,坦克属性分配比例,MATCH("升星次数",坦克属性分配比例标头,0),FALSE)*VLOOKUP($AW63,$AM$3:$AS$33,MATCH("换弹时间",$AM$3:$AS$3,0),FALSE),1),0)</f>
        <v>0</v>
      </c>
      <c r="BK63" s="462">
        <f>ROUND(VLOOKUP($AW63,$AD$3:$AJ$33,MATCH(BK$3,$AD$3:$AJ$3,0),FALSE)+$AY63/VLOOKUP(VLOOKUP($AW63,坦克个性化设定!$B$18:$E$48,4,FALSE)&amp;$AX63,坦克属性分配比例,MATCH("升星次数",坦克属性分配比例标头,0),FALSE)*VLOOKUP($AW63,$AM$3:$AS$33,MATCH(BK$3,$AM$3:$AS$3,0),FALSE),2)</f>
        <v>0</v>
      </c>
      <c r="BL63" s="462">
        <f>ROUND(VLOOKUP($AW63,$AD$3:$AJ$33,MATCH(BL$3,$AD$3:$AJ$3,0),FALSE)-$AY63/VLOOKUP(VLOOKUP($AW63,坦克个性化设定!$B$18:$E$48,4,FALSE)&amp;$AX63,坦克属性分配比例,MATCH("升星次数",坦克属性分配比例标头,0),FALSE)*VLOOKUP($AW63,$AM$3:$AS$33,MATCH(BL$3,$AM$3:$AS$3,0),FALSE),2)</f>
        <v>1.56</v>
      </c>
    </row>
    <row r="64" spans="15:64" x14ac:dyDescent="0.35">
      <c r="AU64" s="364" t="str">
        <f t="shared" si="9"/>
        <v>AMX-1312</v>
      </c>
      <c r="AV64" s="183">
        <f>IF(AY63&gt;=VLOOKUP(VLOOKUP(AW63,坦克个性化设定!$B$18:$E$48,4,FALSE)&amp;AX63,坦克属性分配比例,MATCH("升星次数",坦克属性分配比例标头,0),FALSE),AV63+1,AV63)</f>
        <v>6</v>
      </c>
      <c r="AW64" s="131" t="str">
        <f t="shared" si="10"/>
        <v>AMX-13</v>
      </c>
      <c r="AX64" s="177" t="str">
        <f>VLOOKUP(AW64,坦克个性化细分!$I$3:$J$33,2,FALSE)</f>
        <v>高</v>
      </c>
      <c r="AY64" s="183">
        <f t="shared" si="1"/>
        <v>12</v>
      </c>
      <c r="AZ64" s="486">
        <f ca="1">ROUND(VLOOKUP($AW64&amp;"初始",$O$3:$AA$63,MATCH(AZ$3,$O$3:$AA$3,0),FALSE)+((VLOOKUP($AW64&amp;"最终",$O$3:$AA$63,MATCH(AZ$3,$O$3:$AA$3,0),FALSE)*坦克个性化细分!$C$9-VLOOKUP($AW64&amp;"初始",$O$3:$AA$63,MATCH(AZ$3,$O$3:$AA$3,0),FALSE))-(VLOOKUP($AW64&amp;"最终",$O$3:$AA$63,MATCH(AZ$3,$O$3:$AA$3,0),FALSE)-VLOOKUP($AW64&amp;"初始",$O$3:$AA$63,MATCH(AZ$3,$O$3:$AA$3,0),FALSE))*VLOOKUP(VLOOKUP($AW64,坦克个性化设定!$B$18:$E$48,4,FALSE)&amp;$AX64,坦克属性分配比例,MATCH("部件比例",坦克属性分配比例标头,0),FALSE))*$AY64/VLOOKUP(VLOOKUP($AW64,坦克个性化设定!$B$18:$E$48,4,FALSE)&amp;$AX64,坦克属性分配比例,MATCH("升星次数",坦克属性分配比例标头,0),FALSE),0)</f>
        <v>2472</v>
      </c>
      <c r="BA64" s="426">
        <f ca="1">ROUND(VLOOKUP($AW64&amp;"初始",$O$3:$AA$63,MATCH(BA$3,$O$3:$AA$3,0),FALSE)+(VLOOKUP($AW64&amp;"最终",$O$3:$AA$63,MATCH(BA$3,$O$3:$AA$3,0),FALSE)-VLOOKUP($AW64&amp;"初始",$O$3:$AA$63,MATCH(BA$3,$O$3:$AA$3,0),FALSE))*$AY64/VLOOKUP(VLOOKUP($AW64,坦克个性化设定!$B$18:$E$48,4,FALSE)&amp;$AX64,坦克属性分配比例,MATCH("升星次数",坦克属性分配比例标头,0),FALSE)*VLOOKUP(VLOOKUP($AW64,坦克个性化设定!$B$18:$E$48,4,FALSE)&amp;$AX64,坦克属性分配比例,MATCH("升星比例",坦克属性分配比例标头,0),FALSE),0)</f>
        <v>250</v>
      </c>
      <c r="BB64" s="486">
        <f ca="1">ROUND(VLOOKUP($AW64&amp;"初始",$O$3:$AA$63,MATCH(BB$3,$O$3:$AA$3,0),FALSE)+(VLOOKUP($AW64&amp;"最终",$O$3:$AA$63,MATCH(BB$3,$O$3:$AA$3,0),FALSE)-VLOOKUP($AW64&amp;"初始",$O$3:$AA$63,MATCH(BB$3,$O$3:$AA$3,0),FALSE))*$AY64/VLOOKUP(VLOOKUP($AW64,坦克个性化设定!$B$18:$E$48,4,FALSE)&amp;$AX64,坦克属性分配比例,MATCH("升星次数",坦克属性分配比例标头,0),FALSE)*(VLOOKUP(VLOOKUP($AW64,坦克个性化设定!$B$18:$E$48,4,FALSE)&amp;$AX64,坦克属性分配比例,MATCH("升星比例",坦克属性分配比例标头,0),FALSE)+VLOOKUP(VLOOKUP($AW64,坦克个性化设定!$B$18:$E$48,4,FALSE)&amp;$AX64,坦克属性分配比例,MATCH("部件比例",坦克属性分配比例标头,0),FALSE)*$C$3),0)</f>
        <v>988</v>
      </c>
      <c r="BC64" s="486">
        <f ca="1">ROUND(VLOOKUP($AW64&amp;"初始",$O$3:$AA$63,MATCH(BC$3,$O$3:$AA$3,0),FALSE)+(VLOOKUP($AW64&amp;"最终",$O$3:$AA$63,MATCH(BC$3,$O$3:$AA$3,0),FALSE)-VLOOKUP($AW64&amp;"初始",$O$3:$AA$63,MATCH(BC$3,$O$3:$AA$3,0),FALSE))*$AY64/VLOOKUP(VLOOKUP($AW64,坦克个性化设定!$B$18:$E$48,4,FALSE)&amp;$AX64,坦克属性分配比例,MATCH("升星次数",坦克属性分配比例标头,0),FALSE)*(VLOOKUP(VLOOKUP($AW64,坦克个性化设定!$B$18:$E$48,4,FALSE)&amp;$AX64,坦克属性分配比例,MATCH("升星比例",坦克属性分配比例标头,0),FALSE)+VLOOKUP(VLOOKUP($AW64,坦克个性化设定!$B$18:$E$48,4,FALSE)&amp;$AX64,坦克属性分配比例,MATCH("部件比例",坦克属性分配比例标头,0),FALSE)*$C$3),0)</f>
        <v>692</v>
      </c>
      <c r="BD64" s="426">
        <f ca="1">ROUND(VLOOKUP($AW64&amp;"初始",$O$3:$AA$63,MATCH(BD$3,$O$3:$AA$3,0),FALSE)+(VLOOKUP($AW64&amp;"最终",$O$3:$AA$63,MATCH(BD$3,$O$3:$AA$3,0),FALSE)-VLOOKUP($AW64&amp;"初始",$O$3:$AA$63,MATCH(BD$3,$O$3:$AA$3,0),FALSE))*$AY64/VLOOKUP(VLOOKUP($AW64,坦克个性化设定!$B$18:$E$48,4,FALSE)&amp;$AX64,坦克属性分配比例,MATCH("升星次数",坦克属性分配比例标头,0),FALSE)*VLOOKUP(VLOOKUP($AW64,坦克个性化设定!$B$18:$E$48,4,FALSE)&amp;$AX64,坦克属性分配比例,MATCH("升星比例",坦克属性分配比例标头,0),FALSE),0)</f>
        <v>729</v>
      </c>
      <c r="BE64" s="426">
        <f ca="1">ROUND(VLOOKUP($AW64&amp;"初始",$O$3:$AA$63,MATCH(BE$3,$O$3:$AA$3,0),FALSE)+(VLOOKUP($AW64&amp;"最终",$O$3:$AA$63,MATCH(BE$3,$O$3:$AA$3,0),FALSE)-VLOOKUP($AW64&amp;"初始",$O$3:$AA$63,MATCH(BE$3,$O$3:$AA$3,0),FALSE))*$AY64/VLOOKUP(VLOOKUP($AW64,坦克个性化设定!$B$18:$E$48,4,FALSE)&amp;$AX64,坦克属性分配比例,MATCH("升星次数",坦克属性分配比例标头,0),FALSE),0)</f>
        <v>240</v>
      </c>
      <c r="BF64" s="462">
        <f>ROUND(VLOOKUP($AW64,$AD$3:$AJ$33,MATCH(BF$3,$AD$3:$AJ$3,0),FALSE)+$AY64/VLOOKUP(VLOOKUP($AW64,坦克个性化设定!$B$18:$E$48,4,FALSE)&amp;$AX64,坦克属性分配比例,MATCH("升星次数",坦克属性分配比例标头,0),FALSE)*VLOOKUP($AW64,$AM$3:$AS$33,MATCH(BF$3,$AM$3:$AS$3,0),FALSE),1)</f>
        <v>48.1</v>
      </c>
      <c r="BG64" s="462">
        <f>ROUND(VLOOKUP($AW64,$AD$3:$AJ$33,MATCH(BG$3,$AD$3:$AJ$3,0),FALSE)+$AY64/VLOOKUP(VLOOKUP($AW64,坦克个性化设定!$B$18:$E$48,4,FALSE)&amp;$AX64,坦克属性分配比例,MATCH("升星次数",坦克属性分配比例标头,0),FALSE)*VLOOKUP($AW64,$AM$3:$AS$33,MATCH(BG$3,$AM$3:$AS$3,0),FALSE),1)</f>
        <v>71.8</v>
      </c>
      <c r="BH64" s="462">
        <f>ROUND(VLOOKUP($AW64,$AD$3:$AJ$33,MATCH(BH$3,$AD$3:$AJ$3,0),FALSE)+$AY64/VLOOKUP(VLOOKUP($AW64,坦克个性化设定!$B$18:$E$48,4,FALSE)&amp;$AX64,坦克属性分配比例,MATCH("升星次数",坦克属性分配比例标头,0),FALSE)*VLOOKUP($AW64,$AM$3:$AS$33,MATCH(BH$3,$AM$3:$AS$3,0),FALSE),1)</f>
        <v>17.7</v>
      </c>
      <c r="BI64" s="654">
        <f>IF(VLOOKUP(AW64,坦克个性化设定!$B$18:$BB$48,MATCH("装弹类型",坦克个性化设定!$B$18:$BB$18,0),FALSE)="弹夹换弹",0,ROUND(VLOOKUP($AW64,$AD$3:$AJ$33,MATCH("换弹时间",$AD$3:$AJ$3,0),FALSE)-$AY64/VLOOKUP(VLOOKUP($AW64,坦克个性化设定!$B$18:$E$48,4,FALSE)&amp;$AX64,坦克属性分配比例,MATCH("升星次数",坦克属性分配比例标头,0),FALSE)*VLOOKUP($AW64,$AM$3:$AS$33,MATCH("换弹时间",$AM$3:$AS$3,0),FALSE),2))</f>
        <v>2.38</v>
      </c>
      <c r="BJ64" s="462">
        <f>IF(VLOOKUP(AW64,坦克个性化设定!$B$18:$BB$48,MATCH("装弹类型",坦克个性化设定!$B$18:$BB$18,0),FALSE)="弹夹换弹",ROUND(VLOOKUP($AW64,$AD$3:$AJ$33,MATCH("换弹时间",$AD$3:$AJ$3,0),FALSE)-$AY64/VLOOKUP(VLOOKUP($AW64,坦克个性化设定!$B$18:$E$48,4,FALSE)&amp;$AX64,坦克属性分配比例,MATCH("升星次数",坦克属性分配比例标头,0),FALSE)*VLOOKUP($AW64,$AM$3:$AS$33,MATCH("换弹时间",$AM$3:$AS$3,0),FALSE),1),0)</f>
        <v>0</v>
      </c>
      <c r="BK64" s="462">
        <f>ROUND(VLOOKUP($AW64,$AD$3:$AJ$33,MATCH(BK$3,$AD$3:$AJ$3,0),FALSE)+$AY64/VLOOKUP(VLOOKUP($AW64,坦克个性化设定!$B$18:$E$48,4,FALSE)&amp;$AX64,坦克属性分配比例,MATCH("升星次数",坦克属性分配比例标头,0),FALSE)*VLOOKUP($AW64,$AM$3:$AS$33,MATCH(BK$3,$AM$3:$AS$3,0),FALSE),2)</f>
        <v>0</v>
      </c>
      <c r="BL64" s="462">
        <f>ROUND(VLOOKUP($AW64,$AD$3:$AJ$33,MATCH(BL$3,$AD$3:$AJ$3,0),FALSE)-$AY64/VLOOKUP(VLOOKUP($AW64,坦克个性化设定!$B$18:$E$48,4,FALSE)&amp;$AX64,坦克属性分配比例,MATCH("升星次数",坦克属性分配比例标头,0),FALSE)*VLOOKUP($AW64,$AM$3:$AS$33,MATCH(BL$3,$AM$3:$AS$3,0),FALSE),2)</f>
        <v>1.54</v>
      </c>
    </row>
    <row r="65" spans="47:64" x14ac:dyDescent="0.35">
      <c r="AU65" s="364" t="str">
        <f t="shared" si="9"/>
        <v>AMX-1313</v>
      </c>
      <c r="AV65" s="183">
        <f>IF(AY64&gt;=VLOOKUP(VLOOKUP(AW64,坦克个性化设定!$B$18:$E$48,4,FALSE)&amp;AX64,坦克属性分配比例,MATCH("升星次数",坦克属性分配比例标头,0),FALSE),AV64+1,AV64)</f>
        <v>6</v>
      </c>
      <c r="AW65" s="131" t="str">
        <f t="shared" si="10"/>
        <v>AMX-13</v>
      </c>
      <c r="AX65" s="177" t="str">
        <f>VLOOKUP(AW65,坦克个性化细分!$I$3:$J$33,2,FALSE)</f>
        <v>高</v>
      </c>
      <c r="AY65" s="183">
        <f t="shared" si="1"/>
        <v>13</v>
      </c>
      <c r="AZ65" s="486">
        <f ca="1">ROUND(VLOOKUP($AW65&amp;"初始",$O$3:$AA$63,MATCH(AZ$3,$O$3:$AA$3,0),FALSE)+((VLOOKUP($AW65&amp;"最终",$O$3:$AA$63,MATCH(AZ$3,$O$3:$AA$3,0),FALSE)*坦克个性化细分!$C$9-VLOOKUP($AW65&amp;"初始",$O$3:$AA$63,MATCH(AZ$3,$O$3:$AA$3,0),FALSE))-(VLOOKUP($AW65&amp;"最终",$O$3:$AA$63,MATCH(AZ$3,$O$3:$AA$3,0),FALSE)-VLOOKUP($AW65&amp;"初始",$O$3:$AA$63,MATCH(AZ$3,$O$3:$AA$3,0),FALSE))*VLOOKUP(VLOOKUP($AW65,坦克个性化设定!$B$18:$E$48,4,FALSE)&amp;$AX65,坦克属性分配比例,MATCH("部件比例",坦克属性分配比例标头,0),FALSE))*$AY65/VLOOKUP(VLOOKUP($AW65,坦克个性化设定!$B$18:$E$48,4,FALSE)&amp;$AX65,坦克属性分配比例,MATCH("升星次数",坦克属性分配比例标头,0),FALSE),0)</f>
        <v>2576</v>
      </c>
      <c r="BA65" s="426">
        <f ca="1">ROUND(VLOOKUP($AW65&amp;"初始",$O$3:$AA$63,MATCH(BA$3,$O$3:$AA$3,0),FALSE)+(VLOOKUP($AW65&amp;"最终",$O$3:$AA$63,MATCH(BA$3,$O$3:$AA$3,0),FALSE)-VLOOKUP($AW65&amp;"初始",$O$3:$AA$63,MATCH(BA$3,$O$3:$AA$3,0),FALSE))*$AY65/VLOOKUP(VLOOKUP($AW65,坦克个性化设定!$B$18:$E$48,4,FALSE)&amp;$AX65,坦克属性分配比例,MATCH("升星次数",坦克属性分配比例标头,0),FALSE)*VLOOKUP(VLOOKUP($AW65,坦克个性化设定!$B$18:$E$48,4,FALSE)&amp;$AX65,坦克属性分配比例,MATCH("升星比例",坦克属性分配比例标头,0),FALSE),0)</f>
        <v>257</v>
      </c>
      <c r="BB65" s="486">
        <f ca="1">ROUND(VLOOKUP($AW65&amp;"初始",$O$3:$AA$63,MATCH(BB$3,$O$3:$AA$3,0),FALSE)+(VLOOKUP($AW65&amp;"最终",$O$3:$AA$63,MATCH(BB$3,$O$3:$AA$3,0),FALSE)-VLOOKUP($AW65&amp;"初始",$O$3:$AA$63,MATCH(BB$3,$O$3:$AA$3,0),FALSE))*$AY65/VLOOKUP(VLOOKUP($AW65,坦克个性化设定!$B$18:$E$48,4,FALSE)&amp;$AX65,坦克属性分配比例,MATCH("升星次数",坦克属性分配比例标头,0),FALSE)*(VLOOKUP(VLOOKUP($AW65,坦克个性化设定!$B$18:$E$48,4,FALSE)&amp;$AX65,坦克属性分配比例,MATCH("升星比例",坦克属性分配比例标头,0),FALSE)+VLOOKUP(VLOOKUP($AW65,坦克个性化设定!$B$18:$E$48,4,FALSE)&amp;$AX65,坦克属性分配比例,MATCH("部件比例",坦克属性分配比例标头,0),FALSE)*$C$3),0)</f>
        <v>1022</v>
      </c>
      <c r="BC65" s="486">
        <f ca="1">ROUND(VLOOKUP($AW65&amp;"初始",$O$3:$AA$63,MATCH(BC$3,$O$3:$AA$3,0),FALSE)+(VLOOKUP($AW65&amp;"最终",$O$3:$AA$63,MATCH(BC$3,$O$3:$AA$3,0),FALSE)-VLOOKUP($AW65&amp;"初始",$O$3:$AA$63,MATCH(BC$3,$O$3:$AA$3,0),FALSE))*$AY65/VLOOKUP(VLOOKUP($AW65,坦克个性化设定!$B$18:$E$48,4,FALSE)&amp;$AX65,坦克属性分配比例,MATCH("升星次数",坦克属性分配比例标头,0),FALSE)*(VLOOKUP(VLOOKUP($AW65,坦克个性化设定!$B$18:$E$48,4,FALSE)&amp;$AX65,坦克属性分配比例,MATCH("升星比例",坦克属性分配比例标头,0),FALSE)+VLOOKUP(VLOOKUP($AW65,坦克个性化设定!$B$18:$E$48,4,FALSE)&amp;$AX65,坦克属性分配比例,MATCH("部件比例",坦克属性分配比例标头,0),FALSE)*$C$3),0)</f>
        <v>716</v>
      </c>
      <c r="BD65" s="426">
        <f ca="1">ROUND(VLOOKUP($AW65&amp;"初始",$O$3:$AA$63,MATCH(BD$3,$O$3:$AA$3,0),FALSE)+(VLOOKUP($AW65&amp;"最终",$O$3:$AA$63,MATCH(BD$3,$O$3:$AA$3,0),FALSE)-VLOOKUP($AW65&amp;"初始",$O$3:$AA$63,MATCH(BD$3,$O$3:$AA$3,0),FALSE))*$AY65/VLOOKUP(VLOOKUP($AW65,坦克个性化设定!$B$18:$E$48,4,FALSE)&amp;$AX65,坦克属性分配比例,MATCH("升星次数",坦克属性分配比例标头,0),FALSE)*VLOOKUP(VLOOKUP($AW65,坦克个性化设定!$B$18:$E$48,4,FALSE)&amp;$AX65,坦克属性分配比例,MATCH("升星比例",坦克属性分配比例标头,0),FALSE),0)</f>
        <v>749</v>
      </c>
      <c r="BE65" s="426">
        <f ca="1">ROUND(VLOOKUP($AW65&amp;"初始",$O$3:$AA$63,MATCH(BE$3,$O$3:$AA$3,0),FALSE)+(VLOOKUP($AW65&amp;"最终",$O$3:$AA$63,MATCH(BE$3,$O$3:$AA$3,0),FALSE)-VLOOKUP($AW65&amp;"初始",$O$3:$AA$63,MATCH(BE$3,$O$3:$AA$3,0),FALSE))*$AY65/VLOOKUP(VLOOKUP($AW65,坦克个性化设定!$B$18:$E$48,4,FALSE)&amp;$AX65,坦克属性分配比例,MATCH("升星次数",坦克属性分配比例标头,0),FALSE),0)</f>
        <v>249</v>
      </c>
      <c r="BF65" s="462">
        <f>ROUND(VLOOKUP($AW65,$AD$3:$AJ$33,MATCH(BF$3,$AD$3:$AJ$3,0),FALSE)+$AY65/VLOOKUP(VLOOKUP($AW65,坦克个性化设定!$B$18:$E$48,4,FALSE)&amp;$AX65,坦克属性分配比例,MATCH("升星次数",坦克属性分配比例标头,0),FALSE)*VLOOKUP($AW65,$AM$3:$AS$33,MATCH(BF$3,$AM$3:$AS$3,0),FALSE),1)</f>
        <v>48.8</v>
      </c>
      <c r="BG65" s="462">
        <f>ROUND(VLOOKUP($AW65,$AD$3:$AJ$33,MATCH(BG$3,$AD$3:$AJ$3,0),FALSE)+$AY65/VLOOKUP(VLOOKUP($AW65,坦克个性化设定!$B$18:$E$48,4,FALSE)&amp;$AX65,坦克属性分配比例,MATCH("升星次数",坦克属性分配比例标头,0),FALSE)*VLOOKUP($AW65,$AM$3:$AS$33,MATCH(BG$3,$AM$3:$AS$3,0),FALSE),1)</f>
        <v>72.8</v>
      </c>
      <c r="BH65" s="462">
        <f>ROUND(VLOOKUP($AW65,$AD$3:$AJ$33,MATCH(BH$3,$AD$3:$AJ$3,0),FALSE)+$AY65/VLOOKUP(VLOOKUP($AW65,坦克个性化设定!$B$18:$E$48,4,FALSE)&amp;$AX65,坦克属性分配比例,MATCH("升星次数",坦克属性分配比例标头,0),FALSE)*VLOOKUP($AW65,$AM$3:$AS$33,MATCH(BH$3,$AM$3:$AS$3,0),FALSE),1)</f>
        <v>18</v>
      </c>
      <c r="BI65" s="654">
        <f>IF(VLOOKUP(AW65,坦克个性化设定!$B$18:$BB$48,MATCH("装弹类型",坦克个性化设定!$B$18:$BB$18,0),FALSE)="弹夹换弹",0,ROUND(VLOOKUP($AW65,$AD$3:$AJ$33,MATCH("换弹时间",$AD$3:$AJ$3,0),FALSE)-$AY65/VLOOKUP(VLOOKUP($AW65,坦克个性化设定!$B$18:$E$48,4,FALSE)&amp;$AX65,坦克属性分配比例,MATCH("升星次数",坦克属性分配比例标头,0),FALSE)*VLOOKUP($AW65,$AM$3:$AS$33,MATCH("换弹时间",$AM$3:$AS$3,0),FALSE),2))</f>
        <v>2.33</v>
      </c>
      <c r="BJ65" s="462">
        <f>IF(VLOOKUP(AW65,坦克个性化设定!$B$18:$BB$48,MATCH("装弹类型",坦克个性化设定!$B$18:$BB$18,0),FALSE)="弹夹换弹",ROUND(VLOOKUP($AW65,$AD$3:$AJ$33,MATCH("换弹时间",$AD$3:$AJ$3,0),FALSE)-$AY65/VLOOKUP(VLOOKUP($AW65,坦克个性化设定!$B$18:$E$48,4,FALSE)&amp;$AX65,坦克属性分配比例,MATCH("升星次数",坦克属性分配比例标头,0),FALSE)*VLOOKUP($AW65,$AM$3:$AS$33,MATCH("换弹时间",$AM$3:$AS$3,0),FALSE),1),0)</f>
        <v>0</v>
      </c>
      <c r="BK65" s="462">
        <f>ROUND(VLOOKUP($AW65,$AD$3:$AJ$33,MATCH(BK$3,$AD$3:$AJ$3,0),FALSE)+$AY65/VLOOKUP(VLOOKUP($AW65,坦克个性化设定!$B$18:$E$48,4,FALSE)&amp;$AX65,坦克属性分配比例,MATCH("升星次数",坦克属性分配比例标头,0),FALSE)*VLOOKUP($AW65,$AM$3:$AS$33,MATCH(BK$3,$AM$3:$AS$3,0),FALSE),2)</f>
        <v>0</v>
      </c>
      <c r="BL65" s="462">
        <f>ROUND(VLOOKUP($AW65,$AD$3:$AJ$33,MATCH(BL$3,$AD$3:$AJ$3,0),FALSE)-$AY65/VLOOKUP(VLOOKUP($AW65,坦克个性化设定!$B$18:$E$48,4,FALSE)&amp;$AX65,坦克属性分配比例,MATCH("升星次数",坦克属性分配比例标头,0),FALSE)*VLOOKUP($AW65,$AM$3:$AS$33,MATCH(BL$3,$AM$3:$AS$3,0),FALSE),2)</f>
        <v>1.52</v>
      </c>
    </row>
    <row r="66" spans="47:64" x14ac:dyDescent="0.35">
      <c r="AU66" s="364" t="str">
        <f t="shared" si="9"/>
        <v>AMX-1314</v>
      </c>
      <c r="AV66" s="183">
        <f>IF(AY65&gt;=VLOOKUP(VLOOKUP(AW65,坦克个性化设定!$B$18:$E$48,4,FALSE)&amp;AX65,坦克属性分配比例,MATCH("升星次数",坦克属性分配比例标头,0),FALSE),AV65+1,AV65)</f>
        <v>6</v>
      </c>
      <c r="AW66" s="131" t="str">
        <f t="shared" si="10"/>
        <v>AMX-13</v>
      </c>
      <c r="AX66" s="177" t="str">
        <f>VLOOKUP(AW66,坦克个性化细分!$I$3:$J$33,2,FALSE)</f>
        <v>高</v>
      </c>
      <c r="AY66" s="183">
        <f t="shared" si="1"/>
        <v>14</v>
      </c>
      <c r="AZ66" s="486">
        <f ca="1">ROUND(VLOOKUP($AW66&amp;"初始",$O$3:$AA$63,MATCH(AZ$3,$O$3:$AA$3,0),FALSE)+((VLOOKUP($AW66&amp;"最终",$O$3:$AA$63,MATCH(AZ$3,$O$3:$AA$3,0),FALSE)*坦克个性化细分!$C$9-VLOOKUP($AW66&amp;"初始",$O$3:$AA$63,MATCH(AZ$3,$O$3:$AA$3,0),FALSE))-(VLOOKUP($AW66&amp;"最终",$O$3:$AA$63,MATCH(AZ$3,$O$3:$AA$3,0),FALSE)-VLOOKUP($AW66&amp;"初始",$O$3:$AA$63,MATCH(AZ$3,$O$3:$AA$3,0),FALSE))*VLOOKUP(VLOOKUP($AW66,坦克个性化设定!$B$18:$E$48,4,FALSE)&amp;$AX66,坦克属性分配比例,MATCH("部件比例",坦克属性分配比例标头,0),FALSE))*$AY66/VLOOKUP(VLOOKUP($AW66,坦克个性化设定!$B$18:$E$48,4,FALSE)&amp;$AX66,坦克属性分配比例,MATCH("升星次数",坦克属性分配比例标头,0),FALSE),0)</f>
        <v>2680</v>
      </c>
      <c r="BA66" s="426">
        <f ca="1">ROUND(VLOOKUP($AW66&amp;"初始",$O$3:$AA$63,MATCH(BA$3,$O$3:$AA$3,0),FALSE)+(VLOOKUP($AW66&amp;"最终",$O$3:$AA$63,MATCH(BA$3,$O$3:$AA$3,0),FALSE)-VLOOKUP($AW66&amp;"初始",$O$3:$AA$63,MATCH(BA$3,$O$3:$AA$3,0),FALSE))*$AY66/VLOOKUP(VLOOKUP($AW66,坦克个性化设定!$B$18:$E$48,4,FALSE)&amp;$AX66,坦克属性分配比例,MATCH("升星次数",坦克属性分配比例标头,0),FALSE)*VLOOKUP(VLOOKUP($AW66,坦克个性化设定!$B$18:$E$48,4,FALSE)&amp;$AX66,坦克属性分配比例,MATCH("升星比例",坦克属性分配比例标头,0),FALSE),0)</f>
        <v>264</v>
      </c>
      <c r="BB66" s="486">
        <f ca="1">ROUND(VLOOKUP($AW66&amp;"初始",$O$3:$AA$63,MATCH(BB$3,$O$3:$AA$3,0),FALSE)+(VLOOKUP($AW66&amp;"最终",$O$3:$AA$63,MATCH(BB$3,$O$3:$AA$3,0),FALSE)-VLOOKUP($AW66&amp;"初始",$O$3:$AA$63,MATCH(BB$3,$O$3:$AA$3,0),FALSE))*$AY66/VLOOKUP(VLOOKUP($AW66,坦克个性化设定!$B$18:$E$48,4,FALSE)&amp;$AX66,坦克属性分配比例,MATCH("升星次数",坦克属性分配比例标头,0),FALSE)*(VLOOKUP(VLOOKUP($AW66,坦克个性化设定!$B$18:$E$48,4,FALSE)&amp;$AX66,坦克属性分配比例,MATCH("升星比例",坦克属性分配比例标头,0),FALSE)+VLOOKUP(VLOOKUP($AW66,坦克个性化设定!$B$18:$E$48,4,FALSE)&amp;$AX66,坦克属性分配比例,MATCH("部件比例",坦克属性分配比例标头,0),FALSE)*$C$3),0)</f>
        <v>1057</v>
      </c>
      <c r="BC66" s="486">
        <f ca="1">ROUND(VLOOKUP($AW66&amp;"初始",$O$3:$AA$63,MATCH(BC$3,$O$3:$AA$3,0),FALSE)+(VLOOKUP($AW66&amp;"最终",$O$3:$AA$63,MATCH(BC$3,$O$3:$AA$3,0),FALSE)-VLOOKUP($AW66&amp;"初始",$O$3:$AA$63,MATCH(BC$3,$O$3:$AA$3,0),FALSE))*$AY66/VLOOKUP(VLOOKUP($AW66,坦克个性化设定!$B$18:$E$48,4,FALSE)&amp;$AX66,坦克属性分配比例,MATCH("升星次数",坦克属性分配比例标头,0),FALSE)*(VLOOKUP(VLOOKUP($AW66,坦克个性化设定!$B$18:$E$48,4,FALSE)&amp;$AX66,坦克属性分配比例,MATCH("升星比例",坦克属性分配比例标头,0),FALSE)+VLOOKUP(VLOOKUP($AW66,坦克个性化设定!$B$18:$E$48,4,FALSE)&amp;$AX66,坦克属性分配比例,MATCH("部件比例",坦克属性分配比例标头,0),FALSE)*$C$3),0)</f>
        <v>740</v>
      </c>
      <c r="BD66" s="426">
        <f ca="1">ROUND(VLOOKUP($AW66&amp;"初始",$O$3:$AA$63,MATCH(BD$3,$O$3:$AA$3,0),FALSE)+(VLOOKUP($AW66&amp;"最终",$O$3:$AA$63,MATCH(BD$3,$O$3:$AA$3,0),FALSE)-VLOOKUP($AW66&amp;"初始",$O$3:$AA$63,MATCH(BD$3,$O$3:$AA$3,0),FALSE))*$AY66/VLOOKUP(VLOOKUP($AW66,坦克个性化设定!$B$18:$E$48,4,FALSE)&amp;$AX66,坦克属性分配比例,MATCH("升星次数",坦克属性分配比例标头,0),FALSE)*VLOOKUP(VLOOKUP($AW66,坦克个性化设定!$B$18:$E$48,4,FALSE)&amp;$AX66,坦克属性分配比例,MATCH("升星比例",坦克属性分配比例标头,0),FALSE),0)</f>
        <v>770</v>
      </c>
      <c r="BE66" s="426">
        <f ca="1">ROUND(VLOOKUP($AW66&amp;"初始",$O$3:$AA$63,MATCH(BE$3,$O$3:$AA$3,0),FALSE)+(VLOOKUP($AW66&amp;"最终",$O$3:$AA$63,MATCH(BE$3,$O$3:$AA$3,0),FALSE)-VLOOKUP($AW66&amp;"初始",$O$3:$AA$63,MATCH(BE$3,$O$3:$AA$3,0),FALSE))*$AY66/VLOOKUP(VLOOKUP($AW66,坦克个性化设定!$B$18:$E$48,4,FALSE)&amp;$AX66,坦克属性分配比例,MATCH("升星次数",坦克属性分配比例标头,0),FALSE),0)</f>
        <v>258</v>
      </c>
      <c r="BF66" s="462">
        <f>ROUND(VLOOKUP($AW66,$AD$3:$AJ$33,MATCH(BF$3,$AD$3:$AJ$3,0),FALSE)+$AY66/VLOOKUP(VLOOKUP($AW66,坦克个性化设定!$B$18:$E$48,4,FALSE)&amp;$AX66,坦克属性分配比例,MATCH("升星次数",坦克属性分配比例标头,0),FALSE)*VLOOKUP($AW66,$AM$3:$AS$33,MATCH(BF$3,$AM$3:$AS$3,0),FALSE),1)</f>
        <v>49.5</v>
      </c>
      <c r="BG66" s="462">
        <f>ROUND(VLOOKUP($AW66,$AD$3:$AJ$33,MATCH(BG$3,$AD$3:$AJ$3,0),FALSE)+$AY66/VLOOKUP(VLOOKUP($AW66,坦克个性化设定!$B$18:$E$48,4,FALSE)&amp;$AX66,坦克属性分配比例,MATCH("升星次数",坦克属性分配比例标头,0),FALSE)*VLOOKUP($AW66,$AM$3:$AS$33,MATCH(BG$3,$AM$3:$AS$3,0),FALSE),1)</f>
        <v>73.900000000000006</v>
      </c>
      <c r="BH66" s="462">
        <f>ROUND(VLOOKUP($AW66,$AD$3:$AJ$33,MATCH(BH$3,$AD$3:$AJ$3,0),FALSE)+$AY66/VLOOKUP(VLOOKUP($AW66,坦克个性化设定!$B$18:$E$48,4,FALSE)&amp;$AX66,坦克属性分配比例,MATCH("升星次数",坦克属性分配比例标头,0),FALSE)*VLOOKUP($AW66,$AM$3:$AS$33,MATCH(BH$3,$AM$3:$AS$3,0),FALSE),1)</f>
        <v>18.3</v>
      </c>
      <c r="BI66" s="654">
        <f>IF(VLOOKUP(AW66,坦克个性化设定!$B$18:$BB$48,MATCH("装弹类型",坦克个性化设定!$B$18:$BB$18,0),FALSE)="弹夹换弹",0,ROUND(VLOOKUP($AW66,$AD$3:$AJ$33,MATCH("换弹时间",$AD$3:$AJ$3,0),FALSE)-$AY66/VLOOKUP(VLOOKUP($AW66,坦克个性化设定!$B$18:$E$48,4,FALSE)&amp;$AX66,坦克属性分配比例,MATCH("升星次数",坦克属性分配比例标头,0),FALSE)*VLOOKUP($AW66,$AM$3:$AS$33,MATCH("换弹时间",$AM$3:$AS$3,0),FALSE),2))</f>
        <v>2.2799999999999998</v>
      </c>
      <c r="BJ66" s="462">
        <f>IF(VLOOKUP(AW66,坦克个性化设定!$B$18:$BB$48,MATCH("装弹类型",坦克个性化设定!$B$18:$BB$18,0),FALSE)="弹夹换弹",ROUND(VLOOKUP($AW66,$AD$3:$AJ$33,MATCH("换弹时间",$AD$3:$AJ$3,0),FALSE)-$AY66/VLOOKUP(VLOOKUP($AW66,坦克个性化设定!$B$18:$E$48,4,FALSE)&amp;$AX66,坦克属性分配比例,MATCH("升星次数",坦克属性分配比例标头,0),FALSE)*VLOOKUP($AW66,$AM$3:$AS$33,MATCH("换弹时间",$AM$3:$AS$3,0),FALSE),1),0)</f>
        <v>0</v>
      </c>
      <c r="BK66" s="462">
        <f>ROUND(VLOOKUP($AW66,$AD$3:$AJ$33,MATCH(BK$3,$AD$3:$AJ$3,0),FALSE)+$AY66/VLOOKUP(VLOOKUP($AW66,坦克个性化设定!$B$18:$E$48,4,FALSE)&amp;$AX66,坦克属性分配比例,MATCH("升星次数",坦克属性分配比例标头,0),FALSE)*VLOOKUP($AW66,$AM$3:$AS$33,MATCH(BK$3,$AM$3:$AS$3,0),FALSE),2)</f>
        <v>0</v>
      </c>
      <c r="BL66" s="462">
        <f>ROUND(VLOOKUP($AW66,$AD$3:$AJ$33,MATCH(BL$3,$AD$3:$AJ$3,0),FALSE)-$AY66/VLOOKUP(VLOOKUP($AW66,坦克个性化设定!$B$18:$E$48,4,FALSE)&amp;$AX66,坦克属性分配比例,MATCH("升星次数",坦克属性分配比例标头,0),FALSE)*VLOOKUP($AW66,$AM$3:$AS$33,MATCH(BL$3,$AM$3:$AS$3,0),FALSE),2)</f>
        <v>1.5</v>
      </c>
    </row>
    <row r="67" spans="47:64" x14ac:dyDescent="0.35">
      <c r="AU67" s="364" t="str">
        <f t="shared" si="9"/>
        <v>霞飞0</v>
      </c>
      <c r="AV67" s="183">
        <f>IF(AY66&gt;=VLOOKUP(VLOOKUP(AW66,坦克个性化设定!$B$18:$E$48,4,FALSE)&amp;AX66,坦克属性分配比例,MATCH("升星次数",坦克属性分配比例标头,0),FALSE),AV66+1,AV66)</f>
        <v>7</v>
      </c>
      <c r="AW67" s="131" t="str">
        <f t="shared" si="10"/>
        <v>霞飞</v>
      </c>
      <c r="AX67" s="177" t="str">
        <f>VLOOKUP(AW67,坦克个性化细分!$I$3:$J$33,2,FALSE)</f>
        <v>低</v>
      </c>
      <c r="AY67" s="183">
        <f t="shared" si="1"/>
        <v>0</v>
      </c>
      <c r="AZ67" s="486">
        <f ca="1">ROUND(VLOOKUP($AW67&amp;"初始",$O$3:$AA$63,MATCH(AZ$3,$O$3:$AA$3,0),FALSE)+((VLOOKUP($AW67&amp;"最终",$O$3:$AA$63,MATCH(AZ$3,$O$3:$AA$3,0),FALSE)*坦克个性化细分!$C$9-VLOOKUP($AW67&amp;"初始",$O$3:$AA$63,MATCH(AZ$3,$O$3:$AA$3,0),FALSE))-(VLOOKUP($AW67&amp;"最终",$O$3:$AA$63,MATCH(AZ$3,$O$3:$AA$3,0),FALSE)-VLOOKUP($AW67&amp;"初始",$O$3:$AA$63,MATCH(AZ$3,$O$3:$AA$3,0),FALSE))*VLOOKUP(VLOOKUP($AW67,坦克个性化设定!$B$18:$E$48,4,FALSE)&amp;$AX67,坦克属性分配比例,MATCH("部件比例",坦克属性分配比例标头,0),FALSE))*$AY67/VLOOKUP(VLOOKUP($AW67,坦克个性化设定!$B$18:$E$48,4,FALSE)&amp;$AX67,坦克属性分配比例,MATCH("升星次数",坦克属性分配比例标头,0),FALSE),0)</f>
        <v>1452</v>
      </c>
      <c r="BA67" s="426">
        <f ca="1">ROUND(VLOOKUP($AW67&amp;"初始",$O$3:$AA$63,MATCH(BA$3,$O$3:$AA$3,0),FALSE)+(VLOOKUP($AW67&amp;"最终",$O$3:$AA$63,MATCH(BA$3,$O$3:$AA$3,0),FALSE)-VLOOKUP($AW67&amp;"初始",$O$3:$AA$63,MATCH(BA$3,$O$3:$AA$3,0),FALSE))*$AY67/VLOOKUP(VLOOKUP($AW67,坦克个性化设定!$B$18:$E$48,4,FALSE)&amp;$AX67,坦克属性分配比例,MATCH("升星次数",坦克属性分配比例标头,0),FALSE)*VLOOKUP(VLOOKUP($AW67,坦克个性化设定!$B$18:$E$48,4,FALSE)&amp;$AX67,坦克属性分配比例,MATCH("升星比例",坦克属性分配比例标头,0),FALSE),0)</f>
        <v>96</v>
      </c>
      <c r="BB67" s="486">
        <f ca="1">ROUND(VLOOKUP($AW67&amp;"初始",$O$3:$AA$63,MATCH(BB$3,$O$3:$AA$3,0),FALSE)+(VLOOKUP($AW67&amp;"最终",$O$3:$AA$63,MATCH(BB$3,$O$3:$AA$3,0),FALSE)-VLOOKUP($AW67&amp;"初始",$O$3:$AA$63,MATCH(BB$3,$O$3:$AA$3,0),FALSE))*$AY67/VLOOKUP(VLOOKUP($AW67,坦克个性化设定!$B$18:$E$48,4,FALSE)&amp;$AX67,坦克属性分配比例,MATCH("升星次数",坦克属性分配比例标头,0),FALSE)*(VLOOKUP(VLOOKUP($AW67,坦克个性化设定!$B$18:$E$48,4,FALSE)&amp;$AX67,坦克属性分配比例,MATCH("升星比例",坦克属性分配比例标头,0),FALSE)+VLOOKUP(VLOOKUP($AW67,坦克个性化设定!$B$18:$E$48,4,FALSE)&amp;$AX67,坦克属性分配比例,MATCH("部件比例",坦克属性分配比例标头,0),FALSE)*$C$3),0)</f>
        <v>570</v>
      </c>
      <c r="BC67" s="486">
        <f ca="1">ROUND(VLOOKUP($AW67&amp;"初始",$O$3:$AA$63,MATCH(BC$3,$O$3:$AA$3,0),FALSE)+(VLOOKUP($AW67&amp;"最终",$O$3:$AA$63,MATCH(BC$3,$O$3:$AA$3,0),FALSE)-VLOOKUP($AW67&amp;"初始",$O$3:$AA$63,MATCH(BC$3,$O$3:$AA$3,0),FALSE))*$AY67/VLOOKUP(VLOOKUP($AW67,坦克个性化设定!$B$18:$E$48,4,FALSE)&amp;$AX67,坦克属性分配比例,MATCH("升星次数",坦克属性分配比例标头,0),FALSE)*(VLOOKUP(VLOOKUP($AW67,坦克个性化设定!$B$18:$E$48,4,FALSE)&amp;$AX67,坦克属性分配比例,MATCH("升星比例",坦克属性分配比例标头,0),FALSE)+VLOOKUP(VLOOKUP($AW67,坦克个性化设定!$B$18:$E$48,4,FALSE)&amp;$AX67,坦克属性分配比例,MATCH("部件比例",坦克属性分配比例标头,0),FALSE)*$C$3),0)</f>
        <v>399</v>
      </c>
      <c r="BD67" s="426">
        <f ca="1">ROUND(VLOOKUP($AW67&amp;"初始",$O$3:$AA$63,MATCH(BD$3,$O$3:$AA$3,0),FALSE)+(VLOOKUP($AW67&amp;"最终",$O$3:$AA$63,MATCH(BD$3,$O$3:$AA$3,0),FALSE)-VLOOKUP($AW67&amp;"初始",$O$3:$AA$63,MATCH(BD$3,$O$3:$AA$3,0),FALSE))*$AY67/VLOOKUP(VLOOKUP($AW67,坦克个性化设定!$B$18:$E$48,4,FALSE)&amp;$AX67,坦克属性分配比例,MATCH("升星次数",坦克属性分配比例标头,0),FALSE)*VLOOKUP(VLOOKUP($AW67,坦克个性化设定!$B$18:$E$48,4,FALSE)&amp;$AX67,坦克属性分配比例,MATCH("升星比例",坦克属性分配比例标头,0),FALSE),0)</f>
        <v>570</v>
      </c>
      <c r="BE67" s="426">
        <f ca="1">ROUND(VLOOKUP($AW67&amp;"初始",$O$3:$AA$63,MATCH(BE$3,$O$3:$AA$3,0),FALSE)+(VLOOKUP($AW67&amp;"最终",$O$3:$AA$63,MATCH(BE$3,$O$3:$AA$3,0),FALSE)-VLOOKUP($AW67&amp;"初始",$O$3:$AA$63,MATCH(BE$3,$O$3:$AA$3,0),FALSE))*$AY67/VLOOKUP(VLOOKUP($AW67,坦克个性化设定!$B$18:$E$48,4,FALSE)&amp;$AX67,坦克属性分配比例,MATCH("升星次数",坦克属性分配比例标头,0),FALSE),0)</f>
        <v>152</v>
      </c>
      <c r="BF67" s="462">
        <f>ROUND(VLOOKUP($AW67,$AD$3:$AJ$33,MATCH(BF$3,$AD$3:$AJ$3,0),FALSE)+$AY67/VLOOKUP(VLOOKUP($AW67,坦克个性化设定!$B$18:$E$48,4,FALSE)&amp;$AX67,坦克属性分配比例,MATCH("升星次数",坦克属性分配比例标头,0),FALSE)*VLOOKUP($AW67,$AM$3:$AS$33,MATCH(BF$3,$AM$3:$AS$3,0),FALSE),1)</f>
        <v>42.4</v>
      </c>
      <c r="BG67" s="462">
        <f>ROUND(VLOOKUP($AW67,$AD$3:$AJ$33,MATCH(BG$3,$AD$3:$AJ$3,0),FALSE)+$AY67/VLOOKUP(VLOOKUP($AW67,坦克个性化设定!$B$18:$E$48,4,FALSE)&amp;$AX67,坦克属性分配比例,MATCH("升星次数",坦克属性分配比例标头,0),FALSE)*VLOOKUP($AW67,$AM$3:$AS$33,MATCH(BG$3,$AM$3:$AS$3,0),FALSE),1)</f>
        <v>50</v>
      </c>
      <c r="BH67" s="462">
        <f>ROUND(VLOOKUP($AW67,$AD$3:$AJ$33,MATCH(BH$3,$AD$3:$AJ$3,0),FALSE)+$AY67/VLOOKUP(VLOOKUP($AW67,坦克个性化设定!$B$18:$E$48,4,FALSE)&amp;$AX67,坦克属性分配比例,MATCH("升星次数",坦克属性分配比例标头,0),FALSE)*VLOOKUP($AW67,$AM$3:$AS$33,MATCH(BH$3,$AM$3:$AS$3,0),FALSE),1)</f>
        <v>13.9</v>
      </c>
      <c r="BI67" s="654">
        <f>IF(VLOOKUP(AW67,坦克个性化设定!$B$18:$BB$48,MATCH("装弹类型",坦克个性化设定!$B$18:$BB$18,0),FALSE)="弹夹换弹",0,ROUND(VLOOKUP($AW67,$AD$3:$AJ$33,MATCH("换弹时间",$AD$3:$AJ$3,0),FALSE)-$AY67/VLOOKUP(VLOOKUP($AW67,坦克个性化设定!$B$18:$E$48,4,FALSE)&amp;$AX67,坦克属性分配比例,MATCH("升星次数",坦克属性分配比例标头,0),FALSE)*VLOOKUP($AW67,$AM$3:$AS$33,MATCH("换弹时间",$AM$3:$AS$3,0),FALSE),2))</f>
        <v>1.4</v>
      </c>
      <c r="BJ67" s="462">
        <f>IF(VLOOKUP(AW67,坦克个性化设定!$B$18:$BB$48,MATCH("装弹类型",坦克个性化设定!$B$18:$BB$18,0),FALSE)="弹夹换弹",ROUND(VLOOKUP($AW67,$AD$3:$AJ$33,MATCH("换弹时间",$AD$3:$AJ$3,0),FALSE)-$AY67/VLOOKUP(VLOOKUP($AW67,坦克个性化设定!$B$18:$E$48,4,FALSE)&amp;$AX67,坦克属性分配比例,MATCH("升星次数",坦克属性分配比例标头,0),FALSE)*VLOOKUP($AW67,$AM$3:$AS$33,MATCH("换弹时间",$AM$3:$AS$3,0),FALSE),1),0)</f>
        <v>0</v>
      </c>
      <c r="BK67" s="462">
        <f>ROUND(VLOOKUP($AW67,$AD$3:$AJ$33,MATCH(BK$3,$AD$3:$AJ$3,0),FALSE)+$AY67/VLOOKUP(VLOOKUP($AW67,坦克个性化设定!$B$18:$E$48,4,FALSE)&amp;$AX67,坦克属性分配比例,MATCH("升星次数",坦克属性分配比例标头,0),FALSE)*VLOOKUP($AW67,$AM$3:$AS$33,MATCH(BK$3,$AM$3:$AS$3,0),FALSE),2)</f>
        <v>0.3</v>
      </c>
      <c r="BL67" s="462">
        <f>ROUND(VLOOKUP($AW67,$AD$3:$AJ$33,MATCH(BL$3,$AD$3:$AJ$3,0),FALSE)-$AY67/VLOOKUP(VLOOKUP($AW67,坦克个性化设定!$B$18:$E$48,4,FALSE)&amp;$AX67,坦克属性分配比例,MATCH("升星次数",坦克属性分配比例标头,0),FALSE)*VLOOKUP($AW67,$AM$3:$AS$33,MATCH(BL$3,$AM$3:$AS$3,0),FALSE),2)</f>
        <v>0.9</v>
      </c>
    </row>
    <row r="68" spans="47:64" x14ac:dyDescent="0.35">
      <c r="AU68" s="364" t="str">
        <f t="shared" si="9"/>
        <v>霞飞1</v>
      </c>
      <c r="AV68" s="183">
        <f>IF(AY67&gt;=VLOOKUP(VLOOKUP(AW67,坦克个性化设定!$B$18:$E$48,4,FALSE)&amp;AX67,坦克属性分配比例,MATCH("升星次数",坦克属性分配比例标头,0),FALSE),AV67+1,AV67)</f>
        <v>7</v>
      </c>
      <c r="AW68" s="131" t="str">
        <f t="shared" si="10"/>
        <v>霞飞</v>
      </c>
      <c r="AX68" s="177" t="str">
        <f>VLOOKUP(AW68,坦克个性化细分!$I$3:$J$33,2,FALSE)</f>
        <v>低</v>
      </c>
      <c r="AY68" s="183">
        <f t="shared" ref="AY68:AY131" si="18">IF(AW68&lt;&gt;AW67,0,AY67+1)</f>
        <v>1</v>
      </c>
      <c r="AZ68" s="486">
        <f ca="1">ROUND(VLOOKUP($AW68&amp;"初始",$O$3:$AA$63,MATCH(AZ$3,$O$3:$AA$3,0),FALSE)+((VLOOKUP($AW68&amp;"最终",$O$3:$AA$63,MATCH(AZ$3,$O$3:$AA$3,0),FALSE)*坦克个性化细分!$C$9-VLOOKUP($AW68&amp;"初始",$O$3:$AA$63,MATCH(AZ$3,$O$3:$AA$3,0),FALSE))-(VLOOKUP($AW68&amp;"最终",$O$3:$AA$63,MATCH(AZ$3,$O$3:$AA$3,0),FALSE)-VLOOKUP($AW68&amp;"初始",$O$3:$AA$63,MATCH(AZ$3,$O$3:$AA$3,0),FALSE))*VLOOKUP(VLOOKUP($AW68,坦克个性化设定!$B$18:$E$48,4,FALSE)&amp;$AX68,坦克属性分配比例,MATCH("部件比例",坦克属性分配比例标头,0),FALSE))*$AY68/VLOOKUP(VLOOKUP($AW68,坦克个性化设定!$B$18:$E$48,4,FALSE)&amp;$AX68,坦克属性分配比例,MATCH("升星次数",坦克属性分配比例标头,0),FALSE),0)</f>
        <v>1536</v>
      </c>
      <c r="BA68" s="426">
        <f ca="1">ROUND(VLOOKUP($AW68&amp;"初始",$O$3:$AA$63,MATCH(BA$3,$O$3:$AA$3,0),FALSE)+(VLOOKUP($AW68&amp;"最终",$O$3:$AA$63,MATCH(BA$3,$O$3:$AA$3,0),FALSE)-VLOOKUP($AW68&amp;"初始",$O$3:$AA$63,MATCH(BA$3,$O$3:$AA$3,0),FALSE))*$AY68/VLOOKUP(VLOOKUP($AW68,坦克个性化设定!$B$18:$E$48,4,FALSE)&amp;$AX68,坦克属性分配比例,MATCH("升星次数",坦克属性分配比例标头,0),FALSE)*VLOOKUP(VLOOKUP($AW68,坦克个性化设定!$B$18:$E$48,4,FALSE)&amp;$AX68,坦克属性分配比例,MATCH("升星比例",坦克属性分配比例标头,0),FALSE),0)</f>
        <v>97</v>
      </c>
      <c r="BB68" s="486">
        <f ca="1">ROUND(VLOOKUP($AW68&amp;"初始",$O$3:$AA$63,MATCH(BB$3,$O$3:$AA$3,0),FALSE)+(VLOOKUP($AW68&amp;"最终",$O$3:$AA$63,MATCH(BB$3,$O$3:$AA$3,0),FALSE)-VLOOKUP($AW68&amp;"初始",$O$3:$AA$63,MATCH(BB$3,$O$3:$AA$3,0),FALSE))*$AY68/VLOOKUP(VLOOKUP($AW68,坦克个性化设定!$B$18:$E$48,4,FALSE)&amp;$AX68,坦克属性分配比例,MATCH("升星次数",坦克属性分配比例标头,0),FALSE)*(VLOOKUP(VLOOKUP($AW68,坦克个性化设定!$B$18:$E$48,4,FALSE)&amp;$AX68,坦克属性分配比例,MATCH("升星比例",坦克属性分配比例标头,0),FALSE)+VLOOKUP(VLOOKUP($AW68,坦克个性化设定!$B$18:$E$48,4,FALSE)&amp;$AX68,坦克属性分配比例,MATCH("部件比例",坦克属性分配比例标头,0),FALSE)*$C$3),0)</f>
        <v>591</v>
      </c>
      <c r="BC68" s="486">
        <f ca="1">ROUND(VLOOKUP($AW68&amp;"初始",$O$3:$AA$63,MATCH(BC$3,$O$3:$AA$3,0),FALSE)+(VLOOKUP($AW68&amp;"最终",$O$3:$AA$63,MATCH(BC$3,$O$3:$AA$3,0),FALSE)-VLOOKUP($AW68&amp;"初始",$O$3:$AA$63,MATCH(BC$3,$O$3:$AA$3,0),FALSE))*$AY68/VLOOKUP(VLOOKUP($AW68,坦克个性化设定!$B$18:$E$48,4,FALSE)&amp;$AX68,坦克属性分配比例,MATCH("升星次数",坦克属性分配比例标头,0),FALSE)*(VLOOKUP(VLOOKUP($AW68,坦克个性化设定!$B$18:$E$48,4,FALSE)&amp;$AX68,坦克属性分配比例,MATCH("升星比例",坦克属性分配比例标头,0),FALSE)+VLOOKUP(VLOOKUP($AW68,坦克个性化设定!$B$18:$E$48,4,FALSE)&amp;$AX68,坦克属性分配比例,MATCH("部件比例",坦克属性分配比例标头,0),FALSE)*$C$3),0)</f>
        <v>414</v>
      </c>
      <c r="BD68" s="426">
        <f ca="1">ROUND(VLOOKUP($AW68&amp;"初始",$O$3:$AA$63,MATCH(BD$3,$O$3:$AA$3,0),FALSE)+(VLOOKUP($AW68&amp;"最终",$O$3:$AA$63,MATCH(BD$3,$O$3:$AA$3,0),FALSE)-VLOOKUP($AW68&amp;"初始",$O$3:$AA$63,MATCH(BD$3,$O$3:$AA$3,0),FALSE))*$AY68/VLOOKUP(VLOOKUP($AW68,坦克个性化设定!$B$18:$E$48,4,FALSE)&amp;$AX68,坦克属性分配比例,MATCH("升星次数",坦克属性分配比例标头,0),FALSE)*VLOOKUP(VLOOKUP($AW68,坦克个性化设定!$B$18:$E$48,4,FALSE)&amp;$AX68,坦克属性分配比例,MATCH("升星比例",坦克属性分配比例标头,0),FALSE),0)</f>
        <v>577</v>
      </c>
      <c r="BE68" s="426">
        <f ca="1">ROUND(VLOOKUP($AW68&amp;"初始",$O$3:$AA$63,MATCH(BE$3,$O$3:$AA$3,0),FALSE)+(VLOOKUP($AW68&amp;"最终",$O$3:$AA$63,MATCH(BE$3,$O$3:$AA$3,0),FALSE)-VLOOKUP($AW68&amp;"初始",$O$3:$AA$63,MATCH(BE$3,$O$3:$AA$3,0),FALSE))*$AY68/VLOOKUP(VLOOKUP($AW68,坦克个性化设定!$B$18:$E$48,4,FALSE)&amp;$AX68,坦克属性分配比例,MATCH("升星次数",坦克属性分配比例标头,0),FALSE),0)</f>
        <v>160</v>
      </c>
      <c r="BF68" s="462">
        <f>ROUND(VLOOKUP($AW68,$AD$3:$AJ$33,MATCH(BF$3,$AD$3:$AJ$3,0),FALSE)+$AY68/VLOOKUP(VLOOKUP($AW68,坦克个性化设定!$B$18:$E$48,4,FALSE)&amp;$AX68,坦克属性分配比例,MATCH("升星次数",坦克属性分配比例标头,0),FALSE)*VLOOKUP($AW68,$AM$3:$AS$33,MATCH(BF$3,$AM$3:$AS$3,0),FALSE),1)</f>
        <v>43.5</v>
      </c>
      <c r="BG68" s="462">
        <f>ROUND(VLOOKUP($AW68,$AD$3:$AJ$33,MATCH(BG$3,$AD$3:$AJ$3,0),FALSE)+$AY68/VLOOKUP(VLOOKUP($AW68,坦克个性化设定!$B$18:$E$48,4,FALSE)&amp;$AX68,坦克属性分配比例,MATCH("升星次数",坦克属性分配比例标头,0),FALSE)*VLOOKUP($AW68,$AM$3:$AS$33,MATCH(BG$3,$AM$3:$AS$3,0),FALSE),1)</f>
        <v>51.3</v>
      </c>
      <c r="BH68" s="462">
        <f>ROUND(VLOOKUP($AW68,$AD$3:$AJ$33,MATCH(BH$3,$AD$3:$AJ$3,0),FALSE)+$AY68/VLOOKUP(VLOOKUP($AW68,坦克个性化设定!$B$18:$E$48,4,FALSE)&amp;$AX68,坦克属性分配比例,MATCH("升星次数",坦克属性分配比例标头,0),FALSE)*VLOOKUP($AW68,$AM$3:$AS$33,MATCH(BH$3,$AM$3:$AS$3,0),FALSE),1)</f>
        <v>14.4</v>
      </c>
      <c r="BI68" s="654">
        <f>IF(VLOOKUP(AW68,坦克个性化设定!$B$18:$BB$48,MATCH("装弹类型",坦克个性化设定!$B$18:$BB$18,0),FALSE)="弹夹换弹",0,ROUND(VLOOKUP($AW68,$AD$3:$AJ$33,MATCH("换弹时间",$AD$3:$AJ$3,0),FALSE)-$AY68/VLOOKUP(VLOOKUP($AW68,坦克个性化设定!$B$18:$E$48,4,FALSE)&amp;$AX68,坦克属性分配比例,MATCH("升星次数",坦克属性分配比例标头,0),FALSE)*VLOOKUP($AW68,$AM$3:$AS$33,MATCH("换弹时间",$AM$3:$AS$3,0),FALSE),2))</f>
        <v>1.36</v>
      </c>
      <c r="BJ68" s="462">
        <f>IF(VLOOKUP(AW68,坦克个性化设定!$B$18:$BB$48,MATCH("装弹类型",坦克个性化设定!$B$18:$BB$18,0),FALSE)="弹夹换弹",ROUND(VLOOKUP($AW68,$AD$3:$AJ$33,MATCH("换弹时间",$AD$3:$AJ$3,0),FALSE)-$AY68/VLOOKUP(VLOOKUP($AW68,坦克个性化设定!$B$18:$E$48,4,FALSE)&amp;$AX68,坦克属性分配比例,MATCH("升星次数",坦克属性分配比例标头,0),FALSE)*VLOOKUP($AW68,$AM$3:$AS$33,MATCH("换弹时间",$AM$3:$AS$3,0),FALSE),1),0)</f>
        <v>0</v>
      </c>
      <c r="BK68" s="462">
        <f>ROUND(VLOOKUP($AW68,$AD$3:$AJ$33,MATCH(BK$3,$AD$3:$AJ$3,0),FALSE)+$AY68/VLOOKUP(VLOOKUP($AW68,坦克个性化设定!$B$18:$E$48,4,FALSE)&amp;$AX68,坦克属性分配比例,MATCH("升星次数",坦克属性分配比例标头,0),FALSE)*VLOOKUP($AW68,$AM$3:$AS$33,MATCH(BK$3,$AM$3:$AS$3,0),FALSE),2)</f>
        <v>0.3</v>
      </c>
      <c r="BL68" s="462">
        <f>ROUND(VLOOKUP($AW68,$AD$3:$AJ$33,MATCH(BL$3,$AD$3:$AJ$3,0),FALSE)-$AY68/VLOOKUP(VLOOKUP($AW68,坦克个性化设定!$B$18:$E$48,4,FALSE)&amp;$AX68,坦克属性分配比例,MATCH("升星次数",坦克属性分配比例标头,0),FALSE)*VLOOKUP($AW68,$AM$3:$AS$33,MATCH(BL$3,$AM$3:$AS$3,0),FALSE),2)</f>
        <v>0.89</v>
      </c>
    </row>
    <row r="69" spans="47:64" x14ac:dyDescent="0.35">
      <c r="AU69" s="364" t="str">
        <f t="shared" ref="AU69:AU132" si="19">AW69&amp;AY69</f>
        <v>霞飞2</v>
      </c>
      <c r="AV69" s="183">
        <f>IF(AY68&gt;=VLOOKUP(VLOOKUP(AW68,坦克个性化设定!$B$18:$E$48,4,FALSE)&amp;AX68,坦克属性分配比例,MATCH("升星次数",坦克属性分配比例标头,0),FALSE),AV68+1,AV68)</f>
        <v>7</v>
      </c>
      <c r="AW69" s="131" t="str">
        <f t="shared" ref="AW69:AW132" si="20">VLOOKUP(AV69,$B$5:$C$35,2,FALSE)</f>
        <v>霞飞</v>
      </c>
      <c r="AX69" s="177" t="str">
        <f>VLOOKUP(AW69,坦克个性化细分!$I$3:$J$33,2,FALSE)</f>
        <v>低</v>
      </c>
      <c r="AY69" s="183">
        <f t="shared" si="18"/>
        <v>2</v>
      </c>
      <c r="AZ69" s="486">
        <f ca="1">ROUND(VLOOKUP($AW69&amp;"初始",$O$3:$AA$63,MATCH(AZ$3,$O$3:$AA$3,0),FALSE)+((VLOOKUP($AW69&amp;"最终",$O$3:$AA$63,MATCH(AZ$3,$O$3:$AA$3,0),FALSE)*坦克个性化细分!$C$9-VLOOKUP($AW69&amp;"初始",$O$3:$AA$63,MATCH(AZ$3,$O$3:$AA$3,0),FALSE))-(VLOOKUP($AW69&amp;"最终",$O$3:$AA$63,MATCH(AZ$3,$O$3:$AA$3,0),FALSE)-VLOOKUP($AW69&amp;"初始",$O$3:$AA$63,MATCH(AZ$3,$O$3:$AA$3,0),FALSE))*VLOOKUP(VLOOKUP($AW69,坦克个性化设定!$B$18:$E$48,4,FALSE)&amp;$AX69,坦克属性分配比例,MATCH("部件比例",坦克属性分配比例标头,0),FALSE))*$AY69/VLOOKUP(VLOOKUP($AW69,坦克个性化设定!$B$18:$E$48,4,FALSE)&amp;$AX69,坦克属性分配比例,MATCH("升星次数",坦克属性分配比例标头,0),FALSE),0)</f>
        <v>1620</v>
      </c>
      <c r="BA69" s="426">
        <f ca="1">ROUND(VLOOKUP($AW69&amp;"初始",$O$3:$AA$63,MATCH(BA$3,$O$3:$AA$3,0),FALSE)+(VLOOKUP($AW69&amp;"最终",$O$3:$AA$63,MATCH(BA$3,$O$3:$AA$3,0),FALSE)-VLOOKUP($AW69&amp;"初始",$O$3:$AA$63,MATCH(BA$3,$O$3:$AA$3,0),FALSE))*$AY69/VLOOKUP(VLOOKUP($AW69,坦克个性化设定!$B$18:$E$48,4,FALSE)&amp;$AX69,坦克属性分配比例,MATCH("升星次数",坦克属性分配比例标头,0),FALSE)*VLOOKUP(VLOOKUP($AW69,坦克个性化设定!$B$18:$E$48,4,FALSE)&amp;$AX69,坦克属性分配比例,MATCH("升星比例",坦克属性分配比例标头,0),FALSE),0)</f>
        <v>98</v>
      </c>
      <c r="BB69" s="486">
        <f ca="1">ROUND(VLOOKUP($AW69&amp;"初始",$O$3:$AA$63,MATCH(BB$3,$O$3:$AA$3,0),FALSE)+(VLOOKUP($AW69&amp;"最终",$O$3:$AA$63,MATCH(BB$3,$O$3:$AA$3,0),FALSE)-VLOOKUP($AW69&amp;"初始",$O$3:$AA$63,MATCH(BB$3,$O$3:$AA$3,0),FALSE))*$AY69/VLOOKUP(VLOOKUP($AW69,坦克个性化设定!$B$18:$E$48,4,FALSE)&amp;$AX69,坦克属性分配比例,MATCH("升星次数",坦克属性分配比例标头,0),FALSE)*(VLOOKUP(VLOOKUP($AW69,坦克个性化设定!$B$18:$E$48,4,FALSE)&amp;$AX69,坦克属性分配比例,MATCH("升星比例",坦克属性分配比例标头,0),FALSE)+VLOOKUP(VLOOKUP($AW69,坦克个性化设定!$B$18:$E$48,4,FALSE)&amp;$AX69,坦克属性分配比例,MATCH("部件比例",坦克属性分配比例标头,0),FALSE)*$C$3),0)</f>
        <v>612</v>
      </c>
      <c r="BC69" s="486">
        <f ca="1">ROUND(VLOOKUP($AW69&amp;"初始",$O$3:$AA$63,MATCH(BC$3,$O$3:$AA$3,0),FALSE)+(VLOOKUP($AW69&amp;"最终",$O$3:$AA$63,MATCH(BC$3,$O$3:$AA$3,0),FALSE)-VLOOKUP($AW69&amp;"初始",$O$3:$AA$63,MATCH(BC$3,$O$3:$AA$3,0),FALSE))*$AY69/VLOOKUP(VLOOKUP($AW69,坦克个性化设定!$B$18:$E$48,4,FALSE)&amp;$AX69,坦克属性分配比例,MATCH("升星次数",坦克属性分配比例标头,0),FALSE)*(VLOOKUP(VLOOKUP($AW69,坦克个性化设定!$B$18:$E$48,4,FALSE)&amp;$AX69,坦克属性分配比例,MATCH("升星比例",坦克属性分配比例标头,0),FALSE)+VLOOKUP(VLOOKUP($AW69,坦克个性化设定!$B$18:$E$48,4,FALSE)&amp;$AX69,坦克属性分配比例,MATCH("部件比例",坦克属性分配比例标头,0),FALSE)*$C$3),0)</f>
        <v>428</v>
      </c>
      <c r="BD69" s="426">
        <f ca="1">ROUND(VLOOKUP($AW69&amp;"初始",$O$3:$AA$63,MATCH(BD$3,$O$3:$AA$3,0),FALSE)+(VLOOKUP($AW69&amp;"最终",$O$3:$AA$63,MATCH(BD$3,$O$3:$AA$3,0),FALSE)-VLOOKUP($AW69&amp;"初始",$O$3:$AA$63,MATCH(BD$3,$O$3:$AA$3,0),FALSE))*$AY69/VLOOKUP(VLOOKUP($AW69,坦克个性化设定!$B$18:$E$48,4,FALSE)&amp;$AX69,坦克属性分配比例,MATCH("升星次数",坦克属性分配比例标头,0),FALSE)*VLOOKUP(VLOOKUP($AW69,坦克个性化设定!$B$18:$E$48,4,FALSE)&amp;$AX69,坦克属性分配比例,MATCH("升星比例",坦克属性分配比例标头,0),FALSE),0)</f>
        <v>584</v>
      </c>
      <c r="BE69" s="426">
        <f ca="1">ROUND(VLOOKUP($AW69&amp;"初始",$O$3:$AA$63,MATCH(BE$3,$O$3:$AA$3,0),FALSE)+(VLOOKUP($AW69&amp;"最终",$O$3:$AA$63,MATCH(BE$3,$O$3:$AA$3,0),FALSE)-VLOOKUP($AW69&amp;"初始",$O$3:$AA$63,MATCH(BE$3,$O$3:$AA$3,0),FALSE))*$AY69/VLOOKUP(VLOOKUP($AW69,坦克个性化设定!$B$18:$E$48,4,FALSE)&amp;$AX69,坦克属性分配比例,MATCH("升星次数",坦克属性分配比例标头,0),FALSE),0)</f>
        <v>168</v>
      </c>
      <c r="BF69" s="462">
        <f>ROUND(VLOOKUP($AW69,$AD$3:$AJ$33,MATCH(BF$3,$AD$3:$AJ$3,0),FALSE)+$AY69/VLOOKUP(VLOOKUP($AW69,坦克个性化设定!$B$18:$E$48,4,FALSE)&amp;$AX69,坦克属性分配比例,MATCH("升星次数",坦克属性分配比例标头,0),FALSE)*VLOOKUP($AW69,$AM$3:$AS$33,MATCH(BF$3,$AM$3:$AS$3,0),FALSE),1)</f>
        <v>44.5</v>
      </c>
      <c r="BG69" s="462">
        <f>ROUND(VLOOKUP($AW69,$AD$3:$AJ$33,MATCH(BG$3,$AD$3:$AJ$3,0),FALSE)+$AY69/VLOOKUP(VLOOKUP($AW69,坦克个性化设定!$B$18:$E$48,4,FALSE)&amp;$AX69,坦克属性分配比例,MATCH("升星次数",坦克属性分配比例标头,0),FALSE)*VLOOKUP($AW69,$AM$3:$AS$33,MATCH(BG$3,$AM$3:$AS$3,0),FALSE),1)</f>
        <v>52.5</v>
      </c>
      <c r="BH69" s="462">
        <f>ROUND(VLOOKUP($AW69,$AD$3:$AJ$33,MATCH(BH$3,$AD$3:$AJ$3,0),FALSE)+$AY69/VLOOKUP(VLOOKUP($AW69,坦克个性化设定!$B$18:$E$48,4,FALSE)&amp;$AX69,坦克属性分配比例,MATCH("升星次数",坦克属性分配比例标头,0),FALSE)*VLOOKUP($AW69,$AM$3:$AS$33,MATCH(BH$3,$AM$3:$AS$3,0),FALSE),1)</f>
        <v>14.8</v>
      </c>
      <c r="BI69" s="654">
        <f>IF(VLOOKUP(AW69,坦克个性化设定!$B$18:$BB$48,MATCH("装弹类型",坦克个性化设定!$B$18:$BB$18,0),FALSE)="弹夹换弹",0,ROUND(VLOOKUP($AW69,$AD$3:$AJ$33,MATCH("换弹时间",$AD$3:$AJ$3,0),FALSE)-$AY69/VLOOKUP(VLOOKUP($AW69,坦克个性化设定!$B$18:$E$48,4,FALSE)&amp;$AX69,坦克属性分配比例,MATCH("升星次数",坦克属性分配比例标头,0),FALSE)*VLOOKUP($AW69,$AM$3:$AS$33,MATCH("换弹时间",$AM$3:$AS$3,0),FALSE),2))</f>
        <v>1.33</v>
      </c>
      <c r="BJ69" s="462">
        <f>IF(VLOOKUP(AW69,坦克个性化设定!$B$18:$BB$48,MATCH("装弹类型",坦克个性化设定!$B$18:$BB$18,0),FALSE)="弹夹换弹",ROUND(VLOOKUP($AW69,$AD$3:$AJ$33,MATCH("换弹时间",$AD$3:$AJ$3,0),FALSE)-$AY69/VLOOKUP(VLOOKUP($AW69,坦克个性化设定!$B$18:$E$48,4,FALSE)&amp;$AX69,坦克属性分配比例,MATCH("升星次数",坦克属性分配比例标头,0),FALSE)*VLOOKUP($AW69,$AM$3:$AS$33,MATCH("换弹时间",$AM$3:$AS$3,0),FALSE),1),0)</f>
        <v>0</v>
      </c>
      <c r="BK69" s="462">
        <f>ROUND(VLOOKUP($AW69,$AD$3:$AJ$33,MATCH(BK$3,$AD$3:$AJ$3,0),FALSE)+$AY69/VLOOKUP(VLOOKUP($AW69,坦克个性化设定!$B$18:$E$48,4,FALSE)&amp;$AX69,坦克属性分配比例,MATCH("升星次数",坦克属性分配比例标头,0),FALSE)*VLOOKUP($AW69,$AM$3:$AS$33,MATCH(BK$3,$AM$3:$AS$3,0),FALSE),2)</f>
        <v>0.3</v>
      </c>
      <c r="BL69" s="462">
        <f>ROUND(VLOOKUP($AW69,$AD$3:$AJ$33,MATCH(BL$3,$AD$3:$AJ$3,0),FALSE)-$AY69/VLOOKUP(VLOOKUP($AW69,坦克个性化设定!$B$18:$E$48,4,FALSE)&amp;$AX69,坦克属性分配比例,MATCH("升星次数",坦克属性分配比例标头,0),FALSE)*VLOOKUP($AW69,$AM$3:$AS$33,MATCH(BL$3,$AM$3:$AS$3,0),FALSE),2)</f>
        <v>0.87</v>
      </c>
    </row>
    <row r="70" spans="47:64" x14ac:dyDescent="0.35">
      <c r="AU70" s="364" t="str">
        <f t="shared" si="19"/>
        <v>霞飞3</v>
      </c>
      <c r="AV70" s="183">
        <f>IF(AY69&gt;=VLOOKUP(VLOOKUP(AW69,坦克个性化设定!$B$18:$E$48,4,FALSE)&amp;AX69,坦克属性分配比例,MATCH("升星次数",坦克属性分配比例标头,0),FALSE),AV69+1,AV69)</f>
        <v>7</v>
      </c>
      <c r="AW70" s="131" t="str">
        <f t="shared" si="20"/>
        <v>霞飞</v>
      </c>
      <c r="AX70" s="177" t="str">
        <f>VLOOKUP(AW70,坦克个性化细分!$I$3:$J$33,2,FALSE)</f>
        <v>低</v>
      </c>
      <c r="AY70" s="183">
        <f t="shared" si="18"/>
        <v>3</v>
      </c>
      <c r="AZ70" s="486">
        <f ca="1">ROUND(VLOOKUP($AW70&amp;"初始",$O$3:$AA$63,MATCH(AZ$3,$O$3:$AA$3,0),FALSE)+((VLOOKUP($AW70&amp;"最终",$O$3:$AA$63,MATCH(AZ$3,$O$3:$AA$3,0),FALSE)*坦克个性化细分!$C$9-VLOOKUP($AW70&amp;"初始",$O$3:$AA$63,MATCH(AZ$3,$O$3:$AA$3,0),FALSE))-(VLOOKUP($AW70&amp;"最终",$O$3:$AA$63,MATCH(AZ$3,$O$3:$AA$3,0),FALSE)-VLOOKUP($AW70&amp;"初始",$O$3:$AA$63,MATCH(AZ$3,$O$3:$AA$3,0),FALSE))*VLOOKUP(VLOOKUP($AW70,坦克个性化设定!$B$18:$E$48,4,FALSE)&amp;$AX70,坦克属性分配比例,MATCH("部件比例",坦克属性分配比例标头,0),FALSE))*$AY70/VLOOKUP(VLOOKUP($AW70,坦克个性化设定!$B$18:$E$48,4,FALSE)&amp;$AX70,坦克属性分配比例,MATCH("升星次数",坦克属性分配比例标头,0),FALSE),0)</f>
        <v>1705</v>
      </c>
      <c r="BA70" s="426">
        <f ca="1">ROUND(VLOOKUP($AW70&amp;"初始",$O$3:$AA$63,MATCH(BA$3,$O$3:$AA$3,0),FALSE)+(VLOOKUP($AW70&amp;"最终",$O$3:$AA$63,MATCH(BA$3,$O$3:$AA$3,0),FALSE)-VLOOKUP($AW70&amp;"初始",$O$3:$AA$63,MATCH(BA$3,$O$3:$AA$3,0),FALSE))*$AY70/VLOOKUP(VLOOKUP($AW70,坦克个性化设定!$B$18:$E$48,4,FALSE)&amp;$AX70,坦克属性分配比例,MATCH("升星次数",坦克属性分配比例标头,0),FALSE)*VLOOKUP(VLOOKUP($AW70,坦克个性化设定!$B$18:$E$48,4,FALSE)&amp;$AX70,坦克属性分配比例,MATCH("升星比例",坦克属性分配比例标头,0),FALSE),0)</f>
        <v>100</v>
      </c>
      <c r="BB70" s="486">
        <f ca="1">ROUND(VLOOKUP($AW70&amp;"初始",$O$3:$AA$63,MATCH(BB$3,$O$3:$AA$3,0),FALSE)+(VLOOKUP($AW70&amp;"最终",$O$3:$AA$63,MATCH(BB$3,$O$3:$AA$3,0),FALSE)-VLOOKUP($AW70&amp;"初始",$O$3:$AA$63,MATCH(BB$3,$O$3:$AA$3,0),FALSE))*$AY70/VLOOKUP(VLOOKUP($AW70,坦克个性化设定!$B$18:$E$48,4,FALSE)&amp;$AX70,坦克属性分配比例,MATCH("升星次数",坦克属性分配比例标头,0),FALSE)*(VLOOKUP(VLOOKUP($AW70,坦克个性化设定!$B$18:$E$48,4,FALSE)&amp;$AX70,坦克属性分配比例,MATCH("升星比例",坦克属性分配比例标头,0),FALSE)+VLOOKUP(VLOOKUP($AW70,坦克个性化设定!$B$18:$E$48,4,FALSE)&amp;$AX70,坦克属性分配比例,MATCH("部件比例",坦克属性分配比例标头,0),FALSE)*$C$3),0)</f>
        <v>632</v>
      </c>
      <c r="BC70" s="486">
        <f ca="1">ROUND(VLOOKUP($AW70&amp;"初始",$O$3:$AA$63,MATCH(BC$3,$O$3:$AA$3,0),FALSE)+(VLOOKUP($AW70&amp;"最终",$O$3:$AA$63,MATCH(BC$3,$O$3:$AA$3,0),FALSE)-VLOOKUP($AW70&amp;"初始",$O$3:$AA$63,MATCH(BC$3,$O$3:$AA$3,0),FALSE))*$AY70/VLOOKUP(VLOOKUP($AW70,坦克个性化设定!$B$18:$E$48,4,FALSE)&amp;$AX70,坦克属性分配比例,MATCH("升星次数",坦克属性分配比例标头,0),FALSE)*(VLOOKUP(VLOOKUP($AW70,坦克个性化设定!$B$18:$E$48,4,FALSE)&amp;$AX70,坦克属性分配比例,MATCH("升星比例",坦克属性分配比例标头,0),FALSE)+VLOOKUP(VLOOKUP($AW70,坦克个性化设定!$B$18:$E$48,4,FALSE)&amp;$AX70,坦克属性分配比例,MATCH("部件比例",坦克属性分配比例标头,0),FALSE)*$C$3),0)</f>
        <v>443</v>
      </c>
      <c r="BD70" s="426">
        <f ca="1">ROUND(VLOOKUP($AW70&amp;"初始",$O$3:$AA$63,MATCH(BD$3,$O$3:$AA$3,0),FALSE)+(VLOOKUP($AW70&amp;"最终",$O$3:$AA$63,MATCH(BD$3,$O$3:$AA$3,0),FALSE)-VLOOKUP($AW70&amp;"初始",$O$3:$AA$63,MATCH(BD$3,$O$3:$AA$3,0),FALSE))*$AY70/VLOOKUP(VLOOKUP($AW70,坦克个性化设定!$B$18:$E$48,4,FALSE)&amp;$AX70,坦克属性分配比例,MATCH("升星次数",坦克属性分配比例标头,0),FALSE)*VLOOKUP(VLOOKUP($AW70,坦克个性化设定!$B$18:$E$48,4,FALSE)&amp;$AX70,坦克属性分配比例,MATCH("升星比例",坦克属性分配比例标头,0),FALSE),0)</f>
        <v>591</v>
      </c>
      <c r="BE70" s="426">
        <f ca="1">ROUND(VLOOKUP($AW70&amp;"初始",$O$3:$AA$63,MATCH(BE$3,$O$3:$AA$3,0),FALSE)+(VLOOKUP($AW70&amp;"最终",$O$3:$AA$63,MATCH(BE$3,$O$3:$AA$3,0),FALSE)-VLOOKUP($AW70&amp;"初始",$O$3:$AA$63,MATCH(BE$3,$O$3:$AA$3,0),FALSE))*$AY70/VLOOKUP(VLOOKUP($AW70,坦克个性化设定!$B$18:$E$48,4,FALSE)&amp;$AX70,坦克属性分配比例,MATCH("升星次数",坦克属性分配比例标头,0),FALSE),0)</f>
        <v>176</v>
      </c>
      <c r="BF70" s="462">
        <f>ROUND(VLOOKUP($AW70,$AD$3:$AJ$33,MATCH(BF$3,$AD$3:$AJ$3,0),FALSE)+$AY70/VLOOKUP(VLOOKUP($AW70,坦克个性化设定!$B$18:$E$48,4,FALSE)&amp;$AX70,坦克属性分配比例,MATCH("升星次数",坦克属性分配比例标头,0),FALSE)*VLOOKUP($AW70,$AM$3:$AS$33,MATCH(BF$3,$AM$3:$AS$3,0),FALSE),1)</f>
        <v>45.6</v>
      </c>
      <c r="BG70" s="462">
        <f>ROUND(VLOOKUP($AW70,$AD$3:$AJ$33,MATCH(BG$3,$AD$3:$AJ$3,0),FALSE)+$AY70/VLOOKUP(VLOOKUP($AW70,坦克个性化设定!$B$18:$E$48,4,FALSE)&amp;$AX70,坦克属性分配比例,MATCH("升星次数",坦克属性分配比例标头,0),FALSE)*VLOOKUP($AW70,$AM$3:$AS$33,MATCH(BG$3,$AM$3:$AS$3,0),FALSE),1)</f>
        <v>53.8</v>
      </c>
      <c r="BH70" s="462">
        <f>ROUND(VLOOKUP($AW70,$AD$3:$AJ$33,MATCH(BH$3,$AD$3:$AJ$3,0),FALSE)+$AY70/VLOOKUP(VLOOKUP($AW70,坦克个性化设定!$B$18:$E$48,4,FALSE)&amp;$AX70,坦克属性分配比例,MATCH("升星次数",坦克属性分配比例标头,0),FALSE)*VLOOKUP($AW70,$AM$3:$AS$33,MATCH(BH$3,$AM$3:$AS$3,0),FALSE),1)</f>
        <v>15.3</v>
      </c>
      <c r="BI70" s="654">
        <f>IF(VLOOKUP(AW70,坦克个性化设定!$B$18:$BB$48,MATCH("装弹类型",坦克个性化设定!$B$18:$BB$18,0),FALSE)="弹夹换弹",0,ROUND(VLOOKUP($AW70,$AD$3:$AJ$33,MATCH("换弹时间",$AD$3:$AJ$3,0),FALSE)-$AY70/VLOOKUP(VLOOKUP($AW70,坦克个性化设定!$B$18:$E$48,4,FALSE)&amp;$AX70,坦克属性分配比例,MATCH("升星次数",坦克属性分配比例标头,0),FALSE)*VLOOKUP($AW70,$AM$3:$AS$33,MATCH("换弹时间",$AM$3:$AS$3,0),FALSE),2))</f>
        <v>1.29</v>
      </c>
      <c r="BJ70" s="462">
        <f>IF(VLOOKUP(AW70,坦克个性化设定!$B$18:$BB$48,MATCH("装弹类型",坦克个性化设定!$B$18:$BB$18,0),FALSE)="弹夹换弹",ROUND(VLOOKUP($AW70,$AD$3:$AJ$33,MATCH("换弹时间",$AD$3:$AJ$3,0),FALSE)-$AY70/VLOOKUP(VLOOKUP($AW70,坦克个性化设定!$B$18:$E$48,4,FALSE)&amp;$AX70,坦克属性分配比例,MATCH("升星次数",坦克属性分配比例标头,0),FALSE)*VLOOKUP($AW70,$AM$3:$AS$33,MATCH("换弹时间",$AM$3:$AS$3,0),FALSE),1),0)</f>
        <v>0</v>
      </c>
      <c r="BK70" s="462">
        <f>ROUND(VLOOKUP($AW70,$AD$3:$AJ$33,MATCH(BK$3,$AD$3:$AJ$3,0),FALSE)+$AY70/VLOOKUP(VLOOKUP($AW70,坦克个性化设定!$B$18:$E$48,4,FALSE)&amp;$AX70,坦克属性分配比例,MATCH("升星次数",坦克属性分配比例标头,0),FALSE)*VLOOKUP($AW70,$AM$3:$AS$33,MATCH(BK$3,$AM$3:$AS$3,0),FALSE),2)</f>
        <v>0.3</v>
      </c>
      <c r="BL70" s="462">
        <f>ROUND(VLOOKUP($AW70,$AD$3:$AJ$33,MATCH(BL$3,$AD$3:$AJ$3,0),FALSE)-$AY70/VLOOKUP(VLOOKUP($AW70,坦克个性化设定!$B$18:$E$48,4,FALSE)&amp;$AX70,坦克属性分配比例,MATCH("升星次数",坦克属性分配比例标头,0),FALSE)*VLOOKUP($AW70,$AM$3:$AS$33,MATCH(BL$3,$AM$3:$AS$3,0),FALSE),2)</f>
        <v>0.86</v>
      </c>
    </row>
    <row r="71" spans="47:64" x14ac:dyDescent="0.35">
      <c r="AU71" s="364" t="str">
        <f t="shared" si="19"/>
        <v>霞飞4</v>
      </c>
      <c r="AV71" s="183">
        <f>IF(AY70&gt;=VLOOKUP(VLOOKUP(AW70,坦克个性化设定!$B$18:$E$48,4,FALSE)&amp;AX70,坦克属性分配比例,MATCH("升星次数",坦克属性分配比例标头,0),FALSE),AV70+1,AV70)</f>
        <v>7</v>
      </c>
      <c r="AW71" s="131" t="str">
        <f t="shared" si="20"/>
        <v>霞飞</v>
      </c>
      <c r="AX71" s="177" t="str">
        <f>VLOOKUP(AW71,坦克个性化细分!$I$3:$J$33,2,FALSE)</f>
        <v>低</v>
      </c>
      <c r="AY71" s="183">
        <f t="shared" si="18"/>
        <v>4</v>
      </c>
      <c r="AZ71" s="486">
        <f ca="1">ROUND(VLOOKUP($AW71&amp;"初始",$O$3:$AA$63,MATCH(AZ$3,$O$3:$AA$3,0),FALSE)+((VLOOKUP($AW71&amp;"最终",$O$3:$AA$63,MATCH(AZ$3,$O$3:$AA$3,0),FALSE)*坦克个性化细分!$C$9-VLOOKUP($AW71&amp;"初始",$O$3:$AA$63,MATCH(AZ$3,$O$3:$AA$3,0),FALSE))-(VLOOKUP($AW71&amp;"最终",$O$3:$AA$63,MATCH(AZ$3,$O$3:$AA$3,0),FALSE)-VLOOKUP($AW71&amp;"初始",$O$3:$AA$63,MATCH(AZ$3,$O$3:$AA$3,0),FALSE))*VLOOKUP(VLOOKUP($AW71,坦克个性化设定!$B$18:$E$48,4,FALSE)&amp;$AX71,坦克属性分配比例,MATCH("部件比例",坦克属性分配比例标头,0),FALSE))*$AY71/VLOOKUP(VLOOKUP($AW71,坦克个性化设定!$B$18:$E$48,4,FALSE)&amp;$AX71,坦克属性分配比例,MATCH("升星次数",坦克属性分配比例标头,0),FALSE),0)</f>
        <v>1789</v>
      </c>
      <c r="BA71" s="426">
        <f ca="1">ROUND(VLOOKUP($AW71&amp;"初始",$O$3:$AA$63,MATCH(BA$3,$O$3:$AA$3,0),FALSE)+(VLOOKUP($AW71&amp;"最终",$O$3:$AA$63,MATCH(BA$3,$O$3:$AA$3,0),FALSE)-VLOOKUP($AW71&amp;"初始",$O$3:$AA$63,MATCH(BA$3,$O$3:$AA$3,0),FALSE))*$AY71/VLOOKUP(VLOOKUP($AW71,坦克个性化设定!$B$18:$E$48,4,FALSE)&amp;$AX71,坦克属性分配比例,MATCH("升星次数",坦克属性分配比例标头,0),FALSE)*VLOOKUP(VLOOKUP($AW71,坦克个性化设定!$B$18:$E$48,4,FALSE)&amp;$AX71,坦克属性分配比例,MATCH("升星比例",坦克属性分配比例标头,0),FALSE),0)</f>
        <v>101</v>
      </c>
      <c r="BB71" s="486">
        <f ca="1">ROUND(VLOOKUP($AW71&amp;"初始",$O$3:$AA$63,MATCH(BB$3,$O$3:$AA$3,0),FALSE)+(VLOOKUP($AW71&amp;"最终",$O$3:$AA$63,MATCH(BB$3,$O$3:$AA$3,0),FALSE)-VLOOKUP($AW71&amp;"初始",$O$3:$AA$63,MATCH(BB$3,$O$3:$AA$3,0),FALSE))*$AY71/VLOOKUP(VLOOKUP($AW71,坦克个性化设定!$B$18:$E$48,4,FALSE)&amp;$AX71,坦克属性分配比例,MATCH("升星次数",坦克属性分配比例标头,0),FALSE)*(VLOOKUP(VLOOKUP($AW71,坦克个性化设定!$B$18:$E$48,4,FALSE)&amp;$AX71,坦克属性分配比例,MATCH("升星比例",坦克属性分配比例标头,0),FALSE)+VLOOKUP(VLOOKUP($AW71,坦克个性化设定!$B$18:$E$48,4,FALSE)&amp;$AX71,坦克属性分配比例,MATCH("部件比例",坦克属性分配比例标头,0),FALSE)*$C$3),0)</f>
        <v>653</v>
      </c>
      <c r="BC71" s="486">
        <f ca="1">ROUND(VLOOKUP($AW71&amp;"初始",$O$3:$AA$63,MATCH(BC$3,$O$3:$AA$3,0),FALSE)+(VLOOKUP($AW71&amp;"最终",$O$3:$AA$63,MATCH(BC$3,$O$3:$AA$3,0),FALSE)-VLOOKUP($AW71&amp;"初始",$O$3:$AA$63,MATCH(BC$3,$O$3:$AA$3,0),FALSE))*$AY71/VLOOKUP(VLOOKUP($AW71,坦克个性化设定!$B$18:$E$48,4,FALSE)&amp;$AX71,坦克属性分配比例,MATCH("升星次数",坦克属性分配比例标头,0),FALSE)*(VLOOKUP(VLOOKUP($AW71,坦克个性化设定!$B$18:$E$48,4,FALSE)&amp;$AX71,坦克属性分配比例,MATCH("升星比例",坦克属性分配比例标头,0),FALSE)+VLOOKUP(VLOOKUP($AW71,坦克个性化设定!$B$18:$E$48,4,FALSE)&amp;$AX71,坦克属性分配比例,MATCH("部件比例",坦克属性分配比例标头,0),FALSE)*$C$3),0)</f>
        <v>457</v>
      </c>
      <c r="BD71" s="426">
        <f ca="1">ROUND(VLOOKUP($AW71&amp;"初始",$O$3:$AA$63,MATCH(BD$3,$O$3:$AA$3,0),FALSE)+(VLOOKUP($AW71&amp;"最终",$O$3:$AA$63,MATCH(BD$3,$O$3:$AA$3,0),FALSE)-VLOOKUP($AW71&amp;"初始",$O$3:$AA$63,MATCH(BD$3,$O$3:$AA$3,0),FALSE))*$AY71/VLOOKUP(VLOOKUP($AW71,坦克个性化设定!$B$18:$E$48,4,FALSE)&amp;$AX71,坦克属性分配比例,MATCH("升星次数",坦克属性分配比例标头,0),FALSE)*VLOOKUP(VLOOKUP($AW71,坦克个性化设定!$B$18:$E$48,4,FALSE)&amp;$AX71,坦克属性分配比例,MATCH("升星比例",坦克属性分配比例标头,0),FALSE),0)</f>
        <v>598</v>
      </c>
      <c r="BE71" s="426">
        <f ca="1">ROUND(VLOOKUP($AW71&amp;"初始",$O$3:$AA$63,MATCH(BE$3,$O$3:$AA$3,0),FALSE)+(VLOOKUP($AW71&amp;"最终",$O$3:$AA$63,MATCH(BE$3,$O$3:$AA$3,0),FALSE)-VLOOKUP($AW71&amp;"初始",$O$3:$AA$63,MATCH(BE$3,$O$3:$AA$3,0),FALSE))*$AY71/VLOOKUP(VLOOKUP($AW71,坦克个性化设定!$B$18:$E$48,4,FALSE)&amp;$AX71,坦克属性分配比例,MATCH("升星次数",坦克属性分配比例标头,0),FALSE),0)</f>
        <v>184</v>
      </c>
      <c r="BF71" s="462">
        <f>ROUND(VLOOKUP($AW71,$AD$3:$AJ$33,MATCH(BF$3,$AD$3:$AJ$3,0),FALSE)+$AY71/VLOOKUP(VLOOKUP($AW71,坦克个性化设定!$B$18:$E$48,4,FALSE)&amp;$AX71,坦克属性分配比例,MATCH("升星次数",坦克属性分配比例标头,0),FALSE)*VLOOKUP($AW71,$AM$3:$AS$33,MATCH(BF$3,$AM$3:$AS$3,0),FALSE),1)</f>
        <v>46.6</v>
      </c>
      <c r="BG71" s="462">
        <f>ROUND(VLOOKUP($AW71,$AD$3:$AJ$33,MATCH(BG$3,$AD$3:$AJ$3,0),FALSE)+$AY71/VLOOKUP(VLOOKUP($AW71,坦克个性化设定!$B$18:$E$48,4,FALSE)&amp;$AX71,坦克属性分配比例,MATCH("升星次数",坦克属性分配比例标头,0),FALSE)*VLOOKUP($AW71,$AM$3:$AS$33,MATCH(BG$3,$AM$3:$AS$3,0),FALSE),1)</f>
        <v>55</v>
      </c>
      <c r="BH71" s="462">
        <f>ROUND(VLOOKUP($AW71,$AD$3:$AJ$33,MATCH(BH$3,$AD$3:$AJ$3,0),FALSE)+$AY71/VLOOKUP(VLOOKUP($AW71,坦克个性化设定!$B$18:$E$48,4,FALSE)&amp;$AX71,坦克属性分配比例,MATCH("升星次数",坦克属性分配比例标头,0),FALSE)*VLOOKUP($AW71,$AM$3:$AS$33,MATCH(BH$3,$AM$3:$AS$3,0),FALSE),1)</f>
        <v>15.7</v>
      </c>
      <c r="BI71" s="654">
        <f>IF(VLOOKUP(AW71,坦克个性化设定!$B$18:$BB$48,MATCH("装弹类型",坦克个性化设定!$B$18:$BB$18,0),FALSE)="弹夹换弹",0,ROUND(VLOOKUP($AW71,$AD$3:$AJ$33,MATCH("换弹时间",$AD$3:$AJ$3,0),FALSE)-$AY71/VLOOKUP(VLOOKUP($AW71,坦克个性化设定!$B$18:$E$48,4,FALSE)&amp;$AX71,坦克属性分配比例,MATCH("升星次数",坦克属性分配比例标头,0),FALSE)*VLOOKUP($AW71,$AM$3:$AS$33,MATCH("换弹时间",$AM$3:$AS$3,0),FALSE),2))</f>
        <v>1.26</v>
      </c>
      <c r="BJ71" s="462">
        <f>IF(VLOOKUP(AW71,坦克个性化设定!$B$18:$BB$48,MATCH("装弹类型",坦克个性化设定!$B$18:$BB$18,0),FALSE)="弹夹换弹",ROUND(VLOOKUP($AW71,$AD$3:$AJ$33,MATCH("换弹时间",$AD$3:$AJ$3,0),FALSE)-$AY71/VLOOKUP(VLOOKUP($AW71,坦克个性化设定!$B$18:$E$48,4,FALSE)&amp;$AX71,坦克属性分配比例,MATCH("升星次数",坦克属性分配比例标头,0),FALSE)*VLOOKUP($AW71,$AM$3:$AS$33,MATCH("换弹时间",$AM$3:$AS$3,0),FALSE),1),0)</f>
        <v>0</v>
      </c>
      <c r="BK71" s="462">
        <f>ROUND(VLOOKUP($AW71,$AD$3:$AJ$33,MATCH(BK$3,$AD$3:$AJ$3,0),FALSE)+$AY71/VLOOKUP(VLOOKUP($AW71,坦克个性化设定!$B$18:$E$48,4,FALSE)&amp;$AX71,坦克属性分配比例,MATCH("升星次数",坦克属性分配比例标头,0),FALSE)*VLOOKUP($AW71,$AM$3:$AS$33,MATCH(BK$3,$AM$3:$AS$3,0),FALSE),2)</f>
        <v>0.3</v>
      </c>
      <c r="BL71" s="462">
        <f>ROUND(VLOOKUP($AW71,$AD$3:$AJ$33,MATCH(BL$3,$AD$3:$AJ$3,0),FALSE)-$AY71/VLOOKUP(VLOOKUP($AW71,坦克个性化设定!$B$18:$E$48,4,FALSE)&amp;$AX71,坦克属性分配比例,MATCH("升星次数",坦克属性分配比例标头,0),FALSE)*VLOOKUP($AW71,$AM$3:$AS$33,MATCH(BL$3,$AM$3:$AS$3,0),FALSE),2)</f>
        <v>0.84</v>
      </c>
    </row>
    <row r="72" spans="47:64" x14ac:dyDescent="0.35">
      <c r="AU72" s="364" t="str">
        <f t="shared" si="19"/>
        <v>霞飞5</v>
      </c>
      <c r="AV72" s="183">
        <f>IF(AY71&gt;=VLOOKUP(VLOOKUP(AW71,坦克个性化设定!$B$18:$E$48,4,FALSE)&amp;AX71,坦克属性分配比例,MATCH("升星次数",坦克属性分配比例标头,0),FALSE),AV71+1,AV71)</f>
        <v>7</v>
      </c>
      <c r="AW72" s="131" t="str">
        <f t="shared" si="20"/>
        <v>霞飞</v>
      </c>
      <c r="AX72" s="177" t="str">
        <f>VLOOKUP(AW72,坦克个性化细分!$I$3:$J$33,2,FALSE)</f>
        <v>低</v>
      </c>
      <c r="AY72" s="183">
        <f t="shared" si="18"/>
        <v>5</v>
      </c>
      <c r="AZ72" s="486">
        <f ca="1">ROUND(VLOOKUP($AW72&amp;"初始",$O$3:$AA$63,MATCH(AZ$3,$O$3:$AA$3,0),FALSE)+((VLOOKUP($AW72&amp;"最终",$O$3:$AA$63,MATCH(AZ$3,$O$3:$AA$3,0),FALSE)*坦克个性化细分!$C$9-VLOOKUP($AW72&amp;"初始",$O$3:$AA$63,MATCH(AZ$3,$O$3:$AA$3,0),FALSE))-(VLOOKUP($AW72&amp;"最终",$O$3:$AA$63,MATCH(AZ$3,$O$3:$AA$3,0),FALSE)-VLOOKUP($AW72&amp;"初始",$O$3:$AA$63,MATCH(AZ$3,$O$3:$AA$3,0),FALSE))*VLOOKUP(VLOOKUP($AW72,坦克个性化设定!$B$18:$E$48,4,FALSE)&amp;$AX72,坦克属性分配比例,MATCH("部件比例",坦克属性分配比例标头,0),FALSE))*$AY72/VLOOKUP(VLOOKUP($AW72,坦克个性化设定!$B$18:$E$48,4,FALSE)&amp;$AX72,坦克属性分配比例,MATCH("升星次数",坦克属性分配比例标头,0),FALSE),0)</f>
        <v>1873</v>
      </c>
      <c r="BA72" s="426">
        <f ca="1">ROUND(VLOOKUP($AW72&amp;"初始",$O$3:$AA$63,MATCH(BA$3,$O$3:$AA$3,0),FALSE)+(VLOOKUP($AW72&amp;"最终",$O$3:$AA$63,MATCH(BA$3,$O$3:$AA$3,0),FALSE)-VLOOKUP($AW72&amp;"初始",$O$3:$AA$63,MATCH(BA$3,$O$3:$AA$3,0),FALSE))*$AY72/VLOOKUP(VLOOKUP($AW72,坦克个性化设定!$B$18:$E$48,4,FALSE)&amp;$AX72,坦克属性分配比例,MATCH("升星次数",坦克属性分配比例标头,0),FALSE)*VLOOKUP(VLOOKUP($AW72,坦克个性化设定!$B$18:$E$48,4,FALSE)&amp;$AX72,坦克属性分配比例,MATCH("升星比例",坦克属性分配比例标头,0),FALSE),0)</f>
        <v>102</v>
      </c>
      <c r="BB72" s="486">
        <f ca="1">ROUND(VLOOKUP($AW72&amp;"初始",$O$3:$AA$63,MATCH(BB$3,$O$3:$AA$3,0),FALSE)+(VLOOKUP($AW72&amp;"最终",$O$3:$AA$63,MATCH(BB$3,$O$3:$AA$3,0),FALSE)-VLOOKUP($AW72&amp;"初始",$O$3:$AA$63,MATCH(BB$3,$O$3:$AA$3,0),FALSE))*$AY72/VLOOKUP(VLOOKUP($AW72,坦克个性化设定!$B$18:$E$48,4,FALSE)&amp;$AX72,坦克属性分配比例,MATCH("升星次数",坦克属性分配比例标头,0),FALSE)*(VLOOKUP(VLOOKUP($AW72,坦克个性化设定!$B$18:$E$48,4,FALSE)&amp;$AX72,坦克属性分配比例,MATCH("升星比例",坦克属性分配比例标头,0),FALSE)+VLOOKUP(VLOOKUP($AW72,坦克个性化设定!$B$18:$E$48,4,FALSE)&amp;$AX72,坦克属性分配比例,MATCH("部件比例",坦克属性分配比例标头,0),FALSE)*$C$3),0)</f>
        <v>674</v>
      </c>
      <c r="BC72" s="486">
        <f ca="1">ROUND(VLOOKUP($AW72&amp;"初始",$O$3:$AA$63,MATCH(BC$3,$O$3:$AA$3,0),FALSE)+(VLOOKUP($AW72&amp;"最终",$O$3:$AA$63,MATCH(BC$3,$O$3:$AA$3,0),FALSE)-VLOOKUP($AW72&amp;"初始",$O$3:$AA$63,MATCH(BC$3,$O$3:$AA$3,0),FALSE))*$AY72/VLOOKUP(VLOOKUP($AW72,坦克个性化设定!$B$18:$E$48,4,FALSE)&amp;$AX72,坦克属性分配比例,MATCH("升星次数",坦克属性分配比例标头,0),FALSE)*(VLOOKUP(VLOOKUP($AW72,坦克个性化设定!$B$18:$E$48,4,FALSE)&amp;$AX72,坦克属性分配比例,MATCH("升星比例",坦克属性分配比例标头,0),FALSE)+VLOOKUP(VLOOKUP($AW72,坦克个性化设定!$B$18:$E$48,4,FALSE)&amp;$AX72,坦克属性分配比例,MATCH("部件比例",坦克属性分配比例标头,0),FALSE)*$C$3),0)</f>
        <v>472</v>
      </c>
      <c r="BD72" s="426">
        <f ca="1">ROUND(VLOOKUP($AW72&amp;"初始",$O$3:$AA$63,MATCH(BD$3,$O$3:$AA$3,0),FALSE)+(VLOOKUP($AW72&amp;"最终",$O$3:$AA$63,MATCH(BD$3,$O$3:$AA$3,0),FALSE)-VLOOKUP($AW72&amp;"初始",$O$3:$AA$63,MATCH(BD$3,$O$3:$AA$3,0),FALSE))*$AY72/VLOOKUP(VLOOKUP($AW72,坦克个性化设定!$B$18:$E$48,4,FALSE)&amp;$AX72,坦克属性分配比例,MATCH("升星次数",坦克属性分配比例标头,0),FALSE)*VLOOKUP(VLOOKUP($AW72,坦克个性化设定!$B$18:$E$48,4,FALSE)&amp;$AX72,坦克属性分配比例,MATCH("升星比例",坦克属性分配比例标头,0),FALSE),0)</f>
        <v>605</v>
      </c>
      <c r="BE72" s="426">
        <f ca="1">ROUND(VLOOKUP($AW72&amp;"初始",$O$3:$AA$63,MATCH(BE$3,$O$3:$AA$3,0),FALSE)+(VLOOKUP($AW72&amp;"最终",$O$3:$AA$63,MATCH(BE$3,$O$3:$AA$3,0),FALSE)-VLOOKUP($AW72&amp;"初始",$O$3:$AA$63,MATCH(BE$3,$O$3:$AA$3,0),FALSE))*$AY72/VLOOKUP(VLOOKUP($AW72,坦克个性化设定!$B$18:$E$48,4,FALSE)&amp;$AX72,坦克属性分配比例,MATCH("升星次数",坦克属性分配比例标头,0),FALSE),0)</f>
        <v>192</v>
      </c>
      <c r="BF72" s="462">
        <f>ROUND(VLOOKUP($AW72,$AD$3:$AJ$33,MATCH(BF$3,$AD$3:$AJ$3,0),FALSE)+$AY72/VLOOKUP(VLOOKUP($AW72,坦克个性化设定!$B$18:$E$48,4,FALSE)&amp;$AX72,坦克属性分配比例,MATCH("升星次数",坦克属性分配比例标头,0),FALSE)*VLOOKUP($AW72,$AM$3:$AS$33,MATCH(BF$3,$AM$3:$AS$3,0),FALSE),1)</f>
        <v>47.7</v>
      </c>
      <c r="BG72" s="462">
        <f>ROUND(VLOOKUP($AW72,$AD$3:$AJ$33,MATCH(BG$3,$AD$3:$AJ$3,0),FALSE)+$AY72/VLOOKUP(VLOOKUP($AW72,坦克个性化设定!$B$18:$E$48,4,FALSE)&amp;$AX72,坦克属性分配比例,MATCH("升星次数",坦克属性分配比例标头,0),FALSE)*VLOOKUP($AW72,$AM$3:$AS$33,MATCH(BG$3,$AM$3:$AS$3,0),FALSE),1)</f>
        <v>56.3</v>
      </c>
      <c r="BH72" s="462">
        <f>ROUND(VLOOKUP($AW72,$AD$3:$AJ$33,MATCH(BH$3,$AD$3:$AJ$3,0),FALSE)+$AY72/VLOOKUP(VLOOKUP($AW72,坦克个性化设定!$B$18:$E$48,4,FALSE)&amp;$AX72,坦克属性分配比例,MATCH("升星次数",坦克属性分配比例标头,0),FALSE)*VLOOKUP($AW72,$AM$3:$AS$33,MATCH(BH$3,$AM$3:$AS$3,0),FALSE),1)</f>
        <v>16.2</v>
      </c>
      <c r="BI72" s="654">
        <f>IF(VLOOKUP(AW72,坦克个性化设定!$B$18:$BB$48,MATCH("装弹类型",坦克个性化设定!$B$18:$BB$18,0),FALSE)="弹夹换弹",0,ROUND(VLOOKUP($AW72,$AD$3:$AJ$33,MATCH("换弹时间",$AD$3:$AJ$3,0),FALSE)-$AY72/VLOOKUP(VLOOKUP($AW72,坦克个性化设定!$B$18:$E$48,4,FALSE)&amp;$AX72,坦克属性分配比例,MATCH("升星次数",坦克属性分配比例标头,0),FALSE)*VLOOKUP($AW72,$AM$3:$AS$33,MATCH("换弹时间",$AM$3:$AS$3,0),FALSE),2))</f>
        <v>1.22</v>
      </c>
      <c r="BJ72" s="462">
        <f>IF(VLOOKUP(AW72,坦克个性化设定!$B$18:$BB$48,MATCH("装弹类型",坦克个性化设定!$B$18:$BB$18,0),FALSE)="弹夹换弹",ROUND(VLOOKUP($AW72,$AD$3:$AJ$33,MATCH("换弹时间",$AD$3:$AJ$3,0),FALSE)-$AY72/VLOOKUP(VLOOKUP($AW72,坦克个性化设定!$B$18:$E$48,4,FALSE)&amp;$AX72,坦克属性分配比例,MATCH("升星次数",坦克属性分配比例标头,0),FALSE)*VLOOKUP($AW72,$AM$3:$AS$33,MATCH("换弹时间",$AM$3:$AS$3,0),FALSE),1),0)</f>
        <v>0</v>
      </c>
      <c r="BK72" s="462">
        <f>ROUND(VLOOKUP($AW72,$AD$3:$AJ$33,MATCH(BK$3,$AD$3:$AJ$3,0),FALSE)+$AY72/VLOOKUP(VLOOKUP($AW72,坦克个性化设定!$B$18:$E$48,4,FALSE)&amp;$AX72,坦克属性分配比例,MATCH("升星次数",坦克属性分配比例标头,0),FALSE)*VLOOKUP($AW72,$AM$3:$AS$33,MATCH(BK$3,$AM$3:$AS$3,0),FALSE),2)</f>
        <v>0.3</v>
      </c>
      <c r="BL72" s="462">
        <f>ROUND(VLOOKUP($AW72,$AD$3:$AJ$33,MATCH(BL$3,$AD$3:$AJ$3,0),FALSE)-$AY72/VLOOKUP(VLOOKUP($AW72,坦克个性化设定!$B$18:$E$48,4,FALSE)&amp;$AX72,坦克属性分配比例,MATCH("升星次数",坦克属性分配比例标头,0),FALSE)*VLOOKUP($AW72,$AM$3:$AS$33,MATCH(BL$3,$AM$3:$AS$3,0),FALSE),2)</f>
        <v>0.83</v>
      </c>
    </row>
    <row r="73" spans="47:64" x14ac:dyDescent="0.35">
      <c r="AU73" s="364" t="str">
        <f t="shared" si="19"/>
        <v>霞飞6</v>
      </c>
      <c r="AV73" s="183">
        <f>IF(AY72&gt;=VLOOKUP(VLOOKUP(AW72,坦克个性化设定!$B$18:$E$48,4,FALSE)&amp;AX72,坦克属性分配比例,MATCH("升星次数",坦克属性分配比例标头,0),FALSE),AV72+1,AV72)</f>
        <v>7</v>
      </c>
      <c r="AW73" s="131" t="str">
        <f t="shared" si="20"/>
        <v>霞飞</v>
      </c>
      <c r="AX73" s="177" t="str">
        <f>VLOOKUP(AW73,坦克个性化细分!$I$3:$J$33,2,FALSE)</f>
        <v>低</v>
      </c>
      <c r="AY73" s="183">
        <f t="shared" si="18"/>
        <v>6</v>
      </c>
      <c r="AZ73" s="486">
        <f ca="1">ROUND(VLOOKUP($AW73&amp;"初始",$O$3:$AA$63,MATCH(AZ$3,$O$3:$AA$3,0),FALSE)+((VLOOKUP($AW73&amp;"最终",$O$3:$AA$63,MATCH(AZ$3,$O$3:$AA$3,0),FALSE)*坦克个性化细分!$C$9-VLOOKUP($AW73&amp;"初始",$O$3:$AA$63,MATCH(AZ$3,$O$3:$AA$3,0),FALSE))-(VLOOKUP($AW73&amp;"最终",$O$3:$AA$63,MATCH(AZ$3,$O$3:$AA$3,0),FALSE)-VLOOKUP($AW73&amp;"初始",$O$3:$AA$63,MATCH(AZ$3,$O$3:$AA$3,0),FALSE))*VLOOKUP(VLOOKUP($AW73,坦克个性化设定!$B$18:$E$48,4,FALSE)&amp;$AX73,坦克属性分配比例,MATCH("部件比例",坦克属性分配比例标头,0),FALSE))*$AY73/VLOOKUP(VLOOKUP($AW73,坦克个性化设定!$B$18:$E$48,4,FALSE)&amp;$AX73,坦克属性分配比例,MATCH("升星次数",坦克属性分配比例标头,0),FALSE),0)</f>
        <v>1957</v>
      </c>
      <c r="BA73" s="426">
        <f ca="1">ROUND(VLOOKUP($AW73&amp;"初始",$O$3:$AA$63,MATCH(BA$3,$O$3:$AA$3,0),FALSE)+(VLOOKUP($AW73&amp;"最终",$O$3:$AA$63,MATCH(BA$3,$O$3:$AA$3,0),FALSE)-VLOOKUP($AW73&amp;"初始",$O$3:$AA$63,MATCH(BA$3,$O$3:$AA$3,0),FALSE))*$AY73/VLOOKUP(VLOOKUP($AW73,坦克个性化设定!$B$18:$E$48,4,FALSE)&amp;$AX73,坦克属性分配比例,MATCH("升星次数",坦克属性分配比例标头,0),FALSE)*VLOOKUP(VLOOKUP($AW73,坦克个性化设定!$B$18:$E$48,4,FALSE)&amp;$AX73,坦克属性分配比例,MATCH("升星比例",坦克属性分配比例标头,0),FALSE),0)</f>
        <v>103</v>
      </c>
      <c r="BB73" s="486">
        <f ca="1">ROUND(VLOOKUP($AW73&amp;"初始",$O$3:$AA$63,MATCH(BB$3,$O$3:$AA$3,0),FALSE)+(VLOOKUP($AW73&amp;"最终",$O$3:$AA$63,MATCH(BB$3,$O$3:$AA$3,0),FALSE)-VLOOKUP($AW73&amp;"初始",$O$3:$AA$63,MATCH(BB$3,$O$3:$AA$3,0),FALSE))*$AY73/VLOOKUP(VLOOKUP($AW73,坦克个性化设定!$B$18:$E$48,4,FALSE)&amp;$AX73,坦克属性分配比例,MATCH("升星次数",坦克属性分配比例标头,0),FALSE)*(VLOOKUP(VLOOKUP($AW73,坦克个性化设定!$B$18:$E$48,4,FALSE)&amp;$AX73,坦克属性分配比例,MATCH("升星比例",坦克属性分配比例标头,0),FALSE)+VLOOKUP(VLOOKUP($AW73,坦克个性化设定!$B$18:$E$48,4,FALSE)&amp;$AX73,坦克属性分配比例,MATCH("部件比例",坦克属性分配比例标头,0),FALSE)*$C$3),0)</f>
        <v>695</v>
      </c>
      <c r="BC73" s="486">
        <f ca="1">ROUND(VLOOKUP($AW73&amp;"初始",$O$3:$AA$63,MATCH(BC$3,$O$3:$AA$3,0),FALSE)+(VLOOKUP($AW73&amp;"最终",$O$3:$AA$63,MATCH(BC$3,$O$3:$AA$3,0),FALSE)-VLOOKUP($AW73&amp;"初始",$O$3:$AA$63,MATCH(BC$3,$O$3:$AA$3,0),FALSE))*$AY73/VLOOKUP(VLOOKUP($AW73,坦克个性化设定!$B$18:$E$48,4,FALSE)&amp;$AX73,坦克属性分配比例,MATCH("升星次数",坦克属性分配比例标头,0),FALSE)*(VLOOKUP(VLOOKUP($AW73,坦克个性化设定!$B$18:$E$48,4,FALSE)&amp;$AX73,坦克属性分配比例,MATCH("升星比例",坦克属性分配比例标头,0),FALSE)+VLOOKUP(VLOOKUP($AW73,坦克个性化设定!$B$18:$E$48,4,FALSE)&amp;$AX73,坦克属性分配比例,MATCH("部件比例",坦克属性分配比例标头,0),FALSE)*$C$3),0)</f>
        <v>486</v>
      </c>
      <c r="BD73" s="426">
        <f ca="1">ROUND(VLOOKUP($AW73&amp;"初始",$O$3:$AA$63,MATCH(BD$3,$O$3:$AA$3,0),FALSE)+(VLOOKUP($AW73&amp;"最终",$O$3:$AA$63,MATCH(BD$3,$O$3:$AA$3,0),FALSE)-VLOOKUP($AW73&amp;"初始",$O$3:$AA$63,MATCH(BD$3,$O$3:$AA$3,0),FALSE))*$AY73/VLOOKUP(VLOOKUP($AW73,坦克个性化设定!$B$18:$E$48,4,FALSE)&amp;$AX73,坦克属性分配比例,MATCH("升星次数",坦克属性分配比例标头,0),FALSE)*VLOOKUP(VLOOKUP($AW73,坦克个性化设定!$B$18:$E$48,4,FALSE)&amp;$AX73,坦克属性分配比例,MATCH("升星比例",坦克属性分配比例标头,0),FALSE),0)</f>
        <v>612</v>
      </c>
      <c r="BE73" s="426">
        <f ca="1">ROUND(VLOOKUP($AW73&amp;"初始",$O$3:$AA$63,MATCH(BE$3,$O$3:$AA$3,0),FALSE)+(VLOOKUP($AW73&amp;"最终",$O$3:$AA$63,MATCH(BE$3,$O$3:$AA$3,0),FALSE)-VLOOKUP($AW73&amp;"初始",$O$3:$AA$63,MATCH(BE$3,$O$3:$AA$3,0),FALSE))*$AY73/VLOOKUP(VLOOKUP($AW73,坦克个性化设定!$B$18:$E$48,4,FALSE)&amp;$AX73,坦克属性分配比例,MATCH("升星次数",坦克属性分配比例标头,0),FALSE),0)</f>
        <v>200</v>
      </c>
      <c r="BF73" s="462">
        <f>ROUND(VLOOKUP($AW73,$AD$3:$AJ$33,MATCH(BF$3,$AD$3:$AJ$3,0),FALSE)+$AY73/VLOOKUP(VLOOKUP($AW73,坦克个性化设定!$B$18:$E$48,4,FALSE)&amp;$AX73,坦克属性分配比例,MATCH("升星次数",坦克属性分配比例标头,0),FALSE)*VLOOKUP($AW73,$AM$3:$AS$33,MATCH(BF$3,$AM$3:$AS$3,0),FALSE),1)</f>
        <v>48.8</v>
      </c>
      <c r="BG73" s="462">
        <f>ROUND(VLOOKUP($AW73,$AD$3:$AJ$33,MATCH(BG$3,$AD$3:$AJ$3,0),FALSE)+$AY73/VLOOKUP(VLOOKUP($AW73,坦克个性化设定!$B$18:$E$48,4,FALSE)&amp;$AX73,坦克属性分配比例,MATCH("升星次数",坦克属性分配比例标头,0),FALSE)*VLOOKUP($AW73,$AM$3:$AS$33,MATCH(BG$3,$AM$3:$AS$3,0),FALSE),1)</f>
        <v>57.5</v>
      </c>
      <c r="BH73" s="462">
        <f>ROUND(VLOOKUP($AW73,$AD$3:$AJ$33,MATCH(BH$3,$AD$3:$AJ$3,0),FALSE)+$AY73/VLOOKUP(VLOOKUP($AW73,坦克个性化设定!$B$18:$E$48,4,FALSE)&amp;$AX73,坦克属性分配比例,MATCH("升星次数",坦克属性分配比例标头,0),FALSE)*VLOOKUP($AW73,$AM$3:$AS$33,MATCH(BH$3,$AM$3:$AS$3,0),FALSE),1)</f>
        <v>16.600000000000001</v>
      </c>
      <c r="BI73" s="654">
        <f>IF(VLOOKUP(AW73,坦克个性化设定!$B$18:$BB$48,MATCH("装弹类型",坦克个性化设定!$B$18:$BB$18,0),FALSE)="弹夹换弹",0,ROUND(VLOOKUP($AW73,$AD$3:$AJ$33,MATCH("换弹时间",$AD$3:$AJ$3,0),FALSE)-$AY73/VLOOKUP(VLOOKUP($AW73,坦克个性化设定!$B$18:$E$48,4,FALSE)&amp;$AX73,坦克属性分配比例,MATCH("升星次数",坦克属性分配比例标头,0),FALSE)*VLOOKUP($AW73,$AM$3:$AS$33,MATCH("换弹时间",$AM$3:$AS$3,0),FALSE),2))</f>
        <v>1.19</v>
      </c>
      <c r="BJ73" s="462">
        <f>IF(VLOOKUP(AW73,坦克个性化设定!$B$18:$BB$48,MATCH("装弹类型",坦克个性化设定!$B$18:$BB$18,0),FALSE)="弹夹换弹",ROUND(VLOOKUP($AW73,$AD$3:$AJ$33,MATCH("换弹时间",$AD$3:$AJ$3,0),FALSE)-$AY73/VLOOKUP(VLOOKUP($AW73,坦克个性化设定!$B$18:$E$48,4,FALSE)&amp;$AX73,坦克属性分配比例,MATCH("升星次数",坦克属性分配比例标头,0),FALSE)*VLOOKUP($AW73,$AM$3:$AS$33,MATCH("换弹时间",$AM$3:$AS$3,0),FALSE),1),0)</f>
        <v>0</v>
      </c>
      <c r="BK73" s="462">
        <f>ROUND(VLOOKUP($AW73,$AD$3:$AJ$33,MATCH(BK$3,$AD$3:$AJ$3,0),FALSE)+$AY73/VLOOKUP(VLOOKUP($AW73,坦克个性化设定!$B$18:$E$48,4,FALSE)&amp;$AX73,坦克属性分配比例,MATCH("升星次数",坦克属性分配比例标头,0),FALSE)*VLOOKUP($AW73,$AM$3:$AS$33,MATCH(BK$3,$AM$3:$AS$3,0),FALSE),2)</f>
        <v>0.3</v>
      </c>
      <c r="BL73" s="462">
        <f>ROUND(VLOOKUP($AW73,$AD$3:$AJ$33,MATCH(BL$3,$AD$3:$AJ$3,0),FALSE)-$AY73/VLOOKUP(VLOOKUP($AW73,坦克个性化设定!$B$18:$E$48,4,FALSE)&amp;$AX73,坦克属性分配比例,MATCH("升星次数",坦克属性分配比例标头,0),FALSE)*VLOOKUP($AW73,$AM$3:$AS$33,MATCH(BL$3,$AM$3:$AS$3,0),FALSE),2)</f>
        <v>0.81</v>
      </c>
    </row>
    <row r="74" spans="47:64" x14ac:dyDescent="0.35">
      <c r="AU74" s="364" t="str">
        <f t="shared" si="19"/>
        <v>霞飞7</v>
      </c>
      <c r="AV74" s="183">
        <f>IF(AY73&gt;=VLOOKUP(VLOOKUP(AW73,坦克个性化设定!$B$18:$E$48,4,FALSE)&amp;AX73,坦克属性分配比例,MATCH("升星次数",坦克属性分配比例标头,0),FALSE),AV73+1,AV73)</f>
        <v>7</v>
      </c>
      <c r="AW74" s="131" t="str">
        <f t="shared" si="20"/>
        <v>霞飞</v>
      </c>
      <c r="AX74" s="177" t="str">
        <f>VLOOKUP(AW74,坦克个性化细分!$I$3:$J$33,2,FALSE)</f>
        <v>低</v>
      </c>
      <c r="AY74" s="183">
        <f t="shared" si="18"/>
        <v>7</v>
      </c>
      <c r="AZ74" s="486">
        <f ca="1">ROUND(VLOOKUP($AW74&amp;"初始",$O$3:$AA$63,MATCH(AZ$3,$O$3:$AA$3,0),FALSE)+((VLOOKUP($AW74&amp;"最终",$O$3:$AA$63,MATCH(AZ$3,$O$3:$AA$3,0),FALSE)*坦克个性化细分!$C$9-VLOOKUP($AW74&amp;"初始",$O$3:$AA$63,MATCH(AZ$3,$O$3:$AA$3,0),FALSE))-(VLOOKUP($AW74&amp;"最终",$O$3:$AA$63,MATCH(AZ$3,$O$3:$AA$3,0),FALSE)-VLOOKUP($AW74&amp;"初始",$O$3:$AA$63,MATCH(AZ$3,$O$3:$AA$3,0),FALSE))*VLOOKUP(VLOOKUP($AW74,坦克个性化设定!$B$18:$E$48,4,FALSE)&amp;$AX74,坦克属性分配比例,MATCH("部件比例",坦克属性分配比例标头,0),FALSE))*$AY74/VLOOKUP(VLOOKUP($AW74,坦克个性化设定!$B$18:$E$48,4,FALSE)&amp;$AX74,坦克属性分配比例,MATCH("升星次数",坦克属性分配比例标头,0),FALSE),0)</f>
        <v>2042</v>
      </c>
      <c r="BA74" s="426">
        <f ca="1">ROUND(VLOOKUP($AW74&amp;"初始",$O$3:$AA$63,MATCH(BA$3,$O$3:$AA$3,0),FALSE)+(VLOOKUP($AW74&amp;"最终",$O$3:$AA$63,MATCH(BA$3,$O$3:$AA$3,0),FALSE)-VLOOKUP($AW74&amp;"初始",$O$3:$AA$63,MATCH(BA$3,$O$3:$AA$3,0),FALSE))*$AY74/VLOOKUP(VLOOKUP($AW74,坦克个性化设定!$B$18:$E$48,4,FALSE)&amp;$AX74,坦克属性分配比例,MATCH("升星次数",坦克属性分配比例标头,0),FALSE)*VLOOKUP(VLOOKUP($AW74,坦克个性化设定!$B$18:$E$48,4,FALSE)&amp;$AX74,坦克属性分配比例,MATCH("升星比例",坦克属性分配比例标头,0),FALSE),0)</f>
        <v>104</v>
      </c>
      <c r="BB74" s="486">
        <f ca="1">ROUND(VLOOKUP($AW74&amp;"初始",$O$3:$AA$63,MATCH(BB$3,$O$3:$AA$3,0),FALSE)+(VLOOKUP($AW74&amp;"最终",$O$3:$AA$63,MATCH(BB$3,$O$3:$AA$3,0),FALSE)-VLOOKUP($AW74&amp;"初始",$O$3:$AA$63,MATCH(BB$3,$O$3:$AA$3,0),FALSE))*$AY74/VLOOKUP(VLOOKUP($AW74,坦克个性化设定!$B$18:$E$48,4,FALSE)&amp;$AX74,坦克属性分配比例,MATCH("升星次数",坦克属性分配比例标头,0),FALSE)*(VLOOKUP(VLOOKUP($AW74,坦克个性化设定!$B$18:$E$48,4,FALSE)&amp;$AX74,坦克属性分配比例,MATCH("升星比例",坦克属性分配比例标头,0),FALSE)+VLOOKUP(VLOOKUP($AW74,坦克个性化设定!$B$18:$E$48,4,FALSE)&amp;$AX74,坦克属性分配比例,MATCH("部件比例",坦克属性分配比例标头,0),FALSE)*$C$3),0)</f>
        <v>716</v>
      </c>
      <c r="BC74" s="486">
        <f ca="1">ROUND(VLOOKUP($AW74&amp;"初始",$O$3:$AA$63,MATCH(BC$3,$O$3:$AA$3,0),FALSE)+(VLOOKUP($AW74&amp;"最终",$O$3:$AA$63,MATCH(BC$3,$O$3:$AA$3,0),FALSE)-VLOOKUP($AW74&amp;"初始",$O$3:$AA$63,MATCH(BC$3,$O$3:$AA$3,0),FALSE))*$AY74/VLOOKUP(VLOOKUP($AW74,坦克个性化设定!$B$18:$E$48,4,FALSE)&amp;$AX74,坦克属性分配比例,MATCH("升星次数",坦克属性分配比例标头,0),FALSE)*(VLOOKUP(VLOOKUP($AW74,坦克个性化设定!$B$18:$E$48,4,FALSE)&amp;$AX74,坦克属性分配比例,MATCH("升星比例",坦克属性分配比例标头,0),FALSE)+VLOOKUP(VLOOKUP($AW74,坦克个性化设定!$B$18:$E$48,4,FALSE)&amp;$AX74,坦克属性分配比例,MATCH("部件比例",坦克属性分配比例标头,0),FALSE)*$C$3),0)</f>
        <v>501</v>
      </c>
      <c r="BD74" s="426">
        <f ca="1">ROUND(VLOOKUP($AW74&amp;"初始",$O$3:$AA$63,MATCH(BD$3,$O$3:$AA$3,0),FALSE)+(VLOOKUP($AW74&amp;"最终",$O$3:$AA$63,MATCH(BD$3,$O$3:$AA$3,0),FALSE)-VLOOKUP($AW74&amp;"初始",$O$3:$AA$63,MATCH(BD$3,$O$3:$AA$3,0),FALSE))*$AY74/VLOOKUP(VLOOKUP($AW74,坦克个性化设定!$B$18:$E$48,4,FALSE)&amp;$AX74,坦克属性分配比例,MATCH("升星次数",坦克属性分配比例标头,0),FALSE)*VLOOKUP(VLOOKUP($AW74,坦克个性化设定!$B$18:$E$48,4,FALSE)&amp;$AX74,坦克属性分配比例,MATCH("升星比例",坦克属性分配比例标头,0),FALSE),0)</f>
        <v>619</v>
      </c>
      <c r="BE74" s="426">
        <f ca="1">ROUND(VLOOKUP($AW74&amp;"初始",$O$3:$AA$63,MATCH(BE$3,$O$3:$AA$3,0),FALSE)+(VLOOKUP($AW74&amp;"最终",$O$3:$AA$63,MATCH(BE$3,$O$3:$AA$3,0),FALSE)-VLOOKUP($AW74&amp;"初始",$O$3:$AA$63,MATCH(BE$3,$O$3:$AA$3,0),FALSE))*$AY74/VLOOKUP(VLOOKUP($AW74,坦克个性化设定!$B$18:$E$48,4,FALSE)&amp;$AX74,坦克属性分配比例,MATCH("升星次数",坦克属性分配比例标头,0),FALSE),0)</f>
        <v>208</v>
      </c>
      <c r="BF74" s="462">
        <f>ROUND(VLOOKUP($AW74,$AD$3:$AJ$33,MATCH(BF$3,$AD$3:$AJ$3,0),FALSE)+$AY74/VLOOKUP(VLOOKUP($AW74,坦克个性化设定!$B$18:$E$48,4,FALSE)&amp;$AX74,坦克属性分配比例,MATCH("升星次数",坦克属性分配比例标头,0),FALSE)*VLOOKUP($AW74,$AM$3:$AS$33,MATCH(BF$3,$AM$3:$AS$3,0),FALSE),1)</f>
        <v>49.8</v>
      </c>
      <c r="BG74" s="462">
        <f>ROUND(VLOOKUP($AW74,$AD$3:$AJ$33,MATCH(BG$3,$AD$3:$AJ$3,0),FALSE)+$AY74/VLOOKUP(VLOOKUP($AW74,坦克个性化设定!$B$18:$E$48,4,FALSE)&amp;$AX74,坦克属性分配比例,MATCH("升星次数",坦克属性分配比例标头,0),FALSE)*VLOOKUP($AW74,$AM$3:$AS$33,MATCH(BG$3,$AM$3:$AS$3,0),FALSE),1)</f>
        <v>58.8</v>
      </c>
      <c r="BH74" s="462">
        <f>ROUND(VLOOKUP($AW74,$AD$3:$AJ$33,MATCH(BH$3,$AD$3:$AJ$3,0),FALSE)+$AY74/VLOOKUP(VLOOKUP($AW74,坦克个性化设定!$B$18:$E$48,4,FALSE)&amp;$AX74,坦克属性分配比例,MATCH("升星次数",坦克属性分配比例标头,0),FALSE)*VLOOKUP($AW74,$AM$3:$AS$33,MATCH(BH$3,$AM$3:$AS$3,0),FALSE),1)</f>
        <v>17.100000000000001</v>
      </c>
      <c r="BI74" s="654">
        <f>IF(VLOOKUP(AW74,坦克个性化设定!$B$18:$BB$48,MATCH("装弹类型",坦克个性化设定!$B$18:$BB$18,0),FALSE)="弹夹换弹",0,ROUND(VLOOKUP($AW74,$AD$3:$AJ$33,MATCH("换弹时间",$AD$3:$AJ$3,0),FALSE)-$AY74/VLOOKUP(VLOOKUP($AW74,坦克个性化设定!$B$18:$E$48,4,FALSE)&amp;$AX74,坦克属性分配比例,MATCH("升星次数",坦克属性分配比例标头,0),FALSE)*VLOOKUP($AW74,$AM$3:$AS$33,MATCH("换弹时间",$AM$3:$AS$3,0),FALSE),2))</f>
        <v>1.1499999999999999</v>
      </c>
      <c r="BJ74" s="462">
        <f>IF(VLOOKUP(AW74,坦克个性化设定!$B$18:$BB$48,MATCH("装弹类型",坦克个性化设定!$B$18:$BB$18,0),FALSE)="弹夹换弹",ROUND(VLOOKUP($AW74,$AD$3:$AJ$33,MATCH("换弹时间",$AD$3:$AJ$3,0),FALSE)-$AY74/VLOOKUP(VLOOKUP($AW74,坦克个性化设定!$B$18:$E$48,4,FALSE)&amp;$AX74,坦克属性分配比例,MATCH("升星次数",坦克属性分配比例标头,0),FALSE)*VLOOKUP($AW74,$AM$3:$AS$33,MATCH("换弹时间",$AM$3:$AS$3,0),FALSE),1),0)</f>
        <v>0</v>
      </c>
      <c r="BK74" s="462">
        <f>ROUND(VLOOKUP($AW74,$AD$3:$AJ$33,MATCH(BK$3,$AD$3:$AJ$3,0),FALSE)+$AY74/VLOOKUP(VLOOKUP($AW74,坦克个性化设定!$B$18:$E$48,4,FALSE)&amp;$AX74,坦克属性分配比例,MATCH("升星次数",坦克属性分配比例标头,0),FALSE)*VLOOKUP($AW74,$AM$3:$AS$33,MATCH(BK$3,$AM$3:$AS$3,0),FALSE),2)</f>
        <v>0.3</v>
      </c>
      <c r="BL74" s="462">
        <f>ROUND(VLOOKUP($AW74,$AD$3:$AJ$33,MATCH(BL$3,$AD$3:$AJ$3,0),FALSE)-$AY74/VLOOKUP(VLOOKUP($AW74,坦克个性化设定!$B$18:$E$48,4,FALSE)&amp;$AX74,坦克属性分配比例,MATCH("升星次数",坦克属性分配比例标头,0),FALSE)*VLOOKUP($AW74,$AM$3:$AS$33,MATCH(BL$3,$AM$3:$AS$3,0),FALSE),2)</f>
        <v>0.8</v>
      </c>
    </row>
    <row r="75" spans="47:64" x14ac:dyDescent="0.35">
      <c r="AU75" s="364" t="str">
        <f t="shared" si="19"/>
        <v>霞飞8</v>
      </c>
      <c r="AV75" s="183">
        <f>IF(AY74&gt;=VLOOKUP(VLOOKUP(AW74,坦克个性化设定!$B$18:$E$48,4,FALSE)&amp;AX74,坦克属性分配比例,MATCH("升星次数",坦克属性分配比例标头,0),FALSE),AV74+1,AV74)</f>
        <v>7</v>
      </c>
      <c r="AW75" s="131" t="str">
        <f t="shared" si="20"/>
        <v>霞飞</v>
      </c>
      <c r="AX75" s="177" t="str">
        <f>VLOOKUP(AW75,坦克个性化细分!$I$3:$J$33,2,FALSE)</f>
        <v>低</v>
      </c>
      <c r="AY75" s="183">
        <f t="shared" si="18"/>
        <v>8</v>
      </c>
      <c r="AZ75" s="486">
        <f ca="1">ROUND(VLOOKUP($AW75&amp;"初始",$O$3:$AA$63,MATCH(AZ$3,$O$3:$AA$3,0),FALSE)+((VLOOKUP($AW75&amp;"最终",$O$3:$AA$63,MATCH(AZ$3,$O$3:$AA$3,0),FALSE)*坦克个性化细分!$C$9-VLOOKUP($AW75&amp;"初始",$O$3:$AA$63,MATCH(AZ$3,$O$3:$AA$3,0),FALSE))-(VLOOKUP($AW75&amp;"最终",$O$3:$AA$63,MATCH(AZ$3,$O$3:$AA$3,0),FALSE)-VLOOKUP($AW75&amp;"初始",$O$3:$AA$63,MATCH(AZ$3,$O$3:$AA$3,0),FALSE))*VLOOKUP(VLOOKUP($AW75,坦克个性化设定!$B$18:$E$48,4,FALSE)&amp;$AX75,坦克属性分配比例,MATCH("部件比例",坦克属性分配比例标头,0),FALSE))*$AY75/VLOOKUP(VLOOKUP($AW75,坦克个性化设定!$B$18:$E$48,4,FALSE)&amp;$AX75,坦克属性分配比例,MATCH("升星次数",坦克属性分配比例标头,0),FALSE),0)</f>
        <v>2126</v>
      </c>
      <c r="BA75" s="426">
        <f ca="1">ROUND(VLOOKUP($AW75&amp;"初始",$O$3:$AA$63,MATCH(BA$3,$O$3:$AA$3,0),FALSE)+(VLOOKUP($AW75&amp;"最终",$O$3:$AA$63,MATCH(BA$3,$O$3:$AA$3,0),FALSE)-VLOOKUP($AW75&amp;"初始",$O$3:$AA$63,MATCH(BA$3,$O$3:$AA$3,0),FALSE))*$AY75/VLOOKUP(VLOOKUP($AW75,坦克个性化设定!$B$18:$E$48,4,FALSE)&amp;$AX75,坦克属性分配比例,MATCH("升星次数",坦克属性分配比例标头,0),FALSE)*VLOOKUP(VLOOKUP($AW75,坦克个性化设定!$B$18:$E$48,4,FALSE)&amp;$AX75,坦克属性分配比例,MATCH("升星比例",坦克属性分配比例标头,0),FALSE),0)</f>
        <v>105</v>
      </c>
      <c r="BB75" s="486">
        <f ca="1">ROUND(VLOOKUP($AW75&amp;"初始",$O$3:$AA$63,MATCH(BB$3,$O$3:$AA$3,0),FALSE)+(VLOOKUP($AW75&amp;"最终",$O$3:$AA$63,MATCH(BB$3,$O$3:$AA$3,0),FALSE)-VLOOKUP($AW75&amp;"初始",$O$3:$AA$63,MATCH(BB$3,$O$3:$AA$3,0),FALSE))*$AY75/VLOOKUP(VLOOKUP($AW75,坦克个性化设定!$B$18:$E$48,4,FALSE)&amp;$AX75,坦克属性分配比例,MATCH("升星次数",坦克属性分配比例标头,0),FALSE)*(VLOOKUP(VLOOKUP($AW75,坦克个性化设定!$B$18:$E$48,4,FALSE)&amp;$AX75,坦克属性分配比例,MATCH("升星比例",坦克属性分配比例标头,0),FALSE)+VLOOKUP(VLOOKUP($AW75,坦克个性化设定!$B$18:$E$48,4,FALSE)&amp;$AX75,坦克属性分配比例,MATCH("部件比例",坦克属性分配比例标头,0),FALSE)*$C$3),0)</f>
        <v>736</v>
      </c>
      <c r="BC75" s="486">
        <f ca="1">ROUND(VLOOKUP($AW75&amp;"初始",$O$3:$AA$63,MATCH(BC$3,$O$3:$AA$3,0),FALSE)+(VLOOKUP($AW75&amp;"最终",$O$3:$AA$63,MATCH(BC$3,$O$3:$AA$3,0),FALSE)-VLOOKUP($AW75&amp;"初始",$O$3:$AA$63,MATCH(BC$3,$O$3:$AA$3,0),FALSE))*$AY75/VLOOKUP(VLOOKUP($AW75,坦克个性化设定!$B$18:$E$48,4,FALSE)&amp;$AX75,坦克属性分配比例,MATCH("升星次数",坦克属性分配比例标头,0),FALSE)*(VLOOKUP(VLOOKUP($AW75,坦克个性化设定!$B$18:$E$48,4,FALSE)&amp;$AX75,坦克属性分配比例,MATCH("升星比例",坦克属性分配比例标头,0),FALSE)+VLOOKUP(VLOOKUP($AW75,坦克个性化设定!$B$18:$E$48,4,FALSE)&amp;$AX75,坦克属性分配比例,MATCH("部件比例",坦克属性分配比例标头,0),FALSE)*$C$3),0)</f>
        <v>515</v>
      </c>
      <c r="BD75" s="426">
        <f ca="1">ROUND(VLOOKUP($AW75&amp;"初始",$O$3:$AA$63,MATCH(BD$3,$O$3:$AA$3,0),FALSE)+(VLOOKUP($AW75&amp;"最终",$O$3:$AA$63,MATCH(BD$3,$O$3:$AA$3,0),FALSE)-VLOOKUP($AW75&amp;"初始",$O$3:$AA$63,MATCH(BD$3,$O$3:$AA$3,0),FALSE))*$AY75/VLOOKUP(VLOOKUP($AW75,坦克个性化设定!$B$18:$E$48,4,FALSE)&amp;$AX75,坦克属性分配比例,MATCH("升星次数",坦克属性分配比例标头,0),FALSE)*VLOOKUP(VLOOKUP($AW75,坦克个性化设定!$B$18:$E$48,4,FALSE)&amp;$AX75,坦克属性分配比例,MATCH("升星比例",坦克属性分配比例标头,0),FALSE),0)</f>
        <v>626</v>
      </c>
      <c r="BE75" s="426">
        <f ca="1">ROUND(VLOOKUP($AW75&amp;"初始",$O$3:$AA$63,MATCH(BE$3,$O$3:$AA$3,0),FALSE)+(VLOOKUP($AW75&amp;"最终",$O$3:$AA$63,MATCH(BE$3,$O$3:$AA$3,0),FALSE)-VLOOKUP($AW75&amp;"初始",$O$3:$AA$63,MATCH(BE$3,$O$3:$AA$3,0),FALSE))*$AY75/VLOOKUP(VLOOKUP($AW75,坦克个性化设定!$B$18:$E$48,4,FALSE)&amp;$AX75,坦克属性分配比例,MATCH("升星次数",坦克属性分配比例标头,0),FALSE),0)</f>
        <v>216</v>
      </c>
      <c r="BF75" s="462">
        <f>ROUND(VLOOKUP($AW75,$AD$3:$AJ$33,MATCH(BF$3,$AD$3:$AJ$3,0),FALSE)+$AY75/VLOOKUP(VLOOKUP($AW75,坦克个性化设定!$B$18:$E$48,4,FALSE)&amp;$AX75,坦克属性分配比例,MATCH("升星次数",坦克属性分配比例标头,0),FALSE)*VLOOKUP($AW75,$AM$3:$AS$33,MATCH(BF$3,$AM$3:$AS$3,0),FALSE),1)</f>
        <v>50.9</v>
      </c>
      <c r="BG75" s="462">
        <f>ROUND(VLOOKUP($AW75,$AD$3:$AJ$33,MATCH(BG$3,$AD$3:$AJ$3,0),FALSE)+$AY75/VLOOKUP(VLOOKUP($AW75,坦克个性化设定!$B$18:$E$48,4,FALSE)&amp;$AX75,坦克属性分配比例,MATCH("升星次数",坦克属性分配比例标头,0),FALSE)*VLOOKUP($AW75,$AM$3:$AS$33,MATCH(BG$3,$AM$3:$AS$3,0),FALSE),1)</f>
        <v>60</v>
      </c>
      <c r="BH75" s="462">
        <f>ROUND(VLOOKUP($AW75,$AD$3:$AJ$33,MATCH(BH$3,$AD$3:$AJ$3,0),FALSE)+$AY75/VLOOKUP(VLOOKUP($AW75,坦克个性化设定!$B$18:$E$48,4,FALSE)&amp;$AX75,坦克属性分配比例,MATCH("升星次数",坦克属性分配比例标头,0),FALSE)*VLOOKUP($AW75,$AM$3:$AS$33,MATCH(BH$3,$AM$3:$AS$3,0),FALSE),1)</f>
        <v>17.5</v>
      </c>
      <c r="BI75" s="654">
        <f>IF(VLOOKUP(AW75,坦克个性化设定!$B$18:$BB$48,MATCH("装弹类型",坦克个性化设定!$B$18:$BB$18,0),FALSE)="弹夹换弹",0,ROUND(VLOOKUP($AW75,$AD$3:$AJ$33,MATCH("换弹时间",$AD$3:$AJ$3,0),FALSE)-$AY75/VLOOKUP(VLOOKUP($AW75,坦克个性化设定!$B$18:$E$48,4,FALSE)&amp;$AX75,坦克属性分配比例,MATCH("升星次数",坦克属性分配比例标头,0),FALSE)*VLOOKUP($AW75,$AM$3:$AS$33,MATCH("换弹时间",$AM$3:$AS$3,0),FALSE),2))</f>
        <v>1.1100000000000001</v>
      </c>
      <c r="BJ75" s="462">
        <f>IF(VLOOKUP(AW75,坦克个性化设定!$B$18:$BB$48,MATCH("装弹类型",坦克个性化设定!$B$18:$BB$18,0),FALSE)="弹夹换弹",ROUND(VLOOKUP($AW75,$AD$3:$AJ$33,MATCH("换弹时间",$AD$3:$AJ$3,0),FALSE)-$AY75/VLOOKUP(VLOOKUP($AW75,坦克个性化设定!$B$18:$E$48,4,FALSE)&amp;$AX75,坦克属性分配比例,MATCH("升星次数",坦克属性分配比例标头,0),FALSE)*VLOOKUP($AW75,$AM$3:$AS$33,MATCH("换弹时间",$AM$3:$AS$3,0),FALSE),1),0)</f>
        <v>0</v>
      </c>
      <c r="BK75" s="462">
        <f>ROUND(VLOOKUP($AW75,$AD$3:$AJ$33,MATCH(BK$3,$AD$3:$AJ$3,0),FALSE)+$AY75/VLOOKUP(VLOOKUP($AW75,坦克个性化设定!$B$18:$E$48,4,FALSE)&amp;$AX75,坦克属性分配比例,MATCH("升星次数",坦克属性分配比例标头,0),FALSE)*VLOOKUP($AW75,$AM$3:$AS$33,MATCH(BK$3,$AM$3:$AS$3,0),FALSE),2)</f>
        <v>0.3</v>
      </c>
      <c r="BL75" s="462">
        <f>ROUND(VLOOKUP($AW75,$AD$3:$AJ$33,MATCH(BL$3,$AD$3:$AJ$3,0),FALSE)-$AY75/VLOOKUP(VLOOKUP($AW75,坦克个性化设定!$B$18:$E$48,4,FALSE)&amp;$AX75,坦克属性分配比例,MATCH("升星次数",坦克属性分配比例标头,0),FALSE)*VLOOKUP($AW75,$AM$3:$AS$33,MATCH(BL$3,$AM$3:$AS$3,0),FALSE),2)</f>
        <v>0.78</v>
      </c>
    </row>
    <row r="76" spans="47:64" x14ac:dyDescent="0.35">
      <c r="AU76" s="364" t="str">
        <f t="shared" si="19"/>
        <v>霞飞9</v>
      </c>
      <c r="AV76" s="183">
        <f>IF(AY75&gt;=VLOOKUP(VLOOKUP(AW75,坦克个性化设定!$B$18:$E$48,4,FALSE)&amp;AX75,坦克属性分配比例,MATCH("升星次数",坦克属性分配比例标头,0),FALSE),AV75+1,AV75)</f>
        <v>7</v>
      </c>
      <c r="AW76" s="131" t="str">
        <f t="shared" si="20"/>
        <v>霞飞</v>
      </c>
      <c r="AX76" s="177" t="str">
        <f>VLOOKUP(AW76,坦克个性化细分!$I$3:$J$33,2,FALSE)</f>
        <v>低</v>
      </c>
      <c r="AY76" s="183">
        <f t="shared" si="18"/>
        <v>9</v>
      </c>
      <c r="AZ76" s="486">
        <f ca="1">ROUND(VLOOKUP($AW76&amp;"初始",$O$3:$AA$63,MATCH(AZ$3,$O$3:$AA$3,0),FALSE)+((VLOOKUP($AW76&amp;"最终",$O$3:$AA$63,MATCH(AZ$3,$O$3:$AA$3,0),FALSE)*坦克个性化细分!$C$9-VLOOKUP($AW76&amp;"初始",$O$3:$AA$63,MATCH(AZ$3,$O$3:$AA$3,0),FALSE))-(VLOOKUP($AW76&amp;"最终",$O$3:$AA$63,MATCH(AZ$3,$O$3:$AA$3,0),FALSE)-VLOOKUP($AW76&amp;"初始",$O$3:$AA$63,MATCH(AZ$3,$O$3:$AA$3,0),FALSE))*VLOOKUP(VLOOKUP($AW76,坦克个性化设定!$B$18:$E$48,4,FALSE)&amp;$AX76,坦克属性分配比例,MATCH("部件比例",坦克属性分配比例标头,0),FALSE))*$AY76/VLOOKUP(VLOOKUP($AW76,坦克个性化设定!$B$18:$E$48,4,FALSE)&amp;$AX76,坦克属性分配比例,MATCH("升星次数",坦克属性分配比例标头,0),FALSE),0)</f>
        <v>2210</v>
      </c>
      <c r="BA76" s="426">
        <f ca="1">ROUND(VLOOKUP($AW76&amp;"初始",$O$3:$AA$63,MATCH(BA$3,$O$3:$AA$3,0),FALSE)+(VLOOKUP($AW76&amp;"最终",$O$3:$AA$63,MATCH(BA$3,$O$3:$AA$3,0),FALSE)-VLOOKUP($AW76&amp;"初始",$O$3:$AA$63,MATCH(BA$3,$O$3:$AA$3,0),FALSE))*$AY76/VLOOKUP(VLOOKUP($AW76,坦克个性化设定!$B$18:$E$48,4,FALSE)&amp;$AX76,坦克属性分配比例,MATCH("升星次数",坦克属性分配比例标头,0),FALSE)*VLOOKUP(VLOOKUP($AW76,坦克个性化设定!$B$18:$E$48,4,FALSE)&amp;$AX76,坦克属性分配比例,MATCH("升星比例",坦克属性分配比例标头,0),FALSE),0)</f>
        <v>107</v>
      </c>
      <c r="BB76" s="486">
        <f ca="1">ROUND(VLOOKUP($AW76&amp;"初始",$O$3:$AA$63,MATCH(BB$3,$O$3:$AA$3,0),FALSE)+(VLOOKUP($AW76&amp;"最终",$O$3:$AA$63,MATCH(BB$3,$O$3:$AA$3,0),FALSE)-VLOOKUP($AW76&amp;"初始",$O$3:$AA$63,MATCH(BB$3,$O$3:$AA$3,0),FALSE))*$AY76/VLOOKUP(VLOOKUP($AW76,坦克个性化设定!$B$18:$E$48,4,FALSE)&amp;$AX76,坦克属性分配比例,MATCH("升星次数",坦克属性分配比例标头,0),FALSE)*(VLOOKUP(VLOOKUP($AW76,坦克个性化设定!$B$18:$E$48,4,FALSE)&amp;$AX76,坦克属性分配比例,MATCH("升星比例",坦克属性分配比例标头,0),FALSE)+VLOOKUP(VLOOKUP($AW76,坦克个性化设定!$B$18:$E$48,4,FALSE)&amp;$AX76,坦克属性分配比例,MATCH("部件比例",坦克属性分配比例标头,0),FALSE)*$C$3),0)</f>
        <v>757</v>
      </c>
      <c r="BC76" s="486">
        <f ca="1">ROUND(VLOOKUP($AW76&amp;"初始",$O$3:$AA$63,MATCH(BC$3,$O$3:$AA$3,0),FALSE)+(VLOOKUP($AW76&amp;"最终",$O$3:$AA$63,MATCH(BC$3,$O$3:$AA$3,0),FALSE)-VLOOKUP($AW76&amp;"初始",$O$3:$AA$63,MATCH(BC$3,$O$3:$AA$3,0),FALSE))*$AY76/VLOOKUP(VLOOKUP($AW76,坦克个性化设定!$B$18:$E$48,4,FALSE)&amp;$AX76,坦克属性分配比例,MATCH("升星次数",坦克属性分配比例标头,0),FALSE)*(VLOOKUP(VLOOKUP($AW76,坦克个性化设定!$B$18:$E$48,4,FALSE)&amp;$AX76,坦克属性分配比例,MATCH("升星比例",坦克属性分配比例标头,0),FALSE)+VLOOKUP(VLOOKUP($AW76,坦克个性化设定!$B$18:$E$48,4,FALSE)&amp;$AX76,坦克属性分配比例,MATCH("部件比例",坦克属性分配比例标头,0),FALSE)*$C$3),0)</f>
        <v>530</v>
      </c>
      <c r="BD76" s="426">
        <f ca="1">ROUND(VLOOKUP($AW76&amp;"初始",$O$3:$AA$63,MATCH(BD$3,$O$3:$AA$3,0),FALSE)+(VLOOKUP($AW76&amp;"最终",$O$3:$AA$63,MATCH(BD$3,$O$3:$AA$3,0),FALSE)-VLOOKUP($AW76&amp;"初始",$O$3:$AA$63,MATCH(BD$3,$O$3:$AA$3,0),FALSE))*$AY76/VLOOKUP(VLOOKUP($AW76,坦克个性化设定!$B$18:$E$48,4,FALSE)&amp;$AX76,坦克属性分配比例,MATCH("升星次数",坦克属性分配比例标头,0),FALSE)*VLOOKUP(VLOOKUP($AW76,坦克个性化设定!$B$18:$E$48,4,FALSE)&amp;$AX76,坦克属性分配比例,MATCH("升星比例",坦克属性分配比例标头,0),FALSE),0)</f>
        <v>633</v>
      </c>
      <c r="BE76" s="426">
        <f ca="1">ROUND(VLOOKUP($AW76&amp;"初始",$O$3:$AA$63,MATCH(BE$3,$O$3:$AA$3,0),FALSE)+(VLOOKUP($AW76&amp;"最终",$O$3:$AA$63,MATCH(BE$3,$O$3:$AA$3,0),FALSE)-VLOOKUP($AW76&amp;"初始",$O$3:$AA$63,MATCH(BE$3,$O$3:$AA$3,0),FALSE))*$AY76/VLOOKUP(VLOOKUP($AW76,坦克个性化设定!$B$18:$E$48,4,FALSE)&amp;$AX76,坦克属性分配比例,MATCH("升星次数",坦克属性分配比例标头,0),FALSE),0)</f>
        <v>224</v>
      </c>
      <c r="BF76" s="462">
        <f>ROUND(VLOOKUP($AW76,$AD$3:$AJ$33,MATCH(BF$3,$AD$3:$AJ$3,0),FALSE)+$AY76/VLOOKUP(VLOOKUP($AW76,坦克个性化设定!$B$18:$E$48,4,FALSE)&amp;$AX76,坦克属性分配比例,MATCH("升星次数",坦克属性分配比例标头,0),FALSE)*VLOOKUP($AW76,$AM$3:$AS$33,MATCH(BF$3,$AM$3:$AS$3,0),FALSE),1)</f>
        <v>51.9</v>
      </c>
      <c r="BG76" s="462">
        <f>ROUND(VLOOKUP($AW76,$AD$3:$AJ$33,MATCH(BG$3,$AD$3:$AJ$3,0),FALSE)+$AY76/VLOOKUP(VLOOKUP($AW76,坦克个性化设定!$B$18:$E$48,4,FALSE)&amp;$AX76,坦克属性分配比例,MATCH("升星次数",坦克属性分配比例标头,0),FALSE)*VLOOKUP($AW76,$AM$3:$AS$33,MATCH(BG$3,$AM$3:$AS$3,0),FALSE),1)</f>
        <v>61.3</v>
      </c>
      <c r="BH76" s="462">
        <f>ROUND(VLOOKUP($AW76,$AD$3:$AJ$33,MATCH(BH$3,$AD$3:$AJ$3,0),FALSE)+$AY76/VLOOKUP(VLOOKUP($AW76,坦克个性化设定!$B$18:$E$48,4,FALSE)&amp;$AX76,坦克属性分配比例,MATCH("升星次数",坦克属性分配比例标头,0),FALSE)*VLOOKUP($AW76,$AM$3:$AS$33,MATCH(BH$3,$AM$3:$AS$3,0),FALSE),1)</f>
        <v>18</v>
      </c>
      <c r="BI76" s="654">
        <f>IF(VLOOKUP(AW76,坦克个性化设定!$B$18:$BB$48,MATCH("装弹类型",坦克个性化设定!$B$18:$BB$18,0),FALSE)="弹夹换弹",0,ROUND(VLOOKUP($AW76,$AD$3:$AJ$33,MATCH("换弹时间",$AD$3:$AJ$3,0),FALSE)-$AY76/VLOOKUP(VLOOKUP($AW76,坦克个性化设定!$B$18:$E$48,4,FALSE)&amp;$AX76,坦克属性分配比例,MATCH("升星次数",坦克属性分配比例标头,0),FALSE)*VLOOKUP($AW76,$AM$3:$AS$33,MATCH("换弹时间",$AM$3:$AS$3,0),FALSE),2))</f>
        <v>1.08</v>
      </c>
      <c r="BJ76" s="462">
        <f>IF(VLOOKUP(AW76,坦克个性化设定!$B$18:$BB$48,MATCH("装弹类型",坦克个性化设定!$B$18:$BB$18,0),FALSE)="弹夹换弹",ROUND(VLOOKUP($AW76,$AD$3:$AJ$33,MATCH("换弹时间",$AD$3:$AJ$3,0),FALSE)-$AY76/VLOOKUP(VLOOKUP($AW76,坦克个性化设定!$B$18:$E$48,4,FALSE)&amp;$AX76,坦克属性分配比例,MATCH("升星次数",坦克属性分配比例标头,0),FALSE)*VLOOKUP($AW76,$AM$3:$AS$33,MATCH("换弹时间",$AM$3:$AS$3,0),FALSE),1),0)</f>
        <v>0</v>
      </c>
      <c r="BK76" s="462">
        <f>ROUND(VLOOKUP($AW76,$AD$3:$AJ$33,MATCH(BK$3,$AD$3:$AJ$3,0),FALSE)+$AY76/VLOOKUP(VLOOKUP($AW76,坦克个性化设定!$B$18:$E$48,4,FALSE)&amp;$AX76,坦克属性分配比例,MATCH("升星次数",坦克属性分配比例标头,0),FALSE)*VLOOKUP($AW76,$AM$3:$AS$33,MATCH(BK$3,$AM$3:$AS$3,0),FALSE),2)</f>
        <v>0.3</v>
      </c>
      <c r="BL76" s="462">
        <f>ROUND(VLOOKUP($AW76,$AD$3:$AJ$33,MATCH(BL$3,$AD$3:$AJ$3,0),FALSE)-$AY76/VLOOKUP(VLOOKUP($AW76,坦克个性化设定!$B$18:$E$48,4,FALSE)&amp;$AX76,坦克属性分配比例,MATCH("升星次数",坦克属性分配比例标头,0),FALSE)*VLOOKUP($AW76,$AM$3:$AS$33,MATCH(BL$3,$AM$3:$AS$3,0),FALSE),2)</f>
        <v>0.77</v>
      </c>
    </row>
    <row r="77" spans="47:64" x14ac:dyDescent="0.35">
      <c r="AU77" s="364" t="str">
        <f t="shared" si="19"/>
        <v>霞飞10</v>
      </c>
      <c r="AV77" s="183">
        <f>IF(AY76&gt;=VLOOKUP(VLOOKUP(AW76,坦克个性化设定!$B$18:$E$48,4,FALSE)&amp;AX76,坦克属性分配比例,MATCH("升星次数",坦克属性分配比例标头,0),FALSE),AV76+1,AV76)</f>
        <v>7</v>
      </c>
      <c r="AW77" s="131" t="str">
        <f t="shared" si="20"/>
        <v>霞飞</v>
      </c>
      <c r="AX77" s="177" t="str">
        <f>VLOOKUP(AW77,坦克个性化细分!$I$3:$J$33,2,FALSE)</f>
        <v>低</v>
      </c>
      <c r="AY77" s="183">
        <f t="shared" si="18"/>
        <v>10</v>
      </c>
      <c r="AZ77" s="486">
        <f ca="1">ROUND(VLOOKUP($AW77&amp;"初始",$O$3:$AA$63,MATCH(AZ$3,$O$3:$AA$3,0),FALSE)+((VLOOKUP($AW77&amp;"最终",$O$3:$AA$63,MATCH(AZ$3,$O$3:$AA$3,0),FALSE)*坦克个性化细分!$C$9-VLOOKUP($AW77&amp;"初始",$O$3:$AA$63,MATCH(AZ$3,$O$3:$AA$3,0),FALSE))-(VLOOKUP($AW77&amp;"最终",$O$3:$AA$63,MATCH(AZ$3,$O$3:$AA$3,0),FALSE)-VLOOKUP($AW77&amp;"初始",$O$3:$AA$63,MATCH(AZ$3,$O$3:$AA$3,0),FALSE))*VLOOKUP(VLOOKUP($AW77,坦克个性化设定!$B$18:$E$48,4,FALSE)&amp;$AX77,坦克属性分配比例,MATCH("部件比例",坦克属性分配比例标头,0),FALSE))*$AY77/VLOOKUP(VLOOKUP($AW77,坦克个性化设定!$B$18:$E$48,4,FALSE)&amp;$AX77,坦克属性分配比例,MATCH("升星次数",坦克属性分配比例标头,0),FALSE),0)</f>
        <v>2294</v>
      </c>
      <c r="BA77" s="426">
        <f ca="1">ROUND(VLOOKUP($AW77&amp;"初始",$O$3:$AA$63,MATCH(BA$3,$O$3:$AA$3,0),FALSE)+(VLOOKUP($AW77&amp;"最终",$O$3:$AA$63,MATCH(BA$3,$O$3:$AA$3,0),FALSE)-VLOOKUP($AW77&amp;"初始",$O$3:$AA$63,MATCH(BA$3,$O$3:$AA$3,0),FALSE))*$AY77/VLOOKUP(VLOOKUP($AW77,坦克个性化设定!$B$18:$E$48,4,FALSE)&amp;$AX77,坦克属性分配比例,MATCH("升星次数",坦克属性分配比例标头,0),FALSE)*VLOOKUP(VLOOKUP($AW77,坦克个性化设定!$B$18:$E$48,4,FALSE)&amp;$AX77,坦克属性分配比例,MATCH("升星比例",坦克属性分配比例标头,0),FALSE),0)</f>
        <v>108</v>
      </c>
      <c r="BB77" s="486">
        <f ca="1">ROUND(VLOOKUP($AW77&amp;"初始",$O$3:$AA$63,MATCH(BB$3,$O$3:$AA$3,0),FALSE)+(VLOOKUP($AW77&amp;"最终",$O$3:$AA$63,MATCH(BB$3,$O$3:$AA$3,0),FALSE)-VLOOKUP($AW77&amp;"初始",$O$3:$AA$63,MATCH(BB$3,$O$3:$AA$3,0),FALSE))*$AY77/VLOOKUP(VLOOKUP($AW77,坦克个性化设定!$B$18:$E$48,4,FALSE)&amp;$AX77,坦克属性分配比例,MATCH("升星次数",坦克属性分配比例标头,0),FALSE)*(VLOOKUP(VLOOKUP($AW77,坦克个性化设定!$B$18:$E$48,4,FALSE)&amp;$AX77,坦克属性分配比例,MATCH("升星比例",坦克属性分配比例标头,0),FALSE)+VLOOKUP(VLOOKUP($AW77,坦克个性化设定!$B$18:$E$48,4,FALSE)&amp;$AX77,坦克属性分配比例,MATCH("部件比例",坦克属性分配比例标头,0),FALSE)*$C$3),0)</f>
        <v>778</v>
      </c>
      <c r="BC77" s="486">
        <f ca="1">ROUND(VLOOKUP($AW77&amp;"初始",$O$3:$AA$63,MATCH(BC$3,$O$3:$AA$3,0),FALSE)+(VLOOKUP($AW77&amp;"最终",$O$3:$AA$63,MATCH(BC$3,$O$3:$AA$3,0),FALSE)-VLOOKUP($AW77&amp;"初始",$O$3:$AA$63,MATCH(BC$3,$O$3:$AA$3,0),FALSE))*$AY77/VLOOKUP(VLOOKUP($AW77,坦克个性化设定!$B$18:$E$48,4,FALSE)&amp;$AX77,坦克属性分配比例,MATCH("升星次数",坦克属性分配比例标头,0),FALSE)*(VLOOKUP(VLOOKUP($AW77,坦克个性化设定!$B$18:$E$48,4,FALSE)&amp;$AX77,坦克属性分配比例,MATCH("升星比例",坦克属性分配比例标头,0),FALSE)+VLOOKUP(VLOOKUP($AW77,坦克个性化设定!$B$18:$E$48,4,FALSE)&amp;$AX77,坦克属性分配比例,MATCH("部件比例",坦克属性分配比例标头,0),FALSE)*$C$3),0)</f>
        <v>545</v>
      </c>
      <c r="BD77" s="426">
        <f ca="1">ROUND(VLOOKUP($AW77&amp;"初始",$O$3:$AA$63,MATCH(BD$3,$O$3:$AA$3,0),FALSE)+(VLOOKUP($AW77&amp;"最终",$O$3:$AA$63,MATCH(BD$3,$O$3:$AA$3,0),FALSE)-VLOOKUP($AW77&amp;"初始",$O$3:$AA$63,MATCH(BD$3,$O$3:$AA$3,0),FALSE))*$AY77/VLOOKUP(VLOOKUP($AW77,坦克个性化设定!$B$18:$E$48,4,FALSE)&amp;$AX77,坦克属性分配比例,MATCH("升星次数",坦克属性分配比例标头,0),FALSE)*VLOOKUP(VLOOKUP($AW77,坦克个性化设定!$B$18:$E$48,4,FALSE)&amp;$AX77,坦克属性分配比例,MATCH("升星比例",坦克属性分配比例标头,0),FALSE),0)</f>
        <v>640</v>
      </c>
      <c r="BE77" s="426">
        <f ca="1">ROUND(VLOOKUP($AW77&amp;"初始",$O$3:$AA$63,MATCH(BE$3,$O$3:$AA$3,0),FALSE)+(VLOOKUP($AW77&amp;"最终",$O$3:$AA$63,MATCH(BE$3,$O$3:$AA$3,0),FALSE)-VLOOKUP($AW77&amp;"初始",$O$3:$AA$63,MATCH(BE$3,$O$3:$AA$3,0),FALSE))*$AY77/VLOOKUP(VLOOKUP($AW77,坦克个性化设定!$B$18:$E$48,4,FALSE)&amp;$AX77,坦克属性分配比例,MATCH("升星次数",坦克属性分配比例标头,0),FALSE),0)</f>
        <v>232</v>
      </c>
      <c r="BF77" s="462">
        <f>ROUND(VLOOKUP($AW77,$AD$3:$AJ$33,MATCH(BF$3,$AD$3:$AJ$3,0),FALSE)+$AY77/VLOOKUP(VLOOKUP($AW77,坦克个性化设定!$B$18:$E$48,4,FALSE)&amp;$AX77,坦克属性分配比例,MATCH("升星次数",坦克属性分配比例标头,0),FALSE)*VLOOKUP($AW77,$AM$3:$AS$33,MATCH(BF$3,$AM$3:$AS$3,0),FALSE),1)</f>
        <v>53</v>
      </c>
      <c r="BG77" s="462">
        <f>ROUND(VLOOKUP($AW77,$AD$3:$AJ$33,MATCH(BG$3,$AD$3:$AJ$3,0),FALSE)+$AY77/VLOOKUP(VLOOKUP($AW77,坦克个性化设定!$B$18:$E$48,4,FALSE)&amp;$AX77,坦克属性分配比例,MATCH("升星次数",坦克属性分配比例标头,0),FALSE)*VLOOKUP($AW77,$AM$3:$AS$33,MATCH(BG$3,$AM$3:$AS$3,0),FALSE),1)</f>
        <v>62.5</v>
      </c>
      <c r="BH77" s="462">
        <f>ROUND(VLOOKUP($AW77,$AD$3:$AJ$33,MATCH(BH$3,$AD$3:$AJ$3,0),FALSE)+$AY77/VLOOKUP(VLOOKUP($AW77,坦克个性化设定!$B$18:$E$48,4,FALSE)&amp;$AX77,坦克属性分配比例,MATCH("升星次数",坦克属性分配比例标头,0),FALSE)*VLOOKUP($AW77,$AM$3:$AS$33,MATCH(BH$3,$AM$3:$AS$3,0),FALSE),1)</f>
        <v>18.399999999999999</v>
      </c>
      <c r="BI77" s="654">
        <f>IF(VLOOKUP(AW77,坦克个性化设定!$B$18:$BB$48,MATCH("装弹类型",坦克个性化设定!$B$18:$BB$18,0),FALSE)="弹夹换弹",0,ROUND(VLOOKUP($AW77,$AD$3:$AJ$33,MATCH("换弹时间",$AD$3:$AJ$3,0),FALSE)-$AY77/VLOOKUP(VLOOKUP($AW77,坦克个性化设定!$B$18:$E$48,4,FALSE)&amp;$AX77,坦克属性分配比例,MATCH("升星次数",坦克属性分配比例标头,0),FALSE)*VLOOKUP($AW77,$AM$3:$AS$33,MATCH("换弹时间",$AM$3:$AS$3,0),FALSE),2))</f>
        <v>1.04</v>
      </c>
      <c r="BJ77" s="462">
        <f>IF(VLOOKUP(AW77,坦克个性化设定!$B$18:$BB$48,MATCH("装弹类型",坦克个性化设定!$B$18:$BB$18,0),FALSE)="弹夹换弹",ROUND(VLOOKUP($AW77,$AD$3:$AJ$33,MATCH("换弹时间",$AD$3:$AJ$3,0),FALSE)-$AY77/VLOOKUP(VLOOKUP($AW77,坦克个性化设定!$B$18:$E$48,4,FALSE)&amp;$AX77,坦克属性分配比例,MATCH("升星次数",坦克属性分配比例标头,0),FALSE)*VLOOKUP($AW77,$AM$3:$AS$33,MATCH("换弹时间",$AM$3:$AS$3,0),FALSE),1),0)</f>
        <v>0</v>
      </c>
      <c r="BK77" s="462">
        <f>ROUND(VLOOKUP($AW77,$AD$3:$AJ$33,MATCH(BK$3,$AD$3:$AJ$3,0),FALSE)+$AY77/VLOOKUP(VLOOKUP($AW77,坦克个性化设定!$B$18:$E$48,4,FALSE)&amp;$AX77,坦克属性分配比例,MATCH("升星次数",坦克属性分配比例标头,0),FALSE)*VLOOKUP($AW77,$AM$3:$AS$33,MATCH(BK$3,$AM$3:$AS$3,0),FALSE),2)</f>
        <v>0.3</v>
      </c>
      <c r="BL77" s="462">
        <f>ROUND(VLOOKUP($AW77,$AD$3:$AJ$33,MATCH(BL$3,$AD$3:$AJ$3,0),FALSE)-$AY77/VLOOKUP(VLOOKUP($AW77,坦克个性化设定!$B$18:$E$48,4,FALSE)&amp;$AX77,坦克属性分配比例,MATCH("升星次数",坦克属性分配比例标头,0),FALSE)*VLOOKUP($AW77,$AM$3:$AS$33,MATCH(BL$3,$AM$3:$AS$3,0),FALSE),2)</f>
        <v>0.75</v>
      </c>
    </row>
    <row r="78" spans="47:64" x14ac:dyDescent="0.35">
      <c r="AU78" s="364" t="str">
        <f t="shared" si="19"/>
        <v>M-410</v>
      </c>
      <c r="AV78" s="183">
        <f>IF(AY77&gt;=VLOOKUP(VLOOKUP(AW77,坦克个性化设定!$B$18:$E$48,4,FALSE)&amp;AX77,坦克属性分配比例,MATCH("升星次数",坦克属性分配比例标头,0),FALSE),AV77+1,AV77)</f>
        <v>8</v>
      </c>
      <c r="AW78" s="131" t="str">
        <f t="shared" si="20"/>
        <v>M-41</v>
      </c>
      <c r="AX78" s="177" t="str">
        <f>VLOOKUP(AW78,坦克个性化细分!$I$3:$J$33,2,FALSE)</f>
        <v>中</v>
      </c>
      <c r="AY78" s="183">
        <f t="shared" si="18"/>
        <v>0</v>
      </c>
      <c r="AZ78" s="486">
        <f ca="1">ROUND(VLOOKUP($AW78&amp;"初始",$O$3:$AA$63,MATCH(AZ$3,$O$3:$AA$3,0),FALSE)+((VLOOKUP($AW78&amp;"最终",$O$3:$AA$63,MATCH(AZ$3,$O$3:$AA$3,0),FALSE)*坦克个性化细分!$C$9-VLOOKUP($AW78&amp;"初始",$O$3:$AA$63,MATCH(AZ$3,$O$3:$AA$3,0),FALSE))-(VLOOKUP($AW78&amp;"最终",$O$3:$AA$63,MATCH(AZ$3,$O$3:$AA$3,0),FALSE)-VLOOKUP($AW78&amp;"初始",$O$3:$AA$63,MATCH(AZ$3,$O$3:$AA$3,0),FALSE))*VLOOKUP(VLOOKUP($AW78,坦克个性化设定!$B$18:$E$48,4,FALSE)&amp;$AX78,坦克属性分配比例,MATCH("部件比例",坦克属性分配比例标头,0),FALSE))*$AY78/VLOOKUP(VLOOKUP($AW78,坦克个性化设定!$B$18:$E$48,4,FALSE)&amp;$AX78,坦克属性分配比例,MATCH("升星次数",坦克属性分配比例标头,0),FALSE),0)</f>
        <v>1604</v>
      </c>
      <c r="BA78" s="426">
        <f ca="1">ROUND(VLOOKUP($AW78&amp;"初始",$O$3:$AA$63,MATCH(BA$3,$O$3:$AA$3,0),FALSE)+(VLOOKUP($AW78&amp;"最终",$O$3:$AA$63,MATCH(BA$3,$O$3:$AA$3,0),FALSE)-VLOOKUP($AW78&amp;"初始",$O$3:$AA$63,MATCH(BA$3,$O$3:$AA$3,0),FALSE))*$AY78/VLOOKUP(VLOOKUP($AW78,坦克个性化设定!$B$18:$E$48,4,FALSE)&amp;$AX78,坦克属性分配比例,MATCH("升星次数",坦克属性分配比例标头,0),FALSE)*VLOOKUP(VLOOKUP($AW78,坦克个性化设定!$B$18:$E$48,4,FALSE)&amp;$AX78,坦克属性分配比例,MATCH("升星比例",坦克属性分配比例标头,0),FALSE),0)</f>
        <v>187</v>
      </c>
      <c r="BB78" s="486">
        <f ca="1">ROUND(VLOOKUP($AW78&amp;"初始",$O$3:$AA$63,MATCH(BB$3,$O$3:$AA$3,0),FALSE)+(VLOOKUP($AW78&amp;"最终",$O$3:$AA$63,MATCH(BB$3,$O$3:$AA$3,0),FALSE)-VLOOKUP($AW78&amp;"初始",$O$3:$AA$63,MATCH(BB$3,$O$3:$AA$3,0),FALSE))*$AY78/VLOOKUP(VLOOKUP($AW78,坦克个性化设定!$B$18:$E$48,4,FALSE)&amp;$AX78,坦克属性分配比例,MATCH("升星次数",坦克属性分配比例标头,0),FALSE)*(VLOOKUP(VLOOKUP($AW78,坦克个性化设定!$B$18:$E$48,4,FALSE)&amp;$AX78,坦克属性分配比例,MATCH("升星比例",坦克属性分配比例标头,0),FALSE)+VLOOKUP(VLOOKUP($AW78,坦克个性化设定!$B$18:$E$48,4,FALSE)&amp;$AX78,坦克属性分配比例,MATCH("部件比例",坦克属性分配比例标头,0),FALSE)*$C$3),0)</f>
        <v>700</v>
      </c>
      <c r="BC78" s="486">
        <f ca="1">ROUND(VLOOKUP($AW78&amp;"初始",$O$3:$AA$63,MATCH(BC$3,$O$3:$AA$3,0),FALSE)+(VLOOKUP($AW78&amp;"最终",$O$3:$AA$63,MATCH(BC$3,$O$3:$AA$3,0),FALSE)-VLOOKUP($AW78&amp;"初始",$O$3:$AA$63,MATCH(BC$3,$O$3:$AA$3,0),FALSE))*$AY78/VLOOKUP(VLOOKUP($AW78,坦克个性化设定!$B$18:$E$48,4,FALSE)&amp;$AX78,坦克属性分配比例,MATCH("升星次数",坦克属性分配比例标头,0),FALSE)*(VLOOKUP(VLOOKUP($AW78,坦克个性化设定!$B$18:$E$48,4,FALSE)&amp;$AX78,坦克属性分配比例,MATCH("升星比例",坦克属性分配比例标头,0),FALSE)+VLOOKUP(VLOOKUP($AW78,坦克个性化设定!$B$18:$E$48,4,FALSE)&amp;$AX78,坦克属性分配比例,MATCH("部件比例",坦克属性分配比例标头,0),FALSE)*$C$3),0)</f>
        <v>490</v>
      </c>
      <c r="BD78" s="426">
        <f ca="1">ROUND(VLOOKUP($AW78&amp;"初始",$O$3:$AA$63,MATCH(BD$3,$O$3:$AA$3,0),FALSE)+(VLOOKUP($AW78&amp;"最终",$O$3:$AA$63,MATCH(BD$3,$O$3:$AA$3,0),FALSE)-VLOOKUP($AW78&amp;"初始",$O$3:$AA$63,MATCH(BD$3,$O$3:$AA$3,0),FALSE))*$AY78/VLOOKUP(VLOOKUP($AW78,坦克个性化设定!$B$18:$E$48,4,FALSE)&amp;$AX78,坦克属性分配比例,MATCH("升星次数",坦克属性分配比例标头,0),FALSE)*VLOOKUP(VLOOKUP($AW78,坦克个性化设定!$B$18:$E$48,4,FALSE)&amp;$AX78,坦克属性分配比例,MATCH("升星比例",坦克属性分配比例标头,0),FALSE),0)</f>
        <v>588</v>
      </c>
      <c r="BE78" s="426">
        <f ca="1">ROUND(VLOOKUP($AW78&amp;"初始",$O$3:$AA$63,MATCH(BE$3,$O$3:$AA$3,0),FALSE)+(VLOOKUP($AW78&amp;"最终",$O$3:$AA$63,MATCH(BE$3,$O$3:$AA$3,0),FALSE)-VLOOKUP($AW78&amp;"初始",$O$3:$AA$63,MATCH(BE$3,$O$3:$AA$3,0),FALSE))*$AY78/VLOOKUP(VLOOKUP($AW78,坦克个性化设定!$B$18:$E$48,4,FALSE)&amp;$AX78,坦克属性分配比例,MATCH("升星次数",坦克属性分配比例标头,0),FALSE),0)</f>
        <v>157</v>
      </c>
      <c r="BF78" s="462">
        <f>ROUND(VLOOKUP($AW78,$AD$3:$AJ$33,MATCH(BF$3,$AD$3:$AJ$3,0),FALSE)+$AY78/VLOOKUP(VLOOKUP($AW78,坦克个性化设定!$B$18:$E$48,4,FALSE)&amp;$AX78,坦克属性分配比例,MATCH("升星次数",坦克属性分配比例标头,0),FALSE)*VLOOKUP($AW78,$AM$3:$AS$33,MATCH(BF$3,$AM$3:$AS$3,0),FALSE),1)</f>
        <v>38.5</v>
      </c>
      <c r="BG78" s="462">
        <f>ROUND(VLOOKUP($AW78,$AD$3:$AJ$33,MATCH(BG$3,$AD$3:$AJ$3,0),FALSE)+$AY78/VLOOKUP(VLOOKUP($AW78,坦克个性化设定!$B$18:$E$48,4,FALSE)&amp;$AX78,坦克属性分配比例,MATCH("升星次数",坦克属性分配比例标头,0),FALSE)*VLOOKUP($AW78,$AM$3:$AS$33,MATCH(BG$3,$AM$3:$AS$3,0),FALSE),1)</f>
        <v>57.4</v>
      </c>
      <c r="BH78" s="462">
        <f>ROUND(VLOOKUP($AW78,$AD$3:$AJ$33,MATCH(BH$3,$AD$3:$AJ$3,0),FALSE)+$AY78/VLOOKUP(VLOOKUP($AW78,坦克个性化设定!$B$18:$E$48,4,FALSE)&amp;$AX78,坦克属性分配比例,MATCH("升星次数",坦克属性分配比例标头,0),FALSE)*VLOOKUP($AW78,$AM$3:$AS$33,MATCH(BH$3,$AM$3:$AS$3,0),FALSE),1)</f>
        <v>13.4</v>
      </c>
      <c r="BI78" s="654">
        <f>IF(VLOOKUP(AW78,坦克个性化设定!$B$18:$BB$48,MATCH("装弹类型",坦克个性化设定!$B$18:$BB$18,0),FALSE)="弹夹换弹",0,ROUND(VLOOKUP($AW78,$AD$3:$AJ$33,MATCH("换弹时间",$AD$3:$AJ$3,0),FALSE)-$AY78/VLOOKUP(VLOOKUP($AW78,坦克个性化设定!$B$18:$E$48,4,FALSE)&amp;$AX78,坦克属性分配比例,MATCH("升星次数",坦克属性分配比例标头,0),FALSE)*VLOOKUP($AW78,$AM$3:$AS$33,MATCH("换弹时间",$AM$3:$AS$3,0),FALSE),2))</f>
        <v>3</v>
      </c>
      <c r="BJ78" s="462">
        <f>IF(VLOOKUP(AW78,坦克个性化设定!$B$18:$BB$48,MATCH("装弹类型",坦克个性化设定!$B$18:$BB$18,0),FALSE)="弹夹换弹",ROUND(VLOOKUP($AW78,$AD$3:$AJ$33,MATCH("换弹时间",$AD$3:$AJ$3,0),FALSE)-$AY78/VLOOKUP(VLOOKUP($AW78,坦克个性化设定!$B$18:$E$48,4,FALSE)&amp;$AX78,坦克属性分配比例,MATCH("升星次数",坦克属性分配比例标头,0),FALSE)*VLOOKUP($AW78,$AM$3:$AS$33,MATCH("换弹时间",$AM$3:$AS$3,0),FALSE),1),0)</f>
        <v>0</v>
      </c>
      <c r="BK78" s="462">
        <f>ROUND(VLOOKUP($AW78,$AD$3:$AJ$33,MATCH(BK$3,$AD$3:$AJ$3,0),FALSE)+$AY78/VLOOKUP(VLOOKUP($AW78,坦克个性化设定!$B$18:$E$48,4,FALSE)&amp;$AX78,坦克属性分配比例,MATCH("升星次数",坦克属性分配比例标头,0),FALSE)*VLOOKUP($AW78,$AM$3:$AS$33,MATCH(BK$3,$AM$3:$AS$3,0),FALSE),2)</f>
        <v>0</v>
      </c>
      <c r="BL78" s="462">
        <f>ROUND(VLOOKUP($AW78,$AD$3:$AJ$33,MATCH(BL$3,$AD$3:$AJ$3,0),FALSE)-$AY78/VLOOKUP(VLOOKUP($AW78,坦克个性化设定!$B$18:$E$48,4,FALSE)&amp;$AX78,坦克属性分配比例,MATCH("升星次数",坦克属性分配比例标头,0),FALSE)*VLOOKUP($AW78,$AM$3:$AS$33,MATCH(BL$3,$AM$3:$AS$3,0),FALSE),2)</f>
        <v>1.8</v>
      </c>
    </row>
    <row r="79" spans="47:64" x14ac:dyDescent="0.35">
      <c r="AU79" s="364" t="str">
        <f t="shared" si="19"/>
        <v>M-411</v>
      </c>
      <c r="AV79" s="183">
        <f>IF(AY78&gt;=VLOOKUP(VLOOKUP(AW78,坦克个性化设定!$B$18:$E$48,4,FALSE)&amp;AX78,坦克属性分配比例,MATCH("升星次数",坦克属性分配比例标头,0),FALSE),AV78+1,AV78)</f>
        <v>8</v>
      </c>
      <c r="AW79" s="131" t="str">
        <f t="shared" si="20"/>
        <v>M-41</v>
      </c>
      <c r="AX79" s="177" t="str">
        <f>VLOOKUP(AW79,坦克个性化细分!$I$3:$J$33,2,FALSE)</f>
        <v>中</v>
      </c>
      <c r="AY79" s="183">
        <f t="shared" si="18"/>
        <v>1</v>
      </c>
      <c r="AZ79" s="486">
        <f ca="1">ROUND(VLOOKUP($AW79&amp;"初始",$O$3:$AA$63,MATCH(AZ$3,$O$3:$AA$3,0),FALSE)+((VLOOKUP($AW79&amp;"最终",$O$3:$AA$63,MATCH(AZ$3,$O$3:$AA$3,0),FALSE)*坦克个性化细分!$C$9-VLOOKUP($AW79&amp;"初始",$O$3:$AA$63,MATCH(AZ$3,$O$3:$AA$3,0),FALSE))-(VLOOKUP($AW79&amp;"最终",$O$3:$AA$63,MATCH(AZ$3,$O$3:$AA$3,0),FALSE)-VLOOKUP($AW79&amp;"初始",$O$3:$AA$63,MATCH(AZ$3,$O$3:$AA$3,0),FALSE))*VLOOKUP(VLOOKUP($AW79,坦克个性化设定!$B$18:$E$48,4,FALSE)&amp;$AX79,坦克属性分配比例,MATCH("部件比例",坦克属性分配比例标头,0),FALSE))*$AY79/VLOOKUP(VLOOKUP($AW79,坦克个性化设定!$B$18:$E$48,4,FALSE)&amp;$AX79,坦克属性分配比例,MATCH("升星次数",坦克属性分配比例标头,0),FALSE),0)</f>
        <v>1698</v>
      </c>
      <c r="BA79" s="426">
        <f ca="1">ROUND(VLOOKUP($AW79&amp;"初始",$O$3:$AA$63,MATCH(BA$3,$O$3:$AA$3,0),FALSE)+(VLOOKUP($AW79&amp;"最终",$O$3:$AA$63,MATCH(BA$3,$O$3:$AA$3,0),FALSE)-VLOOKUP($AW79&amp;"初始",$O$3:$AA$63,MATCH(BA$3,$O$3:$AA$3,0),FALSE))*$AY79/VLOOKUP(VLOOKUP($AW79,坦克个性化设定!$B$18:$E$48,4,FALSE)&amp;$AX79,坦克属性分配比例,MATCH("升星次数",坦克属性分配比例标头,0),FALSE)*VLOOKUP(VLOOKUP($AW79,坦克个性化设定!$B$18:$E$48,4,FALSE)&amp;$AX79,坦克属性分配比例,MATCH("升星比例",坦克属性分配比例标头,0),FALSE),0)</f>
        <v>191</v>
      </c>
      <c r="BB79" s="486">
        <f ca="1">ROUND(VLOOKUP($AW79&amp;"初始",$O$3:$AA$63,MATCH(BB$3,$O$3:$AA$3,0),FALSE)+(VLOOKUP($AW79&amp;"最终",$O$3:$AA$63,MATCH(BB$3,$O$3:$AA$3,0),FALSE)-VLOOKUP($AW79&amp;"初始",$O$3:$AA$63,MATCH(BB$3,$O$3:$AA$3,0),FALSE))*$AY79/VLOOKUP(VLOOKUP($AW79,坦克个性化设定!$B$18:$E$48,4,FALSE)&amp;$AX79,坦克属性分配比例,MATCH("升星次数",坦克属性分配比例标头,0),FALSE)*(VLOOKUP(VLOOKUP($AW79,坦克个性化设定!$B$18:$E$48,4,FALSE)&amp;$AX79,坦克属性分配比例,MATCH("升星比例",坦克属性分配比例标头,0),FALSE)+VLOOKUP(VLOOKUP($AW79,坦克个性化设定!$B$18:$E$48,4,FALSE)&amp;$AX79,坦克属性分配比例,MATCH("部件比例",坦克属性分配比例标头,0),FALSE)*$C$3),0)</f>
        <v>729</v>
      </c>
      <c r="BC79" s="486">
        <f ca="1">ROUND(VLOOKUP($AW79&amp;"初始",$O$3:$AA$63,MATCH(BC$3,$O$3:$AA$3,0),FALSE)+(VLOOKUP($AW79&amp;"最终",$O$3:$AA$63,MATCH(BC$3,$O$3:$AA$3,0),FALSE)-VLOOKUP($AW79&amp;"初始",$O$3:$AA$63,MATCH(BC$3,$O$3:$AA$3,0),FALSE))*$AY79/VLOOKUP(VLOOKUP($AW79,坦克个性化设定!$B$18:$E$48,4,FALSE)&amp;$AX79,坦克属性分配比例,MATCH("升星次数",坦克属性分配比例标头,0),FALSE)*(VLOOKUP(VLOOKUP($AW79,坦克个性化设定!$B$18:$E$48,4,FALSE)&amp;$AX79,坦克属性分配比例,MATCH("升星比例",坦克属性分配比例标头,0),FALSE)+VLOOKUP(VLOOKUP($AW79,坦克个性化设定!$B$18:$E$48,4,FALSE)&amp;$AX79,坦克属性分配比例,MATCH("部件比例",坦克属性分配比例标头,0),FALSE)*$C$3),0)</f>
        <v>511</v>
      </c>
      <c r="BD79" s="426">
        <f ca="1">ROUND(VLOOKUP($AW79&amp;"初始",$O$3:$AA$63,MATCH(BD$3,$O$3:$AA$3,0),FALSE)+(VLOOKUP($AW79&amp;"最终",$O$3:$AA$63,MATCH(BD$3,$O$3:$AA$3,0),FALSE)-VLOOKUP($AW79&amp;"初始",$O$3:$AA$63,MATCH(BD$3,$O$3:$AA$3,0),FALSE))*$AY79/VLOOKUP(VLOOKUP($AW79,坦克个性化设定!$B$18:$E$48,4,FALSE)&amp;$AX79,坦克属性分配比例,MATCH("升星次数",坦克属性分配比例标头,0),FALSE)*VLOOKUP(VLOOKUP($AW79,坦克个性化设定!$B$18:$E$48,4,FALSE)&amp;$AX79,坦克属性分配比例,MATCH("升星比例",坦克属性分配比例标头,0),FALSE),0)</f>
        <v>602</v>
      </c>
      <c r="BE79" s="426">
        <f ca="1">ROUND(VLOOKUP($AW79&amp;"初始",$O$3:$AA$63,MATCH(BE$3,$O$3:$AA$3,0),FALSE)+(VLOOKUP($AW79&amp;"最终",$O$3:$AA$63,MATCH(BE$3,$O$3:$AA$3,0),FALSE)-VLOOKUP($AW79&amp;"初始",$O$3:$AA$63,MATCH(BE$3,$O$3:$AA$3,0),FALSE))*$AY79/VLOOKUP(VLOOKUP($AW79,坦克个性化设定!$B$18:$E$48,4,FALSE)&amp;$AX79,坦克属性分配比例,MATCH("升星次数",坦克属性分配比例标头,0),FALSE),0)</f>
        <v>165</v>
      </c>
      <c r="BF79" s="462">
        <f>ROUND(VLOOKUP($AW79,$AD$3:$AJ$33,MATCH(BF$3,$AD$3:$AJ$3,0),FALSE)+$AY79/VLOOKUP(VLOOKUP($AW79,坦克个性化设定!$B$18:$E$48,4,FALSE)&amp;$AX79,坦克属性分配比例,MATCH("升星次数",坦克属性分配比例标头,0),FALSE)*VLOOKUP($AW79,$AM$3:$AS$33,MATCH(BF$3,$AM$3:$AS$3,0),FALSE),1)</f>
        <v>39.1</v>
      </c>
      <c r="BG79" s="462">
        <f>ROUND(VLOOKUP($AW79,$AD$3:$AJ$33,MATCH(BG$3,$AD$3:$AJ$3,0),FALSE)+$AY79/VLOOKUP(VLOOKUP($AW79,坦克个性化设定!$B$18:$E$48,4,FALSE)&amp;$AX79,坦克属性分配比例,MATCH("升星次数",坦克属性分配比例标头,0),FALSE)*VLOOKUP($AW79,$AM$3:$AS$33,MATCH(BG$3,$AM$3:$AS$3,0),FALSE),1)</f>
        <v>58.2</v>
      </c>
      <c r="BH79" s="462">
        <f>ROUND(VLOOKUP($AW79,$AD$3:$AJ$33,MATCH(BH$3,$AD$3:$AJ$3,0),FALSE)+$AY79/VLOOKUP(VLOOKUP($AW79,坦克个性化设定!$B$18:$E$48,4,FALSE)&amp;$AX79,坦克属性分配比例,MATCH("升星次数",坦克属性分配比例标头,0),FALSE)*VLOOKUP($AW79,$AM$3:$AS$33,MATCH(BH$3,$AM$3:$AS$3,0),FALSE),1)</f>
        <v>13.7</v>
      </c>
      <c r="BI79" s="654">
        <f>IF(VLOOKUP(AW79,坦克个性化设定!$B$18:$BB$48,MATCH("装弹类型",坦克个性化设定!$B$18:$BB$18,0),FALSE)="弹夹换弹",0,ROUND(VLOOKUP($AW79,$AD$3:$AJ$33,MATCH("换弹时间",$AD$3:$AJ$3,0),FALSE)-$AY79/VLOOKUP(VLOOKUP($AW79,坦克个性化设定!$B$18:$E$48,4,FALSE)&amp;$AX79,坦克属性分配比例,MATCH("升星次数",坦克属性分配比例标头,0),FALSE)*VLOOKUP($AW79,$AM$3:$AS$33,MATCH("换弹时间",$AM$3:$AS$3,0),FALSE),2))</f>
        <v>2.96</v>
      </c>
      <c r="BJ79" s="462">
        <f>IF(VLOOKUP(AW79,坦克个性化设定!$B$18:$BB$48,MATCH("装弹类型",坦克个性化设定!$B$18:$BB$18,0),FALSE)="弹夹换弹",ROUND(VLOOKUP($AW79,$AD$3:$AJ$33,MATCH("换弹时间",$AD$3:$AJ$3,0),FALSE)-$AY79/VLOOKUP(VLOOKUP($AW79,坦克个性化设定!$B$18:$E$48,4,FALSE)&amp;$AX79,坦克属性分配比例,MATCH("升星次数",坦克属性分配比例标头,0),FALSE)*VLOOKUP($AW79,$AM$3:$AS$33,MATCH("换弹时间",$AM$3:$AS$3,0),FALSE),1),0)</f>
        <v>0</v>
      </c>
      <c r="BK79" s="462">
        <f>ROUND(VLOOKUP($AW79,$AD$3:$AJ$33,MATCH(BK$3,$AD$3:$AJ$3,0),FALSE)+$AY79/VLOOKUP(VLOOKUP($AW79,坦克个性化设定!$B$18:$E$48,4,FALSE)&amp;$AX79,坦克属性分配比例,MATCH("升星次数",坦克属性分配比例标头,0),FALSE)*VLOOKUP($AW79,$AM$3:$AS$33,MATCH(BK$3,$AM$3:$AS$3,0),FALSE),2)</f>
        <v>0</v>
      </c>
      <c r="BL79" s="462">
        <f>ROUND(VLOOKUP($AW79,$AD$3:$AJ$33,MATCH(BL$3,$AD$3:$AJ$3,0),FALSE)-$AY79/VLOOKUP(VLOOKUP($AW79,坦克个性化设定!$B$18:$E$48,4,FALSE)&amp;$AX79,坦克属性分配比例,MATCH("升星次数",坦克属性分配比例标头,0),FALSE)*VLOOKUP($AW79,$AM$3:$AS$33,MATCH(BL$3,$AM$3:$AS$3,0),FALSE),2)</f>
        <v>1.78</v>
      </c>
    </row>
    <row r="80" spans="47:64" x14ac:dyDescent="0.35">
      <c r="AU80" s="364" t="str">
        <f t="shared" si="19"/>
        <v>M-412</v>
      </c>
      <c r="AV80" s="183">
        <f>IF(AY79&gt;=VLOOKUP(VLOOKUP(AW79,坦克个性化设定!$B$18:$E$48,4,FALSE)&amp;AX79,坦克属性分配比例,MATCH("升星次数",坦克属性分配比例标头,0),FALSE),AV79+1,AV79)</f>
        <v>8</v>
      </c>
      <c r="AW80" s="131" t="str">
        <f t="shared" si="20"/>
        <v>M-41</v>
      </c>
      <c r="AX80" s="177" t="str">
        <f>VLOOKUP(AW80,坦克个性化细分!$I$3:$J$33,2,FALSE)</f>
        <v>中</v>
      </c>
      <c r="AY80" s="183">
        <f t="shared" si="18"/>
        <v>2</v>
      </c>
      <c r="AZ80" s="486">
        <f ca="1">ROUND(VLOOKUP($AW80&amp;"初始",$O$3:$AA$63,MATCH(AZ$3,$O$3:$AA$3,0),FALSE)+((VLOOKUP($AW80&amp;"最终",$O$3:$AA$63,MATCH(AZ$3,$O$3:$AA$3,0),FALSE)*坦克个性化细分!$C$9-VLOOKUP($AW80&amp;"初始",$O$3:$AA$63,MATCH(AZ$3,$O$3:$AA$3,0),FALSE))-(VLOOKUP($AW80&amp;"最终",$O$3:$AA$63,MATCH(AZ$3,$O$3:$AA$3,0),FALSE)-VLOOKUP($AW80&amp;"初始",$O$3:$AA$63,MATCH(AZ$3,$O$3:$AA$3,0),FALSE))*VLOOKUP(VLOOKUP($AW80,坦克个性化设定!$B$18:$E$48,4,FALSE)&amp;$AX80,坦克属性分配比例,MATCH("部件比例",坦克属性分配比例标头,0),FALSE))*$AY80/VLOOKUP(VLOOKUP($AW80,坦克个性化设定!$B$18:$E$48,4,FALSE)&amp;$AX80,坦克属性分配比例,MATCH("升星次数",坦克属性分配比例标头,0),FALSE),0)</f>
        <v>1791</v>
      </c>
      <c r="BA80" s="426">
        <f ca="1">ROUND(VLOOKUP($AW80&amp;"初始",$O$3:$AA$63,MATCH(BA$3,$O$3:$AA$3,0),FALSE)+(VLOOKUP($AW80&amp;"最终",$O$3:$AA$63,MATCH(BA$3,$O$3:$AA$3,0),FALSE)-VLOOKUP($AW80&amp;"初始",$O$3:$AA$63,MATCH(BA$3,$O$3:$AA$3,0),FALSE))*$AY80/VLOOKUP(VLOOKUP($AW80,坦克个性化设定!$B$18:$E$48,4,FALSE)&amp;$AX80,坦克属性分配比例,MATCH("升星次数",坦克属性分配比例标头,0),FALSE)*VLOOKUP(VLOOKUP($AW80,坦克个性化设定!$B$18:$E$48,4,FALSE)&amp;$AX80,坦克属性分配比例,MATCH("升星比例",坦克属性分配比例标头,0),FALSE),0)</f>
        <v>196</v>
      </c>
      <c r="BB80" s="486">
        <f ca="1">ROUND(VLOOKUP($AW80&amp;"初始",$O$3:$AA$63,MATCH(BB$3,$O$3:$AA$3,0),FALSE)+(VLOOKUP($AW80&amp;"最终",$O$3:$AA$63,MATCH(BB$3,$O$3:$AA$3,0),FALSE)-VLOOKUP($AW80&amp;"初始",$O$3:$AA$63,MATCH(BB$3,$O$3:$AA$3,0),FALSE))*$AY80/VLOOKUP(VLOOKUP($AW80,坦克个性化设定!$B$18:$E$48,4,FALSE)&amp;$AX80,坦克属性分配比例,MATCH("升星次数",坦克属性分配比例标头,0),FALSE)*(VLOOKUP(VLOOKUP($AW80,坦克个性化设定!$B$18:$E$48,4,FALSE)&amp;$AX80,坦克属性分配比例,MATCH("升星比例",坦克属性分配比例标头,0),FALSE)+VLOOKUP(VLOOKUP($AW80,坦克个性化设定!$B$18:$E$48,4,FALSE)&amp;$AX80,坦克属性分配比例,MATCH("部件比例",坦克属性分配比例标头,0),FALSE)*$C$3),0)</f>
        <v>759</v>
      </c>
      <c r="BC80" s="486">
        <f ca="1">ROUND(VLOOKUP($AW80&amp;"初始",$O$3:$AA$63,MATCH(BC$3,$O$3:$AA$3,0),FALSE)+(VLOOKUP($AW80&amp;"最终",$O$3:$AA$63,MATCH(BC$3,$O$3:$AA$3,0),FALSE)-VLOOKUP($AW80&amp;"初始",$O$3:$AA$63,MATCH(BC$3,$O$3:$AA$3,0),FALSE))*$AY80/VLOOKUP(VLOOKUP($AW80,坦克个性化设定!$B$18:$E$48,4,FALSE)&amp;$AX80,坦克属性分配比例,MATCH("升星次数",坦克属性分配比例标头,0),FALSE)*(VLOOKUP(VLOOKUP($AW80,坦克个性化设定!$B$18:$E$48,4,FALSE)&amp;$AX80,坦克属性分配比例,MATCH("升星比例",坦克属性分配比例标头,0),FALSE)+VLOOKUP(VLOOKUP($AW80,坦克个性化设定!$B$18:$E$48,4,FALSE)&amp;$AX80,坦克属性分配比例,MATCH("部件比例",坦克属性分配比例标头,0),FALSE)*$C$3),0)</f>
        <v>531</v>
      </c>
      <c r="BD80" s="426">
        <f ca="1">ROUND(VLOOKUP($AW80&amp;"初始",$O$3:$AA$63,MATCH(BD$3,$O$3:$AA$3,0),FALSE)+(VLOOKUP($AW80&amp;"最终",$O$3:$AA$63,MATCH(BD$3,$O$3:$AA$3,0),FALSE)-VLOOKUP($AW80&amp;"初始",$O$3:$AA$63,MATCH(BD$3,$O$3:$AA$3,0),FALSE))*$AY80/VLOOKUP(VLOOKUP($AW80,坦克个性化设定!$B$18:$E$48,4,FALSE)&amp;$AX80,坦克属性分配比例,MATCH("升星次数",坦克属性分配比例标头,0),FALSE)*VLOOKUP(VLOOKUP($AW80,坦克个性化设定!$B$18:$E$48,4,FALSE)&amp;$AX80,坦克属性分配比例,MATCH("升星比例",坦克属性分配比例标头,0),FALSE),0)</f>
        <v>617</v>
      </c>
      <c r="BE80" s="426">
        <f ca="1">ROUND(VLOOKUP($AW80&amp;"初始",$O$3:$AA$63,MATCH(BE$3,$O$3:$AA$3,0),FALSE)+(VLOOKUP($AW80&amp;"最终",$O$3:$AA$63,MATCH(BE$3,$O$3:$AA$3,0),FALSE)-VLOOKUP($AW80&amp;"初始",$O$3:$AA$63,MATCH(BE$3,$O$3:$AA$3,0),FALSE))*$AY80/VLOOKUP(VLOOKUP($AW80,坦克个性化设定!$B$18:$E$48,4,FALSE)&amp;$AX80,坦克属性分配比例,MATCH("升星次数",坦克属性分配比例标头,0),FALSE),0)</f>
        <v>174</v>
      </c>
      <c r="BF80" s="462">
        <f>ROUND(VLOOKUP($AW80,$AD$3:$AJ$33,MATCH(BF$3,$AD$3:$AJ$3,0),FALSE)+$AY80/VLOOKUP(VLOOKUP($AW80,坦克个性化设定!$B$18:$E$48,4,FALSE)&amp;$AX80,坦克属性分配比例,MATCH("升星次数",坦克属性分配比例标头,0),FALSE)*VLOOKUP($AW80,$AM$3:$AS$33,MATCH(BF$3,$AM$3:$AS$3,0),FALSE),1)</f>
        <v>39.6</v>
      </c>
      <c r="BG80" s="462">
        <f>ROUND(VLOOKUP($AW80,$AD$3:$AJ$33,MATCH(BG$3,$AD$3:$AJ$3,0),FALSE)+$AY80/VLOOKUP(VLOOKUP($AW80,坦克个性化设定!$B$18:$E$48,4,FALSE)&amp;$AX80,坦克属性分配比例,MATCH("升星次数",坦克属性分配比例标头,0),FALSE)*VLOOKUP($AW80,$AM$3:$AS$33,MATCH(BG$3,$AM$3:$AS$3,0),FALSE),1)</f>
        <v>59.1</v>
      </c>
      <c r="BH80" s="462">
        <f>ROUND(VLOOKUP($AW80,$AD$3:$AJ$33,MATCH(BH$3,$AD$3:$AJ$3,0),FALSE)+$AY80/VLOOKUP(VLOOKUP($AW80,坦克个性化设定!$B$18:$E$48,4,FALSE)&amp;$AX80,坦克属性分配比例,MATCH("升星次数",坦克属性分配比例标头,0),FALSE)*VLOOKUP($AW80,$AM$3:$AS$33,MATCH(BH$3,$AM$3:$AS$3,0),FALSE),1)</f>
        <v>13.9</v>
      </c>
      <c r="BI80" s="654">
        <f>IF(VLOOKUP(AW80,坦克个性化设定!$B$18:$BB$48,MATCH("装弹类型",坦克个性化设定!$B$18:$BB$18,0),FALSE)="弹夹换弹",0,ROUND(VLOOKUP($AW80,$AD$3:$AJ$33,MATCH("换弹时间",$AD$3:$AJ$3,0),FALSE)-$AY80/VLOOKUP(VLOOKUP($AW80,坦克个性化设定!$B$18:$E$48,4,FALSE)&amp;$AX80,坦克属性分配比例,MATCH("升星次数",坦克属性分配比例标头,0),FALSE)*VLOOKUP($AW80,$AM$3:$AS$33,MATCH("换弹时间",$AM$3:$AS$3,0),FALSE),2))</f>
        <v>2.92</v>
      </c>
      <c r="BJ80" s="462">
        <f>IF(VLOOKUP(AW80,坦克个性化设定!$B$18:$BB$48,MATCH("装弹类型",坦克个性化设定!$B$18:$BB$18,0),FALSE)="弹夹换弹",ROUND(VLOOKUP($AW80,$AD$3:$AJ$33,MATCH("换弹时间",$AD$3:$AJ$3,0),FALSE)-$AY80/VLOOKUP(VLOOKUP($AW80,坦克个性化设定!$B$18:$E$48,4,FALSE)&amp;$AX80,坦克属性分配比例,MATCH("升星次数",坦克属性分配比例标头,0),FALSE)*VLOOKUP($AW80,$AM$3:$AS$33,MATCH("换弹时间",$AM$3:$AS$3,0),FALSE),1),0)</f>
        <v>0</v>
      </c>
      <c r="BK80" s="462">
        <f>ROUND(VLOOKUP($AW80,$AD$3:$AJ$33,MATCH(BK$3,$AD$3:$AJ$3,0),FALSE)+$AY80/VLOOKUP(VLOOKUP($AW80,坦克个性化设定!$B$18:$E$48,4,FALSE)&amp;$AX80,坦克属性分配比例,MATCH("升星次数",坦克属性分配比例标头,0),FALSE)*VLOOKUP($AW80,$AM$3:$AS$33,MATCH(BK$3,$AM$3:$AS$3,0),FALSE),2)</f>
        <v>0</v>
      </c>
      <c r="BL80" s="462">
        <f>ROUND(VLOOKUP($AW80,$AD$3:$AJ$33,MATCH(BL$3,$AD$3:$AJ$3,0),FALSE)-$AY80/VLOOKUP(VLOOKUP($AW80,坦克个性化设定!$B$18:$E$48,4,FALSE)&amp;$AX80,坦克属性分配比例,MATCH("升星次数",坦克属性分配比例标头,0),FALSE)*VLOOKUP($AW80,$AM$3:$AS$33,MATCH(BL$3,$AM$3:$AS$3,0),FALSE),2)</f>
        <v>1.76</v>
      </c>
    </row>
    <row r="81" spans="47:64" x14ac:dyDescent="0.35">
      <c r="AU81" s="364" t="str">
        <f t="shared" si="19"/>
        <v>M-413</v>
      </c>
      <c r="AV81" s="183">
        <f>IF(AY80&gt;=VLOOKUP(VLOOKUP(AW80,坦克个性化设定!$B$18:$E$48,4,FALSE)&amp;AX80,坦克属性分配比例,MATCH("升星次数",坦克属性分配比例标头,0),FALSE),AV80+1,AV80)</f>
        <v>8</v>
      </c>
      <c r="AW81" s="131" t="str">
        <f t="shared" si="20"/>
        <v>M-41</v>
      </c>
      <c r="AX81" s="177" t="str">
        <f>VLOOKUP(AW81,坦克个性化细分!$I$3:$J$33,2,FALSE)</f>
        <v>中</v>
      </c>
      <c r="AY81" s="183">
        <f t="shared" si="18"/>
        <v>3</v>
      </c>
      <c r="AZ81" s="486">
        <f ca="1">ROUND(VLOOKUP($AW81&amp;"初始",$O$3:$AA$63,MATCH(AZ$3,$O$3:$AA$3,0),FALSE)+((VLOOKUP($AW81&amp;"最终",$O$3:$AA$63,MATCH(AZ$3,$O$3:$AA$3,0),FALSE)*坦克个性化细分!$C$9-VLOOKUP($AW81&amp;"初始",$O$3:$AA$63,MATCH(AZ$3,$O$3:$AA$3,0),FALSE))-(VLOOKUP($AW81&amp;"最终",$O$3:$AA$63,MATCH(AZ$3,$O$3:$AA$3,0),FALSE)-VLOOKUP($AW81&amp;"初始",$O$3:$AA$63,MATCH(AZ$3,$O$3:$AA$3,0),FALSE))*VLOOKUP(VLOOKUP($AW81,坦克个性化设定!$B$18:$E$48,4,FALSE)&amp;$AX81,坦克属性分配比例,MATCH("部件比例",坦克属性分配比例标头,0),FALSE))*$AY81/VLOOKUP(VLOOKUP($AW81,坦克个性化设定!$B$18:$E$48,4,FALSE)&amp;$AX81,坦克属性分配比例,MATCH("升星次数",坦克属性分配比例标头,0),FALSE),0)</f>
        <v>1884</v>
      </c>
      <c r="BA81" s="426">
        <f ca="1">ROUND(VLOOKUP($AW81&amp;"初始",$O$3:$AA$63,MATCH(BA$3,$O$3:$AA$3,0),FALSE)+(VLOOKUP($AW81&amp;"最终",$O$3:$AA$63,MATCH(BA$3,$O$3:$AA$3,0),FALSE)-VLOOKUP($AW81&amp;"初始",$O$3:$AA$63,MATCH(BA$3,$O$3:$AA$3,0),FALSE))*$AY81/VLOOKUP(VLOOKUP($AW81,坦克个性化设定!$B$18:$E$48,4,FALSE)&amp;$AX81,坦克属性分配比例,MATCH("升星次数",坦克属性分配比例标头,0),FALSE)*VLOOKUP(VLOOKUP($AW81,坦克个性化设定!$B$18:$E$48,4,FALSE)&amp;$AX81,坦克属性分配比例,MATCH("升星比例",坦克属性分配比例标头,0),FALSE),0)</f>
        <v>200</v>
      </c>
      <c r="BB81" s="486">
        <f ca="1">ROUND(VLOOKUP($AW81&amp;"初始",$O$3:$AA$63,MATCH(BB$3,$O$3:$AA$3,0),FALSE)+(VLOOKUP($AW81&amp;"最终",$O$3:$AA$63,MATCH(BB$3,$O$3:$AA$3,0),FALSE)-VLOOKUP($AW81&amp;"初始",$O$3:$AA$63,MATCH(BB$3,$O$3:$AA$3,0),FALSE))*$AY81/VLOOKUP(VLOOKUP($AW81,坦克个性化设定!$B$18:$E$48,4,FALSE)&amp;$AX81,坦克属性分配比例,MATCH("升星次数",坦克属性分配比例标头,0),FALSE)*(VLOOKUP(VLOOKUP($AW81,坦克个性化设定!$B$18:$E$48,4,FALSE)&amp;$AX81,坦克属性分配比例,MATCH("升星比例",坦克属性分配比例标头,0),FALSE)+VLOOKUP(VLOOKUP($AW81,坦克个性化设定!$B$18:$E$48,4,FALSE)&amp;$AX81,坦克属性分配比例,MATCH("部件比例",坦克属性分配比例标头,0),FALSE)*$C$3),0)</f>
        <v>788</v>
      </c>
      <c r="BC81" s="486">
        <f ca="1">ROUND(VLOOKUP($AW81&amp;"初始",$O$3:$AA$63,MATCH(BC$3,$O$3:$AA$3,0),FALSE)+(VLOOKUP($AW81&amp;"最终",$O$3:$AA$63,MATCH(BC$3,$O$3:$AA$3,0),FALSE)-VLOOKUP($AW81&amp;"初始",$O$3:$AA$63,MATCH(BC$3,$O$3:$AA$3,0),FALSE))*$AY81/VLOOKUP(VLOOKUP($AW81,坦克个性化设定!$B$18:$E$48,4,FALSE)&amp;$AX81,坦克属性分配比例,MATCH("升星次数",坦克属性分配比例标头,0),FALSE)*(VLOOKUP(VLOOKUP($AW81,坦克个性化设定!$B$18:$E$48,4,FALSE)&amp;$AX81,坦克属性分配比例,MATCH("升星比例",坦克属性分配比例标头,0),FALSE)+VLOOKUP(VLOOKUP($AW81,坦克个性化设定!$B$18:$E$48,4,FALSE)&amp;$AX81,坦克属性分配比例,MATCH("部件比例",坦克属性分配比例标头,0),FALSE)*$C$3),0)</f>
        <v>552</v>
      </c>
      <c r="BD81" s="426">
        <f ca="1">ROUND(VLOOKUP($AW81&amp;"初始",$O$3:$AA$63,MATCH(BD$3,$O$3:$AA$3,0),FALSE)+(VLOOKUP($AW81&amp;"最终",$O$3:$AA$63,MATCH(BD$3,$O$3:$AA$3,0),FALSE)-VLOOKUP($AW81&amp;"初始",$O$3:$AA$63,MATCH(BD$3,$O$3:$AA$3,0),FALSE))*$AY81/VLOOKUP(VLOOKUP($AW81,坦克个性化设定!$B$18:$E$48,4,FALSE)&amp;$AX81,坦克属性分配比例,MATCH("升星次数",坦克属性分配比例标头,0),FALSE)*VLOOKUP(VLOOKUP($AW81,坦克个性化设定!$B$18:$E$48,4,FALSE)&amp;$AX81,坦克属性分配比例,MATCH("升星比例",坦克属性分配比例标头,0),FALSE),0)</f>
        <v>631</v>
      </c>
      <c r="BE81" s="426">
        <f ca="1">ROUND(VLOOKUP($AW81&amp;"初始",$O$3:$AA$63,MATCH(BE$3,$O$3:$AA$3,0),FALSE)+(VLOOKUP($AW81&amp;"最终",$O$3:$AA$63,MATCH(BE$3,$O$3:$AA$3,0),FALSE)-VLOOKUP($AW81&amp;"初始",$O$3:$AA$63,MATCH(BE$3,$O$3:$AA$3,0),FALSE))*$AY81/VLOOKUP(VLOOKUP($AW81,坦克个性化设定!$B$18:$E$48,4,FALSE)&amp;$AX81,坦克属性分配比例,MATCH("升星次数",坦克属性分配比例标头,0),FALSE),0)</f>
        <v>182</v>
      </c>
      <c r="BF81" s="462">
        <f>ROUND(VLOOKUP($AW81,$AD$3:$AJ$33,MATCH(BF$3,$AD$3:$AJ$3,0),FALSE)+$AY81/VLOOKUP(VLOOKUP($AW81,坦克个性化设定!$B$18:$E$48,4,FALSE)&amp;$AX81,坦克属性分配比例,MATCH("升星次数",坦克属性分配比例标头,0),FALSE)*VLOOKUP($AW81,$AM$3:$AS$33,MATCH(BF$3,$AM$3:$AS$3,0),FALSE),1)</f>
        <v>40.200000000000003</v>
      </c>
      <c r="BG81" s="462">
        <f>ROUND(VLOOKUP($AW81,$AD$3:$AJ$33,MATCH(BG$3,$AD$3:$AJ$3,0),FALSE)+$AY81/VLOOKUP(VLOOKUP($AW81,坦克个性化设定!$B$18:$E$48,4,FALSE)&amp;$AX81,坦克属性分配比例,MATCH("升星次数",坦克属性分配比例标头,0),FALSE)*VLOOKUP($AW81,$AM$3:$AS$33,MATCH(BG$3,$AM$3:$AS$3,0),FALSE),1)</f>
        <v>59.9</v>
      </c>
      <c r="BH81" s="462">
        <f>ROUND(VLOOKUP($AW81,$AD$3:$AJ$33,MATCH(BH$3,$AD$3:$AJ$3,0),FALSE)+$AY81/VLOOKUP(VLOOKUP($AW81,坦克个性化设定!$B$18:$E$48,4,FALSE)&amp;$AX81,坦克属性分配比例,MATCH("升星次数",坦克属性分配比例标头,0),FALSE)*VLOOKUP($AW81,$AM$3:$AS$33,MATCH(BH$3,$AM$3:$AS$3,0),FALSE),1)</f>
        <v>14.2</v>
      </c>
      <c r="BI81" s="654">
        <f>IF(VLOOKUP(AW81,坦克个性化设定!$B$18:$BB$48,MATCH("装弹类型",坦克个性化设定!$B$18:$BB$18,0),FALSE)="弹夹换弹",0,ROUND(VLOOKUP($AW81,$AD$3:$AJ$33,MATCH("换弹时间",$AD$3:$AJ$3,0),FALSE)-$AY81/VLOOKUP(VLOOKUP($AW81,坦克个性化设定!$B$18:$E$48,4,FALSE)&amp;$AX81,坦克属性分配比例,MATCH("升星次数",坦克属性分配比例标头,0),FALSE)*VLOOKUP($AW81,$AM$3:$AS$33,MATCH("换弹时间",$AM$3:$AS$3,0),FALSE),2))</f>
        <v>2.87</v>
      </c>
      <c r="BJ81" s="462">
        <f>IF(VLOOKUP(AW81,坦克个性化设定!$B$18:$BB$48,MATCH("装弹类型",坦克个性化设定!$B$18:$BB$18,0),FALSE)="弹夹换弹",ROUND(VLOOKUP($AW81,$AD$3:$AJ$33,MATCH("换弹时间",$AD$3:$AJ$3,0),FALSE)-$AY81/VLOOKUP(VLOOKUP($AW81,坦克个性化设定!$B$18:$E$48,4,FALSE)&amp;$AX81,坦克属性分配比例,MATCH("升星次数",坦克属性分配比例标头,0),FALSE)*VLOOKUP($AW81,$AM$3:$AS$33,MATCH("换弹时间",$AM$3:$AS$3,0),FALSE),1),0)</f>
        <v>0</v>
      </c>
      <c r="BK81" s="462">
        <f>ROUND(VLOOKUP($AW81,$AD$3:$AJ$33,MATCH(BK$3,$AD$3:$AJ$3,0),FALSE)+$AY81/VLOOKUP(VLOOKUP($AW81,坦克个性化设定!$B$18:$E$48,4,FALSE)&amp;$AX81,坦克属性分配比例,MATCH("升星次数",坦克属性分配比例标头,0),FALSE)*VLOOKUP($AW81,$AM$3:$AS$33,MATCH(BK$3,$AM$3:$AS$3,0),FALSE),2)</f>
        <v>0</v>
      </c>
      <c r="BL81" s="462">
        <f>ROUND(VLOOKUP($AW81,$AD$3:$AJ$33,MATCH(BL$3,$AD$3:$AJ$3,0),FALSE)-$AY81/VLOOKUP(VLOOKUP($AW81,坦克个性化设定!$B$18:$E$48,4,FALSE)&amp;$AX81,坦克属性分配比例,MATCH("升星次数",坦克属性分配比例标头,0),FALSE)*VLOOKUP($AW81,$AM$3:$AS$33,MATCH(BL$3,$AM$3:$AS$3,0),FALSE),2)</f>
        <v>1.75</v>
      </c>
    </row>
    <row r="82" spans="47:64" x14ac:dyDescent="0.35">
      <c r="AU82" s="364" t="str">
        <f t="shared" si="19"/>
        <v>M-414</v>
      </c>
      <c r="AV82" s="183">
        <f>IF(AY81&gt;=VLOOKUP(VLOOKUP(AW81,坦克个性化设定!$B$18:$E$48,4,FALSE)&amp;AX81,坦克属性分配比例,MATCH("升星次数",坦克属性分配比例标头,0),FALSE),AV81+1,AV81)</f>
        <v>8</v>
      </c>
      <c r="AW82" s="131" t="str">
        <f t="shared" si="20"/>
        <v>M-41</v>
      </c>
      <c r="AX82" s="177" t="str">
        <f>VLOOKUP(AW82,坦克个性化细分!$I$3:$J$33,2,FALSE)</f>
        <v>中</v>
      </c>
      <c r="AY82" s="183">
        <f t="shared" si="18"/>
        <v>4</v>
      </c>
      <c r="AZ82" s="486">
        <f ca="1">ROUND(VLOOKUP($AW82&amp;"初始",$O$3:$AA$63,MATCH(AZ$3,$O$3:$AA$3,0),FALSE)+((VLOOKUP($AW82&amp;"最终",$O$3:$AA$63,MATCH(AZ$3,$O$3:$AA$3,0),FALSE)*坦克个性化细分!$C$9-VLOOKUP($AW82&amp;"初始",$O$3:$AA$63,MATCH(AZ$3,$O$3:$AA$3,0),FALSE))-(VLOOKUP($AW82&amp;"最终",$O$3:$AA$63,MATCH(AZ$3,$O$3:$AA$3,0),FALSE)-VLOOKUP($AW82&amp;"初始",$O$3:$AA$63,MATCH(AZ$3,$O$3:$AA$3,0),FALSE))*VLOOKUP(VLOOKUP($AW82,坦克个性化设定!$B$18:$E$48,4,FALSE)&amp;$AX82,坦克属性分配比例,MATCH("部件比例",坦克属性分配比例标头,0),FALSE))*$AY82/VLOOKUP(VLOOKUP($AW82,坦克个性化设定!$B$18:$E$48,4,FALSE)&amp;$AX82,坦克属性分配比例,MATCH("升星次数",坦克属性分配比例标头,0),FALSE),0)</f>
        <v>1977</v>
      </c>
      <c r="BA82" s="426">
        <f ca="1">ROUND(VLOOKUP($AW82&amp;"初始",$O$3:$AA$63,MATCH(BA$3,$O$3:$AA$3,0),FALSE)+(VLOOKUP($AW82&amp;"最终",$O$3:$AA$63,MATCH(BA$3,$O$3:$AA$3,0),FALSE)-VLOOKUP($AW82&amp;"初始",$O$3:$AA$63,MATCH(BA$3,$O$3:$AA$3,0),FALSE))*$AY82/VLOOKUP(VLOOKUP($AW82,坦克个性化设定!$B$18:$E$48,4,FALSE)&amp;$AX82,坦克属性分配比例,MATCH("升星次数",坦克属性分配比例标头,0),FALSE)*VLOOKUP(VLOOKUP($AW82,坦克个性化设定!$B$18:$E$48,4,FALSE)&amp;$AX82,坦克属性分配比例,MATCH("升星比例",坦克属性分配比例标头,0),FALSE),0)</f>
        <v>205</v>
      </c>
      <c r="BB82" s="486">
        <f ca="1">ROUND(VLOOKUP($AW82&amp;"初始",$O$3:$AA$63,MATCH(BB$3,$O$3:$AA$3,0),FALSE)+(VLOOKUP($AW82&amp;"最终",$O$3:$AA$63,MATCH(BB$3,$O$3:$AA$3,0),FALSE)-VLOOKUP($AW82&amp;"初始",$O$3:$AA$63,MATCH(BB$3,$O$3:$AA$3,0),FALSE))*$AY82/VLOOKUP(VLOOKUP($AW82,坦克个性化设定!$B$18:$E$48,4,FALSE)&amp;$AX82,坦克属性分配比例,MATCH("升星次数",坦克属性分配比例标头,0),FALSE)*(VLOOKUP(VLOOKUP($AW82,坦克个性化设定!$B$18:$E$48,4,FALSE)&amp;$AX82,坦克属性分配比例,MATCH("升星比例",坦克属性分配比例标头,0),FALSE)+VLOOKUP(VLOOKUP($AW82,坦克个性化设定!$B$18:$E$48,4,FALSE)&amp;$AX82,坦克属性分配比例,MATCH("部件比例",坦克属性分配比例标头,0),FALSE)*$C$3),0)</f>
        <v>817</v>
      </c>
      <c r="BC82" s="486">
        <f ca="1">ROUND(VLOOKUP($AW82&amp;"初始",$O$3:$AA$63,MATCH(BC$3,$O$3:$AA$3,0),FALSE)+(VLOOKUP($AW82&amp;"最终",$O$3:$AA$63,MATCH(BC$3,$O$3:$AA$3,0),FALSE)-VLOOKUP($AW82&amp;"初始",$O$3:$AA$63,MATCH(BC$3,$O$3:$AA$3,0),FALSE))*$AY82/VLOOKUP(VLOOKUP($AW82,坦克个性化设定!$B$18:$E$48,4,FALSE)&amp;$AX82,坦克属性分配比例,MATCH("升星次数",坦克属性分配比例标头,0),FALSE)*(VLOOKUP(VLOOKUP($AW82,坦克个性化设定!$B$18:$E$48,4,FALSE)&amp;$AX82,坦克属性分配比例,MATCH("升星比例",坦克属性分配比例标头,0),FALSE)+VLOOKUP(VLOOKUP($AW82,坦克个性化设定!$B$18:$E$48,4,FALSE)&amp;$AX82,坦克属性分配比例,MATCH("部件比例",坦克属性分配比例标头,0),FALSE)*$C$3),0)</f>
        <v>572</v>
      </c>
      <c r="BD82" s="426">
        <f ca="1">ROUND(VLOOKUP($AW82&amp;"初始",$O$3:$AA$63,MATCH(BD$3,$O$3:$AA$3,0),FALSE)+(VLOOKUP($AW82&amp;"最终",$O$3:$AA$63,MATCH(BD$3,$O$3:$AA$3,0),FALSE)-VLOOKUP($AW82&amp;"初始",$O$3:$AA$63,MATCH(BD$3,$O$3:$AA$3,0),FALSE))*$AY82/VLOOKUP(VLOOKUP($AW82,坦克个性化设定!$B$18:$E$48,4,FALSE)&amp;$AX82,坦克属性分配比例,MATCH("升星次数",坦克属性分配比例标头,0),FALSE)*VLOOKUP(VLOOKUP($AW82,坦克个性化设定!$B$18:$E$48,4,FALSE)&amp;$AX82,坦克属性分配比例,MATCH("升星比例",坦克属性分配比例标头,0),FALSE),0)</f>
        <v>645</v>
      </c>
      <c r="BE82" s="426">
        <f ca="1">ROUND(VLOOKUP($AW82&amp;"初始",$O$3:$AA$63,MATCH(BE$3,$O$3:$AA$3,0),FALSE)+(VLOOKUP($AW82&amp;"最终",$O$3:$AA$63,MATCH(BE$3,$O$3:$AA$3,0),FALSE)-VLOOKUP($AW82&amp;"初始",$O$3:$AA$63,MATCH(BE$3,$O$3:$AA$3,0),FALSE))*$AY82/VLOOKUP(VLOOKUP($AW82,坦克个性化设定!$B$18:$E$48,4,FALSE)&amp;$AX82,坦克属性分配比例,MATCH("升星次数",坦克属性分配比例标头,0),FALSE),0)</f>
        <v>191</v>
      </c>
      <c r="BF82" s="462">
        <f>ROUND(VLOOKUP($AW82,$AD$3:$AJ$33,MATCH(BF$3,$AD$3:$AJ$3,0),FALSE)+$AY82/VLOOKUP(VLOOKUP($AW82,坦克个性化设定!$B$18:$E$48,4,FALSE)&amp;$AX82,坦克属性分配比例,MATCH("升星次数",坦克属性分配比例标头,0),FALSE)*VLOOKUP($AW82,$AM$3:$AS$33,MATCH(BF$3,$AM$3:$AS$3,0),FALSE),1)</f>
        <v>40.799999999999997</v>
      </c>
      <c r="BG82" s="462">
        <f>ROUND(VLOOKUP($AW82,$AD$3:$AJ$33,MATCH(BG$3,$AD$3:$AJ$3,0),FALSE)+$AY82/VLOOKUP(VLOOKUP($AW82,坦克个性化设定!$B$18:$E$48,4,FALSE)&amp;$AX82,坦克属性分配比例,MATCH("升星次数",坦克属性分配比例标头,0),FALSE)*VLOOKUP($AW82,$AM$3:$AS$33,MATCH(BG$3,$AM$3:$AS$3,0),FALSE),1)</f>
        <v>60.8</v>
      </c>
      <c r="BH82" s="462">
        <f>ROUND(VLOOKUP($AW82,$AD$3:$AJ$33,MATCH(BH$3,$AD$3:$AJ$3,0),FALSE)+$AY82/VLOOKUP(VLOOKUP($AW82,坦克个性化设定!$B$18:$E$48,4,FALSE)&amp;$AX82,坦克属性分配比例,MATCH("升星次数",坦克属性分配比例标头,0),FALSE)*VLOOKUP($AW82,$AM$3:$AS$33,MATCH(BH$3,$AM$3:$AS$3,0),FALSE),1)</f>
        <v>14.4</v>
      </c>
      <c r="BI82" s="654">
        <f>IF(VLOOKUP(AW82,坦克个性化设定!$B$18:$BB$48,MATCH("装弹类型",坦克个性化设定!$B$18:$BB$18,0),FALSE)="弹夹换弹",0,ROUND(VLOOKUP($AW82,$AD$3:$AJ$33,MATCH("换弹时间",$AD$3:$AJ$3,0),FALSE)-$AY82/VLOOKUP(VLOOKUP($AW82,坦克个性化设定!$B$18:$E$48,4,FALSE)&amp;$AX82,坦克属性分配比例,MATCH("升星次数",坦克属性分配比例标头,0),FALSE)*VLOOKUP($AW82,$AM$3:$AS$33,MATCH("换弹时间",$AM$3:$AS$3,0),FALSE),2))</f>
        <v>2.83</v>
      </c>
      <c r="BJ82" s="462">
        <f>IF(VLOOKUP(AW82,坦克个性化设定!$B$18:$BB$48,MATCH("装弹类型",坦克个性化设定!$B$18:$BB$18,0),FALSE)="弹夹换弹",ROUND(VLOOKUP($AW82,$AD$3:$AJ$33,MATCH("换弹时间",$AD$3:$AJ$3,0),FALSE)-$AY82/VLOOKUP(VLOOKUP($AW82,坦克个性化设定!$B$18:$E$48,4,FALSE)&amp;$AX82,坦克属性分配比例,MATCH("升星次数",坦克属性分配比例标头,0),FALSE)*VLOOKUP($AW82,$AM$3:$AS$33,MATCH("换弹时间",$AM$3:$AS$3,0),FALSE),1),0)</f>
        <v>0</v>
      </c>
      <c r="BK82" s="462">
        <f>ROUND(VLOOKUP($AW82,$AD$3:$AJ$33,MATCH(BK$3,$AD$3:$AJ$3,0),FALSE)+$AY82/VLOOKUP(VLOOKUP($AW82,坦克个性化设定!$B$18:$E$48,4,FALSE)&amp;$AX82,坦克属性分配比例,MATCH("升星次数",坦克属性分配比例标头,0),FALSE)*VLOOKUP($AW82,$AM$3:$AS$33,MATCH(BK$3,$AM$3:$AS$3,0),FALSE),2)</f>
        <v>0</v>
      </c>
      <c r="BL82" s="462">
        <f>ROUND(VLOOKUP($AW82,$AD$3:$AJ$33,MATCH(BL$3,$AD$3:$AJ$3,0),FALSE)-$AY82/VLOOKUP(VLOOKUP($AW82,坦克个性化设定!$B$18:$E$48,4,FALSE)&amp;$AX82,坦克属性分配比例,MATCH("升星次数",坦克属性分配比例标头,0),FALSE)*VLOOKUP($AW82,$AM$3:$AS$33,MATCH(BL$3,$AM$3:$AS$3,0),FALSE),2)</f>
        <v>1.73</v>
      </c>
    </row>
    <row r="83" spans="47:64" x14ac:dyDescent="0.35">
      <c r="AU83" s="364" t="str">
        <f t="shared" si="19"/>
        <v>M-415</v>
      </c>
      <c r="AV83" s="183">
        <f>IF(AY82&gt;=VLOOKUP(VLOOKUP(AW82,坦克个性化设定!$B$18:$E$48,4,FALSE)&amp;AX82,坦克属性分配比例,MATCH("升星次数",坦克属性分配比例标头,0),FALSE),AV82+1,AV82)</f>
        <v>8</v>
      </c>
      <c r="AW83" s="131" t="str">
        <f t="shared" si="20"/>
        <v>M-41</v>
      </c>
      <c r="AX83" s="177" t="str">
        <f>VLOOKUP(AW83,坦克个性化细分!$I$3:$J$33,2,FALSE)</f>
        <v>中</v>
      </c>
      <c r="AY83" s="183">
        <f t="shared" si="18"/>
        <v>5</v>
      </c>
      <c r="AZ83" s="486">
        <f ca="1">ROUND(VLOOKUP($AW83&amp;"初始",$O$3:$AA$63,MATCH(AZ$3,$O$3:$AA$3,0),FALSE)+((VLOOKUP($AW83&amp;"最终",$O$3:$AA$63,MATCH(AZ$3,$O$3:$AA$3,0),FALSE)*坦克个性化细分!$C$9-VLOOKUP($AW83&amp;"初始",$O$3:$AA$63,MATCH(AZ$3,$O$3:$AA$3,0),FALSE))-(VLOOKUP($AW83&amp;"最终",$O$3:$AA$63,MATCH(AZ$3,$O$3:$AA$3,0),FALSE)-VLOOKUP($AW83&amp;"初始",$O$3:$AA$63,MATCH(AZ$3,$O$3:$AA$3,0),FALSE))*VLOOKUP(VLOOKUP($AW83,坦克个性化设定!$B$18:$E$48,4,FALSE)&amp;$AX83,坦克属性分配比例,MATCH("部件比例",坦克属性分配比例标头,0),FALSE))*$AY83/VLOOKUP(VLOOKUP($AW83,坦克个性化设定!$B$18:$E$48,4,FALSE)&amp;$AX83,坦克属性分配比例,MATCH("升星次数",坦克属性分配比例标头,0),FALSE),0)</f>
        <v>2070</v>
      </c>
      <c r="BA83" s="426">
        <f ca="1">ROUND(VLOOKUP($AW83&amp;"初始",$O$3:$AA$63,MATCH(BA$3,$O$3:$AA$3,0),FALSE)+(VLOOKUP($AW83&amp;"最终",$O$3:$AA$63,MATCH(BA$3,$O$3:$AA$3,0),FALSE)-VLOOKUP($AW83&amp;"初始",$O$3:$AA$63,MATCH(BA$3,$O$3:$AA$3,0),FALSE))*$AY83/VLOOKUP(VLOOKUP($AW83,坦克个性化设定!$B$18:$E$48,4,FALSE)&amp;$AX83,坦克属性分配比例,MATCH("升星次数",坦克属性分配比例标头,0),FALSE)*VLOOKUP(VLOOKUP($AW83,坦克个性化设定!$B$18:$E$48,4,FALSE)&amp;$AX83,坦克属性分配比例,MATCH("升星比例",坦克属性分配比例标头,0),FALSE),0)</f>
        <v>209</v>
      </c>
      <c r="BB83" s="486">
        <f ca="1">ROUND(VLOOKUP($AW83&amp;"初始",$O$3:$AA$63,MATCH(BB$3,$O$3:$AA$3,0),FALSE)+(VLOOKUP($AW83&amp;"最终",$O$3:$AA$63,MATCH(BB$3,$O$3:$AA$3,0),FALSE)-VLOOKUP($AW83&amp;"初始",$O$3:$AA$63,MATCH(BB$3,$O$3:$AA$3,0),FALSE))*$AY83/VLOOKUP(VLOOKUP($AW83,坦克个性化设定!$B$18:$E$48,4,FALSE)&amp;$AX83,坦克属性分配比例,MATCH("升星次数",坦克属性分配比例标头,0),FALSE)*(VLOOKUP(VLOOKUP($AW83,坦克个性化设定!$B$18:$E$48,4,FALSE)&amp;$AX83,坦克属性分配比例,MATCH("升星比例",坦克属性分配比例标头,0),FALSE)+VLOOKUP(VLOOKUP($AW83,坦克个性化设定!$B$18:$E$48,4,FALSE)&amp;$AX83,坦克属性分配比例,MATCH("部件比例",坦克属性分配比例标头,0),FALSE)*$C$3),0)</f>
        <v>847</v>
      </c>
      <c r="BC83" s="486">
        <f ca="1">ROUND(VLOOKUP($AW83&amp;"初始",$O$3:$AA$63,MATCH(BC$3,$O$3:$AA$3,0),FALSE)+(VLOOKUP($AW83&amp;"最终",$O$3:$AA$63,MATCH(BC$3,$O$3:$AA$3,0),FALSE)-VLOOKUP($AW83&amp;"初始",$O$3:$AA$63,MATCH(BC$3,$O$3:$AA$3,0),FALSE))*$AY83/VLOOKUP(VLOOKUP($AW83,坦克个性化设定!$B$18:$E$48,4,FALSE)&amp;$AX83,坦克属性分配比例,MATCH("升星次数",坦克属性分配比例标头,0),FALSE)*(VLOOKUP(VLOOKUP($AW83,坦克个性化设定!$B$18:$E$48,4,FALSE)&amp;$AX83,坦克属性分配比例,MATCH("升星比例",坦克属性分配比例标头,0),FALSE)+VLOOKUP(VLOOKUP($AW83,坦克个性化设定!$B$18:$E$48,4,FALSE)&amp;$AX83,坦克属性分配比例,MATCH("部件比例",坦克属性分配比例标头,0),FALSE)*$C$3),0)</f>
        <v>593</v>
      </c>
      <c r="BD83" s="426">
        <f ca="1">ROUND(VLOOKUP($AW83&amp;"初始",$O$3:$AA$63,MATCH(BD$3,$O$3:$AA$3,0),FALSE)+(VLOOKUP($AW83&amp;"最终",$O$3:$AA$63,MATCH(BD$3,$O$3:$AA$3,0),FALSE)-VLOOKUP($AW83&amp;"初始",$O$3:$AA$63,MATCH(BD$3,$O$3:$AA$3,0),FALSE))*$AY83/VLOOKUP(VLOOKUP($AW83,坦克个性化设定!$B$18:$E$48,4,FALSE)&amp;$AX83,坦克属性分配比例,MATCH("升星次数",坦克属性分配比例标头,0),FALSE)*VLOOKUP(VLOOKUP($AW83,坦克个性化设定!$B$18:$E$48,4,FALSE)&amp;$AX83,坦克属性分配比例,MATCH("升星比例",坦克属性分配比例标头,0),FALSE),0)</f>
        <v>659</v>
      </c>
      <c r="BE83" s="426">
        <f ca="1">ROUND(VLOOKUP($AW83&amp;"初始",$O$3:$AA$63,MATCH(BE$3,$O$3:$AA$3,0),FALSE)+(VLOOKUP($AW83&amp;"最终",$O$3:$AA$63,MATCH(BE$3,$O$3:$AA$3,0),FALSE)-VLOOKUP($AW83&amp;"初始",$O$3:$AA$63,MATCH(BE$3,$O$3:$AA$3,0),FALSE))*$AY83/VLOOKUP(VLOOKUP($AW83,坦克个性化设定!$B$18:$E$48,4,FALSE)&amp;$AX83,坦克属性分配比例,MATCH("升星次数",坦克属性分配比例标头,0),FALSE),0)</f>
        <v>199</v>
      </c>
      <c r="BF83" s="462">
        <f>ROUND(VLOOKUP($AW83,$AD$3:$AJ$33,MATCH(BF$3,$AD$3:$AJ$3,0),FALSE)+$AY83/VLOOKUP(VLOOKUP($AW83,坦克个性化设定!$B$18:$E$48,4,FALSE)&amp;$AX83,坦克属性分配比例,MATCH("升星次数",坦克属性分配比例标头,0),FALSE)*VLOOKUP($AW83,$AM$3:$AS$33,MATCH(BF$3,$AM$3:$AS$3,0),FALSE),1)</f>
        <v>41.3</v>
      </c>
      <c r="BG83" s="462">
        <f>ROUND(VLOOKUP($AW83,$AD$3:$AJ$33,MATCH(BG$3,$AD$3:$AJ$3,0),FALSE)+$AY83/VLOOKUP(VLOOKUP($AW83,坦克个性化设定!$B$18:$E$48,4,FALSE)&amp;$AX83,坦克属性分配比例,MATCH("升星次数",坦克属性分配比例标头,0),FALSE)*VLOOKUP($AW83,$AM$3:$AS$33,MATCH(BG$3,$AM$3:$AS$3,0),FALSE),1)</f>
        <v>61.6</v>
      </c>
      <c r="BH83" s="462">
        <f>ROUND(VLOOKUP($AW83,$AD$3:$AJ$33,MATCH(BH$3,$AD$3:$AJ$3,0),FALSE)+$AY83/VLOOKUP(VLOOKUP($AW83,坦克个性化设定!$B$18:$E$48,4,FALSE)&amp;$AX83,坦克属性分配比例,MATCH("升星次数",坦克属性分配比例标头,0),FALSE)*VLOOKUP($AW83,$AM$3:$AS$33,MATCH(BH$3,$AM$3:$AS$3,0),FALSE),1)</f>
        <v>14.7</v>
      </c>
      <c r="BI83" s="654">
        <f>IF(VLOOKUP(AW83,坦克个性化设定!$B$18:$BB$48,MATCH("装弹类型",坦克个性化设定!$B$18:$BB$18,0),FALSE)="弹夹换弹",0,ROUND(VLOOKUP($AW83,$AD$3:$AJ$33,MATCH("换弹时间",$AD$3:$AJ$3,0),FALSE)-$AY83/VLOOKUP(VLOOKUP($AW83,坦克个性化设定!$B$18:$E$48,4,FALSE)&amp;$AX83,坦克属性分配比例,MATCH("升星次数",坦克属性分配比例标头,0),FALSE)*VLOOKUP($AW83,$AM$3:$AS$33,MATCH("换弹时间",$AM$3:$AS$3,0),FALSE),2))</f>
        <v>2.79</v>
      </c>
      <c r="BJ83" s="462">
        <f>IF(VLOOKUP(AW83,坦克个性化设定!$B$18:$BB$48,MATCH("装弹类型",坦克个性化设定!$B$18:$BB$18,0),FALSE)="弹夹换弹",ROUND(VLOOKUP($AW83,$AD$3:$AJ$33,MATCH("换弹时间",$AD$3:$AJ$3,0),FALSE)-$AY83/VLOOKUP(VLOOKUP($AW83,坦克个性化设定!$B$18:$E$48,4,FALSE)&amp;$AX83,坦克属性分配比例,MATCH("升星次数",坦克属性分配比例标头,0),FALSE)*VLOOKUP($AW83,$AM$3:$AS$33,MATCH("换弹时间",$AM$3:$AS$3,0),FALSE),1),0)</f>
        <v>0</v>
      </c>
      <c r="BK83" s="462">
        <f>ROUND(VLOOKUP($AW83,$AD$3:$AJ$33,MATCH(BK$3,$AD$3:$AJ$3,0),FALSE)+$AY83/VLOOKUP(VLOOKUP($AW83,坦克个性化设定!$B$18:$E$48,4,FALSE)&amp;$AX83,坦克属性分配比例,MATCH("升星次数",坦克属性分配比例标头,0),FALSE)*VLOOKUP($AW83,$AM$3:$AS$33,MATCH(BK$3,$AM$3:$AS$3,0),FALSE),2)</f>
        <v>0</v>
      </c>
      <c r="BL83" s="462">
        <f>ROUND(VLOOKUP($AW83,$AD$3:$AJ$33,MATCH(BL$3,$AD$3:$AJ$3,0),FALSE)-$AY83/VLOOKUP(VLOOKUP($AW83,坦克个性化设定!$B$18:$E$48,4,FALSE)&amp;$AX83,坦克属性分配比例,MATCH("升星次数",坦克属性分配比例标头,0),FALSE)*VLOOKUP($AW83,$AM$3:$AS$33,MATCH(BL$3,$AM$3:$AS$3,0),FALSE),2)</f>
        <v>1.71</v>
      </c>
    </row>
    <row r="84" spans="47:64" x14ac:dyDescent="0.35">
      <c r="AU84" s="364" t="str">
        <f t="shared" si="19"/>
        <v>M-416</v>
      </c>
      <c r="AV84" s="183">
        <f>IF(AY83&gt;=VLOOKUP(VLOOKUP(AW83,坦克个性化设定!$B$18:$E$48,4,FALSE)&amp;AX83,坦克属性分配比例,MATCH("升星次数",坦克属性分配比例标头,0),FALSE),AV83+1,AV83)</f>
        <v>8</v>
      </c>
      <c r="AW84" s="131" t="str">
        <f t="shared" si="20"/>
        <v>M-41</v>
      </c>
      <c r="AX84" s="177" t="str">
        <f>VLOOKUP(AW84,坦克个性化细分!$I$3:$J$33,2,FALSE)</f>
        <v>中</v>
      </c>
      <c r="AY84" s="183">
        <f t="shared" si="18"/>
        <v>6</v>
      </c>
      <c r="AZ84" s="486">
        <f ca="1">ROUND(VLOOKUP($AW84&amp;"初始",$O$3:$AA$63,MATCH(AZ$3,$O$3:$AA$3,0),FALSE)+((VLOOKUP($AW84&amp;"最终",$O$3:$AA$63,MATCH(AZ$3,$O$3:$AA$3,0),FALSE)*坦克个性化细分!$C$9-VLOOKUP($AW84&amp;"初始",$O$3:$AA$63,MATCH(AZ$3,$O$3:$AA$3,0),FALSE))-(VLOOKUP($AW84&amp;"最终",$O$3:$AA$63,MATCH(AZ$3,$O$3:$AA$3,0),FALSE)-VLOOKUP($AW84&amp;"初始",$O$3:$AA$63,MATCH(AZ$3,$O$3:$AA$3,0),FALSE))*VLOOKUP(VLOOKUP($AW84,坦克个性化设定!$B$18:$E$48,4,FALSE)&amp;$AX84,坦克属性分配比例,MATCH("部件比例",坦克属性分配比例标头,0),FALSE))*$AY84/VLOOKUP(VLOOKUP($AW84,坦克个性化设定!$B$18:$E$48,4,FALSE)&amp;$AX84,坦克属性分配比例,MATCH("升星次数",坦克属性分配比例标头,0),FALSE),0)</f>
        <v>2163</v>
      </c>
      <c r="BA84" s="426">
        <f ca="1">ROUND(VLOOKUP($AW84&amp;"初始",$O$3:$AA$63,MATCH(BA$3,$O$3:$AA$3,0),FALSE)+(VLOOKUP($AW84&amp;"最终",$O$3:$AA$63,MATCH(BA$3,$O$3:$AA$3,0),FALSE)-VLOOKUP($AW84&amp;"初始",$O$3:$AA$63,MATCH(BA$3,$O$3:$AA$3,0),FALSE))*$AY84/VLOOKUP(VLOOKUP($AW84,坦克个性化设定!$B$18:$E$48,4,FALSE)&amp;$AX84,坦克属性分配比例,MATCH("升星次数",坦克属性分配比例标头,0),FALSE)*VLOOKUP(VLOOKUP($AW84,坦克个性化设定!$B$18:$E$48,4,FALSE)&amp;$AX84,坦克属性分配比例,MATCH("升星比例",坦克属性分配比例标头,0),FALSE),0)</f>
        <v>214</v>
      </c>
      <c r="BB84" s="486">
        <f ca="1">ROUND(VLOOKUP($AW84&amp;"初始",$O$3:$AA$63,MATCH(BB$3,$O$3:$AA$3,0),FALSE)+(VLOOKUP($AW84&amp;"最终",$O$3:$AA$63,MATCH(BB$3,$O$3:$AA$3,0),FALSE)-VLOOKUP($AW84&amp;"初始",$O$3:$AA$63,MATCH(BB$3,$O$3:$AA$3,0),FALSE))*$AY84/VLOOKUP(VLOOKUP($AW84,坦克个性化设定!$B$18:$E$48,4,FALSE)&amp;$AX84,坦克属性分配比例,MATCH("升星次数",坦克属性分配比例标头,0),FALSE)*(VLOOKUP(VLOOKUP($AW84,坦克个性化设定!$B$18:$E$48,4,FALSE)&amp;$AX84,坦克属性分配比例,MATCH("升星比例",坦克属性分配比例标头,0),FALSE)+VLOOKUP(VLOOKUP($AW84,坦克个性化设定!$B$18:$E$48,4,FALSE)&amp;$AX84,坦克属性分配比例,MATCH("部件比例",坦克属性分配比例标头,0),FALSE)*$C$3),0)</f>
        <v>876</v>
      </c>
      <c r="BC84" s="486">
        <f ca="1">ROUND(VLOOKUP($AW84&amp;"初始",$O$3:$AA$63,MATCH(BC$3,$O$3:$AA$3,0),FALSE)+(VLOOKUP($AW84&amp;"最终",$O$3:$AA$63,MATCH(BC$3,$O$3:$AA$3,0),FALSE)-VLOOKUP($AW84&amp;"初始",$O$3:$AA$63,MATCH(BC$3,$O$3:$AA$3,0),FALSE))*$AY84/VLOOKUP(VLOOKUP($AW84,坦克个性化设定!$B$18:$E$48,4,FALSE)&amp;$AX84,坦克属性分配比例,MATCH("升星次数",坦克属性分配比例标头,0),FALSE)*(VLOOKUP(VLOOKUP($AW84,坦克个性化设定!$B$18:$E$48,4,FALSE)&amp;$AX84,坦克属性分配比例,MATCH("升星比例",坦克属性分配比例标头,0),FALSE)+VLOOKUP(VLOOKUP($AW84,坦克个性化设定!$B$18:$E$48,4,FALSE)&amp;$AX84,坦克属性分配比例,MATCH("部件比例",坦克属性分配比例标头,0),FALSE)*$C$3),0)</f>
        <v>613</v>
      </c>
      <c r="BD84" s="426">
        <f ca="1">ROUND(VLOOKUP($AW84&amp;"初始",$O$3:$AA$63,MATCH(BD$3,$O$3:$AA$3,0),FALSE)+(VLOOKUP($AW84&amp;"最终",$O$3:$AA$63,MATCH(BD$3,$O$3:$AA$3,0),FALSE)-VLOOKUP($AW84&amp;"初始",$O$3:$AA$63,MATCH(BD$3,$O$3:$AA$3,0),FALSE))*$AY84/VLOOKUP(VLOOKUP($AW84,坦克个性化设定!$B$18:$E$48,4,FALSE)&amp;$AX84,坦克属性分配比例,MATCH("升星次数",坦克属性分配比例标头,0),FALSE)*VLOOKUP(VLOOKUP($AW84,坦克个性化设定!$B$18:$E$48,4,FALSE)&amp;$AX84,坦克属性分配比例,MATCH("升星比例",坦克属性分配比例标头,0),FALSE),0)</f>
        <v>674</v>
      </c>
      <c r="BE84" s="426">
        <f ca="1">ROUND(VLOOKUP($AW84&amp;"初始",$O$3:$AA$63,MATCH(BE$3,$O$3:$AA$3,0),FALSE)+(VLOOKUP($AW84&amp;"最终",$O$3:$AA$63,MATCH(BE$3,$O$3:$AA$3,0),FALSE)-VLOOKUP($AW84&amp;"初始",$O$3:$AA$63,MATCH(BE$3,$O$3:$AA$3,0),FALSE))*$AY84/VLOOKUP(VLOOKUP($AW84,坦克个性化设定!$B$18:$E$48,4,FALSE)&amp;$AX84,坦克属性分配比例,MATCH("升星次数",坦克属性分配比例标头,0),FALSE),0)</f>
        <v>207</v>
      </c>
      <c r="BF84" s="462">
        <f>ROUND(VLOOKUP($AW84,$AD$3:$AJ$33,MATCH(BF$3,$AD$3:$AJ$3,0),FALSE)+$AY84/VLOOKUP(VLOOKUP($AW84,坦克个性化设定!$B$18:$E$48,4,FALSE)&amp;$AX84,坦克属性分配比例,MATCH("升星次数",坦克属性分配比例标头,0),FALSE)*VLOOKUP($AW84,$AM$3:$AS$33,MATCH(BF$3,$AM$3:$AS$3,0),FALSE),1)</f>
        <v>41.9</v>
      </c>
      <c r="BG84" s="462">
        <f>ROUND(VLOOKUP($AW84,$AD$3:$AJ$33,MATCH(BG$3,$AD$3:$AJ$3,0),FALSE)+$AY84/VLOOKUP(VLOOKUP($AW84,坦克个性化设定!$B$18:$E$48,4,FALSE)&amp;$AX84,坦克属性分配比例,MATCH("升星次数",坦克属性分配比例标头,0),FALSE)*VLOOKUP($AW84,$AM$3:$AS$33,MATCH(BG$3,$AM$3:$AS$3,0),FALSE),1)</f>
        <v>62.5</v>
      </c>
      <c r="BH84" s="462">
        <f>ROUND(VLOOKUP($AW84,$AD$3:$AJ$33,MATCH(BH$3,$AD$3:$AJ$3,0),FALSE)+$AY84/VLOOKUP(VLOOKUP($AW84,坦克个性化设定!$B$18:$E$48,4,FALSE)&amp;$AX84,坦克属性分配比例,MATCH("升星次数",坦克属性分配比例标头,0),FALSE)*VLOOKUP($AW84,$AM$3:$AS$33,MATCH(BH$3,$AM$3:$AS$3,0),FALSE),1)</f>
        <v>14.9</v>
      </c>
      <c r="BI84" s="654">
        <f>IF(VLOOKUP(AW84,坦克个性化设定!$B$18:$BB$48,MATCH("装弹类型",坦克个性化设定!$B$18:$BB$18,0),FALSE)="弹夹换弹",0,ROUND(VLOOKUP($AW84,$AD$3:$AJ$33,MATCH("换弹时间",$AD$3:$AJ$3,0),FALSE)-$AY84/VLOOKUP(VLOOKUP($AW84,坦克个性化设定!$B$18:$E$48,4,FALSE)&amp;$AX84,坦克属性分配比例,MATCH("升星次数",坦克属性分配比例标头,0),FALSE)*VLOOKUP($AW84,$AM$3:$AS$33,MATCH("换弹时间",$AM$3:$AS$3,0),FALSE),2))</f>
        <v>2.75</v>
      </c>
      <c r="BJ84" s="462">
        <f>IF(VLOOKUP(AW84,坦克个性化设定!$B$18:$BB$48,MATCH("装弹类型",坦克个性化设定!$B$18:$BB$18,0),FALSE)="弹夹换弹",ROUND(VLOOKUP($AW84,$AD$3:$AJ$33,MATCH("换弹时间",$AD$3:$AJ$3,0),FALSE)-$AY84/VLOOKUP(VLOOKUP($AW84,坦克个性化设定!$B$18:$E$48,4,FALSE)&amp;$AX84,坦克属性分配比例,MATCH("升星次数",坦克属性分配比例标头,0),FALSE)*VLOOKUP($AW84,$AM$3:$AS$33,MATCH("换弹时间",$AM$3:$AS$3,0),FALSE),1),0)</f>
        <v>0</v>
      </c>
      <c r="BK84" s="462">
        <f>ROUND(VLOOKUP($AW84,$AD$3:$AJ$33,MATCH(BK$3,$AD$3:$AJ$3,0),FALSE)+$AY84/VLOOKUP(VLOOKUP($AW84,坦克个性化设定!$B$18:$E$48,4,FALSE)&amp;$AX84,坦克属性分配比例,MATCH("升星次数",坦克属性分配比例标头,0),FALSE)*VLOOKUP($AW84,$AM$3:$AS$33,MATCH(BK$3,$AM$3:$AS$3,0),FALSE),2)</f>
        <v>0</v>
      </c>
      <c r="BL84" s="462">
        <f>ROUND(VLOOKUP($AW84,$AD$3:$AJ$33,MATCH(BL$3,$AD$3:$AJ$3,0),FALSE)-$AY84/VLOOKUP(VLOOKUP($AW84,坦克个性化设定!$B$18:$E$48,4,FALSE)&amp;$AX84,坦克属性分配比例,MATCH("升星次数",坦克属性分配比例标头,0),FALSE)*VLOOKUP($AW84,$AM$3:$AS$33,MATCH(BL$3,$AM$3:$AS$3,0),FALSE),2)</f>
        <v>1.69</v>
      </c>
    </row>
    <row r="85" spans="47:64" x14ac:dyDescent="0.35">
      <c r="AU85" s="364" t="str">
        <f t="shared" si="19"/>
        <v>M-417</v>
      </c>
      <c r="AV85" s="183">
        <f>IF(AY84&gt;=VLOOKUP(VLOOKUP(AW84,坦克个性化设定!$B$18:$E$48,4,FALSE)&amp;AX84,坦克属性分配比例,MATCH("升星次数",坦克属性分配比例标头,0),FALSE),AV84+1,AV84)</f>
        <v>8</v>
      </c>
      <c r="AW85" s="131" t="str">
        <f t="shared" si="20"/>
        <v>M-41</v>
      </c>
      <c r="AX85" s="177" t="str">
        <f>VLOOKUP(AW85,坦克个性化细分!$I$3:$J$33,2,FALSE)</f>
        <v>中</v>
      </c>
      <c r="AY85" s="183">
        <f t="shared" si="18"/>
        <v>7</v>
      </c>
      <c r="AZ85" s="486">
        <f ca="1">ROUND(VLOOKUP($AW85&amp;"初始",$O$3:$AA$63,MATCH(AZ$3,$O$3:$AA$3,0),FALSE)+((VLOOKUP($AW85&amp;"最终",$O$3:$AA$63,MATCH(AZ$3,$O$3:$AA$3,0),FALSE)*坦克个性化细分!$C$9-VLOOKUP($AW85&amp;"初始",$O$3:$AA$63,MATCH(AZ$3,$O$3:$AA$3,0),FALSE))-(VLOOKUP($AW85&amp;"最终",$O$3:$AA$63,MATCH(AZ$3,$O$3:$AA$3,0),FALSE)-VLOOKUP($AW85&amp;"初始",$O$3:$AA$63,MATCH(AZ$3,$O$3:$AA$3,0),FALSE))*VLOOKUP(VLOOKUP($AW85,坦克个性化设定!$B$18:$E$48,4,FALSE)&amp;$AX85,坦克属性分配比例,MATCH("部件比例",坦克属性分配比例标头,0),FALSE))*$AY85/VLOOKUP(VLOOKUP($AW85,坦克个性化设定!$B$18:$E$48,4,FALSE)&amp;$AX85,坦克属性分配比例,MATCH("升星次数",坦克属性分配比例标头,0),FALSE),0)</f>
        <v>2257</v>
      </c>
      <c r="BA85" s="426">
        <f ca="1">ROUND(VLOOKUP($AW85&amp;"初始",$O$3:$AA$63,MATCH(BA$3,$O$3:$AA$3,0),FALSE)+(VLOOKUP($AW85&amp;"最终",$O$3:$AA$63,MATCH(BA$3,$O$3:$AA$3,0),FALSE)-VLOOKUP($AW85&amp;"初始",$O$3:$AA$63,MATCH(BA$3,$O$3:$AA$3,0),FALSE))*$AY85/VLOOKUP(VLOOKUP($AW85,坦克个性化设定!$B$18:$E$48,4,FALSE)&amp;$AX85,坦克属性分配比例,MATCH("升星次数",坦克属性分配比例标头,0),FALSE)*VLOOKUP(VLOOKUP($AW85,坦克个性化设定!$B$18:$E$48,4,FALSE)&amp;$AX85,坦克属性分配比例,MATCH("升星比例",坦克属性分配比例标头,0),FALSE),0)</f>
        <v>219</v>
      </c>
      <c r="BB85" s="486">
        <f ca="1">ROUND(VLOOKUP($AW85&amp;"初始",$O$3:$AA$63,MATCH(BB$3,$O$3:$AA$3,0),FALSE)+(VLOOKUP($AW85&amp;"最终",$O$3:$AA$63,MATCH(BB$3,$O$3:$AA$3,0),FALSE)-VLOOKUP($AW85&amp;"初始",$O$3:$AA$63,MATCH(BB$3,$O$3:$AA$3,0),FALSE))*$AY85/VLOOKUP(VLOOKUP($AW85,坦克个性化设定!$B$18:$E$48,4,FALSE)&amp;$AX85,坦克属性分配比例,MATCH("升星次数",坦克属性分配比例标头,0),FALSE)*(VLOOKUP(VLOOKUP($AW85,坦克个性化设定!$B$18:$E$48,4,FALSE)&amp;$AX85,坦克属性分配比例,MATCH("升星比例",坦克属性分配比例标头,0),FALSE)+VLOOKUP(VLOOKUP($AW85,坦克个性化设定!$B$18:$E$48,4,FALSE)&amp;$AX85,坦克属性分配比例,MATCH("部件比例",坦克属性分配比例标头,0),FALSE)*$C$3),0)</f>
        <v>905</v>
      </c>
      <c r="BC85" s="486">
        <f ca="1">ROUND(VLOOKUP($AW85&amp;"初始",$O$3:$AA$63,MATCH(BC$3,$O$3:$AA$3,0),FALSE)+(VLOOKUP($AW85&amp;"最终",$O$3:$AA$63,MATCH(BC$3,$O$3:$AA$3,0),FALSE)-VLOOKUP($AW85&amp;"初始",$O$3:$AA$63,MATCH(BC$3,$O$3:$AA$3,0),FALSE))*$AY85/VLOOKUP(VLOOKUP($AW85,坦克个性化设定!$B$18:$E$48,4,FALSE)&amp;$AX85,坦克属性分配比例,MATCH("升星次数",坦克属性分配比例标头,0),FALSE)*(VLOOKUP(VLOOKUP($AW85,坦克个性化设定!$B$18:$E$48,4,FALSE)&amp;$AX85,坦克属性分配比例,MATCH("升星比例",坦克属性分配比例标头,0),FALSE)+VLOOKUP(VLOOKUP($AW85,坦克个性化设定!$B$18:$E$48,4,FALSE)&amp;$AX85,坦克属性分配比例,MATCH("部件比例",坦克属性分配比例标头,0),FALSE)*$C$3),0)</f>
        <v>634</v>
      </c>
      <c r="BD85" s="426">
        <f ca="1">ROUND(VLOOKUP($AW85&amp;"初始",$O$3:$AA$63,MATCH(BD$3,$O$3:$AA$3,0),FALSE)+(VLOOKUP($AW85&amp;"最终",$O$3:$AA$63,MATCH(BD$3,$O$3:$AA$3,0),FALSE)-VLOOKUP($AW85&amp;"初始",$O$3:$AA$63,MATCH(BD$3,$O$3:$AA$3,0),FALSE))*$AY85/VLOOKUP(VLOOKUP($AW85,坦克个性化设定!$B$18:$E$48,4,FALSE)&amp;$AX85,坦克属性分配比例,MATCH("升星次数",坦克属性分配比例标头,0),FALSE)*VLOOKUP(VLOOKUP($AW85,坦克个性化设定!$B$18:$E$48,4,FALSE)&amp;$AX85,坦克属性分配比例,MATCH("升星比例",坦克属性分配比例标头,0),FALSE),0)</f>
        <v>688</v>
      </c>
      <c r="BE85" s="426">
        <f ca="1">ROUND(VLOOKUP($AW85&amp;"初始",$O$3:$AA$63,MATCH(BE$3,$O$3:$AA$3,0),FALSE)+(VLOOKUP($AW85&amp;"最终",$O$3:$AA$63,MATCH(BE$3,$O$3:$AA$3,0),FALSE)-VLOOKUP($AW85&amp;"初始",$O$3:$AA$63,MATCH(BE$3,$O$3:$AA$3,0),FALSE))*$AY85/VLOOKUP(VLOOKUP($AW85,坦克个性化设定!$B$18:$E$48,4,FALSE)&amp;$AX85,坦克属性分配比例,MATCH("升星次数",坦克属性分配比例标头,0),FALSE),0)</f>
        <v>216</v>
      </c>
      <c r="BF85" s="462">
        <f>ROUND(VLOOKUP($AW85,$AD$3:$AJ$33,MATCH(BF$3,$AD$3:$AJ$3,0),FALSE)+$AY85/VLOOKUP(VLOOKUP($AW85,坦克个性化设定!$B$18:$E$48,4,FALSE)&amp;$AX85,坦克属性分配比例,MATCH("升星次数",坦克属性分配比例标头,0),FALSE)*VLOOKUP($AW85,$AM$3:$AS$33,MATCH(BF$3,$AM$3:$AS$3,0),FALSE),1)</f>
        <v>42.5</v>
      </c>
      <c r="BG85" s="462">
        <f>ROUND(VLOOKUP($AW85,$AD$3:$AJ$33,MATCH(BG$3,$AD$3:$AJ$3,0),FALSE)+$AY85/VLOOKUP(VLOOKUP($AW85,坦克个性化设定!$B$18:$E$48,4,FALSE)&amp;$AX85,坦克属性分配比例,MATCH("升星次数",坦克属性分配比例标头,0),FALSE)*VLOOKUP($AW85,$AM$3:$AS$33,MATCH(BG$3,$AM$3:$AS$3,0),FALSE),1)</f>
        <v>63.3</v>
      </c>
      <c r="BH85" s="462">
        <f>ROUND(VLOOKUP($AW85,$AD$3:$AJ$33,MATCH(BH$3,$AD$3:$AJ$3,0),FALSE)+$AY85/VLOOKUP(VLOOKUP($AW85,坦克个性化设定!$B$18:$E$48,4,FALSE)&amp;$AX85,坦克属性分配比例,MATCH("升星次数",坦克属性分配比例标头,0),FALSE)*VLOOKUP($AW85,$AM$3:$AS$33,MATCH(BH$3,$AM$3:$AS$3,0),FALSE),1)</f>
        <v>15.2</v>
      </c>
      <c r="BI85" s="654">
        <f>IF(VLOOKUP(AW85,坦克个性化设定!$B$18:$BB$48,MATCH("装弹类型",坦克个性化设定!$B$18:$BB$18,0),FALSE)="弹夹换弹",0,ROUND(VLOOKUP($AW85,$AD$3:$AJ$33,MATCH("换弹时间",$AD$3:$AJ$3,0),FALSE)-$AY85/VLOOKUP(VLOOKUP($AW85,坦克个性化设定!$B$18:$E$48,4,FALSE)&amp;$AX85,坦克属性分配比例,MATCH("升星次数",坦克属性分配比例标头,0),FALSE)*VLOOKUP($AW85,$AM$3:$AS$33,MATCH("换弹时间",$AM$3:$AS$3,0),FALSE),2))</f>
        <v>2.7</v>
      </c>
      <c r="BJ85" s="462">
        <f>IF(VLOOKUP(AW85,坦克个性化设定!$B$18:$BB$48,MATCH("装弹类型",坦克个性化设定!$B$18:$BB$18,0),FALSE)="弹夹换弹",ROUND(VLOOKUP($AW85,$AD$3:$AJ$33,MATCH("换弹时间",$AD$3:$AJ$3,0),FALSE)-$AY85/VLOOKUP(VLOOKUP($AW85,坦克个性化设定!$B$18:$E$48,4,FALSE)&amp;$AX85,坦克属性分配比例,MATCH("升星次数",坦克属性分配比例标头,0),FALSE)*VLOOKUP($AW85,$AM$3:$AS$33,MATCH("换弹时间",$AM$3:$AS$3,0),FALSE),1),0)</f>
        <v>0</v>
      </c>
      <c r="BK85" s="462">
        <f>ROUND(VLOOKUP($AW85,$AD$3:$AJ$33,MATCH(BK$3,$AD$3:$AJ$3,0),FALSE)+$AY85/VLOOKUP(VLOOKUP($AW85,坦克个性化设定!$B$18:$E$48,4,FALSE)&amp;$AX85,坦克属性分配比例,MATCH("升星次数",坦克属性分配比例标头,0),FALSE)*VLOOKUP($AW85,$AM$3:$AS$33,MATCH(BK$3,$AM$3:$AS$3,0),FALSE),2)</f>
        <v>0</v>
      </c>
      <c r="BL85" s="462">
        <f>ROUND(VLOOKUP($AW85,$AD$3:$AJ$33,MATCH(BL$3,$AD$3:$AJ$3,0),FALSE)-$AY85/VLOOKUP(VLOOKUP($AW85,坦克个性化设定!$B$18:$E$48,4,FALSE)&amp;$AX85,坦克属性分配比例,MATCH("升星次数",坦克属性分配比例标头,0),FALSE)*VLOOKUP($AW85,$AM$3:$AS$33,MATCH(BL$3,$AM$3:$AS$3,0),FALSE),2)</f>
        <v>1.68</v>
      </c>
    </row>
    <row r="86" spans="47:64" x14ac:dyDescent="0.35">
      <c r="AU86" s="364" t="str">
        <f t="shared" si="19"/>
        <v>M-418</v>
      </c>
      <c r="AV86" s="183">
        <f>IF(AY85&gt;=VLOOKUP(VLOOKUP(AW85,坦克个性化设定!$B$18:$E$48,4,FALSE)&amp;AX85,坦克属性分配比例,MATCH("升星次数",坦克属性分配比例标头,0),FALSE),AV85+1,AV85)</f>
        <v>8</v>
      </c>
      <c r="AW86" s="131" t="str">
        <f t="shared" si="20"/>
        <v>M-41</v>
      </c>
      <c r="AX86" s="177" t="str">
        <f>VLOOKUP(AW86,坦克个性化细分!$I$3:$J$33,2,FALSE)</f>
        <v>中</v>
      </c>
      <c r="AY86" s="183">
        <f t="shared" si="18"/>
        <v>8</v>
      </c>
      <c r="AZ86" s="486">
        <f ca="1">ROUND(VLOOKUP($AW86&amp;"初始",$O$3:$AA$63,MATCH(AZ$3,$O$3:$AA$3,0),FALSE)+((VLOOKUP($AW86&amp;"最终",$O$3:$AA$63,MATCH(AZ$3,$O$3:$AA$3,0),FALSE)*坦克个性化细分!$C$9-VLOOKUP($AW86&amp;"初始",$O$3:$AA$63,MATCH(AZ$3,$O$3:$AA$3,0),FALSE))-(VLOOKUP($AW86&amp;"最终",$O$3:$AA$63,MATCH(AZ$3,$O$3:$AA$3,0),FALSE)-VLOOKUP($AW86&amp;"初始",$O$3:$AA$63,MATCH(AZ$3,$O$3:$AA$3,0),FALSE))*VLOOKUP(VLOOKUP($AW86,坦克个性化设定!$B$18:$E$48,4,FALSE)&amp;$AX86,坦克属性分配比例,MATCH("部件比例",坦克属性分配比例标头,0),FALSE))*$AY86/VLOOKUP(VLOOKUP($AW86,坦克个性化设定!$B$18:$E$48,4,FALSE)&amp;$AX86,坦克属性分配比例,MATCH("升星次数",坦克属性分配比例标头,0),FALSE),0)</f>
        <v>2350</v>
      </c>
      <c r="BA86" s="426">
        <f ca="1">ROUND(VLOOKUP($AW86&amp;"初始",$O$3:$AA$63,MATCH(BA$3,$O$3:$AA$3,0),FALSE)+(VLOOKUP($AW86&amp;"最终",$O$3:$AA$63,MATCH(BA$3,$O$3:$AA$3,0),FALSE)-VLOOKUP($AW86&amp;"初始",$O$3:$AA$63,MATCH(BA$3,$O$3:$AA$3,0),FALSE))*$AY86/VLOOKUP(VLOOKUP($AW86,坦克个性化设定!$B$18:$E$48,4,FALSE)&amp;$AX86,坦克属性分配比例,MATCH("升星次数",坦克属性分配比例标头,0),FALSE)*VLOOKUP(VLOOKUP($AW86,坦克个性化设定!$B$18:$E$48,4,FALSE)&amp;$AX86,坦克属性分配比例,MATCH("升星比例",坦克属性分配比例标头,0),FALSE),0)</f>
        <v>223</v>
      </c>
      <c r="BB86" s="486">
        <f ca="1">ROUND(VLOOKUP($AW86&amp;"初始",$O$3:$AA$63,MATCH(BB$3,$O$3:$AA$3,0),FALSE)+(VLOOKUP($AW86&amp;"最终",$O$3:$AA$63,MATCH(BB$3,$O$3:$AA$3,0),FALSE)-VLOOKUP($AW86&amp;"初始",$O$3:$AA$63,MATCH(BB$3,$O$3:$AA$3,0),FALSE))*$AY86/VLOOKUP(VLOOKUP($AW86,坦克个性化设定!$B$18:$E$48,4,FALSE)&amp;$AX86,坦克属性分配比例,MATCH("升星次数",坦克属性分配比例标头,0),FALSE)*(VLOOKUP(VLOOKUP($AW86,坦克个性化设定!$B$18:$E$48,4,FALSE)&amp;$AX86,坦克属性分配比例,MATCH("升星比例",坦克属性分配比例标头,0),FALSE)+VLOOKUP(VLOOKUP($AW86,坦克个性化设定!$B$18:$E$48,4,FALSE)&amp;$AX86,坦克属性分配比例,MATCH("部件比例",坦克属性分配比例标头,0),FALSE)*$C$3),0)</f>
        <v>935</v>
      </c>
      <c r="BC86" s="486">
        <f ca="1">ROUND(VLOOKUP($AW86&amp;"初始",$O$3:$AA$63,MATCH(BC$3,$O$3:$AA$3,0),FALSE)+(VLOOKUP($AW86&amp;"最终",$O$3:$AA$63,MATCH(BC$3,$O$3:$AA$3,0),FALSE)-VLOOKUP($AW86&amp;"初始",$O$3:$AA$63,MATCH(BC$3,$O$3:$AA$3,0),FALSE))*$AY86/VLOOKUP(VLOOKUP($AW86,坦克个性化设定!$B$18:$E$48,4,FALSE)&amp;$AX86,坦克属性分配比例,MATCH("升星次数",坦克属性分配比例标头,0),FALSE)*(VLOOKUP(VLOOKUP($AW86,坦克个性化设定!$B$18:$E$48,4,FALSE)&amp;$AX86,坦克属性分配比例,MATCH("升星比例",坦克属性分配比例标头,0),FALSE)+VLOOKUP(VLOOKUP($AW86,坦克个性化设定!$B$18:$E$48,4,FALSE)&amp;$AX86,坦克属性分配比例,MATCH("部件比例",坦克属性分配比例标头,0),FALSE)*$C$3),0)</f>
        <v>655</v>
      </c>
      <c r="BD86" s="426">
        <f ca="1">ROUND(VLOOKUP($AW86&amp;"初始",$O$3:$AA$63,MATCH(BD$3,$O$3:$AA$3,0),FALSE)+(VLOOKUP($AW86&amp;"最终",$O$3:$AA$63,MATCH(BD$3,$O$3:$AA$3,0),FALSE)-VLOOKUP($AW86&amp;"初始",$O$3:$AA$63,MATCH(BD$3,$O$3:$AA$3,0),FALSE))*$AY86/VLOOKUP(VLOOKUP($AW86,坦克个性化设定!$B$18:$E$48,4,FALSE)&amp;$AX86,坦克属性分配比例,MATCH("升星次数",坦克属性分配比例标头,0),FALSE)*VLOOKUP(VLOOKUP($AW86,坦克个性化设定!$B$18:$E$48,4,FALSE)&amp;$AX86,坦克属性分配比例,MATCH("升星比例",坦克属性分配比例标头,0),FALSE),0)</f>
        <v>702</v>
      </c>
      <c r="BE86" s="426">
        <f ca="1">ROUND(VLOOKUP($AW86&amp;"初始",$O$3:$AA$63,MATCH(BE$3,$O$3:$AA$3,0),FALSE)+(VLOOKUP($AW86&amp;"最终",$O$3:$AA$63,MATCH(BE$3,$O$3:$AA$3,0),FALSE)-VLOOKUP($AW86&amp;"初始",$O$3:$AA$63,MATCH(BE$3,$O$3:$AA$3,0),FALSE))*$AY86/VLOOKUP(VLOOKUP($AW86,坦克个性化设定!$B$18:$E$48,4,FALSE)&amp;$AX86,坦克属性分配比例,MATCH("升星次数",坦克属性分配比例标头,0),FALSE),0)</f>
        <v>224</v>
      </c>
      <c r="BF86" s="462">
        <f>ROUND(VLOOKUP($AW86,$AD$3:$AJ$33,MATCH(BF$3,$AD$3:$AJ$3,0),FALSE)+$AY86/VLOOKUP(VLOOKUP($AW86,坦克个性化设定!$B$18:$E$48,4,FALSE)&amp;$AX86,坦克属性分配比例,MATCH("升星次数",坦克属性分配比例标头,0),FALSE)*VLOOKUP($AW86,$AM$3:$AS$33,MATCH(BF$3,$AM$3:$AS$3,0),FALSE),1)</f>
        <v>43</v>
      </c>
      <c r="BG86" s="462">
        <f>ROUND(VLOOKUP($AW86,$AD$3:$AJ$33,MATCH(BG$3,$AD$3:$AJ$3,0),FALSE)+$AY86/VLOOKUP(VLOOKUP($AW86,坦克个性化设定!$B$18:$E$48,4,FALSE)&amp;$AX86,坦克属性分配比例,MATCH("升星次数",坦克属性分配比例标头,0),FALSE)*VLOOKUP($AW86,$AM$3:$AS$33,MATCH(BG$3,$AM$3:$AS$3,0),FALSE),1)</f>
        <v>64.2</v>
      </c>
      <c r="BH86" s="462">
        <f>ROUND(VLOOKUP($AW86,$AD$3:$AJ$33,MATCH(BH$3,$AD$3:$AJ$3,0),FALSE)+$AY86/VLOOKUP(VLOOKUP($AW86,坦克个性化设定!$B$18:$E$48,4,FALSE)&amp;$AX86,坦克属性分配比例,MATCH("升星次数",坦克属性分配比例标头,0),FALSE)*VLOOKUP($AW86,$AM$3:$AS$33,MATCH(BH$3,$AM$3:$AS$3,0),FALSE),1)</f>
        <v>15.5</v>
      </c>
      <c r="BI86" s="654">
        <f>IF(VLOOKUP(AW86,坦克个性化设定!$B$18:$BB$48,MATCH("装弹类型",坦克个性化设定!$B$18:$BB$18,0),FALSE)="弹夹换弹",0,ROUND(VLOOKUP($AW86,$AD$3:$AJ$33,MATCH("换弹时间",$AD$3:$AJ$3,0),FALSE)-$AY86/VLOOKUP(VLOOKUP($AW86,坦克个性化设定!$B$18:$E$48,4,FALSE)&amp;$AX86,坦克属性分配比例,MATCH("升星次数",坦克属性分配比例标头,0),FALSE)*VLOOKUP($AW86,$AM$3:$AS$33,MATCH("换弹时间",$AM$3:$AS$3,0),FALSE),2))</f>
        <v>2.66</v>
      </c>
      <c r="BJ86" s="462">
        <f>IF(VLOOKUP(AW86,坦克个性化设定!$B$18:$BB$48,MATCH("装弹类型",坦克个性化设定!$B$18:$BB$18,0),FALSE)="弹夹换弹",ROUND(VLOOKUP($AW86,$AD$3:$AJ$33,MATCH("换弹时间",$AD$3:$AJ$3,0),FALSE)-$AY86/VLOOKUP(VLOOKUP($AW86,坦克个性化设定!$B$18:$E$48,4,FALSE)&amp;$AX86,坦克属性分配比例,MATCH("升星次数",坦克属性分配比例标头,0),FALSE)*VLOOKUP($AW86,$AM$3:$AS$33,MATCH("换弹时间",$AM$3:$AS$3,0),FALSE),1),0)</f>
        <v>0</v>
      </c>
      <c r="BK86" s="462">
        <f>ROUND(VLOOKUP($AW86,$AD$3:$AJ$33,MATCH(BK$3,$AD$3:$AJ$3,0),FALSE)+$AY86/VLOOKUP(VLOOKUP($AW86,坦克个性化设定!$B$18:$E$48,4,FALSE)&amp;$AX86,坦克属性分配比例,MATCH("升星次数",坦克属性分配比例标头,0),FALSE)*VLOOKUP($AW86,$AM$3:$AS$33,MATCH(BK$3,$AM$3:$AS$3,0),FALSE),2)</f>
        <v>0</v>
      </c>
      <c r="BL86" s="462">
        <f>ROUND(VLOOKUP($AW86,$AD$3:$AJ$33,MATCH(BL$3,$AD$3:$AJ$3,0),FALSE)-$AY86/VLOOKUP(VLOOKUP($AW86,坦克个性化设定!$B$18:$E$48,4,FALSE)&amp;$AX86,坦克属性分配比例,MATCH("升星次数",坦克属性分配比例标头,0),FALSE)*VLOOKUP($AW86,$AM$3:$AS$33,MATCH(BL$3,$AM$3:$AS$3,0),FALSE),2)</f>
        <v>1.66</v>
      </c>
    </row>
    <row r="87" spans="47:64" x14ac:dyDescent="0.35">
      <c r="AU87" s="364" t="str">
        <f t="shared" si="19"/>
        <v>M-419</v>
      </c>
      <c r="AV87" s="183">
        <f>IF(AY86&gt;=VLOOKUP(VLOOKUP(AW86,坦克个性化设定!$B$18:$E$48,4,FALSE)&amp;AX86,坦克属性分配比例,MATCH("升星次数",坦克属性分配比例标头,0),FALSE),AV86+1,AV86)</f>
        <v>8</v>
      </c>
      <c r="AW87" s="131" t="str">
        <f t="shared" si="20"/>
        <v>M-41</v>
      </c>
      <c r="AX87" s="177" t="str">
        <f>VLOOKUP(AW87,坦克个性化细分!$I$3:$J$33,2,FALSE)</f>
        <v>中</v>
      </c>
      <c r="AY87" s="183">
        <f t="shared" si="18"/>
        <v>9</v>
      </c>
      <c r="AZ87" s="486">
        <f ca="1">ROUND(VLOOKUP($AW87&amp;"初始",$O$3:$AA$63,MATCH(AZ$3,$O$3:$AA$3,0),FALSE)+((VLOOKUP($AW87&amp;"最终",$O$3:$AA$63,MATCH(AZ$3,$O$3:$AA$3,0),FALSE)*坦克个性化细分!$C$9-VLOOKUP($AW87&amp;"初始",$O$3:$AA$63,MATCH(AZ$3,$O$3:$AA$3,0),FALSE))-(VLOOKUP($AW87&amp;"最终",$O$3:$AA$63,MATCH(AZ$3,$O$3:$AA$3,0),FALSE)-VLOOKUP($AW87&amp;"初始",$O$3:$AA$63,MATCH(AZ$3,$O$3:$AA$3,0),FALSE))*VLOOKUP(VLOOKUP($AW87,坦克个性化设定!$B$18:$E$48,4,FALSE)&amp;$AX87,坦克属性分配比例,MATCH("部件比例",坦克属性分配比例标头,0),FALSE))*$AY87/VLOOKUP(VLOOKUP($AW87,坦克个性化设定!$B$18:$E$48,4,FALSE)&amp;$AX87,坦克属性分配比例,MATCH("升星次数",坦克属性分配比例标头,0),FALSE),0)</f>
        <v>2443</v>
      </c>
      <c r="BA87" s="426">
        <f ca="1">ROUND(VLOOKUP($AW87&amp;"初始",$O$3:$AA$63,MATCH(BA$3,$O$3:$AA$3,0),FALSE)+(VLOOKUP($AW87&amp;"最终",$O$3:$AA$63,MATCH(BA$3,$O$3:$AA$3,0),FALSE)-VLOOKUP($AW87&amp;"初始",$O$3:$AA$63,MATCH(BA$3,$O$3:$AA$3,0),FALSE))*$AY87/VLOOKUP(VLOOKUP($AW87,坦克个性化设定!$B$18:$E$48,4,FALSE)&amp;$AX87,坦克属性分配比例,MATCH("升星次数",坦克属性分配比例标头,0),FALSE)*VLOOKUP(VLOOKUP($AW87,坦克个性化设定!$B$18:$E$48,4,FALSE)&amp;$AX87,坦克属性分配比例,MATCH("升星比例",坦克属性分配比例标头,0),FALSE),0)</f>
        <v>228</v>
      </c>
      <c r="BB87" s="486">
        <f ca="1">ROUND(VLOOKUP($AW87&amp;"初始",$O$3:$AA$63,MATCH(BB$3,$O$3:$AA$3,0),FALSE)+(VLOOKUP($AW87&amp;"最终",$O$3:$AA$63,MATCH(BB$3,$O$3:$AA$3,0),FALSE)-VLOOKUP($AW87&amp;"初始",$O$3:$AA$63,MATCH(BB$3,$O$3:$AA$3,0),FALSE))*$AY87/VLOOKUP(VLOOKUP($AW87,坦克个性化设定!$B$18:$E$48,4,FALSE)&amp;$AX87,坦克属性分配比例,MATCH("升星次数",坦克属性分配比例标头,0),FALSE)*(VLOOKUP(VLOOKUP($AW87,坦克个性化设定!$B$18:$E$48,4,FALSE)&amp;$AX87,坦克属性分配比例,MATCH("升星比例",坦克属性分配比例标头,0),FALSE)+VLOOKUP(VLOOKUP($AW87,坦克个性化设定!$B$18:$E$48,4,FALSE)&amp;$AX87,坦克属性分配比例,MATCH("部件比例",坦克属性分配比例标头,0),FALSE)*$C$3),0)</f>
        <v>964</v>
      </c>
      <c r="BC87" s="486">
        <f ca="1">ROUND(VLOOKUP($AW87&amp;"初始",$O$3:$AA$63,MATCH(BC$3,$O$3:$AA$3,0),FALSE)+(VLOOKUP($AW87&amp;"最终",$O$3:$AA$63,MATCH(BC$3,$O$3:$AA$3,0),FALSE)-VLOOKUP($AW87&amp;"初始",$O$3:$AA$63,MATCH(BC$3,$O$3:$AA$3,0),FALSE))*$AY87/VLOOKUP(VLOOKUP($AW87,坦克个性化设定!$B$18:$E$48,4,FALSE)&amp;$AX87,坦克属性分配比例,MATCH("升星次数",坦克属性分配比例标头,0),FALSE)*(VLOOKUP(VLOOKUP($AW87,坦克个性化设定!$B$18:$E$48,4,FALSE)&amp;$AX87,坦克属性分配比例,MATCH("升星比例",坦克属性分配比例标头,0),FALSE)+VLOOKUP(VLOOKUP($AW87,坦克个性化设定!$B$18:$E$48,4,FALSE)&amp;$AX87,坦克属性分配比例,MATCH("部件比例",坦克属性分配比例标头,0),FALSE)*$C$3),0)</f>
        <v>675</v>
      </c>
      <c r="BD87" s="426">
        <f ca="1">ROUND(VLOOKUP($AW87&amp;"初始",$O$3:$AA$63,MATCH(BD$3,$O$3:$AA$3,0),FALSE)+(VLOOKUP($AW87&amp;"最终",$O$3:$AA$63,MATCH(BD$3,$O$3:$AA$3,0),FALSE)-VLOOKUP($AW87&amp;"初始",$O$3:$AA$63,MATCH(BD$3,$O$3:$AA$3,0),FALSE))*$AY87/VLOOKUP(VLOOKUP($AW87,坦克个性化设定!$B$18:$E$48,4,FALSE)&amp;$AX87,坦克属性分配比例,MATCH("升星次数",坦克属性分配比例标头,0),FALSE)*VLOOKUP(VLOOKUP($AW87,坦克个性化设定!$B$18:$E$48,4,FALSE)&amp;$AX87,坦克属性分配比例,MATCH("升星比例",坦克属性分配比例标头,0),FALSE),0)</f>
        <v>717</v>
      </c>
      <c r="BE87" s="426">
        <f ca="1">ROUND(VLOOKUP($AW87&amp;"初始",$O$3:$AA$63,MATCH(BE$3,$O$3:$AA$3,0),FALSE)+(VLOOKUP($AW87&amp;"最终",$O$3:$AA$63,MATCH(BE$3,$O$3:$AA$3,0),FALSE)-VLOOKUP($AW87&amp;"初始",$O$3:$AA$63,MATCH(BE$3,$O$3:$AA$3,0),FALSE))*$AY87/VLOOKUP(VLOOKUP($AW87,坦克个性化设定!$B$18:$E$48,4,FALSE)&amp;$AX87,坦克属性分配比例,MATCH("升星次数",坦克属性分配比例标头,0),FALSE),0)</f>
        <v>233</v>
      </c>
      <c r="BF87" s="462">
        <f>ROUND(VLOOKUP($AW87,$AD$3:$AJ$33,MATCH(BF$3,$AD$3:$AJ$3,0),FALSE)+$AY87/VLOOKUP(VLOOKUP($AW87,坦克个性化设定!$B$18:$E$48,4,FALSE)&amp;$AX87,坦克属性分配比例,MATCH("升星次数",坦克属性分配比例标头,0),FALSE)*VLOOKUP($AW87,$AM$3:$AS$33,MATCH(BF$3,$AM$3:$AS$3,0),FALSE),1)</f>
        <v>43.6</v>
      </c>
      <c r="BG87" s="462">
        <f>ROUND(VLOOKUP($AW87,$AD$3:$AJ$33,MATCH(BG$3,$AD$3:$AJ$3,0),FALSE)+$AY87/VLOOKUP(VLOOKUP($AW87,坦克个性化设定!$B$18:$E$48,4,FALSE)&amp;$AX87,坦克属性分配比例,MATCH("升星次数",坦克属性分配比例标头,0),FALSE)*VLOOKUP($AW87,$AM$3:$AS$33,MATCH(BG$3,$AM$3:$AS$3,0),FALSE),1)</f>
        <v>65</v>
      </c>
      <c r="BH87" s="462">
        <f>ROUND(VLOOKUP($AW87,$AD$3:$AJ$33,MATCH(BH$3,$AD$3:$AJ$3,0),FALSE)+$AY87/VLOOKUP(VLOOKUP($AW87,坦克个性化设定!$B$18:$E$48,4,FALSE)&amp;$AX87,坦克属性分配比例,MATCH("升星次数",坦克属性分配比例标头,0),FALSE)*VLOOKUP($AW87,$AM$3:$AS$33,MATCH(BH$3,$AM$3:$AS$3,0),FALSE),1)</f>
        <v>15.7</v>
      </c>
      <c r="BI87" s="654">
        <f>IF(VLOOKUP(AW87,坦克个性化设定!$B$18:$BB$48,MATCH("装弹类型",坦克个性化设定!$B$18:$BB$18,0),FALSE)="弹夹换弹",0,ROUND(VLOOKUP($AW87,$AD$3:$AJ$33,MATCH("换弹时间",$AD$3:$AJ$3,0),FALSE)-$AY87/VLOOKUP(VLOOKUP($AW87,坦克个性化设定!$B$18:$E$48,4,FALSE)&amp;$AX87,坦克属性分配比例,MATCH("升星次数",坦克属性分配比例标头,0),FALSE)*VLOOKUP($AW87,$AM$3:$AS$33,MATCH("换弹时间",$AM$3:$AS$3,0),FALSE),2))</f>
        <v>2.62</v>
      </c>
      <c r="BJ87" s="462">
        <f>IF(VLOOKUP(AW87,坦克个性化设定!$B$18:$BB$48,MATCH("装弹类型",坦克个性化设定!$B$18:$BB$18,0),FALSE)="弹夹换弹",ROUND(VLOOKUP($AW87,$AD$3:$AJ$33,MATCH("换弹时间",$AD$3:$AJ$3,0),FALSE)-$AY87/VLOOKUP(VLOOKUP($AW87,坦克个性化设定!$B$18:$E$48,4,FALSE)&amp;$AX87,坦克属性分配比例,MATCH("升星次数",坦克属性分配比例标头,0),FALSE)*VLOOKUP($AW87,$AM$3:$AS$33,MATCH("换弹时间",$AM$3:$AS$3,0),FALSE),1),0)</f>
        <v>0</v>
      </c>
      <c r="BK87" s="462">
        <f>ROUND(VLOOKUP($AW87,$AD$3:$AJ$33,MATCH(BK$3,$AD$3:$AJ$3,0),FALSE)+$AY87/VLOOKUP(VLOOKUP($AW87,坦克个性化设定!$B$18:$E$48,4,FALSE)&amp;$AX87,坦克属性分配比例,MATCH("升星次数",坦克属性分配比例标头,0),FALSE)*VLOOKUP($AW87,$AM$3:$AS$33,MATCH(BK$3,$AM$3:$AS$3,0),FALSE),2)</f>
        <v>0</v>
      </c>
      <c r="BL87" s="462">
        <f>ROUND(VLOOKUP($AW87,$AD$3:$AJ$33,MATCH(BL$3,$AD$3:$AJ$3,0),FALSE)-$AY87/VLOOKUP(VLOOKUP($AW87,坦克个性化设定!$B$18:$E$48,4,FALSE)&amp;$AX87,坦克属性分配比例,MATCH("升星次数",坦克属性分配比例标头,0),FALSE)*VLOOKUP($AW87,$AM$3:$AS$33,MATCH(BL$3,$AM$3:$AS$3,0),FALSE),2)</f>
        <v>1.64</v>
      </c>
    </row>
    <row r="88" spans="47:64" x14ac:dyDescent="0.35">
      <c r="AU88" s="364" t="str">
        <f t="shared" si="19"/>
        <v>M-4110</v>
      </c>
      <c r="AV88" s="183">
        <f>IF(AY87&gt;=VLOOKUP(VLOOKUP(AW87,坦克个性化设定!$B$18:$E$48,4,FALSE)&amp;AX87,坦克属性分配比例,MATCH("升星次数",坦克属性分配比例标头,0),FALSE),AV87+1,AV87)</f>
        <v>8</v>
      </c>
      <c r="AW88" s="131" t="str">
        <f t="shared" si="20"/>
        <v>M-41</v>
      </c>
      <c r="AX88" s="177" t="str">
        <f>VLOOKUP(AW88,坦克个性化细分!$I$3:$J$33,2,FALSE)</f>
        <v>中</v>
      </c>
      <c r="AY88" s="183">
        <f t="shared" si="18"/>
        <v>10</v>
      </c>
      <c r="AZ88" s="486">
        <f ca="1">ROUND(VLOOKUP($AW88&amp;"初始",$O$3:$AA$63,MATCH(AZ$3,$O$3:$AA$3,0),FALSE)+((VLOOKUP($AW88&amp;"最终",$O$3:$AA$63,MATCH(AZ$3,$O$3:$AA$3,0),FALSE)*坦克个性化细分!$C$9-VLOOKUP($AW88&amp;"初始",$O$3:$AA$63,MATCH(AZ$3,$O$3:$AA$3,0),FALSE))-(VLOOKUP($AW88&amp;"最终",$O$3:$AA$63,MATCH(AZ$3,$O$3:$AA$3,0),FALSE)-VLOOKUP($AW88&amp;"初始",$O$3:$AA$63,MATCH(AZ$3,$O$3:$AA$3,0),FALSE))*VLOOKUP(VLOOKUP($AW88,坦克个性化设定!$B$18:$E$48,4,FALSE)&amp;$AX88,坦克属性分配比例,MATCH("部件比例",坦克属性分配比例标头,0),FALSE))*$AY88/VLOOKUP(VLOOKUP($AW88,坦克个性化设定!$B$18:$E$48,4,FALSE)&amp;$AX88,坦克属性分配比例,MATCH("升星次数",坦克属性分配比例标头,0),FALSE),0)</f>
        <v>2536</v>
      </c>
      <c r="BA88" s="426">
        <f ca="1">ROUND(VLOOKUP($AW88&amp;"初始",$O$3:$AA$63,MATCH(BA$3,$O$3:$AA$3,0),FALSE)+(VLOOKUP($AW88&amp;"最终",$O$3:$AA$63,MATCH(BA$3,$O$3:$AA$3,0),FALSE)-VLOOKUP($AW88&amp;"初始",$O$3:$AA$63,MATCH(BA$3,$O$3:$AA$3,0),FALSE))*$AY88/VLOOKUP(VLOOKUP($AW88,坦克个性化设定!$B$18:$E$48,4,FALSE)&amp;$AX88,坦克属性分配比例,MATCH("升星次数",坦克属性分配比例标头,0),FALSE)*VLOOKUP(VLOOKUP($AW88,坦克个性化设定!$B$18:$E$48,4,FALSE)&amp;$AX88,坦克属性分配比例,MATCH("升星比例",坦克属性分配比例标头,0),FALSE),0)</f>
        <v>232</v>
      </c>
      <c r="BB88" s="486">
        <f ca="1">ROUND(VLOOKUP($AW88&amp;"初始",$O$3:$AA$63,MATCH(BB$3,$O$3:$AA$3,0),FALSE)+(VLOOKUP($AW88&amp;"最终",$O$3:$AA$63,MATCH(BB$3,$O$3:$AA$3,0),FALSE)-VLOOKUP($AW88&amp;"初始",$O$3:$AA$63,MATCH(BB$3,$O$3:$AA$3,0),FALSE))*$AY88/VLOOKUP(VLOOKUP($AW88,坦克个性化设定!$B$18:$E$48,4,FALSE)&amp;$AX88,坦克属性分配比例,MATCH("升星次数",坦克属性分配比例标头,0),FALSE)*(VLOOKUP(VLOOKUP($AW88,坦克个性化设定!$B$18:$E$48,4,FALSE)&amp;$AX88,坦克属性分配比例,MATCH("升星比例",坦克属性分配比例标头,0),FALSE)+VLOOKUP(VLOOKUP($AW88,坦克个性化设定!$B$18:$E$48,4,FALSE)&amp;$AX88,坦克属性分配比例,MATCH("部件比例",坦克属性分配比例标头,0),FALSE)*$C$3),0)</f>
        <v>994</v>
      </c>
      <c r="BC88" s="486">
        <f ca="1">ROUND(VLOOKUP($AW88&amp;"初始",$O$3:$AA$63,MATCH(BC$3,$O$3:$AA$3,0),FALSE)+(VLOOKUP($AW88&amp;"最终",$O$3:$AA$63,MATCH(BC$3,$O$3:$AA$3,0),FALSE)-VLOOKUP($AW88&amp;"初始",$O$3:$AA$63,MATCH(BC$3,$O$3:$AA$3,0),FALSE))*$AY88/VLOOKUP(VLOOKUP($AW88,坦克个性化设定!$B$18:$E$48,4,FALSE)&amp;$AX88,坦克属性分配比例,MATCH("升星次数",坦克属性分配比例标头,0),FALSE)*(VLOOKUP(VLOOKUP($AW88,坦克个性化设定!$B$18:$E$48,4,FALSE)&amp;$AX88,坦克属性分配比例,MATCH("升星比例",坦克属性分配比例标头,0),FALSE)+VLOOKUP(VLOOKUP($AW88,坦克个性化设定!$B$18:$E$48,4,FALSE)&amp;$AX88,坦克属性分配比例,MATCH("部件比例",坦克属性分配比例标头,0),FALSE)*$C$3),0)</f>
        <v>696</v>
      </c>
      <c r="BD88" s="426">
        <f ca="1">ROUND(VLOOKUP($AW88&amp;"初始",$O$3:$AA$63,MATCH(BD$3,$O$3:$AA$3,0),FALSE)+(VLOOKUP($AW88&amp;"最终",$O$3:$AA$63,MATCH(BD$3,$O$3:$AA$3,0),FALSE)-VLOOKUP($AW88&amp;"初始",$O$3:$AA$63,MATCH(BD$3,$O$3:$AA$3,0),FALSE))*$AY88/VLOOKUP(VLOOKUP($AW88,坦克个性化设定!$B$18:$E$48,4,FALSE)&amp;$AX88,坦克属性分配比例,MATCH("升星次数",坦克属性分配比例标头,0),FALSE)*VLOOKUP(VLOOKUP($AW88,坦克个性化设定!$B$18:$E$48,4,FALSE)&amp;$AX88,坦克属性分配比例,MATCH("升星比例",坦克属性分配比例标头,0),FALSE),0)</f>
        <v>731</v>
      </c>
      <c r="BE88" s="426">
        <f ca="1">ROUND(VLOOKUP($AW88&amp;"初始",$O$3:$AA$63,MATCH(BE$3,$O$3:$AA$3,0),FALSE)+(VLOOKUP($AW88&amp;"最终",$O$3:$AA$63,MATCH(BE$3,$O$3:$AA$3,0),FALSE)-VLOOKUP($AW88&amp;"初始",$O$3:$AA$63,MATCH(BE$3,$O$3:$AA$3,0),FALSE))*$AY88/VLOOKUP(VLOOKUP($AW88,坦克个性化设定!$B$18:$E$48,4,FALSE)&amp;$AX88,坦克属性分配比例,MATCH("升星次数",坦克属性分配比例标头,0),FALSE),0)</f>
        <v>241</v>
      </c>
      <c r="BF88" s="462">
        <f>ROUND(VLOOKUP($AW88,$AD$3:$AJ$33,MATCH(BF$3,$AD$3:$AJ$3,0),FALSE)+$AY88/VLOOKUP(VLOOKUP($AW88,坦克个性化设定!$B$18:$E$48,4,FALSE)&amp;$AX88,坦克属性分配比例,MATCH("升星次数",坦克属性分配比例标头,0),FALSE)*VLOOKUP($AW88,$AM$3:$AS$33,MATCH(BF$3,$AM$3:$AS$3,0),FALSE),1)</f>
        <v>44.2</v>
      </c>
      <c r="BG88" s="462">
        <f>ROUND(VLOOKUP($AW88,$AD$3:$AJ$33,MATCH(BG$3,$AD$3:$AJ$3,0),FALSE)+$AY88/VLOOKUP(VLOOKUP($AW88,坦克个性化设定!$B$18:$E$48,4,FALSE)&amp;$AX88,坦克属性分配比例,MATCH("升星次数",坦克属性分配比例标头,0),FALSE)*VLOOKUP($AW88,$AM$3:$AS$33,MATCH(BG$3,$AM$3:$AS$3,0),FALSE),1)</f>
        <v>65.8</v>
      </c>
      <c r="BH88" s="462">
        <f>ROUND(VLOOKUP($AW88,$AD$3:$AJ$33,MATCH(BH$3,$AD$3:$AJ$3,0),FALSE)+$AY88/VLOOKUP(VLOOKUP($AW88,坦克个性化设定!$B$18:$E$48,4,FALSE)&amp;$AX88,坦克属性分配比例,MATCH("升星次数",坦克属性分配比例标头,0),FALSE)*VLOOKUP($AW88,$AM$3:$AS$33,MATCH(BH$3,$AM$3:$AS$3,0),FALSE),1)</f>
        <v>16</v>
      </c>
      <c r="BI88" s="654">
        <f>IF(VLOOKUP(AW88,坦克个性化设定!$B$18:$BB$48,MATCH("装弹类型",坦克个性化设定!$B$18:$BB$18,0),FALSE)="弹夹换弹",0,ROUND(VLOOKUP($AW88,$AD$3:$AJ$33,MATCH("换弹时间",$AD$3:$AJ$3,0),FALSE)-$AY88/VLOOKUP(VLOOKUP($AW88,坦克个性化设定!$B$18:$E$48,4,FALSE)&amp;$AX88,坦克属性分配比例,MATCH("升星次数",坦克属性分配比例标头,0),FALSE)*VLOOKUP($AW88,$AM$3:$AS$33,MATCH("换弹时间",$AM$3:$AS$3,0),FALSE),2))</f>
        <v>2.58</v>
      </c>
      <c r="BJ88" s="462">
        <f>IF(VLOOKUP(AW88,坦克个性化设定!$B$18:$BB$48,MATCH("装弹类型",坦克个性化设定!$B$18:$BB$18,0),FALSE)="弹夹换弹",ROUND(VLOOKUP($AW88,$AD$3:$AJ$33,MATCH("换弹时间",$AD$3:$AJ$3,0),FALSE)-$AY88/VLOOKUP(VLOOKUP($AW88,坦克个性化设定!$B$18:$E$48,4,FALSE)&amp;$AX88,坦克属性分配比例,MATCH("升星次数",坦克属性分配比例标头,0),FALSE)*VLOOKUP($AW88,$AM$3:$AS$33,MATCH("换弹时间",$AM$3:$AS$3,0),FALSE),1),0)</f>
        <v>0</v>
      </c>
      <c r="BK88" s="462">
        <f>ROUND(VLOOKUP($AW88,$AD$3:$AJ$33,MATCH(BK$3,$AD$3:$AJ$3,0),FALSE)+$AY88/VLOOKUP(VLOOKUP($AW88,坦克个性化设定!$B$18:$E$48,4,FALSE)&amp;$AX88,坦克属性分配比例,MATCH("升星次数",坦克属性分配比例标头,0),FALSE)*VLOOKUP($AW88,$AM$3:$AS$33,MATCH(BK$3,$AM$3:$AS$3,0),FALSE),2)</f>
        <v>0</v>
      </c>
      <c r="BL88" s="462">
        <f>ROUND(VLOOKUP($AW88,$AD$3:$AJ$33,MATCH(BL$3,$AD$3:$AJ$3,0),FALSE)-$AY88/VLOOKUP(VLOOKUP($AW88,坦克个性化设定!$B$18:$E$48,4,FALSE)&amp;$AX88,坦克属性分配比例,MATCH("升星次数",坦克属性分配比例标头,0),FALSE)*VLOOKUP($AW88,$AM$3:$AS$33,MATCH(BL$3,$AM$3:$AS$3,0),FALSE),2)</f>
        <v>1.62</v>
      </c>
    </row>
    <row r="89" spans="47:64" x14ac:dyDescent="0.35">
      <c r="AU89" s="364" t="str">
        <f t="shared" si="19"/>
        <v>M-4111</v>
      </c>
      <c r="AV89" s="183">
        <f>IF(AY88&gt;=VLOOKUP(VLOOKUP(AW88,坦克个性化设定!$B$18:$E$48,4,FALSE)&amp;AX88,坦克属性分配比例,MATCH("升星次数",坦克属性分配比例标头,0),FALSE),AV88+1,AV88)</f>
        <v>8</v>
      </c>
      <c r="AW89" s="131" t="str">
        <f t="shared" si="20"/>
        <v>M-41</v>
      </c>
      <c r="AX89" s="177" t="str">
        <f>VLOOKUP(AW89,坦克个性化细分!$I$3:$J$33,2,FALSE)</f>
        <v>中</v>
      </c>
      <c r="AY89" s="183">
        <f t="shared" si="18"/>
        <v>11</v>
      </c>
      <c r="AZ89" s="486">
        <f ca="1">ROUND(VLOOKUP($AW89&amp;"初始",$O$3:$AA$63,MATCH(AZ$3,$O$3:$AA$3,0),FALSE)+((VLOOKUP($AW89&amp;"最终",$O$3:$AA$63,MATCH(AZ$3,$O$3:$AA$3,0),FALSE)*坦克个性化细分!$C$9-VLOOKUP($AW89&amp;"初始",$O$3:$AA$63,MATCH(AZ$3,$O$3:$AA$3,0),FALSE))-(VLOOKUP($AW89&amp;"最终",$O$3:$AA$63,MATCH(AZ$3,$O$3:$AA$3,0),FALSE)-VLOOKUP($AW89&amp;"初始",$O$3:$AA$63,MATCH(AZ$3,$O$3:$AA$3,0),FALSE))*VLOOKUP(VLOOKUP($AW89,坦克个性化设定!$B$18:$E$48,4,FALSE)&amp;$AX89,坦克属性分配比例,MATCH("部件比例",坦克属性分配比例标头,0),FALSE))*$AY89/VLOOKUP(VLOOKUP($AW89,坦克个性化设定!$B$18:$E$48,4,FALSE)&amp;$AX89,坦克属性分配比例,MATCH("升星次数",坦克属性分配比例标头,0),FALSE),0)</f>
        <v>2629</v>
      </c>
      <c r="BA89" s="426">
        <f ca="1">ROUND(VLOOKUP($AW89&amp;"初始",$O$3:$AA$63,MATCH(BA$3,$O$3:$AA$3,0),FALSE)+(VLOOKUP($AW89&amp;"最终",$O$3:$AA$63,MATCH(BA$3,$O$3:$AA$3,0),FALSE)-VLOOKUP($AW89&amp;"初始",$O$3:$AA$63,MATCH(BA$3,$O$3:$AA$3,0),FALSE))*$AY89/VLOOKUP(VLOOKUP($AW89,坦克个性化设定!$B$18:$E$48,4,FALSE)&amp;$AX89,坦克属性分配比例,MATCH("升星次数",坦克属性分配比例标头,0),FALSE)*VLOOKUP(VLOOKUP($AW89,坦克个性化设定!$B$18:$E$48,4,FALSE)&amp;$AX89,坦克属性分配比例,MATCH("升星比例",坦克属性分配比例标头,0),FALSE),0)</f>
        <v>237</v>
      </c>
      <c r="BB89" s="486">
        <f ca="1">ROUND(VLOOKUP($AW89&amp;"初始",$O$3:$AA$63,MATCH(BB$3,$O$3:$AA$3,0),FALSE)+(VLOOKUP($AW89&amp;"最终",$O$3:$AA$63,MATCH(BB$3,$O$3:$AA$3,0),FALSE)-VLOOKUP($AW89&amp;"初始",$O$3:$AA$63,MATCH(BB$3,$O$3:$AA$3,0),FALSE))*$AY89/VLOOKUP(VLOOKUP($AW89,坦克个性化设定!$B$18:$E$48,4,FALSE)&amp;$AX89,坦克属性分配比例,MATCH("升星次数",坦克属性分配比例标头,0),FALSE)*(VLOOKUP(VLOOKUP($AW89,坦克个性化设定!$B$18:$E$48,4,FALSE)&amp;$AX89,坦克属性分配比例,MATCH("升星比例",坦克属性分配比例标头,0),FALSE)+VLOOKUP(VLOOKUP($AW89,坦克个性化设定!$B$18:$E$48,4,FALSE)&amp;$AX89,坦克属性分配比例,MATCH("部件比例",坦克属性分配比例标头,0),FALSE)*$C$3),0)</f>
        <v>1023</v>
      </c>
      <c r="BC89" s="486">
        <f ca="1">ROUND(VLOOKUP($AW89&amp;"初始",$O$3:$AA$63,MATCH(BC$3,$O$3:$AA$3,0),FALSE)+(VLOOKUP($AW89&amp;"最终",$O$3:$AA$63,MATCH(BC$3,$O$3:$AA$3,0),FALSE)-VLOOKUP($AW89&amp;"初始",$O$3:$AA$63,MATCH(BC$3,$O$3:$AA$3,0),FALSE))*$AY89/VLOOKUP(VLOOKUP($AW89,坦克个性化设定!$B$18:$E$48,4,FALSE)&amp;$AX89,坦克属性分配比例,MATCH("升星次数",坦克属性分配比例标头,0),FALSE)*(VLOOKUP(VLOOKUP($AW89,坦克个性化设定!$B$18:$E$48,4,FALSE)&amp;$AX89,坦克属性分配比例,MATCH("升星比例",坦克属性分配比例标头,0),FALSE)+VLOOKUP(VLOOKUP($AW89,坦克个性化设定!$B$18:$E$48,4,FALSE)&amp;$AX89,坦克属性分配比例,MATCH("部件比例",坦克属性分配比例标头,0),FALSE)*$C$3),0)</f>
        <v>716</v>
      </c>
      <c r="BD89" s="426">
        <f ca="1">ROUND(VLOOKUP($AW89&amp;"初始",$O$3:$AA$63,MATCH(BD$3,$O$3:$AA$3,0),FALSE)+(VLOOKUP($AW89&amp;"最终",$O$3:$AA$63,MATCH(BD$3,$O$3:$AA$3,0),FALSE)-VLOOKUP($AW89&amp;"初始",$O$3:$AA$63,MATCH(BD$3,$O$3:$AA$3,0),FALSE))*$AY89/VLOOKUP(VLOOKUP($AW89,坦克个性化设定!$B$18:$E$48,4,FALSE)&amp;$AX89,坦克属性分配比例,MATCH("升星次数",坦克属性分配比例标头,0),FALSE)*VLOOKUP(VLOOKUP($AW89,坦克个性化设定!$B$18:$E$48,4,FALSE)&amp;$AX89,坦克属性分配比例,MATCH("升星比例",坦克属性分配比例标头,0),FALSE),0)</f>
        <v>745</v>
      </c>
      <c r="BE89" s="426">
        <f ca="1">ROUND(VLOOKUP($AW89&amp;"初始",$O$3:$AA$63,MATCH(BE$3,$O$3:$AA$3,0),FALSE)+(VLOOKUP($AW89&amp;"最终",$O$3:$AA$63,MATCH(BE$3,$O$3:$AA$3,0),FALSE)-VLOOKUP($AW89&amp;"初始",$O$3:$AA$63,MATCH(BE$3,$O$3:$AA$3,0),FALSE))*$AY89/VLOOKUP(VLOOKUP($AW89,坦克个性化设定!$B$18:$E$48,4,FALSE)&amp;$AX89,坦克属性分配比例,MATCH("升星次数",坦克属性分配比例标头,0),FALSE),0)</f>
        <v>250</v>
      </c>
      <c r="BF89" s="462">
        <f>ROUND(VLOOKUP($AW89,$AD$3:$AJ$33,MATCH(BF$3,$AD$3:$AJ$3,0),FALSE)+$AY89/VLOOKUP(VLOOKUP($AW89,坦克个性化设定!$B$18:$E$48,4,FALSE)&amp;$AX89,坦克属性分配比例,MATCH("升星次数",坦克属性分配比例标头,0),FALSE)*VLOOKUP($AW89,$AM$3:$AS$33,MATCH(BF$3,$AM$3:$AS$3,0),FALSE),1)</f>
        <v>44.7</v>
      </c>
      <c r="BG89" s="462">
        <f>ROUND(VLOOKUP($AW89,$AD$3:$AJ$33,MATCH(BG$3,$AD$3:$AJ$3,0),FALSE)+$AY89/VLOOKUP(VLOOKUP($AW89,坦克个性化设定!$B$18:$E$48,4,FALSE)&amp;$AX89,坦克属性分配比例,MATCH("升星次数",坦克属性分配比例标头,0),FALSE)*VLOOKUP($AW89,$AM$3:$AS$33,MATCH(BG$3,$AM$3:$AS$3,0),FALSE),1)</f>
        <v>66.7</v>
      </c>
      <c r="BH89" s="462">
        <f>ROUND(VLOOKUP($AW89,$AD$3:$AJ$33,MATCH(BH$3,$AD$3:$AJ$3,0),FALSE)+$AY89/VLOOKUP(VLOOKUP($AW89,坦克个性化设定!$B$18:$E$48,4,FALSE)&amp;$AX89,坦克属性分配比例,MATCH("升星次数",坦克属性分配比例标头,0),FALSE)*VLOOKUP($AW89,$AM$3:$AS$33,MATCH(BH$3,$AM$3:$AS$3,0),FALSE),1)</f>
        <v>16.2</v>
      </c>
      <c r="BI89" s="654">
        <f>IF(VLOOKUP(AW89,坦克个性化设定!$B$18:$BB$48,MATCH("装弹类型",坦克个性化设定!$B$18:$BB$18,0),FALSE)="弹夹换弹",0,ROUND(VLOOKUP($AW89,$AD$3:$AJ$33,MATCH("换弹时间",$AD$3:$AJ$3,0),FALSE)-$AY89/VLOOKUP(VLOOKUP($AW89,坦克个性化设定!$B$18:$E$48,4,FALSE)&amp;$AX89,坦克属性分配比例,MATCH("升星次数",坦克属性分配比例标头,0),FALSE)*VLOOKUP($AW89,$AM$3:$AS$33,MATCH("换弹时间",$AM$3:$AS$3,0),FALSE),2))</f>
        <v>2.54</v>
      </c>
      <c r="BJ89" s="462">
        <f>IF(VLOOKUP(AW89,坦克个性化设定!$B$18:$BB$48,MATCH("装弹类型",坦克个性化设定!$B$18:$BB$18,0),FALSE)="弹夹换弹",ROUND(VLOOKUP($AW89,$AD$3:$AJ$33,MATCH("换弹时间",$AD$3:$AJ$3,0),FALSE)-$AY89/VLOOKUP(VLOOKUP($AW89,坦克个性化设定!$B$18:$E$48,4,FALSE)&amp;$AX89,坦克属性分配比例,MATCH("升星次数",坦克属性分配比例标头,0),FALSE)*VLOOKUP($AW89,$AM$3:$AS$33,MATCH("换弹时间",$AM$3:$AS$3,0),FALSE),1),0)</f>
        <v>0</v>
      </c>
      <c r="BK89" s="462">
        <f>ROUND(VLOOKUP($AW89,$AD$3:$AJ$33,MATCH(BK$3,$AD$3:$AJ$3,0),FALSE)+$AY89/VLOOKUP(VLOOKUP($AW89,坦克个性化设定!$B$18:$E$48,4,FALSE)&amp;$AX89,坦克属性分配比例,MATCH("升星次数",坦克属性分配比例标头,0),FALSE)*VLOOKUP($AW89,$AM$3:$AS$33,MATCH(BK$3,$AM$3:$AS$3,0),FALSE),2)</f>
        <v>0</v>
      </c>
      <c r="BL89" s="462">
        <f>ROUND(VLOOKUP($AW89,$AD$3:$AJ$33,MATCH(BL$3,$AD$3:$AJ$3,0),FALSE)-$AY89/VLOOKUP(VLOOKUP($AW89,坦克个性化设定!$B$18:$E$48,4,FALSE)&amp;$AX89,坦克属性分配比例,MATCH("升星次数",坦克属性分配比例标头,0),FALSE)*VLOOKUP($AW89,$AM$3:$AS$33,MATCH(BL$3,$AM$3:$AS$3,0),FALSE),2)</f>
        <v>1.61</v>
      </c>
    </row>
    <row r="90" spans="47:64" x14ac:dyDescent="0.35">
      <c r="AU90" s="364" t="str">
        <f t="shared" si="19"/>
        <v>M-4112</v>
      </c>
      <c r="AV90" s="183">
        <f>IF(AY89&gt;=VLOOKUP(VLOOKUP(AW89,坦克个性化设定!$B$18:$E$48,4,FALSE)&amp;AX89,坦克属性分配比例,MATCH("升星次数",坦克属性分配比例标头,0),FALSE),AV89+1,AV89)</f>
        <v>8</v>
      </c>
      <c r="AW90" s="131" t="str">
        <f t="shared" si="20"/>
        <v>M-41</v>
      </c>
      <c r="AX90" s="177" t="str">
        <f>VLOOKUP(AW90,坦克个性化细分!$I$3:$J$33,2,FALSE)</f>
        <v>中</v>
      </c>
      <c r="AY90" s="183">
        <f t="shared" si="18"/>
        <v>12</v>
      </c>
      <c r="AZ90" s="486">
        <f ca="1">ROUND(VLOOKUP($AW90&amp;"初始",$O$3:$AA$63,MATCH(AZ$3,$O$3:$AA$3,0),FALSE)+((VLOOKUP($AW90&amp;"最终",$O$3:$AA$63,MATCH(AZ$3,$O$3:$AA$3,0),FALSE)*坦克个性化细分!$C$9-VLOOKUP($AW90&amp;"初始",$O$3:$AA$63,MATCH(AZ$3,$O$3:$AA$3,0),FALSE))-(VLOOKUP($AW90&amp;"最终",$O$3:$AA$63,MATCH(AZ$3,$O$3:$AA$3,0),FALSE)-VLOOKUP($AW90&amp;"初始",$O$3:$AA$63,MATCH(AZ$3,$O$3:$AA$3,0),FALSE))*VLOOKUP(VLOOKUP($AW90,坦克个性化设定!$B$18:$E$48,4,FALSE)&amp;$AX90,坦克属性分配比例,MATCH("部件比例",坦克属性分配比例标头,0),FALSE))*$AY90/VLOOKUP(VLOOKUP($AW90,坦克个性化设定!$B$18:$E$48,4,FALSE)&amp;$AX90,坦克属性分配比例,MATCH("升星次数",坦克属性分配比例标头,0),FALSE),0)</f>
        <v>2723</v>
      </c>
      <c r="BA90" s="426">
        <f ca="1">ROUND(VLOOKUP($AW90&amp;"初始",$O$3:$AA$63,MATCH(BA$3,$O$3:$AA$3,0),FALSE)+(VLOOKUP($AW90&amp;"最终",$O$3:$AA$63,MATCH(BA$3,$O$3:$AA$3,0),FALSE)-VLOOKUP($AW90&amp;"初始",$O$3:$AA$63,MATCH(BA$3,$O$3:$AA$3,0),FALSE))*$AY90/VLOOKUP(VLOOKUP($AW90,坦克个性化设定!$B$18:$E$48,4,FALSE)&amp;$AX90,坦克属性分配比例,MATCH("升星次数",坦克属性分配比例标头,0),FALSE)*VLOOKUP(VLOOKUP($AW90,坦克个性化设定!$B$18:$E$48,4,FALSE)&amp;$AX90,坦克属性分配比例,MATCH("升星比例",坦克属性分配比例标头,0),FALSE),0)</f>
        <v>241</v>
      </c>
      <c r="BB90" s="486">
        <f ca="1">ROUND(VLOOKUP($AW90&amp;"初始",$O$3:$AA$63,MATCH(BB$3,$O$3:$AA$3,0),FALSE)+(VLOOKUP($AW90&amp;"最终",$O$3:$AA$63,MATCH(BB$3,$O$3:$AA$3,0),FALSE)-VLOOKUP($AW90&amp;"初始",$O$3:$AA$63,MATCH(BB$3,$O$3:$AA$3,0),FALSE))*$AY90/VLOOKUP(VLOOKUP($AW90,坦克个性化设定!$B$18:$E$48,4,FALSE)&amp;$AX90,坦克属性分配比例,MATCH("升星次数",坦克属性分配比例标头,0),FALSE)*(VLOOKUP(VLOOKUP($AW90,坦克个性化设定!$B$18:$E$48,4,FALSE)&amp;$AX90,坦克属性分配比例,MATCH("升星比例",坦克属性分配比例标头,0),FALSE)+VLOOKUP(VLOOKUP($AW90,坦克个性化设定!$B$18:$E$48,4,FALSE)&amp;$AX90,坦克属性分配比例,MATCH("部件比例",坦克属性分配比例标头,0),FALSE)*$C$3),0)</f>
        <v>1052</v>
      </c>
      <c r="BC90" s="486">
        <f ca="1">ROUND(VLOOKUP($AW90&amp;"初始",$O$3:$AA$63,MATCH(BC$3,$O$3:$AA$3,0),FALSE)+(VLOOKUP($AW90&amp;"最终",$O$3:$AA$63,MATCH(BC$3,$O$3:$AA$3,0),FALSE)-VLOOKUP($AW90&amp;"初始",$O$3:$AA$63,MATCH(BC$3,$O$3:$AA$3,0),FALSE))*$AY90/VLOOKUP(VLOOKUP($AW90,坦克个性化设定!$B$18:$E$48,4,FALSE)&amp;$AX90,坦克属性分配比例,MATCH("升星次数",坦克属性分配比例标头,0),FALSE)*(VLOOKUP(VLOOKUP($AW90,坦克个性化设定!$B$18:$E$48,4,FALSE)&amp;$AX90,坦克属性分配比例,MATCH("升星比例",坦克属性分配比例标头,0),FALSE)+VLOOKUP(VLOOKUP($AW90,坦克个性化设定!$B$18:$E$48,4,FALSE)&amp;$AX90,坦克属性分配比例,MATCH("部件比例",坦克属性分配比例标头,0),FALSE)*$C$3),0)</f>
        <v>737</v>
      </c>
      <c r="BD90" s="426">
        <f ca="1">ROUND(VLOOKUP($AW90&amp;"初始",$O$3:$AA$63,MATCH(BD$3,$O$3:$AA$3,0),FALSE)+(VLOOKUP($AW90&amp;"最终",$O$3:$AA$63,MATCH(BD$3,$O$3:$AA$3,0),FALSE)-VLOOKUP($AW90&amp;"初始",$O$3:$AA$63,MATCH(BD$3,$O$3:$AA$3,0),FALSE))*$AY90/VLOOKUP(VLOOKUP($AW90,坦克个性化设定!$B$18:$E$48,4,FALSE)&amp;$AX90,坦克属性分配比例,MATCH("升星次数",坦克属性分配比例标头,0),FALSE)*VLOOKUP(VLOOKUP($AW90,坦克个性化设定!$B$18:$E$48,4,FALSE)&amp;$AX90,坦克属性分配比例,MATCH("升星比例",坦克属性分配比例标头,0),FALSE),0)</f>
        <v>760</v>
      </c>
      <c r="BE90" s="426">
        <f ca="1">ROUND(VLOOKUP($AW90&amp;"初始",$O$3:$AA$63,MATCH(BE$3,$O$3:$AA$3,0),FALSE)+(VLOOKUP($AW90&amp;"最终",$O$3:$AA$63,MATCH(BE$3,$O$3:$AA$3,0),FALSE)-VLOOKUP($AW90&amp;"初始",$O$3:$AA$63,MATCH(BE$3,$O$3:$AA$3,0),FALSE))*$AY90/VLOOKUP(VLOOKUP($AW90,坦克个性化设定!$B$18:$E$48,4,FALSE)&amp;$AX90,坦克属性分配比例,MATCH("升星次数",坦克属性分配比例标头,0),FALSE),0)</f>
        <v>258</v>
      </c>
      <c r="BF90" s="462">
        <f>ROUND(VLOOKUP($AW90,$AD$3:$AJ$33,MATCH(BF$3,$AD$3:$AJ$3,0),FALSE)+$AY90/VLOOKUP(VLOOKUP($AW90,坦克个性化设定!$B$18:$E$48,4,FALSE)&amp;$AX90,坦克属性分配比例,MATCH("升星次数",坦克属性分配比例标头,0),FALSE)*VLOOKUP($AW90,$AM$3:$AS$33,MATCH(BF$3,$AM$3:$AS$3,0),FALSE),1)</f>
        <v>45.3</v>
      </c>
      <c r="BG90" s="462">
        <f>ROUND(VLOOKUP($AW90,$AD$3:$AJ$33,MATCH(BG$3,$AD$3:$AJ$3,0),FALSE)+$AY90/VLOOKUP(VLOOKUP($AW90,坦克个性化设定!$B$18:$E$48,4,FALSE)&amp;$AX90,坦克属性分配比例,MATCH("升星次数",坦克属性分配比例标头,0),FALSE)*VLOOKUP($AW90,$AM$3:$AS$33,MATCH(BG$3,$AM$3:$AS$3,0),FALSE),1)</f>
        <v>67.5</v>
      </c>
      <c r="BH90" s="462">
        <f>ROUND(VLOOKUP($AW90,$AD$3:$AJ$33,MATCH(BH$3,$AD$3:$AJ$3,0),FALSE)+$AY90/VLOOKUP(VLOOKUP($AW90,坦克个性化设定!$B$18:$E$48,4,FALSE)&amp;$AX90,坦克属性分配比例,MATCH("升星次数",坦克属性分配比例标头,0),FALSE)*VLOOKUP($AW90,$AM$3:$AS$33,MATCH(BH$3,$AM$3:$AS$3,0),FALSE),1)</f>
        <v>16.5</v>
      </c>
      <c r="BI90" s="654">
        <f>IF(VLOOKUP(AW90,坦克个性化设定!$B$18:$BB$48,MATCH("装弹类型",坦克个性化设定!$B$18:$BB$18,0),FALSE)="弹夹换弹",0,ROUND(VLOOKUP($AW90,$AD$3:$AJ$33,MATCH("换弹时间",$AD$3:$AJ$3,0),FALSE)-$AY90/VLOOKUP(VLOOKUP($AW90,坦克个性化设定!$B$18:$E$48,4,FALSE)&amp;$AX90,坦克属性分配比例,MATCH("升星次数",坦克属性分配比例标头,0),FALSE)*VLOOKUP($AW90,$AM$3:$AS$33,MATCH("换弹时间",$AM$3:$AS$3,0),FALSE),2))</f>
        <v>2.4900000000000002</v>
      </c>
      <c r="BJ90" s="462">
        <f>IF(VLOOKUP(AW90,坦克个性化设定!$B$18:$BB$48,MATCH("装弹类型",坦克个性化设定!$B$18:$BB$18,0),FALSE)="弹夹换弹",ROUND(VLOOKUP($AW90,$AD$3:$AJ$33,MATCH("换弹时间",$AD$3:$AJ$3,0),FALSE)-$AY90/VLOOKUP(VLOOKUP($AW90,坦克个性化设定!$B$18:$E$48,4,FALSE)&amp;$AX90,坦克属性分配比例,MATCH("升星次数",坦克属性分配比例标头,0),FALSE)*VLOOKUP($AW90,$AM$3:$AS$33,MATCH("换弹时间",$AM$3:$AS$3,0),FALSE),1),0)</f>
        <v>0</v>
      </c>
      <c r="BK90" s="462">
        <f>ROUND(VLOOKUP($AW90,$AD$3:$AJ$33,MATCH(BK$3,$AD$3:$AJ$3,0),FALSE)+$AY90/VLOOKUP(VLOOKUP($AW90,坦克个性化设定!$B$18:$E$48,4,FALSE)&amp;$AX90,坦克属性分配比例,MATCH("升星次数",坦克属性分配比例标头,0),FALSE)*VLOOKUP($AW90,$AM$3:$AS$33,MATCH(BK$3,$AM$3:$AS$3,0),FALSE),2)</f>
        <v>0</v>
      </c>
      <c r="BL90" s="462">
        <f>ROUND(VLOOKUP($AW90,$AD$3:$AJ$33,MATCH(BL$3,$AD$3:$AJ$3,0),FALSE)-$AY90/VLOOKUP(VLOOKUP($AW90,坦克个性化设定!$B$18:$E$48,4,FALSE)&amp;$AX90,坦克属性分配比例,MATCH("升星次数",坦克属性分配比例标头,0),FALSE)*VLOOKUP($AW90,$AM$3:$AS$33,MATCH(BL$3,$AM$3:$AS$3,0),FALSE),2)</f>
        <v>1.59</v>
      </c>
    </row>
    <row r="91" spans="47:64" x14ac:dyDescent="0.35">
      <c r="AU91" s="364" t="str">
        <f t="shared" si="19"/>
        <v>M-4113</v>
      </c>
      <c r="AV91" s="183">
        <f>IF(AY90&gt;=VLOOKUP(VLOOKUP(AW90,坦克个性化设定!$B$18:$E$48,4,FALSE)&amp;AX90,坦克属性分配比例,MATCH("升星次数",坦克属性分配比例标头,0),FALSE),AV90+1,AV90)</f>
        <v>8</v>
      </c>
      <c r="AW91" s="131" t="str">
        <f t="shared" si="20"/>
        <v>M-41</v>
      </c>
      <c r="AX91" s="177" t="str">
        <f>VLOOKUP(AW91,坦克个性化细分!$I$3:$J$33,2,FALSE)</f>
        <v>中</v>
      </c>
      <c r="AY91" s="183">
        <f t="shared" si="18"/>
        <v>13</v>
      </c>
      <c r="AZ91" s="486">
        <f ca="1">ROUND(VLOOKUP($AW91&amp;"初始",$O$3:$AA$63,MATCH(AZ$3,$O$3:$AA$3,0),FALSE)+((VLOOKUP($AW91&amp;"最终",$O$3:$AA$63,MATCH(AZ$3,$O$3:$AA$3,0),FALSE)*坦克个性化细分!$C$9-VLOOKUP($AW91&amp;"初始",$O$3:$AA$63,MATCH(AZ$3,$O$3:$AA$3,0),FALSE))-(VLOOKUP($AW91&amp;"最终",$O$3:$AA$63,MATCH(AZ$3,$O$3:$AA$3,0),FALSE)-VLOOKUP($AW91&amp;"初始",$O$3:$AA$63,MATCH(AZ$3,$O$3:$AA$3,0),FALSE))*VLOOKUP(VLOOKUP($AW91,坦克个性化设定!$B$18:$E$48,4,FALSE)&amp;$AX91,坦克属性分配比例,MATCH("部件比例",坦克属性分配比例标头,0),FALSE))*$AY91/VLOOKUP(VLOOKUP($AW91,坦克个性化设定!$B$18:$E$48,4,FALSE)&amp;$AX91,坦克属性分配比例,MATCH("升星次数",坦克属性分配比例标头,0),FALSE),0)</f>
        <v>2816</v>
      </c>
      <c r="BA91" s="426">
        <f ca="1">ROUND(VLOOKUP($AW91&amp;"初始",$O$3:$AA$63,MATCH(BA$3,$O$3:$AA$3,0),FALSE)+(VLOOKUP($AW91&amp;"最终",$O$3:$AA$63,MATCH(BA$3,$O$3:$AA$3,0),FALSE)-VLOOKUP($AW91&amp;"初始",$O$3:$AA$63,MATCH(BA$3,$O$3:$AA$3,0),FALSE))*$AY91/VLOOKUP(VLOOKUP($AW91,坦克个性化设定!$B$18:$E$48,4,FALSE)&amp;$AX91,坦克属性分配比例,MATCH("升星次数",坦克属性分配比例标头,0),FALSE)*VLOOKUP(VLOOKUP($AW91,坦克个性化设定!$B$18:$E$48,4,FALSE)&amp;$AX91,坦克属性分配比例,MATCH("升星比例",坦克属性分配比例标头,0),FALSE),0)</f>
        <v>246</v>
      </c>
      <c r="BB91" s="486">
        <f ca="1">ROUND(VLOOKUP($AW91&amp;"初始",$O$3:$AA$63,MATCH(BB$3,$O$3:$AA$3,0),FALSE)+(VLOOKUP($AW91&amp;"最终",$O$3:$AA$63,MATCH(BB$3,$O$3:$AA$3,0),FALSE)-VLOOKUP($AW91&amp;"初始",$O$3:$AA$63,MATCH(BB$3,$O$3:$AA$3,0),FALSE))*$AY91/VLOOKUP(VLOOKUP($AW91,坦克个性化设定!$B$18:$E$48,4,FALSE)&amp;$AX91,坦克属性分配比例,MATCH("升星次数",坦克属性分配比例标头,0),FALSE)*(VLOOKUP(VLOOKUP($AW91,坦克个性化设定!$B$18:$E$48,4,FALSE)&amp;$AX91,坦克属性分配比例,MATCH("升星比例",坦克属性分配比例标头,0),FALSE)+VLOOKUP(VLOOKUP($AW91,坦克个性化设定!$B$18:$E$48,4,FALSE)&amp;$AX91,坦克属性分配比例,MATCH("部件比例",坦克属性分配比例标头,0),FALSE)*$C$3),0)</f>
        <v>1082</v>
      </c>
      <c r="BC91" s="486">
        <f ca="1">ROUND(VLOOKUP($AW91&amp;"初始",$O$3:$AA$63,MATCH(BC$3,$O$3:$AA$3,0),FALSE)+(VLOOKUP($AW91&amp;"最终",$O$3:$AA$63,MATCH(BC$3,$O$3:$AA$3,0),FALSE)-VLOOKUP($AW91&amp;"初始",$O$3:$AA$63,MATCH(BC$3,$O$3:$AA$3,0),FALSE))*$AY91/VLOOKUP(VLOOKUP($AW91,坦克个性化设定!$B$18:$E$48,4,FALSE)&amp;$AX91,坦克属性分配比例,MATCH("升星次数",坦克属性分配比例标头,0),FALSE)*(VLOOKUP(VLOOKUP($AW91,坦克个性化设定!$B$18:$E$48,4,FALSE)&amp;$AX91,坦克属性分配比例,MATCH("升星比例",坦克属性分配比例标头,0),FALSE)+VLOOKUP(VLOOKUP($AW91,坦克个性化设定!$B$18:$E$48,4,FALSE)&amp;$AX91,坦克属性分配比例,MATCH("部件比例",坦克属性分配比例标头,0),FALSE)*$C$3),0)</f>
        <v>758</v>
      </c>
      <c r="BD91" s="426">
        <f ca="1">ROUND(VLOOKUP($AW91&amp;"初始",$O$3:$AA$63,MATCH(BD$3,$O$3:$AA$3,0),FALSE)+(VLOOKUP($AW91&amp;"最终",$O$3:$AA$63,MATCH(BD$3,$O$3:$AA$3,0),FALSE)-VLOOKUP($AW91&amp;"初始",$O$3:$AA$63,MATCH(BD$3,$O$3:$AA$3,0),FALSE))*$AY91/VLOOKUP(VLOOKUP($AW91,坦克个性化设定!$B$18:$E$48,4,FALSE)&amp;$AX91,坦克属性分配比例,MATCH("升星次数",坦克属性分配比例标头,0),FALSE)*VLOOKUP(VLOOKUP($AW91,坦克个性化设定!$B$18:$E$48,4,FALSE)&amp;$AX91,坦克属性分配比例,MATCH("升星比例",坦克属性分配比例标头,0),FALSE),0)</f>
        <v>774</v>
      </c>
      <c r="BE91" s="426">
        <f ca="1">ROUND(VLOOKUP($AW91&amp;"初始",$O$3:$AA$63,MATCH(BE$3,$O$3:$AA$3,0),FALSE)+(VLOOKUP($AW91&amp;"最终",$O$3:$AA$63,MATCH(BE$3,$O$3:$AA$3,0),FALSE)-VLOOKUP($AW91&amp;"初始",$O$3:$AA$63,MATCH(BE$3,$O$3:$AA$3,0),FALSE))*$AY91/VLOOKUP(VLOOKUP($AW91,坦克个性化设定!$B$18:$E$48,4,FALSE)&amp;$AX91,坦克属性分配比例,MATCH("升星次数",坦克属性分配比例标头,0),FALSE),0)</f>
        <v>266</v>
      </c>
      <c r="BF91" s="462">
        <f>ROUND(VLOOKUP($AW91,$AD$3:$AJ$33,MATCH(BF$3,$AD$3:$AJ$3,0),FALSE)+$AY91/VLOOKUP(VLOOKUP($AW91,坦克个性化设定!$B$18:$E$48,4,FALSE)&amp;$AX91,坦克属性分配比例,MATCH("升星次数",坦克属性分配比例标头,0),FALSE)*VLOOKUP($AW91,$AM$3:$AS$33,MATCH(BF$3,$AM$3:$AS$3,0),FALSE),1)</f>
        <v>45.9</v>
      </c>
      <c r="BG91" s="462">
        <f>ROUND(VLOOKUP($AW91,$AD$3:$AJ$33,MATCH(BG$3,$AD$3:$AJ$3,0),FALSE)+$AY91/VLOOKUP(VLOOKUP($AW91,坦克个性化设定!$B$18:$E$48,4,FALSE)&amp;$AX91,坦克属性分配比例,MATCH("升星次数",坦克属性分配比例标头,0),FALSE)*VLOOKUP($AW91,$AM$3:$AS$33,MATCH(BG$3,$AM$3:$AS$3,0),FALSE),1)</f>
        <v>68.400000000000006</v>
      </c>
      <c r="BH91" s="462">
        <f>ROUND(VLOOKUP($AW91,$AD$3:$AJ$33,MATCH(BH$3,$AD$3:$AJ$3,0),FALSE)+$AY91/VLOOKUP(VLOOKUP($AW91,坦克个性化设定!$B$18:$E$48,4,FALSE)&amp;$AX91,坦克属性分配比例,MATCH("升星次数",坦克属性分配比例标头,0),FALSE)*VLOOKUP($AW91,$AM$3:$AS$33,MATCH(BH$3,$AM$3:$AS$3,0),FALSE),1)</f>
        <v>16.7</v>
      </c>
      <c r="BI91" s="654">
        <f>IF(VLOOKUP(AW91,坦克个性化设定!$B$18:$BB$48,MATCH("装弹类型",坦克个性化设定!$B$18:$BB$18,0),FALSE)="弹夹换弹",0,ROUND(VLOOKUP($AW91,$AD$3:$AJ$33,MATCH("换弹时间",$AD$3:$AJ$3,0),FALSE)-$AY91/VLOOKUP(VLOOKUP($AW91,坦克个性化设定!$B$18:$E$48,4,FALSE)&amp;$AX91,坦克属性分配比例,MATCH("升星次数",坦克属性分配比例标头,0),FALSE)*VLOOKUP($AW91,$AM$3:$AS$33,MATCH("换弹时间",$AM$3:$AS$3,0),FALSE),2))</f>
        <v>2.4500000000000002</v>
      </c>
      <c r="BJ91" s="462">
        <f>IF(VLOOKUP(AW91,坦克个性化设定!$B$18:$BB$48,MATCH("装弹类型",坦克个性化设定!$B$18:$BB$18,0),FALSE)="弹夹换弹",ROUND(VLOOKUP($AW91,$AD$3:$AJ$33,MATCH("换弹时间",$AD$3:$AJ$3,0),FALSE)-$AY91/VLOOKUP(VLOOKUP($AW91,坦克个性化设定!$B$18:$E$48,4,FALSE)&amp;$AX91,坦克属性分配比例,MATCH("升星次数",坦克属性分配比例标头,0),FALSE)*VLOOKUP($AW91,$AM$3:$AS$33,MATCH("换弹时间",$AM$3:$AS$3,0),FALSE),1),0)</f>
        <v>0</v>
      </c>
      <c r="BK91" s="462">
        <f>ROUND(VLOOKUP($AW91,$AD$3:$AJ$33,MATCH(BK$3,$AD$3:$AJ$3,0),FALSE)+$AY91/VLOOKUP(VLOOKUP($AW91,坦克个性化设定!$B$18:$E$48,4,FALSE)&amp;$AX91,坦克属性分配比例,MATCH("升星次数",坦克属性分配比例标头,0),FALSE)*VLOOKUP($AW91,$AM$3:$AS$33,MATCH(BK$3,$AM$3:$AS$3,0),FALSE),2)</f>
        <v>0</v>
      </c>
      <c r="BL91" s="462">
        <f>ROUND(VLOOKUP($AW91,$AD$3:$AJ$33,MATCH(BL$3,$AD$3:$AJ$3,0),FALSE)-$AY91/VLOOKUP(VLOOKUP($AW91,坦克个性化设定!$B$18:$E$48,4,FALSE)&amp;$AX91,坦克属性分配比例,MATCH("升星次数",坦克属性分配比例标头,0),FALSE)*VLOOKUP($AW91,$AM$3:$AS$33,MATCH(BL$3,$AM$3:$AS$3,0),FALSE),2)</f>
        <v>1.57</v>
      </c>
    </row>
    <row r="92" spans="47:64" x14ac:dyDescent="0.35">
      <c r="AU92" s="364" t="str">
        <f t="shared" si="19"/>
        <v>M-4114</v>
      </c>
      <c r="AV92" s="183">
        <f>IF(AY91&gt;=VLOOKUP(VLOOKUP(AW91,坦克个性化设定!$B$18:$E$48,4,FALSE)&amp;AX91,坦克属性分配比例,MATCH("升星次数",坦克属性分配比例标头,0),FALSE),AV91+1,AV91)</f>
        <v>8</v>
      </c>
      <c r="AW92" s="131" t="str">
        <f t="shared" si="20"/>
        <v>M-41</v>
      </c>
      <c r="AX92" s="177" t="str">
        <f>VLOOKUP(AW92,坦克个性化细分!$I$3:$J$33,2,FALSE)</f>
        <v>中</v>
      </c>
      <c r="AY92" s="183">
        <f t="shared" si="18"/>
        <v>14</v>
      </c>
      <c r="AZ92" s="486">
        <f ca="1">ROUND(VLOOKUP($AW92&amp;"初始",$O$3:$AA$63,MATCH(AZ$3,$O$3:$AA$3,0),FALSE)+((VLOOKUP($AW92&amp;"最终",$O$3:$AA$63,MATCH(AZ$3,$O$3:$AA$3,0),FALSE)*坦克个性化细分!$C$9-VLOOKUP($AW92&amp;"初始",$O$3:$AA$63,MATCH(AZ$3,$O$3:$AA$3,0),FALSE))-(VLOOKUP($AW92&amp;"最终",$O$3:$AA$63,MATCH(AZ$3,$O$3:$AA$3,0),FALSE)-VLOOKUP($AW92&amp;"初始",$O$3:$AA$63,MATCH(AZ$3,$O$3:$AA$3,0),FALSE))*VLOOKUP(VLOOKUP($AW92,坦克个性化设定!$B$18:$E$48,4,FALSE)&amp;$AX92,坦克属性分配比例,MATCH("部件比例",坦克属性分配比例标头,0),FALSE))*$AY92/VLOOKUP(VLOOKUP($AW92,坦克个性化设定!$B$18:$E$48,4,FALSE)&amp;$AX92,坦克属性分配比例,MATCH("升星次数",坦克属性分配比例标头,0),FALSE),0)</f>
        <v>2909</v>
      </c>
      <c r="BA92" s="426">
        <f ca="1">ROUND(VLOOKUP($AW92&amp;"初始",$O$3:$AA$63,MATCH(BA$3,$O$3:$AA$3,0),FALSE)+(VLOOKUP($AW92&amp;"最终",$O$3:$AA$63,MATCH(BA$3,$O$3:$AA$3,0),FALSE)-VLOOKUP($AW92&amp;"初始",$O$3:$AA$63,MATCH(BA$3,$O$3:$AA$3,0),FALSE))*$AY92/VLOOKUP(VLOOKUP($AW92,坦克个性化设定!$B$18:$E$48,4,FALSE)&amp;$AX92,坦克属性分配比例,MATCH("升星次数",坦克属性分配比例标头,0),FALSE)*VLOOKUP(VLOOKUP($AW92,坦克个性化设定!$B$18:$E$48,4,FALSE)&amp;$AX92,坦克属性分配比例,MATCH("升星比例",坦克属性分配比例标头,0),FALSE),0)</f>
        <v>250</v>
      </c>
      <c r="BB92" s="486">
        <f ca="1">ROUND(VLOOKUP($AW92&amp;"初始",$O$3:$AA$63,MATCH(BB$3,$O$3:$AA$3,0),FALSE)+(VLOOKUP($AW92&amp;"最终",$O$3:$AA$63,MATCH(BB$3,$O$3:$AA$3,0),FALSE)-VLOOKUP($AW92&amp;"初始",$O$3:$AA$63,MATCH(BB$3,$O$3:$AA$3,0),FALSE))*$AY92/VLOOKUP(VLOOKUP($AW92,坦克个性化设定!$B$18:$E$48,4,FALSE)&amp;$AX92,坦克属性分配比例,MATCH("升星次数",坦克属性分配比例标头,0),FALSE)*(VLOOKUP(VLOOKUP($AW92,坦克个性化设定!$B$18:$E$48,4,FALSE)&amp;$AX92,坦克属性分配比例,MATCH("升星比例",坦克属性分配比例标头,0),FALSE)+VLOOKUP(VLOOKUP($AW92,坦克个性化设定!$B$18:$E$48,4,FALSE)&amp;$AX92,坦克属性分配比例,MATCH("部件比例",坦克属性分配比例标头,0),FALSE)*$C$3),0)</f>
        <v>1111</v>
      </c>
      <c r="BC92" s="486">
        <f ca="1">ROUND(VLOOKUP($AW92&amp;"初始",$O$3:$AA$63,MATCH(BC$3,$O$3:$AA$3,0),FALSE)+(VLOOKUP($AW92&amp;"最终",$O$3:$AA$63,MATCH(BC$3,$O$3:$AA$3,0),FALSE)-VLOOKUP($AW92&amp;"初始",$O$3:$AA$63,MATCH(BC$3,$O$3:$AA$3,0),FALSE))*$AY92/VLOOKUP(VLOOKUP($AW92,坦克个性化设定!$B$18:$E$48,4,FALSE)&amp;$AX92,坦克属性分配比例,MATCH("升星次数",坦克属性分配比例标头,0),FALSE)*(VLOOKUP(VLOOKUP($AW92,坦克个性化设定!$B$18:$E$48,4,FALSE)&amp;$AX92,坦克属性分配比例,MATCH("升星比例",坦克属性分配比例标头,0),FALSE)+VLOOKUP(VLOOKUP($AW92,坦克个性化设定!$B$18:$E$48,4,FALSE)&amp;$AX92,坦克属性分配比例,MATCH("部件比例",坦克属性分配比例标头,0),FALSE)*$C$3),0)</f>
        <v>778</v>
      </c>
      <c r="BD92" s="426">
        <f ca="1">ROUND(VLOOKUP($AW92&amp;"初始",$O$3:$AA$63,MATCH(BD$3,$O$3:$AA$3,0),FALSE)+(VLOOKUP($AW92&amp;"最终",$O$3:$AA$63,MATCH(BD$3,$O$3:$AA$3,0),FALSE)-VLOOKUP($AW92&amp;"初始",$O$3:$AA$63,MATCH(BD$3,$O$3:$AA$3,0),FALSE))*$AY92/VLOOKUP(VLOOKUP($AW92,坦克个性化设定!$B$18:$E$48,4,FALSE)&amp;$AX92,坦克属性分配比例,MATCH("升星次数",坦克属性分配比例标头,0),FALSE)*VLOOKUP(VLOOKUP($AW92,坦克个性化设定!$B$18:$E$48,4,FALSE)&amp;$AX92,坦克属性分配比例,MATCH("升星比例",坦克属性分配比例标头,0),FALSE),0)</f>
        <v>788</v>
      </c>
      <c r="BE92" s="426">
        <f ca="1">ROUND(VLOOKUP($AW92&amp;"初始",$O$3:$AA$63,MATCH(BE$3,$O$3:$AA$3,0),FALSE)+(VLOOKUP($AW92&amp;"最终",$O$3:$AA$63,MATCH(BE$3,$O$3:$AA$3,0),FALSE)-VLOOKUP($AW92&amp;"初始",$O$3:$AA$63,MATCH(BE$3,$O$3:$AA$3,0),FALSE))*$AY92/VLOOKUP(VLOOKUP($AW92,坦克个性化设定!$B$18:$E$48,4,FALSE)&amp;$AX92,坦克属性分配比例,MATCH("升星次数",坦克属性分配比例标头,0),FALSE),0)</f>
        <v>275</v>
      </c>
      <c r="BF92" s="462">
        <f>ROUND(VLOOKUP($AW92,$AD$3:$AJ$33,MATCH(BF$3,$AD$3:$AJ$3,0),FALSE)+$AY92/VLOOKUP(VLOOKUP($AW92,坦克个性化设定!$B$18:$E$48,4,FALSE)&amp;$AX92,坦克属性分配比例,MATCH("升星次数",坦克属性分配比例标头,0),FALSE)*VLOOKUP($AW92,$AM$3:$AS$33,MATCH(BF$3,$AM$3:$AS$3,0),FALSE),1)</f>
        <v>46.4</v>
      </c>
      <c r="BG92" s="462">
        <f>ROUND(VLOOKUP($AW92,$AD$3:$AJ$33,MATCH(BG$3,$AD$3:$AJ$3,0),FALSE)+$AY92/VLOOKUP(VLOOKUP($AW92,坦克个性化设定!$B$18:$E$48,4,FALSE)&amp;$AX92,坦克属性分配比例,MATCH("升星次数",坦克属性分配比例标头,0),FALSE)*VLOOKUP($AW92,$AM$3:$AS$33,MATCH(BG$3,$AM$3:$AS$3,0),FALSE),1)</f>
        <v>69.2</v>
      </c>
      <c r="BH92" s="462">
        <f>ROUND(VLOOKUP($AW92,$AD$3:$AJ$33,MATCH(BH$3,$AD$3:$AJ$3,0),FALSE)+$AY92/VLOOKUP(VLOOKUP($AW92,坦克个性化设定!$B$18:$E$48,4,FALSE)&amp;$AX92,坦克属性分配比例,MATCH("升星次数",坦克属性分配比例标头,0),FALSE)*VLOOKUP($AW92,$AM$3:$AS$33,MATCH(BH$3,$AM$3:$AS$3,0),FALSE),1)</f>
        <v>17</v>
      </c>
      <c r="BI92" s="654">
        <f>IF(VLOOKUP(AW92,坦克个性化设定!$B$18:$BB$48,MATCH("装弹类型",坦克个性化设定!$B$18:$BB$18,0),FALSE)="弹夹换弹",0,ROUND(VLOOKUP($AW92,$AD$3:$AJ$33,MATCH("换弹时间",$AD$3:$AJ$3,0),FALSE)-$AY92/VLOOKUP(VLOOKUP($AW92,坦克个性化设定!$B$18:$E$48,4,FALSE)&amp;$AX92,坦克属性分配比例,MATCH("升星次数",坦克属性分配比例标头,0),FALSE)*VLOOKUP($AW92,$AM$3:$AS$33,MATCH("换弹时间",$AM$3:$AS$3,0),FALSE),2))</f>
        <v>2.41</v>
      </c>
      <c r="BJ92" s="462">
        <f>IF(VLOOKUP(AW92,坦克个性化设定!$B$18:$BB$48,MATCH("装弹类型",坦克个性化设定!$B$18:$BB$18,0),FALSE)="弹夹换弹",ROUND(VLOOKUP($AW92,$AD$3:$AJ$33,MATCH("换弹时间",$AD$3:$AJ$3,0),FALSE)-$AY92/VLOOKUP(VLOOKUP($AW92,坦克个性化设定!$B$18:$E$48,4,FALSE)&amp;$AX92,坦克属性分配比例,MATCH("升星次数",坦克属性分配比例标头,0),FALSE)*VLOOKUP($AW92,$AM$3:$AS$33,MATCH("换弹时间",$AM$3:$AS$3,0),FALSE),1),0)</f>
        <v>0</v>
      </c>
      <c r="BK92" s="462">
        <f>ROUND(VLOOKUP($AW92,$AD$3:$AJ$33,MATCH(BK$3,$AD$3:$AJ$3,0),FALSE)+$AY92/VLOOKUP(VLOOKUP($AW92,坦克个性化设定!$B$18:$E$48,4,FALSE)&amp;$AX92,坦克属性分配比例,MATCH("升星次数",坦克属性分配比例标头,0),FALSE)*VLOOKUP($AW92,$AM$3:$AS$33,MATCH(BK$3,$AM$3:$AS$3,0),FALSE),2)</f>
        <v>0</v>
      </c>
      <c r="BL92" s="462">
        <f>ROUND(VLOOKUP($AW92,$AD$3:$AJ$33,MATCH(BL$3,$AD$3:$AJ$3,0),FALSE)-$AY92/VLOOKUP(VLOOKUP($AW92,坦克个性化设定!$B$18:$E$48,4,FALSE)&amp;$AX92,坦克属性分配比例,MATCH("升星次数",坦克属性分配比例标头,0),FALSE)*VLOOKUP($AW92,$AM$3:$AS$33,MATCH(BL$3,$AM$3:$AS$3,0),FALSE),2)</f>
        <v>1.55</v>
      </c>
    </row>
    <row r="93" spans="47:64" x14ac:dyDescent="0.35">
      <c r="AU93" s="364" t="str">
        <f t="shared" si="19"/>
        <v>M-4115</v>
      </c>
      <c r="AV93" s="183">
        <f>IF(AY92&gt;=VLOOKUP(VLOOKUP(AW92,坦克个性化设定!$B$18:$E$48,4,FALSE)&amp;AX92,坦克属性分配比例,MATCH("升星次数",坦克属性分配比例标头,0),FALSE),AV92+1,AV92)</f>
        <v>8</v>
      </c>
      <c r="AW93" s="131" t="str">
        <f t="shared" si="20"/>
        <v>M-41</v>
      </c>
      <c r="AX93" s="177" t="str">
        <f>VLOOKUP(AW93,坦克个性化细分!$I$3:$J$33,2,FALSE)</f>
        <v>中</v>
      </c>
      <c r="AY93" s="183">
        <f t="shared" si="18"/>
        <v>15</v>
      </c>
      <c r="AZ93" s="486">
        <f ca="1">ROUND(VLOOKUP($AW93&amp;"初始",$O$3:$AA$63,MATCH(AZ$3,$O$3:$AA$3,0),FALSE)+((VLOOKUP($AW93&amp;"最终",$O$3:$AA$63,MATCH(AZ$3,$O$3:$AA$3,0),FALSE)*坦克个性化细分!$C$9-VLOOKUP($AW93&amp;"初始",$O$3:$AA$63,MATCH(AZ$3,$O$3:$AA$3,0),FALSE))-(VLOOKUP($AW93&amp;"最终",$O$3:$AA$63,MATCH(AZ$3,$O$3:$AA$3,0),FALSE)-VLOOKUP($AW93&amp;"初始",$O$3:$AA$63,MATCH(AZ$3,$O$3:$AA$3,0),FALSE))*VLOOKUP(VLOOKUP($AW93,坦克个性化设定!$B$18:$E$48,4,FALSE)&amp;$AX93,坦克属性分配比例,MATCH("部件比例",坦克属性分配比例标头,0),FALSE))*$AY93/VLOOKUP(VLOOKUP($AW93,坦克个性化设定!$B$18:$E$48,4,FALSE)&amp;$AX93,坦克属性分配比例,MATCH("升星次数",坦克属性分配比例标头,0),FALSE),0)</f>
        <v>3002</v>
      </c>
      <c r="BA93" s="426">
        <f ca="1">ROUND(VLOOKUP($AW93&amp;"初始",$O$3:$AA$63,MATCH(BA$3,$O$3:$AA$3,0),FALSE)+(VLOOKUP($AW93&amp;"最终",$O$3:$AA$63,MATCH(BA$3,$O$3:$AA$3,0),FALSE)-VLOOKUP($AW93&amp;"初始",$O$3:$AA$63,MATCH(BA$3,$O$3:$AA$3,0),FALSE))*$AY93/VLOOKUP(VLOOKUP($AW93,坦克个性化设定!$B$18:$E$48,4,FALSE)&amp;$AX93,坦克属性分配比例,MATCH("升星次数",坦克属性分配比例标头,0),FALSE)*VLOOKUP(VLOOKUP($AW93,坦克个性化设定!$B$18:$E$48,4,FALSE)&amp;$AX93,坦克属性分配比例,MATCH("升星比例",坦克属性分配比例标头,0),FALSE),0)</f>
        <v>255</v>
      </c>
      <c r="BB93" s="486">
        <f ca="1">ROUND(VLOOKUP($AW93&amp;"初始",$O$3:$AA$63,MATCH(BB$3,$O$3:$AA$3,0),FALSE)+(VLOOKUP($AW93&amp;"最终",$O$3:$AA$63,MATCH(BB$3,$O$3:$AA$3,0),FALSE)-VLOOKUP($AW93&amp;"初始",$O$3:$AA$63,MATCH(BB$3,$O$3:$AA$3,0),FALSE))*$AY93/VLOOKUP(VLOOKUP($AW93,坦克个性化设定!$B$18:$E$48,4,FALSE)&amp;$AX93,坦克属性分配比例,MATCH("升星次数",坦克属性分配比例标头,0),FALSE)*(VLOOKUP(VLOOKUP($AW93,坦克个性化设定!$B$18:$E$48,4,FALSE)&amp;$AX93,坦克属性分配比例,MATCH("升星比例",坦克属性分配比例标头,0),FALSE)+VLOOKUP(VLOOKUP($AW93,坦克个性化设定!$B$18:$E$48,4,FALSE)&amp;$AX93,坦克属性分配比例,MATCH("部件比例",坦克属性分配比例标头,0),FALSE)*$C$3),0)</f>
        <v>1140</v>
      </c>
      <c r="BC93" s="486">
        <f ca="1">ROUND(VLOOKUP($AW93&amp;"初始",$O$3:$AA$63,MATCH(BC$3,$O$3:$AA$3,0),FALSE)+(VLOOKUP($AW93&amp;"最终",$O$3:$AA$63,MATCH(BC$3,$O$3:$AA$3,0),FALSE)-VLOOKUP($AW93&amp;"初始",$O$3:$AA$63,MATCH(BC$3,$O$3:$AA$3,0),FALSE))*$AY93/VLOOKUP(VLOOKUP($AW93,坦克个性化设定!$B$18:$E$48,4,FALSE)&amp;$AX93,坦克属性分配比例,MATCH("升星次数",坦克属性分配比例标头,0),FALSE)*(VLOOKUP(VLOOKUP($AW93,坦克个性化设定!$B$18:$E$48,4,FALSE)&amp;$AX93,坦克属性分配比例,MATCH("升星比例",坦克属性分配比例标头,0),FALSE)+VLOOKUP(VLOOKUP($AW93,坦克个性化设定!$B$18:$E$48,4,FALSE)&amp;$AX93,坦克属性分配比例,MATCH("部件比例",坦克属性分配比例标头,0),FALSE)*$C$3),0)</f>
        <v>799</v>
      </c>
      <c r="BD93" s="426">
        <f ca="1">ROUND(VLOOKUP($AW93&amp;"初始",$O$3:$AA$63,MATCH(BD$3,$O$3:$AA$3,0),FALSE)+(VLOOKUP($AW93&amp;"最终",$O$3:$AA$63,MATCH(BD$3,$O$3:$AA$3,0),FALSE)-VLOOKUP($AW93&amp;"初始",$O$3:$AA$63,MATCH(BD$3,$O$3:$AA$3,0),FALSE))*$AY93/VLOOKUP(VLOOKUP($AW93,坦克个性化设定!$B$18:$E$48,4,FALSE)&amp;$AX93,坦克属性分配比例,MATCH("升星次数",坦克属性分配比例标头,0),FALSE)*VLOOKUP(VLOOKUP($AW93,坦克个性化设定!$B$18:$E$48,4,FALSE)&amp;$AX93,坦克属性分配比例,MATCH("升星比例",坦克属性分配比例标头,0),FALSE),0)</f>
        <v>802</v>
      </c>
      <c r="BE93" s="426">
        <f ca="1">ROUND(VLOOKUP($AW93&amp;"初始",$O$3:$AA$63,MATCH(BE$3,$O$3:$AA$3,0),FALSE)+(VLOOKUP($AW93&amp;"最终",$O$3:$AA$63,MATCH(BE$3,$O$3:$AA$3,0),FALSE)-VLOOKUP($AW93&amp;"初始",$O$3:$AA$63,MATCH(BE$3,$O$3:$AA$3,0),FALSE))*$AY93/VLOOKUP(VLOOKUP($AW93,坦克个性化设定!$B$18:$E$48,4,FALSE)&amp;$AX93,坦克属性分配比例,MATCH("升星次数",坦克属性分配比例标头,0),FALSE),0)</f>
        <v>283</v>
      </c>
      <c r="BF93" s="462">
        <f>ROUND(VLOOKUP($AW93,$AD$3:$AJ$33,MATCH(BF$3,$AD$3:$AJ$3,0),FALSE)+$AY93/VLOOKUP(VLOOKUP($AW93,坦克个性化设定!$B$18:$E$48,4,FALSE)&amp;$AX93,坦克属性分配比例,MATCH("升星次数",坦克属性分配比例标头,0),FALSE)*VLOOKUP($AW93,$AM$3:$AS$33,MATCH(BF$3,$AM$3:$AS$3,0),FALSE),1)</f>
        <v>47</v>
      </c>
      <c r="BG93" s="462">
        <f>ROUND(VLOOKUP($AW93,$AD$3:$AJ$33,MATCH(BG$3,$AD$3:$AJ$3,0),FALSE)+$AY93/VLOOKUP(VLOOKUP($AW93,坦克个性化设定!$B$18:$E$48,4,FALSE)&amp;$AX93,坦克属性分配比例,MATCH("升星次数",坦克属性分配比例标头,0),FALSE)*VLOOKUP($AW93,$AM$3:$AS$33,MATCH(BG$3,$AM$3:$AS$3,0),FALSE),1)</f>
        <v>70.099999999999994</v>
      </c>
      <c r="BH93" s="462">
        <f>ROUND(VLOOKUP($AW93,$AD$3:$AJ$33,MATCH(BH$3,$AD$3:$AJ$3,0),FALSE)+$AY93/VLOOKUP(VLOOKUP($AW93,坦克个性化设定!$B$18:$E$48,4,FALSE)&amp;$AX93,坦克属性分配比例,MATCH("升星次数",坦克属性分配比例标头,0),FALSE)*VLOOKUP($AW93,$AM$3:$AS$33,MATCH(BH$3,$AM$3:$AS$3,0),FALSE),1)</f>
        <v>17.3</v>
      </c>
      <c r="BI93" s="654">
        <f>IF(VLOOKUP(AW93,坦克个性化设定!$B$18:$BB$48,MATCH("装弹类型",坦克个性化设定!$B$18:$BB$18,0),FALSE)="弹夹换弹",0,ROUND(VLOOKUP($AW93,$AD$3:$AJ$33,MATCH("换弹时间",$AD$3:$AJ$3,0),FALSE)-$AY93/VLOOKUP(VLOOKUP($AW93,坦克个性化设定!$B$18:$E$48,4,FALSE)&amp;$AX93,坦克属性分配比例,MATCH("升星次数",坦克属性分配比例标头,0),FALSE)*VLOOKUP($AW93,$AM$3:$AS$33,MATCH("换弹时间",$AM$3:$AS$3,0),FALSE),2))</f>
        <v>2.37</v>
      </c>
      <c r="BJ93" s="462">
        <f>IF(VLOOKUP(AW93,坦克个性化设定!$B$18:$BB$48,MATCH("装弹类型",坦克个性化设定!$B$18:$BB$18,0),FALSE)="弹夹换弹",ROUND(VLOOKUP($AW93,$AD$3:$AJ$33,MATCH("换弹时间",$AD$3:$AJ$3,0),FALSE)-$AY93/VLOOKUP(VLOOKUP($AW93,坦克个性化设定!$B$18:$E$48,4,FALSE)&amp;$AX93,坦克属性分配比例,MATCH("升星次数",坦克属性分配比例标头,0),FALSE)*VLOOKUP($AW93,$AM$3:$AS$33,MATCH("换弹时间",$AM$3:$AS$3,0),FALSE),1),0)</f>
        <v>0</v>
      </c>
      <c r="BK93" s="462">
        <f>ROUND(VLOOKUP($AW93,$AD$3:$AJ$33,MATCH(BK$3,$AD$3:$AJ$3,0),FALSE)+$AY93/VLOOKUP(VLOOKUP($AW93,坦克个性化设定!$B$18:$E$48,4,FALSE)&amp;$AX93,坦克属性分配比例,MATCH("升星次数",坦克属性分配比例标头,0),FALSE)*VLOOKUP($AW93,$AM$3:$AS$33,MATCH(BK$3,$AM$3:$AS$3,0),FALSE),2)</f>
        <v>0</v>
      </c>
      <c r="BL93" s="462">
        <f>ROUND(VLOOKUP($AW93,$AD$3:$AJ$33,MATCH(BL$3,$AD$3:$AJ$3,0),FALSE)-$AY93/VLOOKUP(VLOOKUP($AW93,坦克个性化设定!$B$18:$E$48,4,FALSE)&amp;$AX93,坦克属性分配比例,MATCH("升星次数",坦克属性分配比例标头,0),FALSE)*VLOOKUP($AW93,$AM$3:$AS$33,MATCH(BL$3,$AM$3:$AS$3,0),FALSE),2)</f>
        <v>1.54</v>
      </c>
    </row>
    <row r="94" spans="47:64" x14ac:dyDescent="0.35">
      <c r="AU94" s="364" t="str">
        <f t="shared" si="19"/>
        <v>M-4116</v>
      </c>
      <c r="AV94" s="183">
        <f>IF(AY93&gt;=VLOOKUP(VLOOKUP(AW93,坦克个性化设定!$B$18:$E$48,4,FALSE)&amp;AX93,坦克属性分配比例,MATCH("升星次数",坦克属性分配比例标头,0),FALSE),AV93+1,AV93)</f>
        <v>8</v>
      </c>
      <c r="AW94" s="131" t="str">
        <f t="shared" si="20"/>
        <v>M-41</v>
      </c>
      <c r="AX94" s="177" t="str">
        <f>VLOOKUP(AW94,坦克个性化细分!$I$3:$J$33,2,FALSE)</f>
        <v>中</v>
      </c>
      <c r="AY94" s="183">
        <f t="shared" si="18"/>
        <v>16</v>
      </c>
      <c r="AZ94" s="486">
        <f ca="1">ROUND(VLOOKUP($AW94&amp;"初始",$O$3:$AA$63,MATCH(AZ$3,$O$3:$AA$3,0),FALSE)+((VLOOKUP($AW94&amp;"最终",$O$3:$AA$63,MATCH(AZ$3,$O$3:$AA$3,0),FALSE)*坦克个性化细分!$C$9-VLOOKUP($AW94&amp;"初始",$O$3:$AA$63,MATCH(AZ$3,$O$3:$AA$3,0),FALSE))-(VLOOKUP($AW94&amp;"最终",$O$3:$AA$63,MATCH(AZ$3,$O$3:$AA$3,0),FALSE)-VLOOKUP($AW94&amp;"初始",$O$3:$AA$63,MATCH(AZ$3,$O$3:$AA$3,0),FALSE))*VLOOKUP(VLOOKUP($AW94,坦克个性化设定!$B$18:$E$48,4,FALSE)&amp;$AX94,坦克属性分配比例,MATCH("部件比例",坦克属性分配比例标头,0),FALSE))*$AY94/VLOOKUP(VLOOKUP($AW94,坦克个性化设定!$B$18:$E$48,4,FALSE)&amp;$AX94,坦克属性分配比例,MATCH("升星次数",坦克属性分配比例标头,0),FALSE),0)</f>
        <v>3095</v>
      </c>
      <c r="BA94" s="426">
        <f ca="1">ROUND(VLOOKUP($AW94&amp;"初始",$O$3:$AA$63,MATCH(BA$3,$O$3:$AA$3,0),FALSE)+(VLOOKUP($AW94&amp;"最终",$O$3:$AA$63,MATCH(BA$3,$O$3:$AA$3,0),FALSE)-VLOOKUP($AW94&amp;"初始",$O$3:$AA$63,MATCH(BA$3,$O$3:$AA$3,0),FALSE))*$AY94/VLOOKUP(VLOOKUP($AW94,坦克个性化设定!$B$18:$E$48,4,FALSE)&amp;$AX94,坦克属性分配比例,MATCH("升星次数",坦克属性分配比例标头,0),FALSE)*VLOOKUP(VLOOKUP($AW94,坦克个性化设定!$B$18:$E$48,4,FALSE)&amp;$AX94,坦克属性分配比例,MATCH("升星比例",坦克属性分配比例标头,0),FALSE),0)</f>
        <v>260</v>
      </c>
      <c r="BB94" s="486">
        <f ca="1">ROUND(VLOOKUP($AW94&amp;"初始",$O$3:$AA$63,MATCH(BB$3,$O$3:$AA$3,0),FALSE)+(VLOOKUP($AW94&amp;"最终",$O$3:$AA$63,MATCH(BB$3,$O$3:$AA$3,0),FALSE)-VLOOKUP($AW94&amp;"初始",$O$3:$AA$63,MATCH(BB$3,$O$3:$AA$3,0),FALSE))*$AY94/VLOOKUP(VLOOKUP($AW94,坦克个性化设定!$B$18:$E$48,4,FALSE)&amp;$AX94,坦克属性分配比例,MATCH("升星次数",坦克属性分配比例标头,0),FALSE)*(VLOOKUP(VLOOKUP($AW94,坦克个性化设定!$B$18:$E$48,4,FALSE)&amp;$AX94,坦克属性分配比例,MATCH("升星比例",坦克属性分配比例标头,0),FALSE)+VLOOKUP(VLOOKUP($AW94,坦克个性化设定!$B$18:$E$48,4,FALSE)&amp;$AX94,坦克属性分配比例,MATCH("部件比例",坦克属性分配比例标头,0),FALSE)*$C$3),0)</f>
        <v>1170</v>
      </c>
      <c r="BC94" s="486">
        <f ca="1">ROUND(VLOOKUP($AW94&amp;"初始",$O$3:$AA$63,MATCH(BC$3,$O$3:$AA$3,0),FALSE)+(VLOOKUP($AW94&amp;"最终",$O$3:$AA$63,MATCH(BC$3,$O$3:$AA$3,0),FALSE)-VLOOKUP($AW94&amp;"初始",$O$3:$AA$63,MATCH(BC$3,$O$3:$AA$3,0),FALSE))*$AY94/VLOOKUP(VLOOKUP($AW94,坦克个性化设定!$B$18:$E$48,4,FALSE)&amp;$AX94,坦克属性分配比例,MATCH("升星次数",坦克属性分配比例标头,0),FALSE)*(VLOOKUP(VLOOKUP($AW94,坦克个性化设定!$B$18:$E$48,4,FALSE)&amp;$AX94,坦克属性分配比例,MATCH("升星比例",坦克属性分配比例标头,0),FALSE)+VLOOKUP(VLOOKUP($AW94,坦克个性化设定!$B$18:$E$48,4,FALSE)&amp;$AX94,坦克属性分配比例,MATCH("部件比例",坦克属性分配比例标头,0),FALSE)*$C$3),0)</f>
        <v>819</v>
      </c>
      <c r="BD94" s="426">
        <f ca="1">ROUND(VLOOKUP($AW94&amp;"初始",$O$3:$AA$63,MATCH(BD$3,$O$3:$AA$3,0),FALSE)+(VLOOKUP($AW94&amp;"最终",$O$3:$AA$63,MATCH(BD$3,$O$3:$AA$3,0),FALSE)-VLOOKUP($AW94&amp;"初始",$O$3:$AA$63,MATCH(BD$3,$O$3:$AA$3,0),FALSE))*$AY94/VLOOKUP(VLOOKUP($AW94,坦克个性化设定!$B$18:$E$48,4,FALSE)&amp;$AX94,坦克属性分配比例,MATCH("升星次数",坦克属性分配比例标头,0),FALSE)*VLOOKUP(VLOOKUP($AW94,坦克个性化设定!$B$18:$E$48,4,FALSE)&amp;$AX94,坦克属性分配比例,MATCH("升星比例",坦克属性分配比例标头,0),FALSE),0)</f>
        <v>817</v>
      </c>
      <c r="BE94" s="426">
        <f ca="1">ROUND(VLOOKUP($AW94&amp;"初始",$O$3:$AA$63,MATCH(BE$3,$O$3:$AA$3,0),FALSE)+(VLOOKUP($AW94&amp;"最终",$O$3:$AA$63,MATCH(BE$3,$O$3:$AA$3,0),FALSE)-VLOOKUP($AW94&amp;"初始",$O$3:$AA$63,MATCH(BE$3,$O$3:$AA$3,0),FALSE))*$AY94/VLOOKUP(VLOOKUP($AW94,坦克个性化设定!$B$18:$E$48,4,FALSE)&amp;$AX94,坦克属性分配比例,MATCH("升星次数",坦克属性分配比例标头,0),FALSE),0)</f>
        <v>292</v>
      </c>
      <c r="BF94" s="462">
        <f>ROUND(VLOOKUP($AW94,$AD$3:$AJ$33,MATCH(BF$3,$AD$3:$AJ$3,0),FALSE)+$AY94/VLOOKUP(VLOOKUP($AW94,坦克个性化设定!$B$18:$E$48,4,FALSE)&amp;$AX94,坦克属性分配比例,MATCH("升星次数",坦克属性分配比例标头,0),FALSE)*VLOOKUP($AW94,$AM$3:$AS$33,MATCH(BF$3,$AM$3:$AS$3,0),FALSE),1)</f>
        <v>47.6</v>
      </c>
      <c r="BG94" s="462">
        <f>ROUND(VLOOKUP($AW94,$AD$3:$AJ$33,MATCH(BG$3,$AD$3:$AJ$3,0),FALSE)+$AY94/VLOOKUP(VLOOKUP($AW94,坦克个性化设定!$B$18:$E$48,4,FALSE)&amp;$AX94,坦克属性分配比例,MATCH("升星次数",坦克属性分配比例标头,0),FALSE)*VLOOKUP($AW94,$AM$3:$AS$33,MATCH(BG$3,$AM$3:$AS$3,0),FALSE),1)</f>
        <v>70.900000000000006</v>
      </c>
      <c r="BH94" s="462">
        <f>ROUND(VLOOKUP($AW94,$AD$3:$AJ$33,MATCH(BH$3,$AD$3:$AJ$3,0),FALSE)+$AY94/VLOOKUP(VLOOKUP($AW94,坦克个性化设定!$B$18:$E$48,4,FALSE)&amp;$AX94,坦克属性分配比例,MATCH("升星次数",坦克属性分配比例标头,0),FALSE)*VLOOKUP($AW94,$AM$3:$AS$33,MATCH(BH$3,$AM$3:$AS$3,0),FALSE),1)</f>
        <v>17.5</v>
      </c>
      <c r="BI94" s="654">
        <f>IF(VLOOKUP(AW94,坦克个性化设定!$B$18:$BB$48,MATCH("装弹类型",坦克个性化设定!$B$18:$BB$18,0),FALSE)="弹夹换弹",0,ROUND(VLOOKUP($AW94,$AD$3:$AJ$33,MATCH("换弹时间",$AD$3:$AJ$3,0),FALSE)-$AY94/VLOOKUP(VLOOKUP($AW94,坦克个性化设定!$B$18:$E$48,4,FALSE)&amp;$AX94,坦克属性分配比例,MATCH("升星次数",坦克属性分配比例标头,0),FALSE)*VLOOKUP($AW94,$AM$3:$AS$33,MATCH("换弹时间",$AM$3:$AS$3,0),FALSE),2))</f>
        <v>2.3199999999999998</v>
      </c>
      <c r="BJ94" s="462">
        <f>IF(VLOOKUP(AW94,坦克个性化设定!$B$18:$BB$48,MATCH("装弹类型",坦克个性化设定!$B$18:$BB$18,0),FALSE)="弹夹换弹",ROUND(VLOOKUP($AW94,$AD$3:$AJ$33,MATCH("换弹时间",$AD$3:$AJ$3,0),FALSE)-$AY94/VLOOKUP(VLOOKUP($AW94,坦克个性化设定!$B$18:$E$48,4,FALSE)&amp;$AX94,坦克属性分配比例,MATCH("升星次数",坦克属性分配比例标头,0),FALSE)*VLOOKUP($AW94,$AM$3:$AS$33,MATCH("换弹时间",$AM$3:$AS$3,0),FALSE),1),0)</f>
        <v>0</v>
      </c>
      <c r="BK94" s="462">
        <f>ROUND(VLOOKUP($AW94,$AD$3:$AJ$33,MATCH(BK$3,$AD$3:$AJ$3,0),FALSE)+$AY94/VLOOKUP(VLOOKUP($AW94,坦克个性化设定!$B$18:$E$48,4,FALSE)&amp;$AX94,坦克属性分配比例,MATCH("升星次数",坦克属性分配比例标头,0),FALSE)*VLOOKUP($AW94,$AM$3:$AS$33,MATCH(BK$3,$AM$3:$AS$3,0),FALSE),2)</f>
        <v>0</v>
      </c>
      <c r="BL94" s="462">
        <f>ROUND(VLOOKUP($AW94,$AD$3:$AJ$33,MATCH(BL$3,$AD$3:$AJ$3,0),FALSE)-$AY94/VLOOKUP(VLOOKUP($AW94,坦克个性化设定!$B$18:$E$48,4,FALSE)&amp;$AX94,坦克属性分配比例,MATCH("升星次数",坦克属性分配比例标头,0),FALSE)*VLOOKUP($AW94,$AM$3:$AS$33,MATCH(BL$3,$AM$3:$AS$3,0),FALSE),2)</f>
        <v>1.52</v>
      </c>
    </row>
    <row r="95" spans="47:64" x14ac:dyDescent="0.35">
      <c r="AU95" s="364" t="str">
        <f t="shared" si="19"/>
        <v>M-4117</v>
      </c>
      <c r="AV95" s="183">
        <f>IF(AY94&gt;=VLOOKUP(VLOOKUP(AW94,坦克个性化设定!$B$18:$E$48,4,FALSE)&amp;AX94,坦克属性分配比例,MATCH("升星次数",坦克属性分配比例标头,0),FALSE),AV94+1,AV94)</f>
        <v>8</v>
      </c>
      <c r="AW95" s="131" t="str">
        <f t="shared" si="20"/>
        <v>M-41</v>
      </c>
      <c r="AX95" s="177" t="str">
        <f>VLOOKUP(AW95,坦克个性化细分!$I$3:$J$33,2,FALSE)</f>
        <v>中</v>
      </c>
      <c r="AY95" s="183">
        <f t="shared" si="18"/>
        <v>17</v>
      </c>
      <c r="AZ95" s="486">
        <f ca="1">ROUND(VLOOKUP($AW95&amp;"初始",$O$3:$AA$63,MATCH(AZ$3,$O$3:$AA$3,0),FALSE)+((VLOOKUP($AW95&amp;"最终",$O$3:$AA$63,MATCH(AZ$3,$O$3:$AA$3,0),FALSE)*坦克个性化细分!$C$9-VLOOKUP($AW95&amp;"初始",$O$3:$AA$63,MATCH(AZ$3,$O$3:$AA$3,0),FALSE))-(VLOOKUP($AW95&amp;"最终",$O$3:$AA$63,MATCH(AZ$3,$O$3:$AA$3,0),FALSE)-VLOOKUP($AW95&amp;"初始",$O$3:$AA$63,MATCH(AZ$3,$O$3:$AA$3,0),FALSE))*VLOOKUP(VLOOKUP($AW95,坦克个性化设定!$B$18:$E$48,4,FALSE)&amp;$AX95,坦克属性分配比例,MATCH("部件比例",坦克属性分配比例标头,0),FALSE))*$AY95/VLOOKUP(VLOOKUP($AW95,坦克个性化设定!$B$18:$E$48,4,FALSE)&amp;$AX95,坦克属性分配比例,MATCH("升星次数",坦克属性分配比例标头,0),FALSE),0)</f>
        <v>3188</v>
      </c>
      <c r="BA95" s="426">
        <f ca="1">ROUND(VLOOKUP($AW95&amp;"初始",$O$3:$AA$63,MATCH(BA$3,$O$3:$AA$3,0),FALSE)+(VLOOKUP($AW95&amp;"最终",$O$3:$AA$63,MATCH(BA$3,$O$3:$AA$3,0),FALSE)-VLOOKUP($AW95&amp;"初始",$O$3:$AA$63,MATCH(BA$3,$O$3:$AA$3,0),FALSE))*$AY95/VLOOKUP(VLOOKUP($AW95,坦克个性化设定!$B$18:$E$48,4,FALSE)&amp;$AX95,坦克属性分配比例,MATCH("升星次数",坦克属性分配比例标头,0),FALSE)*VLOOKUP(VLOOKUP($AW95,坦克个性化设定!$B$18:$E$48,4,FALSE)&amp;$AX95,坦克属性分配比例,MATCH("升星比例",坦克属性分配比例标头,0),FALSE),0)</f>
        <v>264</v>
      </c>
      <c r="BB95" s="486">
        <f ca="1">ROUND(VLOOKUP($AW95&amp;"初始",$O$3:$AA$63,MATCH(BB$3,$O$3:$AA$3,0),FALSE)+(VLOOKUP($AW95&amp;"最终",$O$3:$AA$63,MATCH(BB$3,$O$3:$AA$3,0),FALSE)-VLOOKUP($AW95&amp;"初始",$O$3:$AA$63,MATCH(BB$3,$O$3:$AA$3,0),FALSE))*$AY95/VLOOKUP(VLOOKUP($AW95,坦克个性化设定!$B$18:$E$48,4,FALSE)&amp;$AX95,坦克属性分配比例,MATCH("升星次数",坦克属性分配比例标头,0),FALSE)*(VLOOKUP(VLOOKUP($AW95,坦克个性化设定!$B$18:$E$48,4,FALSE)&amp;$AX95,坦克属性分配比例,MATCH("升星比例",坦克属性分配比例标头,0),FALSE)+VLOOKUP(VLOOKUP($AW95,坦克个性化设定!$B$18:$E$48,4,FALSE)&amp;$AX95,坦克属性分配比例,MATCH("部件比例",坦克属性分配比例标头,0),FALSE)*$C$3),0)</f>
        <v>1199</v>
      </c>
      <c r="BC95" s="486">
        <f ca="1">ROUND(VLOOKUP($AW95&amp;"初始",$O$3:$AA$63,MATCH(BC$3,$O$3:$AA$3,0),FALSE)+(VLOOKUP($AW95&amp;"最终",$O$3:$AA$63,MATCH(BC$3,$O$3:$AA$3,0),FALSE)-VLOOKUP($AW95&amp;"初始",$O$3:$AA$63,MATCH(BC$3,$O$3:$AA$3,0),FALSE))*$AY95/VLOOKUP(VLOOKUP($AW95,坦克个性化设定!$B$18:$E$48,4,FALSE)&amp;$AX95,坦克属性分配比例,MATCH("升星次数",坦克属性分配比例标头,0),FALSE)*(VLOOKUP(VLOOKUP($AW95,坦克个性化设定!$B$18:$E$48,4,FALSE)&amp;$AX95,坦克属性分配比例,MATCH("升星比例",坦克属性分配比例标头,0),FALSE)+VLOOKUP(VLOOKUP($AW95,坦克个性化设定!$B$18:$E$48,4,FALSE)&amp;$AX95,坦克属性分配比例,MATCH("部件比例",坦克属性分配比例标头,0),FALSE)*$C$3),0)</f>
        <v>840</v>
      </c>
      <c r="BD95" s="426">
        <f ca="1">ROUND(VLOOKUP($AW95&amp;"初始",$O$3:$AA$63,MATCH(BD$3,$O$3:$AA$3,0),FALSE)+(VLOOKUP($AW95&amp;"最终",$O$3:$AA$63,MATCH(BD$3,$O$3:$AA$3,0),FALSE)-VLOOKUP($AW95&amp;"初始",$O$3:$AA$63,MATCH(BD$3,$O$3:$AA$3,0),FALSE))*$AY95/VLOOKUP(VLOOKUP($AW95,坦克个性化设定!$B$18:$E$48,4,FALSE)&amp;$AX95,坦克属性分配比例,MATCH("升星次数",坦克属性分配比例标头,0),FALSE)*VLOOKUP(VLOOKUP($AW95,坦克个性化设定!$B$18:$E$48,4,FALSE)&amp;$AX95,坦克属性分配比例,MATCH("升星比例",坦克属性分配比例标头,0),FALSE),0)</f>
        <v>831</v>
      </c>
      <c r="BE95" s="426">
        <f ca="1">ROUND(VLOOKUP($AW95&amp;"初始",$O$3:$AA$63,MATCH(BE$3,$O$3:$AA$3,0),FALSE)+(VLOOKUP($AW95&amp;"最终",$O$3:$AA$63,MATCH(BE$3,$O$3:$AA$3,0),FALSE)-VLOOKUP($AW95&amp;"初始",$O$3:$AA$63,MATCH(BE$3,$O$3:$AA$3,0),FALSE))*$AY95/VLOOKUP(VLOOKUP($AW95,坦克个性化设定!$B$18:$E$48,4,FALSE)&amp;$AX95,坦克属性分配比例,MATCH("升星次数",坦克属性分配比例标头,0),FALSE),0)</f>
        <v>300</v>
      </c>
      <c r="BF95" s="462">
        <f>ROUND(VLOOKUP($AW95,$AD$3:$AJ$33,MATCH(BF$3,$AD$3:$AJ$3,0),FALSE)+$AY95/VLOOKUP(VLOOKUP($AW95,坦克个性化设定!$B$18:$E$48,4,FALSE)&amp;$AX95,坦克属性分配比例,MATCH("升星次数",坦克属性分配比例标头,0),FALSE)*VLOOKUP($AW95,$AM$3:$AS$33,MATCH(BF$3,$AM$3:$AS$3,0),FALSE),1)</f>
        <v>48.1</v>
      </c>
      <c r="BG95" s="462">
        <f>ROUND(VLOOKUP($AW95,$AD$3:$AJ$33,MATCH(BG$3,$AD$3:$AJ$3,0),FALSE)+$AY95/VLOOKUP(VLOOKUP($AW95,坦克个性化设定!$B$18:$E$48,4,FALSE)&amp;$AX95,坦克属性分配比例,MATCH("升星次数",坦克属性分配比例标头,0),FALSE)*VLOOKUP($AW95,$AM$3:$AS$33,MATCH(BG$3,$AM$3:$AS$3,0),FALSE),1)</f>
        <v>71.8</v>
      </c>
      <c r="BH95" s="462">
        <f>ROUND(VLOOKUP($AW95,$AD$3:$AJ$33,MATCH(BH$3,$AD$3:$AJ$3,0),FALSE)+$AY95/VLOOKUP(VLOOKUP($AW95,坦克个性化设定!$B$18:$E$48,4,FALSE)&amp;$AX95,坦克属性分配比例,MATCH("升星次数",坦克属性分配比例标头,0),FALSE)*VLOOKUP($AW95,$AM$3:$AS$33,MATCH(BH$3,$AM$3:$AS$3,0),FALSE),1)</f>
        <v>17.8</v>
      </c>
      <c r="BI95" s="654">
        <f>IF(VLOOKUP(AW95,坦克个性化设定!$B$18:$BB$48,MATCH("装弹类型",坦克个性化设定!$B$18:$BB$18,0),FALSE)="弹夹换弹",0,ROUND(VLOOKUP($AW95,$AD$3:$AJ$33,MATCH("换弹时间",$AD$3:$AJ$3,0),FALSE)-$AY95/VLOOKUP(VLOOKUP($AW95,坦克个性化设定!$B$18:$E$48,4,FALSE)&amp;$AX95,坦克属性分配比例,MATCH("升星次数",坦克属性分配比例标头,0),FALSE)*VLOOKUP($AW95,$AM$3:$AS$33,MATCH("换弹时间",$AM$3:$AS$3,0),FALSE),2))</f>
        <v>2.2799999999999998</v>
      </c>
      <c r="BJ95" s="462">
        <f>IF(VLOOKUP(AW95,坦克个性化设定!$B$18:$BB$48,MATCH("装弹类型",坦克个性化设定!$B$18:$BB$18,0),FALSE)="弹夹换弹",ROUND(VLOOKUP($AW95,$AD$3:$AJ$33,MATCH("换弹时间",$AD$3:$AJ$3,0),FALSE)-$AY95/VLOOKUP(VLOOKUP($AW95,坦克个性化设定!$B$18:$E$48,4,FALSE)&amp;$AX95,坦克属性分配比例,MATCH("升星次数",坦克属性分配比例标头,0),FALSE)*VLOOKUP($AW95,$AM$3:$AS$33,MATCH("换弹时间",$AM$3:$AS$3,0),FALSE),1),0)</f>
        <v>0</v>
      </c>
      <c r="BK95" s="462">
        <f>ROUND(VLOOKUP($AW95,$AD$3:$AJ$33,MATCH(BK$3,$AD$3:$AJ$3,0),FALSE)+$AY95/VLOOKUP(VLOOKUP($AW95,坦克个性化设定!$B$18:$E$48,4,FALSE)&amp;$AX95,坦克属性分配比例,MATCH("升星次数",坦克属性分配比例标头,0),FALSE)*VLOOKUP($AW95,$AM$3:$AS$33,MATCH(BK$3,$AM$3:$AS$3,0),FALSE),2)</f>
        <v>0</v>
      </c>
      <c r="BL95" s="462">
        <f>ROUND(VLOOKUP($AW95,$AD$3:$AJ$33,MATCH(BL$3,$AD$3:$AJ$3,0),FALSE)-$AY95/VLOOKUP(VLOOKUP($AW95,坦克个性化设定!$B$18:$E$48,4,FALSE)&amp;$AX95,坦克属性分配比例,MATCH("升星次数",坦克属性分配比例标头,0),FALSE)*VLOOKUP($AW95,$AM$3:$AS$33,MATCH(BL$3,$AM$3:$AS$3,0),FALSE),2)</f>
        <v>1.5</v>
      </c>
    </row>
    <row r="96" spans="47:64" x14ac:dyDescent="0.35">
      <c r="AU96" s="364" t="str">
        <f t="shared" si="19"/>
        <v>BMP-30</v>
      </c>
      <c r="AV96" s="183">
        <f>IF(AY95&gt;=VLOOKUP(VLOOKUP(AW95,坦克个性化设定!$B$18:$E$48,4,FALSE)&amp;AX95,坦克属性分配比例,MATCH("升星次数",坦克属性分配比例标头,0),FALSE),AV95+1,AV95)</f>
        <v>9</v>
      </c>
      <c r="AW96" s="131" t="str">
        <f t="shared" si="20"/>
        <v>BMP-3</v>
      </c>
      <c r="AX96" s="177" t="str">
        <f>VLOOKUP(AW96,坦克个性化细分!$I$3:$J$33,2,FALSE)</f>
        <v>高</v>
      </c>
      <c r="AY96" s="183">
        <f t="shared" si="18"/>
        <v>0</v>
      </c>
      <c r="AZ96" s="486">
        <f ca="1">ROUND(VLOOKUP($AW96&amp;"初始",$O$3:$AA$63,MATCH(AZ$3,$O$3:$AA$3,0),FALSE)+((VLOOKUP($AW96&amp;"最终",$O$3:$AA$63,MATCH(AZ$3,$O$3:$AA$3,0),FALSE)*坦克个性化细分!$C$9-VLOOKUP($AW96&amp;"初始",$O$3:$AA$63,MATCH(AZ$3,$O$3:$AA$3,0),FALSE))-(VLOOKUP($AW96&amp;"最终",$O$3:$AA$63,MATCH(AZ$3,$O$3:$AA$3,0),FALSE)-VLOOKUP($AW96&amp;"初始",$O$3:$AA$63,MATCH(AZ$3,$O$3:$AA$3,0),FALSE))*VLOOKUP(VLOOKUP($AW96,坦克个性化设定!$B$18:$E$48,4,FALSE)&amp;$AX96,坦克属性分配比例,MATCH("部件比例",坦克属性分配比例标头,0),FALSE))*$AY96/VLOOKUP(VLOOKUP($AW96,坦克个性化设定!$B$18:$E$48,4,FALSE)&amp;$AX96,坦克属性分配比例,MATCH("升星次数",坦克属性分配比例标头,0),FALSE),0)</f>
        <v>1841</v>
      </c>
      <c r="BA96" s="426">
        <f ca="1">ROUND(VLOOKUP($AW96&amp;"初始",$O$3:$AA$63,MATCH(BA$3,$O$3:$AA$3,0),FALSE)+(VLOOKUP($AW96&amp;"最终",$O$3:$AA$63,MATCH(BA$3,$O$3:$AA$3,0),FALSE)-VLOOKUP($AW96&amp;"初始",$O$3:$AA$63,MATCH(BA$3,$O$3:$AA$3,0),FALSE))*$AY96/VLOOKUP(VLOOKUP($AW96,坦克个性化设定!$B$18:$E$48,4,FALSE)&amp;$AX96,坦克属性分配比例,MATCH("升星次数",坦克属性分配比例标头,0),FALSE)*VLOOKUP(VLOOKUP($AW96,坦克个性化设定!$B$18:$E$48,4,FALSE)&amp;$AX96,坦克属性分配比例,MATCH("升星比例",坦克属性分配比例标头,0),FALSE),0)</f>
        <v>96</v>
      </c>
      <c r="BB96" s="486">
        <f ca="1">ROUND(VLOOKUP($AW96&amp;"初始",$O$3:$AA$63,MATCH(BB$3,$O$3:$AA$3,0),FALSE)+(VLOOKUP($AW96&amp;"最终",$O$3:$AA$63,MATCH(BB$3,$O$3:$AA$3,0),FALSE)-VLOOKUP($AW96&amp;"初始",$O$3:$AA$63,MATCH(BB$3,$O$3:$AA$3,0),FALSE))*$AY96/VLOOKUP(VLOOKUP($AW96,坦克个性化设定!$B$18:$E$48,4,FALSE)&amp;$AX96,坦克属性分配比例,MATCH("升星次数",坦克属性分配比例标头,0),FALSE)*(VLOOKUP(VLOOKUP($AW96,坦克个性化设定!$B$18:$E$48,4,FALSE)&amp;$AX96,坦克属性分配比例,MATCH("升星比例",坦克属性分配比例标头,0),FALSE)+VLOOKUP(VLOOKUP($AW96,坦克个性化设定!$B$18:$E$48,4,FALSE)&amp;$AX96,坦克属性分配比例,MATCH("部件比例",坦克属性分配比例标头,0),FALSE)*$C$3),0)</f>
        <v>618</v>
      </c>
      <c r="BC96" s="486">
        <f ca="1">ROUND(VLOOKUP($AW96&amp;"初始",$O$3:$AA$63,MATCH(BC$3,$O$3:$AA$3,0),FALSE)+(VLOOKUP($AW96&amp;"最终",$O$3:$AA$63,MATCH(BC$3,$O$3:$AA$3,0),FALSE)-VLOOKUP($AW96&amp;"初始",$O$3:$AA$63,MATCH(BC$3,$O$3:$AA$3,0),FALSE))*$AY96/VLOOKUP(VLOOKUP($AW96,坦克个性化设定!$B$18:$E$48,4,FALSE)&amp;$AX96,坦克属性分配比例,MATCH("升星次数",坦克属性分配比例标头,0),FALSE)*(VLOOKUP(VLOOKUP($AW96,坦克个性化设定!$B$18:$E$48,4,FALSE)&amp;$AX96,坦克属性分配比例,MATCH("升星比例",坦克属性分配比例标头,0),FALSE)+VLOOKUP(VLOOKUP($AW96,坦克个性化设定!$B$18:$E$48,4,FALSE)&amp;$AX96,坦克属性分配比例,MATCH("部件比例",坦克属性分配比例标头,0),FALSE)*$C$3),0)</f>
        <v>433</v>
      </c>
      <c r="BD96" s="426">
        <f ca="1">ROUND(VLOOKUP($AW96&amp;"初始",$O$3:$AA$63,MATCH(BD$3,$O$3:$AA$3,0),FALSE)+(VLOOKUP($AW96&amp;"最终",$O$3:$AA$63,MATCH(BD$3,$O$3:$AA$3,0),FALSE)-VLOOKUP($AW96&amp;"初始",$O$3:$AA$63,MATCH(BD$3,$O$3:$AA$3,0),FALSE))*$AY96/VLOOKUP(VLOOKUP($AW96,坦克个性化设定!$B$18:$E$48,4,FALSE)&amp;$AX96,坦克属性分配比例,MATCH("升星次数",坦克属性分配比例标头,0),FALSE)*VLOOKUP(VLOOKUP($AW96,坦克个性化设定!$B$18:$E$48,4,FALSE)&amp;$AX96,坦克属性分配比例,MATCH("升星比例",坦克属性分配比例标头,0),FALSE),0)</f>
        <v>618</v>
      </c>
      <c r="BE96" s="426">
        <f ca="1">ROUND(VLOOKUP($AW96&amp;"初始",$O$3:$AA$63,MATCH(BE$3,$O$3:$AA$3,0),FALSE)+(VLOOKUP($AW96&amp;"最终",$O$3:$AA$63,MATCH(BE$3,$O$3:$AA$3,0),FALSE)-VLOOKUP($AW96&amp;"初始",$O$3:$AA$63,MATCH(BE$3,$O$3:$AA$3,0),FALSE))*$AY96/VLOOKUP(VLOOKUP($AW96,坦克个性化设定!$B$18:$E$48,4,FALSE)&amp;$AX96,坦克属性分配比例,MATCH("升星次数",坦克属性分配比例标头,0),FALSE),0)</f>
        <v>165</v>
      </c>
      <c r="BF96" s="462">
        <f>ROUND(VLOOKUP($AW96,$AD$3:$AJ$33,MATCH(BF$3,$AD$3:$AJ$3,0),FALSE)+$AY96/VLOOKUP(VLOOKUP($AW96,坦克个性化设定!$B$18:$E$48,4,FALSE)&amp;$AX96,坦克属性分配比例,MATCH("升星次数",坦克属性分配比例标头,0),FALSE)*VLOOKUP($AW96,$AM$3:$AS$33,MATCH(BF$3,$AM$3:$AS$3,0),FALSE),1)</f>
        <v>44.5</v>
      </c>
      <c r="BG96" s="462">
        <f>ROUND(VLOOKUP($AW96,$AD$3:$AJ$33,MATCH(BG$3,$AD$3:$AJ$3,0),FALSE)+$AY96/VLOOKUP(VLOOKUP($AW96,坦克个性化设定!$B$18:$E$48,4,FALSE)&amp;$AX96,坦克属性分配比例,MATCH("升星次数",坦克属性分配比例标头,0),FALSE)*VLOOKUP($AW96,$AM$3:$AS$33,MATCH(BG$3,$AM$3:$AS$3,0),FALSE),1)</f>
        <v>52.5</v>
      </c>
      <c r="BH96" s="462">
        <f>ROUND(VLOOKUP($AW96,$AD$3:$AJ$33,MATCH(BH$3,$AD$3:$AJ$3,0),FALSE)+$AY96/VLOOKUP(VLOOKUP($AW96,坦克个性化设定!$B$18:$E$48,4,FALSE)&amp;$AX96,坦克属性分配比例,MATCH("升星次数",坦克属性分配比例标头,0),FALSE)*VLOOKUP($AW96,$AM$3:$AS$33,MATCH(BH$3,$AM$3:$AS$3,0),FALSE),1)</f>
        <v>14.6</v>
      </c>
      <c r="BI96" s="654">
        <f>IF(VLOOKUP(AW96,坦克个性化设定!$B$18:$BB$48,MATCH("装弹类型",坦克个性化设定!$B$18:$BB$18,0),FALSE)="弹夹换弹",0,ROUND(VLOOKUP($AW96,$AD$3:$AJ$33,MATCH("换弹时间",$AD$3:$AJ$3,0),FALSE)-$AY96/VLOOKUP(VLOOKUP($AW96,坦克个性化设定!$B$18:$E$48,4,FALSE)&amp;$AX96,坦克属性分配比例,MATCH("升星次数",坦克属性分配比例标头,0),FALSE)*VLOOKUP($AW96,$AM$3:$AS$33,MATCH("换弹时间",$AM$3:$AS$3,0),FALSE),2))</f>
        <v>1.4</v>
      </c>
      <c r="BJ96" s="462">
        <f>IF(VLOOKUP(AW96,坦克个性化设定!$B$18:$BB$48,MATCH("装弹类型",坦克个性化设定!$B$18:$BB$18,0),FALSE)="弹夹换弹",ROUND(VLOOKUP($AW96,$AD$3:$AJ$33,MATCH("换弹时间",$AD$3:$AJ$3,0),FALSE)-$AY96/VLOOKUP(VLOOKUP($AW96,坦克个性化设定!$B$18:$E$48,4,FALSE)&amp;$AX96,坦克属性分配比例,MATCH("升星次数",坦克属性分配比例标头,0),FALSE)*VLOOKUP($AW96,$AM$3:$AS$33,MATCH("换弹时间",$AM$3:$AS$3,0),FALSE),1),0)</f>
        <v>0</v>
      </c>
      <c r="BK96" s="462">
        <f>ROUND(VLOOKUP($AW96,$AD$3:$AJ$33,MATCH(BK$3,$AD$3:$AJ$3,0),FALSE)+$AY96/VLOOKUP(VLOOKUP($AW96,坦克个性化设定!$B$18:$E$48,4,FALSE)&amp;$AX96,坦克属性分配比例,MATCH("升星次数",坦克属性分配比例标头,0),FALSE)*VLOOKUP($AW96,$AM$3:$AS$33,MATCH(BK$3,$AM$3:$AS$3,0),FALSE),2)</f>
        <v>0.4</v>
      </c>
      <c r="BL96" s="462">
        <f>ROUND(VLOOKUP($AW96,$AD$3:$AJ$33,MATCH(BL$3,$AD$3:$AJ$3,0),FALSE)-$AY96/VLOOKUP(VLOOKUP($AW96,坦克个性化设定!$B$18:$E$48,4,FALSE)&amp;$AX96,坦克属性分配比例,MATCH("升星次数",坦克属性分配比例标头,0),FALSE)*VLOOKUP($AW96,$AM$3:$AS$33,MATCH(BL$3,$AM$3:$AS$3,0),FALSE),2)</f>
        <v>1.23</v>
      </c>
    </row>
    <row r="97" spans="47:64" x14ac:dyDescent="0.35">
      <c r="AU97" s="364" t="str">
        <f t="shared" si="19"/>
        <v>BMP-31</v>
      </c>
      <c r="AV97" s="183">
        <f>IF(AY96&gt;=VLOOKUP(VLOOKUP(AW96,坦克个性化设定!$B$18:$E$48,4,FALSE)&amp;AX96,坦克属性分配比例,MATCH("升星次数",坦克属性分配比例标头,0),FALSE),AV96+1,AV96)</f>
        <v>9</v>
      </c>
      <c r="AW97" s="131" t="str">
        <f t="shared" si="20"/>
        <v>BMP-3</v>
      </c>
      <c r="AX97" s="177" t="str">
        <f>VLOOKUP(AW97,坦克个性化细分!$I$3:$J$33,2,FALSE)</f>
        <v>高</v>
      </c>
      <c r="AY97" s="183">
        <f t="shared" si="18"/>
        <v>1</v>
      </c>
      <c r="AZ97" s="486">
        <f ca="1">ROUND(VLOOKUP($AW97&amp;"初始",$O$3:$AA$63,MATCH(AZ$3,$O$3:$AA$3,0),FALSE)+((VLOOKUP($AW97&amp;"最终",$O$3:$AA$63,MATCH(AZ$3,$O$3:$AA$3,0),FALSE)*坦克个性化细分!$C$9-VLOOKUP($AW97&amp;"初始",$O$3:$AA$63,MATCH(AZ$3,$O$3:$AA$3,0),FALSE))-(VLOOKUP($AW97&amp;"最终",$O$3:$AA$63,MATCH(AZ$3,$O$3:$AA$3,0),FALSE)-VLOOKUP($AW97&amp;"初始",$O$3:$AA$63,MATCH(AZ$3,$O$3:$AA$3,0),FALSE))*VLOOKUP(VLOOKUP($AW97,坦克个性化设定!$B$18:$E$48,4,FALSE)&amp;$AX97,坦克属性分配比例,MATCH("部件比例",坦克属性分配比例标头,0),FALSE))*$AY97/VLOOKUP(VLOOKUP($AW97,坦克个性化设定!$B$18:$E$48,4,FALSE)&amp;$AX97,坦克属性分配比例,MATCH("升星次数",坦克属性分配比例标头,0),FALSE),0)</f>
        <v>1952</v>
      </c>
      <c r="BA97" s="426">
        <f ca="1">ROUND(VLOOKUP($AW97&amp;"初始",$O$3:$AA$63,MATCH(BA$3,$O$3:$AA$3,0),FALSE)+(VLOOKUP($AW97&amp;"最终",$O$3:$AA$63,MATCH(BA$3,$O$3:$AA$3,0),FALSE)-VLOOKUP($AW97&amp;"初始",$O$3:$AA$63,MATCH(BA$3,$O$3:$AA$3,0),FALSE))*$AY97/VLOOKUP(VLOOKUP($AW97,坦克个性化设定!$B$18:$E$48,4,FALSE)&amp;$AX97,坦克属性分配比例,MATCH("升星次数",坦克属性分配比例标头,0),FALSE)*VLOOKUP(VLOOKUP($AW97,坦克个性化设定!$B$18:$E$48,4,FALSE)&amp;$AX97,坦克属性分配比例,MATCH("升星比例",坦克属性分配比例标头,0),FALSE),0)</f>
        <v>98</v>
      </c>
      <c r="BB97" s="486">
        <f ca="1">ROUND(VLOOKUP($AW97&amp;"初始",$O$3:$AA$63,MATCH(BB$3,$O$3:$AA$3,0),FALSE)+(VLOOKUP($AW97&amp;"最终",$O$3:$AA$63,MATCH(BB$3,$O$3:$AA$3,0),FALSE)-VLOOKUP($AW97&amp;"初始",$O$3:$AA$63,MATCH(BB$3,$O$3:$AA$3,0),FALSE))*$AY97/VLOOKUP(VLOOKUP($AW97,坦克个性化设定!$B$18:$E$48,4,FALSE)&amp;$AX97,坦克属性分配比例,MATCH("升星次数",坦克属性分配比例标头,0),FALSE)*(VLOOKUP(VLOOKUP($AW97,坦克个性化设定!$B$18:$E$48,4,FALSE)&amp;$AX97,坦克属性分配比例,MATCH("升星比例",坦克属性分配比例标头,0),FALSE)+VLOOKUP(VLOOKUP($AW97,坦克个性化设定!$B$18:$E$48,4,FALSE)&amp;$AX97,坦克属性分配比例,MATCH("部件比例",坦克属性分配比例标头,0),FALSE)*$C$3),0)</f>
        <v>645</v>
      </c>
      <c r="BC97" s="486">
        <f ca="1">ROUND(VLOOKUP($AW97&amp;"初始",$O$3:$AA$63,MATCH(BC$3,$O$3:$AA$3,0),FALSE)+(VLOOKUP($AW97&amp;"最终",$O$3:$AA$63,MATCH(BC$3,$O$3:$AA$3,0),FALSE)-VLOOKUP($AW97&amp;"初始",$O$3:$AA$63,MATCH(BC$3,$O$3:$AA$3,0),FALSE))*$AY97/VLOOKUP(VLOOKUP($AW97,坦克个性化设定!$B$18:$E$48,4,FALSE)&amp;$AX97,坦克属性分配比例,MATCH("升星次数",坦克属性分配比例标头,0),FALSE)*(VLOOKUP(VLOOKUP($AW97,坦克个性化设定!$B$18:$E$48,4,FALSE)&amp;$AX97,坦克属性分配比例,MATCH("升星比例",坦克属性分配比例标头,0),FALSE)+VLOOKUP(VLOOKUP($AW97,坦克个性化设定!$B$18:$E$48,4,FALSE)&amp;$AX97,坦克属性分配比例,MATCH("部件比例",坦克属性分配比例标头,0),FALSE)*$C$3),0)</f>
        <v>452</v>
      </c>
      <c r="BD97" s="426">
        <f ca="1">ROUND(VLOOKUP($AW97&amp;"初始",$O$3:$AA$63,MATCH(BD$3,$O$3:$AA$3,0),FALSE)+(VLOOKUP($AW97&amp;"最终",$O$3:$AA$63,MATCH(BD$3,$O$3:$AA$3,0),FALSE)-VLOOKUP($AW97&amp;"初始",$O$3:$AA$63,MATCH(BD$3,$O$3:$AA$3,0),FALSE))*$AY97/VLOOKUP(VLOOKUP($AW97,坦克个性化设定!$B$18:$E$48,4,FALSE)&amp;$AX97,坦克属性分配比例,MATCH("升星次数",坦克属性分配比例标头,0),FALSE)*VLOOKUP(VLOOKUP($AW97,坦克个性化设定!$B$18:$E$48,4,FALSE)&amp;$AX97,坦克属性分配比例,MATCH("升星比例",坦克属性分配比例标头,0),FALSE),0)</f>
        <v>634</v>
      </c>
      <c r="BE97" s="426">
        <f ca="1">ROUND(VLOOKUP($AW97&amp;"初始",$O$3:$AA$63,MATCH(BE$3,$O$3:$AA$3,0),FALSE)+(VLOOKUP($AW97&amp;"最终",$O$3:$AA$63,MATCH(BE$3,$O$3:$AA$3,0),FALSE)-VLOOKUP($AW97&amp;"初始",$O$3:$AA$63,MATCH(BE$3,$O$3:$AA$3,0),FALSE))*$AY97/VLOOKUP(VLOOKUP($AW97,坦克个性化设定!$B$18:$E$48,4,FALSE)&amp;$AX97,坦克属性分配比例,MATCH("升星次数",坦克属性分配比例标头,0),FALSE),0)</f>
        <v>174</v>
      </c>
      <c r="BF97" s="462">
        <f>ROUND(VLOOKUP($AW97,$AD$3:$AJ$33,MATCH(BF$3,$AD$3:$AJ$3,0),FALSE)+$AY97/VLOOKUP(VLOOKUP($AW97,坦克个性化设定!$B$18:$E$48,4,FALSE)&amp;$AX97,坦克属性分配比例,MATCH("升星次数",坦克属性分配比例标头,0),FALSE)*VLOOKUP($AW97,$AM$3:$AS$33,MATCH(BF$3,$AM$3:$AS$3,0),FALSE),1)</f>
        <v>45.2</v>
      </c>
      <c r="BG97" s="462">
        <f>ROUND(VLOOKUP($AW97,$AD$3:$AJ$33,MATCH(BG$3,$AD$3:$AJ$3,0),FALSE)+$AY97/VLOOKUP(VLOOKUP($AW97,坦克个性化设定!$B$18:$E$48,4,FALSE)&amp;$AX97,坦克属性分配比例,MATCH("升星次数",坦克属性分配比例标头,0),FALSE)*VLOOKUP($AW97,$AM$3:$AS$33,MATCH(BG$3,$AM$3:$AS$3,0),FALSE),1)</f>
        <v>53.3</v>
      </c>
      <c r="BH97" s="462">
        <f>ROUND(VLOOKUP($AW97,$AD$3:$AJ$33,MATCH(BH$3,$AD$3:$AJ$3,0),FALSE)+$AY97/VLOOKUP(VLOOKUP($AW97,坦克个性化设定!$B$18:$E$48,4,FALSE)&amp;$AX97,坦克属性分配比例,MATCH("升星次数",坦克属性分配比例标头,0),FALSE)*VLOOKUP($AW97,$AM$3:$AS$33,MATCH(BH$3,$AM$3:$AS$3,0),FALSE),1)</f>
        <v>14.9</v>
      </c>
      <c r="BI97" s="654">
        <f>IF(VLOOKUP(AW97,坦克个性化设定!$B$18:$BB$48,MATCH("装弹类型",坦克个性化设定!$B$18:$BB$18,0),FALSE)="弹夹换弹",0,ROUND(VLOOKUP($AW97,$AD$3:$AJ$33,MATCH("换弹时间",$AD$3:$AJ$3,0),FALSE)-$AY97/VLOOKUP(VLOOKUP($AW97,坦克个性化设定!$B$18:$E$48,4,FALSE)&amp;$AX97,坦克属性分配比例,MATCH("升星次数",坦克属性分配比例标头,0),FALSE)*VLOOKUP($AW97,$AM$3:$AS$33,MATCH("换弹时间",$AM$3:$AS$3,0),FALSE),2))</f>
        <v>1.38</v>
      </c>
      <c r="BJ97" s="462">
        <f>IF(VLOOKUP(AW97,坦克个性化设定!$B$18:$BB$48,MATCH("装弹类型",坦克个性化设定!$B$18:$BB$18,0),FALSE)="弹夹换弹",ROUND(VLOOKUP($AW97,$AD$3:$AJ$33,MATCH("换弹时间",$AD$3:$AJ$3,0),FALSE)-$AY97/VLOOKUP(VLOOKUP($AW97,坦克个性化设定!$B$18:$E$48,4,FALSE)&amp;$AX97,坦克属性分配比例,MATCH("升星次数",坦克属性分配比例标头,0),FALSE)*VLOOKUP($AW97,$AM$3:$AS$33,MATCH("换弹时间",$AM$3:$AS$3,0),FALSE),1),0)</f>
        <v>0</v>
      </c>
      <c r="BK97" s="462">
        <f>ROUND(VLOOKUP($AW97,$AD$3:$AJ$33,MATCH(BK$3,$AD$3:$AJ$3,0),FALSE)+$AY97/VLOOKUP(VLOOKUP($AW97,坦克个性化设定!$B$18:$E$48,4,FALSE)&amp;$AX97,坦克属性分配比例,MATCH("升星次数",坦克属性分配比例标头,0),FALSE)*VLOOKUP($AW97,$AM$3:$AS$33,MATCH(BK$3,$AM$3:$AS$3,0),FALSE),2)</f>
        <v>0.4</v>
      </c>
      <c r="BL97" s="462">
        <f>ROUND(VLOOKUP($AW97,$AD$3:$AJ$33,MATCH(BL$3,$AD$3:$AJ$3,0),FALSE)-$AY97/VLOOKUP(VLOOKUP($AW97,坦克个性化设定!$B$18:$E$48,4,FALSE)&amp;$AX97,坦克属性分配比例,MATCH("升星次数",坦克属性分配比例标头,0),FALSE)*VLOOKUP($AW97,$AM$3:$AS$33,MATCH(BL$3,$AM$3:$AS$3,0),FALSE),2)</f>
        <v>1.21</v>
      </c>
    </row>
    <row r="98" spans="47:64" x14ac:dyDescent="0.35">
      <c r="AU98" s="364" t="str">
        <f t="shared" si="19"/>
        <v>BMP-32</v>
      </c>
      <c r="AV98" s="183">
        <f>IF(AY97&gt;=VLOOKUP(VLOOKUP(AW97,坦克个性化设定!$B$18:$E$48,4,FALSE)&amp;AX97,坦克属性分配比例,MATCH("升星次数",坦克属性分配比例标头,0),FALSE),AV97+1,AV97)</f>
        <v>9</v>
      </c>
      <c r="AW98" s="131" t="str">
        <f t="shared" si="20"/>
        <v>BMP-3</v>
      </c>
      <c r="AX98" s="177" t="str">
        <f>VLOOKUP(AW98,坦克个性化细分!$I$3:$J$33,2,FALSE)</f>
        <v>高</v>
      </c>
      <c r="AY98" s="183">
        <f t="shared" si="18"/>
        <v>2</v>
      </c>
      <c r="AZ98" s="486">
        <f ca="1">ROUND(VLOOKUP($AW98&amp;"初始",$O$3:$AA$63,MATCH(AZ$3,$O$3:$AA$3,0),FALSE)+((VLOOKUP($AW98&amp;"最终",$O$3:$AA$63,MATCH(AZ$3,$O$3:$AA$3,0),FALSE)*坦克个性化细分!$C$9-VLOOKUP($AW98&amp;"初始",$O$3:$AA$63,MATCH(AZ$3,$O$3:$AA$3,0),FALSE))-(VLOOKUP($AW98&amp;"最终",$O$3:$AA$63,MATCH(AZ$3,$O$3:$AA$3,0),FALSE)-VLOOKUP($AW98&amp;"初始",$O$3:$AA$63,MATCH(AZ$3,$O$3:$AA$3,0),FALSE))*VLOOKUP(VLOOKUP($AW98,坦克个性化设定!$B$18:$E$48,4,FALSE)&amp;$AX98,坦克属性分配比例,MATCH("部件比例",坦克属性分配比例标头,0),FALSE))*$AY98/VLOOKUP(VLOOKUP($AW98,坦克个性化设定!$B$18:$E$48,4,FALSE)&amp;$AX98,坦克属性分配比例,MATCH("升星次数",坦克属性分配比例标头,0),FALSE),0)</f>
        <v>2063</v>
      </c>
      <c r="BA98" s="426">
        <f ca="1">ROUND(VLOOKUP($AW98&amp;"初始",$O$3:$AA$63,MATCH(BA$3,$O$3:$AA$3,0),FALSE)+(VLOOKUP($AW98&amp;"最终",$O$3:$AA$63,MATCH(BA$3,$O$3:$AA$3,0),FALSE)-VLOOKUP($AW98&amp;"初始",$O$3:$AA$63,MATCH(BA$3,$O$3:$AA$3,0),FALSE))*$AY98/VLOOKUP(VLOOKUP($AW98,坦克个性化设定!$B$18:$E$48,4,FALSE)&amp;$AX98,坦克属性分配比例,MATCH("升星次数",坦克属性分配比例标头,0),FALSE)*VLOOKUP(VLOOKUP($AW98,坦克个性化设定!$B$18:$E$48,4,FALSE)&amp;$AX98,坦克属性分配比例,MATCH("升星比例",坦克属性分配比例标头,0),FALSE),0)</f>
        <v>101</v>
      </c>
      <c r="BB98" s="486">
        <f ca="1">ROUND(VLOOKUP($AW98&amp;"初始",$O$3:$AA$63,MATCH(BB$3,$O$3:$AA$3,0),FALSE)+(VLOOKUP($AW98&amp;"最终",$O$3:$AA$63,MATCH(BB$3,$O$3:$AA$3,0),FALSE)-VLOOKUP($AW98&amp;"初始",$O$3:$AA$63,MATCH(BB$3,$O$3:$AA$3,0),FALSE))*$AY98/VLOOKUP(VLOOKUP($AW98,坦克个性化设定!$B$18:$E$48,4,FALSE)&amp;$AX98,坦克属性分配比例,MATCH("升星次数",坦克属性分配比例标头,0),FALSE)*(VLOOKUP(VLOOKUP($AW98,坦克个性化设定!$B$18:$E$48,4,FALSE)&amp;$AX98,坦克属性分配比例,MATCH("升星比例",坦克属性分配比例标头,0),FALSE)+VLOOKUP(VLOOKUP($AW98,坦克个性化设定!$B$18:$E$48,4,FALSE)&amp;$AX98,坦克属性分配比例,MATCH("部件比例",坦克属性分配比例标头,0),FALSE)*$C$3),0)</f>
        <v>672</v>
      </c>
      <c r="BC98" s="486">
        <f ca="1">ROUND(VLOOKUP($AW98&amp;"初始",$O$3:$AA$63,MATCH(BC$3,$O$3:$AA$3,0),FALSE)+(VLOOKUP($AW98&amp;"最终",$O$3:$AA$63,MATCH(BC$3,$O$3:$AA$3,0),FALSE)-VLOOKUP($AW98&amp;"初始",$O$3:$AA$63,MATCH(BC$3,$O$3:$AA$3,0),FALSE))*$AY98/VLOOKUP(VLOOKUP($AW98,坦克个性化设定!$B$18:$E$48,4,FALSE)&amp;$AX98,坦克属性分配比例,MATCH("升星次数",坦克属性分配比例标头,0),FALSE)*(VLOOKUP(VLOOKUP($AW98,坦克个性化设定!$B$18:$E$48,4,FALSE)&amp;$AX98,坦克属性分配比例,MATCH("升星比例",坦克属性分配比例标头,0),FALSE)+VLOOKUP(VLOOKUP($AW98,坦克个性化设定!$B$18:$E$48,4,FALSE)&amp;$AX98,坦克属性分配比例,MATCH("部件比例",坦克属性分配比例标头,0),FALSE)*$C$3),0)</f>
        <v>471</v>
      </c>
      <c r="BD98" s="426">
        <f ca="1">ROUND(VLOOKUP($AW98&amp;"初始",$O$3:$AA$63,MATCH(BD$3,$O$3:$AA$3,0),FALSE)+(VLOOKUP($AW98&amp;"最终",$O$3:$AA$63,MATCH(BD$3,$O$3:$AA$3,0),FALSE)-VLOOKUP($AW98&amp;"初始",$O$3:$AA$63,MATCH(BD$3,$O$3:$AA$3,0),FALSE))*$AY98/VLOOKUP(VLOOKUP($AW98,坦克个性化设定!$B$18:$E$48,4,FALSE)&amp;$AX98,坦克属性分配比例,MATCH("升星次数",坦克属性分配比例标头,0),FALSE)*VLOOKUP(VLOOKUP($AW98,坦克个性化设定!$B$18:$E$48,4,FALSE)&amp;$AX98,坦克属性分配比例,MATCH("升星比例",坦克属性分配比例标头,0),FALSE),0)</f>
        <v>650</v>
      </c>
      <c r="BE98" s="426">
        <f ca="1">ROUND(VLOOKUP($AW98&amp;"初始",$O$3:$AA$63,MATCH(BE$3,$O$3:$AA$3,0),FALSE)+(VLOOKUP($AW98&amp;"最终",$O$3:$AA$63,MATCH(BE$3,$O$3:$AA$3,0),FALSE)-VLOOKUP($AW98&amp;"初始",$O$3:$AA$63,MATCH(BE$3,$O$3:$AA$3,0),FALSE))*$AY98/VLOOKUP(VLOOKUP($AW98,坦克个性化设定!$B$18:$E$48,4,FALSE)&amp;$AX98,坦克属性分配比例,MATCH("升星次数",坦克属性分配比例标头,0),FALSE),0)</f>
        <v>183</v>
      </c>
      <c r="BF98" s="462">
        <f>ROUND(VLOOKUP($AW98,$AD$3:$AJ$33,MATCH(BF$3,$AD$3:$AJ$3,0),FALSE)+$AY98/VLOOKUP(VLOOKUP($AW98,坦克个性化设定!$B$18:$E$48,4,FALSE)&amp;$AX98,坦克属性分配比例,MATCH("升星次数",坦克属性分配比例标头,0),FALSE)*VLOOKUP($AW98,$AM$3:$AS$33,MATCH(BF$3,$AM$3:$AS$3,0),FALSE),1)</f>
        <v>45.8</v>
      </c>
      <c r="BG98" s="462">
        <f>ROUND(VLOOKUP($AW98,$AD$3:$AJ$33,MATCH(BG$3,$AD$3:$AJ$3,0),FALSE)+$AY98/VLOOKUP(VLOOKUP($AW98,坦克个性化设定!$B$18:$E$48,4,FALSE)&amp;$AX98,坦克属性分配比例,MATCH("升星次数",坦克属性分配比例标头,0),FALSE)*VLOOKUP($AW98,$AM$3:$AS$33,MATCH(BG$3,$AM$3:$AS$3,0),FALSE),1)</f>
        <v>54</v>
      </c>
      <c r="BH98" s="462">
        <f>ROUND(VLOOKUP($AW98,$AD$3:$AJ$33,MATCH(BH$3,$AD$3:$AJ$3,0),FALSE)+$AY98/VLOOKUP(VLOOKUP($AW98,坦克个性化设定!$B$18:$E$48,4,FALSE)&amp;$AX98,坦克属性分配比例,MATCH("升星次数",坦克属性分配比例标头,0),FALSE)*VLOOKUP($AW98,$AM$3:$AS$33,MATCH(BH$3,$AM$3:$AS$3,0),FALSE),1)</f>
        <v>15.2</v>
      </c>
      <c r="BI98" s="654">
        <f>IF(VLOOKUP(AW98,坦克个性化设定!$B$18:$BB$48,MATCH("装弹类型",坦克个性化设定!$B$18:$BB$18,0),FALSE)="弹夹换弹",0,ROUND(VLOOKUP($AW98,$AD$3:$AJ$33,MATCH("换弹时间",$AD$3:$AJ$3,0),FALSE)-$AY98/VLOOKUP(VLOOKUP($AW98,坦克个性化设定!$B$18:$E$48,4,FALSE)&amp;$AX98,坦克属性分配比例,MATCH("升星次数",坦克属性分配比例标头,0),FALSE)*VLOOKUP($AW98,$AM$3:$AS$33,MATCH("换弹时间",$AM$3:$AS$3,0),FALSE),2))</f>
        <v>1.36</v>
      </c>
      <c r="BJ98" s="462">
        <f>IF(VLOOKUP(AW98,坦克个性化设定!$B$18:$BB$48,MATCH("装弹类型",坦克个性化设定!$B$18:$BB$18,0),FALSE)="弹夹换弹",ROUND(VLOOKUP($AW98,$AD$3:$AJ$33,MATCH("换弹时间",$AD$3:$AJ$3,0),FALSE)-$AY98/VLOOKUP(VLOOKUP($AW98,坦克个性化设定!$B$18:$E$48,4,FALSE)&amp;$AX98,坦克属性分配比例,MATCH("升星次数",坦克属性分配比例标头,0),FALSE)*VLOOKUP($AW98,$AM$3:$AS$33,MATCH("换弹时间",$AM$3:$AS$3,0),FALSE),1),0)</f>
        <v>0</v>
      </c>
      <c r="BK98" s="462">
        <f>ROUND(VLOOKUP($AW98,$AD$3:$AJ$33,MATCH(BK$3,$AD$3:$AJ$3,0),FALSE)+$AY98/VLOOKUP(VLOOKUP($AW98,坦克个性化设定!$B$18:$E$48,4,FALSE)&amp;$AX98,坦克属性分配比例,MATCH("升星次数",坦克属性分配比例标头,0),FALSE)*VLOOKUP($AW98,$AM$3:$AS$33,MATCH(BK$3,$AM$3:$AS$3,0),FALSE),2)</f>
        <v>0.4</v>
      </c>
      <c r="BL98" s="462">
        <f>ROUND(VLOOKUP($AW98,$AD$3:$AJ$33,MATCH(BL$3,$AD$3:$AJ$3,0),FALSE)-$AY98/VLOOKUP(VLOOKUP($AW98,坦克个性化设定!$B$18:$E$48,4,FALSE)&amp;$AX98,坦克属性分配比例,MATCH("升星次数",坦克属性分配比例标头,0),FALSE)*VLOOKUP($AW98,$AM$3:$AS$33,MATCH(BL$3,$AM$3:$AS$3,0),FALSE),2)</f>
        <v>1.2</v>
      </c>
    </row>
    <row r="99" spans="47:64" x14ac:dyDescent="0.35">
      <c r="AU99" s="364" t="str">
        <f t="shared" si="19"/>
        <v>BMP-33</v>
      </c>
      <c r="AV99" s="183">
        <f>IF(AY98&gt;=VLOOKUP(VLOOKUP(AW98,坦克个性化设定!$B$18:$E$48,4,FALSE)&amp;AX98,坦克属性分配比例,MATCH("升星次数",坦克属性分配比例标头,0),FALSE),AV98+1,AV98)</f>
        <v>9</v>
      </c>
      <c r="AW99" s="131" t="str">
        <f t="shared" si="20"/>
        <v>BMP-3</v>
      </c>
      <c r="AX99" s="177" t="str">
        <f>VLOOKUP(AW99,坦克个性化细分!$I$3:$J$33,2,FALSE)</f>
        <v>高</v>
      </c>
      <c r="AY99" s="183">
        <f t="shared" si="18"/>
        <v>3</v>
      </c>
      <c r="AZ99" s="486">
        <f ca="1">ROUND(VLOOKUP($AW99&amp;"初始",$O$3:$AA$63,MATCH(AZ$3,$O$3:$AA$3,0),FALSE)+((VLOOKUP($AW99&amp;"最终",$O$3:$AA$63,MATCH(AZ$3,$O$3:$AA$3,0),FALSE)*坦克个性化细分!$C$9-VLOOKUP($AW99&amp;"初始",$O$3:$AA$63,MATCH(AZ$3,$O$3:$AA$3,0),FALSE))-(VLOOKUP($AW99&amp;"最终",$O$3:$AA$63,MATCH(AZ$3,$O$3:$AA$3,0),FALSE)-VLOOKUP($AW99&amp;"初始",$O$3:$AA$63,MATCH(AZ$3,$O$3:$AA$3,0),FALSE))*VLOOKUP(VLOOKUP($AW99,坦克个性化设定!$B$18:$E$48,4,FALSE)&amp;$AX99,坦克属性分配比例,MATCH("部件比例",坦克属性分配比例标头,0),FALSE))*$AY99/VLOOKUP(VLOOKUP($AW99,坦克个性化设定!$B$18:$E$48,4,FALSE)&amp;$AX99,坦克属性分配比例,MATCH("升星次数",坦克属性分配比例标头,0),FALSE),0)</f>
        <v>2174</v>
      </c>
      <c r="BA99" s="426">
        <f ca="1">ROUND(VLOOKUP($AW99&amp;"初始",$O$3:$AA$63,MATCH(BA$3,$O$3:$AA$3,0),FALSE)+(VLOOKUP($AW99&amp;"最终",$O$3:$AA$63,MATCH(BA$3,$O$3:$AA$3,0),FALSE)-VLOOKUP($AW99&amp;"初始",$O$3:$AA$63,MATCH(BA$3,$O$3:$AA$3,0),FALSE))*$AY99/VLOOKUP(VLOOKUP($AW99,坦克个性化设定!$B$18:$E$48,4,FALSE)&amp;$AX99,坦克属性分配比例,MATCH("升星次数",坦克属性分配比例标头,0),FALSE)*VLOOKUP(VLOOKUP($AW99,坦克个性化设定!$B$18:$E$48,4,FALSE)&amp;$AX99,坦克属性分配比例,MATCH("升星比例",坦克属性分配比例标头,0),FALSE),0)</f>
        <v>103</v>
      </c>
      <c r="BB99" s="486">
        <f ca="1">ROUND(VLOOKUP($AW99&amp;"初始",$O$3:$AA$63,MATCH(BB$3,$O$3:$AA$3,0),FALSE)+(VLOOKUP($AW99&amp;"最终",$O$3:$AA$63,MATCH(BB$3,$O$3:$AA$3,0),FALSE)-VLOOKUP($AW99&amp;"初始",$O$3:$AA$63,MATCH(BB$3,$O$3:$AA$3,0),FALSE))*$AY99/VLOOKUP(VLOOKUP($AW99,坦克个性化设定!$B$18:$E$48,4,FALSE)&amp;$AX99,坦克属性分配比例,MATCH("升星次数",坦克属性分配比例标头,0),FALSE)*(VLOOKUP(VLOOKUP($AW99,坦克个性化设定!$B$18:$E$48,4,FALSE)&amp;$AX99,坦克属性分配比例,MATCH("升星比例",坦克属性分配比例标头,0),FALSE)+VLOOKUP(VLOOKUP($AW99,坦克个性化设定!$B$18:$E$48,4,FALSE)&amp;$AX99,坦克属性分配比例,MATCH("部件比例",坦克属性分配比例标头,0),FALSE)*$C$3),0)</f>
        <v>699</v>
      </c>
      <c r="BC99" s="486">
        <f ca="1">ROUND(VLOOKUP($AW99&amp;"初始",$O$3:$AA$63,MATCH(BC$3,$O$3:$AA$3,0),FALSE)+(VLOOKUP($AW99&amp;"最终",$O$3:$AA$63,MATCH(BC$3,$O$3:$AA$3,0),FALSE)-VLOOKUP($AW99&amp;"初始",$O$3:$AA$63,MATCH(BC$3,$O$3:$AA$3,0),FALSE))*$AY99/VLOOKUP(VLOOKUP($AW99,坦克个性化设定!$B$18:$E$48,4,FALSE)&amp;$AX99,坦克属性分配比例,MATCH("升星次数",坦克属性分配比例标头,0),FALSE)*(VLOOKUP(VLOOKUP($AW99,坦克个性化设定!$B$18:$E$48,4,FALSE)&amp;$AX99,坦克属性分配比例,MATCH("升星比例",坦克属性分配比例标头,0),FALSE)+VLOOKUP(VLOOKUP($AW99,坦克个性化设定!$B$18:$E$48,4,FALSE)&amp;$AX99,坦克属性分配比例,MATCH("部件比例",坦克属性分配比例标头,0),FALSE)*$C$3),0)</f>
        <v>490</v>
      </c>
      <c r="BD99" s="426">
        <f ca="1">ROUND(VLOOKUP($AW99&amp;"初始",$O$3:$AA$63,MATCH(BD$3,$O$3:$AA$3,0),FALSE)+(VLOOKUP($AW99&amp;"最终",$O$3:$AA$63,MATCH(BD$3,$O$3:$AA$3,0),FALSE)-VLOOKUP($AW99&amp;"初始",$O$3:$AA$63,MATCH(BD$3,$O$3:$AA$3,0),FALSE))*$AY99/VLOOKUP(VLOOKUP($AW99,坦克个性化设定!$B$18:$E$48,4,FALSE)&amp;$AX99,坦克属性分配比例,MATCH("升星次数",坦克属性分配比例标头,0),FALSE)*VLOOKUP(VLOOKUP($AW99,坦克个性化设定!$B$18:$E$48,4,FALSE)&amp;$AX99,坦克属性分配比例,MATCH("升星比例",坦克属性分配比例标头,0),FALSE),0)</f>
        <v>666</v>
      </c>
      <c r="BE99" s="426">
        <f ca="1">ROUND(VLOOKUP($AW99&amp;"初始",$O$3:$AA$63,MATCH(BE$3,$O$3:$AA$3,0),FALSE)+(VLOOKUP($AW99&amp;"最终",$O$3:$AA$63,MATCH(BE$3,$O$3:$AA$3,0),FALSE)-VLOOKUP($AW99&amp;"初始",$O$3:$AA$63,MATCH(BE$3,$O$3:$AA$3,0),FALSE))*$AY99/VLOOKUP(VLOOKUP($AW99,坦克个性化设定!$B$18:$E$48,4,FALSE)&amp;$AX99,坦克属性分配比例,MATCH("升星次数",坦克属性分配比例标头,0),FALSE),0)</f>
        <v>192</v>
      </c>
      <c r="BF99" s="462">
        <f>ROUND(VLOOKUP($AW99,$AD$3:$AJ$33,MATCH(BF$3,$AD$3:$AJ$3,0),FALSE)+$AY99/VLOOKUP(VLOOKUP($AW99,坦克个性化设定!$B$18:$E$48,4,FALSE)&amp;$AX99,坦克属性分配比例,MATCH("升星次数",坦克属性分配比例标头,0),FALSE)*VLOOKUP($AW99,$AM$3:$AS$33,MATCH(BF$3,$AM$3:$AS$3,0),FALSE),1)</f>
        <v>46.5</v>
      </c>
      <c r="BG99" s="462">
        <f>ROUND(VLOOKUP($AW99,$AD$3:$AJ$33,MATCH(BG$3,$AD$3:$AJ$3,0),FALSE)+$AY99/VLOOKUP(VLOOKUP($AW99,坦克个性化设定!$B$18:$E$48,4,FALSE)&amp;$AX99,坦克属性分配比例,MATCH("升星次数",坦克属性分配比例标头,0),FALSE)*VLOOKUP($AW99,$AM$3:$AS$33,MATCH(BG$3,$AM$3:$AS$3,0),FALSE),1)</f>
        <v>54.8</v>
      </c>
      <c r="BH99" s="462">
        <f>ROUND(VLOOKUP($AW99,$AD$3:$AJ$33,MATCH(BH$3,$AD$3:$AJ$3,0),FALSE)+$AY99/VLOOKUP(VLOOKUP($AW99,坦克个性化设定!$B$18:$E$48,4,FALSE)&amp;$AX99,坦克属性分配比例,MATCH("升星次数",坦克属性分配比例标头,0),FALSE)*VLOOKUP($AW99,$AM$3:$AS$33,MATCH(BH$3,$AM$3:$AS$3,0),FALSE),1)</f>
        <v>15.4</v>
      </c>
      <c r="BI99" s="654">
        <f>IF(VLOOKUP(AW99,坦克个性化设定!$B$18:$BB$48,MATCH("装弹类型",坦克个性化设定!$B$18:$BB$18,0),FALSE)="弹夹换弹",0,ROUND(VLOOKUP($AW99,$AD$3:$AJ$33,MATCH("换弹时间",$AD$3:$AJ$3,0),FALSE)-$AY99/VLOOKUP(VLOOKUP($AW99,坦克个性化设定!$B$18:$E$48,4,FALSE)&amp;$AX99,坦克属性分配比例,MATCH("升星次数",坦克属性分配比例标头,0),FALSE)*VLOOKUP($AW99,$AM$3:$AS$33,MATCH("换弹时间",$AM$3:$AS$3,0),FALSE),2))</f>
        <v>1.34</v>
      </c>
      <c r="BJ99" s="462">
        <f>IF(VLOOKUP(AW99,坦克个性化设定!$B$18:$BB$48,MATCH("装弹类型",坦克个性化设定!$B$18:$BB$18,0),FALSE)="弹夹换弹",ROUND(VLOOKUP($AW99,$AD$3:$AJ$33,MATCH("换弹时间",$AD$3:$AJ$3,0),FALSE)-$AY99/VLOOKUP(VLOOKUP($AW99,坦克个性化设定!$B$18:$E$48,4,FALSE)&amp;$AX99,坦克属性分配比例,MATCH("升星次数",坦克属性分配比例标头,0),FALSE)*VLOOKUP($AW99,$AM$3:$AS$33,MATCH("换弹时间",$AM$3:$AS$3,0),FALSE),1),0)</f>
        <v>0</v>
      </c>
      <c r="BK99" s="462">
        <f>ROUND(VLOOKUP($AW99,$AD$3:$AJ$33,MATCH(BK$3,$AD$3:$AJ$3,0),FALSE)+$AY99/VLOOKUP(VLOOKUP($AW99,坦克个性化设定!$B$18:$E$48,4,FALSE)&amp;$AX99,坦克属性分配比例,MATCH("升星次数",坦克属性分配比例标头,0),FALSE)*VLOOKUP($AW99,$AM$3:$AS$33,MATCH(BK$3,$AM$3:$AS$3,0),FALSE),2)</f>
        <v>0.4</v>
      </c>
      <c r="BL99" s="462">
        <f>ROUND(VLOOKUP($AW99,$AD$3:$AJ$33,MATCH(BL$3,$AD$3:$AJ$3,0),FALSE)-$AY99/VLOOKUP(VLOOKUP($AW99,坦克个性化设定!$B$18:$E$48,4,FALSE)&amp;$AX99,坦克属性分配比例,MATCH("升星次数",坦克属性分配比例标头,0),FALSE)*VLOOKUP($AW99,$AM$3:$AS$33,MATCH(BL$3,$AM$3:$AS$3,0),FALSE),2)</f>
        <v>1.19</v>
      </c>
    </row>
    <row r="100" spans="47:64" x14ac:dyDescent="0.35">
      <c r="AU100" s="364" t="str">
        <f t="shared" si="19"/>
        <v>BMP-34</v>
      </c>
      <c r="AV100" s="183">
        <f>IF(AY99&gt;=VLOOKUP(VLOOKUP(AW99,坦克个性化设定!$B$18:$E$48,4,FALSE)&amp;AX99,坦克属性分配比例,MATCH("升星次数",坦克属性分配比例标头,0),FALSE),AV99+1,AV99)</f>
        <v>9</v>
      </c>
      <c r="AW100" s="131" t="str">
        <f t="shared" si="20"/>
        <v>BMP-3</v>
      </c>
      <c r="AX100" s="177" t="str">
        <f>VLOOKUP(AW100,坦克个性化细分!$I$3:$J$33,2,FALSE)</f>
        <v>高</v>
      </c>
      <c r="AY100" s="183">
        <f t="shared" si="18"/>
        <v>4</v>
      </c>
      <c r="AZ100" s="486">
        <f ca="1">ROUND(VLOOKUP($AW100&amp;"初始",$O$3:$AA$63,MATCH(AZ$3,$O$3:$AA$3,0),FALSE)+((VLOOKUP($AW100&amp;"最终",$O$3:$AA$63,MATCH(AZ$3,$O$3:$AA$3,0),FALSE)*坦克个性化细分!$C$9-VLOOKUP($AW100&amp;"初始",$O$3:$AA$63,MATCH(AZ$3,$O$3:$AA$3,0),FALSE))-(VLOOKUP($AW100&amp;"最终",$O$3:$AA$63,MATCH(AZ$3,$O$3:$AA$3,0),FALSE)-VLOOKUP($AW100&amp;"初始",$O$3:$AA$63,MATCH(AZ$3,$O$3:$AA$3,0),FALSE))*VLOOKUP(VLOOKUP($AW100,坦克个性化设定!$B$18:$E$48,4,FALSE)&amp;$AX100,坦克属性分配比例,MATCH("部件比例",坦克属性分配比例标头,0),FALSE))*$AY100/VLOOKUP(VLOOKUP($AW100,坦克个性化设定!$B$18:$E$48,4,FALSE)&amp;$AX100,坦克属性分配比例,MATCH("升星次数",坦克属性分配比例标头,0),FALSE),0)</f>
        <v>2285</v>
      </c>
      <c r="BA100" s="426">
        <f ca="1">ROUND(VLOOKUP($AW100&amp;"初始",$O$3:$AA$63,MATCH(BA$3,$O$3:$AA$3,0),FALSE)+(VLOOKUP($AW100&amp;"最终",$O$3:$AA$63,MATCH(BA$3,$O$3:$AA$3,0),FALSE)-VLOOKUP($AW100&amp;"初始",$O$3:$AA$63,MATCH(BA$3,$O$3:$AA$3,0),FALSE))*$AY100/VLOOKUP(VLOOKUP($AW100,坦克个性化设定!$B$18:$E$48,4,FALSE)&amp;$AX100,坦克属性分配比例,MATCH("升星次数",坦克属性分配比例标头,0),FALSE)*VLOOKUP(VLOOKUP($AW100,坦克个性化设定!$B$18:$E$48,4,FALSE)&amp;$AX100,坦克属性分配比例,MATCH("升星比例",坦克属性分配比例标头,0),FALSE),0)</f>
        <v>106</v>
      </c>
      <c r="BB100" s="486">
        <f ca="1">ROUND(VLOOKUP($AW100&amp;"初始",$O$3:$AA$63,MATCH(BB$3,$O$3:$AA$3,0),FALSE)+(VLOOKUP($AW100&amp;"最终",$O$3:$AA$63,MATCH(BB$3,$O$3:$AA$3,0),FALSE)-VLOOKUP($AW100&amp;"初始",$O$3:$AA$63,MATCH(BB$3,$O$3:$AA$3,0),FALSE))*$AY100/VLOOKUP(VLOOKUP($AW100,坦克个性化设定!$B$18:$E$48,4,FALSE)&amp;$AX100,坦克属性分配比例,MATCH("升星次数",坦克属性分配比例标头,0),FALSE)*(VLOOKUP(VLOOKUP($AW100,坦克个性化设定!$B$18:$E$48,4,FALSE)&amp;$AX100,坦克属性分配比例,MATCH("升星比例",坦克属性分配比例标头,0),FALSE)+VLOOKUP(VLOOKUP($AW100,坦克个性化设定!$B$18:$E$48,4,FALSE)&amp;$AX100,坦克属性分配比例,MATCH("部件比例",坦克属性分配比例标头,0),FALSE)*$C$3),0)</f>
        <v>726</v>
      </c>
      <c r="BC100" s="486">
        <f ca="1">ROUND(VLOOKUP($AW100&amp;"初始",$O$3:$AA$63,MATCH(BC$3,$O$3:$AA$3,0),FALSE)+(VLOOKUP($AW100&amp;"最终",$O$3:$AA$63,MATCH(BC$3,$O$3:$AA$3,0),FALSE)-VLOOKUP($AW100&amp;"初始",$O$3:$AA$63,MATCH(BC$3,$O$3:$AA$3,0),FALSE))*$AY100/VLOOKUP(VLOOKUP($AW100,坦克个性化设定!$B$18:$E$48,4,FALSE)&amp;$AX100,坦克属性分配比例,MATCH("升星次数",坦克属性分配比例标头,0),FALSE)*(VLOOKUP(VLOOKUP($AW100,坦克个性化设定!$B$18:$E$48,4,FALSE)&amp;$AX100,坦克属性分配比例,MATCH("升星比例",坦克属性分配比例标头,0),FALSE)+VLOOKUP(VLOOKUP($AW100,坦克个性化设定!$B$18:$E$48,4,FALSE)&amp;$AX100,坦克属性分配比例,MATCH("部件比例",坦克属性分配比例标头,0),FALSE)*$C$3),0)</f>
        <v>508</v>
      </c>
      <c r="BD100" s="426">
        <f ca="1">ROUND(VLOOKUP($AW100&amp;"初始",$O$3:$AA$63,MATCH(BD$3,$O$3:$AA$3,0),FALSE)+(VLOOKUP($AW100&amp;"最终",$O$3:$AA$63,MATCH(BD$3,$O$3:$AA$3,0),FALSE)-VLOOKUP($AW100&amp;"初始",$O$3:$AA$63,MATCH(BD$3,$O$3:$AA$3,0),FALSE))*$AY100/VLOOKUP(VLOOKUP($AW100,坦克个性化设定!$B$18:$E$48,4,FALSE)&amp;$AX100,坦克属性分配比例,MATCH("升星次数",坦克属性分配比例标头,0),FALSE)*VLOOKUP(VLOOKUP($AW100,坦克个性化设定!$B$18:$E$48,4,FALSE)&amp;$AX100,坦克属性分配比例,MATCH("升星比例",坦克属性分配比例标头,0),FALSE),0)</f>
        <v>682</v>
      </c>
      <c r="BE100" s="426">
        <f ca="1">ROUND(VLOOKUP($AW100&amp;"初始",$O$3:$AA$63,MATCH(BE$3,$O$3:$AA$3,0),FALSE)+(VLOOKUP($AW100&amp;"最终",$O$3:$AA$63,MATCH(BE$3,$O$3:$AA$3,0),FALSE)-VLOOKUP($AW100&amp;"初始",$O$3:$AA$63,MATCH(BE$3,$O$3:$AA$3,0),FALSE))*$AY100/VLOOKUP(VLOOKUP($AW100,坦克个性化设定!$B$18:$E$48,4,FALSE)&amp;$AX100,坦克属性分配比例,MATCH("升星次数",坦克属性分配比例标头,0),FALSE),0)</f>
        <v>201</v>
      </c>
      <c r="BF100" s="462">
        <f>ROUND(VLOOKUP($AW100,$AD$3:$AJ$33,MATCH(BF$3,$AD$3:$AJ$3,0),FALSE)+$AY100/VLOOKUP(VLOOKUP($AW100,坦克个性化设定!$B$18:$E$48,4,FALSE)&amp;$AX100,坦克属性分配比例,MATCH("升星次数",坦克属性分配比例标头,0),FALSE)*VLOOKUP($AW100,$AM$3:$AS$33,MATCH(BF$3,$AM$3:$AS$3,0),FALSE),1)</f>
        <v>47.1</v>
      </c>
      <c r="BG100" s="462">
        <f>ROUND(VLOOKUP($AW100,$AD$3:$AJ$33,MATCH(BG$3,$AD$3:$AJ$3,0),FALSE)+$AY100/VLOOKUP(VLOOKUP($AW100,坦克个性化设定!$B$18:$E$48,4,FALSE)&amp;$AX100,坦克属性分配比例,MATCH("升星次数",坦克属性分配比例标头,0),FALSE)*VLOOKUP($AW100,$AM$3:$AS$33,MATCH(BG$3,$AM$3:$AS$3,0),FALSE),1)</f>
        <v>55.6</v>
      </c>
      <c r="BH100" s="462">
        <f>ROUND(VLOOKUP($AW100,$AD$3:$AJ$33,MATCH(BH$3,$AD$3:$AJ$3,0),FALSE)+$AY100/VLOOKUP(VLOOKUP($AW100,坦克个性化设定!$B$18:$E$48,4,FALSE)&amp;$AX100,坦克属性分配比例,MATCH("升星次数",坦克属性分配比例标头,0),FALSE)*VLOOKUP($AW100,$AM$3:$AS$33,MATCH(BH$3,$AM$3:$AS$3,0),FALSE),1)</f>
        <v>15.7</v>
      </c>
      <c r="BI100" s="654">
        <f>IF(VLOOKUP(AW100,坦克个性化设定!$B$18:$BB$48,MATCH("装弹类型",坦克个性化设定!$B$18:$BB$18,0),FALSE)="弹夹换弹",0,ROUND(VLOOKUP($AW100,$AD$3:$AJ$33,MATCH("换弹时间",$AD$3:$AJ$3,0),FALSE)-$AY100/VLOOKUP(VLOOKUP($AW100,坦克个性化设定!$B$18:$E$48,4,FALSE)&amp;$AX100,坦克属性分配比例,MATCH("升星次数",坦克属性分配比例标头,0),FALSE)*VLOOKUP($AW100,$AM$3:$AS$33,MATCH("换弹时间",$AM$3:$AS$3,0),FALSE),2))</f>
        <v>1.32</v>
      </c>
      <c r="BJ100" s="462">
        <f>IF(VLOOKUP(AW100,坦克个性化设定!$B$18:$BB$48,MATCH("装弹类型",坦克个性化设定!$B$18:$BB$18,0),FALSE)="弹夹换弹",ROUND(VLOOKUP($AW100,$AD$3:$AJ$33,MATCH("换弹时间",$AD$3:$AJ$3,0),FALSE)-$AY100/VLOOKUP(VLOOKUP($AW100,坦克个性化设定!$B$18:$E$48,4,FALSE)&amp;$AX100,坦克属性分配比例,MATCH("升星次数",坦克属性分配比例标头,0),FALSE)*VLOOKUP($AW100,$AM$3:$AS$33,MATCH("换弹时间",$AM$3:$AS$3,0),FALSE),1),0)</f>
        <v>0</v>
      </c>
      <c r="BK100" s="462">
        <f>ROUND(VLOOKUP($AW100,$AD$3:$AJ$33,MATCH(BK$3,$AD$3:$AJ$3,0),FALSE)+$AY100/VLOOKUP(VLOOKUP($AW100,坦克个性化设定!$B$18:$E$48,4,FALSE)&amp;$AX100,坦克属性分配比例,MATCH("升星次数",坦克属性分配比例标头,0),FALSE)*VLOOKUP($AW100,$AM$3:$AS$33,MATCH(BK$3,$AM$3:$AS$3,0),FALSE),2)</f>
        <v>0.4</v>
      </c>
      <c r="BL100" s="462">
        <f>ROUND(VLOOKUP($AW100,$AD$3:$AJ$33,MATCH(BL$3,$AD$3:$AJ$3,0),FALSE)-$AY100/VLOOKUP(VLOOKUP($AW100,坦克个性化设定!$B$18:$E$48,4,FALSE)&amp;$AX100,坦克属性分配比例,MATCH("升星次数",坦克属性分配比例标头,0),FALSE)*VLOOKUP($AW100,$AM$3:$AS$33,MATCH(BL$3,$AM$3:$AS$3,0),FALSE),2)</f>
        <v>1.18</v>
      </c>
    </row>
    <row r="101" spans="47:64" x14ac:dyDescent="0.35">
      <c r="AU101" s="364" t="str">
        <f t="shared" si="19"/>
        <v>BMP-35</v>
      </c>
      <c r="AV101" s="183">
        <f>IF(AY100&gt;=VLOOKUP(VLOOKUP(AW100,坦克个性化设定!$B$18:$E$48,4,FALSE)&amp;AX100,坦克属性分配比例,MATCH("升星次数",坦克属性分配比例标头,0),FALSE),AV100+1,AV100)</f>
        <v>9</v>
      </c>
      <c r="AW101" s="131" t="str">
        <f t="shared" si="20"/>
        <v>BMP-3</v>
      </c>
      <c r="AX101" s="177" t="str">
        <f>VLOOKUP(AW101,坦克个性化细分!$I$3:$J$33,2,FALSE)</f>
        <v>高</v>
      </c>
      <c r="AY101" s="183">
        <f t="shared" si="18"/>
        <v>5</v>
      </c>
      <c r="AZ101" s="486">
        <f ca="1">ROUND(VLOOKUP($AW101&amp;"初始",$O$3:$AA$63,MATCH(AZ$3,$O$3:$AA$3,0),FALSE)+((VLOOKUP($AW101&amp;"最终",$O$3:$AA$63,MATCH(AZ$3,$O$3:$AA$3,0),FALSE)*坦克个性化细分!$C$9-VLOOKUP($AW101&amp;"初始",$O$3:$AA$63,MATCH(AZ$3,$O$3:$AA$3,0),FALSE))-(VLOOKUP($AW101&amp;"最终",$O$3:$AA$63,MATCH(AZ$3,$O$3:$AA$3,0),FALSE)-VLOOKUP($AW101&amp;"初始",$O$3:$AA$63,MATCH(AZ$3,$O$3:$AA$3,0),FALSE))*VLOOKUP(VLOOKUP($AW101,坦克个性化设定!$B$18:$E$48,4,FALSE)&amp;$AX101,坦克属性分配比例,MATCH("部件比例",坦克属性分配比例标头,0),FALSE))*$AY101/VLOOKUP(VLOOKUP($AW101,坦克个性化设定!$B$18:$E$48,4,FALSE)&amp;$AX101,坦克属性分配比例,MATCH("升星次数",坦克属性分配比例标头,0),FALSE),0)</f>
        <v>2396</v>
      </c>
      <c r="BA101" s="426">
        <f ca="1">ROUND(VLOOKUP($AW101&amp;"初始",$O$3:$AA$63,MATCH(BA$3,$O$3:$AA$3,0),FALSE)+(VLOOKUP($AW101&amp;"最终",$O$3:$AA$63,MATCH(BA$3,$O$3:$AA$3,0),FALSE)-VLOOKUP($AW101&amp;"初始",$O$3:$AA$63,MATCH(BA$3,$O$3:$AA$3,0),FALSE))*$AY101/VLOOKUP(VLOOKUP($AW101,坦克个性化设定!$B$18:$E$48,4,FALSE)&amp;$AX101,坦克属性分配比例,MATCH("升星次数",坦克属性分配比例标头,0),FALSE)*VLOOKUP(VLOOKUP($AW101,坦克个性化设定!$B$18:$E$48,4,FALSE)&amp;$AX101,坦克属性分配比例,MATCH("升星比例",坦克属性分配比例标头,0),FALSE),0)</f>
        <v>108</v>
      </c>
      <c r="BB101" s="486">
        <f ca="1">ROUND(VLOOKUP($AW101&amp;"初始",$O$3:$AA$63,MATCH(BB$3,$O$3:$AA$3,0),FALSE)+(VLOOKUP($AW101&amp;"最终",$O$3:$AA$63,MATCH(BB$3,$O$3:$AA$3,0),FALSE)-VLOOKUP($AW101&amp;"初始",$O$3:$AA$63,MATCH(BB$3,$O$3:$AA$3,0),FALSE))*$AY101/VLOOKUP(VLOOKUP($AW101,坦克个性化设定!$B$18:$E$48,4,FALSE)&amp;$AX101,坦克属性分配比例,MATCH("升星次数",坦克属性分配比例标头,0),FALSE)*(VLOOKUP(VLOOKUP($AW101,坦克个性化设定!$B$18:$E$48,4,FALSE)&amp;$AX101,坦克属性分配比例,MATCH("升星比例",坦克属性分配比例标头,0),FALSE)+VLOOKUP(VLOOKUP($AW101,坦克个性化设定!$B$18:$E$48,4,FALSE)&amp;$AX101,坦克属性分配比例,MATCH("部件比例",坦克属性分配比例标头,0),FALSE)*$C$3),0)</f>
        <v>753</v>
      </c>
      <c r="BC101" s="486">
        <f ca="1">ROUND(VLOOKUP($AW101&amp;"初始",$O$3:$AA$63,MATCH(BC$3,$O$3:$AA$3,0),FALSE)+(VLOOKUP($AW101&amp;"最终",$O$3:$AA$63,MATCH(BC$3,$O$3:$AA$3,0),FALSE)-VLOOKUP($AW101&amp;"初始",$O$3:$AA$63,MATCH(BC$3,$O$3:$AA$3,0),FALSE))*$AY101/VLOOKUP(VLOOKUP($AW101,坦克个性化设定!$B$18:$E$48,4,FALSE)&amp;$AX101,坦克属性分配比例,MATCH("升星次数",坦克属性分配比例标头,0),FALSE)*(VLOOKUP(VLOOKUP($AW101,坦克个性化设定!$B$18:$E$48,4,FALSE)&amp;$AX101,坦克属性分配比例,MATCH("升星比例",坦克属性分配比例标头,0),FALSE)+VLOOKUP(VLOOKUP($AW101,坦克个性化设定!$B$18:$E$48,4,FALSE)&amp;$AX101,坦克属性分配比例,MATCH("部件比例",坦克属性分配比例标头,0),FALSE)*$C$3),0)</f>
        <v>527</v>
      </c>
      <c r="BD101" s="426">
        <f ca="1">ROUND(VLOOKUP($AW101&amp;"初始",$O$3:$AA$63,MATCH(BD$3,$O$3:$AA$3,0),FALSE)+(VLOOKUP($AW101&amp;"最终",$O$3:$AA$63,MATCH(BD$3,$O$3:$AA$3,0),FALSE)-VLOOKUP($AW101&amp;"初始",$O$3:$AA$63,MATCH(BD$3,$O$3:$AA$3,0),FALSE))*$AY101/VLOOKUP(VLOOKUP($AW101,坦克个性化设定!$B$18:$E$48,4,FALSE)&amp;$AX101,坦克属性分配比例,MATCH("升星次数",坦克属性分配比例标头,0),FALSE)*VLOOKUP(VLOOKUP($AW101,坦克个性化设定!$B$18:$E$48,4,FALSE)&amp;$AX101,坦克属性分配比例,MATCH("升星比例",坦克属性分配比例标头,0),FALSE),0)</f>
        <v>698</v>
      </c>
      <c r="BE101" s="426">
        <f ca="1">ROUND(VLOOKUP($AW101&amp;"初始",$O$3:$AA$63,MATCH(BE$3,$O$3:$AA$3,0),FALSE)+(VLOOKUP($AW101&amp;"最终",$O$3:$AA$63,MATCH(BE$3,$O$3:$AA$3,0),FALSE)-VLOOKUP($AW101&amp;"初始",$O$3:$AA$63,MATCH(BE$3,$O$3:$AA$3,0),FALSE))*$AY101/VLOOKUP(VLOOKUP($AW101,坦克个性化设定!$B$18:$E$48,4,FALSE)&amp;$AX101,坦克属性分配比例,MATCH("升星次数",坦克属性分配比例标头,0),FALSE),0)</f>
        <v>211</v>
      </c>
      <c r="BF101" s="462">
        <f>ROUND(VLOOKUP($AW101,$AD$3:$AJ$33,MATCH(BF$3,$AD$3:$AJ$3,0),FALSE)+$AY101/VLOOKUP(VLOOKUP($AW101,坦克个性化设定!$B$18:$E$48,4,FALSE)&amp;$AX101,坦克属性分配比例,MATCH("升星次数",坦克属性分配比例标头,0),FALSE)*VLOOKUP($AW101,$AM$3:$AS$33,MATCH(BF$3,$AM$3:$AS$3,0),FALSE),1)</f>
        <v>47.8</v>
      </c>
      <c r="BG101" s="462">
        <f>ROUND(VLOOKUP($AW101,$AD$3:$AJ$33,MATCH(BG$3,$AD$3:$AJ$3,0),FALSE)+$AY101/VLOOKUP(VLOOKUP($AW101,坦克个性化设定!$B$18:$E$48,4,FALSE)&amp;$AX101,坦克属性分配比例,MATCH("升星次数",坦克属性分配比例标头,0),FALSE)*VLOOKUP($AW101,$AM$3:$AS$33,MATCH(BG$3,$AM$3:$AS$3,0),FALSE),1)</f>
        <v>56.4</v>
      </c>
      <c r="BH101" s="462">
        <f>ROUND(VLOOKUP($AW101,$AD$3:$AJ$33,MATCH(BH$3,$AD$3:$AJ$3,0),FALSE)+$AY101/VLOOKUP(VLOOKUP($AW101,坦克个性化设定!$B$18:$E$48,4,FALSE)&amp;$AX101,坦克属性分配比例,MATCH("升星次数",坦克属性分配比例标头,0),FALSE)*VLOOKUP($AW101,$AM$3:$AS$33,MATCH(BH$3,$AM$3:$AS$3,0),FALSE),1)</f>
        <v>16</v>
      </c>
      <c r="BI101" s="654">
        <f>IF(VLOOKUP(AW101,坦克个性化设定!$B$18:$BB$48,MATCH("装弹类型",坦克个性化设定!$B$18:$BB$18,0),FALSE)="弹夹换弹",0,ROUND(VLOOKUP($AW101,$AD$3:$AJ$33,MATCH("换弹时间",$AD$3:$AJ$3,0),FALSE)-$AY101/VLOOKUP(VLOOKUP($AW101,坦克个性化设定!$B$18:$E$48,4,FALSE)&amp;$AX101,坦克属性分配比例,MATCH("升星次数",坦克属性分配比例标头,0),FALSE)*VLOOKUP($AW101,$AM$3:$AS$33,MATCH("换弹时间",$AM$3:$AS$3,0),FALSE),2))</f>
        <v>1.3</v>
      </c>
      <c r="BJ101" s="462">
        <f>IF(VLOOKUP(AW101,坦克个性化设定!$B$18:$BB$48,MATCH("装弹类型",坦克个性化设定!$B$18:$BB$18,0),FALSE)="弹夹换弹",ROUND(VLOOKUP($AW101,$AD$3:$AJ$33,MATCH("换弹时间",$AD$3:$AJ$3,0),FALSE)-$AY101/VLOOKUP(VLOOKUP($AW101,坦克个性化设定!$B$18:$E$48,4,FALSE)&amp;$AX101,坦克属性分配比例,MATCH("升星次数",坦克属性分配比例标头,0),FALSE)*VLOOKUP($AW101,$AM$3:$AS$33,MATCH("换弹时间",$AM$3:$AS$3,0),FALSE),1),0)</f>
        <v>0</v>
      </c>
      <c r="BK101" s="462">
        <f>ROUND(VLOOKUP($AW101,$AD$3:$AJ$33,MATCH(BK$3,$AD$3:$AJ$3,0),FALSE)+$AY101/VLOOKUP(VLOOKUP($AW101,坦克个性化设定!$B$18:$E$48,4,FALSE)&amp;$AX101,坦克属性分配比例,MATCH("升星次数",坦克属性分配比例标头,0),FALSE)*VLOOKUP($AW101,$AM$3:$AS$33,MATCH(BK$3,$AM$3:$AS$3,0),FALSE),2)</f>
        <v>0.4</v>
      </c>
      <c r="BL101" s="462">
        <f>ROUND(VLOOKUP($AW101,$AD$3:$AJ$33,MATCH(BL$3,$AD$3:$AJ$3,0),FALSE)-$AY101/VLOOKUP(VLOOKUP($AW101,坦克个性化设定!$B$18:$E$48,4,FALSE)&amp;$AX101,坦克属性分配比例,MATCH("升星次数",坦克属性分配比例标头,0),FALSE)*VLOOKUP($AW101,$AM$3:$AS$33,MATCH(BL$3,$AM$3:$AS$3,0),FALSE),2)</f>
        <v>1.1599999999999999</v>
      </c>
    </row>
    <row r="102" spans="47:64" x14ac:dyDescent="0.35">
      <c r="AU102" s="364" t="str">
        <f t="shared" si="19"/>
        <v>BMP-36</v>
      </c>
      <c r="AV102" s="183">
        <f>IF(AY101&gt;=VLOOKUP(VLOOKUP(AW101,坦克个性化设定!$B$18:$E$48,4,FALSE)&amp;AX101,坦克属性分配比例,MATCH("升星次数",坦克属性分配比例标头,0),FALSE),AV101+1,AV101)</f>
        <v>9</v>
      </c>
      <c r="AW102" s="131" t="str">
        <f t="shared" si="20"/>
        <v>BMP-3</v>
      </c>
      <c r="AX102" s="177" t="str">
        <f>VLOOKUP(AW102,坦克个性化细分!$I$3:$J$33,2,FALSE)</f>
        <v>高</v>
      </c>
      <c r="AY102" s="183">
        <f t="shared" si="18"/>
        <v>6</v>
      </c>
      <c r="AZ102" s="486">
        <f ca="1">ROUND(VLOOKUP($AW102&amp;"初始",$O$3:$AA$63,MATCH(AZ$3,$O$3:$AA$3,0),FALSE)+((VLOOKUP($AW102&amp;"最终",$O$3:$AA$63,MATCH(AZ$3,$O$3:$AA$3,0),FALSE)*坦克个性化细分!$C$9-VLOOKUP($AW102&amp;"初始",$O$3:$AA$63,MATCH(AZ$3,$O$3:$AA$3,0),FALSE))-(VLOOKUP($AW102&amp;"最终",$O$3:$AA$63,MATCH(AZ$3,$O$3:$AA$3,0),FALSE)-VLOOKUP($AW102&amp;"初始",$O$3:$AA$63,MATCH(AZ$3,$O$3:$AA$3,0),FALSE))*VLOOKUP(VLOOKUP($AW102,坦克个性化设定!$B$18:$E$48,4,FALSE)&amp;$AX102,坦克属性分配比例,MATCH("部件比例",坦克属性分配比例标头,0),FALSE))*$AY102/VLOOKUP(VLOOKUP($AW102,坦克个性化设定!$B$18:$E$48,4,FALSE)&amp;$AX102,坦克属性分配比例,MATCH("升星次数",坦克属性分配比例标头,0),FALSE),0)</f>
        <v>2507</v>
      </c>
      <c r="BA102" s="426">
        <f ca="1">ROUND(VLOOKUP($AW102&amp;"初始",$O$3:$AA$63,MATCH(BA$3,$O$3:$AA$3,0),FALSE)+(VLOOKUP($AW102&amp;"最终",$O$3:$AA$63,MATCH(BA$3,$O$3:$AA$3,0),FALSE)-VLOOKUP($AW102&amp;"初始",$O$3:$AA$63,MATCH(BA$3,$O$3:$AA$3,0),FALSE))*$AY102/VLOOKUP(VLOOKUP($AW102,坦克个性化设定!$B$18:$E$48,4,FALSE)&amp;$AX102,坦克属性分配比例,MATCH("升星次数",坦克属性分配比例标头,0),FALSE)*VLOOKUP(VLOOKUP($AW102,坦克个性化设定!$B$18:$E$48,4,FALSE)&amp;$AX102,坦克属性分配比例,MATCH("升星比例",坦克属性分配比例标头,0),FALSE),0)</f>
        <v>111</v>
      </c>
      <c r="BB102" s="486">
        <f ca="1">ROUND(VLOOKUP($AW102&amp;"初始",$O$3:$AA$63,MATCH(BB$3,$O$3:$AA$3,0),FALSE)+(VLOOKUP($AW102&amp;"最终",$O$3:$AA$63,MATCH(BB$3,$O$3:$AA$3,0),FALSE)-VLOOKUP($AW102&amp;"初始",$O$3:$AA$63,MATCH(BB$3,$O$3:$AA$3,0),FALSE))*$AY102/VLOOKUP(VLOOKUP($AW102,坦克个性化设定!$B$18:$E$48,4,FALSE)&amp;$AX102,坦克属性分配比例,MATCH("升星次数",坦克属性分配比例标头,0),FALSE)*(VLOOKUP(VLOOKUP($AW102,坦克个性化设定!$B$18:$E$48,4,FALSE)&amp;$AX102,坦克属性分配比例,MATCH("升星比例",坦克属性分配比例标头,0),FALSE)+VLOOKUP(VLOOKUP($AW102,坦克个性化设定!$B$18:$E$48,4,FALSE)&amp;$AX102,坦克属性分配比例,MATCH("部件比例",坦克属性分配比例标头,0),FALSE)*$C$3),0)</f>
        <v>780</v>
      </c>
      <c r="BC102" s="486">
        <f ca="1">ROUND(VLOOKUP($AW102&amp;"初始",$O$3:$AA$63,MATCH(BC$3,$O$3:$AA$3,0),FALSE)+(VLOOKUP($AW102&amp;"最终",$O$3:$AA$63,MATCH(BC$3,$O$3:$AA$3,0),FALSE)-VLOOKUP($AW102&amp;"初始",$O$3:$AA$63,MATCH(BC$3,$O$3:$AA$3,0),FALSE))*$AY102/VLOOKUP(VLOOKUP($AW102,坦克个性化设定!$B$18:$E$48,4,FALSE)&amp;$AX102,坦克属性分配比例,MATCH("升星次数",坦克属性分配比例标头,0),FALSE)*(VLOOKUP(VLOOKUP($AW102,坦克个性化设定!$B$18:$E$48,4,FALSE)&amp;$AX102,坦克属性分配比例,MATCH("升星比例",坦克属性分配比例标头,0),FALSE)+VLOOKUP(VLOOKUP($AW102,坦克个性化设定!$B$18:$E$48,4,FALSE)&amp;$AX102,坦克属性分配比例,MATCH("部件比例",坦克属性分配比例标头,0),FALSE)*$C$3),0)</f>
        <v>546</v>
      </c>
      <c r="BD102" s="426">
        <f ca="1">ROUND(VLOOKUP($AW102&amp;"初始",$O$3:$AA$63,MATCH(BD$3,$O$3:$AA$3,0),FALSE)+(VLOOKUP($AW102&amp;"最终",$O$3:$AA$63,MATCH(BD$3,$O$3:$AA$3,0),FALSE)-VLOOKUP($AW102&amp;"初始",$O$3:$AA$63,MATCH(BD$3,$O$3:$AA$3,0),FALSE))*$AY102/VLOOKUP(VLOOKUP($AW102,坦克个性化设定!$B$18:$E$48,4,FALSE)&amp;$AX102,坦克属性分配比例,MATCH("升星次数",坦克属性分配比例标头,0),FALSE)*VLOOKUP(VLOOKUP($AW102,坦克个性化设定!$B$18:$E$48,4,FALSE)&amp;$AX102,坦克属性分配比例,MATCH("升星比例",坦克属性分配比例标头,0),FALSE),0)</f>
        <v>714</v>
      </c>
      <c r="BE102" s="426">
        <f ca="1">ROUND(VLOOKUP($AW102&amp;"初始",$O$3:$AA$63,MATCH(BE$3,$O$3:$AA$3,0),FALSE)+(VLOOKUP($AW102&amp;"最终",$O$3:$AA$63,MATCH(BE$3,$O$3:$AA$3,0),FALSE)-VLOOKUP($AW102&amp;"初始",$O$3:$AA$63,MATCH(BE$3,$O$3:$AA$3,0),FALSE))*$AY102/VLOOKUP(VLOOKUP($AW102,坦克个性化设定!$B$18:$E$48,4,FALSE)&amp;$AX102,坦克属性分配比例,MATCH("升星次数",坦克属性分配比例标头,0),FALSE),0)</f>
        <v>220</v>
      </c>
      <c r="BF102" s="462">
        <f>ROUND(VLOOKUP($AW102,$AD$3:$AJ$33,MATCH(BF$3,$AD$3:$AJ$3,0),FALSE)+$AY102/VLOOKUP(VLOOKUP($AW102,坦克个性化设定!$B$18:$E$48,4,FALSE)&amp;$AX102,坦克属性分配比例,MATCH("升星次数",坦克属性分配比例标头,0),FALSE)*VLOOKUP($AW102,$AM$3:$AS$33,MATCH(BF$3,$AM$3:$AS$3,0),FALSE),1)</f>
        <v>48.4</v>
      </c>
      <c r="BG102" s="462">
        <f>ROUND(VLOOKUP($AW102,$AD$3:$AJ$33,MATCH(BG$3,$AD$3:$AJ$3,0),FALSE)+$AY102/VLOOKUP(VLOOKUP($AW102,坦克个性化设定!$B$18:$E$48,4,FALSE)&amp;$AX102,坦克属性分配比例,MATCH("升星次数",坦克属性分配比例标头,0),FALSE)*VLOOKUP($AW102,$AM$3:$AS$33,MATCH(BG$3,$AM$3:$AS$3,0),FALSE),1)</f>
        <v>57.1</v>
      </c>
      <c r="BH102" s="462">
        <f>ROUND(VLOOKUP($AW102,$AD$3:$AJ$33,MATCH(BH$3,$AD$3:$AJ$3,0),FALSE)+$AY102/VLOOKUP(VLOOKUP($AW102,坦克个性化设定!$B$18:$E$48,4,FALSE)&amp;$AX102,坦克属性分配比例,MATCH("升星次数",坦克属性分配比例标头,0),FALSE)*VLOOKUP($AW102,$AM$3:$AS$33,MATCH(BH$3,$AM$3:$AS$3,0),FALSE),1)</f>
        <v>16.3</v>
      </c>
      <c r="BI102" s="654">
        <f>IF(VLOOKUP(AW102,坦克个性化设定!$B$18:$BB$48,MATCH("装弹类型",坦克个性化设定!$B$18:$BB$18,0),FALSE)="弹夹换弹",0,ROUND(VLOOKUP($AW102,$AD$3:$AJ$33,MATCH("换弹时间",$AD$3:$AJ$3,0),FALSE)-$AY102/VLOOKUP(VLOOKUP($AW102,坦克个性化设定!$B$18:$E$48,4,FALSE)&amp;$AX102,坦克属性分配比例,MATCH("升星次数",坦克属性分配比例标头,0),FALSE)*VLOOKUP($AW102,$AM$3:$AS$33,MATCH("换弹时间",$AM$3:$AS$3,0),FALSE),2))</f>
        <v>1.28</v>
      </c>
      <c r="BJ102" s="462">
        <f>IF(VLOOKUP(AW102,坦克个性化设定!$B$18:$BB$48,MATCH("装弹类型",坦克个性化设定!$B$18:$BB$18,0),FALSE)="弹夹换弹",ROUND(VLOOKUP($AW102,$AD$3:$AJ$33,MATCH("换弹时间",$AD$3:$AJ$3,0),FALSE)-$AY102/VLOOKUP(VLOOKUP($AW102,坦克个性化设定!$B$18:$E$48,4,FALSE)&amp;$AX102,坦克属性分配比例,MATCH("升星次数",坦克属性分配比例标头,0),FALSE)*VLOOKUP($AW102,$AM$3:$AS$33,MATCH("换弹时间",$AM$3:$AS$3,0),FALSE),1),0)</f>
        <v>0</v>
      </c>
      <c r="BK102" s="462">
        <f>ROUND(VLOOKUP($AW102,$AD$3:$AJ$33,MATCH(BK$3,$AD$3:$AJ$3,0),FALSE)+$AY102/VLOOKUP(VLOOKUP($AW102,坦克个性化设定!$B$18:$E$48,4,FALSE)&amp;$AX102,坦克属性分配比例,MATCH("升星次数",坦克属性分配比例标头,0),FALSE)*VLOOKUP($AW102,$AM$3:$AS$33,MATCH(BK$3,$AM$3:$AS$3,0),FALSE),2)</f>
        <v>0.4</v>
      </c>
      <c r="BL102" s="462">
        <f>ROUND(VLOOKUP($AW102,$AD$3:$AJ$33,MATCH(BL$3,$AD$3:$AJ$3,0),FALSE)-$AY102/VLOOKUP(VLOOKUP($AW102,坦克个性化设定!$B$18:$E$48,4,FALSE)&amp;$AX102,坦克属性分配比例,MATCH("升星次数",坦克属性分配比例标头,0),FALSE)*VLOOKUP($AW102,$AM$3:$AS$33,MATCH(BL$3,$AM$3:$AS$3,0),FALSE),2)</f>
        <v>1.1499999999999999</v>
      </c>
    </row>
    <row r="103" spans="47:64" x14ac:dyDescent="0.35">
      <c r="AU103" s="364" t="str">
        <f t="shared" si="19"/>
        <v>BMP-37</v>
      </c>
      <c r="AV103" s="183">
        <f>IF(AY102&gt;=VLOOKUP(VLOOKUP(AW102,坦克个性化设定!$B$18:$E$48,4,FALSE)&amp;AX102,坦克属性分配比例,MATCH("升星次数",坦克属性分配比例标头,0),FALSE),AV102+1,AV102)</f>
        <v>9</v>
      </c>
      <c r="AW103" s="131" t="str">
        <f t="shared" si="20"/>
        <v>BMP-3</v>
      </c>
      <c r="AX103" s="177" t="str">
        <f>VLOOKUP(AW103,坦克个性化细分!$I$3:$J$33,2,FALSE)</f>
        <v>高</v>
      </c>
      <c r="AY103" s="183">
        <f t="shared" si="18"/>
        <v>7</v>
      </c>
      <c r="AZ103" s="486">
        <f ca="1">ROUND(VLOOKUP($AW103&amp;"初始",$O$3:$AA$63,MATCH(AZ$3,$O$3:$AA$3,0),FALSE)+((VLOOKUP($AW103&amp;"最终",$O$3:$AA$63,MATCH(AZ$3,$O$3:$AA$3,0),FALSE)*坦克个性化细分!$C$9-VLOOKUP($AW103&amp;"初始",$O$3:$AA$63,MATCH(AZ$3,$O$3:$AA$3,0),FALSE))-(VLOOKUP($AW103&amp;"最终",$O$3:$AA$63,MATCH(AZ$3,$O$3:$AA$3,0),FALSE)-VLOOKUP($AW103&amp;"初始",$O$3:$AA$63,MATCH(AZ$3,$O$3:$AA$3,0),FALSE))*VLOOKUP(VLOOKUP($AW103,坦克个性化设定!$B$18:$E$48,4,FALSE)&amp;$AX103,坦克属性分配比例,MATCH("部件比例",坦克属性分配比例标头,0),FALSE))*$AY103/VLOOKUP(VLOOKUP($AW103,坦克个性化设定!$B$18:$E$48,4,FALSE)&amp;$AX103,坦克属性分配比例,MATCH("升星次数",坦克属性分配比例标头,0),FALSE),0)</f>
        <v>2617</v>
      </c>
      <c r="BA103" s="426">
        <f ca="1">ROUND(VLOOKUP($AW103&amp;"初始",$O$3:$AA$63,MATCH(BA$3,$O$3:$AA$3,0),FALSE)+(VLOOKUP($AW103&amp;"最终",$O$3:$AA$63,MATCH(BA$3,$O$3:$AA$3,0),FALSE)-VLOOKUP($AW103&amp;"初始",$O$3:$AA$63,MATCH(BA$3,$O$3:$AA$3,0),FALSE))*$AY103/VLOOKUP(VLOOKUP($AW103,坦克个性化设定!$B$18:$E$48,4,FALSE)&amp;$AX103,坦克属性分配比例,MATCH("升星次数",坦克属性分配比例标头,0),FALSE)*VLOOKUP(VLOOKUP($AW103,坦克个性化设定!$B$18:$E$48,4,FALSE)&amp;$AX103,坦克属性分配比例,MATCH("升星比例",坦克属性分配比例标头,0),FALSE),0)</f>
        <v>113</v>
      </c>
      <c r="BB103" s="486">
        <f ca="1">ROUND(VLOOKUP($AW103&amp;"初始",$O$3:$AA$63,MATCH(BB$3,$O$3:$AA$3,0),FALSE)+(VLOOKUP($AW103&amp;"最终",$O$3:$AA$63,MATCH(BB$3,$O$3:$AA$3,0),FALSE)-VLOOKUP($AW103&amp;"初始",$O$3:$AA$63,MATCH(BB$3,$O$3:$AA$3,0),FALSE))*$AY103/VLOOKUP(VLOOKUP($AW103,坦克个性化设定!$B$18:$E$48,4,FALSE)&amp;$AX103,坦克属性分配比例,MATCH("升星次数",坦克属性分配比例标头,0),FALSE)*(VLOOKUP(VLOOKUP($AW103,坦克个性化设定!$B$18:$E$48,4,FALSE)&amp;$AX103,坦克属性分配比例,MATCH("升星比例",坦克属性分配比例标头,0),FALSE)+VLOOKUP(VLOOKUP($AW103,坦克个性化设定!$B$18:$E$48,4,FALSE)&amp;$AX103,坦克属性分配比例,MATCH("部件比例",坦克属性分配比例标头,0),FALSE)*$C$3),0)</f>
        <v>807</v>
      </c>
      <c r="BC103" s="486">
        <f ca="1">ROUND(VLOOKUP($AW103&amp;"初始",$O$3:$AA$63,MATCH(BC$3,$O$3:$AA$3,0),FALSE)+(VLOOKUP($AW103&amp;"最终",$O$3:$AA$63,MATCH(BC$3,$O$3:$AA$3,0),FALSE)-VLOOKUP($AW103&amp;"初始",$O$3:$AA$63,MATCH(BC$3,$O$3:$AA$3,0),FALSE))*$AY103/VLOOKUP(VLOOKUP($AW103,坦克个性化设定!$B$18:$E$48,4,FALSE)&amp;$AX103,坦克属性分配比例,MATCH("升星次数",坦克属性分配比例标头,0),FALSE)*(VLOOKUP(VLOOKUP($AW103,坦克个性化设定!$B$18:$E$48,4,FALSE)&amp;$AX103,坦克属性分配比例,MATCH("升星比例",坦克属性分配比例标头,0),FALSE)+VLOOKUP(VLOOKUP($AW103,坦克个性化设定!$B$18:$E$48,4,FALSE)&amp;$AX103,坦克属性分配比例,MATCH("部件比例",坦克属性分配比例标头,0),FALSE)*$C$3),0)</f>
        <v>565</v>
      </c>
      <c r="BD103" s="426">
        <f ca="1">ROUND(VLOOKUP($AW103&amp;"初始",$O$3:$AA$63,MATCH(BD$3,$O$3:$AA$3,0),FALSE)+(VLOOKUP($AW103&amp;"最终",$O$3:$AA$63,MATCH(BD$3,$O$3:$AA$3,0),FALSE)-VLOOKUP($AW103&amp;"初始",$O$3:$AA$63,MATCH(BD$3,$O$3:$AA$3,0),FALSE))*$AY103/VLOOKUP(VLOOKUP($AW103,坦克个性化设定!$B$18:$E$48,4,FALSE)&amp;$AX103,坦克属性分配比例,MATCH("升星次数",坦克属性分配比例标头,0),FALSE)*VLOOKUP(VLOOKUP($AW103,坦克个性化设定!$B$18:$E$48,4,FALSE)&amp;$AX103,坦克属性分配比例,MATCH("升星比例",坦克属性分配比例标头,0),FALSE),0)</f>
        <v>730</v>
      </c>
      <c r="BE103" s="426">
        <f ca="1">ROUND(VLOOKUP($AW103&amp;"初始",$O$3:$AA$63,MATCH(BE$3,$O$3:$AA$3,0),FALSE)+(VLOOKUP($AW103&amp;"最终",$O$3:$AA$63,MATCH(BE$3,$O$3:$AA$3,0),FALSE)-VLOOKUP($AW103&amp;"初始",$O$3:$AA$63,MATCH(BE$3,$O$3:$AA$3,0),FALSE))*$AY103/VLOOKUP(VLOOKUP($AW103,坦克个性化设定!$B$18:$E$48,4,FALSE)&amp;$AX103,坦克属性分配比例,MATCH("升星次数",坦克属性分配比例标头,0),FALSE),0)</f>
        <v>229</v>
      </c>
      <c r="BF103" s="462">
        <f>ROUND(VLOOKUP($AW103,$AD$3:$AJ$33,MATCH(BF$3,$AD$3:$AJ$3,0),FALSE)+$AY103/VLOOKUP(VLOOKUP($AW103,坦克个性化设定!$B$18:$E$48,4,FALSE)&amp;$AX103,坦克属性分配比例,MATCH("升星次数",坦克属性分配比例标头,0),FALSE)*VLOOKUP($AW103,$AM$3:$AS$33,MATCH(BF$3,$AM$3:$AS$3,0),FALSE),1)</f>
        <v>49.1</v>
      </c>
      <c r="BG103" s="462">
        <f>ROUND(VLOOKUP($AW103,$AD$3:$AJ$33,MATCH(BG$3,$AD$3:$AJ$3,0),FALSE)+$AY103/VLOOKUP(VLOOKUP($AW103,坦克个性化设定!$B$18:$E$48,4,FALSE)&amp;$AX103,坦克属性分配比例,MATCH("升星次数",坦克属性分配比例标头,0),FALSE)*VLOOKUP($AW103,$AM$3:$AS$33,MATCH(BG$3,$AM$3:$AS$3,0),FALSE),1)</f>
        <v>57.9</v>
      </c>
      <c r="BH103" s="462">
        <f>ROUND(VLOOKUP($AW103,$AD$3:$AJ$33,MATCH(BH$3,$AD$3:$AJ$3,0),FALSE)+$AY103/VLOOKUP(VLOOKUP($AW103,坦克个性化设定!$B$18:$E$48,4,FALSE)&amp;$AX103,坦克属性分配比例,MATCH("升星次数",坦克属性分配比例标头,0),FALSE)*VLOOKUP($AW103,$AM$3:$AS$33,MATCH(BH$3,$AM$3:$AS$3,0),FALSE),1)</f>
        <v>16.600000000000001</v>
      </c>
      <c r="BI103" s="654">
        <f>IF(VLOOKUP(AW103,坦克个性化设定!$B$18:$BB$48,MATCH("装弹类型",坦克个性化设定!$B$18:$BB$18,0),FALSE)="弹夹换弹",0,ROUND(VLOOKUP($AW103,$AD$3:$AJ$33,MATCH("换弹时间",$AD$3:$AJ$3,0),FALSE)-$AY103/VLOOKUP(VLOOKUP($AW103,坦克个性化设定!$B$18:$E$48,4,FALSE)&amp;$AX103,坦克属性分配比例,MATCH("升星次数",坦克属性分配比例标头,0),FALSE)*VLOOKUP($AW103,$AM$3:$AS$33,MATCH("换弹时间",$AM$3:$AS$3,0),FALSE),2))</f>
        <v>1.26</v>
      </c>
      <c r="BJ103" s="462">
        <f>IF(VLOOKUP(AW103,坦克个性化设定!$B$18:$BB$48,MATCH("装弹类型",坦克个性化设定!$B$18:$BB$18,0),FALSE)="弹夹换弹",ROUND(VLOOKUP($AW103,$AD$3:$AJ$33,MATCH("换弹时间",$AD$3:$AJ$3,0),FALSE)-$AY103/VLOOKUP(VLOOKUP($AW103,坦克个性化设定!$B$18:$E$48,4,FALSE)&amp;$AX103,坦克属性分配比例,MATCH("升星次数",坦克属性分配比例标头,0),FALSE)*VLOOKUP($AW103,$AM$3:$AS$33,MATCH("换弹时间",$AM$3:$AS$3,0),FALSE),1),0)</f>
        <v>0</v>
      </c>
      <c r="BK103" s="462">
        <f>ROUND(VLOOKUP($AW103,$AD$3:$AJ$33,MATCH(BK$3,$AD$3:$AJ$3,0),FALSE)+$AY103/VLOOKUP(VLOOKUP($AW103,坦克个性化设定!$B$18:$E$48,4,FALSE)&amp;$AX103,坦克属性分配比例,MATCH("升星次数",坦克属性分配比例标头,0),FALSE)*VLOOKUP($AW103,$AM$3:$AS$33,MATCH(BK$3,$AM$3:$AS$3,0),FALSE),2)</f>
        <v>0.4</v>
      </c>
      <c r="BL103" s="462">
        <f>ROUND(VLOOKUP($AW103,$AD$3:$AJ$33,MATCH(BL$3,$AD$3:$AJ$3,0),FALSE)-$AY103/VLOOKUP(VLOOKUP($AW103,坦克个性化设定!$B$18:$E$48,4,FALSE)&amp;$AX103,坦克属性分配比例,MATCH("升星次数",坦克属性分配比例标头,0),FALSE)*VLOOKUP($AW103,$AM$3:$AS$33,MATCH(BL$3,$AM$3:$AS$3,0),FALSE),2)</f>
        <v>1.1399999999999999</v>
      </c>
    </row>
    <row r="104" spans="47:64" x14ac:dyDescent="0.35">
      <c r="AU104" s="364" t="str">
        <f t="shared" si="19"/>
        <v>BMP-38</v>
      </c>
      <c r="AV104" s="183">
        <f>IF(AY103&gt;=VLOOKUP(VLOOKUP(AW103,坦克个性化设定!$B$18:$E$48,4,FALSE)&amp;AX103,坦克属性分配比例,MATCH("升星次数",坦克属性分配比例标头,0),FALSE),AV103+1,AV103)</f>
        <v>9</v>
      </c>
      <c r="AW104" s="131" t="str">
        <f t="shared" si="20"/>
        <v>BMP-3</v>
      </c>
      <c r="AX104" s="177" t="str">
        <f>VLOOKUP(AW104,坦克个性化细分!$I$3:$J$33,2,FALSE)</f>
        <v>高</v>
      </c>
      <c r="AY104" s="183">
        <f t="shared" si="18"/>
        <v>8</v>
      </c>
      <c r="AZ104" s="486">
        <f ca="1">ROUND(VLOOKUP($AW104&amp;"初始",$O$3:$AA$63,MATCH(AZ$3,$O$3:$AA$3,0),FALSE)+((VLOOKUP($AW104&amp;"最终",$O$3:$AA$63,MATCH(AZ$3,$O$3:$AA$3,0),FALSE)*坦克个性化细分!$C$9-VLOOKUP($AW104&amp;"初始",$O$3:$AA$63,MATCH(AZ$3,$O$3:$AA$3,0),FALSE))-(VLOOKUP($AW104&amp;"最终",$O$3:$AA$63,MATCH(AZ$3,$O$3:$AA$3,0),FALSE)-VLOOKUP($AW104&amp;"初始",$O$3:$AA$63,MATCH(AZ$3,$O$3:$AA$3,0),FALSE))*VLOOKUP(VLOOKUP($AW104,坦克个性化设定!$B$18:$E$48,4,FALSE)&amp;$AX104,坦克属性分配比例,MATCH("部件比例",坦克属性分配比例标头,0),FALSE))*$AY104/VLOOKUP(VLOOKUP($AW104,坦克个性化设定!$B$18:$E$48,4,FALSE)&amp;$AX104,坦克属性分配比例,MATCH("升星次数",坦克属性分配比例标头,0),FALSE),0)</f>
        <v>2728</v>
      </c>
      <c r="BA104" s="426">
        <f ca="1">ROUND(VLOOKUP($AW104&amp;"初始",$O$3:$AA$63,MATCH(BA$3,$O$3:$AA$3,0),FALSE)+(VLOOKUP($AW104&amp;"最终",$O$3:$AA$63,MATCH(BA$3,$O$3:$AA$3,0),FALSE)-VLOOKUP($AW104&amp;"初始",$O$3:$AA$63,MATCH(BA$3,$O$3:$AA$3,0),FALSE))*$AY104/VLOOKUP(VLOOKUP($AW104,坦克个性化设定!$B$18:$E$48,4,FALSE)&amp;$AX104,坦克属性分配比例,MATCH("升星次数",坦克属性分配比例标头,0),FALSE)*VLOOKUP(VLOOKUP($AW104,坦克个性化设定!$B$18:$E$48,4,FALSE)&amp;$AX104,坦克属性分配比例,MATCH("升星比例",坦克属性分配比例标头,0),FALSE),0)</f>
        <v>116</v>
      </c>
      <c r="BB104" s="486">
        <f ca="1">ROUND(VLOOKUP($AW104&amp;"初始",$O$3:$AA$63,MATCH(BB$3,$O$3:$AA$3,0),FALSE)+(VLOOKUP($AW104&amp;"最终",$O$3:$AA$63,MATCH(BB$3,$O$3:$AA$3,0),FALSE)-VLOOKUP($AW104&amp;"初始",$O$3:$AA$63,MATCH(BB$3,$O$3:$AA$3,0),FALSE))*$AY104/VLOOKUP(VLOOKUP($AW104,坦克个性化设定!$B$18:$E$48,4,FALSE)&amp;$AX104,坦克属性分配比例,MATCH("升星次数",坦克属性分配比例标头,0),FALSE)*(VLOOKUP(VLOOKUP($AW104,坦克个性化设定!$B$18:$E$48,4,FALSE)&amp;$AX104,坦克属性分配比例,MATCH("升星比例",坦克属性分配比例标头,0),FALSE)+VLOOKUP(VLOOKUP($AW104,坦克个性化设定!$B$18:$E$48,4,FALSE)&amp;$AX104,坦克属性分配比例,MATCH("部件比例",坦克属性分配比例标头,0),FALSE)*$C$3),0)</f>
        <v>834</v>
      </c>
      <c r="BC104" s="486">
        <f ca="1">ROUND(VLOOKUP($AW104&amp;"初始",$O$3:$AA$63,MATCH(BC$3,$O$3:$AA$3,0),FALSE)+(VLOOKUP($AW104&amp;"最终",$O$3:$AA$63,MATCH(BC$3,$O$3:$AA$3,0),FALSE)-VLOOKUP($AW104&amp;"初始",$O$3:$AA$63,MATCH(BC$3,$O$3:$AA$3,0),FALSE))*$AY104/VLOOKUP(VLOOKUP($AW104,坦克个性化设定!$B$18:$E$48,4,FALSE)&amp;$AX104,坦克属性分配比例,MATCH("升星次数",坦克属性分配比例标头,0),FALSE)*(VLOOKUP(VLOOKUP($AW104,坦克个性化设定!$B$18:$E$48,4,FALSE)&amp;$AX104,坦克属性分配比例,MATCH("升星比例",坦克属性分配比例标头,0),FALSE)+VLOOKUP(VLOOKUP($AW104,坦克个性化设定!$B$18:$E$48,4,FALSE)&amp;$AX104,坦克属性分配比例,MATCH("部件比例",坦克属性分配比例标头,0),FALSE)*$C$3),0)</f>
        <v>584</v>
      </c>
      <c r="BD104" s="426">
        <f ca="1">ROUND(VLOOKUP($AW104&amp;"初始",$O$3:$AA$63,MATCH(BD$3,$O$3:$AA$3,0),FALSE)+(VLOOKUP($AW104&amp;"最终",$O$3:$AA$63,MATCH(BD$3,$O$3:$AA$3,0),FALSE)-VLOOKUP($AW104&amp;"初始",$O$3:$AA$63,MATCH(BD$3,$O$3:$AA$3,0),FALSE))*$AY104/VLOOKUP(VLOOKUP($AW104,坦克个性化设定!$B$18:$E$48,4,FALSE)&amp;$AX104,坦克属性分配比例,MATCH("升星次数",坦克属性分配比例标头,0),FALSE)*VLOOKUP(VLOOKUP($AW104,坦克个性化设定!$B$18:$E$48,4,FALSE)&amp;$AX104,坦克属性分配比例,MATCH("升星比例",坦克属性分配比例标头,0),FALSE),0)</f>
        <v>746</v>
      </c>
      <c r="BE104" s="426">
        <f ca="1">ROUND(VLOOKUP($AW104&amp;"初始",$O$3:$AA$63,MATCH(BE$3,$O$3:$AA$3,0),FALSE)+(VLOOKUP($AW104&amp;"最终",$O$3:$AA$63,MATCH(BE$3,$O$3:$AA$3,0),FALSE)-VLOOKUP($AW104&amp;"初始",$O$3:$AA$63,MATCH(BE$3,$O$3:$AA$3,0),FALSE))*$AY104/VLOOKUP(VLOOKUP($AW104,坦克个性化设定!$B$18:$E$48,4,FALSE)&amp;$AX104,坦克属性分配比例,MATCH("升星次数",坦克属性分配比例标头,0),FALSE),0)</f>
        <v>238</v>
      </c>
      <c r="BF104" s="462">
        <f>ROUND(VLOOKUP($AW104,$AD$3:$AJ$33,MATCH(BF$3,$AD$3:$AJ$3,0),FALSE)+$AY104/VLOOKUP(VLOOKUP($AW104,坦克个性化设定!$B$18:$E$48,4,FALSE)&amp;$AX104,坦克属性分配比例,MATCH("升星次数",坦克属性分配比例标头,0),FALSE)*VLOOKUP($AW104,$AM$3:$AS$33,MATCH(BF$3,$AM$3:$AS$3,0),FALSE),1)</f>
        <v>49.7</v>
      </c>
      <c r="BG104" s="462">
        <f>ROUND(VLOOKUP($AW104,$AD$3:$AJ$33,MATCH(BG$3,$AD$3:$AJ$3,0),FALSE)+$AY104/VLOOKUP(VLOOKUP($AW104,坦克个性化设定!$B$18:$E$48,4,FALSE)&amp;$AX104,坦克属性分配比例,MATCH("升星次数",坦克属性分配比例标头,0),FALSE)*VLOOKUP($AW104,$AM$3:$AS$33,MATCH(BG$3,$AM$3:$AS$3,0),FALSE),1)</f>
        <v>58.7</v>
      </c>
      <c r="BH104" s="462">
        <f>ROUND(VLOOKUP($AW104,$AD$3:$AJ$33,MATCH(BH$3,$AD$3:$AJ$3,0),FALSE)+$AY104/VLOOKUP(VLOOKUP($AW104,坦克个性化设定!$B$18:$E$48,4,FALSE)&amp;$AX104,坦克属性分配比例,MATCH("升星次数",坦克属性分配比例标头,0),FALSE)*VLOOKUP($AW104,$AM$3:$AS$33,MATCH(BH$3,$AM$3:$AS$3,0),FALSE),1)</f>
        <v>16.8</v>
      </c>
      <c r="BI104" s="654">
        <f>IF(VLOOKUP(AW104,坦克个性化设定!$B$18:$BB$48,MATCH("装弹类型",坦克个性化设定!$B$18:$BB$18,0),FALSE)="弹夹换弹",0,ROUND(VLOOKUP($AW104,$AD$3:$AJ$33,MATCH("换弹时间",$AD$3:$AJ$3,0),FALSE)-$AY104/VLOOKUP(VLOOKUP($AW104,坦克个性化设定!$B$18:$E$48,4,FALSE)&amp;$AX104,坦克属性分配比例,MATCH("升星次数",坦克属性分配比例标头,0),FALSE)*VLOOKUP($AW104,$AM$3:$AS$33,MATCH("换弹时间",$AM$3:$AS$3,0),FALSE),2))</f>
        <v>1.24</v>
      </c>
      <c r="BJ104" s="462">
        <f>IF(VLOOKUP(AW104,坦克个性化设定!$B$18:$BB$48,MATCH("装弹类型",坦克个性化设定!$B$18:$BB$18,0),FALSE)="弹夹换弹",ROUND(VLOOKUP($AW104,$AD$3:$AJ$33,MATCH("换弹时间",$AD$3:$AJ$3,0),FALSE)-$AY104/VLOOKUP(VLOOKUP($AW104,坦克个性化设定!$B$18:$E$48,4,FALSE)&amp;$AX104,坦克属性分配比例,MATCH("升星次数",坦克属性分配比例标头,0),FALSE)*VLOOKUP($AW104,$AM$3:$AS$33,MATCH("换弹时间",$AM$3:$AS$3,0),FALSE),1),0)</f>
        <v>0</v>
      </c>
      <c r="BK104" s="462">
        <f>ROUND(VLOOKUP($AW104,$AD$3:$AJ$33,MATCH(BK$3,$AD$3:$AJ$3,0),FALSE)+$AY104/VLOOKUP(VLOOKUP($AW104,坦克个性化设定!$B$18:$E$48,4,FALSE)&amp;$AX104,坦克属性分配比例,MATCH("升星次数",坦克属性分配比例标头,0),FALSE)*VLOOKUP($AW104,$AM$3:$AS$33,MATCH(BK$3,$AM$3:$AS$3,0),FALSE),2)</f>
        <v>0.4</v>
      </c>
      <c r="BL104" s="462">
        <f>ROUND(VLOOKUP($AW104,$AD$3:$AJ$33,MATCH(BL$3,$AD$3:$AJ$3,0),FALSE)-$AY104/VLOOKUP(VLOOKUP($AW104,坦克个性化设定!$B$18:$E$48,4,FALSE)&amp;$AX104,坦克属性分配比例,MATCH("升星次数",坦克属性分配比例标头,0),FALSE)*VLOOKUP($AW104,$AM$3:$AS$33,MATCH(BL$3,$AM$3:$AS$3,0),FALSE),2)</f>
        <v>1.1299999999999999</v>
      </c>
    </row>
    <row r="105" spans="47:64" x14ac:dyDescent="0.35">
      <c r="AU105" s="364" t="str">
        <f t="shared" si="19"/>
        <v>BMP-39</v>
      </c>
      <c r="AV105" s="183">
        <f>IF(AY104&gt;=VLOOKUP(VLOOKUP(AW104,坦克个性化设定!$B$18:$E$48,4,FALSE)&amp;AX104,坦克属性分配比例,MATCH("升星次数",坦克属性分配比例标头,0),FALSE),AV104+1,AV104)</f>
        <v>9</v>
      </c>
      <c r="AW105" s="131" t="str">
        <f t="shared" si="20"/>
        <v>BMP-3</v>
      </c>
      <c r="AX105" s="177" t="str">
        <f>VLOOKUP(AW105,坦克个性化细分!$I$3:$J$33,2,FALSE)</f>
        <v>高</v>
      </c>
      <c r="AY105" s="183">
        <f t="shared" si="18"/>
        <v>9</v>
      </c>
      <c r="AZ105" s="486">
        <f ca="1">ROUND(VLOOKUP($AW105&amp;"初始",$O$3:$AA$63,MATCH(AZ$3,$O$3:$AA$3,0),FALSE)+((VLOOKUP($AW105&amp;"最终",$O$3:$AA$63,MATCH(AZ$3,$O$3:$AA$3,0),FALSE)*坦克个性化细分!$C$9-VLOOKUP($AW105&amp;"初始",$O$3:$AA$63,MATCH(AZ$3,$O$3:$AA$3,0),FALSE))-(VLOOKUP($AW105&amp;"最终",$O$3:$AA$63,MATCH(AZ$3,$O$3:$AA$3,0),FALSE)-VLOOKUP($AW105&amp;"初始",$O$3:$AA$63,MATCH(AZ$3,$O$3:$AA$3,0),FALSE))*VLOOKUP(VLOOKUP($AW105,坦克个性化设定!$B$18:$E$48,4,FALSE)&amp;$AX105,坦克属性分配比例,MATCH("部件比例",坦克属性分配比例标头,0),FALSE))*$AY105/VLOOKUP(VLOOKUP($AW105,坦克个性化设定!$B$18:$E$48,4,FALSE)&amp;$AX105,坦克属性分配比例,MATCH("升星次数",坦克属性分配比例标头,0),FALSE),0)</f>
        <v>2839</v>
      </c>
      <c r="BA105" s="426">
        <f ca="1">ROUND(VLOOKUP($AW105&amp;"初始",$O$3:$AA$63,MATCH(BA$3,$O$3:$AA$3,0),FALSE)+(VLOOKUP($AW105&amp;"最终",$O$3:$AA$63,MATCH(BA$3,$O$3:$AA$3,0),FALSE)-VLOOKUP($AW105&amp;"初始",$O$3:$AA$63,MATCH(BA$3,$O$3:$AA$3,0),FALSE))*$AY105/VLOOKUP(VLOOKUP($AW105,坦克个性化设定!$B$18:$E$48,4,FALSE)&amp;$AX105,坦克属性分配比例,MATCH("升星次数",坦克属性分配比例标头,0),FALSE)*VLOOKUP(VLOOKUP($AW105,坦克个性化设定!$B$18:$E$48,4,FALSE)&amp;$AX105,坦克属性分配比例,MATCH("升星比例",坦克属性分配比例标头,0),FALSE),0)</f>
        <v>118</v>
      </c>
      <c r="BB105" s="486">
        <f ca="1">ROUND(VLOOKUP($AW105&amp;"初始",$O$3:$AA$63,MATCH(BB$3,$O$3:$AA$3,0),FALSE)+(VLOOKUP($AW105&amp;"最终",$O$3:$AA$63,MATCH(BB$3,$O$3:$AA$3,0),FALSE)-VLOOKUP($AW105&amp;"初始",$O$3:$AA$63,MATCH(BB$3,$O$3:$AA$3,0),FALSE))*$AY105/VLOOKUP(VLOOKUP($AW105,坦克个性化设定!$B$18:$E$48,4,FALSE)&amp;$AX105,坦克属性分配比例,MATCH("升星次数",坦克属性分配比例标头,0),FALSE)*(VLOOKUP(VLOOKUP($AW105,坦克个性化设定!$B$18:$E$48,4,FALSE)&amp;$AX105,坦克属性分配比例,MATCH("升星比例",坦克属性分配比例标头,0),FALSE)+VLOOKUP(VLOOKUP($AW105,坦克个性化设定!$B$18:$E$48,4,FALSE)&amp;$AX105,坦克属性分配比例,MATCH("部件比例",坦克属性分配比例标头,0),FALSE)*$C$3),0)</f>
        <v>861</v>
      </c>
      <c r="BC105" s="486">
        <f ca="1">ROUND(VLOOKUP($AW105&amp;"初始",$O$3:$AA$63,MATCH(BC$3,$O$3:$AA$3,0),FALSE)+(VLOOKUP($AW105&amp;"最终",$O$3:$AA$63,MATCH(BC$3,$O$3:$AA$3,0),FALSE)-VLOOKUP($AW105&amp;"初始",$O$3:$AA$63,MATCH(BC$3,$O$3:$AA$3,0),FALSE))*$AY105/VLOOKUP(VLOOKUP($AW105,坦克个性化设定!$B$18:$E$48,4,FALSE)&amp;$AX105,坦克属性分配比例,MATCH("升星次数",坦克属性分配比例标头,0),FALSE)*(VLOOKUP(VLOOKUP($AW105,坦克个性化设定!$B$18:$E$48,4,FALSE)&amp;$AX105,坦克属性分配比例,MATCH("升星比例",坦克属性分配比例标头,0),FALSE)+VLOOKUP(VLOOKUP($AW105,坦克个性化设定!$B$18:$E$48,4,FALSE)&amp;$AX105,坦克属性分配比例,MATCH("部件比例",坦克属性分配比例标头,0),FALSE)*$C$3),0)</f>
        <v>603</v>
      </c>
      <c r="BD105" s="426">
        <f ca="1">ROUND(VLOOKUP($AW105&amp;"初始",$O$3:$AA$63,MATCH(BD$3,$O$3:$AA$3,0),FALSE)+(VLOOKUP($AW105&amp;"最终",$O$3:$AA$63,MATCH(BD$3,$O$3:$AA$3,0),FALSE)-VLOOKUP($AW105&amp;"初始",$O$3:$AA$63,MATCH(BD$3,$O$3:$AA$3,0),FALSE))*$AY105/VLOOKUP(VLOOKUP($AW105,坦克个性化设定!$B$18:$E$48,4,FALSE)&amp;$AX105,坦克属性分配比例,MATCH("升星次数",坦克属性分配比例标头,0),FALSE)*VLOOKUP(VLOOKUP($AW105,坦克个性化设定!$B$18:$E$48,4,FALSE)&amp;$AX105,坦克属性分配比例,MATCH("升星比例",坦克属性分配比例标头,0),FALSE),0)</f>
        <v>763</v>
      </c>
      <c r="BE105" s="426">
        <f ca="1">ROUND(VLOOKUP($AW105&amp;"初始",$O$3:$AA$63,MATCH(BE$3,$O$3:$AA$3,0),FALSE)+(VLOOKUP($AW105&amp;"最终",$O$3:$AA$63,MATCH(BE$3,$O$3:$AA$3,0),FALSE)-VLOOKUP($AW105&amp;"初始",$O$3:$AA$63,MATCH(BE$3,$O$3:$AA$3,0),FALSE))*$AY105/VLOOKUP(VLOOKUP($AW105,坦克个性化设定!$B$18:$E$48,4,FALSE)&amp;$AX105,坦克属性分配比例,MATCH("升星次数",坦克属性分配比例标头,0),FALSE),0)</f>
        <v>247</v>
      </c>
      <c r="BF105" s="462">
        <f>ROUND(VLOOKUP($AW105,$AD$3:$AJ$33,MATCH(BF$3,$AD$3:$AJ$3,0),FALSE)+$AY105/VLOOKUP(VLOOKUP($AW105,坦克个性化设定!$B$18:$E$48,4,FALSE)&amp;$AX105,坦克属性分配比例,MATCH("升星次数",坦克属性分配比例标头,0),FALSE)*VLOOKUP($AW105,$AM$3:$AS$33,MATCH(BF$3,$AM$3:$AS$3,0),FALSE),1)</f>
        <v>50.4</v>
      </c>
      <c r="BG105" s="462">
        <f>ROUND(VLOOKUP($AW105,$AD$3:$AJ$33,MATCH(BG$3,$AD$3:$AJ$3,0),FALSE)+$AY105/VLOOKUP(VLOOKUP($AW105,坦克个性化设定!$B$18:$E$48,4,FALSE)&amp;$AX105,坦克属性分配比例,MATCH("升星次数",坦克属性分配比例标头,0),FALSE)*VLOOKUP($AW105,$AM$3:$AS$33,MATCH(BG$3,$AM$3:$AS$3,0),FALSE),1)</f>
        <v>59.4</v>
      </c>
      <c r="BH105" s="462">
        <f>ROUND(VLOOKUP($AW105,$AD$3:$AJ$33,MATCH(BH$3,$AD$3:$AJ$3,0),FALSE)+$AY105/VLOOKUP(VLOOKUP($AW105,坦克个性化设定!$B$18:$E$48,4,FALSE)&amp;$AX105,坦克属性分配比例,MATCH("升星次数",坦克属性分配比例标头,0),FALSE)*VLOOKUP($AW105,$AM$3:$AS$33,MATCH(BH$3,$AM$3:$AS$3,0),FALSE),1)</f>
        <v>17.100000000000001</v>
      </c>
      <c r="BI105" s="654">
        <f>IF(VLOOKUP(AW105,坦克个性化设定!$B$18:$BB$48,MATCH("装弹类型",坦克个性化设定!$B$18:$BB$18,0),FALSE)="弹夹换弹",0,ROUND(VLOOKUP($AW105,$AD$3:$AJ$33,MATCH("换弹时间",$AD$3:$AJ$3,0),FALSE)-$AY105/VLOOKUP(VLOOKUP($AW105,坦克个性化设定!$B$18:$E$48,4,FALSE)&amp;$AX105,坦克属性分配比例,MATCH("升星次数",坦克属性分配比例标头,0),FALSE)*VLOOKUP($AW105,$AM$3:$AS$33,MATCH("换弹时间",$AM$3:$AS$3,0),FALSE),2))</f>
        <v>1.22</v>
      </c>
      <c r="BJ105" s="462">
        <f>IF(VLOOKUP(AW105,坦克个性化设定!$B$18:$BB$48,MATCH("装弹类型",坦克个性化设定!$B$18:$BB$18,0),FALSE)="弹夹换弹",ROUND(VLOOKUP($AW105,$AD$3:$AJ$33,MATCH("换弹时间",$AD$3:$AJ$3,0),FALSE)-$AY105/VLOOKUP(VLOOKUP($AW105,坦克个性化设定!$B$18:$E$48,4,FALSE)&amp;$AX105,坦克属性分配比例,MATCH("升星次数",坦克属性分配比例标头,0),FALSE)*VLOOKUP($AW105,$AM$3:$AS$33,MATCH("换弹时间",$AM$3:$AS$3,0),FALSE),1),0)</f>
        <v>0</v>
      </c>
      <c r="BK105" s="462">
        <f>ROUND(VLOOKUP($AW105,$AD$3:$AJ$33,MATCH(BK$3,$AD$3:$AJ$3,0),FALSE)+$AY105/VLOOKUP(VLOOKUP($AW105,坦克个性化设定!$B$18:$E$48,4,FALSE)&amp;$AX105,坦克属性分配比例,MATCH("升星次数",坦克属性分配比例标头,0),FALSE)*VLOOKUP($AW105,$AM$3:$AS$33,MATCH(BK$3,$AM$3:$AS$3,0),FALSE),2)</f>
        <v>0.4</v>
      </c>
      <c r="BL105" s="462">
        <f>ROUND(VLOOKUP($AW105,$AD$3:$AJ$33,MATCH(BL$3,$AD$3:$AJ$3,0),FALSE)-$AY105/VLOOKUP(VLOOKUP($AW105,坦克个性化设定!$B$18:$E$48,4,FALSE)&amp;$AX105,坦克属性分配比例,MATCH("升星次数",坦克属性分配比例标头,0),FALSE)*VLOOKUP($AW105,$AM$3:$AS$33,MATCH(BL$3,$AM$3:$AS$3,0),FALSE),2)</f>
        <v>1.1200000000000001</v>
      </c>
    </row>
    <row r="106" spans="47:64" x14ac:dyDescent="0.35">
      <c r="AU106" s="364" t="str">
        <f t="shared" si="19"/>
        <v>BMP-310</v>
      </c>
      <c r="AV106" s="183">
        <f>IF(AY105&gt;=VLOOKUP(VLOOKUP(AW105,坦克个性化设定!$B$18:$E$48,4,FALSE)&amp;AX105,坦克属性分配比例,MATCH("升星次数",坦克属性分配比例标头,0),FALSE),AV105+1,AV105)</f>
        <v>9</v>
      </c>
      <c r="AW106" s="131" t="str">
        <f t="shared" si="20"/>
        <v>BMP-3</v>
      </c>
      <c r="AX106" s="177" t="str">
        <f>VLOOKUP(AW106,坦克个性化细分!$I$3:$J$33,2,FALSE)</f>
        <v>高</v>
      </c>
      <c r="AY106" s="183">
        <f t="shared" si="18"/>
        <v>10</v>
      </c>
      <c r="AZ106" s="486">
        <f ca="1">ROUND(VLOOKUP($AW106&amp;"初始",$O$3:$AA$63,MATCH(AZ$3,$O$3:$AA$3,0),FALSE)+((VLOOKUP($AW106&amp;"最终",$O$3:$AA$63,MATCH(AZ$3,$O$3:$AA$3,0),FALSE)*坦克个性化细分!$C$9-VLOOKUP($AW106&amp;"初始",$O$3:$AA$63,MATCH(AZ$3,$O$3:$AA$3,0),FALSE))-(VLOOKUP($AW106&amp;"最终",$O$3:$AA$63,MATCH(AZ$3,$O$3:$AA$3,0),FALSE)-VLOOKUP($AW106&amp;"初始",$O$3:$AA$63,MATCH(AZ$3,$O$3:$AA$3,0),FALSE))*VLOOKUP(VLOOKUP($AW106,坦克个性化设定!$B$18:$E$48,4,FALSE)&amp;$AX106,坦克属性分配比例,MATCH("部件比例",坦克属性分配比例标头,0),FALSE))*$AY106/VLOOKUP(VLOOKUP($AW106,坦克个性化设定!$B$18:$E$48,4,FALSE)&amp;$AX106,坦克属性分配比例,MATCH("升星次数",坦克属性分配比例标头,0),FALSE),0)</f>
        <v>2950</v>
      </c>
      <c r="BA106" s="426">
        <f ca="1">ROUND(VLOOKUP($AW106&amp;"初始",$O$3:$AA$63,MATCH(BA$3,$O$3:$AA$3,0),FALSE)+(VLOOKUP($AW106&amp;"最终",$O$3:$AA$63,MATCH(BA$3,$O$3:$AA$3,0),FALSE)-VLOOKUP($AW106&amp;"初始",$O$3:$AA$63,MATCH(BA$3,$O$3:$AA$3,0),FALSE))*$AY106/VLOOKUP(VLOOKUP($AW106,坦克个性化设定!$B$18:$E$48,4,FALSE)&amp;$AX106,坦克属性分配比例,MATCH("升星次数",坦克属性分配比例标头,0),FALSE)*VLOOKUP(VLOOKUP($AW106,坦克个性化设定!$B$18:$E$48,4,FALSE)&amp;$AX106,坦克属性分配比例,MATCH("升星比例",坦克属性分配比例标头,0),FALSE),0)</f>
        <v>121</v>
      </c>
      <c r="BB106" s="486">
        <f ca="1">ROUND(VLOOKUP($AW106&amp;"初始",$O$3:$AA$63,MATCH(BB$3,$O$3:$AA$3,0),FALSE)+(VLOOKUP($AW106&amp;"最终",$O$3:$AA$63,MATCH(BB$3,$O$3:$AA$3,0),FALSE)-VLOOKUP($AW106&amp;"初始",$O$3:$AA$63,MATCH(BB$3,$O$3:$AA$3,0),FALSE))*$AY106/VLOOKUP(VLOOKUP($AW106,坦克个性化设定!$B$18:$E$48,4,FALSE)&amp;$AX106,坦克属性分配比例,MATCH("升星次数",坦克属性分配比例标头,0),FALSE)*(VLOOKUP(VLOOKUP($AW106,坦克个性化设定!$B$18:$E$48,4,FALSE)&amp;$AX106,坦克属性分配比例,MATCH("升星比例",坦克属性分配比例标头,0),FALSE)+VLOOKUP(VLOOKUP($AW106,坦克个性化设定!$B$18:$E$48,4,FALSE)&amp;$AX106,坦克属性分配比例,MATCH("部件比例",坦克属性分配比例标头,0),FALSE)*$C$3),0)</f>
        <v>888</v>
      </c>
      <c r="BC106" s="486">
        <f ca="1">ROUND(VLOOKUP($AW106&amp;"初始",$O$3:$AA$63,MATCH(BC$3,$O$3:$AA$3,0),FALSE)+(VLOOKUP($AW106&amp;"最终",$O$3:$AA$63,MATCH(BC$3,$O$3:$AA$3,0),FALSE)-VLOOKUP($AW106&amp;"初始",$O$3:$AA$63,MATCH(BC$3,$O$3:$AA$3,0),FALSE))*$AY106/VLOOKUP(VLOOKUP($AW106,坦克个性化设定!$B$18:$E$48,4,FALSE)&amp;$AX106,坦克属性分配比例,MATCH("升星次数",坦克属性分配比例标头,0),FALSE)*(VLOOKUP(VLOOKUP($AW106,坦克个性化设定!$B$18:$E$48,4,FALSE)&amp;$AX106,坦克属性分配比例,MATCH("升星比例",坦克属性分配比例标头,0),FALSE)+VLOOKUP(VLOOKUP($AW106,坦克个性化设定!$B$18:$E$48,4,FALSE)&amp;$AX106,坦克属性分配比例,MATCH("部件比例",坦克属性分配比例标头,0),FALSE)*$C$3),0)</f>
        <v>622</v>
      </c>
      <c r="BD106" s="426">
        <f ca="1">ROUND(VLOOKUP($AW106&amp;"初始",$O$3:$AA$63,MATCH(BD$3,$O$3:$AA$3,0),FALSE)+(VLOOKUP($AW106&amp;"最终",$O$3:$AA$63,MATCH(BD$3,$O$3:$AA$3,0),FALSE)-VLOOKUP($AW106&amp;"初始",$O$3:$AA$63,MATCH(BD$3,$O$3:$AA$3,0),FALSE))*$AY106/VLOOKUP(VLOOKUP($AW106,坦克个性化设定!$B$18:$E$48,4,FALSE)&amp;$AX106,坦克属性分配比例,MATCH("升星次数",坦克属性分配比例标头,0),FALSE)*VLOOKUP(VLOOKUP($AW106,坦克个性化设定!$B$18:$E$48,4,FALSE)&amp;$AX106,坦克属性分配比例,MATCH("升星比例",坦克属性分配比例标头,0),FALSE),0)</f>
        <v>779</v>
      </c>
      <c r="BE106" s="426">
        <f ca="1">ROUND(VLOOKUP($AW106&amp;"初始",$O$3:$AA$63,MATCH(BE$3,$O$3:$AA$3,0),FALSE)+(VLOOKUP($AW106&amp;"最终",$O$3:$AA$63,MATCH(BE$3,$O$3:$AA$3,0),FALSE)-VLOOKUP($AW106&amp;"初始",$O$3:$AA$63,MATCH(BE$3,$O$3:$AA$3,0),FALSE))*$AY106/VLOOKUP(VLOOKUP($AW106,坦克个性化设定!$B$18:$E$48,4,FALSE)&amp;$AX106,坦克属性分配比例,MATCH("升星次数",坦克属性分配比例标头,0),FALSE),0)</f>
        <v>256</v>
      </c>
      <c r="BF106" s="462">
        <f>ROUND(VLOOKUP($AW106,$AD$3:$AJ$33,MATCH(BF$3,$AD$3:$AJ$3,0),FALSE)+$AY106/VLOOKUP(VLOOKUP($AW106,坦克个性化设定!$B$18:$E$48,4,FALSE)&amp;$AX106,坦克属性分配比例,MATCH("升星次数",坦克属性分配比例标头,0),FALSE)*VLOOKUP($AW106,$AM$3:$AS$33,MATCH(BF$3,$AM$3:$AS$3,0),FALSE),1)</f>
        <v>51</v>
      </c>
      <c r="BG106" s="462">
        <f>ROUND(VLOOKUP($AW106,$AD$3:$AJ$33,MATCH(BG$3,$AD$3:$AJ$3,0),FALSE)+$AY106/VLOOKUP(VLOOKUP($AW106,坦克个性化设定!$B$18:$E$48,4,FALSE)&amp;$AX106,坦克属性分配比例,MATCH("升星次数",坦克属性分配比例标头,0),FALSE)*VLOOKUP($AW106,$AM$3:$AS$33,MATCH(BG$3,$AM$3:$AS$3,0),FALSE),1)</f>
        <v>60.2</v>
      </c>
      <c r="BH106" s="462">
        <f>ROUND(VLOOKUP($AW106,$AD$3:$AJ$33,MATCH(BH$3,$AD$3:$AJ$3,0),FALSE)+$AY106/VLOOKUP(VLOOKUP($AW106,坦克个性化设定!$B$18:$E$48,4,FALSE)&amp;$AX106,坦克属性分配比例,MATCH("升星次数",坦克属性分配比例标头,0),FALSE)*VLOOKUP($AW106,$AM$3:$AS$33,MATCH(BH$3,$AM$3:$AS$3,0),FALSE),1)</f>
        <v>17.399999999999999</v>
      </c>
      <c r="BI106" s="654">
        <f>IF(VLOOKUP(AW106,坦克个性化设定!$B$18:$BB$48,MATCH("装弹类型",坦克个性化设定!$B$18:$BB$18,0),FALSE)="弹夹换弹",0,ROUND(VLOOKUP($AW106,$AD$3:$AJ$33,MATCH("换弹时间",$AD$3:$AJ$3,0),FALSE)-$AY106/VLOOKUP(VLOOKUP($AW106,坦克个性化设定!$B$18:$E$48,4,FALSE)&amp;$AX106,坦克属性分配比例,MATCH("升星次数",坦克属性分配比例标头,0),FALSE)*VLOOKUP($AW106,$AM$3:$AS$33,MATCH("换弹时间",$AM$3:$AS$3,0),FALSE),2))</f>
        <v>1.2</v>
      </c>
      <c r="BJ106" s="462">
        <f>IF(VLOOKUP(AW106,坦克个性化设定!$B$18:$BB$48,MATCH("装弹类型",坦克个性化设定!$B$18:$BB$18,0),FALSE)="弹夹换弹",ROUND(VLOOKUP($AW106,$AD$3:$AJ$33,MATCH("换弹时间",$AD$3:$AJ$3,0),FALSE)-$AY106/VLOOKUP(VLOOKUP($AW106,坦克个性化设定!$B$18:$E$48,4,FALSE)&amp;$AX106,坦克属性分配比例,MATCH("升星次数",坦克属性分配比例标头,0),FALSE)*VLOOKUP($AW106,$AM$3:$AS$33,MATCH("换弹时间",$AM$3:$AS$3,0),FALSE),1),0)</f>
        <v>0</v>
      </c>
      <c r="BK106" s="462">
        <f>ROUND(VLOOKUP($AW106,$AD$3:$AJ$33,MATCH(BK$3,$AD$3:$AJ$3,0),FALSE)+$AY106/VLOOKUP(VLOOKUP($AW106,坦克个性化设定!$B$18:$E$48,4,FALSE)&amp;$AX106,坦克属性分配比例,MATCH("升星次数",坦克属性分配比例标头,0),FALSE)*VLOOKUP($AW106,$AM$3:$AS$33,MATCH(BK$3,$AM$3:$AS$3,0),FALSE),2)</f>
        <v>0.4</v>
      </c>
      <c r="BL106" s="462">
        <f>ROUND(VLOOKUP($AW106,$AD$3:$AJ$33,MATCH(BL$3,$AD$3:$AJ$3,0),FALSE)-$AY106/VLOOKUP(VLOOKUP($AW106,坦克个性化设定!$B$18:$E$48,4,FALSE)&amp;$AX106,坦克属性分配比例,MATCH("升星次数",坦克属性分配比例标头,0),FALSE)*VLOOKUP($AW106,$AM$3:$AS$33,MATCH(BL$3,$AM$3:$AS$3,0),FALSE),2)</f>
        <v>1.1000000000000001</v>
      </c>
    </row>
    <row r="107" spans="47:64" x14ac:dyDescent="0.35">
      <c r="AU107" s="364" t="str">
        <f t="shared" si="19"/>
        <v>BMP-311</v>
      </c>
      <c r="AV107" s="183">
        <f>IF(AY106&gt;=VLOOKUP(VLOOKUP(AW106,坦克个性化设定!$B$18:$E$48,4,FALSE)&amp;AX106,坦克属性分配比例,MATCH("升星次数",坦克属性分配比例标头,0),FALSE),AV106+1,AV106)</f>
        <v>9</v>
      </c>
      <c r="AW107" s="131" t="str">
        <f t="shared" si="20"/>
        <v>BMP-3</v>
      </c>
      <c r="AX107" s="177" t="str">
        <f>VLOOKUP(AW107,坦克个性化细分!$I$3:$J$33,2,FALSE)</f>
        <v>高</v>
      </c>
      <c r="AY107" s="183">
        <f t="shared" si="18"/>
        <v>11</v>
      </c>
      <c r="AZ107" s="486">
        <f ca="1">ROUND(VLOOKUP($AW107&amp;"初始",$O$3:$AA$63,MATCH(AZ$3,$O$3:$AA$3,0),FALSE)+((VLOOKUP($AW107&amp;"最终",$O$3:$AA$63,MATCH(AZ$3,$O$3:$AA$3,0),FALSE)*坦克个性化细分!$C$9-VLOOKUP($AW107&amp;"初始",$O$3:$AA$63,MATCH(AZ$3,$O$3:$AA$3,0),FALSE))-(VLOOKUP($AW107&amp;"最终",$O$3:$AA$63,MATCH(AZ$3,$O$3:$AA$3,0),FALSE)-VLOOKUP($AW107&amp;"初始",$O$3:$AA$63,MATCH(AZ$3,$O$3:$AA$3,0),FALSE))*VLOOKUP(VLOOKUP($AW107,坦克个性化设定!$B$18:$E$48,4,FALSE)&amp;$AX107,坦克属性分配比例,MATCH("部件比例",坦克属性分配比例标头,0),FALSE))*$AY107/VLOOKUP(VLOOKUP($AW107,坦克个性化设定!$B$18:$E$48,4,FALSE)&amp;$AX107,坦克属性分配比例,MATCH("升星次数",坦克属性分配比例标头,0),FALSE),0)</f>
        <v>3061</v>
      </c>
      <c r="BA107" s="426">
        <f ca="1">ROUND(VLOOKUP($AW107&amp;"初始",$O$3:$AA$63,MATCH(BA$3,$O$3:$AA$3,0),FALSE)+(VLOOKUP($AW107&amp;"最终",$O$3:$AA$63,MATCH(BA$3,$O$3:$AA$3,0),FALSE)-VLOOKUP($AW107&amp;"初始",$O$3:$AA$63,MATCH(BA$3,$O$3:$AA$3,0),FALSE))*$AY107/VLOOKUP(VLOOKUP($AW107,坦克个性化设定!$B$18:$E$48,4,FALSE)&amp;$AX107,坦克属性分配比例,MATCH("升星次数",坦克属性分配比例标头,0),FALSE)*VLOOKUP(VLOOKUP($AW107,坦克个性化设定!$B$18:$E$48,4,FALSE)&amp;$AX107,坦克属性分配比例,MATCH("升星比例",坦克属性分配比例标头,0),FALSE),0)</f>
        <v>123</v>
      </c>
      <c r="BB107" s="486">
        <f ca="1">ROUND(VLOOKUP($AW107&amp;"初始",$O$3:$AA$63,MATCH(BB$3,$O$3:$AA$3,0),FALSE)+(VLOOKUP($AW107&amp;"最终",$O$3:$AA$63,MATCH(BB$3,$O$3:$AA$3,0),FALSE)-VLOOKUP($AW107&amp;"初始",$O$3:$AA$63,MATCH(BB$3,$O$3:$AA$3,0),FALSE))*$AY107/VLOOKUP(VLOOKUP($AW107,坦克个性化设定!$B$18:$E$48,4,FALSE)&amp;$AX107,坦克属性分配比例,MATCH("升星次数",坦克属性分配比例标头,0),FALSE)*(VLOOKUP(VLOOKUP($AW107,坦克个性化设定!$B$18:$E$48,4,FALSE)&amp;$AX107,坦克属性分配比例,MATCH("升星比例",坦克属性分配比例标头,0),FALSE)+VLOOKUP(VLOOKUP($AW107,坦克个性化设定!$B$18:$E$48,4,FALSE)&amp;$AX107,坦克属性分配比例,MATCH("部件比例",坦克属性分配比例标头,0),FALSE)*$C$3),0)</f>
        <v>915</v>
      </c>
      <c r="BC107" s="486">
        <f ca="1">ROUND(VLOOKUP($AW107&amp;"初始",$O$3:$AA$63,MATCH(BC$3,$O$3:$AA$3,0),FALSE)+(VLOOKUP($AW107&amp;"最终",$O$3:$AA$63,MATCH(BC$3,$O$3:$AA$3,0),FALSE)-VLOOKUP($AW107&amp;"初始",$O$3:$AA$63,MATCH(BC$3,$O$3:$AA$3,0),FALSE))*$AY107/VLOOKUP(VLOOKUP($AW107,坦克个性化设定!$B$18:$E$48,4,FALSE)&amp;$AX107,坦克属性分配比例,MATCH("升星次数",坦克属性分配比例标头,0),FALSE)*(VLOOKUP(VLOOKUP($AW107,坦克个性化设定!$B$18:$E$48,4,FALSE)&amp;$AX107,坦克属性分配比例,MATCH("升星比例",坦克属性分配比例标头,0),FALSE)+VLOOKUP(VLOOKUP($AW107,坦克个性化设定!$B$18:$E$48,4,FALSE)&amp;$AX107,坦克属性分配比例,MATCH("部件比例",坦克属性分配比例标头,0),FALSE)*$C$3),0)</f>
        <v>640</v>
      </c>
      <c r="BD107" s="426">
        <f ca="1">ROUND(VLOOKUP($AW107&amp;"初始",$O$3:$AA$63,MATCH(BD$3,$O$3:$AA$3,0),FALSE)+(VLOOKUP($AW107&amp;"最终",$O$3:$AA$63,MATCH(BD$3,$O$3:$AA$3,0),FALSE)-VLOOKUP($AW107&amp;"初始",$O$3:$AA$63,MATCH(BD$3,$O$3:$AA$3,0),FALSE))*$AY107/VLOOKUP(VLOOKUP($AW107,坦克个性化设定!$B$18:$E$48,4,FALSE)&amp;$AX107,坦克属性分配比例,MATCH("升星次数",坦克属性分配比例标头,0),FALSE)*VLOOKUP(VLOOKUP($AW107,坦克个性化设定!$B$18:$E$48,4,FALSE)&amp;$AX107,坦克属性分配比例,MATCH("升星比例",坦克属性分配比例标头,0),FALSE),0)</f>
        <v>795</v>
      </c>
      <c r="BE107" s="426">
        <f ca="1">ROUND(VLOOKUP($AW107&amp;"初始",$O$3:$AA$63,MATCH(BE$3,$O$3:$AA$3,0),FALSE)+(VLOOKUP($AW107&amp;"最终",$O$3:$AA$63,MATCH(BE$3,$O$3:$AA$3,0),FALSE)-VLOOKUP($AW107&amp;"初始",$O$3:$AA$63,MATCH(BE$3,$O$3:$AA$3,0),FALSE))*$AY107/VLOOKUP(VLOOKUP($AW107,坦克个性化设定!$B$18:$E$48,4,FALSE)&amp;$AX107,坦克属性分配比例,MATCH("升星次数",坦克属性分配比例标头,0),FALSE),0)</f>
        <v>265</v>
      </c>
      <c r="BF107" s="462">
        <f>ROUND(VLOOKUP($AW107,$AD$3:$AJ$33,MATCH(BF$3,$AD$3:$AJ$3,0),FALSE)+$AY107/VLOOKUP(VLOOKUP($AW107,坦克个性化设定!$B$18:$E$48,4,FALSE)&amp;$AX107,坦克属性分配比例,MATCH("升星次数",坦克属性分配比例标头,0),FALSE)*VLOOKUP($AW107,$AM$3:$AS$33,MATCH(BF$3,$AM$3:$AS$3,0),FALSE),1)</f>
        <v>51.7</v>
      </c>
      <c r="BG107" s="462">
        <f>ROUND(VLOOKUP($AW107,$AD$3:$AJ$33,MATCH(BG$3,$AD$3:$AJ$3,0),FALSE)+$AY107/VLOOKUP(VLOOKUP($AW107,坦克个性化设定!$B$18:$E$48,4,FALSE)&amp;$AX107,坦克属性分配比例,MATCH("升星次数",坦克属性分配比例标头,0),FALSE)*VLOOKUP($AW107,$AM$3:$AS$33,MATCH(BG$3,$AM$3:$AS$3,0),FALSE),1)</f>
        <v>61</v>
      </c>
      <c r="BH107" s="462">
        <f>ROUND(VLOOKUP($AW107,$AD$3:$AJ$33,MATCH(BH$3,$AD$3:$AJ$3,0),FALSE)+$AY107/VLOOKUP(VLOOKUP($AW107,坦克个性化设定!$B$18:$E$48,4,FALSE)&amp;$AX107,坦克属性分配比例,MATCH("升星次数",坦克属性分配比例标头,0),FALSE)*VLOOKUP($AW107,$AM$3:$AS$33,MATCH(BH$3,$AM$3:$AS$3,0),FALSE),1)</f>
        <v>17.7</v>
      </c>
      <c r="BI107" s="654">
        <f>IF(VLOOKUP(AW107,坦克个性化设定!$B$18:$BB$48,MATCH("装弹类型",坦克个性化设定!$B$18:$BB$18,0),FALSE)="弹夹换弹",0,ROUND(VLOOKUP($AW107,$AD$3:$AJ$33,MATCH("换弹时间",$AD$3:$AJ$3,0),FALSE)-$AY107/VLOOKUP(VLOOKUP($AW107,坦克个性化设定!$B$18:$E$48,4,FALSE)&amp;$AX107,坦克属性分配比例,MATCH("升星次数",坦克属性分配比例标头,0),FALSE)*VLOOKUP($AW107,$AM$3:$AS$33,MATCH("换弹时间",$AM$3:$AS$3,0),FALSE),2))</f>
        <v>1.18</v>
      </c>
      <c r="BJ107" s="462">
        <f>IF(VLOOKUP(AW107,坦克个性化设定!$B$18:$BB$48,MATCH("装弹类型",坦克个性化设定!$B$18:$BB$18,0),FALSE)="弹夹换弹",ROUND(VLOOKUP($AW107,$AD$3:$AJ$33,MATCH("换弹时间",$AD$3:$AJ$3,0),FALSE)-$AY107/VLOOKUP(VLOOKUP($AW107,坦克个性化设定!$B$18:$E$48,4,FALSE)&amp;$AX107,坦克属性分配比例,MATCH("升星次数",坦克属性分配比例标头,0),FALSE)*VLOOKUP($AW107,$AM$3:$AS$33,MATCH("换弹时间",$AM$3:$AS$3,0),FALSE),1),0)</f>
        <v>0</v>
      </c>
      <c r="BK107" s="462">
        <f>ROUND(VLOOKUP($AW107,$AD$3:$AJ$33,MATCH(BK$3,$AD$3:$AJ$3,0),FALSE)+$AY107/VLOOKUP(VLOOKUP($AW107,坦克个性化设定!$B$18:$E$48,4,FALSE)&amp;$AX107,坦克属性分配比例,MATCH("升星次数",坦克属性分配比例标头,0),FALSE)*VLOOKUP($AW107,$AM$3:$AS$33,MATCH(BK$3,$AM$3:$AS$3,0),FALSE),2)</f>
        <v>0.4</v>
      </c>
      <c r="BL107" s="462">
        <f>ROUND(VLOOKUP($AW107,$AD$3:$AJ$33,MATCH(BL$3,$AD$3:$AJ$3,0),FALSE)-$AY107/VLOOKUP(VLOOKUP($AW107,坦克个性化设定!$B$18:$E$48,4,FALSE)&amp;$AX107,坦克属性分配比例,MATCH("升星次数",坦克属性分配比例标头,0),FALSE)*VLOOKUP($AW107,$AM$3:$AS$33,MATCH(BL$3,$AM$3:$AS$3,0),FALSE),2)</f>
        <v>1.0900000000000001</v>
      </c>
    </row>
    <row r="108" spans="47:64" x14ac:dyDescent="0.35">
      <c r="AU108" s="364" t="str">
        <f t="shared" si="19"/>
        <v>BMP-312</v>
      </c>
      <c r="AV108" s="183">
        <f>IF(AY107&gt;=VLOOKUP(VLOOKUP(AW107,坦克个性化设定!$B$18:$E$48,4,FALSE)&amp;AX107,坦克属性分配比例,MATCH("升星次数",坦克属性分配比例标头,0),FALSE),AV107+1,AV107)</f>
        <v>9</v>
      </c>
      <c r="AW108" s="131" t="str">
        <f t="shared" si="20"/>
        <v>BMP-3</v>
      </c>
      <c r="AX108" s="177" t="str">
        <f>VLOOKUP(AW108,坦克个性化细分!$I$3:$J$33,2,FALSE)</f>
        <v>高</v>
      </c>
      <c r="AY108" s="183">
        <f t="shared" si="18"/>
        <v>12</v>
      </c>
      <c r="AZ108" s="486">
        <f ca="1">ROUND(VLOOKUP($AW108&amp;"初始",$O$3:$AA$63,MATCH(AZ$3,$O$3:$AA$3,0),FALSE)+((VLOOKUP($AW108&amp;"最终",$O$3:$AA$63,MATCH(AZ$3,$O$3:$AA$3,0),FALSE)*坦克个性化细分!$C$9-VLOOKUP($AW108&amp;"初始",$O$3:$AA$63,MATCH(AZ$3,$O$3:$AA$3,0),FALSE))-(VLOOKUP($AW108&amp;"最终",$O$3:$AA$63,MATCH(AZ$3,$O$3:$AA$3,0),FALSE)-VLOOKUP($AW108&amp;"初始",$O$3:$AA$63,MATCH(AZ$3,$O$3:$AA$3,0),FALSE))*VLOOKUP(VLOOKUP($AW108,坦克个性化设定!$B$18:$E$48,4,FALSE)&amp;$AX108,坦克属性分配比例,MATCH("部件比例",坦克属性分配比例标头,0),FALSE))*$AY108/VLOOKUP(VLOOKUP($AW108,坦克个性化设定!$B$18:$E$48,4,FALSE)&amp;$AX108,坦克属性分配比例,MATCH("升星次数",坦克属性分配比例标头,0),FALSE),0)</f>
        <v>3172</v>
      </c>
      <c r="BA108" s="426">
        <f ca="1">ROUND(VLOOKUP($AW108&amp;"初始",$O$3:$AA$63,MATCH(BA$3,$O$3:$AA$3,0),FALSE)+(VLOOKUP($AW108&amp;"最终",$O$3:$AA$63,MATCH(BA$3,$O$3:$AA$3,0),FALSE)-VLOOKUP($AW108&amp;"初始",$O$3:$AA$63,MATCH(BA$3,$O$3:$AA$3,0),FALSE))*$AY108/VLOOKUP(VLOOKUP($AW108,坦克个性化设定!$B$18:$E$48,4,FALSE)&amp;$AX108,坦克属性分配比例,MATCH("升星次数",坦克属性分配比例标头,0),FALSE)*VLOOKUP(VLOOKUP($AW108,坦克个性化设定!$B$18:$E$48,4,FALSE)&amp;$AX108,坦克属性分配比例,MATCH("升星比例",坦克属性分配比例标头,0),FALSE),0)</f>
        <v>126</v>
      </c>
      <c r="BB108" s="486">
        <f ca="1">ROUND(VLOOKUP($AW108&amp;"初始",$O$3:$AA$63,MATCH(BB$3,$O$3:$AA$3,0),FALSE)+(VLOOKUP($AW108&amp;"最终",$O$3:$AA$63,MATCH(BB$3,$O$3:$AA$3,0),FALSE)-VLOOKUP($AW108&amp;"初始",$O$3:$AA$63,MATCH(BB$3,$O$3:$AA$3,0),FALSE))*$AY108/VLOOKUP(VLOOKUP($AW108,坦克个性化设定!$B$18:$E$48,4,FALSE)&amp;$AX108,坦克属性分配比例,MATCH("升星次数",坦克属性分配比例标头,0),FALSE)*(VLOOKUP(VLOOKUP($AW108,坦克个性化设定!$B$18:$E$48,4,FALSE)&amp;$AX108,坦克属性分配比例,MATCH("升星比例",坦克属性分配比例标头,0),FALSE)+VLOOKUP(VLOOKUP($AW108,坦克个性化设定!$B$18:$E$48,4,FALSE)&amp;$AX108,坦克属性分配比例,MATCH("部件比例",坦克属性分配比例标头,0),FALSE)*$C$3),0)</f>
        <v>942</v>
      </c>
      <c r="BC108" s="486">
        <f ca="1">ROUND(VLOOKUP($AW108&amp;"初始",$O$3:$AA$63,MATCH(BC$3,$O$3:$AA$3,0),FALSE)+(VLOOKUP($AW108&amp;"最终",$O$3:$AA$63,MATCH(BC$3,$O$3:$AA$3,0),FALSE)-VLOOKUP($AW108&amp;"初始",$O$3:$AA$63,MATCH(BC$3,$O$3:$AA$3,0),FALSE))*$AY108/VLOOKUP(VLOOKUP($AW108,坦克个性化设定!$B$18:$E$48,4,FALSE)&amp;$AX108,坦克属性分配比例,MATCH("升星次数",坦克属性分配比例标头,0),FALSE)*(VLOOKUP(VLOOKUP($AW108,坦克个性化设定!$B$18:$E$48,4,FALSE)&amp;$AX108,坦克属性分配比例,MATCH("升星比例",坦克属性分配比例标头,0),FALSE)+VLOOKUP(VLOOKUP($AW108,坦克个性化设定!$B$18:$E$48,4,FALSE)&amp;$AX108,坦克属性分配比例,MATCH("部件比例",坦克属性分配比例标头,0),FALSE)*$C$3),0)</f>
        <v>659</v>
      </c>
      <c r="BD108" s="426">
        <f ca="1">ROUND(VLOOKUP($AW108&amp;"初始",$O$3:$AA$63,MATCH(BD$3,$O$3:$AA$3,0),FALSE)+(VLOOKUP($AW108&amp;"最终",$O$3:$AA$63,MATCH(BD$3,$O$3:$AA$3,0),FALSE)-VLOOKUP($AW108&amp;"初始",$O$3:$AA$63,MATCH(BD$3,$O$3:$AA$3,0),FALSE))*$AY108/VLOOKUP(VLOOKUP($AW108,坦克个性化设定!$B$18:$E$48,4,FALSE)&amp;$AX108,坦克属性分配比例,MATCH("升星次数",坦克属性分配比例标头,0),FALSE)*VLOOKUP(VLOOKUP($AW108,坦克个性化设定!$B$18:$E$48,4,FALSE)&amp;$AX108,坦克属性分配比例,MATCH("升星比例",坦克属性分配比例标头,0),FALSE),0)</f>
        <v>811</v>
      </c>
      <c r="BE108" s="426">
        <f ca="1">ROUND(VLOOKUP($AW108&amp;"初始",$O$3:$AA$63,MATCH(BE$3,$O$3:$AA$3,0),FALSE)+(VLOOKUP($AW108&amp;"最终",$O$3:$AA$63,MATCH(BE$3,$O$3:$AA$3,0),FALSE)-VLOOKUP($AW108&amp;"初始",$O$3:$AA$63,MATCH(BE$3,$O$3:$AA$3,0),FALSE))*$AY108/VLOOKUP(VLOOKUP($AW108,坦克个性化设定!$B$18:$E$48,4,FALSE)&amp;$AX108,坦克属性分配比例,MATCH("升星次数",坦克属性分配比例标头,0),FALSE),0)</f>
        <v>274</v>
      </c>
      <c r="BF108" s="462">
        <f>ROUND(VLOOKUP($AW108,$AD$3:$AJ$33,MATCH(BF$3,$AD$3:$AJ$3,0),FALSE)+$AY108/VLOOKUP(VLOOKUP($AW108,坦克个性化设定!$B$18:$E$48,4,FALSE)&amp;$AX108,坦克属性分配比例,MATCH("升星次数",坦克属性分配比例标头,0),FALSE)*VLOOKUP($AW108,$AM$3:$AS$33,MATCH(BF$3,$AM$3:$AS$3,0),FALSE),1)</f>
        <v>52.4</v>
      </c>
      <c r="BG108" s="462">
        <f>ROUND(VLOOKUP($AW108,$AD$3:$AJ$33,MATCH(BG$3,$AD$3:$AJ$3,0),FALSE)+$AY108/VLOOKUP(VLOOKUP($AW108,坦克个性化设定!$B$18:$E$48,4,FALSE)&amp;$AX108,坦克属性分配比例,MATCH("升星次数",坦克属性分配比例标头,0),FALSE)*VLOOKUP($AW108,$AM$3:$AS$33,MATCH(BG$3,$AM$3:$AS$3,0),FALSE),1)</f>
        <v>61.8</v>
      </c>
      <c r="BH108" s="462">
        <f>ROUND(VLOOKUP($AW108,$AD$3:$AJ$33,MATCH(BH$3,$AD$3:$AJ$3,0),FALSE)+$AY108/VLOOKUP(VLOOKUP($AW108,坦克个性化设定!$B$18:$E$48,4,FALSE)&amp;$AX108,坦克属性分配比例,MATCH("升星次数",坦克属性分配比例标头,0),FALSE)*VLOOKUP($AW108,$AM$3:$AS$33,MATCH(BH$3,$AM$3:$AS$3,0),FALSE),1)</f>
        <v>18</v>
      </c>
      <c r="BI108" s="654">
        <f>IF(VLOOKUP(AW108,坦克个性化设定!$B$18:$BB$48,MATCH("装弹类型",坦克个性化设定!$B$18:$BB$18,0),FALSE)="弹夹换弹",0,ROUND(VLOOKUP($AW108,$AD$3:$AJ$33,MATCH("换弹时间",$AD$3:$AJ$3,0),FALSE)-$AY108/VLOOKUP(VLOOKUP($AW108,坦克个性化设定!$B$18:$E$48,4,FALSE)&amp;$AX108,坦克属性分配比例,MATCH("升星次数",坦克属性分配比例标头,0),FALSE)*VLOOKUP($AW108,$AM$3:$AS$33,MATCH("换弹时间",$AM$3:$AS$3,0),FALSE),2))</f>
        <v>1.1599999999999999</v>
      </c>
      <c r="BJ108" s="462">
        <f>IF(VLOOKUP(AW108,坦克个性化设定!$B$18:$BB$48,MATCH("装弹类型",坦克个性化设定!$B$18:$BB$18,0),FALSE)="弹夹换弹",ROUND(VLOOKUP($AW108,$AD$3:$AJ$33,MATCH("换弹时间",$AD$3:$AJ$3,0),FALSE)-$AY108/VLOOKUP(VLOOKUP($AW108,坦克个性化设定!$B$18:$E$48,4,FALSE)&amp;$AX108,坦克属性分配比例,MATCH("升星次数",坦克属性分配比例标头,0),FALSE)*VLOOKUP($AW108,$AM$3:$AS$33,MATCH("换弹时间",$AM$3:$AS$3,0),FALSE),1),0)</f>
        <v>0</v>
      </c>
      <c r="BK108" s="462">
        <f>ROUND(VLOOKUP($AW108,$AD$3:$AJ$33,MATCH(BK$3,$AD$3:$AJ$3,0),FALSE)+$AY108/VLOOKUP(VLOOKUP($AW108,坦克个性化设定!$B$18:$E$48,4,FALSE)&amp;$AX108,坦克属性分配比例,MATCH("升星次数",坦克属性分配比例标头,0),FALSE)*VLOOKUP($AW108,$AM$3:$AS$33,MATCH(BK$3,$AM$3:$AS$3,0),FALSE),2)</f>
        <v>0.4</v>
      </c>
      <c r="BL108" s="462">
        <f>ROUND(VLOOKUP($AW108,$AD$3:$AJ$33,MATCH(BL$3,$AD$3:$AJ$3,0),FALSE)-$AY108/VLOOKUP(VLOOKUP($AW108,坦克个性化设定!$B$18:$E$48,4,FALSE)&amp;$AX108,坦克属性分配比例,MATCH("升星次数",坦克属性分配比例标头,0),FALSE)*VLOOKUP($AW108,$AM$3:$AS$33,MATCH(BL$3,$AM$3:$AS$3,0),FALSE),2)</f>
        <v>1.08</v>
      </c>
    </row>
    <row r="109" spans="47:64" x14ac:dyDescent="0.35">
      <c r="AU109" s="364" t="str">
        <f t="shared" si="19"/>
        <v>BMP-313</v>
      </c>
      <c r="AV109" s="183">
        <f>IF(AY108&gt;=VLOOKUP(VLOOKUP(AW108,坦克个性化设定!$B$18:$E$48,4,FALSE)&amp;AX108,坦克属性分配比例,MATCH("升星次数",坦克属性分配比例标头,0),FALSE),AV108+1,AV108)</f>
        <v>9</v>
      </c>
      <c r="AW109" s="131" t="str">
        <f t="shared" si="20"/>
        <v>BMP-3</v>
      </c>
      <c r="AX109" s="177" t="str">
        <f>VLOOKUP(AW109,坦克个性化细分!$I$3:$J$33,2,FALSE)</f>
        <v>高</v>
      </c>
      <c r="AY109" s="183">
        <f t="shared" si="18"/>
        <v>13</v>
      </c>
      <c r="AZ109" s="486">
        <f ca="1">ROUND(VLOOKUP($AW109&amp;"初始",$O$3:$AA$63,MATCH(AZ$3,$O$3:$AA$3,0),FALSE)+((VLOOKUP($AW109&amp;"最终",$O$3:$AA$63,MATCH(AZ$3,$O$3:$AA$3,0),FALSE)*坦克个性化细分!$C$9-VLOOKUP($AW109&amp;"初始",$O$3:$AA$63,MATCH(AZ$3,$O$3:$AA$3,0),FALSE))-(VLOOKUP($AW109&amp;"最终",$O$3:$AA$63,MATCH(AZ$3,$O$3:$AA$3,0),FALSE)-VLOOKUP($AW109&amp;"初始",$O$3:$AA$63,MATCH(AZ$3,$O$3:$AA$3,0),FALSE))*VLOOKUP(VLOOKUP($AW109,坦克个性化设定!$B$18:$E$48,4,FALSE)&amp;$AX109,坦克属性分配比例,MATCH("部件比例",坦克属性分配比例标头,0),FALSE))*$AY109/VLOOKUP(VLOOKUP($AW109,坦克个性化设定!$B$18:$E$48,4,FALSE)&amp;$AX109,坦克属性分配比例,MATCH("升星次数",坦克属性分配比例标头,0),FALSE),0)</f>
        <v>3283</v>
      </c>
      <c r="BA109" s="426">
        <f ca="1">ROUND(VLOOKUP($AW109&amp;"初始",$O$3:$AA$63,MATCH(BA$3,$O$3:$AA$3,0),FALSE)+(VLOOKUP($AW109&amp;"最终",$O$3:$AA$63,MATCH(BA$3,$O$3:$AA$3,0),FALSE)-VLOOKUP($AW109&amp;"初始",$O$3:$AA$63,MATCH(BA$3,$O$3:$AA$3,0),FALSE))*$AY109/VLOOKUP(VLOOKUP($AW109,坦克个性化设定!$B$18:$E$48,4,FALSE)&amp;$AX109,坦克属性分配比例,MATCH("升星次数",坦克属性分配比例标头,0),FALSE)*VLOOKUP(VLOOKUP($AW109,坦克个性化设定!$B$18:$E$48,4,FALSE)&amp;$AX109,坦克属性分配比例,MATCH("升星比例",坦克属性分配比例标头,0),FALSE),0)</f>
        <v>128</v>
      </c>
      <c r="BB109" s="486">
        <f ca="1">ROUND(VLOOKUP($AW109&amp;"初始",$O$3:$AA$63,MATCH(BB$3,$O$3:$AA$3,0),FALSE)+(VLOOKUP($AW109&amp;"最终",$O$3:$AA$63,MATCH(BB$3,$O$3:$AA$3,0),FALSE)-VLOOKUP($AW109&amp;"初始",$O$3:$AA$63,MATCH(BB$3,$O$3:$AA$3,0),FALSE))*$AY109/VLOOKUP(VLOOKUP($AW109,坦克个性化设定!$B$18:$E$48,4,FALSE)&amp;$AX109,坦克属性分配比例,MATCH("升星次数",坦克属性分配比例标头,0),FALSE)*(VLOOKUP(VLOOKUP($AW109,坦克个性化设定!$B$18:$E$48,4,FALSE)&amp;$AX109,坦克属性分配比例,MATCH("升星比例",坦克属性分配比例标头,0),FALSE)+VLOOKUP(VLOOKUP($AW109,坦克个性化设定!$B$18:$E$48,4,FALSE)&amp;$AX109,坦克属性分配比例,MATCH("部件比例",坦克属性分配比例标头,0),FALSE)*$C$3),0)</f>
        <v>969</v>
      </c>
      <c r="BC109" s="486">
        <f ca="1">ROUND(VLOOKUP($AW109&amp;"初始",$O$3:$AA$63,MATCH(BC$3,$O$3:$AA$3,0),FALSE)+(VLOOKUP($AW109&amp;"最终",$O$3:$AA$63,MATCH(BC$3,$O$3:$AA$3,0),FALSE)-VLOOKUP($AW109&amp;"初始",$O$3:$AA$63,MATCH(BC$3,$O$3:$AA$3,0),FALSE))*$AY109/VLOOKUP(VLOOKUP($AW109,坦克个性化设定!$B$18:$E$48,4,FALSE)&amp;$AX109,坦克属性分配比例,MATCH("升星次数",坦克属性分配比例标头,0),FALSE)*(VLOOKUP(VLOOKUP($AW109,坦克个性化设定!$B$18:$E$48,4,FALSE)&amp;$AX109,坦克属性分配比例,MATCH("升星比例",坦克属性分配比例标头,0),FALSE)+VLOOKUP(VLOOKUP($AW109,坦克个性化设定!$B$18:$E$48,4,FALSE)&amp;$AX109,坦克属性分配比例,MATCH("部件比例",坦克属性分配比例标头,0),FALSE)*$C$3),0)</f>
        <v>678</v>
      </c>
      <c r="BD109" s="426">
        <f ca="1">ROUND(VLOOKUP($AW109&amp;"初始",$O$3:$AA$63,MATCH(BD$3,$O$3:$AA$3,0),FALSE)+(VLOOKUP($AW109&amp;"最终",$O$3:$AA$63,MATCH(BD$3,$O$3:$AA$3,0),FALSE)-VLOOKUP($AW109&amp;"初始",$O$3:$AA$63,MATCH(BD$3,$O$3:$AA$3,0),FALSE))*$AY109/VLOOKUP(VLOOKUP($AW109,坦克个性化设定!$B$18:$E$48,4,FALSE)&amp;$AX109,坦克属性分配比例,MATCH("升星次数",坦克属性分配比例标头,0),FALSE)*VLOOKUP(VLOOKUP($AW109,坦克个性化设定!$B$18:$E$48,4,FALSE)&amp;$AX109,坦克属性分配比例,MATCH("升星比例",坦克属性分配比例标头,0),FALSE),0)</f>
        <v>827</v>
      </c>
      <c r="BE109" s="426">
        <f ca="1">ROUND(VLOOKUP($AW109&amp;"初始",$O$3:$AA$63,MATCH(BE$3,$O$3:$AA$3,0),FALSE)+(VLOOKUP($AW109&amp;"最终",$O$3:$AA$63,MATCH(BE$3,$O$3:$AA$3,0),FALSE)-VLOOKUP($AW109&amp;"初始",$O$3:$AA$63,MATCH(BE$3,$O$3:$AA$3,0),FALSE))*$AY109/VLOOKUP(VLOOKUP($AW109,坦克个性化设定!$B$18:$E$48,4,FALSE)&amp;$AX109,坦克属性分配比例,MATCH("升星次数",坦克属性分配比例标头,0),FALSE),0)</f>
        <v>284</v>
      </c>
      <c r="BF109" s="462">
        <f>ROUND(VLOOKUP($AW109,$AD$3:$AJ$33,MATCH(BF$3,$AD$3:$AJ$3,0),FALSE)+$AY109/VLOOKUP(VLOOKUP($AW109,坦克个性化设定!$B$18:$E$48,4,FALSE)&amp;$AX109,坦克属性分配比例,MATCH("升星次数",坦克属性分配比例标头,0),FALSE)*VLOOKUP($AW109,$AM$3:$AS$33,MATCH(BF$3,$AM$3:$AS$3,0),FALSE),1)</f>
        <v>53</v>
      </c>
      <c r="BG109" s="462">
        <f>ROUND(VLOOKUP($AW109,$AD$3:$AJ$33,MATCH(BG$3,$AD$3:$AJ$3,0),FALSE)+$AY109/VLOOKUP(VLOOKUP($AW109,坦克个性化设定!$B$18:$E$48,4,FALSE)&amp;$AX109,坦克属性分配比例,MATCH("升星次数",坦克属性分配比例标头,0),FALSE)*VLOOKUP($AW109,$AM$3:$AS$33,MATCH(BG$3,$AM$3:$AS$3,0),FALSE),1)</f>
        <v>62.5</v>
      </c>
      <c r="BH109" s="462">
        <f>ROUND(VLOOKUP($AW109,$AD$3:$AJ$33,MATCH(BH$3,$AD$3:$AJ$3,0),FALSE)+$AY109/VLOOKUP(VLOOKUP($AW109,坦克个性化设定!$B$18:$E$48,4,FALSE)&amp;$AX109,坦克属性分配比例,MATCH("升星次数",坦克属性分配比例标头,0),FALSE)*VLOOKUP($AW109,$AM$3:$AS$33,MATCH(BH$3,$AM$3:$AS$3,0),FALSE),1)</f>
        <v>18.2</v>
      </c>
      <c r="BI109" s="654">
        <f>IF(VLOOKUP(AW109,坦克个性化设定!$B$18:$BB$48,MATCH("装弹类型",坦克个性化设定!$B$18:$BB$18,0),FALSE)="弹夹换弹",0,ROUND(VLOOKUP($AW109,$AD$3:$AJ$33,MATCH("换弹时间",$AD$3:$AJ$3,0),FALSE)-$AY109/VLOOKUP(VLOOKUP($AW109,坦克个性化设定!$B$18:$E$48,4,FALSE)&amp;$AX109,坦克属性分配比例,MATCH("升星次数",坦克属性分配比例标头,0),FALSE)*VLOOKUP($AW109,$AM$3:$AS$33,MATCH("换弹时间",$AM$3:$AS$3,0),FALSE),2))</f>
        <v>1.1399999999999999</v>
      </c>
      <c r="BJ109" s="462">
        <f>IF(VLOOKUP(AW109,坦克个性化设定!$B$18:$BB$48,MATCH("装弹类型",坦克个性化设定!$B$18:$BB$18,0),FALSE)="弹夹换弹",ROUND(VLOOKUP($AW109,$AD$3:$AJ$33,MATCH("换弹时间",$AD$3:$AJ$3,0),FALSE)-$AY109/VLOOKUP(VLOOKUP($AW109,坦克个性化设定!$B$18:$E$48,4,FALSE)&amp;$AX109,坦克属性分配比例,MATCH("升星次数",坦克属性分配比例标头,0),FALSE)*VLOOKUP($AW109,$AM$3:$AS$33,MATCH("换弹时间",$AM$3:$AS$3,0),FALSE),1),0)</f>
        <v>0</v>
      </c>
      <c r="BK109" s="462">
        <f>ROUND(VLOOKUP($AW109,$AD$3:$AJ$33,MATCH(BK$3,$AD$3:$AJ$3,0),FALSE)+$AY109/VLOOKUP(VLOOKUP($AW109,坦克个性化设定!$B$18:$E$48,4,FALSE)&amp;$AX109,坦克属性分配比例,MATCH("升星次数",坦克属性分配比例标头,0),FALSE)*VLOOKUP($AW109,$AM$3:$AS$33,MATCH(BK$3,$AM$3:$AS$3,0),FALSE),2)</f>
        <v>0.4</v>
      </c>
      <c r="BL109" s="462">
        <f>ROUND(VLOOKUP($AW109,$AD$3:$AJ$33,MATCH(BL$3,$AD$3:$AJ$3,0),FALSE)-$AY109/VLOOKUP(VLOOKUP($AW109,坦克个性化设定!$B$18:$E$48,4,FALSE)&amp;$AX109,坦克属性分配比例,MATCH("升星次数",坦克属性分配比例标头,0),FALSE)*VLOOKUP($AW109,$AM$3:$AS$33,MATCH(BL$3,$AM$3:$AS$3,0),FALSE),2)</f>
        <v>1.07</v>
      </c>
    </row>
    <row r="110" spans="47:64" x14ac:dyDescent="0.35">
      <c r="AU110" s="364" t="str">
        <f t="shared" si="19"/>
        <v>BMP-314</v>
      </c>
      <c r="AV110" s="183">
        <f>IF(AY109&gt;=VLOOKUP(VLOOKUP(AW109,坦克个性化设定!$B$18:$E$48,4,FALSE)&amp;AX109,坦克属性分配比例,MATCH("升星次数",坦克属性分配比例标头,0),FALSE),AV109+1,AV109)</f>
        <v>9</v>
      </c>
      <c r="AW110" s="131" t="str">
        <f t="shared" si="20"/>
        <v>BMP-3</v>
      </c>
      <c r="AX110" s="177" t="str">
        <f>VLOOKUP(AW110,坦克个性化细分!$I$3:$J$33,2,FALSE)</f>
        <v>高</v>
      </c>
      <c r="AY110" s="183">
        <f t="shared" si="18"/>
        <v>14</v>
      </c>
      <c r="AZ110" s="486">
        <f ca="1">ROUND(VLOOKUP($AW110&amp;"初始",$O$3:$AA$63,MATCH(AZ$3,$O$3:$AA$3,0),FALSE)+((VLOOKUP($AW110&amp;"最终",$O$3:$AA$63,MATCH(AZ$3,$O$3:$AA$3,0),FALSE)*坦克个性化细分!$C$9-VLOOKUP($AW110&amp;"初始",$O$3:$AA$63,MATCH(AZ$3,$O$3:$AA$3,0),FALSE))-(VLOOKUP($AW110&amp;"最终",$O$3:$AA$63,MATCH(AZ$3,$O$3:$AA$3,0),FALSE)-VLOOKUP($AW110&amp;"初始",$O$3:$AA$63,MATCH(AZ$3,$O$3:$AA$3,0),FALSE))*VLOOKUP(VLOOKUP($AW110,坦克个性化设定!$B$18:$E$48,4,FALSE)&amp;$AX110,坦克属性分配比例,MATCH("部件比例",坦克属性分配比例标头,0),FALSE))*$AY110/VLOOKUP(VLOOKUP($AW110,坦克个性化设定!$B$18:$E$48,4,FALSE)&amp;$AX110,坦克属性分配比例,MATCH("升星次数",坦克属性分配比例标头,0),FALSE),0)</f>
        <v>3394</v>
      </c>
      <c r="BA110" s="426">
        <f ca="1">ROUND(VLOOKUP($AW110&amp;"初始",$O$3:$AA$63,MATCH(BA$3,$O$3:$AA$3,0),FALSE)+(VLOOKUP($AW110&amp;"最终",$O$3:$AA$63,MATCH(BA$3,$O$3:$AA$3,0),FALSE)-VLOOKUP($AW110&amp;"初始",$O$3:$AA$63,MATCH(BA$3,$O$3:$AA$3,0),FALSE))*$AY110/VLOOKUP(VLOOKUP($AW110,坦克个性化设定!$B$18:$E$48,4,FALSE)&amp;$AX110,坦克属性分配比例,MATCH("升星次数",坦克属性分配比例标头,0),FALSE)*VLOOKUP(VLOOKUP($AW110,坦克个性化设定!$B$18:$E$48,4,FALSE)&amp;$AX110,坦克属性分配比例,MATCH("升星比例",坦克属性分配比例标头,0),FALSE),0)</f>
        <v>131</v>
      </c>
      <c r="BB110" s="486">
        <f ca="1">ROUND(VLOOKUP($AW110&amp;"初始",$O$3:$AA$63,MATCH(BB$3,$O$3:$AA$3,0),FALSE)+(VLOOKUP($AW110&amp;"最终",$O$3:$AA$63,MATCH(BB$3,$O$3:$AA$3,0),FALSE)-VLOOKUP($AW110&amp;"初始",$O$3:$AA$63,MATCH(BB$3,$O$3:$AA$3,0),FALSE))*$AY110/VLOOKUP(VLOOKUP($AW110,坦克个性化设定!$B$18:$E$48,4,FALSE)&amp;$AX110,坦克属性分配比例,MATCH("升星次数",坦克属性分配比例标头,0),FALSE)*(VLOOKUP(VLOOKUP($AW110,坦克个性化设定!$B$18:$E$48,4,FALSE)&amp;$AX110,坦克属性分配比例,MATCH("升星比例",坦克属性分配比例标头,0),FALSE)+VLOOKUP(VLOOKUP($AW110,坦克个性化设定!$B$18:$E$48,4,FALSE)&amp;$AX110,坦克属性分配比例,MATCH("部件比例",坦克属性分配比例标头,0),FALSE)*$C$3),0)</f>
        <v>996</v>
      </c>
      <c r="BC110" s="486">
        <f ca="1">ROUND(VLOOKUP($AW110&amp;"初始",$O$3:$AA$63,MATCH(BC$3,$O$3:$AA$3,0),FALSE)+(VLOOKUP($AW110&amp;"最终",$O$3:$AA$63,MATCH(BC$3,$O$3:$AA$3,0),FALSE)-VLOOKUP($AW110&amp;"初始",$O$3:$AA$63,MATCH(BC$3,$O$3:$AA$3,0),FALSE))*$AY110/VLOOKUP(VLOOKUP($AW110,坦克个性化设定!$B$18:$E$48,4,FALSE)&amp;$AX110,坦克属性分配比例,MATCH("升星次数",坦克属性分配比例标头,0),FALSE)*(VLOOKUP(VLOOKUP($AW110,坦克个性化设定!$B$18:$E$48,4,FALSE)&amp;$AX110,坦克属性分配比例,MATCH("升星比例",坦克属性分配比例标头,0),FALSE)+VLOOKUP(VLOOKUP($AW110,坦克个性化设定!$B$18:$E$48,4,FALSE)&amp;$AX110,坦克属性分配比例,MATCH("部件比例",坦克属性分配比例标头,0),FALSE)*$C$3),0)</f>
        <v>697</v>
      </c>
      <c r="BD110" s="426">
        <f ca="1">ROUND(VLOOKUP($AW110&amp;"初始",$O$3:$AA$63,MATCH(BD$3,$O$3:$AA$3,0),FALSE)+(VLOOKUP($AW110&amp;"最终",$O$3:$AA$63,MATCH(BD$3,$O$3:$AA$3,0),FALSE)-VLOOKUP($AW110&amp;"初始",$O$3:$AA$63,MATCH(BD$3,$O$3:$AA$3,0),FALSE))*$AY110/VLOOKUP(VLOOKUP($AW110,坦克个性化设定!$B$18:$E$48,4,FALSE)&amp;$AX110,坦克属性分配比例,MATCH("升星次数",坦克属性分配比例标头,0),FALSE)*VLOOKUP(VLOOKUP($AW110,坦克个性化设定!$B$18:$E$48,4,FALSE)&amp;$AX110,坦克属性分配比例,MATCH("升星比例",坦克属性分配比例标头,0),FALSE),0)</f>
        <v>843</v>
      </c>
      <c r="BE110" s="426">
        <f ca="1">ROUND(VLOOKUP($AW110&amp;"初始",$O$3:$AA$63,MATCH(BE$3,$O$3:$AA$3,0),FALSE)+(VLOOKUP($AW110&amp;"最终",$O$3:$AA$63,MATCH(BE$3,$O$3:$AA$3,0),FALSE)-VLOOKUP($AW110&amp;"初始",$O$3:$AA$63,MATCH(BE$3,$O$3:$AA$3,0),FALSE))*$AY110/VLOOKUP(VLOOKUP($AW110,坦克个性化设定!$B$18:$E$48,4,FALSE)&amp;$AX110,坦克属性分配比例,MATCH("升星次数",坦克属性分配比例标头,0),FALSE),0)</f>
        <v>293</v>
      </c>
      <c r="BF110" s="462">
        <f>ROUND(VLOOKUP($AW110,$AD$3:$AJ$33,MATCH(BF$3,$AD$3:$AJ$3,0),FALSE)+$AY110/VLOOKUP(VLOOKUP($AW110,坦克个性化设定!$B$18:$E$48,4,FALSE)&amp;$AX110,坦克属性分配比例,MATCH("升星次数",坦克属性分配比例标头,0),FALSE)*VLOOKUP($AW110,$AM$3:$AS$33,MATCH(BF$3,$AM$3:$AS$3,0),FALSE),1)</f>
        <v>53.7</v>
      </c>
      <c r="BG110" s="462">
        <f>ROUND(VLOOKUP($AW110,$AD$3:$AJ$33,MATCH(BG$3,$AD$3:$AJ$3,0),FALSE)+$AY110/VLOOKUP(VLOOKUP($AW110,坦克个性化设定!$B$18:$E$48,4,FALSE)&amp;$AX110,坦克属性分配比例,MATCH("升星次数",坦克属性分配比例标头,0),FALSE)*VLOOKUP($AW110,$AM$3:$AS$33,MATCH(BG$3,$AM$3:$AS$3,0),FALSE),1)</f>
        <v>63.3</v>
      </c>
      <c r="BH110" s="462">
        <f>ROUND(VLOOKUP($AW110,$AD$3:$AJ$33,MATCH(BH$3,$AD$3:$AJ$3,0),FALSE)+$AY110/VLOOKUP(VLOOKUP($AW110,坦克个性化设定!$B$18:$E$48,4,FALSE)&amp;$AX110,坦克属性分配比例,MATCH("升星次数",坦克属性分配比例标头,0),FALSE)*VLOOKUP($AW110,$AM$3:$AS$33,MATCH(BH$3,$AM$3:$AS$3,0),FALSE),1)</f>
        <v>18.5</v>
      </c>
      <c r="BI110" s="654">
        <f>IF(VLOOKUP(AW110,坦克个性化设定!$B$18:$BB$48,MATCH("装弹类型",坦克个性化设定!$B$18:$BB$18,0),FALSE)="弹夹换弹",0,ROUND(VLOOKUP($AW110,$AD$3:$AJ$33,MATCH("换弹时间",$AD$3:$AJ$3,0),FALSE)-$AY110/VLOOKUP(VLOOKUP($AW110,坦克个性化设定!$B$18:$E$48,4,FALSE)&amp;$AX110,坦克属性分配比例,MATCH("升星次数",坦克属性分配比例标头,0),FALSE)*VLOOKUP($AW110,$AM$3:$AS$33,MATCH("换弹时间",$AM$3:$AS$3,0),FALSE),2))</f>
        <v>1.1100000000000001</v>
      </c>
      <c r="BJ110" s="462">
        <f>IF(VLOOKUP(AW110,坦克个性化设定!$B$18:$BB$48,MATCH("装弹类型",坦克个性化设定!$B$18:$BB$18,0),FALSE)="弹夹换弹",ROUND(VLOOKUP($AW110,$AD$3:$AJ$33,MATCH("换弹时间",$AD$3:$AJ$3,0),FALSE)-$AY110/VLOOKUP(VLOOKUP($AW110,坦克个性化设定!$B$18:$E$48,4,FALSE)&amp;$AX110,坦克属性分配比例,MATCH("升星次数",坦克属性分配比例标头,0),FALSE)*VLOOKUP($AW110,$AM$3:$AS$33,MATCH("换弹时间",$AM$3:$AS$3,0),FALSE),1),0)</f>
        <v>0</v>
      </c>
      <c r="BK110" s="462">
        <f>ROUND(VLOOKUP($AW110,$AD$3:$AJ$33,MATCH(BK$3,$AD$3:$AJ$3,0),FALSE)+$AY110/VLOOKUP(VLOOKUP($AW110,坦克个性化设定!$B$18:$E$48,4,FALSE)&amp;$AX110,坦克属性分配比例,MATCH("升星次数",坦克属性分配比例标头,0),FALSE)*VLOOKUP($AW110,$AM$3:$AS$33,MATCH(BK$3,$AM$3:$AS$3,0),FALSE),2)</f>
        <v>0.4</v>
      </c>
      <c r="BL110" s="462">
        <f>ROUND(VLOOKUP($AW110,$AD$3:$AJ$33,MATCH(BL$3,$AD$3:$AJ$3,0),FALSE)-$AY110/VLOOKUP(VLOOKUP($AW110,坦克个性化设定!$B$18:$E$48,4,FALSE)&amp;$AX110,坦克属性分配比例,MATCH("升星次数",坦克属性分配比例标头,0),FALSE)*VLOOKUP($AW110,$AM$3:$AS$33,MATCH(BL$3,$AM$3:$AS$3,0),FALSE),2)</f>
        <v>1.06</v>
      </c>
    </row>
    <row r="111" spans="47:64" x14ac:dyDescent="0.35">
      <c r="AU111" s="364" t="str">
        <f t="shared" si="19"/>
        <v>BMP-315</v>
      </c>
      <c r="AV111" s="183">
        <f>IF(AY110&gt;=VLOOKUP(VLOOKUP(AW110,坦克个性化设定!$B$18:$E$48,4,FALSE)&amp;AX110,坦克属性分配比例,MATCH("升星次数",坦克属性分配比例标头,0),FALSE),AV110+1,AV110)</f>
        <v>9</v>
      </c>
      <c r="AW111" s="131" t="str">
        <f t="shared" si="20"/>
        <v>BMP-3</v>
      </c>
      <c r="AX111" s="177" t="str">
        <f>VLOOKUP(AW111,坦克个性化细分!$I$3:$J$33,2,FALSE)</f>
        <v>高</v>
      </c>
      <c r="AY111" s="183">
        <f t="shared" si="18"/>
        <v>15</v>
      </c>
      <c r="AZ111" s="486">
        <f ca="1">ROUND(VLOOKUP($AW111&amp;"初始",$O$3:$AA$63,MATCH(AZ$3,$O$3:$AA$3,0),FALSE)+((VLOOKUP($AW111&amp;"最终",$O$3:$AA$63,MATCH(AZ$3,$O$3:$AA$3,0),FALSE)*坦克个性化细分!$C$9-VLOOKUP($AW111&amp;"初始",$O$3:$AA$63,MATCH(AZ$3,$O$3:$AA$3,0),FALSE))-(VLOOKUP($AW111&amp;"最终",$O$3:$AA$63,MATCH(AZ$3,$O$3:$AA$3,0),FALSE)-VLOOKUP($AW111&amp;"初始",$O$3:$AA$63,MATCH(AZ$3,$O$3:$AA$3,0),FALSE))*VLOOKUP(VLOOKUP($AW111,坦克个性化设定!$B$18:$E$48,4,FALSE)&amp;$AX111,坦克属性分配比例,MATCH("部件比例",坦克属性分配比例标头,0),FALSE))*$AY111/VLOOKUP(VLOOKUP($AW111,坦克个性化设定!$B$18:$E$48,4,FALSE)&amp;$AX111,坦克属性分配比例,MATCH("升星次数",坦克属性分配比例标头,0),FALSE),0)</f>
        <v>3505</v>
      </c>
      <c r="BA111" s="426">
        <f ca="1">ROUND(VLOOKUP($AW111&amp;"初始",$O$3:$AA$63,MATCH(BA$3,$O$3:$AA$3,0),FALSE)+(VLOOKUP($AW111&amp;"最终",$O$3:$AA$63,MATCH(BA$3,$O$3:$AA$3,0),FALSE)-VLOOKUP($AW111&amp;"初始",$O$3:$AA$63,MATCH(BA$3,$O$3:$AA$3,0),FALSE))*$AY111/VLOOKUP(VLOOKUP($AW111,坦克个性化设定!$B$18:$E$48,4,FALSE)&amp;$AX111,坦克属性分配比例,MATCH("升星次数",坦克属性分配比例标头,0),FALSE)*VLOOKUP(VLOOKUP($AW111,坦克个性化设定!$B$18:$E$48,4,FALSE)&amp;$AX111,坦克属性分配比例,MATCH("升星比例",坦克属性分配比例标头,0),FALSE),0)</f>
        <v>133</v>
      </c>
      <c r="BB111" s="486">
        <f ca="1">ROUND(VLOOKUP($AW111&amp;"初始",$O$3:$AA$63,MATCH(BB$3,$O$3:$AA$3,0),FALSE)+(VLOOKUP($AW111&amp;"最终",$O$3:$AA$63,MATCH(BB$3,$O$3:$AA$3,0),FALSE)-VLOOKUP($AW111&amp;"初始",$O$3:$AA$63,MATCH(BB$3,$O$3:$AA$3,0),FALSE))*$AY111/VLOOKUP(VLOOKUP($AW111,坦克个性化设定!$B$18:$E$48,4,FALSE)&amp;$AX111,坦克属性分配比例,MATCH("升星次数",坦克属性分配比例标头,0),FALSE)*(VLOOKUP(VLOOKUP($AW111,坦克个性化设定!$B$18:$E$48,4,FALSE)&amp;$AX111,坦克属性分配比例,MATCH("升星比例",坦克属性分配比例标头,0),FALSE)+VLOOKUP(VLOOKUP($AW111,坦克个性化设定!$B$18:$E$48,4,FALSE)&amp;$AX111,坦克属性分配比例,MATCH("部件比例",坦克属性分配比例标头,0),FALSE)*$C$3),0)</f>
        <v>1022</v>
      </c>
      <c r="BC111" s="486">
        <f ca="1">ROUND(VLOOKUP($AW111&amp;"初始",$O$3:$AA$63,MATCH(BC$3,$O$3:$AA$3,0),FALSE)+(VLOOKUP($AW111&amp;"最终",$O$3:$AA$63,MATCH(BC$3,$O$3:$AA$3,0),FALSE)-VLOOKUP($AW111&amp;"初始",$O$3:$AA$63,MATCH(BC$3,$O$3:$AA$3,0),FALSE))*$AY111/VLOOKUP(VLOOKUP($AW111,坦克个性化设定!$B$18:$E$48,4,FALSE)&amp;$AX111,坦克属性分配比例,MATCH("升星次数",坦克属性分配比例标头,0),FALSE)*(VLOOKUP(VLOOKUP($AW111,坦克个性化设定!$B$18:$E$48,4,FALSE)&amp;$AX111,坦克属性分配比例,MATCH("升星比例",坦克属性分配比例标头,0),FALSE)+VLOOKUP(VLOOKUP($AW111,坦克个性化设定!$B$18:$E$48,4,FALSE)&amp;$AX111,坦克属性分配比例,MATCH("部件比例",坦克属性分配比例标头,0),FALSE)*$C$3),0)</f>
        <v>716</v>
      </c>
      <c r="BD111" s="426">
        <f ca="1">ROUND(VLOOKUP($AW111&amp;"初始",$O$3:$AA$63,MATCH(BD$3,$O$3:$AA$3,0),FALSE)+(VLOOKUP($AW111&amp;"最终",$O$3:$AA$63,MATCH(BD$3,$O$3:$AA$3,0),FALSE)-VLOOKUP($AW111&amp;"初始",$O$3:$AA$63,MATCH(BD$3,$O$3:$AA$3,0),FALSE))*$AY111/VLOOKUP(VLOOKUP($AW111,坦克个性化设定!$B$18:$E$48,4,FALSE)&amp;$AX111,坦克属性分配比例,MATCH("升星次数",坦克属性分配比例标头,0),FALSE)*VLOOKUP(VLOOKUP($AW111,坦克个性化设定!$B$18:$E$48,4,FALSE)&amp;$AX111,坦克属性分配比例,MATCH("升星比例",坦克属性分配比例标头,0),FALSE),0)</f>
        <v>859</v>
      </c>
      <c r="BE111" s="426">
        <f ca="1">ROUND(VLOOKUP($AW111&amp;"初始",$O$3:$AA$63,MATCH(BE$3,$O$3:$AA$3,0),FALSE)+(VLOOKUP($AW111&amp;"最终",$O$3:$AA$63,MATCH(BE$3,$O$3:$AA$3,0),FALSE)-VLOOKUP($AW111&amp;"初始",$O$3:$AA$63,MATCH(BE$3,$O$3:$AA$3,0),FALSE))*$AY111/VLOOKUP(VLOOKUP($AW111,坦克个性化设定!$B$18:$E$48,4,FALSE)&amp;$AX111,坦克属性分配比例,MATCH("升星次数",坦克属性分配比例标头,0),FALSE),0)</f>
        <v>302</v>
      </c>
      <c r="BF111" s="462">
        <f>ROUND(VLOOKUP($AW111,$AD$3:$AJ$33,MATCH(BF$3,$AD$3:$AJ$3,0),FALSE)+$AY111/VLOOKUP(VLOOKUP($AW111,坦克个性化设定!$B$18:$E$48,4,FALSE)&amp;$AX111,坦克属性分配比例,MATCH("升星次数",坦克属性分配比例标头,0),FALSE)*VLOOKUP($AW111,$AM$3:$AS$33,MATCH(BF$3,$AM$3:$AS$3,0),FALSE),1)</f>
        <v>54.3</v>
      </c>
      <c r="BG111" s="462">
        <f>ROUND(VLOOKUP($AW111,$AD$3:$AJ$33,MATCH(BG$3,$AD$3:$AJ$3,0),FALSE)+$AY111/VLOOKUP(VLOOKUP($AW111,坦克个性化设定!$B$18:$E$48,4,FALSE)&amp;$AX111,坦克属性分配比例,MATCH("升星次数",坦克属性分配比例标头,0),FALSE)*VLOOKUP($AW111,$AM$3:$AS$33,MATCH(BG$3,$AM$3:$AS$3,0),FALSE),1)</f>
        <v>64.099999999999994</v>
      </c>
      <c r="BH111" s="462">
        <f>ROUND(VLOOKUP($AW111,$AD$3:$AJ$33,MATCH(BH$3,$AD$3:$AJ$3,0),FALSE)+$AY111/VLOOKUP(VLOOKUP($AW111,坦克个性化设定!$B$18:$E$48,4,FALSE)&amp;$AX111,坦克属性分配比例,MATCH("升星次数",坦克属性分配比例标头,0),FALSE)*VLOOKUP($AW111,$AM$3:$AS$33,MATCH(BH$3,$AM$3:$AS$3,0),FALSE),1)</f>
        <v>18.8</v>
      </c>
      <c r="BI111" s="654">
        <f>IF(VLOOKUP(AW111,坦克个性化设定!$B$18:$BB$48,MATCH("装弹类型",坦克个性化设定!$B$18:$BB$18,0),FALSE)="弹夹换弹",0,ROUND(VLOOKUP($AW111,$AD$3:$AJ$33,MATCH("换弹时间",$AD$3:$AJ$3,0),FALSE)-$AY111/VLOOKUP(VLOOKUP($AW111,坦克个性化设定!$B$18:$E$48,4,FALSE)&amp;$AX111,坦克属性分配比例,MATCH("升星次数",坦克属性分配比例标头,0),FALSE)*VLOOKUP($AW111,$AM$3:$AS$33,MATCH("换弹时间",$AM$3:$AS$3,0),FALSE),2))</f>
        <v>1.0900000000000001</v>
      </c>
      <c r="BJ111" s="462">
        <f>IF(VLOOKUP(AW111,坦克个性化设定!$B$18:$BB$48,MATCH("装弹类型",坦克个性化设定!$B$18:$BB$18,0),FALSE)="弹夹换弹",ROUND(VLOOKUP($AW111,$AD$3:$AJ$33,MATCH("换弹时间",$AD$3:$AJ$3,0),FALSE)-$AY111/VLOOKUP(VLOOKUP($AW111,坦克个性化设定!$B$18:$E$48,4,FALSE)&amp;$AX111,坦克属性分配比例,MATCH("升星次数",坦克属性分配比例标头,0),FALSE)*VLOOKUP($AW111,$AM$3:$AS$33,MATCH("换弹时间",$AM$3:$AS$3,0),FALSE),1),0)</f>
        <v>0</v>
      </c>
      <c r="BK111" s="462">
        <f>ROUND(VLOOKUP($AW111,$AD$3:$AJ$33,MATCH(BK$3,$AD$3:$AJ$3,0),FALSE)+$AY111/VLOOKUP(VLOOKUP($AW111,坦克个性化设定!$B$18:$E$48,4,FALSE)&amp;$AX111,坦克属性分配比例,MATCH("升星次数",坦克属性分配比例标头,0),FALSE)*VLOOKUP($AW111,$AM$3:$AS$33,MATCH(BK$3,$AM$3:$AS$3,0),FALSE),2)</f>
        <v>0.4</v>
      </c>
      <c r="BL111" s="462">
        <f>ROUND(VLOOKUP($AW111,$AD$3:$AJ$33,MATCH(BL$3,$AD$3:$AJ$3,0),FALSE)-$AY111/VLOOKUP(VLOOKUP($AW111,坦克个性化设定!$B$18:$E$48,4,FALSE)&amp;$AX111,坦克属性分配比例,MATCH("升星次数",坦克属性分配比例标头,0),FALSE)*VLOOKUP($AW111,$AM$3:$AS$33,MATCH(BL$3,$AM$3:$AS$3,0),FALSE),2)</f>
        <v>1.04</v>
      </c>
    </row>
    <row r="112" spans="47:64" x14ac:dyDescent="0.35">
      <c r="AU112" s="364" t="str">
        <f t="shared" si="19"/>
        <v>BMP-316</v>
      </c>
      <c r="AV112" s="183">
        <f>IF(AY111&gt;=VLOOKUP(VLOOKUP(AW111,坦克个性化设定!$B$18:$E$48,4,FALSE)&amp;AX111,坦克属性分配比例,MATCH("升星次数",坦克属性分配比例标头,0),FALSE),AV111+1,AV111)</f>
        <v>9</v>
      </c>
      <c r="AW112" s="131" t="str">
        <f t="shared" si="20"/>
        <v>BMP-3</v>
      </c>
      <c r="AX112" s="177" t="str">
        <f>VLOOKUP(AW112,坦克个性化细分!$I$3:$J$33,2,FALSE)</f>
        <v>高</v>
      </c>
      <c r="AY112" s="183">
        <f t="shared" si="18"/>
        <v>16</v>
      </c>
      <c r="AZ112" s="486">
        <f ca="1">ROUND(VLOOKUP($AW112&amp;"初始",$O$3:$AA$63,MATCH(AZ$3,$O$3:$AA$3,0),FALSE)+((VLOOKUP($AW112&amp;"最终",$O$3:$AA$63,MATCH(AZ$3,$O$3:$AA$3,0),FALSE)*坦克个性化细分!$C$9-VLOOKUP($AW112&amp;"初始",$O$3:$AA$63,MATCH(AZ$3,$O$3:$AA$3,0),FALSE))-(VLOOKUP($AW112&amp;"最终",$O$3:$AA$63,MATCH(AZ$3,$O$3:$AA$3,0),FALSE)-VLOOKUP($AW112&amp;"初始",$O$3:$AA$63,MATCH(AZ$3,$O$3:$AA$3,0),FALSE))*VLOOKUP(VLOOKUP($AW112,坦克个性化设定!$B$18:$E$48,4,FALSE)&amp;$AX112,坦克属性分配比例,MATCH("部件比例",坦克属性分配比例标头,0),FALSE))*$AY112/VLOOKUP(VLOOKUP($AW112,坦克个性化设定!$B$18:$E$48,4,FALSE)&amp;$AX112,坦克属性分配比例,MATCH("升星次数",坦克属性分配比例标头,0),FALSE),0)</f>
        <v>3616</v>
      </c>
      <c r="BA112" s="426">
        <f ca="1">ROUND(VLOOKUP($AW112&amp;"初始",$O$3:$AA$63,MATCH(BA$3,$O$3:$AA$3,0),FALSE)+(VLOOKUP($AW112&amp;"最终",$O$3:$AA$63,MATCH(BA$3,$O$3:$AA$3,0),FALSE)-VLOOKUP($AW112&amp;"初始",$O$3:$AA$63,MATCH(BA$3,$O$3:$AA$3,0),FALSE))*$AY112/VLOOKUP(VLOOKUP($AW112,坦克个性化设定!$B$18:$E$48,4,FALSE)&amp;$AX112,坦克属性分配比例,MATCH("升星次数",坦克属性分配比例标头,0),FALSE)*VLOOKUP(VLOOKUP($AW112,坦克个性化设定!$B$18:$E$48,4,FALSE)&amp;$AX112,坦克属性分配比例,MATCH("升星比例",坦克属性分配比例标头,0),FALSE),0)</f>
        <v>136</v>
      </c>
      <c r="BB112" s="486">
        <f ca="1">ROUND(VLOOKUP($AW112&amp;"初始",$O$3:$AA$63,MATCH(BB$3,$O$3:$AA$3,0),FALSE)+(VLOOKUP($AW112&amp;"最终",$O$3:$AA$63,MATCH(BB$3,$O$3:$AA$3,0),FALSE)-VLOOKUP($AW112&amp;"初始",$O$3:$AA$63,MATCH(BB$3,$O$3:$AA$3,0),FALSE))*$AY112/VLOOKUP(VLOOKUP($AW112,坦克个性化设定!$B$18:$E$48,4,FALSE)&amp;$AX112,坦克属性分配比例,MATCH("升星次数",坦克属性分配比例标头,0),FALSE)*(VLOOKUP(VLOOKUP($AW112,坦克个性化设定!$B$18:$E$48,4,FALSE)&amp;$AX112,坦克属性分配比例,MATCH("升星比例",坦克属性分配比例标头,0),FALSE)+VLOOKUP(VLOOKUP($AW112,坦克个性化设定!$B$18:$E$48,4,FALSE)&amp;$AX112,坦克属性分配比例,MATCH("部件比例",坦克属性分配比例标头,0),FALSE)*$C$3),0)</f>
        <v>1049</v>
      </c>
      <c r="BC112" s="486">
        <f ca="1">ROUND(VLOOKUP($AW112&amp;"初始",$O$3:$AA$63,MATCH(BC$3,$O$3:$AA$3,0),FALSE)+(VLOOKUP($AW112&amp;"最终",$O$3:$AA$63,MATCH(BC$3,$O$3:$AA$3,0),FALSE)-VLOOKUP($AW112&amp;"初始",$O$3:$AA$63,MATCH(BC$3,$O$3:$AA$3,0),FALSE))*$AY112/VLOOKUP(VLOOKUP($AW112,坦克个性化设定!$B$18:$E$48,4,FALSE)&amp;$AX112,坦克属性分配比例,MATCH("升星次数",坦克属性分配比例标头,0),FALSE)*(VLOOKUP(VLOOKUP($AW112,坦克个性化设定!$B$18:$E$48,4,FALSE)&amp;$AX112,坦克属性分配比例,MATCH("升星比例",坦克属性分配比例标头,0),FALSE)+VLOOKUP(VLOOKUP($AW112,坦克个性化设定!$B$18:$E$48,4,FALSE)&amp;$AX112,坦克属性分配比例,MATCH("部件比例",坦克属性分配比例标头,0),FALSE)*$C$3),0)</f>
        <v>735</v>
      </c>
      <c r="BD112" s="426">
        <f ca="1">ROUND(VLOOKUP($AW112&amp;"初始",$O$3:$AA$63,MATCH(BD$3,$O$3:$AA$3,0),FALSE)+(VLOOKUP($AW112&amp;"最终",$O$3:$AA$63,MATCH(BD$3,$O$3:$AA$3,0),FALSE)-VLOOKUP($AW112&amp;"初始",$O$3:$AA$63,MATCH(BD$3,$O$3:$AA$3,0),FALSE))*$AY112/VLOOKUP(VLOOKUP($AW112,坦克个性化设定!$B$18:$E$48,4,FALSE)&amp;$AX112,坦克属性分配比例,MATCH("升星次数",坦克属性分配比例标头,0),FALSE)*VLOOKUP(VLOOKUP($AW112,坦克个性化设定!$B$18:$E$48,4,FALSE)&amp;$AX112,坦克属性分配比例,MATCH("升星比例",坦克属性分配比例标头,0),FALSE),0)</f>
        <v>875</v>
      </c>
      <c r="BE112" s="426">
        <f ca="1">ROUND(VLOOKUP($AW112&amp;"初始",$O$3:$AA$63,MATCH(BE$3,$O$3:$AA$3,0),FALSE)+(VLOOKUP($AW112&amp;"最终",$O$3:$AA$63,MATCH(BE$3,$O$3:$AA$3,0),FALSE)-VLOOKUP($AW112&amp;"初始",$O$3:$AA$63,MATCH(BE$3,$O$3:$AA$3,0),FALSE))*$AY112/VLOOKUP(VLOOKUP($AW112,坦克个性化设定!$B$18:$E$48,4,FALSE)&amp;$AX112,坦克属性分配比例,MATCH("升星次数",坦克属性分配比例标头,0),FALSE),0)</f>
        <v>311</v>
      </c>
      <c r="BF112" s="462">
        <f>ROUND(VLOOKUP($AW112,$AD$3:$AJ$33,MATCH(BF$3,$AD$3:$AJ$3,0),FALSE)+$AY112/VLOOKUP(VLOOKUP($AW112,坦克个性化设定!$B$18:$E$48,4,FALSE)&amp;$AX112,坦克属性分配比例,MATCH("升星次数",坦克属性分配比例标头,0),FALSE)*VLOOKUP($AW112,$AM$3:$AS$33,MATCH(BF$3,$AM$3:$AS$3,0),FALSE),1)</f>
        <v>55</v>
      </c>
      <c r="BG112" s="462">
        <f>ROUND(VLOOKUP($AW112,$AD$3:$AJ$33,MATCH(BG$3,$AD$3:$AJ$3,0),FALSE)+$AY112/VLOOKUP(VLOOKUP($AW112,坦克个性化设定!$B$18:$E$48,4,FALSE)&amp;$AX112,坦克属性分配比例,MATCH("升星次数",坦克属性分配比例标头,0),FALSE)*VLOOKUP($AW112,$AM$3:$AS$33,MATCH(BG$3,$AM$3:$AS$3,0),FALSE),1)</f>
        <v>64.900000000000006</v>
      </c>
      <c r="BH112" s="462">
        <f>ROUND(VLOOKUP($AW112,$AD$3:$AJ$33,MATCH(BH$3,$AD$3:$AJ$3,0),FALSE)+$AY112/VLOOKUP(VLOOKUP($AW112,坦克个性化设定!$B$18:$E$48,4,FALSE)&amp;$AX112,坦克属性分配比例,MATCH("升星次数",坦克属性分配比例标头,0),FALSE)*VLOOKUP($AW112,$AM$3:$AS$33,MATCH(BH$3,$AM$3:$AS$3,0),FALSE),1)</f>
        <v>19.100000000000001</v>
      </c>
      <c r="BI112" s="654">
        <f>IF(VLOOKUP(AW112,坦克个性化设定!$B$18:$BB$48,MATCH("装弹类型",坦克个性化设定!$B$18:$BB$18,0),FALSE)="弹夹换弹",0,ROUND(VLOOKUP($AW112,$AD$3:$AJ$33,MATCH("换弹时间",$AD$3:$AJ$3,0),FALSE)-$AY112/VLOOKUP(VLOOKUP($AW112,坦克个性化设定!$B$18:$E$48,4,FALSE)&amp;$AX112,坦克属性分配比例,MATCH("升星次数",坦克属性分配比例标头,0),FALSE)*VLOOKUP($AW112,$AM$3:$AS$33,MATCH("换弹时间",$AM$3:$AS$3,0),FALSE),2))</f>
        <v>1.07</v>
      </c>
      <c r="BJ112" s="462">
        <f>IF(VLOOKUP(AW112,坦克个性化设定!$B$18:$BB$48,MATCH("装弹类型",坦克个性化设定!$B$18:$BB$18,0),FALSE)="弹夹换弹",ROUND(VLOOKUP($AW112,$AD$3:$AJ$33,MATCH("换弹时间",$AD$3:$AJ$3,0),FALSE)-$AY112/VLOOKUP(VLOOKUP($AW112,坦克个性化设定!$B$18:$E$48,4,FALSE)&amp;$AX112,坦克属性分配比例,MATCH("升星次数",坦克属性分配比例标头,0),FALSE)*VLOOKUP($AW112,$AM$3:$AS$33,MATCH("换弹时间",$AM$3:$AS$3,0),FALSE),1),0)</f>
        <v>0</v>
      </c>
      <c r="BK112" s="462">
        <f>ROUND(VLOOKUP($AW112,$AD$3:$AJ$33,MATCH(BK$3,$AD$3:$AJ$3,0),FALSE)+$AY112/VLOOKUP(VLOOKUP($AW112,坦克个性化设定!$B$18:$E$48,4,FALSE)&amp;$AX112,坦克属性分配比例,MATCH("升星次数",坦克属性分配比例标头,0),FALSE)*VLOOKUP($AW112,$AM$3:$AS$33,MATCH(BK$3,$AM$3:$AS$3,0),FALSE),2)</f>
        <v>0.4</v>
      </c>
      <c r="BL112" s="462">
        <f>ROUND(VLOOKUP($AW112,$AD$3:$AJ$33,MATCH(BL$3,$AD$3:$AJ$3,0),FALSE)-$AY112/VLOOKUP(VLOOKUP($AW112,坦克个性化设定!$B$18:$E$48,4,FALSE)&amp;$AX112,坦克属性分配比例,MATCH("升星次数",坦克属性分配比例标头,0),FALSE)*VLOOKUP($AW112,$AM$3:$AS$33,MATCH(BL$3,$AM$3:$AS$3,0),FALSE),2)</f>
        <v>1.03</v>
      </c>
    </row>
    <row r="113" spans="47:64" x14ac:dyDescent="0.35">
      <c r="AU113" s="364" t="str">
        <f t="shared" si="19"/>
        <v>BMP-317</v>
      </c>
      <c r="AV113" s="183">
        <f>IF(AY112&gt;=VLOOKUP(VLOOKUP(AW112,坦克个性化设定!$B$18:$E$48,4,FALSE)&amp;AX112,坦克属性分配比例,MATCH("升星次数",坦克属性分配比例标头,0),FALSE),AV112+1,AV112)</f>
        <v>9</v>
      </c>
      <c r="AW113" s="131" t="str">
        <f t="shared" si="20"/>
        <v>BMP-3</v>
      </c>
      <c r="AX113" s="177" t="str">
        <f>VLOOKUP(AW113,坦克个性化细分!$I$3:$J$33,2,FALSE)</f>
        <v>高</v>
      </c>
      <c r="AY113" s="183">
        <f t="shared" si="18"/>
        <v>17</v>
      </c>
      <c r="AZ113" s="486">
        <f ca="1">ROUND(VLOOKUP($AW113&amp;"初始",$O$3:$AA$63,MATCH(AZ$3,$O$3:$AA$3,0),FALSE)+((VLOOKUP($AW113&amp;"最终",$O$3:$AA$63,MATCH(AZ$3,$O$3:$AA$3,0),FALSE)*坦克个性化细分!$C$9-VLOOKUP($AW113&amp;"初始",$O$3:$AA$63,MATCH(AZ$3,$O$3:$AA$3,0),FALSE))-(VLOOKUP($AW113&amp;"最终",$O$3:$AA$63,MATCH(AZ$3,$O$3:$AA$3,0),FALSE)-VLOOKUP($AW113&amp;"初始",$O$3:$AA$63,MATCH(AZ$3,$O$3:$AA$3,0),FALSE))*VLOOKUP(VLOOKUP($AW113,坦克个性化设定!$B$18:$E$48,4,FALSE)&amp;$AX113,坦克属性分配比例,MATCH("部件比例",坦克属性分配比例标头,0),FALSE))*$AY113/VLOOKUP(VLOOKUP($AW113,坦克个性化设定!$B$18:$E$48,4,FALSE)&amp;$AX113,坦克属性分配比例,MATCH("升星次数",坦克属性分配比例标头,0),FALSE),0)</f>
        <v>3727</v>
      </c>
      <c r="BA113" s="426">
        <f ca="1">ROUND(VLOOKUP($AW113&amp;"初始",$O$3:$AA$63,MATCH(BA$3,$O$3:$AA$3,0),FALSE)+(VLOOKUP($AW113&amp;"最终",$O$3:$AA$63,MATCH(BA$3,$O$3:$AA$3,0),FALSE)-VLOOKUP($AW113&amp;"初始",$O$3:$AA$63,MATCH(BA$3,$O$3:$AA$3,0),FALSE))*$AY113/VLOOKUP(VLOOKUP($AW113,坦克个性化设定!$B$18:$E$48,4,FALSE)&amp;$AX113,坦克属性分配比例,MATCH("升星次数",坦克属性分配比例标头,0),FALSE)*VLOOKUP(VLOOKUP($AW113,坦克个性化设定!$B$18:$E$48,4,FALSE)&amp;$AX113,坦克属性分配比例,MATCH("升星比例",坦克属性分配比例标头,0),FALSE),0)</f>
        <v>138</v>
      </c>
      <c r="BB113" s="486">
        <f ca="1">ROUND(VLOOKUP($AW113&amp;"初始",$O$3:$AA$63,MATCH(BB$3,$O$3:$AA$3,0),FALSE)+(VLOOKUP($AW113&amp;"最终",$O$3:$AA$63,MATCH(BB$3,$O$3:$AA$3,0),FALSE)-VLOOKUP($AW113&amp;"初始",$O$3:$AA$63,MATCH(BB$3,$O$3:$AA$3,0),FALSE))*$AY113/VLOOKUP(VLOOKUP($AW113,坦克个性化设定!$B$18:$E$48,4,FALSE)&amp;$AX113,坦克属性分配比例,MATCH("升星次数",坦克属性分配比例标头,0),FALSE)*(VLOOKUP(VLOOKUP($AW113,坦克个性化设定!$B$18:$E$48,4,FALSE)&amp;$AX113,坦克属性分配比例,MATCH("升星比例",坦克属性分配比例标头,0),FALSE)+VLOOKUP(VLOOKUP($AW113,坦克个性化设定!$B$18:$E$48,4,FALSE)&amp;$AX113,坦克属性分配比例,MATCH("部件比例",坦克属性分配比例标头,0),FALSE)*$C$3),0)</f>
        <v>1076</v>
      </c>
      <c r="BC113" s="486">
        <f ca="1">ROUND(VLOOKUP($AW113&amp;"初始",$O$3:$AA$63,MATCH(BC$3,$O$3:$AA$3,0),FALSE)+(VLOOKUP($AW113&amp;"最终",$O$3:$AA$63,MATCH(BC$3,$O$3:$AA$3,0),FALSE)-VLOOKUP($AW113&amp;"初始",$O$3:$AA$63,MATCH(BC$3,$O$3:$AA$3,0),FALSE))*$AY113/VLOOKUP(VLOOKUP($AW113,坦克个性化设定!$B$18:$E$48,4,FALSE)&amp;$AX113,坦克属性分配比例,MATCH("升星次数",坦克属性分配比例标头,0),FALSE)*(VLOOKUP(VLOOKUP($AW113,坦克个性化设定!$B$18:$E$48,4,FALSE)&amp;$AX113,坦克属性分配比例,MATCH("升星比例",坦克属性分配比例标头,0),FALSE)+VLOOKUP(VLOOKUP($AW113,坦克个性化设定!$B$18:$E$48,4,FALSE)&amp;$AX113,坦克属性分配比例,MATCH("部件比例",坦克属性分配比例标头,0),FALSE)*$C$3),0)</f>
        <v>754</v>
      </c>
      <c r="BD113" s="426">
        <f ca="1">ROUND(VLOOKUP($AW113&amp;"初始",$O$3:$AA$63,MATCH(BD$3,$O$3:$AA$3,0),FALSE)+(VLOOKUP($AW113&amp;"最终",$O$3:$AA$63,MATCH(BD$3,$O$3:$AA$3,0),FALSE)-VLOOKUP($AW113&amp;"初始",$O$3:$AA$63,MATCH(BD$3,$O$3:$AA$3,0),FALSE))*$AY113/VLOOKUP(VLOOKUP($AW113,坦克个性化设定!$B$18:$E$48,4,FALSE)&amp;$AX113,坦克属性分配比例,MATCH("升星次数",坦克属性分配比例标头,0),FALSE)*VLOOKUP(VLOOKUP($AW113,坦克个性化设定!$B$18:$E$48,4,FALSE)&amp;$AX113,坦克属性分配比例,MATCH("升星比例",坦克属性分配比例标头,0),FALSE),0)</f>
        <v>891</v>
      </c>
      <c r="BE113" s="426">
        <f ca="1">ROUND(VLOOKUP($AW113&amp;"初始",$O$3:$AA$63,MATCH(BE$3,$O$3:$AA$3,0),FALSE)+(VLOOKUP($AW113&amp;"最终",$O$3:$AA$63,MATCH(BE$3,$O$3:$AA$3,0),FALSE)-VLOOKUP($AW113&amp;"初始",$O$3:$AA$63,MATCH(BE$3,$O$3:$AA$3,0),FALSE))*$AY113/VLOOKUP(VLOOKUP($AW113,坦克个性化设定!$B$18:$E$48,4,FALSE)&amp;$AX113,坦克属性分配比例,MATCH("升星次数",坦克属性分配比例标头,0),FALSE),0)</f>
        <v>320</v>
      </c>
      <c r="BF113" s="462">
        <f>ROUND(VLOOKUP($AW113,$AD$3:$AJ$33,MATCH(BF$3,$AD$3:$AJ$3,0),FALSE)+$AY113/VLOOKUP(VLOOKUP($AW113,坦克个性化设定!$B$18:$E$48,4,FALSE)&amp;$AX113,坦克属性分配比例,MATCH("升星次数",坦克属性分配比例标头,0),FALSE)*VLOOKUP($AW113,$AM$3:$AS$33,MATCH(BF$3,$AM$3:$AS$3,0),FALSE),1)</f>
        <v>55.6</v>
      </c>
      <c r="BG113" s="462">
        <f>ROUND(VLOOKUP($AW113,$AD$3:$AJ$33,MATCH(BG$3,$AD$3:$AJ$3,0),FALSE)+$AY113/VLOOKUP(VLOOKUP($AW113,坦克个性化设定!$B$18:$E$48,4,FALSE)&amp;$AX113,坦克属性分配比例,MATCH("升星次数",坦克属性分配比例标头,0),FALSE)*VLOOKUP($AW113,$AM$3:$AS$33,MATCH(BG$3,$AM$3:$AS$3,0),FALSE),1)</f>
        <v>65.599999999999994</v>
      </c>
      <c r="BH113" s="462">
        <f>ROUND(VLOOKUP($AW113,$AD$3:$AJ$33,MATCH(BH$3,$AD$3:$AJ$3,0),FALSE)+$AY113/VLOOKUP(VLOOKUP($AW113,坦克个性化设定!$B$18:$E$48,4,FALSE)&amp;$AX113,坦克属性分配比例,MATCH("升星次数",坦克属性分配比例标头,0),FALSE)*VLOOKUP($AW113,$AM$3:$AS$33,MATCH(BH$3,$AM$3:$AS$3,0),FALSE),1)</f>
        <v>19.399999999999999</v>
      </c>
      <c r="BI113" s="654">
        <f>IF(VLOOKUP(AW113,坦克个性化设定!$B$18:$BB$48,MATCH("装弹类型",坦克个性化设定!$B$18:$BB$18,0),FALSE)="弹夹换弹",0,ROUND(VLOOKUP($AW113,$AD$3:$AJ$33,MATCH("换弹时间",$AD$3:$AJ$3,0),FALSE)-$AY113/VLOOKUP(VLOOKUP($AW113,坦克个性化设定!$B$18:$E$48,4,FALSE)&amp;$AX113,坦克属性分配比例,MATCH("升星次数",坦克属性分配比例标头,0),FALSE)*VLOOKUP($AW113,$AM$3:$AS$33,MATCH("换弹时间",$AM$3:$AS$3,0),FALSE),2))</f>
        <v>1.05</v>
      </c>
      <c r="BJ113" s="462">
        <f>IF(VLOOKUP(AW113,坦克个性化设定!$B$18:$BB$48,MATCH("装弹类型",坦克个性化设定!$B$18:$BB$18,0),FALSE)="弹夹换弹",ROUND(VLOOKUP($AW113,$AD$3:$AJ$33,MATCH("换弹时间",$AD$3:$AJ$3,0),FALSE)-$AY113/VLOOKUP(VLOOKUP($AW113,坦克个性化设定!$B$18:$E$48,4,FALSE)&amp;$AX113,坦克属性分配比例,MATCH("升星次数",坦克属性分配比例标头,0),FALSE)*VLOOKUP($AW113,$AM$3:$AS$33,MATCH("换弹时间",$AM$3:$AS$3,0),FALSE),1),0)</f>
        <v>0</v>
      </c>
      <c r="BK113" s="462">
        <f>ROUND(VLOOKUP($AW113,$AD$3:$AJ$33,MATCH(BK$3,$AD$3:$AJ$3,0),FALSE)+$AY113/VLOOKUP(VLOOKUP($AW113,坦克个性化设定!$B$18:$E$48,4,FALSE)&amp;$AX113,坦克属性分配比例,MATCH("升星次数",坦克属性分配比例标头,0),FALSE)*VLOOKUP($AW113,$AM$3:$AS$33,MATCH(BK$3,$AM$3:$AS$3,0),FALSE),2)</f>
        <v>0.4</v>
      </c>
      <c r="BL113" s="462">
        <f>ROUND(VLOOKUP($AW113,$AD$3:$AJ$33,MATCH(BL$3,$AD$3:$AJ$3,0),FALSE)-$AY113/VLOOKUP(VLOOKUP($AW113,坦克个性化设定!$B$18:$E$48,4,FALSE)&amp;$AX113,坦克属性分配比例,MATCH("升星次数",坦克属性分配比例标头,0),FALSE)*VLOOKUP($AW113,$AM$3:$AS$33,MATCH(BL$3,$AM$3:$AS$3,0),FALSE),2)</f>
        <v>1.02</v>
      </c>
    </row>
    <row r="114" spans="47:64" x14ac:dyDescent="0.35">
      <c r="AU114" s="364" t="str">
        <f t="shared" si="19"/>
        <v>59式0</v>
      </c>
      <c r="AV114" s="183">
        <f>IF(AY113&gt;=VLOOKUP(VLOOKUP(AW113,坦克个性化设定!$B$18:$E$48,4,FALSE)&amp;AX113,坦克属性分配比例,MATCH("升星次数",坦克属性分配比例标头,0),FALSE),AV113+1,AV113)</f>
        <v>10</v>
      </c>
      <c r="AW114" s="131" t="str">
        <f t="shared" si="20"/>
        <v>59式</v>
      </c>
      <c r="AX114" s="177" t="str">
        <f>VLOOKUP(AW114,坦克个性化细分!$I$3:$J$33,2,FALSE)</f>
        <v>低</v>
      </c>
      <c r="AY114" s="183">
        <f t="shared" si="18"/>
        <v>0</v>
      </c>
      <c r="AZ114" s="486">
        <f ca="1">ROUND(VLOOKUP($AW114&amp;"初始",$O$3:$AA$63,MATCH(AZ$3,$O$3:$AA$3,0),FALSE)+((VLOOKUP($AW114&amp;"最终",$O$3:$AA$63,MATCH(AZ$3,$O$3:$AA$3,0),FALSE)*坦克个性化细分!$C$9-VLOOKUP($AW114&amp;"初始",$O$3:$AA$63,MATCH(AZ$3,$O$3:$AA$3,0),FALSE))-(VLOOKUP($AW114&amp;"最终",$O$3:$AA$63,MATCH(AZ$3,$O$3:$AA$3,0),FALSE)-VLOOKUP($AW114&amp;"初始",$O$3:$AA$63,MATCH(AZ$3,$O$3:$AA$3,0),FALSE))*VLOOKUP(VLOOKUP($AW114,坦克个性化设定!$B$18:$E$48,4,FALSE)&amp;$AX114,坦克属性分配比例,MATCH("部件比例",坦克属性分配比例标头,0),FALSE))*$AY114/VLOOKUP(VLOOKUP($AW114,坦克个性化设定!$B$18:$E$48,4,FALSE)&amp;$AX114,坦克属性分配比例,MATCH("升星次数",坦克属性分配比例标头,0),FALSE),0)</f>
        <v>2025</v>
      </c>
      <c r="BA114" s="426">
        <f ca="1">ROUND(VLOOKUP($AW114&amp;"初始",$O$3:$AA$63,MATCH(BA$3,$O$3:$AA$3,0),FALSE)+(VLOOKUP($AW114&amp;"最终",$O$3:$AA$63,MATCH(BA$3,$O$3:$AA$3,0),FALSE)-VLOOKUP($AW114&amp;"初始",$O$3:$AA$63,MATCH(BA$3,$O$3:$AA$3,0),FALSE))*$AY114/VLOOKUP(VLOOKUP($AW114,坦克个性化设定!$B$18:$E$48,4,FALSE)&amp;$AX114,坦克属性分配比例,MATCH("升星次数",坦克属性分配比例标头,0),FALSE)*VLOOKUP(VLOOKUP($AW114,坦克个性化设定!$B$18:$E$48,4,FALSE)&amp;$AX114,坦克属性分配比例,MATCH("升星比例",坦克属性分配比例标头,0),FALSE),0)</f>
        <v>222</v>
      </c>
      <c r="BB114" s="486">
        <f ca="1">ROUND(VLOOKUP($AW114&amp;"初始",$O$3:$AA$63,MATCH(BB$3,$O$3:$AA$3,0),FALSE)+(VLOOKUP($AW114&amp;"最终",$O$3:$AA$63,MATCH(BB$3,$O$3:$AA$3,0),FALSE)-VLOOKUP($AW114&amp;"初始",$O$3:$AA$63,MATCH(BB$3,$O$3:$AA$3,0),FALSE))*$AY114/VLOOKUP(VLOOKUP($AW114,坦克个性化设定!$B$18:$E$48,4,FALSE)&amp;$AX114,坦克属性分配比例,MATCH("升星次数",坦克属性分配比例标头,0),FALSE)*(VLOOKUP(VLOOKUP($AW114,坦克个性化设定!$B$18:$E$48,4,FALSE)&amp;$AX114,坦克属性分配比例,MATCH("升星比例",坦克属性分配比例标头,0),FALSE)+VLOOKUP(VLOOKUP($AW114,坦克个性化设定!$B$18:$E$48,4,FALSE)&amp;$AX114,坦克属性分配比例,MATCH("部件比例",坦克属性分配比例标头,0),FALSE)*$C$3),0)</f>
        <v>857</v>
      </c>
      <c r="BC114" s="486">
        <f ca="1">ROUND(VLOOKUP($AW114&amp;"初始",$O$3:$AA$63,MATCH(BC$3,$O$3:$AA$3,0),FALSE)+(VLOOKUP($AW114&amp;"最终",$O$3:$AA$63,MATCH(BC$3,$O$3:$AA$3,0),FALSE)-VLOOKUP($AW114&amp;"初始",$O$3:$AA$63,MATCH(BC$3,$O$3:$AA$3,0),FALSE))*$AY114/VLOOKUP(VLOOKUP($AW114,坦克个性化设定!$B$18:$E$48,4,FALSE)&amp;$AX114,坦克属性分配比例,MATCH("升星次数",坦克属性分配比例标头,0),FALSE)*(VLOOKUP(VLOOKUP($AW114,坦克个性化设定!$B$18:$E$48,4,FALSE)&amp;$AX114,坦克属性分配比例,MATCH("升星比例",坦克属性分配比例标头,0),FALSE)+VLOOKUP(VLOOKUP($AW114,坦克个性化设定!$B$18:$E$48,4,FALSE)&amp;$AX114,坦克属性分配比例,MATCH("部件比例",坦克属性分配比例标头,0),FALSE)*$C$3),0)</f>
        <v>600</v>
      </c>
      <c r="BD114" s="426">
        <f ca="1">ROUND(VLOOKUP($AW114&amp;"初始",$O$3:$AA$63,MATCH(BD$3,$O$3:$AA$3,0),FALSE)+(VLOOKUP($AW114&amp;"最终",$O$3:$AA$63,MATCH(BD$3,$O$3:$AA$3,0),FALSE)-VLOOKUP($AW114&amp;"初始",$O$3:$AA$63,MATCH(BD$3,$O$3:$AA$3,0),FALSE))*$AY114/VLOOKUP(VLOOKUP($AW114,坦克个性化设定!$B$18:$E$48,4,FALSE)&amp;$AX114,坦克属性分配比例,MATCH("升星次数",坦克属性分配比例标头,0),FALSE)*VLOOKUP(VLOOKUP($AW114,坦克个性化设定!$B$18:$E$48,4,FALSE)&amp;$AX114,坦克属性分配比例,MATCH("升星比例",坦克属性分配比例标头,0),FALSE),0)</f>
        <v>720</v>
      </c>
      <c r="BE114" s="426">
        <f ca="1">ROUND(VLOOKUP($AW114&amp;"初始",$O$3:$AA$63,MATCH(BE$3,$O$3:$AA$3,0),FALSE)+(VLOOKUP($AW114&amp;"最终",$O$3:$AA$63,MATCH(BE$3,$O$3:$AA$3,0),FALSE)-VLOOKUP($AW114&amp;"初始",$O$3:$AA$63,MATCH(BE$3,$O$3:$AA$3,0),FALSE))*$AY114/VLOOKUP(VLOOKUP($AW114,坦克个性化设定!$B$18:$E$48,4,FALSE)&amp;$AX114,坦克属性分配比例,MATCH("升星次数",坦克属性分配比例标头,0),FALSE),0)</f>
        <v>192</v>
      </c>
      <c r="BF114" s="462">
        <f>ROUND(VLOOKUP($AW114,$AD$3:$AJ$33,MATCH(BF$3,$AD$3:$AJ$3,0),FALSE)+$AY114/VLOOKUP(VLOOKUP($AW114,坦克个性化设定!$B$18:$E$48,4,FALSE)&amp;$AX114,坦克属性分配比例,MATCH("升星次数",坦克属性分配比例标头,0),FALSE)*VLOOKUP($AW114,$AM$3:$AS$33,MATCH(BF$3,$AM$3:$AS$3,0),FALSE),1)</f>
        <v>37.700000000000003</v>
      </c>
      <c r="BG114" s="462">
        <f>ROUND(VLOOKUP($AW114,$AD$3:$AJ$33,MATCH(BG$3,$AD$3:$AJ$3,0),FALSE)+$AY114/VLOOKUP(VLOOKUP($AW114,坦克个性化设定!$B$18:$E$48,4,FALSE)&amp;$AX114,坦克属性分配比例,MATCH("升星次数",坦克属性分配比例标头,0),FALSE)*VLOOKUP($AW114,$AM$3:$AS$33,MATCH(BG$3,$AM$3:$AS$3,0),FALSE),1)</f>
        <v>56.3</v>
      </c>
      <c r="BH114" s="462">
        <f>ROUND(VLOOKUP($AW114,$AD$3:$AJ$33,MATCH(BH$3,$AD$3:$AJ$3,0),FALSE)+$AY114/VLOOKUP(VLOOKUP($AW114,坦克个性化设定!$B$18:$E$48,4,FALSE)&amp;$AX114,坦克属性分配比例,MATCH("升星次数",坦克属性分配比例标头,0),FALSE)*VLOOKUP($AW114,$AM$3:$AS$33,MATCH(BH$3,$AM$3:$AS$3,0),FALSE),1)</f>
        <v>13.1</v>
      </c>
      <c r="BI114" s="654">
        <f>IF(VLOOKUP(AW114,坦克个性化设定!$B$18:$BB$48,MATCH("装弹类型",坦克个性化设定!$B$18:$BB$18,0),FALSE)="弹夹换弹",0,ROUND(VLOOKUP($AW114,$AD$3:$AJ$33,MATCH("换弹时间",$AD$3:$AJ$3,0),FALSE)-$AY114/VLOOKUP(VLOOKUP($AW114,坦克个性化设定!$B$18:$E$48,4,FALSE)&amp;$AX114,坦克属性分配比例,MATCH("升星次数",坦克属性分配比例标头,0),FALSE)*VLOOKUP($AW114,$AM$3:$AS$33,MATCH("换弹时间",$AM$3:$AS$3,0),FALSE),2))</f>
        <v>3</v>
      </c>
      <c r="BJ114" s="462">
        <f>IF(VLOOKUP(AW114,坦克个性化设定!$B$18:$BB$48,MATCH("装弹类型",坦克个性化设定!$B$18:$BB$18,0),FALSE)="弹夹换弹",ROUND(VLOOKUP($AW114,$AD$3:$AJ$33,MATCH("换弹时间",$AD$3:$AJ$3,0),FALSE)-$AY114/VLOOKUP(VLOOKUP($AW114,坦克个性化设定!$B$18:$E$48,4,FALSE)&amp;$AX114,坦克属性分配比例,MATCH("升星次数",坦克属性分配比例标头,0),FALSE)*VLOOKUP($AW114,$AM$3:$AS$33,MATCH("换弹时间",$AM$3:$AS$3,0),FALSE),1),0)</f>
        <v>0</v>
      </c>
      <c r="BK114" s="462">
        <f>ROUND(VLOOKUP($AW114,$AD$3:$AJ$33,MATCH(BK$3,$AD$3:$AJ$3,0),FALSE)+$AY114/VLOOKUP(VLOOKUP($AW114,坦克个性化设定!$B$18:$E$48,4,FALSE)&amp;$AX114,坦克属性分配比例,MATCH("升星次数",坦克属性分配比例标头,0),FALSE)*VLOOKUP($AW114,$AM$3:$AS$33,MATCH(BK$3,$AM$3:$AS$3,0),FALSE),2)</f>
        <v>0</v>
      </c>
      <c r="BL114" s="462">
        <f>ROUND(VLOOKUP($AW114,$AD$3:$AJ$33,MATCH(BL$3,$AD$3:$AJ$3,0),FALSE)-$AY114/VLOOKUP(VLOOKUP($AW114,坦克个性化设定!$B$18:$E$48,4,FALSE)&amp;$AX114,坦克属性分配比例,MATCH("升星次数",坦克属性分配比例标头,0),FALSE)*VLOOKUP($AW114,$AM$3:$AS$33,MATCH(BL$3,$AM$3:$AS$3,0),FALSE),2)</f>
        <v>1.8</v>
      </c>
    </row>
    <row r="115" spans="47:64" x14ac:dyDescent="0.35">
      <c r="AU115" s="364" t="str">
        <f t="shared" si="19"/>
        <v>59式1</v>
      </c>
      <c r="AV115" s="183">
        <f>IF(AY114&gt;=VLOOKUP(VLOOKUP(AW114,坦克个性化设定!$B$18:$E$48,4,FALSE)&amp;AX114,坦克属性分配比例,MATCH("升星次数",坦克属性分配比例标头,0),FALSE),AV114+1,AV114)</f>
        <v>10</v>
      </c>
      <c r="AW115" s="131" t="str">
        <f t="shared" si="20"/>
        <v>59式</v>
      </c>
      <c r="AX115" s="177" t="str">
        <f>VLOOKUP(AW115,坦克个性化细分!$I$3:$J$33,2,FALSE)</f>
        <v>低</v>
      </c>
      <c r="AY115" s="183">
        <f t="shared" si="18"/>
        <v>1</v>
      </c>
      <c r="AZ115" s="486">
        <f ca="1">ROUND(VLOOKUP($AW115&amp;"初始",$O$3:$AA$63,MATCH(AZ$3,$O$3:$AA$3,0),FALSE)+((VLOOKUP($AW115&amp;"最终",$O$3:$AA$63,MATCH(AZ$3,$O$3:$AA$3,0),FALSE)*坦克个性化细分!$C$9-VLOOKUP($AW115&amp;"初始",$O$3:$AA$63,MATCH(AZ$3,$O$3:$AA$3,0),FALSE))-(VLOOKUP($AW115&amp;"最终",$O$3:$AA$63,MATCH(AZ$3,$O$3:$AA$3,0),FALSE)-VLOOKUP($AW115&amp;"初始",$O$3:$AA$63,MATCH(AZ$3,$O$3:$AA$3,0),FALSE))*VLOOKUP(VLOOKUP($AW115,坦克个性化设定!$B$18:$E$48,4,FALSE)&amp;$AX115,坦克属性分配比例,MATCH("部件比例",坦克属性分配比例标头,0),FALSE))*$AY115/VLOOKUP(VLOOKUP($AW115,坦克个性化设定!$B$18:$E$48,4,FALSE)&amp;$AX115,坦克属性分配比例,MATCH("升星次数",坦克属性分配比例标头,0),FALSE),0)</f>
        <v>2100</v>
      </c>
      <c r="BA115" s="426">
        <f ca="1">ROUND(VLOOKUP($AW115&amp;"初始",$O$3:$AA$63,MATCH(BA$3,$O$3:$AA$3,0),FALSE)+(VLOOKUP($AW115&amp;"最终",$O$3:$AA$63,MATCH(BA$3,$O$3:$AA$3,0),FALSE)-VLOOKUP($AW115&amp;"初始",$O$3:$AA$63,MATCH(BA$3,$O$3:$AA$3,0),FALSE))*$AY115/VLOOKUP(VLOOKUP($AW115,坦克个性化设定!$B$18:$E$48,4,FALSE)&amp;$AX115,坦克属性分配比例,MATCH("升星次数",坦克属性分配比例标头,0),FALSE)*VLOOKUP(VLOOKUP($AW115,坦克个性化设定!$B$18:$E$48,4,FALSE)&amp;$AX115,坦克属性分配比例,MATCH("升星比例",坦克属性分配比例标头,0),FALSE),0)</f>
        <v>222</v>
      </c>
      <c r="BB115" s="486">
        <f ca="1">ROUND(VLOOKUP($AW115&amp;"初始",$O$3:$AA$63,MATCH(BB$3,$O$3:$AA$3,0),FALSE)+(VLOOKUP($AW115&amp;"最终",$O$3:$AA$63,MATCH(BB$3,$O$3:$AA$3,0),FALSE)-VLOOKUP($AW115&amp;"初始",$O$3:$AA$63,MATCH(BB$3,$O$3:$AA$3,0),FALSE))*$AY115/VLOOKUP(VLOOKUP($AW115,坦克个性化设定!$B$18:$E$48,4,FALSE)&amp;$AX115,坦克属性分配比例,MATCH("升星次数",坦克属性分配比例标头,0),FALSE)*(VLOOKUP(VLOOKUP($AW115,坦克个性化设定!$B$18:$E$48,4,FALSE)&amp;$AX115,坦克属性分配比例,MATCH("升星比例",坦克属性分配比例标头,0),FALSE)+VLOOKUP(VLOOKUP($AW115,坦克个性化设定!$B$18:$E$48,4,FALSE)&amp;$AX115,坦克属性分配比例,MATCH("部件比例",坦克属性分配比例标头,0),FALSE)*$C$3),0)</f>
        <v>878</v>
      </c>
      <c r="BC115" s="486">
        <f ca="1">ROUND(VLOOKUP($AW115&amp;"初始",$O$3:$AA$63,MATCH(BC$3,$O$3:$AA$3,0),FALSE)+(VLOOKUP($AW115&amp;"最终",$O$3:$AA$63,MATCH(BC$3,$O$3:$AA$3,0),FALSE)-VLOOKUP($AW115&amp;"初始",$O$3:$AA$63,MATCH(BC$3,$O$3:$AA$3,0),FALSE))*$AY115/VLOOKUP(VLOOKUP($AW115,坦克个性化设定!$B$18:$E$48,4,FALSE)&amp;$AX115,坦克属性分配比例,MATCH("升星次数",坦克属性分配比例标头,0),FALSE)*(VLOOKUP(VLOOKUP($AW115,坦克个性化设定!$B$18:$E$48,4,FALSE)&amp;$AX115,坦克属性分配比例,MATCH("升星比例",坦克属性分配比例标头,0),FALSE)+VLOOKUP(VLOOKUP($AW115,坦克个性化设定!$B$18:$E$48,4,FALSE)&amp;$AX115,坦克属性分配比例,MATCH("部件比例",坦克属性分配比例标头,0),FALSE)*$C$3),0)</f>
        <v>615</v>
      </c>
      <c r="BD115" s="426">
        <f ca="1">ROUND(VLOOKUP($AW115&amp;"初始",$O$3:$AA$63,MATCH(BD$3,$O$3:$AA$3,0),FALSE)+(VLOOKUP($AW115&amp;"最终",$O$3:$AA$63,MATCH(BD$3,$O$3:$AA$3,0),FALSE)-VLOOKUP($AW115&amp;"初始",$O$3:$AA$63,MATCH(BD$3,$O$3:$AA$3,0),FALSE))*$AY115/VLOOKUP(VLOOKUP($AW115,坦克个性化设定!$B$18:$E$48,4,FALSE)&amp;$AX115,坦克属性分配比例,MATCH("升星次数",坦克属性分配比例标头,0),FALSE)*VLOOKUP(VLOOKUP($AW115,坦克个性化设定!$B$18:$E$48,4,FALSE)&amp;$AX115,坦克属性分配比例,MATCH("升星比例",坦克属性分配比例标头,0),FALSE),0)</f>
        <v>720</v>
      </c>
      <c r="BE115" s="426">
        <f ca="1">ROUND(VLOOKUP($AW115&amp;"初始",$O$3:$AA$63,MATCH(BE$3,$O$3:$AA$3,0),FALSE)+(VLOOKUP($AW115&amp;"最终",$O$3:$AA$63,MATCH(BE$3,$O$3:$AA$3,0),FALSE)-VLOOKUP($AW115&amp;"初始",$O$3:$AA$63,MATCH(BE$3,$O$3:$AA$3,0),FALSE))*$AY115/VLOOKUP(VLOOKUP($AW115,坦克个性化设定!$B$18:$E$48,4,FALSE)&amp;$AX115,坦克属性分配比例,MATCH("升星次数",坦克属性分配比例标头,0),FALSE),0)</f>
        <v>200</v>
      </c>
      <c r="BF115" s="462">
        <f>ROUND(VLOOKUP($AW115,$AD$3:$AJ$33,MATCH(BF$3,$AD$3:$AJ$3,0),FALSE)+$AY115/VLOOKUP(VLOOKUP($AW115,坦克个性化设定!$B$18:$E$48,4,FALSE)&amp;$AX115,坦克属性分配比例,MATCH("升星次数",坦克属性分配比例标头,0),FALSE)*VLOOKUP($AW115,$AM$3:$AS$33,MATCH(BF$3,$AM$3:$AS$3,0),FALSE),1)</f>
        <v>38.5</v>
      </c>
      <c r="BG115" s="462">
        <f>ROUND(VLOOKUP($AW115,$AD$3:$AJ$33,MATCH(BG$3,$AD$3:$AJ$3,0),FALSE)+$AY115/VLOOKUP(VLOOKUP($AW115,坦克个性化设定!$B$18:$E$48,4,FALSE)&amp;$AX115,坦克属性分配比例,MATCH("升星次数",坦克属性分配比例标头,0),FALSE)*VLOOKUP($AW115,$AM$3:$AS$33,MATCH(BG$3,$AM$3:$AS$3,0),FALSE),1)</f>
        <v>57.5</v>
      </c>
      <c r="BH115" s="462">
        <f>ROUND(VLOOKUP($AW115,$AD$3:$AJ$33,MATCH(BH$3,$AD$3:$AJ$3,0),FALSE)+$AY115/VLOOKUP(VLOOKUP($AW115,坦克个性化设定!$B$18:$E$48,4,FALSE)&amp;$AX115,坦克属性分配比例,MATCH("升星次数",坦克属性分配比例标头,0),FALSE)*VLOOKUP($AW115,$AM$3:$AS$33,MATCH(BH$3,$AM$3:$AS$3,0),FALSE),1)</f>
        <v>13.5</v>
      </c>
      <c r="BI115" s="654">
        <f>IF(VLOOKUP(AW115,坦克个性化设定!$B$18:$BB$48,MATCH("装弹类型",坦克个性化设定!$B$18:$BB$18,0),FALSE)="弹夹换弹",0,ROUND(VLOOKUP($AW115,$AD$3:$AJ$33,MATCH("换弹时间",$AD$3:$AJ$3,0),FALSE)-$AY115/VLOOKUP(VLOOKUP($AW115,坦克个性化设定!$B$18:$E$48,4,FALSE)&amp;$AX115,坦克属性分配比例,MATCH("升星次数",坦克属性分配比例标头,0),FALSE)*VLOOKUP($AW115,$AM$3:$AS$33,MATCH("换弹时间",$AM$3:$AS$3,0),FALSE),2))</f>
        <v>2.94</v>
      </c>
      <c r="BJ115" s="462">
        <f>IF(VLOOKUP(AW115,坦克个性化设定!$B$18:$BB$48,MATCH("装弹类型",坦克个性化设定!$B$18:$BB$18,0),FALSE)="弹夹换弹",ROUND(VLOOKUP($AW115,$AD$3:$AJ$33,MATCH("换弹时间",$AD$3:$AJ$3,0),FALSE)-$AY115/VLOOKUP(VLOOKUP($AW115,坦克个性化设定!$B$18:$E$48,4,FALSE)&amp;$AX115,坦克属性分配比例,MATCH("升星次数",坦克属性分配比例标头,0),FALSE)*VLOOKUP($AW115,$AM$3:$AS$33,MATCH("换弹时间",$AM$3:$AS$3,0),FALSE),1),0)</f>
        <v>0</v>
      </c>
      <c r="BK115" s="462">
        <f>ROUND(VLOOKUP($AW115,$AD$3:$AJ$33,MATCH(BK$3,$AD$3:$AJ$3,0),FALSE)+$AY115/VLOOKUP(VLOOKUP($AW115,坦克个性化设定!$B$18:$E$48,4,FALSE)&amp;$AX115,坦克属性分配比例,MATCH("升星次数",坦克属性分配比例标头,0),FALSE)*VLOOKUP($AW115,$AM$3:$AS$33,MATCH(BK$3,$AM$3:$AS$3,0),FALSE),2)</f>
        <v>0</v>
      </c>
      <c r="BL115" s="462">
        <f>ROUND(VLOOKUP($AW115,$AD$3:$AJ$33,MATCH(BL$3,$AD$3:$AJ$3,0),FALSE)-$AY115/VLOOKUP(VLOOKUP($AW115,坦克个性化设定!$B$18:$E$48,4,FALSE)&amp;$AX115,坦克属性分配比例,MATCH("升星次数",坦克属性分配比例标头,0),FALSE)*VLOOKUP($AW115,$AM$3:$AS$33,MATCH(BL$3,$AM$3:$AS$3,0),FALSE),2)</f>
        <v>1.78</v>
      </c>
    </row>
    <row r="116" spans="47:64" x14ac:dyDescent="0.35">
      <c r="AU116" s="364" t="str">
        <f t="shared" si="19"/>
        <v>59式2</v>
      </c>
      <c r="AV116" s="183">
        <f>IF(AY115&gt;=VLOOKUP(VLOOKUP(AW115,坦克个性化设定!$B$18:$E$48,4,FALSE)&amp;AX115,坦克属性分配比例,MATCH("升星次数",坦克属性分配比例标头,0),FALSE),AV115+1,AV115)</f>
        <v>10</v>
      </c>
      <c r="AW116" s="131" t="str">
        <f t="shared" si="20"/>
        <v>59式</v>
      </c>
      <c r="AX116" s="177" t="str">
        <f>VLOOKUP(AW116,坦克个性化细分!$I$3:$J$33,2,FALSE)</f>
        <v>低</v>
      </c>
      <c r="AY116" s="183">
        <f t="shared" si="18"/>
        <v>2</v>
      </c>
      <c r="AZ116" s="486">
        <f ca="1">ROUND(VLOOKUP($AW116&amp;"初始",$O$3:$AA$63,MATCH(AZ$3,$O$3:$AA$3,0),FALSE)+((VLOOKUP($AW116&amp;"最终",$O$3:$AA$63,MATCH(AZ$3,$O$3:$AA$3,0),FALSE)*坦克个性化细分!$C$9-VLOOKUP($AW116&amp;"初始",$O$3:$AA$63,MATCH(AZ$3,$O$3:$AA$3,0),FALSE))-(VLOOKUP($AW116&amp;"最终",$O$3:$AA$63,MATCH(AZ$3,$O$3:$AA$3,0),FALSE)-VLOOKUP($AW116&amp;"初始",$O$3:$AA$63,MATCH(AZ$3,$O$3:$AA$3,0),FALSE))*VLOOKUP(VLOOKUP($AW116,坦克个性化设定!$B$18:$E$48,4,FALSE)&amp;$AX116,坦克属性分配比例,MATCH("部件比例",坦克属性分配比例标头,0),FALSE))*$AY116/VLOOKUP(VLOOKUP($AW116,坦克个性化设定!$B$18:$E$48,4,FALSE)&amp;$AX116,坦克属性分配比例,MATCH("升星次数",坦克属性分配比例标头,0),FALSE),0)</f>
        <v>2176</v>
      </c>
      <c r="BA116" s="426">
        <f ca="1">ROUND(VLOOKUP($AW116&amp;"初始",$O$3:$AA$63,MATCH(BA$3,$O$3:$AA$3,0),FALSE)+(VLOOKUP($AW116&amp;"最终",$O$3:$AA$63,MATCH(BA$3,$O$3:$AA$3,0),FALSE)-VLOOKUP($AW116&amp;"初始",$O$3:$AA$63,MATCH(BA$3,$O$3:$AA$3,0),FALSE))*$AY116/VLOOKUP(VLOOKUP($AW116,坦克个性化设定!$B$18:$E$48,4,FALSE)&amp;$AX116,坦克属性分配比例,MATCH("升星次数",坦克属性分配比例标头,0),FALSE)*VLOOKUP(VLOOKUP($AW116,坦克个性化设定!$B$18:$E$48,4,FALSE)&amp;$AX116,坦克属性分配比例,MATCH("升星比例",坦克属性分配比例标头,0),FALSE),0)</f>
        <v>222</v>
      </c>
      <c r="BB116" s="486">
        <f ca="1">ROUND(VLOOKUP($AW116&amp;"初始",$O$3:$AA$63,MATCH(BB$3,$O$3:$AA$3,0),FALSE)+(VLOOKUP($AW116&amp;"最终",$O$3:$AA$63,MATCH(BB$3,$O$3:$AA$3,0),FALSE)-VLOOKUP($AW116&amp;"初始",$O$3:$AA$63,MATCH(BB$3,$O$3:$AA$3,0),FALSE))*$AY116/VLOOKUP(VLOOKUP($AW116,坦克个性化设定!$B$18:$E$48,4,FALSE)&amp;$AX116,坦克属性分配比例,MATCH("升星次数",坦克属性分配比例标头,0),FALSE)*(VLOOKUP(VLOOKUP($AW116,坦克个性化设定!$B$18:$E$48,4,FALSE)&amp;$AX116,坦克属性分配比例,MATCH("升星比例",坦克属性分配比例标头,0),FALSE)+VLOOKUP(VLOOKUP($AW116,坦克个性化设定!$B$18:$E$48,4,FALSE)&amp;$AX116,坦克属性分配比例,MATCH("部件比例",坦克属性分配比例标头,0),FALSE)*$C$3),0)</f>
        <v>900</v>
      </c>
      <c r="BC116" s="486">
        <f ca="1">ROUND(VLOOKUP($AW116&amp;"初始",$O$3:$AA$63,MATCH(BC$3,$O$3:$AA$3,0),FALSE)+(VLOOKUP($AW116&amp;"最终",$O$3:$AA$63,MATCH(BC$3,$O$3:$AA$3,0),FALSE)-VLOOKUP($AW116&amp;"初始",$O$3:$AA$63,MATCH(BC$3,$O$3:$AA$3,0),FALSE))*$AY116/VLOOKUP(VLOOKUP($AW116,坦克个性化设定!$B$18:$E$48,4,FALSE)&amp;$AX116,坦克属性分配比例,MATCH("升星次数",坦克属性分配比例标头,0),FALSE)*(VLOOKUP(VLOOKUP($AW116,坦克个性化设定!$B$18:$E$48,4,FALSE)&amp;$AX116,坦克属性分配比例,MATCH("升星比例",坦克属性分配比例标头,0),FALSE)+VLOOKUP(VLOOKUP($AW116,坦克个性化设定!$B$18:$E$48,4,FALSE)&amp;$AX116,坦克属性分配比例,MATCH("部件比例",坦克属性分配比例标头,0),FALSE)*$C$3),0)</f>
        <v>630</v>
      </c>
      <c r="BD116" s="426">
        <f ca="1">ROUND(VLOOKUP($AW116&amp;"初始",$O$3:$AA$63,MATCH(BD$3,$O$3:$AA$3,0),FALSE)+(VLOOKUP($AW116&amp;"最终",$O$3:$AA$63,MATCH(BD$3,$O$3:$AA$3,0),FALSE)-VLOOKUP($AW116&amp;"初始",$O$3:$AA$63,MATCH(BD$3,$O$3:$AA$3,0),FALSE))*$AY116/VLOOKUP(VLOOKUP($AW116,坦克个性化设定!$B$18:$E$48,4,FALSE)&amp;$AX116,坦克属性分配比例,MATCH("升星次数",坦克属性分配比例标头,0),FALSE)*VLOOKUP(VLOOKUP($AW116,坦克个性化设定!$B$18:$E$48,4,FALSE)&amp;$AX116,坦克属性分配比例,MATCH("升星比例",坦克属性分配比例标头,0),FALSE),0)</f>
        <v>720</v>
      </c>
      <c r="BE116" s="426">
        <f ca="1">ROUND(VLOOKUP($AW116&amp;"初始",$O$3:$AA$63,MATCH(BE$3,$O$3:$AA$3,0),FALSE)+(VLOOKUP($AW116&amp;"最终",$O$3:$AA$63,MATCH(BE$3,$O$3:$AA$3,0),FALSE)-VLOOKUP($AW116&amp;"初始",$O$3:$AA$63,MATCH(BE$3,$O$3:$AA$3,0),FALSE))*$AY116/VLOOKUP(VLOOKUP($AW116,坦克个性化设定!$B$18:$E$48,4,FALSE)&amp;$AX116,坦克属性分配比例,MATCH("升星次数",坦克属性分配比例标头,0),FALSE),0)</f>
        <v>208</v>
      </c>
      <c r="BF116" s="462">
        <f>ROUND(VLOOKUP($AW116,$AD$3:$AJ$33,MATCH(BF$3,$AD$3:$AJ$3,0),FALSE)+$AY116/VLOOKUP(VLOOKUP($AW116,坦克个性化设定!$B$18:$E$48,4,FALSE)&amp;$AX116,坦克属性分配比例,MATCH("升星次数",坦克属性分配比例标头,0),FALSE)*VLOOKUP($AW116,$AM$3:$AS$33,MATCH(BF$3,$AM$3:$AS$3,0),FALSE),1)</f>
        <v>39.299999999999997</v>
      </c>
      <c r="BG116" s="462">
        <f>ROUND(VLOOKUP($AW116,$AD$3:$AJ$33,MATCH(BG$3,$AD$3:$AJ$3,0),FALSE)+$AY116/VLOOKUP(VLOOKUP($AW116,坦克个性化设定!$B$18:$E$48,4,FALSE)&amp;$AX116,坦克属性分配比例,MATCH("升星次数",坦克属性分配比例标头,0),FALSE)*VLOOKUP($AW116,$AM$3:$AS$33,MATCH(BG$3,$AM$3:$AS$3,0),FALSE),1)</f>
        <v>58.6</v>
      </c>
      <c r="BH116" s="462">
        <f>ROUND(VLOOKUP($AW116,$AD$3:$AJ$33,MATCH(BH$3,$AD$3:$AJ$3,0),FALSE)+$AY116/VLOOKUP(VLOOKUP($AW116,坦克个性化设定!$B$18:$E$48,4,FALSE)&amp;$AX116,坦克属性分配比例,MATCH("升星次数",坦克属性分配比例标头,0),FALSE)*VLOOKUP($AW116,$AM$3:$AS$33,MATCH(BH$3,$AM$3:$AS$3,0),FALSE),1)</f>
        <v>13.8</v>
      </c>
      <c r="BI116" s="654">
        <f>IF(VLOOKUP(AW116,坦克个性化设定!$B$18:$BB$48,MATCH("装弹类型",坦克个性化设定!$B$18:$BB$18,0),FALSE)="弹夹换弹",0,ROUND(VLOOKUP($AW116,$AD$3:$AJ$33,MATCH("换弹时间",$AD$3:$AJ$3,0),FALSE)-$AY116/VLOOKUP(VLOOKUP($AW116,坦克个性化设定!$B$18:$E$48,4,FALSE)&amp;$AX116,坦克属性分配比例,MATCH("升星次数",坦克属性分配比例标头,0),FALSE)*VLOOKUP($AW116,$AM$3:$AS$33,MATCH("换弹时间",$AM$3:$AS$3,0),FALSE),2))</f>
        <v>2.88</v>
      </c>
      <c r="BJ116" s="462">
        <f>IF(VLOOKUP(AW116,坦克个性化设定!$B$18:$BB$48,MATCH("装弹类型",坦克个性化设定!$B$18:$BB$18,0),FALSE)="弹夹换弹",ROUND(VLOOKUP($AW116,$AD$3:$AJ$33,MATCH("换弹时间",$AD$3:$AJ$3,0),FALSE)-$AY116/VLOOKUP(VLOOKUP($AW116,坦克个性化设定!$B$18:$E$48,4,FALSE)&amp;$AX116,坦克属性分配比例,MATCH("升星次数",坦克属性分配比例标头,0),FALSE)*VLOOKUP($AW116,$AM$3:$AS$33,MATCH("换弹时间",$AM$3:$AS$3,0),FALSE),1),0)</f>
        <v>0</v>
      </c>
      <c r="BK116" s="462">
        <f>ROUND(VLOOKUP($AW116,$AD$3:$AJ$33,MATCH(BK$3,$AD$3:$AJ$3,0),FALSE)+$AY116/VLOOKUP(VLOOKUP($AW116,坦克个性化设定!$B$18:$E$48,4,FALSE)&amp;$AX116,坦克属性分配比例,MATCH("升星次数",坦克属性分配比例标头,0),FALSE)*VLOOKUP($AW116,$AM$3:$AS$33,MATCH(BK$3,$AM$3:$AS$3,0),FALSE),2)</f>
        <v>0</v>
      </c>
      <c r="BL116" s="462">
        <f>ROUND(VLOOKUP($AW116,$AD$3:$AJ$33,MATCH(BL$3,$AD$3:$AJ$3,0),FALSE)-$AY116/VLOOKUP(VLOOKUP($AW116,坦克个性化设定!$B$18:$E$48,4,FALSE)&amp;$AX116,坦克属性分配比例,MATCH("升星次数",坦克属性分配比例标头,0),FALSE)*VLOOKUP($AW116,$AM$3:$AS$33,MATCH(BL$3,$AM$3:$AS$3,0),FALSE),2)</f>
        <v>1.75</v>
      </c>
    </row>
    <row r="117" spans="47:64" x14ac:dyDescent="0.35">
      <c r="AU117" s="364" t="str">
        <f t="shared" si="19"/>
        <v>59式3</v>
      </c>
      <c r="AV117" s="183">
        <f>IF(AY116&gt;=VLOOKUP(VLOOKUP(AW116,坦克个性化设定!$B$18:$E$48,4,FALSE)&amp;AX116,坦克属性分配比例,MATCH("升星次数",坦克属性分配比例标头,0),FALSE),AV116+1,AV116)</f>
        <v>10</v>
      </c>
      <c r="AW117" s="131" t="str">
        <f t="shared" si="20"/>
        <v>59式</v>
      </c>
      <c r="AX117" s="177" t="str">
        <f>VLOOKUP(AW117,坦克个性化细分!$I$3:$J$33,2,FALSE)</f>
        <v>低</v>
      </c>
      <c r="AY117" s="183">
        <f t="shared" si="18"/>
        <v>3</v>
      </c>
      <c r="AZ117" s="486">
        <f ca="1">ROUND(VLOOKUP($AW117&amp;"初始",$O$3:$AA$63,MATCH(AZ$3,$O$3:$AA$3,0),FALSE)+((VLOOKUP($AW117&amp;"最终",$O$3:$AA$63,MATCH(AZ$3,$O$3:$AA$3,0),FALSE)*坦克个性化细分!$C$9-VLOOKUP($AW117&amp;"初始",$O$3:$AA$63,MATCH(AZ$3,$O$3:$AA$3,0),FALSE))-(VLOOKUP($AW117&amp;"最终",$O$3:$AA$63,MATCH(AZ$3,$O$3:$AA$3,0),FALSE)-VLOOKUP($AW117&amp;"初始",$O$3:$AA$63,MATCH(AZ$3,$O$3:$AA$3,0),FALSE))*VLOOKUP(VLOOKUP($AW117,坦克个性化设定!$B$18:$E$48,4,FALSE)&amp;$AX117,坦克属性分配比例,MATCH("部件比例",坦克属性分配比例标头,0),FALSE))*$AY117/VLOOKUP(VLOOKUP($AW117,坦克个性化设定!$B$18:$E$48,4,FALSE)&amp;$AX117,坦克属性分配比例,MATCH("升星次数",坦克属性分配比例标头,0),FALSE),0)</f>
        <v>2252</v>
      </c>
      <c r="BA117" s="426">
        <f ca="1">ROUND(VLOOKUP($AW117&amp;"初始",$O$3:$AA$63,MATCH(BA$3,$O$3:$AA$3,0),FALSE)+(VLOOKUP($AW117&amp;"最终",$O$3:$AA$63,MATCH(BA$3,$O$3:$AA$3,0),FALSE)-VLOOKUP($AW117&amp;"初始",$O$3:$AA$63,MATCH(BA$3,$O$3:$AA$3,0),FALSE))*$AY117/VLOOKUP(VLOOKUP($AW117,坦克个性化设定!$B$18:$E$48,4,FALSE)&amp;$AX117,坦克属性分配比例,MATCH("升星次数",坦克属性分配比例标头,0),FALSE)*VLOOKUP(VLOOKUP($AW117,坦克个性化设定!$B$18:$E$48,4,FALSE)&amp;$AX117,坦克属性分配比例,MATCH("升星比例",坦克属性分配比例标头,0),FALSE),0)</f>
        <v>222</v>
      </c>
      <c r="BB117" s="486">
        <f ca="1">ROUND(VLOOKUP($AW117&amp;"初始",$O$3:$AA$63,MATCH(BB$3,$O$3:$AA$3,0),FALSE)+(VLOOKUP($AW117&amp;"最终",$O$3:$AA$63,MATCH(BB$3,$O$3:$AA$3,0),FALSE)-VLOOKUP($AW117&amp;"初始",$O$3:$AA$63,MATCH(BB$3,$O$3:$AA$3,0),FALSE))*$AY117/VLOOKUP(VLOOKUP($AW117,坦克个性化设定!$B$18:$E$48,4,FALSE)&amp;$AX117,坦克属性分配比例,MATCH("升星次数",坦克属性分配比例标头,0),FALSE)*(VLOOKUP(VLOOKUP($AW117,坦克个性化设定!$B$18:$E$48,4,FALSE)&amp;$AX117,坦克属性分配比例,MATCH("升星比例",坦克属性分配比例标头,0),FALSE)+VLOOKUP(VLOOKUP($AW117,坦克个性化设定!$B$18:$E$48,4,FALSE)&amp;$AX117,坦克属性分配比例,MATCH("部件比例",坦克属性分配比例标头,0),FALSE)*$C$3),0)</f>
        <v>921</v>
      </c>
      <c r="BC117" s="486">
        <f ca="1">ROUND(VLOOKUP($AW117&amp;"初始",$O$3:$AA$63,MATCH(BC$3,$O$3:$AA$3,0),FALSE)+(VLOOKUP($AW117&amp;"最终",$O$3:$AA$63,MATCH(BC$3,$O$3:$AA$3,0),FALSE)-VLOOKUP($AW117&amp;"初始",$O$3:$AA$63,MATCH(BC$3,$O$3:$AA$3,0),FALSE))*$AY117/VLOOKUP(VLOOKUP($AW117,坦克个性化设定!$B$18:$E$48,4,FALSE)&amp;$AX117,坦克属性分配比例,MATCH("升星次数",坦克属性分配比例标头,0),FALSE)*(VLOOKUP(VLOOKUP($AW117,坦克个性化设定!$B$18:$E$48,4,FALSE)&amp;$AX117,坦克属性分配比例,MATCH("升星比例",坦克属性分配比例标头,0),FALSE)+VLOOKUP(VLOOKUP($AW117,坦克个性化设定!$B$18:$E$48,4,FALSE)&amp;$AX117,坦克属性分配比例,MATCH("部件比例",坦克属性分配比例标头,0),FALSE)*$C$3),0)</f>
        <v>645</v>
      </c>
      <c r="BD117" s="426">
        <f ca="1">ROUND(VLOOKUP($AW117&amp;"初始",$O$3:$AA$63,MATCH(BD$3,$O$3:$AA$3,0),FALSE)+(VLOOKUP($AW117&amp;"最终",$O$3:$AA$63,MATCH(BD$3,$O$3:$AA$3,0),FALSE)-VLOOKUP($AW117&amp;"初始",$O$3:$AA$63,MATCH(BD$3,$O$3:$AA$3,0),FALSE))*$AY117/VLOOKUP(VLOOKUP($AW117,坦克个性化设定!$B$18:$E$48,4,FALSE)&amp;$AX117,坦克属性分配比例,MATCH("升星次数",坦克属性分配比例标头,0),FALSE)*VLOOKUP(VLOOKUP($AW117,坦克个性化设定!$B$18:$E$48,4,FALSE)&amp;$AX117,坦克属性分配比例,MATCH("升星比例",坦克属性分配比例标头,0),FALSE),0)</f>
        <v>720</v>
      </c>
      <c r="BE117" s="426">
        <f ca="1">ROUND(VLOOKUP($AW117&amp;"初始",$O$3:$AA$63,MATCH(BE$3,$O$3:$AA$3,0),FALSE)+(VLOOKUP($AW117&amp;"最终",$O$3:$AA$63,MATCH(BE$3,$O$3:$AA$3,0),FALSE)-VLOOKUP($AW117&amp;"初始",$O$3:$AA$63,MATCH(BE$3,$O$3:$AA$3,0),FALSE))*$AY117/VLOOKUP(VLOOKUP($AW117,坦克个性化设定!$B$18:$E$48,4,FALSE)&amp;$AX117,坦克属性分配比例,MATCH("升星次数",坦克属性分配比例标头,0),FALSE),0)</f>
        <v>216</v>
      </c>
      <c r="BF117" s="462">
        <f>ROUND(VLOOKUP($AW117,$AD$3:$AJ$33,MATCH(BF$3,$AD$3:$AJ$3,0),FALSE)+$AY117/VLOOKUP(VLOOKUP($AW117,坦克个性化设定!$B$18:$E$48,4,FALSE)&amp;$AX117,坦克属性分配比例,MATCH("升星次数",坦克属性分配比例标头,0),FALSE)*VLOOKUP($AW117,$AM$3:$AS$33,MATCH(BF$3,$AM$3:$AS$3,0),FALSE),1)</f>
        <v>40.1</v>
      </c>
      <c r="BG117" s="462">
        <f>ROUND(VLOOKUP($AW117,$AD$3:$AJ$33,MATCH(BG$3,$AD$3:$AJ$3,0),FALSE)+$AY117/VLOOKUP(VLOOKUP($AW117,坦克个性化设定!$B$18:$E$48,4,FALSE)&amp;$AX117,坦克属性分配比例,MATCH("升星次数",坦克属性分配比例标头,0),FALSE)*VLOOKUP($AW117,$AM$3:$AS$33,MATCH(BG$3,$AM$3:$AS$3,0),FALSE),1)</f>
        <v>59.8</v>
      </c>
      <c r="BH117" s="462">
        <f>ROUND(VLOOKUP($AW117,$AD$3:$AJ$33,MATCH(BH$3,$AD$3:$AJ$3,0),FALSE)+$AY117/VLOOKUP(VLOOKUP($AW117,坦克个性化设定!$B$18:$E$48,4,FALSE)&amp;$AX117,坦克属性分配比例,MATCH("升星次数",坦克属性分配比例标头,0),FALSE)*VLOOKUP($AW117,$AM$3:$AS$33,MATCH(BH$3,$AM$3:$AS$3,0),FALSE),1)</f>
        <v>14.2</v>
      </c>
      <c r="BI117" s="654">
        <f>IF(VLOOKUP(AW117,坦克个性化设定!$B$18:$BB$48,MATCH("装弹类型",坦克个性化设定!$B$18:$BB$18,0),FALSE)="弹夹换弹",0,ROUND(VLOOKUP($AW117,$AD$3:$AJ$33,MATCH("换弹时间",$AD$3:$AJ$3,0),FALSE)-$AY117/VLOOKUP(VLOOKUP($AW117,坦克个性化设定!$B$18:$E$48,4,FALSE)&amp;$AX117,坦克属性分配比例,MATCH("升星次数",坦克属性分配比例标头,0),FALSE)*VLOOKUP($AW117,$AM$3:$AS$33,MATCH("换弹时间",$AM$3:$AS$3,0),FALSE),2))</f>
        <v>2.82</v>
      </c>
      <c r="BJ117" s="462">
        <f>IF(VLOOKUP(AW117,坦克个性化设定!$B$18:$BB$48,MATCH("装弹类型",坦克个性化设定!$B$18:$BB$18,0),FALSE)="弹夹换弹",ROUND(VLOOKUP($AW117,$AD$3:$AJ$33,MATCH("换弹时间",$AD$3:$AJ$3,0),FALSE)-$AY117/VLOOKUP(VLOOKUP($AW117,坦克个性化设定!$B$18:$E$48,4,FALSE)&amp;$AX117,坦克属性分配比例,MATCH("升星次数",坦克属性分配比例标头,0),FALSE)*VLOOKUP($AW117,$AM$3:$AS$33,MATCH("换弹时间",$AM$3:$AS$3,0),FALSE),1),0)</f>
        <v>0</v>
      </c>
      <c r="BK117" s="462">
        <f>ROUND(VLOOKUP($AW117,$AD$3:$AJ$33,MATCH(BK$3,$AD$3:$AJ$3,0),FALSE)+$AY117/VLOOKUP(VLOOKUP($AW117,坦克个性化设定!$B$18:$E$48,4,FALSE)&amp;$AX117,坦克属性分配比例,MATCH("升星次数",坦克属性分配比例标头,0),FALSE)*VLOOKUP($AW117,$AM$3:$AS$33,MATCH(BK$3,$AM$3:$AS$3,0),FALSE),2)</f>
        <v>0</v>
      </c>
      <c r="BL117" s="462">
        <f>ROUND(VLOOKUP($AW117,$AD$3:$AJ$33,MATCH(BL$3,$AD$3:$AJ$3,0),FALSE)-$AY117/VLOOKUP(VLOOKUP($AW117,坦克个性化设定!$B$18:$E$48,4,FALSE)&amp;$AX117,坦克属性分配比例,MATCH("升星次数",坦克属性分配比例标头,0),FALSE)*VLOOKUP($AW117,$AM$3:$AS$33,MATCH(BL$3,$AM$3:$AS$3,0),FALSE),2)</f>
        <v>1.73</v>
      </c>
    </row>
    <row r="118" spans="47:64" x14ac:dyDescent="0.35">
      <c r="AU118" s="364" t="str">
        <f t="shared" si="19"/>
        <v>59式4</v>
      </c>
      <c r="AV118" s="183">
        <f>IF(AY117&gt;=VLOOKUP(VLOOKUP(AW117,坦克个性化设定!$B$18:$E$48,4,FALSE)&amp;AX117,坦克属性分配比例,MATCH("升星次数",坦克属性分配比例标头,0),FALSE),AV117+1,AV117)</f>
        <v>10</v>
      </c>
      <c r="AW118" s="131" t="str">
        <f t="shared" si="20"/>
        <v>59式</v>
      </c>
      <c r="AX118" s="177" t="str">
        <f>VLOOKUP(AW118,坦克个性化细分!$I$3:$J$33,2,FALSE)</f>
        <v>低</v>
      </c>
      <c r="AY118" s="183">
        <f t="shared" si="18"/>
        <v>4</v>
      </c>
      <c r="AZ118" s="486">
        <f ca="1">ROUND(VLOOKUP($AW118&amp;"初始",$O$3:$AA$63,MATCH(AZ$3,$O$3:$AA$3,0),FALSE)+((VLOOKUP($AW118&amp;"最终",$O$3:$AA$63,MATCH(AZ$3,$O$3:$AA$3,0),FALSE)*坦克个性化细分!$C$9-VLOOKUP($AW118&amp;"初始",$O$3:$AA$63,MATCH(AZ$3,$O$3:$AA$3,0),FALSE))-(VLOOKUP($AW118&amp;"最终",$O$3:$AA$63,MATCH(AZ$3,$O$3:$AA$3,0),FALSE)-VLOOKUP($AW118&amp;"初始",$O$3:$AA$63,MATCH(AZ$3,$O$3:$AA$3,0),FALSE))*VLOOKUP(VLOOKUP($AW118,坦克个性化设定!$B$18:$E$48,4,FALSE)&amp;$AX118,坦克属性分配比例,MATCH("部件比例",坦克属性分配比例标头,0),FALSE))*$AY118/VLOOKUP(VLOOKUP($AW118,坦克个性化设定!$B$18:$E$48,4,FALSE)&amp;$AX118,坦克属性分配比例,MATCH("升星次数",坦克属性分配比例标头,0),FALSE),0)</f>
        <v>2328</v>
      </c>
      <c r="BA118" s="426">
        <f ca="1">ROUND(VLOOKUP($AW118&amp;"初始",$O$3:$AA$63,MATCH(BA$3,$O$3:$AA$3,0),FALSE)+(VLOOKUP($AW118&amp;"最终",$O$3:$AA$63,MATCH(BA$3,$O$3:$AA$3,0),FALSE)-VLOOKUP($AW118&amp;"初始",$O$3:$AA$63,MATCH(BA$3,$O$3:$AA$3,0),FALSE))*$AY118/VLOOKUP(VLOOKUP($AW118,坦克个性化设定!$B$18:$E$48,4,FALSE)&amp;$AX118,坦克属性分配比例,MATCH("升星次数",坦克属性分配比例标头,0),FALSE)*VLOOKUP(VLOOKUP($AW118,坦克个性化设定!$B$18:$E$48,4,FALSE)&amp;$AX118,坦克属性分配比例,MATCH("升星比例",坦克属性分配比例标头,0),FALSE),0)</f>
        <v>222</v>
      </c>
      <c r="BB118" s="486">
        <f ca="1">ROUND(VLOOKUP($AW118&amp;"初始",$O$3:$AA$63,MATCH(BB$3,$O$3:$AA$3,0),FALSE)+(VLOOKUP($AW118&amp;"最终",$O$3:$AA$63,MATCH(BB$3,$O$3:$AA$3,0),FALSE)-VLOOKUP($AW118&amp;"初始",$O$3:$AA$63,MATCH(BB$3,$O$3:$AA$3,0),FALSE))*$AY118/VLOOKUP(VLOOKUP($AW118,坦克个性化设定!$B$18:$E$48,4,FALSE)&amp;$AX118,坦克属性分配比例,MATCH("升星次数",坦克属性分配比例标头,0),FALSE)*(VLOOKUP(VLOOKUP($AW118,坦克个性化设定!$B$18:$E$48,4,FALSE)&amp;$AX118,坦克属性分配比例,MATCH("升星比例",坦克属性分配比例标头,0),FALSE)+VLOOKUP(VLOOKUP($AW118,坦克个性化设定!$B$18:$E$48,4,FALSE)&amp;$AX118,坦克属性分配比例,MATCH("部件比例",坦克属性分配比例标头,0),FALSE)*$C$3),0)</f>
        <v>943</v>
      </c>
      <c r="BC118" s="486">
        <f ca="1">ROUND(VLOOKUP($AW118&amp;"初始",$O$3:$AA$63,MATCH(BC$3,$O$3:$AA$3,0),FALSE)+(VLOOKUP($AW118&amp;"最终",$O$3:$AA$63,MATCH(BC$3,$O$3:$AA$3,0),FALSE)-VLOOKUP($AW118&amp;"初始",$O$3:$AA$63,MATCH(BC$3,$O$3:$AA$3,0),FALSE))*$AY118/VLOOKUP(VLOOKUP($AW118,坦克个性化设定!$B$18:$E$48,4,FALSE)&amp;$AX118,坦克属性分配比例,MATCH("升星次数",坦克属性分配比例标头,0),FALSE)*(VLOOKUP(VLOOKUP($AW118,坦克个性化设定!$B$18:$E$48,4,FALSE)&amp;$AX118,坦克属性分配比例,MATCH("升星比例",坦克属性分配比例标头,0),FALSE)+VLOOKUP(VLOOKUP($AW118,坦克个性化设定!$B$18:$E$48,4,FALSE)&amp;$AX118,坦克属性分配比例,MATCH("部件比例",坦克属性分配比例标头,0),FALSE)*$C$3),0)</f>
        <v>660</v>
      </c>
      <c r="BD118" s="426">
        <f ca="1">ROUND(VLOOKUP($AW118&amp;"初始",$O$3:$AA$63,MATCH(BD$3,$O$3:$AA$3,0),FALSE)+(VLOOKUP($AW118&amp;"最终",$O$3:$AA$63,MATCH(BD$3,$O$3:$AA$3,0),FALSE)-VLOOKUP($AW118&amp;"初始",$O$3:$AA$63,MATCH(BD$3,$O$3:$AA$3,0),FALSE))*$AY118/VLOOKUP(VLOOKUP($AW118,坦克个性化设定!$B$18:$E$48,4,FALSE)&amp;$AX118,坦克属性分配比例,MATCH("升星次数",坦克属性分配比例标头,0),FALSE)*VLOOKUP(VLOOKUP($AW118,坦克个性化设定!$B$18:$E$48,4,FALSE)&amp;$AX118,坦克属性分配比例,MATCH("升星比例",坦克属性分配比例标头,0),FALSE),0)</f>
        <v>720</v>
      </c>
      <c r="BE118" s="426">
        <f ca="1">ROUND(VLOOKUP($AW118&amp;"初始",$O$3:$AA$63,MATCH(BE$3,$O$3:$AA$3,0),FALSE)+(VLOOKUP($AW118&amp;"最终",$O$3:$AA$63,MATCH(BE$3,$O$3:$AA$3,0),FALSE)-VLOOKUP($AW118&amp;"初始",$O$3:$AA$63,MATCH(BE$3,$O$3:$AA$3,0),FALSE))*$AY118/VLOOKUP(VLOOKUP($AW118,坦克个性化设定!$B$18:$E$48,4,FALSE)&amp;$AX118,坦克属性分配比例,MATCH("升星次数",坦克属性分配比例标头,0),FALSE),0)</f>
        <v>224</v>
      </c>
      <c r="BF118" s="462">
        <f>ROUND(VLOOKUP($AW118,$AD$3:$AJ$33,MATCH(BF$3,$AD$3:$AJ$3,0),FALSE)+$AY118/VLOOKUP(VLOOKUP($AW118,坦克个性化设定!$B$18:$E$48,4,FALSE)&amp;$AX118,坦克属性分配比例,MATCH("升星次数",坦克属性分配比例标头,0),FALSE)*VLOOKUP($AW118,$AM$3:$AS$33,MATCH(BF$3,$AM$3:$AS$3,0),FALSE),1)</f>
        <v>40.799999999999997</v>
      </c>
      <c r="BG118" s="462">
        <f>ROUND(VLOOKUP($AW118,$AD$3:$AJ$33,MATCH(BG$3,$AD$3:$AJ$3,0),FALSE)+$AY118/VLOOKUP(VLOOKUP($AW118,坦克个性化设定!$B$18:$E$48,4,FALSE)&amp;$AX118,坦克属性分配比例,MATCH("升星次数",坦克属性分配比例标头,0),FALSE)*VLOOKUP($AW118,$AM$3:$AS$33,MATCH(BG$3,$AM$3:$AS$3,0),FALSE),1)</f>
        <v>61</v>
      </c>
      <c r="BH118" s="462">
        <f>ROUND(VLOOKUP($AW118,$AD$3:$AJ$33,MATCH(BH$3,$AD$3:$AJ$3,0),FALSE)+$AY118/VLOOKUP(VLOOKUP($AW118,坦克个性化设定!$B$18:$E$48,4,FALSE)&amp;$AX118,坦克属性分配比例,MATCH("升星次数",坦克属性分配比例标头,0),FALSE)*VLOOKUP($AW118,$AM$3:$AS$33,MATCH(BH$3,$AM$3:$AS$3,0),FALSE),1)</f>
        <v>14.5</v>
      </c>
      <c r="BI118" s="654">
        <f>IF(VLOOKUP(AW118,坦克个性化设定!$B$18:$BB$48,MATCH("装弹类型",坦克个性化设定!$B$18:$BB$18,0),FALSE)="弹夹换弹",0,ROUND(VLOOKUP($AW118,$AD$3:$AJ$33,MATCH("换弹时间",$AD$3:$AJ$3,0),FALSE)-$AY118/VLOOKUP(VLOOKUP($AW118,坦克个性化设定!$B$18:$E$48,4,FALSE)&amp;$AX118,坦克属性分配比例,MATCH("升星次数",坦克属性分配比例标头,0),FALSE)*VLOOKUP($AW118,$AM$3:$AS$33,MATCH("换弹时间",$AM$3:$AS$3,0),FALSE),2))</f>
        <v>2.76</v>
      </c>
      <c r="BJ118" s="462">
        <f>IF(VLOOKUP(AW118,坦克个性化设定!$B$18:$BB$48,MATCH("装弹类型",坦克个性化设定!$B$18:$BB$18,0),FALSE)="弹夹换弹",ROUND(VLOOKUP($AW118,$AD$3:$AJ$33,MATCH("换弹时间",$AD$3:$AJ$3,0),FALSE)-$AY118/VLOOKUP(VLOOKUP($AW118,坦克个性化设定!$B$18:$E$48,4,FALSE)&amp;$AX118,坦克属性分配比例,MATCH("升星次数",坦克属性分配比例标头,0),FALSE)*VLOOKUP($AW118,$AM$3:$AS$33,MATCH("换弹时间",$AM$3:$AS$3,0),FALSE),1),0)</f>
        <v>0</v>
      </c>
      <c r="BK118" s="462">
        <f>ROUND(VLOOKUP($AW118,$AD$3:$AJ$33,MATCH(BK$3,$AD$3:$AJ$3,0),FALSE)+$AY118/VLOOKUP(VLOOKUP($AW118,坦克个性化设定!$B$18:$E$48,4,FALSE)&amp;$AX118,坦克属性分配比例,MATCH("升星次数",坦克属性分配比例标头,0),FALSE)*VLOOKUP($AW118,$AM$3:$AS$33,MATCH(BK$3,$AM$3:$AS$3,0),FALSE),2)</f>
        <v>0</v>
      </c>
      <c r="BL118" s="462">
        <f>ROUND(VLOOKUP($AW118,$AD$3:$AJ$33,MATCH(BL$3,$AD$3:$AJ$3,0),FALSE)-$AY118/VLOOKUP(VLOOKUP($AW118,坦克个性化设定!$B$18:$E$48,4,FALSE)&amp;$AX118,坦克属性分配比例,MATCH("升星次数",坦克属性分配比例标头,0),FALSE)*VLOOKUP($AW118,$AM$3:$AS$33,MATCH(BL$3,$AM$3:$AS$3,0),FALSE),2)</f>
        <v>1.7</v>
      </c>
    </row>
    <row r="119" spans="47:64" x14ac:dyDescent="0.35">
      <c r="AU119" s="364" t="str">
        <f t="shared" si="19"/>
        <v>59式5</v>
      </c>
      <c r="AV119" s="183">
        <f>IF(AY118&gt;=VLOOKUP(VLOOKUP(AW118,坦克个性化设定!$B$18:$E$48,4,FALSE)&amp;AX118,坦克属性分配比例,MATCH("升星次数",坦克属性分配比例标头,0),FALSE),AV118+1,AV118)</f>
        <v>10</v>
      </c>
      <c r="AW119" s="131" t="str">
        <f t="shared" si="20"/>
        <v>59式</v>
      </c>
      <c r="AX119" s="177" t="str">
        <f>VLOOKUP(AW119,坦克个性化细分!$I$3:$J$33,2,FALSE)</f>
        <v>低</v>
      </c>
      <c r="AY119" s="183">
        <f t="shared" si="18"/>
        <v>5</v>
      </c>
      <c r="AZ119" s="486">
        <f ca="1">ROUND(VLOOKUP($AW119&amp;"初始",$O$3:$AA$63,MATCH(AZ$3,$O$3:$AA$3,0),FALSE)+((VLOOKUP($AW119&amp;"最终",$O$3:$AA$63,MATCH(AZ$3,$O$3:$AA$3,0),FALSE)*坦克个性化细分!$C$9-VLOOKUP($AW119&amp;"初始",$O$3:$AA$63,MATCH(AZ$3,$O$3:$AA$3,0),FALSE))-(VLOOKUP($AW119&amp;"最终",$O$3:$AA$63,MATCH(AZ$3,$O$3:$AA$3,0),FALSE)-VLOOKUP($AW119&amp;"初始",$O$3:$AA$63,MATCH(AZ$3,$O$3:$AA$3,0),FALSE))*VLOOKUP(VLOOKUP($AW119,坦克个性化设定!$B$18:$E$48,4,FALSE)&amp;$AX119,坦克属性分配比例,MATCH("部件比例",坦克属性分配比例标头,0),FALSE))*$AY119/VLOOKUP(VLOOKUP($AW119,坦克个性化设定!$B$18:$E$48,4,FALSE)&amp;$AX119,坦克属性分配比例,MATCH("升星次数",坦克属性分配比例标头,0),FALSE),0)</f>
        <v>2404</v>
      </c>
      <c r="BA119" s="426">
        <f ca="1">ROUND(VLOOKUP($AW119&amp;"初始",$O$3:$AA$63,MATCH(BA$3,$O$3:$AA$3,0),FALSE)+(VLOOKUP($AW119&amp;"最终",$O$3:$AA$63,MATCH(BA$3,$O$3:$AA$3,0),FALSE)-VLOOKUP($AW119&amp;"初始",$O$3:$AA$63,MATCH(BA$3,$O$3:$AA$3,0),FALSE))*$AY119/VLOOKUP(VLOOKUP($AW119,坦克个性化设定!$B$18:$E$48,4,FALSE)&amp;$AX119,坦克属性分配比例,MATCH("升星次数",坦克属性分配比例标头,0),FALSE)*VLOOKUP(VLOOKUP($AW119,坦克个性化设定!$B$18:$E$48,4,FALSE)&amp;$AX119,坦克属性分配比例,MATCH("升星比例",坦克属性分配比例标头,0),FALSE),0)</f>
        <v>222</v>
      </c>
      <c r="BB119" s="486">
        <f ca="1">ROUND(VLOOKUP($AW119&amp;"初始",$O$3:$AA$63,MATCH(BB$3,$O$3:$AA$3,0),FALSE)+(VLOOKUP($AW119&amp;"最终",$O$3:$AA$63,MATCH(BB$3,$O$3:$AA$3,0),FALSE)-VLOOKUP($AW119&amp;"初始",$O$3:$AA$63,MATCH(BB$3,$O$3:$AA$3,0),FALSE))*$AY119/VLOOKUP(VLOOKUP($AW119,坦克个性化设定!$B$18:$E$48,4,FALSE)&amp;$AX119,坦克属性分配比例,MATCH("升星次数",坦克属性分配比例标头,0),FALSE)*(VLOOKUP(VLOOKUP($AW119,坦克个性化设定!$B$18:$E$48,4,FALSE)&amp;$AX119,坦克属性分配比例,MATCH("升星比例",坦克属性分配比例标头,0),FALSE)+VLOOKUP(VLOOKUP($AW119,坦克个性化设定!$B$18:$E$48,4,FALSE)&amp;$AX119,坦克属性分配比例,MATCH("部件比例",坦克属性分配比例标头,0),FALSE)*$C$3),0)</f>
        <v>964</v>
      </c>
      <c r="BC119" s="486">
        <f ca="1">ROUND(VLOOKUP($AW119&amp;"初始",$O$3:$AA$63,MATCH(BC$3,$O$3:$AA$3,0),FALSE)+(VLOOKUP($AW119&amp;"最终",$O$3:$AA$63,MATCH(BC$3,$O$3:$AA$3,0),FALSE)-VLOOKUP($AW119&amp;"初始",$O$3:$AA$63,MATCH(BC$3,$O$3:$AA$3,0),FALSE))*$AY119/VLOOKUP(VLOOKUP($AW119,坦克个性化设定!$B$18:$E$48,4,FALSE)&amp;$AX119,坦克属性分配比例,MATCH("升星次数",坦克属性分配比例标头,0),FALSE)*(VLOOKUP(VLOOKUP($AW119,坦克个性化设定!$B$18:$E$48,4,FALSE)&amp;$AX119,坦克属性分配比例,MATCH("升星比例",坦克属性分配比例标头,0),FALSE)+VLOOKUP(VLOOKUP($AW119,坦克个性化设定!$B$18:$E$48,4,FALSE)&amp;$AX119,坦克属性分配比例,MATCH("部件比例",坦克属性分配比例标头,0),FALSE)*$C$3),0)</f>
        <v>675</v>
      </c>
      <c r="BD119" s="426">
        <f ca="1">ROUND(VLOOKUP($AW119&amp;"初始",$O$3:$AA$63,MATCH(BD$3,$O$3:$AA$3,0),FALSE)+(VLOOKUP($AW119&amp;"最终",$O$3:$AA$63,MATCH(BD$3,$O$3:$AA$3,0),FALSE)-VLOOKUP($AW119&amp;"初始",$O$3:$AA$63,MATCH(BD$3,$O$3:$AA$3,0),FALSE))*$AY119/VLOOKUP(VLOOKUP($AW119,坦克个性化设定!$B$18:$E$48,4,FALSE)&amp;$AX119,坦克属性分配比例,MATCH("升星次数",坦克属性分配比例标头,0),FALSE)*VLOOKUP(VLOOKUP($AW119,坦克个性化设定!$B$18:$E$48,4,FALSE)&amp;$AX119,坦克属性分配比例,MATCH("升星比例",坦克属性分配比例标头,0),FALSE),0)</f>
        <v>720</v>
      </c>
      <c r="BE119" s="426">
        <f ca="1">ROUND(VLOOKUP($AW119&amp;"初始",$O$3:$AA$63,MATCH(BE$3,$O$3:$AA$3,0),FALSE)+(VLOOKUP($AW119&amp;"最终",$O$3:$AA$63,MATCH(BE$3,$O$3:$AA$3,0),FALSE)-VLOOKUP($AW119&amp;"初始",$O$3:$AA$63,MATCH(BE$3,$O$3:$AA$3,0),FALSE))*$AY119/VLOOKUP(VLOOKUP($AW119,坦克个性化设定!$B$18:$E$48,4,FALSE)&amp;$AX119,坦克属性分配比例,MATCH("升星次数",坦克属性分配比例标头,0),FALSE),0)</f>
        <v>232</v>
      </c>
      <c r="BF119" s="462">
        <f>ROUND(VLOOKUP($AW119,$AD$3:$AJ$33,MATCH(BF$3,$AD$3:$AJ$3,0),FALSE)+$AY119/VLOOKUP(VLOOKUP($AW119,坦克个性化设定!$B$18:$E$48,4,FALSE)&amp;$AX119,坦克属性分配比例,MATCH("升星次数",坦克属性分配比例标头,0),FALSE)*VLOOKUP($AW119,$AM$3:$AS$33,MATCH(BF$3,$AM$3:$AS$3,0),FALSE),1)</f>
        <v>41.6</v>
      </c>
      <c r="BG119" s="462">
        <f>ROUND(VLOOKUP($AW119,$AD$3:$AJ$33,MATCH(BG$3,$AD$3:$AJ$3,0),FALSE)+$AY119/VLOOKUP(VLOOKUP($AW119,坦克个性化设定!$B$18:$E$48,4,FALSE)&amp;$AX119,坦克属性分配比例,MATCH("升星次数",坦克属性分配比例标头,0),FALSE)*VLOOKUP($AW119,$AM$3:$AS$33,MATCH(BG$3,$AM$3:$AS$3,0),FALSE),1)</f>
        <v>62.2</v>
      </c>
      <c r="BH119" s="462">
        <f>ROUND(VLOOKUP($AW119,$AD$3:$AJ$33,MATCH(BH$3,$AD$3:$AJ$3,0),FALSE)+$AY119/VLOOKUP(VLOOKUP($AW119,坦克个性化设定!$B$18:$E$48,4,FALSE)&amp;$AX119,坦克属性分配比例,MATCH("升星次数",坦克属性分配比例标头,0),FALSE)*VLOOKUP($AW119,$AM$3:$AS$33,MATCH(BH$3,$AM$3:$AS$3,0),FALSE),1)</f>
        <v>14.9</v>
      </c>
      <c r="BI119" s="654">
        <f>IF(VLOOKUP(AW119,坦克个性化设定!$B$18:$BB$48,MATCH("装弹类型",坦克个性化设定!$B$18:$BB$18,0),FALSE)="弹夹换弹",0,ROUND(VLOOKUP($AW119,$AD$3:$AJ$33,MATCH("换弹时间",$AD$3:$AJ$3,0),FALSE)-$AY119/VLOOKUP(VLOOKUP($AW119,坦克个性化设定!$B$18:$E$48,4,FALSE)&amp;$AX119,坦克属性分配比例,MATCH("升星次数",坦克属性分配比例标头,0),FALSE)*VLOOKUP($AW119,$AM$3:$AS$33,MATCH("换弹时间",$AM$3:$AS$3,0),FALSE),2))</f>
        <v>2.7</v>
      </c>
      <c r="BJ119" s="462">
        <f>IF(VLOOKUP(AW119,坦克个性化设定!$B$18:$BB$48,MATCH("装弹类型",坦克个性化设定!$B$18:$BB$18,0),FALSE)="弹夹换弹",ROUND(VLOOKUP($AW119,$AD$3:$AJ$33,MATCH("换弹时间",$AD$3:$AJ$3,0),FALSE)-$AY119/VLOOKUP(VLOOKUP($AW119,坦克个性化设定!$B$18:$E$48,4,FALSE)&amp;$AX119,坦克属性分配比例,MATCH("升星次数",坦克属性分配比例标头,0),FALSE)*VLOOKUP($AW119,$AM$3:$AS$33,MATCH("换弹时间",$AM$3:$AS$3,0),FALSE),1),0)</f>
        <v>0</v>
      </c>
      <c r="BK119" s="462">
        <f>ROUND(VLOOKUP($AW119,$AD$3:$AJ$33,MATCH(BK$3,$AD$3:$AJ$3,0),FALSE)+$AY119/VLOOKUP(VLOOKUP($AW119,坦克个性化设定!$B$18:$E$48,4,FALSE)&amp;$AX119,坦克属性分配比例,MATCH("升星次数",坦克属性分配比例标头,0),FALSE)*VLOOKUP($AW119,$AM$3:$AS$33,MATCH(BK$3,$AM$3:$AS$3,0),FALSE),2)</f>
        <v>0</v>
      </c>
      <c r="BL119" s="462">
        <f>ROUND(VLOOKUP($AW119,$AD$3:$AJ$33,MATCH(BL$3,$AD$3:$AJ$3,0),FALSE)-$AY119/VLOOKUP(VLOOKUP($AW119,坦克个性化设定!$B$18:$E$48,4,FALSE)&amp;$AX119,坦克属性分配比例,MATCH("升星次数",坦克属性分配比例标头,0),FALSE)*VLOOKUP($AW119,$AM$3:$AS$33,MATCH(BL$3,$AM$3:$AS$3,0),FALSE),2)</f>
        <v>1.68</v>
      </c>
    </row>
    <row r="120" spans="47:64" x14ac:dyDescent="0.35">
      <c r="AU120" s="364" t="str">
        <f t="shared" si="19"/>
        <v>59式6</v>
      </c>
      <c r="AV120" s="183">
        <f>IF(AY119&gt;=VLOOKUP(VLOOKUP(AW119,坦克个性化设定!$B$18:$E$48,4,FALSE)&amp;AX119,坦克属性分配比例,MATCH("升星次数",坦克属性分配比例标头,0),FALSE),AV119+1,AV119)</f>
        <v>10</v>
      </c>
      <c r="AW120" s="131" t="str">
        <f t="shared" si="20"/>
        <v>59式</v>
      </c>
      <c r="AX120" s="177" t="str">
        <f>VLOOKUP(AW120,坦克个性化细分!$I$3:$J$33,2,FALSE)</f>
        <v>低</v>
      </c>
      <c r="AY120" s="183">
        <f t="shared" si="18"/>
        <v>6</v>
      </c>
      <c r="AZ120" s="486">
        <f ca="1">ROUND(VLOOKUP($AW120&amp;"初始",$O$3:$AA$63,MATCH(AZ$3,$O$3:$AA$3,0),FALSE)+((VLOOKUP($AW120&amp;"最终",$O$3:$AA$63,MATCH(AZ$3,$O$3:$AA$3,0),FALSE)*坦克个性化细分!$C$9-VLOOKUP($AW120&amp;"初始",$O$3:$AA$63,MATCH(AZ$3,$O$3:$AA$3,0),FALSE))-(VLOOKUP($AW120&amp;"最终",$O$3:$AA$63,MATCH(AZ$3,$O$3:$AA$3,0),FALSE)-VLOOKUP($AW120&amp;"初始",$O$3:$AA$63,MATCH(AZ$3,$O$3:$AA$3,0),FALSE))*VLOOKUP(VLOOKUP($AW120,坦克个性化设定!$B$18:$E$48,4,FALSE)&amp;$AX120,坦克属性分配比例,MATCH("部件比例",坦克属性分配比例标头,0),FALSE))*$AY120/VLOOKUP(VLOOKUP($AW120,坦克个性化设定!$B$18:$E$48,4,FALSE)&amp;$AX120,坦克属性分配比例,MATCH("升星次数",坦克属性分配比例标头,0),FALSE),0)</f>
        <v>2480</v>
      </c>
      <c r="BA120" s="426">
        <f ca="1">ROUND(VLOOKUP($AW120&amp;"初始",$O$3:$AA$63,MATCH(BA$3,$O$3:$AA$3,0),FALSE)+(VLOOKUP($AW120&amp;"最终",$O$3:$AA$63,MATCH(BA$3,$O$3:$AA$3,0),FALSE)-VLOOKUP($AW120&amp;"初始",$O$3:$AA$63,MATCH(BA$3,$O$3:$AA$3,0),FALSE))*$AY120/VLOOKUP(VLOOKUP($AW120,坦克个性化设定!$B$18:$E$48,4,FALSE)&amp;$AX120,坦克属性分配比例,MATCH("升星次数",坦克属性分配比例标头,0),FALSE)*VLOOKUP(VLOOKUP($AW120,坦克个性化设定!$B$18:$E$48,4,FALSE)&amp;$AX120,坦克属性分配比例,MATCH("升星比例",坦克属性分配比例标头,0),FALSE),0)</f>
        <v>222</v>
      </c>
      <c r="BB120" s="486">
        <f ca="1">ROUND(VLOOKUP($AW120&amp;"初始",$O$3:$AA$63,MATCH(BB$3,$O$3:$AA$3,0),FALSE)+(VLOOKUP($AW120&amp;"最终",$O$3:$AA$63,MATCH(BB$3,$O$3:$AA$3,0),FALSE)-VLOOKUP($AW120&amp;"初始",$O$3:$AA$63,MATCH(BB$3,$O$3:$AA$3,0),FALSE))*$AY120/VLOOKUP(VLOOKUP($AW120,坦克个性化设定!$B$18:$E$48,4,FALSE)&amp;$AX120,坦克属性分配比例,MATCH("升星次数",坦克属性分配比例标头,0),FALSE)*(VLOOKUP(VLOOKUP($AW120,坦克个性化设定!$B$18:$E$48,4,FALSE)&amp;$AX120,坦克属性分配比例,MATCH("升星比例",坦克属性分配比例标头,0),FALSE)+VLOOKUP(VLOOKUP($AW120,坦克个性化设定!$B$18:$E$48,4,FALSE)&amp;$AX120,坦克属性分配比例,MATCH("部件比例",坦克属性分配比例标头,0),FALSE)*$C$3),0)</f>
        <v>986</v>
      </c>
      <c r="BC120" s="486">
        <f ca="1">ROUND(VLOOKUP($AW120&amp;"初始",$O$3:$AA$63,MATCH(BC$3,$O$3:$AA$3,0),FALSE)+(VLOOKUP($AW120&amp;"最终",$O$3:$AA$63,MATCH(BC$3,$O$3:$AA$3,0),FALSE)-VLOOKUP($AW120&amp;"初始",$O$3:$AA$63,MATCH(BC$3,$O$3:$AA$3,0),FALSE))*$AY120/VLOOKUP(VLOOKUP($AW120,坦克个性化设定!$B$18:$E$48,4,FALSE)&amp;$AX120,坦克属性分配比例,MATCH("升星次数",坦克属性分配比例标头,0),FALSE)*(VLOOKUP(VLOOKUP($AW120,坦克个性化设定!$B$18:$E$48,4,FALSE)&amp;$AX120,坦克属性分配比例,MATCH("升星比例",坦克属性分配比例标头,0),FALSE)+VLOOKUP(VLOOKUP($AW120,坦克个性化设定!$B$18:$E$48,4,FALSE)&amp;$AX120,坦克属性分配比例,MATCH("部件比例",坦克属性分配比例标头,0),FALSE)*$C$3),0)</f>
        <v>690</v>
      </c>
      <c r="BD120" s="426">
        <f ca="1">ROUND(VLOOKUP($AW120&amp;"初始",$O$3:$AA$63,MATCH(BD$3,$O$3:$AA$3,0),FALSE)+(VLOOKUP($AW120&amp;"最终",$O$3:$AA$63,MATCH(BD$3,$O$3:$AA$3,0),FALSE)-VLOOKUP($AW120&amp;"初始",$O$3:$AA$63,MATCH(BD$3,$O$3:$AA$3,0),FALSE))*$AY120/VLOOKUP(VLOOKUP($AW120,坦克个性化设定!$B$18:$E$48,4,FALSE)&amp;$AX120,坦克属性分配比例,MATCH("升星次数",坦克属性分配比例标头,0),FALSE)*VLOOKUP(VLOOKUP($AW120,坦克个性化设定!$B$18:$E$48,4,FALSE)&amp;$AX120,坦克属性分配比例,MATCH("升星比例",坦克属性分配比例标头,0),FALSE),0)</f>
        <v>720</v>
      </c>
      <c r="BE120" s="426">
        <f ca="1">ROUND(VLOOKUP($AW120&amp;"初始",$O$3:$AA$63,MATCH(BE$3,$O$3:$AA$3,0),FALSE)+(VLOOKUP($AW120&amp;"最终",$O$3:$AA$63,MATCH(BE$3,$O$3:$AA$3,0),FALSE)-VLOOKUP($AW120&amp;"初始",$O$3:$AA$63,MATCH(BE$3,$O$3:$AA$3,0),FALSE))*$AY120/VLOOKUP(VLOOKUP($AW120,坦克个性化设定!$B$18:$E$48,4,FALSE)&amp;$AX120,坦克属性分配比例,MATCH("升星次数",坦克属性分配比例标头,0),FALSE),0)</f>
        <v>240</v>
      </c>
      <c r="BF120" s="462">
        <f>ROUND(VLOOKUP($AW120,$AD$3:$AJ$33,MATCH(BF$3,$AD$3:$AJ$3,0),FALSE)+$AY120/VLOOKUP(VLOOKUP($AW120,坦克个性化设定!$B$18:$E$48,4,FALSE)&amp;$AX120,坦克属性分配比例,MATCH("升星次数",坦克属性分配比例标头,0),FALSE)*VLOOKUP($AW120,$AM$3:$AS$33,MATCH(BF$3,$AM$3:$AS$3,0),FALSE),1)</f>
        <v>42.4</v>
      </c>
      <c r="BG120" s="462">
        <f>ROUND(VLOOKUP($AW120,$AD$3:$AJ$33,MATCH(BG$3,$AD$3:$AJ$3,0),FALSE)+$AY120/VLOOKUP(VLOOKUP($AW120,坦克个性化设定!$B$18:$E$48,4,FALSE)&amp;$AX120,坦克属性分配比例,MATCH("升星次数",坦克属性分配比例标头,0),FALSE)*VLOOKUP($AW120,$AM$3:$AS$33,MATCH(BG$3,$AM$3:$AS$3,0),FALSE),1)</f>
        <v>63.3</v>
      </c>
      <c r="BH120" s="462">
        <f>ROUND(VLOOKUP($AW120,$AD$3:$AJ$33,MATCH(BH$3,$AD$3:$AJ$3,0),FALSE)+$AY120/VLOOKUP(VLOOKUP($AW120,坦克个性化设定!$B$18:$E$48,4,FALSE)&amp;$AX120,坦克属性分配比例,MATCH("升星次数",坦克属性分配比例标头,0),FALSE)*VLOOKUP($AW120,$AM$3:$AS$33,MATCH(BH$3,$AM$3:$AS$3,0),FALSE),1)</f>
        <v>15.2</v>
      </c>
      <c r="BI120" s="654">
        <f>IF(VLOOKUP(AW120,坦克个性化设定!$B$18:$BB$48,MATCH("装弹类型",坦克个性化设定!$B$18:$BB$18,0),FALSE)="弹夹换弹",0,ROUND(VLOOKUP($AW120,$AD$3:$AJ$33,MATCH("换弹时间",$AD$3:$AJ$3,0),FALSE)-$AY120/VLOOKUP(VLOOKUP($AW120,坦克个性化设定!$B$18:$E$48,4,FALSE)&amp;$AX120,坦克属性分配比例,MATCH("升星次数",坦克属性分配比例标头,0),FALSE)*VLOOKUP($AW120,$AM$3:$AS$33,MATCH("换弹时间",$AM$3:$AS$3,0),FALSE),2))</f>
        <v>2.64</v>
      </c>
      <c r="BJ120" s="462">
        <f>IF(VLOOKUP(AW120,坦克个性化设定!$B$18:$BB$48,MATCH("装弹类型",坦克个性化设定!$B$18:$BB$18,0),FALSE)="弹夹换弹",ROUND(VLOOKUP($AW120,$AD$3:$AJ$33,MATCH("换弹时间",$AD$3:$AJ$3,0),FALSE)-$AY120/VLOOKUP(VLOOKUP($AW120,坦克个性化设定!$B$18:$E$48,4,FALSE)&amp;$AX120,坦克属性分配比例,MATCH("升星次数",坦克属性分配比例标头,0),FALSE)*VLOOKUP($AW120,$AM$3:$AS$33,MATCH("换弹时间",$AM$3:$AS$3,0),FALSE),1),0)</f>
        <v>0</v>
      </c>
      <c r="BK120" s="462">
        <f>ROUND(VLOOKUP($AW120,$AD$3:$AJ$33,MATCH(BK$3,$AD$3:$AJ$3,0),FALSE)+$AY120/VLOOKUP(VLOOKUP($AW120,坦克个性化设定!$B$18:$E$48,4,FALSE)&amp;$AX120,坦克属性分配比例,MATCH("升星次数",坦克属性分配比例标头,0),FALSE)*VLOOKUP($AW120,$AM$3:$AS$33,MATCH(BK$3,$AM$3:$AS$3,0),FALSE),2)</f>
        <v>0</v>
      </c>
      <c r="BL120" s="462">
        <f>ROUND(VLOOKUP($AW120,$AD$3:$AJ$33,MATCH(BL$3,$AD$3:$AJ$3,0),FALSE)-$AY120/VLOOKUP(VLOOKUP($AW120,坦克个性化设定!$B$18:$E$48,4,FALSE)&amp;$AX120,坦克属性分配比例,MATCH("升星次数",坦克属性分配比例标头,0),FALSE)*VLOOKUP($AW120,$AM$3:$AS$33,MATCH(BL$3,$AM$3:$AS$3,0),FALSE),2)</f>
        <v>1.65</v>
      </c>
    </row>
    <row r="121" spans="47:64" x14ac:dyDescent="0.35">
      <c r="AU121" s="364" t="str">
        <f t="shared" si="19"/>
        <v>59式7</v>
      </c>
      <c r="AV121" s="183">
        <f>IF(AY120&gt;=VLOOKUP(VLOOKUP(AW120,坦克个性化设定!$B$18:$E$48,4,FALSE)&amp;AX120,坦克属性分配比例,MATCH("升星次数",坦克属性分配比例标头,0),FALSE),AV120+1,AV120)</f>
        <v>10</v>
      </c>
      <c r="AW121" s="131" t="str">
        <f t="shared" si="20"/>
        <v>59式</v>
      </c>
      <c r="AX121" s="177" t="str">
        <f>VLOOKUP(AW121,坦克个性化细分!$I$3:$J$33,2,FALSE)</f>
        <v>低</v>
      </c>
      <c r="AY121" s="183">
        <f t="shared" si="18"/>
        <v>7</v>
      </c>
      <c r="AZ121" s="486">
        <f ca="1">ROUND(VLOOKUP($AW121&amp;"初始",$O$3:$AA$63,MATCH(AZ$3,$O$3:$AA$3,0),FALSE)+((VLOOKUP($AW121&amp;"最终",$O$3:$AA$63,MATCH(AZ$3,$O$3:$AA$3,0),FALSE)*坦克个性化细分!$C$9-VLOOKUP($AW121&amp;"初始",$O$3:$AA$63,MATCH(AZ$3,$O$3:$AA$3,0),FALSE))-(VLOOKUP($AW121&amp;"最终",$O$3:$AA$63,MATCH(AZ$3,$O$3:$AA$3,0),FALSE)-VLOOKUP($AW121&amp;"初始",$O$3:$AA$63,MATCH(AZ$3,$O$3:$AA$3,0),FALSE))*VLOOKUP(VLOOKUP($AW121,坦克个性化设定!$B$18:$E$48,4,FALSE)&amp;$AX121,坦克属性分配比例,MATCH("部件比例",坦克属性分配比例标头,0),FALSE))*$AY121/VLOOKUP(VLOOKUP($AW121,坦克个性化设定!$B$18:$E$48,4,FALSE)&amp;$AX121,坦克属性分配比例,MATCH("升星次数",坦克属性分配比例标头,0),FALSE),0)</f>
        <v>2556</v>
      </c>
      <c r="BA121" s="426">
        <f ca="1">ROUND(VLOOKUP($AW121&amp;"初始",$O$3:$AA$63,MATCH(BA$3,$O$3:$AA$3,0),FALSE)+(VLOOKUP($AW121&amp;"最终",$O$3:$AA$63,MATCH(BA$3,$O$3:$AA$3,0),FALSE)-VLOOKUP($AW121&amp;"初始",$O$3:$AA$63,MATCH(BA$3,$O$3:$AA$3,0),FALSE))*$AY121/VLOOKUP(VLOOKUP($AW121,坦克个性化设定!$B$18:$E$48,4,FALSE)&amp;$AX121,坦克属性分配比例,MATCH("升星次数",坦克属性分配比例标头,0),FALSE)*VLOOKUP(VLOOKUP($AW121,坦克个性化设定!$B$18:$E$48,4,FALSE)&amp;$AX121,坦克属性分配比例,MATCH("升星比例",坦克属性分配比例标头,0),FALSE),0)</f>
        <v>222</v>
      </c>
      <c r="BB121" s="486">
        <f ca="1">ROUND(VLOOKUP($AW121&amp;"初始",$O$3:$AA$63,MATCH(BB$3,$O$3:$AA$3,0),FALSE)+(VLOOKUP($AW121&amp;"最终",$O$3:$AA$63,MATCH(BB$3,$O$3:$AA$3,0),FALSE)-VLOOKUP($AW121&amp;"初始",$O$3:$AA$63,MATCH(BB$3,$O$3:$AA$3,0),FALSE))*$AY121/VLOOKUP(VLOOKUP($AW121,坦克个性化设定!$B$18:$E$48,4,FALSE)&amp;$AX121,坦克属性分配比例,MATCH("升星次数",坦克属性分配比例标头,0),FALSE)*(VLOOKUP(VLOOKUP($AW121,坦克个性化设定!$B$18:$E$48,4,FALSE)&amp;$AX121,坦克属性分配比例,MATCH("升星比例",坦克属性分配比例标头,0),FALSE)+VLOOKUP(VLOOKUP($AW121,坦克个性化设定!$B$18:$E$48,4,FALSE)&amp;$AX121,坦克属性分配比例,MATCH("部件比例",坦克属性分配比例标头,0),FALSE)*$C$3),0)</f>
        <v>1007</v>
      </c>
      <c r="BC121" s="486">
        <f ca="1">ROUND(VLOOKUP($AW121&amp;"初始",$O$3:$AA$63,MATCH(BC$3,$O$3:$AA$3,0),FALSE)+(VLOOKUP($AW121&amp;"最终",$O$3:$AA$63,MATCH(BC$3,$O$3:$AA$3,0),FALSE)-VLOOKUP($AW121&amp;"初始",$O$3:$AA$63,MATCH(BC$3,$O$3:$AA$3,0),FALSE))*$AY121/VLOOKUP(VLOOKUP($AW121,坦克个性化设定!$B$18:$E$48,4,FALSE)&amp;$AX121,坦克属性分配比例,MATCH("升星次数",坦克属性分配比例标头,0),FALSE)*(VLOOKUP(VLOOKUP($AW121,坦克个性化设定!$B$18:$E$48,4,FALSE)&amp;$AX121,坦克属性分配比例,MATCH("升星比例",坦克属性分配比例标头,0),FALSE)+VLOOKUP(VLOOKUP($AW121,坦克个性化设定!$B$18:$E$48,4,FALSE)&amp;$AX121,坦克属性分配比例,MATCH("部件比例",坦克属性分配比例标头,0),FALSE)*$C$3),0)</f>
        <v>705</v>
      </c>
      <c r="BD121" s="426">
        <f ca="1">ROUND(VLOOKUP($AW121&amp;"初始",$O$3:$AA$63,MATCH(BD$3,$O$3:$AA$3,0),FALSE)+(VLOOKUP($AW121&amp;"最终",$O$3:$AA$63,MATCH(BD$3,$O$3:$AA$3,0),FALSE)-VLOOKUP($AW121&amp;"初始",$O$3:$AA$63,MATCH(BD$3,$O$3:$AA$3,0),FALSE))*$AY121/VLOOKUP(VLOOKUP($AW121,坦克个性化设定!$B$18:$E$48,4,FALSE)&amp;$AX121,坦克属性分配比例,MATCH("升星次数",坦克属性分配比例标头,0),FALSE)*VLOOKUP(VLOOKUP($AW121,坦克个性化设定!$B$18:$E$48,4,FALSE)&amp;$AX121,坦克属性分配比例,MATCH("升星比例",坦克属性分配比例标头,0),FALSE),0)</f>
        <v>720</v>
      </c>
      <c r="BE121" s="426">
        <f ca="1">ROUND(VLOOKUP($AW121&amp;"初始",$O$3:$AA$63,MATCH(BE$3,$O$3:$AA$3,0),FALSE)+(VLOOKUP($AW121&amp;"最终",$O$3:$AA$63,MATCH(BE$3,$O$3:$AA$3,0),FALSE)-VLOOKUP($AW121&amp;"初始",$O$3:$AA$63,MATCH(BE$3,$O$3:$AA$3,0),FALSE))*$AY121/VLOOKUP(VLOOKUP($AW121,坦克个性化设定!$B$18:$E$48,4,FALSE)&amp;$AX121,坦克属性分配比例,MATCH("升星次数",坦克属性分配比例标头,0),FALSE),0)</f>
        <v>248</v>
      </c>
      <c r="BF121" s="462">
        <f>ROUND(VLOOKUP($AW121,$AD$3:$AJ$33,MATCH(BF$3,$AD$3:$AJ$3,0),FALSE)+$AY121/VLOOKUP(VLOOKUP($AW121,坦克个性化设定!$B$18:$E$48,4,FALSE)&amp;$AX121,坦克属性分配比例,MATCH("升星次数",坦克属性分配比例标头,0),FALSE)*VLOOKUP($AW121,$AM$3:$AS$33,MATCH(BF$3,$AM$3:$AS$3,0),FALSE),1)</f>
        <v>43.2</v>
      </c>
      <c r="BG121" s="462">
        <f>ROUND(VLOOKUP($AW121,$AD$3:$AJ$33,MATCH(BG$3,$AD$3:$AJ$3,0),FALSE)+$AY121/VLOOKUP(VLOOKUP($AW121,坦克个性化设定!$B$18:$E$48,4,FALSE)&amp;$AX121,坦克属性分配比例,MATCH("升星次数",坦克属性分配比例标头,0),FALSE)*VLOOKUP($AW121,$AM$3:$AS$33,MATCH(BG$3,$AM$3:$AS$3,0),FALSE),1)</f>
        <v>64.5</v>
      </c>
      <c r="BH121" s="462">
        <f>ROUND(VLOOKUP($AW121,$AD$3:$AJ$33,MATCH(BH$3,$AD$3:$AJ$3,0),FALSE)+$AY121/VLOOKUP(VLOOKUP($AW121,坦克个性化设定!$B$18:$E$48,4,FALSE)&amp;$AX121,坦克属性分配比例,MATCH("升星次数",坦克属性分配比例标头,0),FALSE)*VLOOKUP($AW121,$AM$3:$AS$33,MATCH(BH$3,$AM$3:$AS$3,0),FALSE),1)</f>
        <v>15.6</v>
      </c>
      <c r="BI121" s="654">
        <f>IF(VLOOKUP(AW121,坦克个性化设定!$B$18:$BB$48,MATCH("装弹类型",坦克个性化设定!$B$18:$BB$18,0),FALSE)="弹夹换弹",0,ROUND(VLOOKUP($AW121,$AD$3:$AJ$33,MATCH("换弹时间",$AD$3:$AJ$3,0),FALSE)-$AY121/VLOOKUP(VLOOKUP($AW121,坦克个性化设定!$B$18:$E$48,4,FALSE)&amp;$AX121,坦克属性分配比例,MATCH("升星次数",坦克属性分配比例标头,0),FALSE)*VLOOKUP($AW121,$AM$3:$AS$33,MATCH("换弹时间",$AM$3:$AS$3,0),FALSE),2))</f>
        <v>2.58</v>
      </c>
      <c r="BJ121" s="462">
        <f>IF(VLOOKUP(AW121,坦克个性化设定!$B$18:$BB$48,MATCH("装弹类型",坦克个性化设定!$B$18:$BB$18,0),FALSE)="弹夹换弹",ROUND(VLOOKUP($AW121,$AD$3:$AJ$33,MATCH("换弹时间",$AD$3:$AJ$3,0),FALSE)-$AY121/VLOOKUP(VLOOKUP($AW121,坦克个性化设定!$B$18:$E$48,4,FALSE)&amp;$AX121,坦克属性分配比例,MATCH("升星次数",坦克属性分配比例标头,0),FALSE)*VLOOKUP($AW121,$AM$3:$AS$33,MATCH("换弹时间",$AM$3:$AS$3,0),FALSE),1),0)</f>
        <v>0</v>
      </c>
      <c r="BK121" s="462">
        <f>ROUND(VLOOKUP($AW121,$AD$3:$AJ$33,MATCH(BK$3,$AD$3:$AJ$3,0),FALSE)+$AY121/VLOOKUP(VLOOKUP($AW121,坦克个性化设定!$B$18:$E$48,4,FALSE)&amp;$AX121,坦克属性分配比例,MATCH("升星次数",坦克属性分配比例标头,0),FALSE)*VLOOKUP($AW121,$AM$3:$AS$33,MATCH(BK$3,$AM$3:$AS$3,0),FALSE),2)</f>
        <v>0</v>
      </c>
      <c r="BL121" s="462">
        <f>ROUND(VLOOKUP($AW121,$AD$3:$AJ$33,MATCH(BL$3,$AD$3:$AJ$3,0),FALSE)-$AY121/VLOOKUP(VLOOKUP($AW121,坦克个性化设定!$B$18:$E$48,4,FALSE)&amp;$AX121,坦克属性分配比例,MATCH("升星次数",坦克属性分配比例标头,0),FALSE)*VLOOKUP($AW121,$AM$3:$AS$33,MATCH(BL$3,$AM$3:$AS$3,0),FALSE),2)</f>
        <v>1.63</v>
      </c>
    </row>
    <row r="122" spans="47:64" x14ac:dyDescent="0.35">
      <c r="AU122" s="364" t="str">
        <f t="shared" si="19"/>
        <v>59式8</v>
      </c>
      <c r="AV122" s="183">
        <f>IF(AY121&gt;=VLOOKUP(VLOOKUP(AW121,坦克个性化设定!$B$18:$E$48,4,FALSE)&amp;AX121,坦克属性分配比例,MATCH("升星次数",坦克属性分配比例标头,0),FALSE),AV121+1,AV121)</f>
        <v>10</v>
      </c>
      <c r="AW122" s="131" t="str">
        <f t="shared" si="20"/>
        <v>59式</v>
      </c>
      <c r="AX122" s="177" t="str">
        <f>VLOOKUP(AW122,坦克个性化细分!$I$3:$J$33,2,FALSE)</f>
        <v>低</v>
      </c>
      <c r="AY122" s="183">
        <f t="shared" si="18"/>
        <v>8</v>
      </c>
      <c r="AZ122" s="486">
        <f ca="1">ROUND(VLOOKUP($AW122&amp;"初始",$O$3:$AA$63,MATCH(AZ$3,$O$3:$AA$3,0),FALSE)+((VLOOKUP($AW122&amp;"最终",$O$3:$AA$63,MATCH(AZ$3,$O$3:$AA$3,0),FALSE)*坦克个性化细分!$C$9-VLOOKUP($AW122&amp;"初始",$O$3:$AA$63,MATCH(AZ$3,$O$3:$AA$3,0),FALSE))-(VLOOKUP($AW122&amp;"最终",$O$3:$AA$63,MATCH(AZ$3,$O$3:$AA$3,0),FALSE)-VLOOKUP($AW122&amp;"初始",$O$3:$AA$63,MATCH(AZ$3,$O$3:$AA$3,0),FALSE))*VLOOKUP(VLOOKUP($AW122,坦克个性化设定!$B$18:$E$48,4,FALSE)&amp;$AX122,坦克属性分配比例,MATCH("部件比例",坦克属性分配比例标头,0),FALSE))*$AY122/VLOOKUP(VLOOKUP($AW122,坦克个性化设定!$B$18:$E$48,4,FALSE)&amp;$AX122,坦克属性分配比例,MATCH("升星次数",坦克属性分配比例标头,0),FALSE),0)</f>
        <v>2632</v>
      </c>
      <c r="BA122" s="426">
        <f ca="1">ROUND(VLOOKUP($AW122&amp;"初始",$O$3:$AA$63,MATCH(BA$3,$O$3:$AA$3,0),FALSE)+(VLOOKUP($AW122&amp;"最终",$O$3:$AA$63,MATCH(BA$3,$O$3:$AA$3,0),FALSE)-VLOOKUP($AW122&amp;"初始",$O$3:$AA$63,MATCH(BA$3,$O$3:$AA$3,0),FALSE))*$AY122/VLOOKUP(VLOOKUP($AW122,坦克个性化设定!$B$18:$E$48,4,FALSE)&amp;$AX122,坦克属性分配比例,MATCH("升星次数",坦克属性分配比例标头,0),FALSE)*VLOOKUP(VLOOKUP($AW122,坦克个性化设定!$B$18:$E$48,4,FALSE)&amp;$AX122,坦克属性分配比例,MATCH("升星比例",坦克属性分配比例标头,0),FALSE),0)</f>
        <v>222</v>
      </c>
      <c r="BB122" s="486">
        <f ca="1">ROUND(VLOOKUP($AW122&amp;"初始",$O$3:$AA$63,MATCH(BB$3,$O$3:$AA$3,0),FALSE)+(VLOOKUP($AW122&amp;"最终",$O$3:$AA$63,MATCH(BB$3,$O$3:$AA$3,0),FALSE)-VLOOKUP($AW122&amp;"初始",$O$3:$AA$63,MATCH(BB$3,$O$3:$AA$3,0),FALSE))*$AY122/VLOOKUP(VLOOKUP($AW122,坦克个性化设定!$B$18:$E$48,4,FALSE)&amp;$AX122,坦克属性分配比例,MATCH("升星次数",坦克属性分配比例标头,0),FALSE)*(VLOOKUP(VLOOKUP($AW122,坦克个性化设定!$B$18:$E$48,4,FALSE)&amp;$AX122,坦克属性分配比例,MATCH("升星比例",坦克属性分配比例标头,0),FALSE)+VLOOKUP(VLOOKUP($AW122,坦克个性化设定!$B$18:$E$48,4,FALSE)&amp;$AX122,坦克属性分配比例,MATCH("部件比例",坦克属性分配比例标头,0),FALSE)*$C$3),0)</f>
        <v>1029</v>
      </c>
      <c r="BC122" s="486">
        <f ca="1">ROUND(VLOOKUP($AW122&amp;"初始",$O$3:$AA$63,MATCH(BC$3,$O$3:$AA$3,0),FALSE)+(VLOOKUP($AW122&amp;"最终",$O$3:$AA$63,MATCH(BC$3,$O$3:$AA$3,0),FALSE)-VLOOKUP($AW122&amp;"初始",$O$3:$AA$63,MATCH(BC$3,$O$3:$AA$3,0),FALSE))*$AY122/VLOOKUP(VLOOKUP($AW122,坦克个性化设定!$B$18:$E$48,4,FALSE)&amp;$AX122,坦克属性分配比例,MATCH("升星次数",坦克属性分配比例标头,0),FALSE)*(VLOOKUP(VLOOKUP($AW122,坦克个性化设定!$B$18:$E$48,4,FALSE)&amp;$AX122,坦克属性分配比例,MATCH("升星比例",坦克属性分配比例标头,0),FALSE)+VLOOKUP(VLOOKUP($AW122,坦克个性化设定!$B$18:$E$48,4,FALSE)&amp;$AX122,坦克属性分配比例,MATCH("部件比例",坦克属性分配比例标头,0),FALSE)*$C$3),0)</f>
        <v>720</v>
      </c>
      <c r="BD122" s="426">
        <f ca="1">ROUND(VLOOKUP($AW122&amp;"初始",$O$3:$AA$63,MATCH(BD$3,$O$3:$AA$3,0),FALSE)+(VLOOKUP($AW122&amp;"最终",$O$3:$AA$63,MATCH(BD$3,$O$3:$AA$3,0),FALSE)-VLOOKUP($AW122&amp;"初始",$O$3:$AA$63,MATCH(BD$3,$O$3:$AA$3,0),FALSE))*$AY122/VLOOKUP(VLOOKUP($AW122,坦克个性化设定!$B$18:$E$48,4,FALSE)&amp;$AX122,坦克属性分配比例,MATCH("升星次数",坦克属性分配比例标头,0),FALSE)*VLOOKUP(VLOOKUP($AW122,坦克个性化设定!$B$18:$E$48,4,FALSE)&amp;$AX122,坦克属性分配比例,MATCH("升星比例",坦克属性分配比例标头,0),FALSE),0)</f>
        <v>720</v>
      </c>
      <c r="BE122" s="426">
        <f ca="1">ROUND(VLOOKUP($AW122&amp;"初始",$O$3:$AA$63,MATCH(BE$3,$O$3:$AA$3,0),FALSE)+(VLOOKUP($AW122&amp;"最终",$O$3:$AA$63,MATCH(BE$3,$O$3:$AA$3,0),FALSE)-VLOOKUP($AW122&amp;"初始",$O$3:$AA$63,MATCH(BE$3,$O$3:$AA$3,0),FALSE))*$AY122/VLOOKUP(VLOOKUP($AW122,坦克个性化设定!$B$18:$E$48,4,FALSE)&amp;$AX122,坦克属性分配比例,MATCH("升星次数",坦克属性分配比例标头,0),FALSE),0)</f>
        <v>256</v>
      </c>
      <c r="BF122" s="462">
        <f>ROUND(VLOOKUP($AW122,$AD$3:$AJ$33,MATCH(BF$3,$AD$3:$AJ$3,0),FALSE)+$AY122/VLOOKUP(VLOOKUP($AW122,坦克个性化设定!$B$18:$E$48,4,FALSE)&amp;$AX122,坦克属性分配比例,MATCH("升星次数",坦克属性分配比例标头,0),FALSE)*VLOOKUP($AW122,$AM$3:$AS$33,MATCH(BF$3,$AM$3:$AS$3,0),FALSE),1)</f>
        <v>44</v>
      </c>
      <c r="BG122" s="462">
        <f>ROUND(VLOOKUP($AW122,$AD$3:$AJ$33,MATCH(BG$3,$AD$3:$AJ$3,0),FALSE)+$AY122/VLOOKUP(VLOOKUP($AW122,坦克个性化设定!$B$18:$E$48,4,FALSE)&amp;$AX122,坦克属性分配比例,MATCH("升星次数",坦克属性分配比例标头,0),FALSE)*VLOOKUP($AW122,$AM$3:$AS$33,MATCH(BG$3,$AM$3:$AS$3,0),FALSE),1)</f>
        <v>65.7</v>
      </c>
      <c r="BH122" s="462">
        <f>ROUND(VLOOKUP($AW122,$AD$3:$AJ$33,MATCH(BH$3,$AD$3:$AJ$3,0),FALSE)+$AY122/VLOOKUP(VLOOKUP($AW122,坦克个性化设定!$B$18:$E$48,4,FALSE)&amp;$AX122,坦克属性分配比例,MATCH("升星次数",坦克属性分配比例标头,0),FALSE)*VLOOKUP($AW122,$AM$3:$AS$33,MATCH(BH$3,$AM$3:$AS$3,0),FALSE),1)</f>
        <v>16</v>
      </c>
      <c r="BI122" s="654">
        <f>IF(VLOOKUP(AW122,坦克个性化设定!$B$18:$BB$48,MATCH("装弹类型",坦克个性化设定!$B$18:$BB$18,0),FALSE)="弹夹换弹",0,ROUND(VLOOKUP($AW122,$AD$3:$AJ$33,MATCH("换弹时间",$AD$3:$AJ$3,0),FALSE)-$AY122/VLOOKUP(VLOOKUP($AW122,坦克个性化设定!$B$18:$E$48,4,FALSE)&amp;$AX122,坦克属性分配比例,MATCH("升星次数",坦克属性分配比例标头,0),FALSE)*VLOOKUP($AW122,$AM$3:$AS$33,MATCH("换弹时间",$AM$3:$AS$3,0),FALSE),2))</f>
        <v>2.52</v>
      </c>
      <c r="BJ122" s="462">
        <f>IF(VLOOKUP(AW122,坦克个性化设定!$B$18:$BB$48,MATCH("装弹类型",坦克个性化设定!$B$18:$BB$18,0),FALSE)="弹夹换弹",ROUND(VLOOKUP($AW122,$AD$3:$AJ$33,MATCH("换弹时间",$AD$3:$AJ$3,0),FALSE)-$AY122/VLOOKUP(VLOOKUP($AW122,坦克个性化设定!$B$18:$E$48,4,FALSE)&amp;$AX122,坦克属性分配比例,MATCH("升星次数",坦克属性分配比例标头,0),FALSE)*VLOOKUP($AW122,$AM$3:$AS$33,MATCH("换弹时间",$AM$3:$AS$3,0),FALSE),1),0)</f>
        <v>0</v>
      </c>
      <c r="BK122" s="462">
        <f>ROUND(VLOOKUP($AW122,$AD$3:$AJ$33,MATCH(BK$3,$AD$3:$AJ$3,0),FALSE)+$AY122/VLOOKUP(VLOOKUP($AW122,坦克个性化设定!$B$18:$E$48,4,FALSE)&amp;$AX122,坦克属性分配比例,MATCH("升星次数",坦克属性分配比例标头,0),FALSE)*VLOOKUP($AW122,$AM$3:$AS$33,MATCH(BK$3,$AM$3:$AS$3,0),FALSE),2)</f>
        <v>0</v>
      </c>
      <c r="BL122" s="462">
        <f>ROUND(VLOOKUP($AW122,$AD$3:$AJ$33,MATCH(BL$3,$AD$3:$AJ$3,0),FALSE)-$AY122/VLOOKUP(VLOOKUP($AW122,坦克个性化设定!$B$18:$E$48,4,FALSE)&amp;$AX122,坦克属性分配比例,MATCH("升星次数",坦克属性分配比例标头,0),FALSE)*VLOOKUP($AW122,$AM$3:$AS$33,MATCH(BL$3,$AM$3:$AS$3,0),FALSE),2)</f>
        <v>1.6</v>
      </c>
    </row>
    <row r="123" spans="47:64" x14ac:dyDescent="0.35">
      <c r="AU123" s="364" t="str">
        <f t="shared" si="19"/>
        <v>59式9</v>
      </c>
      <c r="AV123" s="183">
        <f>IF(AY122&gt;=VLOOKUP(VLOOKUP(AW122,坦克个性化设定!$B$18:$E$48,4,FALSE)&amp;AX122,坦克属性分配比例,MATCH("升星次数",坦克属性分配比例标头,0),FALSE),AV122+1,AV122)</f>
        <v>10</v>
      </c>
      <c r="AW123" s="131" t="str">
        <f t="shared" si="20"/>
        <v>59式</v>
      </c>
      <c r="AX123" s="177" t="str">
        <f>VLOOKUP(AW123,坦克个性化细分!$I$3:$J$33,2,FALSE)</f>
        <v>低</v>
      </c>
      <c r="AY123" s="183">
        <f t="shared" si="18"/>
        <v>9</v>
      </c>
      <c r="AZ123" s="486">
        <f ca="1">ROUND(VLOOKUP($AW123&amp;"初始",$O$3:$AA$63,MATCH(AZ$3,$O$3:$AA$3,0),FALSE)+((VLOOKUP($AW123&amp;"最终",$O$3:$AA$63,MATCH(AZ$3,$O$3:$AA$3,0),FALSE)*坦克个性化细分!$C$9-VLOOKUP($AW123&amp;"初始",$O$3:$AA$63,MATCH(AZ$3,$O$3:$AA$3,0),FALSE))-(VLOOKUP($AW123&amp;"最终",$O$3:$AA$63,MATCH(AZ$3,$O$3:$AA$3,0),FALSE)-VLOOKUP($AW123&amp;"初始",$O$3:$AA$63,MATCH(AZ$3,$O$3:$AA$3,0),FALSE))*VLOOKUP(VLOOKUP($AW123,坦克个性化设定!$B$18:$E$48,4,FALSE)&amp;$AX123,坦克属性分配比例,MATCH("部件比例",坦克属性分配比例标头,0),FALSE))*$AY123/VLOOKUP(VLOOKUP($AW123,坦克个性化设定!$B$18:$E$48,4,FALSE)&amp;$AX123,坦克属性分配比例,MATCH("升星次数",坦克属性分配比例标头,0),FALSE),0)</f>
        <v>2708</v>
      </c>
      <c r="BA123" s="426">
        <f ca="1">ROUND(VLOOKUP($AW123&amp;"初始",$O$3:$AA$63,MATCH(BA$3,$O$3:$AA$3,0),FALSE)+(VLOOKUP($AW123&amp;"最终",$O$3:$AA$63,MATCH(BA$3,$O$3:$AA$3,0),FALSE)-VLOOKUP($AW123&amp;"初始",$O$3:$AA$63,MATCH(BA$3,$O$3:$AA$3,0),FALSE))*$AY123/VLOOKUP(VLOOKUP($AW123,坦克个性化设定!$B$18:$E$48,4,FALSE)&amp;$AX123,坦克属性分配比例,MATCH("升星次数",坦克属性分配比例标头,0),FALSE)*VLOOKUP(VLOOKUP($AW123,坦克个性化设定!$B$18:$E$48,4,FALSE)&amp;$AX123,坦克属性分配比例,MATCH("升星比例",坦克属性分配比例标头,0),FALSE),0)</f>
        <v>222</v>
      </c>
      <c r="BB123" s="486">
        <f ca="1">ROUND(VLOOKUP($AW123&amp;"初始",$O$3:$AA$63,MATCH(BB$3,$O$3:$AA$3,0),FALSE)+(VLOOKUP($AW123&amp;"最终",$O$3:$AA$63,MATCH(BB$3,$O$3:$AA$3,0),FALSE)-VLOOKUP($AW123&amp;"初始",$O$3:$AA$63,MATCH(BB$3,$O$3:$AA$3,0),FALSE))*$AY123/VLOOKUP(VLOOKUP($AW123,坦克个性化设定!$B$18:$E$48,4,FALSE)&amp;$AX123,坦克属性分配比例,MATCH("升星次数",坦克属性分配比例标头,0),FALSE)*(VLOOKUP(VLOOKUP($AW123,坦克个性化设定!$B$18:$E$48,4,FALSE)&amp;$AX123,坦克属性分配比例,MATCH("升星比例",坦克属性分配比例标头,0),FALSE)+VLOOKUP(VLOOKUP($AW123,坦克个性化设定!$B$18:$E$48,4,FALSE)&amp;$AX123,坦克属性分配比例,MATCH("部件比例",坦克属性分配比例标头,0),FALSE)*$C$3),0)</f>
        <v>1050</v>
      </c>
      <c r="BC123" s="486">
        <f ca="1">ROUND(VLOOKUP($AW123&amp;"初始",$O$3:$AA$63,MATCH(BC$3,$O$3:$AA$3,0),FALSE)+(VLOOKUP($AW123&amp;"最终",$O$3:$AA$63,MATCH(BC$3,$O$3:$AA$3,0),FALSE)-VLOOKUP($AW123&amp;"初始",$O$3:$AA$63,MATCH(BC$3,$O$3:$AA$3,0),FALSE))*$AY123/VLOOKUP(VLOOKUP($AW123,坦克个性化设定!$B$18:$E$48,4,FALSE)&amp;$AX123,坦克属性分配比例,MATCH("升星次数",坦克属性分配比例标头,0),FALSE)*(VLOOKUP(VLOOKUP($AW123,坦克个性化设定!$B$18:$E$48,4,FALSE)&amp;$AX123,坦克属性分配比例,MATCH("升星比例",坦克属性分配比例标头,0),FALSE)+VLOOKUP(VLOOKUP($AW123,坦克个性化设定!$B$18:$E$48,4,FALSE)&amp;$AX123,坦克属性分配比例,MATCH("部件比例",坦克属性分配比例标头,0),FALSE)*$C$3),0)</f>
        <v>735</v>
      </c>
      <c r="BD123" s="426">
        <f ca="1">ROUND(VLOOKUP($AW123&amp;"初始",$O$3:$AA$63,MATCH(BD$3,$O$3:$AA$3,0),FALSE)+(VLOOKUP($AW123&amp;"最终",$O$3:$AA$63,MATCH(BD$3,$O$3:$AA$3,0),FALSE)-VLOOKUP($AW123&amp;"初始",$O$3:$AA$63,MATCH(BD$3,$O$3:$AA$3,0),FALSE))*$AY123/VLOOKUP(VLOOKUP($AW123,坦克个性化设定!$B$18:$E$48,4,FALSE)&amp;$AX123,坦克属性分配比例,MATCH("升星次数",坦克属性分配比例标头,0),FALSE)*VLOOKUP(VLOOKUP($AW123,坦克个性化设定!$B$18:$E$48,4,FALSE)&amp;$AX123,坦克属性分配比例,MATCH("升星比例",坦克属性分配比例标头,0),FALSE),0)</f>
        <v>720</v>
      </c>
      <c r="BE123" s="426">
        <f ca="1">ROUND(VLOOKUP($AW123&amp;"初始",$O$3:$AA$63,MATCH(BE$3,$O$3:$AA$3,0),FALSE)+(VLOOKUP($AW123&amp;"最终",$O$3:$AA$63,MATCH(BE$3,$O$3:$AA$3,0),FALSE)-VLOOKUP($AW123&amp;"初始",$O$3:$AA$63,MATCH(BE$3,$O$3:$AA$3,0),FALSE))*$AY123/VLOOKUP(VLOOKUP($AW123,坦克个性化设定!$B$18:$E$48,4,FALSE)&amp;$AX123,坦克属性分配比例,MATCH("升星次数",坦克属性分配比例标头,0),FALSE),0)</f>
        <v>264</v>
      </c>
      <c r="BF123" s="462">
        <f>ROUND(VLOOKUP($AW123,$AD$3:$AJ$33,MATCH(BF$3,$AD$3:$AJ$3,0),FALSE)+$AY123/VLOOKUP(VLOOKUP($AW123,坦克个性化设定!$B$18:$E$48,4,FALSE)&amp;$AX123,坦克属性分配比例,MATCH("升星次数",坦克属性分配比例标头,0),FALSE)*VLOOKUP($AW123,$AM$3:$AS$33,MATCH(BF$3,$AM$3:$AS$3,0),FALSE),1)</f>
        <v>44.8</v>
      </c>
      <c r="BG123" s="462">
        <f>ROUND(VLOOKUP($AW123,$AD$3:$AJ$33,MATCH(BG$3,$AD$3:$AJ$3,0),FALSE)+$AY123/VLOOKUP(VLOOKUP($AW123,坦克个性化设定!$B$18:$E$48,4,FALSE)&amp;$AX123,坦克属性分配比例,MATCH("升星次数",坦克属性分配比例标头,0),FALSE)*VLOOKUP($AW123,$AM$3:$AS$33,MATCH(BG$3,$AM$3:$AS$3,0),FALSE),1)</f>
        <v>66.900000000000006</v>
      </c>
      <c r="BH123" s="462">
        <f>ROUND(VLOOKUP($AW123,$AD$3:$AJ$33,MATCH(BH$3,$AD$3:$AJ$3,0),FALSE)+$AY123/VLOOKUP(VLOOKUP($AW123,坦克个性化设定!$B$18:$E$48,4,FALSE)&amp;$AX123,坦克属性分配比例,MATCH("升星次数",坦克属性分配比例标头,0),FALSE)*VLOOKUP($AW123,$AM$3:$AS$33,MATCH(BH$3,$AM$3:$AS$3,0),FALSE),1)</f>
        <v>16.3</v>
      </c>
      <c r="BI123" s="654">
        <f>IF(VLOOKUP(AW123,坦克个性化设定!$B$18:$BB$48,MATCH("装弹类型",坦克个性化设定!$B$18:$BB$18,0),FALSE)="弹夹换弹",0,ROUND(VLOOKUP($AW123,$AD$3:$AJ$33,MATCH("换弹时间",$AD$3:$AJ$3,0),FALSE)-$AY123/VLOOKUP(VLOOKUP($AW123,坦克个性化设定!$B$18:$E$48,4,FALSE)&amp;$AX123,坦克属性分配比例,MATCH("升星次数",坦克属性分配比例标头,0),FALSE)*VLOOKUP($AW123,$AM$3:$AS$33,MATCH("换弹时间",$AM$3:$AS$3,0),FALSE),2))</f>
        <v>2.46</v>
      </c>
      <c r="BJ123" s="462">
        <f>IF(VLOOKUP(AW123,坦克个性化设定!$B$18:$BB$48,MATCH("装弹类型",坦克个性化设定!$B$18:$BB$18,0),FALSE)="弹夹换弹",ROUND(VLOOKUP($AW123,$AD$3:$AJ$33,MATCH("换弹时间",$AD$3:$AJ$3,0),FALSE)-$AY123/VLOOKUP(VLOOKUP($AW123,坦克个性化设定!$B$18:$E$48,4,FALSE)&amp;$AX123,坦克属性分配比例,MATCH("升星次数",坦克属性分配比例标头,0),FALSE)*VLOOKUP($AW123,$AM$3:$AS$33,MATCH("换弹时间",$AM$3:$AS$3,0),FALSE),1),0)</f>
        <v>0</v>
      </c>
      <c r="BK123" s="462">
        <f>ROUND(VLOOKUP($AW123,$AD$3:$AJ$33,MATCH(BK$3,$AD$3:$AJ$3,0),FALSE)+$AY123/VLOOKUP(VLOOKUP($AW123,坦克个性化设定!$B$18:$E$48,4,FALSE)&amp;$AX123,坦克属性分配比例,MATCH("升星次数",坦克属性分配比例标头,0),FALSE)*VLOOKUP($AW123,$AM$3:$AS$33,MATCH(BK$3,$AM$3:$AS$3,0),FALSE),2)</f>
        <v>0</v>
      </c>
      <c r="BL123" s="462">
        <f>ROUND(VLOOKUP($AW123,$AD$3:$AJ$33,MATCH(BL$3,$AD$3:$AJ$3,0),FALSE)-$AY123/VLOOKUP(VLOOKUP($AW123,坦克个性化设定!$B$18:$E$48,4,FALSE)&amp;$AX123,坦克属性分配比例,MATCH("升星次数",坦克属性分配比例标头,0),FALSE)*VLOOKUP($AW123,$AM$3:$AS$33,MATCH(BL$3,$AM$3:$AS$3,0),FALSE),2)</f>
        <v>1.58</v>
      </c>
    </row>
    <row r="124" spans="47:64" x14ac:dyDescent="0.35">
      <c r="AU124" s="364" t="str">
        <f t="shared" si="19"/>
        <v>59式10</v>
      </c>
      <c r="AV124" s="183">
        <f>IF(AY123&gt;=VLOOKUP(VLOOKUP(AW123,坦克个性化设定!$B$18:$E$48,4,FALSE)&amp;AX123,坦克属性分配比例,MATCH("升星次数",坦克属性分配比例标头,0),FALSE),AV123+1,AV123)</f>
        <v>10</v>
      </c>
      <c r="AW124" s="131" t="str">
        <f t="shared" si="20"/>
        <v>59式</v>
      </c>
      <c r="AX124" s="177" t="str">
        <f>VLOOKUP(AW124,坦克个性化细分!$I$3:$J$33,2,FALSE)</f>
        <v>低</v>
      </c>
      <c r="AY124" s="183">
        <f t="shared" si="18"/>
        <v>10</v>
      </c>
      <c r="AZ124" s="486">
        <f ca="1">ROUND(VLOOKUP($AW124&amp;"初始",$O$3:$AA$63,MATCH(AZ$3,$O$3:$AA$3,0),FALSE)+((VLOOKUP($AW124&amp;"最终",$O$3:$AA$63,MATCH(AZ$3,$O$3:$AA$3,0),FALSE)*坦克个性化细分!$C$9-VLOOKUP($AW124&amp;"初始",$O$3:$AA$63,MATCH(AZ$3,$O$3:$AA$3,0),FALSE))-(VLOOKUP($AW124&amp;"最终",$O$3:$AA$63,MATCH(AZ$3,$O$3:$AA$3,0),FALSE)-VLOOKUP($AW124&amp;"初始",$O$3:$AA$63,MATCH(AZ$3,$O$3:$AA$3,0),FALSE))*VLOOKUP(VLOOKUP($AW124,坦克个性化设定!$B$18:$E$48,4,FALSE)&amp;$AX124,坦克属性分配比例,MATCH("部件比例",坦克属性分配比例标头,0),FALSE))*$AY124/VLOOKUP(VLOOKUP($AW124,坦克个性化设定!$B$18:$E$48,4,FALSE)&amp;$AX124,坦克属性分配比例,MATCH("升星次数",坦克属性分配比例标头,0),FALSE),0)</f>
        <v>2784</v>
      </c>
      <c r="BA124" s="426">
        <f ca="1">ROUND(VLOOKUP($AW124&amp;"初始",$O$3:$AA$63,MATCH(BA$3,$O$3:$AA$3,0),FALSE)+(VLOOKUP($AW124&amp;"最终",$O$3:$AA$63,MATCH(BA$3,$O$3:$AA$3,0),FALSE)-VLOOKUP($AW124&amp;"初始",$O$3:$AA$63,MATCH(BA$3,$O$3:$AA$3,0),FALSE))*$AY124/VLOOKUP(VLOOKUP($AW124,坦克个性化设定!$B$18:$E$48,4,FALSE)&amp;$AX124,坦克属性分配比例,MATCH("升星次数",坦克属性分配比例标头,0),FALSE)*VLOOKUP(VLOOKUP($AW124,坦克个性化设定!$B$18:$E$48,4,FALSE)&amp;$AX124,坦克属性分配比例,MATCH("升星比例",坦克属性分配比例标头,0),FALSE),0)</f>
        <v>222</v>
      </c>
      <c r="BB124" s="486">
        <f ca="1">ROUND(VLOOKUP($AW124&amp;"初始",$O$3:$AA$63,MATCH(BB$3,$O$3:$AA$3,0),FALSE)+(VLOOKUP($AW124&amp;"最终",$O$3:$AA$63,MATCH(BB$3,$O$3:$AA$3,0),FALSE)-VLOOKUP($AW124&amp;"初始",$O$3:$AA$63,MATCH(BB$3,$O$3:$AA$3,0),FALSE))*$AY124/VLOOKUP(VLOOKUP($AW124,坦克个性化设定!$B$18:$E$48,4,FALSE)&amp;$AX124,坦克属性分配比例,MATCH("升星次数",坦克属性分配比例标头,0),FALSE)*(VLOOKUP(VLOOKUP($AW124,坦克个性化设定!$B$18:$E$48,4,FALSE)&amp;$AX124,坦克属性分配比例,MATCH("升星比例",坦克属性分配比例标头,0),FALSE)+VLOOKUP(VLOOKUP($AW124,坦克个性化设定!$B$18:$E$48,4,FALSE)&amp;$AX124,坦克属性分配比例,MATCH("部件比例",坦克属性分配比例标头,0),FALSE)*$C$3),0)</f>
        <v>1072</v>
      </c>
      <c r="BC124" s="486">
        <f ca="1">ROUND(VLOOKUP($AW124&amp;"初始",$O$3:$AA$63,MATCH(BC$3,$O$3:$AA$3,0),FALSE)+(VLOOKUP($AW124&amp;"最终",$O$3:$AA$63,MATCH(BC$3,$O$3:$AA$3,0),FALSE)-VLOOKUP($AW124&amp;"初始",$O$3:$AA$63,MATCH(BC$3,$O$3:$AA$3,0),FALSE))*$AY124/VLOOKUP(VLOOKUP($AW124,坦克个性化设定!$B$18:$E$48,4,FALSE)&amp;$AX124,坦克属性分配比例,MATCH("升星次数",坦克属性分配比例标头,0),FALSE)*(VLOOKUP(VLOOKUP($AW124,坦克个性化设定!$B$18:$E$48,4,FALSE)&amp;$AX124,坦克属性分配比例,MATCH("升星比例",坦克属性分配比例标头,0),FALSE)+VLOOKUP(VLOOKUP($AW124,坦克个性化设定!$B$18:$E$48,4,FALSE)&amp;$AX124,坦克属性分配比例,MATCH("部件比例",坦克属性分配比例标头,0),FALSE)*$C$3),0)</f>
        <v>750</v>
      </c>
      <c r="BD124" s="426">
        <f ca="1">ROUND(VLOOKUP($AW124&amp;"初始",$O$3:$AA$63,MATCH(BD$3,$O$3:$AA$3,0),FALSE)+(VLOOKUP($AW124&amp;"最终",$O$3:$AA$63,MATCH(BD$3,$O$3:$AA$3,0),FALSE)-VLOOKUP($AW124&amp;"初始",$O$3:$AA$63,MATCH(BD$3,$O$3:$AA$3,0),FALSE))*$AY124/VLOOKUP(VLOOKUP($AW124,坦克个性化设定!$B$18:$E$48,4,FALSE)&amp;$AX124,坦克属性分配比例,MATCH("升星次数",坦克属性分配比例标头,0),FALSE)*VLOOKUP(VLOOKUP($AW124,坦克个性化设定!$B$18:$E$48,4,FALSE)&amp;$AX124,坦克属性分配比例,MATCH("升星比例",坦克属性分配比例标头,0),FALSE),0)</f>
        <v>720</v>
      </c>
      <c r="BE124" s="426">
        <f ca="1">ROUND(VLOOKUP($AW124&amp;"初始",$O$3:$AA$63,MATCH(BE$3,$O$3:$AA$3,0),FALSE)+(VLOOKUP($AW124&amp;"最终",$O$3:$AA$63,MATCH(BE$3,$O$3:$AA$3,0),FALSE)-VLOOKUP($AW124&amp;"初始",$O$3:$AA$63,MATCH(BE$3,$O$3:$AA$3,0),FALSE))*$AY124/VLOOKUP(VLOOKUP($AW124,坦克个性化设定!$B$18:$E$48,4,FALSE)&amp;$AX124,坦克属性分配比例,MATCH("升星次数",坦克属性分配比例标头,0),FALSE),0)</f>
        <v>272</v>
      </c>
      <c r="BF124" s="462">
        <f>ROUND(VLOOKUP($AW124,$AD$3:$AJ$33,MATCH(BF$3,$AD$3:$AJ$3,0),FALSE)+$AY124/VLOOKUP(VLOOKUP($AW124,坦克个性化设定!$B$18:$E$48,4,FALSE)&amp;$AX124,坦克属性分配比例,MATCH("升星次数",坦克属性分配比例标头,0),FALSE)*VLOOKUP($AW124,$AM$3:$AS$33,MATCH(BF$3,$AM$3:$AS$3,0),FALSE),1)</f>
        <v>45.6</v>
      </c>
      <c r="BG124" s="462">
        <f>ROUND(VLOOKUP($AW124,$AD$3:$AJ$33,MATCH(BG$3,$AD$3:$AJ$3,0),FALSE)+$AY124/VLOOKUP(VLOOKUP($AW124,坦克个性化设定!$B$18:$E$48,4,FALSE)&amp;$AX124,坦克属性分配比例,MATCH("升星次数",坦克属性分配比例标头,0),FALSE)*VLOOKUP($AW124,$AM$3:$AS$33,MATCH(BG$3,$AM$3:$AS$3,0),FALSE),1)</f>
        <v>68</v>
      </c>
      <c r="BH124" s="462">
        <f>ROUND(VLOOKUP($AW124,$AD$3:$AJ$33,MATCH(BH$3,$AD$3:$AJ$3,0),FALSE)+$AY124/VLOOKUP(VLOOKUP($AW124,坦克个性化设定!$B$18:$E$48,4,FALSE)&amp;$AX124,坦克属性分配比例,MATCH("升星次数",坦克属性分配比例标头,0),FALSE)*VLOOKUP($AW124,$AM$3:$AS$33,MATCH(BH$3,$AM$3:$AS$3,0),FALSE),1)</f>
        <v>16.7</v>
      </c>
      <c r="BI124" s="654">
        <f>IF(VLOOKUP(AW124,坦克个性化设定!$B$18:$BB$48,MATCH("装弹类型",坦克个性化设定!$B$18:$BB$18,0),FALSE)="弹夹换弹",0,ROUND(VLOOKUP($AW124,$AD$3:$AJ$33,MATCH("换弹时间",$AD$3:$AJ$3,0),FALSE)-$AY124/VLOOKUP(VLOOKUP($AW124,坦克个性化设定!$B$18:$E$48,4,FALSE)&amp;$AX124,坦克属性分配比例,MATCH("升星次数",坦克属性分配比例标头,0),FALSE)*VLOOKUP($AW124,$AM$3:$AS$33,MATCH("换弹时间",$AM$3:$AS$3,0),FALSE),2))</f>
        <v>2.4</v>
      </c>
      <c r="BJ124" s="462">
        <f>IF(VLOOKUP(AW124,坦克个性化设定!$B$18:$BB$48,MATCH("装弹类型",坦克个性化设定!$B$18:$BB$18,0),FALSE)="弹夹换弹",ROUND(VLOOKUP($AW124,$AD$3:$AJ$33,MATCH("换弹时间",$AD$3:$AJ$3,0),FALSE)-$AY124/VLOOKUP(VLOOKUP($AW124,坦克个性化设定!$B$18:$E$48,4,FALSE)&amp;$AX124,坦克属性分配比例,MATCH("升星次数",坦克属性分配比例标头,0),FALSE)*VLOOKUP($AW124,$AM$3:$AS$33,MATCH("换弹时间",$AM$3:$AS$3,0),FALSE),1),0)</f>
        <v>0</v>
      </c>
      <c r="BK124" s="462">
        <f>ROUND(VLOOKUP($AW124,$AD$3:$AJ$33,MATCH(BK$3,$AD$3:$AJ$3,0),FALSE)+$AY124/VLOOKUP(VLOOKUP($AW124,坦克个性化设定!$B$18:$E$48,4,FALSE)&amp;$AX124,坦克属性分配比例,MATCH("升星次数",坦克属性分配比例标头,0),FALSE)*VLOOKUP($AW124,$AM$3:$AS$33,MATCH(BK$3,$AM$3:$AS$3,0),FALSE),2)</f>
        <v>0</v>
      </c>
      <c r="BL124" s="462">
        <f>ROUND(VLOOKUP($AW124,$AD$3:$AJ$33,MATCH(BL$3,$AD$3:$AJ$3,0),FALSE)-$AY124/VLOOKUP(VLOOKUP($AW124,坦克个性化设定!$B$18:$E$48,4,FALSE)&amp;$AX124,坦克属性分配比例,MATCH("升星次数",坦克属性分配比例标头,0),FALSE)*VLOOKUP($AW124,$AM$3:$AS$33,MATCH(BL$3,$AM$3:$AS$3,0),FALSE),2)</f>
        <v>1.55</v>
      </c>
    </row>
    <row r="125" spans="47:64" x14ac:dyDescent="0.35">
      <c r="AU125" s="364" t="str">
        <f t="shared" si="19"/>
        <v>59式11</v>
      </c>
      <c r="AV125" s="183">
        <f>IF(AY124&gt;=VLOOKUP(VLOOKUP(AW124,坦克个性化设定!$B$18:$E$48,4,FALSE)&amp;AX124,坦克属性分配比例,MATCH("升星次数",坦克属性分配比例标头,0),FALSE),AV124+1,AV124)</f>
        <v>10</v>
      </c>
      <c r="AW125" s="131" t="str">
        <f t="shared" si="20"/>
        <v>59式</v>
      </c>
      <c r="AX125" s="177" t="str">
        <f>VLOOKUP(AW125,坦克个性化细分!$I$3:$J$33,2,FALSE)</f>
        <v>低</v>
      </c>
      <c r="AY125" s="183">
        <f t="shared" si="18"/>
        <v>11</v>
      </c>
      <c r="AZ125" s="486">
        <f ca="1">ROUND(VLOOKUP($AW125&amp;"初始",$O$3:$AA$63,MATCH(AZ$3,$O$3:$AA$3,0),FALSE)+((VLOOKUP($AW125&amp;"最终",$O$3:$AA$63,MATCH(AZ$3,$O$3:$AA$3,0),FALSE)*坦克个性化细分!$C$9-VLOOKUP($AW125&amp;"初始",$O$3:$AA$63,MATCH(AZ$3,$O$3:$AA$3,0),FALSE))-(VLOOKUP($AW125&amp;"最终",$O$3:$AA$63,MATCH(AZ$3,$O$3:$AA$3,0),FALSE)-VLOOKUP($AW125&amp;"初始",$O$3:$AA$63,MATCH(AZ$3,$O$3:$AA$3,0),FALSE))*VLOOKUP(VLOOKUP($AW125,坦克个性化设定!$B$18:$E$48,4,FALSE)&amp;$AX125,坦克属性分配比例,MATCH("部件比例",坦克属性分配比例标头,0),FALSE))*$AY125/VLOOKUP(VLOOKUP($AW125,坦克个性化设定!$B$18:$E$48,4,FALSE)&amp;$AX125,坦克属性分配比例,MATCH("升星次数",坦克属性分配比例标头,0),FALSE),0)</f>
        <v>2860</v>
      </c>
      <c r="BA125" s="426">
        <f ca="1">ROUND(VLOOKUP($AW125&amp;"初始",$O$3:$AA$63,MATCH(BA$3,$O$3:$AA$3,0),FALSE)+(VLOOKUP($AW125&amp;"最终",$O$3:$AA$63,MATCH(BA$3,$O$3:$AA$3,0),FALSE)-VLOOKUP($AW125&amp;"初始",$O$3:$AA$63,MATCH(BA$3,$O$3:$AA$3,0),FALSE))*$AY125/VLOOKUP(VLOOKUP($AW125,坦克个性化设定!$B$18:$E$48,4,FALSE)&amp;$AX125,坦克属性分配比例,MATCH("升星次数",坦克属性分配比例标头,0),FALSE)*VLOOKUP(VLOOKUP($AW125,坦克个性化设定!$B$18:$E$48,4,FALSE)&amp;$AX125,坦克属性分配比例,MATCH("升星比例",坦克属性分配比例标头,0),FALSE),0)</f>
        <v>222</v>
      </c>
      <c r="BB125" s="486">
        <f ca="1">ROUND(VLOOKUP($AW125&amp;"初始",$O$3:$AA$63,MATCH(BB$3,$O$3:$AA$3,0),FALSE)+(VLOOKUP($AW125&amp;"最终",$O$3:$AA$63,MATCH(BB$3,$O$3:$AA$3,0),FALSE)-VLOOKUP($AW125&amp;"初始",$O$3:$AA$63,MATCH(BB$3,$O$3:$AA$3,0),FALSE))*$AY125/VLOOKUP(VLOOKUP($AW125,坦克个性化设定!$B$18:$E$48,4,FALSE)&amp;$AX125,坦克属性分配比例,MATCH("升星次数",坦克属性分配比例标头,0),FALSE)*(VLOOKUP(VLOOKUP($AW125,坦克个性化设定!$B$18:$E$48,4,FALSE)&amp;$AX125,坦克属性分配比例,MATCH("升星比例",坦克属性分配比例标头,0),FALSE)+VLOOKUP(VLOOKUP($AW125,坦克个性化设定!$B$18:$E$48,4,FALSE)&amp;$AX125,坦克属性分配比例,MATCH("部件比例",坦克属性分配比例标头,0),FALSE)*$C$3),0)</f>
        <v>1093</v>
      </c>
      <c r="BC125" s="486">
        <f ca="1">ROUND(VLOOKUP($AW125&amp;"初始",$O$3:$AA$63,MATCH(BC$3,$O$3:$AA$3,0),FALSE)+(VLOOKUP($AW125&amp;"最终",$O$3:$AA$63,MATCH(BC$3,$O$3:$AA$3,0),FALSE)-VLOOKUP($AW125&amp;"初始",$O$3:$AA$63,MATCH(BC$3,$O$3:$AA$3,0),FALSE))*$AY125/VLOOKUP(VLOOKUP($AW125,坦克个性化设定!$B$18:$E$48,4,FALSE)&amp;$AX125,坦克属性分配比例,MATCH("升星次数",坦克属性分配比例标头,0),FALSE)*(VLOOKUP(VLOOKUP($AW125,坦克个性化设定!$B$18:$E$48,4,FALSE)&amp;$AX125,坦克属性分配比例,MATCH("升星比例",坦克属性分配比例标头,0),FALSE)+VLOOKUP(VLOOKUP($AW125,坦克个性化设定!$B$18:$E$48,4,FALSE)&amp;$AX125,坦克属性分配比例,MATCH("部件比例",坦克属性分配比例标头,0),FALSE)*$C$3),0)</f>
        <v>765</v>
      </c>
      <c r="BD125" s="426">
        <f ca="1">ROUND(VLOOKUP($AW125&amp;"初始",$O$3:$AA$63,MATCH(BD$3,$O$3:$AA$3,0),FALSE)+(VLOOKUP($AW125&amp;"最终",$O$3:$AA$63,MATCH(BD$3,$O$3:$AA$3,0),FALSE)-VLOOKUP($AW125&amp;"初始",$O$3:$AA$63,MATCH(BD$3,$O$3:$AA$3,0),FALSE))*$AY125/VLOOKUP(VLOOKUP($AW125,坦克个性化设定!$B$18:$E$48,4,FALSE)&amp;$AX125,坦克属性分配比例,MATCH("升星次数",坦克属性分配比例标头,0),FALSE)*VLOOKUP(VLOOKUP($AW125,坦克个性化设定!$B$18:$E$48,4,FALSE)&amp;$AX125,坦克属性分配比例,MATCH("升星比例",坦克属性分配比例标头,0),FALSE),0)</f>
        <v>720</v>
      </c>
      <c r="BE125" s="426">
        <f ca="1">ROUND(VLOOKUP($AW125&amp;"初始",$O$3:$AA$63,MATCH(BE$3,$O$3:$AA$3,0),FALSE)+(VLOOKUP($AW125&amp;"最终",$O$3:$AA$63,MATCH(BE$3,$O$3:$AA$3,0),FALSE)-VLOOKUP($AW125&amp;"初始",$O$3:$AA$63,MATCH(BE$3,$O$3:$AA$3,0),FALSE))*$AY125/VLOOKUP(VLOOKUP($AW125,坦克个性化设定!$B$18:$E$48,4,FALSE)&amp;$AX125,坦克属性分配比例,MATCH("升星次数",坦克属性分配比例标头,0),FALSE),0)</f>
        <v>280</v>
      </c>
      <c r="BF125" s="462">
        <f>ROUND(VLOOKUP($AW125,$AD$3:$AJ$33,MATCH(BF$3,$AD$3:$AJ$3,0),FALSE)+$AY125/VLOOKUP(VLOOKUP($AW125,坦克个性化设定!$B$18:$E$48,4,FALSE)&amp;$AX125,坦克属性分配比例,MATCH("升星次数",坦克属性分配比例标头,0),FALSE)*VLOOKUP($AW125,$AM$3:$AS$33,MATCH(BF$3,$AM$3:$AS$3,0),FALSE),1)</f>
        <v>46.3</v>
      </c>
      <c r="BG125" s="462">
        <f>ROUND(VLOOKUP($AW125,$AD$3:$AJ$33,MATCH(BG$3,$AD$3:$AJ$3,0),FALSE)+$AY125/VLOOKUP(VLOOKUP($AW125,坦克个性化设定!$B$18:$E$48,4,FALSE)&amp;$AX125,坦克属性分配比例,MATCH("升星次数",坦克属性分配比例标头,0),FALSE)*VLOOKUP($AW125,$AM$3:$AS$33,MATCH(BG$3,$AM$3:$AS$3,0),FALSE),1)</f>
        <v>69.2</v>
      </c>
      <c r="BH125" s="462">
        <f>ROUND(VLOOKUP($AW125,$AD$3:$AJ$33,MATCH(BH$3,$AD$3:$AJ$3,0),FALSE)+$AY125/VLOOKUP(VLOOKUP($AW125,坦克个性化设定!$B$18:$E$48,4,FALSE)&amp;$AX125,坦克属性分配比例,MATCH("升星次数",坦克属性分配比例标头,0),FALSE)*VLOOKUP($AW125,$AM$3:$AS$33,MATCH(BH$3,$AM$3:$AS$3,0),FALSE),1)</f>
        <v>17</v>
      </c>
      <c r="BI125" s="654">
        <f>IF(VLOOKUP(AW125,坦克个性化设定!$B$18:$BB$48,MATCH("装弹类型",坦克个性化设定!$B$18:$BB$18,0),FALSE)="弹夹换弹",0,ROUND(VLOOKUP($AW125,$AD$3:$AJ$33,MATCH("换弹时间",$AD$3:$AJ$3,0),FALSE)-$AY125/VLOOKUP(VLOOKUP($AW125,坦克个性化设定!$B$18:$E$48,4,FALSE)&amp;$AX125,坦克属性分配比例,MATCH("升星次数",坦克属性分配比例标头,0),FALSE)*VLOOKUP($AW125,$AM$3:$AS$33,MATCH("换弹时间",$AM$3:$AS$3,0),FALSE),2))</f>
        <v>2.34</v>
      </c>
      <c r="BJ125" s="462">
        <f>IF(VLOOKUP(AW125,坦克个性化设定!$B$18:$BB$48,MATCH("装弹类型",坦克个性化设定!$B$18:$BB$18,0),FALSE)="弹夹换弹",ROUND(VLOOKUP($AW125,$AD$3:$AJ$33,MATCH("换弹时间",$AD$3:$AJ$3,0),FALSE)-$AY125/VLOOKUP(VLOOKUP($AW125,坦克个性化设定!$B$18:$E$48,4,FALSE)&amp;$AX125,坦克属性分配比例,MATCH("升星次数",坦克属性分配比例标头,0),FALSE)*VLOOKUP($AW125,$AM$3:$AS$33,MATCH("换弹时间",$AM$3:$AS$3,0),FALSE),1),0)</f>
        <v>0</v>
      </c>
      <c r="BK125" s="462">
        <f>ROUND(VLOOKUP($AW125,$AD$3:$AJ$33,MATCH(BK$3,$AD$3:$AJ$3,0),FALSE)+$AY125/VLOOKUP(VLOOKUP($AW125,坦克个性化设定!$B$18:$E$48,4,FALSE)&amp;$AX125,坦克属性分配比例,MATCH("升星次数",坦克属性分配比例标头,0),FALSE)*VLOOKUP($AW125,$AM$3:$AS$33,MATCH(BK$3,$AM$3:$AS$3,0),FALSE),2)</f>
        <v>0</v>
      </c>
      <c r="BL125" s="462">
        <f>ROUND(VLOOKUP($AW125,$AD$3:$AJ$33,MATCH(BL$3,$AD$3:$AJ$3,0),FALSE)-$AY125/VLOOKUP(VLOOKUP($AW125,坦克个性化设定!$B$18:$E$48,4,FALSE)&amp;$AX125,坦克属性分配比例,MATCH("升星次数",坦克属性分配比例标头,0),FALSE)*VLOOKUP($AW125,$AM$3:$AS$33,MATCH(BL$3,$AM$3:$AS$3,0),FALSE),2)</f>
        <v>1.53</v>
      </c>
    </row>
    <row r="126" spans="47:64" x14ac:dyDescent="0.35">
      <c r="AU126" s="364" t="str">
        <f t="shared" si="19"/>
        <v>59式12</v>
      </c>
      <c r="AV126" s="183">
        <f>IF(AY125&gt;=VLOOKUP(VLOOKUP(AW125,坦克个性化设定!$B$18:$E$48,4,FALSE)&amp;AX125,坦克属性分配比例,MATCH("升星次数",坦克属性分配比例标头,0),FALSE),AV125+1,AV125)</f>
        <v>10</v>
      </c>
      <c r="AW126" s="131" t="str">
        <f t="shared" si="20"/>
        <v>59式</v>
      </c>
      <c r="AX126" s="177" t="str">
        <f>VLOOKUP(AW126,坦克个性化细分!$I$3:$J$33,2,FALSE)</f>
        <v>低</v>
      </c>
      <c r="AY126" s="183">
        <f t="shared" si="18"/>
        <v>12</v>
      </c>
      <c r="AZ126" s="486">
        <f ca="1">ROUND(VLOOKUP($AW126&amp;"初始",$O$3:$AA$63,MATCH(AZ$3,$O$3:$AA$3,0),FALSE)+((VLOOKUP($AW126&amp;"最终",$O$3:$AA$63,MATCH(AZ$3,$O$3:$AA$3,0),FALSE)*坦克个性化细分!$C$9-VLOOKUP($AW126&amp;"初始",$O$3:$AA$63,MATCH(AZ$3,$O$3:$AA$3,0),FALSE))-(VLOOKUP($AW126&amp;"最终",$O$3:$AA$63,MATCH(AZ$3,$O$3:$AA$3,0),FALSE)-VLOOKUP($AW126&amp;"初始",$O$3:$AA$63,MATCH(AZ$3,$O$3:$AA$3,0),FALSE))*VLOOKUP(VLOOKUP($AW126,坦克个性化设定!$B$18:$E$48,4,FALSE)&amp;$AX126,坦克属性分配比例,MATCH("部件比例",坦克属性分配比例标头,0),FALSE))*$AY126/VLOOKUP(VLOOKUP($AW126,坦克个性化设定!$B$18:$E$48,4,FALSE)&amp;$AX126,坦克属性分配比例,MATCH("升星次数",坦克属性分配比例标头,0),FALSE),0)</f>
        <v>2936</v>
      </c>
      <c r="BA126" s="426">
        <f ca="1">ROUND(VLOOKUP($AW126&amp;"初始",$O$3:$AA$63,MATCH(BA$3,$O$3:$AA$3,0),FALSE)+(VLOOKUP($AW126&amp;"最终",$O$3:$AA$63,MATCH(BA$3,$O$3:$AA$3,0),FALSE)-VLOOKUP($AW126&amp;"初始",$O$3:$AA$63,MATCH(BA$3,$O$3:$AA$3,0),FALSE))*$AY126/VLOOKUP(VLOOKUP($AW126,坦克个性化设定!$B$18:$E$48,4,FALSE)&amp;$AX126,坦克属性分配比例,MATCH("升星次数",坦克属性分配比例标头,0),FALSE)*VLOOKUP(VLOOKUP($AW126,坦克个性化设定!$B$18:$E$48,4,FALSE)&amp;$AX126,坦克属性分配比例,MATCH("升星比例",坦克属性分配比例标头,0),FALSE),0)</f>
        <v>222</v>
      </c>
      <c r="BB126" s="486">
        <f ca="1">ROUND(VLOOKUP($AW126&amp;"初始",$O$3:$AA$63,MATCH(BB$3,$O$3:$AA$3,0),FALSE)+(VLOOKUP($AW126&amp;"最终",$O$3:$AA$63,MATCH(BB$3,$O$3:$AA$3,0),FALSE)-VLOOKUP($AW126&amp;"初始",$O$3:$AA$63,MATCH(BB$3,$O$3:$AA$3,0),FALSE))*$AY126/VLOOKUP(VLOOKUP($AW126,坦克个性化设定!$B$18:$E$48,4,FALSE)&amp;$AX126,坦克属性分配比例,MATCH("升星次数",坦克属性分配比例标头,0),FALSE)*(VLOOKUP(VLOOKUP($AW126,坦克个性化设定!$B$18:$E$48,4,FALSE)&amp;$AX126,坦克属性分配比例,MATCH("升星比例",坦克属性分配比例标头,0),FALSE)+VLOOKUP(VLOOKUP($AW126,坦克个性化设定!$B$18:$E$48,4,FALSE)&amp;$AX126,坦克属性分配比例,MATCH("部件比例",坦克属性分配比例标头,0),FALSE)*$C$3),0)</f>
        <v>1114</v>
      </c>
      <c r="BC126" s="486">
        <f ca="1">ROUND(VLOOKUP($AW126&amp;"初始",$O$3:$AA$63,MATCH(BC$3,$O$3:$AA$3,0),FALSE)+(VLOOKUP($AW126&amp;"最终",$O$3:$AA$63,MATCH(BC$3,$O$3:$AA$3,0),FALSE)-VLOOKUP($AW126&amp;"初始",$O$3:$AA$63,MATCH(BC$3,$O$3:$AA$3,0),FALSE))*$AY126/VLOOKUP(VLOOKUP($AW126,坦克个性化设定!$B$18:$E$48,4,FALSE)&amp;$AX126,坦克属性分配比例,MATCH("升星次数",坦克属性分配比例标头,0),FALSE)*(VLOOKUP(VLOOKUP($AW126,坦克个性化设定!$B$18:$E$48,4,FALSE)&amp;$AX126,坦克属性分配比例,MATCH("升星比例",坦克属性分配比例标头,0),FALSE)+VLOOKUP(VLOOKUP($AW126,坦克个性化设定!$B$18:$E$48,4,FALSE)&amp;$AX126,坦克属性分配比例,MATCH("部件比例",坦克属性分配比例标头,0),FALSE)*$C$3),0)</f>
        <v>780</v>
      </c>
      <c r="BD126" s="426">
        <f ca="1">ROUND(VLOOKUP($AW126&amp;"初始",$O$3:$AA$63,MATCH(BD$3,$O$3:$AA$3,0),FALSE)+(VLOOKUP($AW126&amp;"最终",$O$3:$AA$63,MATCH(BD$3,$O$3:$AA$3,0),FALSE)-VLOOKUP($AW126&amp;"初始",$O$3:$AA$63,MATCH(BD$3,$O$3:$AA$3,0),FALSE))*$AY126/VLOOKUP(VLOOKUP($AW126,坦克个性化设定!$B$18:$E$48,4,FALSE)&amp;$AX126,坦克属性分配比例,MATCH("升星次数",坦克属性分配比例标头,0),FALSE)*VLOOKUP(VLOOKUP($AW126,坦克个性化设定!$B$18:$E$48,4,FALSE)&amp;$AX126,坦克属性分配比例,MATCH("升星比例",坦克属性分配比例标头,0),FALSE),0)</f>
        <v>720</v>
      </c>
      <c r="BE126" s="426">
        <f ca="1">ROUND(VLOOKUP($AW126&amp;"初始",$O$3:$AA$63,MATCH(BE$3,$O$3:$AA$3,0),FALSE)+(VLOOKUP($AW126&amp;"最终",$O$3:$AA$63,MATCH(BE$3,$O$3:$AA$3,0),FALSE)-VLOOKUP($AW126&amp;"初始",$O$3:$AA$63,MATCH(BE$3,$O$3:$AA$3,0),FALSE))*$AY126/VLOOKUP(VLOOKUP($AW126,坦克个性化设定!$B$18:$E$48,4,FALSE)&amp;$AX126,坦克属性分配比例,MATCH("升星次数",坦克属性分配比例标头,0),FALSE),0)</f>
        <v>288</v>
      </c>
      <c r="BF126" s="462">
        <f>ROUND(VLOOKUP($AW126,$AD$3:$AJ$33,MATCH(BF$3,$AD$3:$AJ$3,0),FALSE)+$AY126/VLOOKUP(VLOOKUP($AW126,坦克个性化设定!$B$18:$E$48,4,FALSE)&amp;$AX126,坦克属性分配比例,MATCH("升星次数",坦克属性分配比例标头,0),FALSE)*VLOOKUP($AW126,$AM$3:$AS$33,MATCH(BF$3,$AM$3:$AS$3,0),FALSE),1)</f>
        <v>47.1</v>
      </c>
      <c r="BG126" s="462">
        <f>ROUND(VLOOKUP($AW126,$AD$3:$AJ$33,MATCH(BG$3,$AD$3:$AJ$3,0),FALSE)+$AY126/VLOOKUP(VLOOKUP($AW126,坦克个性化设定!$B$18:$E$48,4,FALSE)&amp;$AX126,坦克属性分配比例,MATCH("升星次数",坦克属性分配比例标头,0),FALSE)*VLOOKUP($AW126,$AM$3:$AS$33,MATCH(BG$3,$AM$3:$AS$3,0),FALSE),1)</f>
        <v>70.400000000000006</v>
      </c>
      <c r="BH126" s="462">
        <f>ROUND(VLOOKUP($AW126,$AD$3:$AJ$33,MATCH(BH$3,$AD$3:$AJ$3,0),FALSE)+$AY126/VLOOKUP(VLOOKUP($AW126,坦克个性化设定!$B$18:$E$48,4,FALSE)&amp;$AX126,坦克属性分配比例,MATCH("升星次数",坦克属性分配比例标头,0),FALSE)*VLOOKUP($AW126,$AM$3:$AS$33,MATCH(BH$3,$AM$3:$AS$3,0),FALSE),1)</f>
        <v>17.399999999999999</v>
      </c>
      <c r="BI126" s="654">
        <f>IF(VLOOKUP(AW126,坦克个性化设定!$B$18:$BB$48,MATCH("装弹类型",坦克个性化设定!$B$18:$BB$18,0),FALSE)="弹夹换弹",0,ROUND(VLOOKUP($AW126,$AD$3:$AJ$33,MATCH("换弹时间",$AD$3:$AJ$3,0),FALSE)-$AY126/VLOOKUP(VLOOKUP($AW126,坦克个性化设定!$B$18:$E$48,4,FALSE)&amp;$AX126,坦克属性分配比例,MATCH("升星次数",坦克属性分配比例标头,0),FALSE)*VLOOKUP($AW126,$AM$3:$AS$33,MATCH("换弹时间",$AM$3:$AS$3,0),FALSE),2))</f>
        <v>2.2799999999999998</v>
      </c>
      <c r="BJ126" s="462">
        <f>IF(VLOOKUP(AW126,坦克个性化设定!$B$18:$BB$48,MATCH("装弹类型",坦克个性化设定!$B$18:$BB$18,0),FALSE)="弹夹换弹",ROUND(VLOOKUP($AW126,$AD$3:$AJ$33,MATCH("换弹时间",$AD$3:$AJ$3,0),FALSE)-$AY126/VLOOKUP(VLOOKUP($AW126,坦克个性化设定!$B$18:$E$48,4,FALSE)&amp;$AX126,坦克属性分配比例,MATCH("升星次数",坦克属性分配比例标头,0),FALSE)*VLOOKUP($AW126,$AM$3:$AS$33,MATCH("换弹时间",$AM$3:$AS$3,0),FALSE),1),0)</f>
        <v>0</v>
      </c>
      <c r="BK126" s="462">
        <f>ROUND(VLOOKUP($AW126,$AD$3:$AJ$33,MATCH(BK$3,$AD$3:$AJ$3,0),FALSE)+$AY126/VLOOKUP(VLOOKUP($AW126,坦克个性化设定!$B$18:$E$48,4,FALSE)&amp;$AX126,坦克属性分配比例,MATCH("升星次数",坦克属性分配比例标头,0),FALSE)*VLOOKUP($AW126,$AM$3:$AS$33,MATCH(BK$3,$AM$3:$AS$3,0),FALSE),2)</f>
        <v>0</v>
      </c>
      <c r="BL126" s="462">
        <f>ROUND(VLOOKUP($AW126,$AD$3:$AJ$33,MATCH(BL$3,$AD$3:$AJ$3,0),FALSE)-$AY126/VLOOKUP(VLOOKUP($AW126,坦克个性化设定!$B$18:$E$48,4,FALSE)&amp;$AX126,坦克属性分配比例,MATCH("升星次数",坦克属性分配比例标头,0),FALSE)*VLOOKUP($AW126,$AM$3:$AS$33,MATCH(BL$3,$AM$3:$AS$3,0),FALSE),2)</f>
        <v>1.5</v>
      </c>
    </row>
    <row r="127" spans="47:64" x14ac:dyDescent="0.35">
      <c r="AU127" s="364" t="str">
        <f t="shared" si="19"/>
        <v>Stuart0</v>
      </c>
      <c r="AV127" s="183">
        <f>IF(AY126&gt;=VLOOKUP(VLOOKUP(AW126,坦克个性化设定!$B$18:$E$48,4,FALSE)&amp;AX126,坦克属性分配比例,MATCH("升星次数",坦克属性分配比例标头,0),FALSE),AV126+1,AV126)</f>
        <v>11</v>
      </c>
      <c r="AW127" s="131" t="str">
        <f t="shared" si="20"/>
        <v>Stuart</v>
      </c>
      <c r="AX127" s="177" t="str">
        <f>VLOOKUP(AW127,坦克个性化细分!$I$3:$J$33,2,FALSE)</f>
        <v>低</v>
      </c>
      <c r="AY127" s="183">
        <f t="shared" si="18"/>
        <v>0</v>
      </c>
      <c r="AZ127" s="486">
        <f ca="1">ROUND(VLOOKUP($AW127&amp;"初始",$O$3:$AA$63,MATCH(AZ$3,$O$3:$AA$3,0),FALSE)+((VLOOKUP($AW127&amp;"最终",$O$3:$AA$63,MATCH(AZ$3,$O$3:$AA$3,0),FALSE)*坦克个性化细分!$C$9-VLOOKUP($AW127&amp;"初始",$O$3:$AA$63,MATCH(AZ$3,$O$3:$AA$3,0),FALSE))-(VLOOKUP($AW127&amp;"最终",$O$3:$AA$63,MATCH(AZ$3,$O$3:$AA$3,0),FALSE)-VLOOKUP($AW127&amp;"初始",$O$3:$AA$63,MATCH(AZ$3,$O$3:$AA$3,0),FALSE))*VLOOKUP(VLOOKUP($AW127,坦克个性化设定!$B$18:$E$48,4,FALSE)&amp;$AX127,坦克属性分配比例,MATCH("部件比例",坦克属性分配比例标头,0),FALSE))*$AY127/VLOOKUP(VLOOKUP($AW127,坦克个性化设定!$B$18:$E$48,4,FALSE)&amp;$AX127,坦克属性分配比例,MATCH("升星次数",坦克属性分配比例标头,0),FALSE),0)</f>
        <v>724</v>
      </c>
      <c r="BA127" s="426">
        <f ca="1">ROUND(VLOOKUP($AW127&amp;"初始",$O$3:$AA$63,MATCH(BA$3,$O$3:$AA$3,0),FALSE)+(VLOOKUP($AW127&amp;"最终",$O$3:$AA$63,MATCH(BA$3,$O$3:$AA$3,0),FALSE)-VLOOKUP($AW127&amp;"初始",$O$3:$AA$63,MATCH(BA$3,$O$3:$AA$3,0),FALSE))*$AY127/VLOOKUP(VLOOKUP($AW127,坦克个性化设定!$B$18:$E$48,4,FALSE)&amp;$AX127,坦克属性分配比例,MATCH("升星次数",坦克属性分配比例标头,0),FALSE)*VLOOKUP(VLOOKUP($AW127,坦克个性化设定!$B$18:$E$48,4,FALSE)&amp;$AX127,坦克属性分配比例,MATCH("升星比例",坦克属性分配比例标头,0),FALSE),0)</f>
        <v>48</v>
      </c>
      <c r="BB127" s="486">
        <f ca="1">ROUND(VLOOKUP($AW127&amp;"初始",$O$3:$AA$63,MATCH(BB$3,$O$3:$AA$3,0),FALSE)+(VLOOKUP($AW127&amp;"最终",$O$3:$AA$63,MATCH(BB$3,$O$3:$AA$3,0),FALSE)-VLOOKUP($AW127&amp;"初始",$O$3:$AA$63,MATCH(BB$3,$O$3:$AA$3,0),FALSE))*$AY127/VLOOKUP(VLOOKUP($AW127,坦克个性化设定!$B$18:$E$48,4,FALSE)&amp;$AX127,坦克属性分配比例,MATCH("升星次数",坦克属性分配比例标头,0),FALSE)*(VLOOKUP(VLOOKUP($AW127,坦克个性化设定!$B$18:$E$48,4,FALSE)&amp;$AX127,坦克属性分配比例,MATCH("升星比例",坦克属性分配比例标头,0),FALSE)+VLOOKUP(VLOOKUP($AW127,坦克个性化设定!$B$18:$E$48,4,FALSE)&amp;$AX127,坦克属性分配比例,MATCH("部件比例",坦克属性分配比例标头,0),FALSE)*$C$3),0)</f>
        <v>286</v>
      </c>
      <c r="BC127" s="486">
        <f ca="1">ROUND(VLOOKUP($AW127&amp;"初始",$O$3:$AA$63,MATCH(BC$3,$O$3:$AA$3,0),FALSE)+(VLOOKUP($AW127&amp;"最终",$O$3:$AA$63,MATCH(BC$3,$O$3:$AA$3,0),FALSE)-VLOOKUP($AW127&amp;"初始",$O$3:$AA$63,MATCH(BC$3,$O$3:$AA$3,0),FALSE))*$AY127/VLOOKUP(VLOOKUP($AW127,坦克个性化设定!$B$18:$E$48,4,FALSE)&amp;$AX127,坦克属性分配比例,MATCH("升星次数",坦克属性分配比例标头,0),FALSE)*(VLOOKUP(VLOOKUP($AW127,坦克个性化设定!$B$18:$E$48,4,FALSE)&amp;$AX127,坦克属性分配比例,MATCH("升星比例",坦克属性分配比例标头,0),FALSE)+VLOOKUP(VLOOKUP($AW127,坦克个性化设定!$B$18:$E$48,4,FALSE)&amp;$AX127,坦克属性分配比例,MATCH("部件比例",坦克属性分配比例标头,0),FALSE)*$C$3),0)</f>
        <v>214</v>
      </c>
      <c r="BD127" s="426">
        <f ca="1">ROUND(VLOOKUP($AW127&amp;"初始",$O$3:$AA$63,MATCH(BD$3,$O$3:$AA$3,0),FALSE)+(VLOOKUP($AW127&amp;"最终",$O$3:$AA$63,MATCH(BD$3,$O$3:$AA$3,0),FALSE)-VLOOKUP($AW127&amp;"初始",$O$3:$AA$63,MATCH(BD$3,$O$3:$AA$3,0),FALSE))*$AY127/VLOOKUP(VLOOKUP($AW127,坦克个性化设定!$B$18:$E$48,4,FALSE)&amp;$AX127,坦克属性分配比例,MATCH("升星次数",坦克属性分配比例标头,0),FALSE)*VLOOKUP(VLOOKUP($AW127,坦克个性化设定!$B$18:$E$48,4,FALSE)&amp;$AX127,坦克属性分配比例,MATCH("升星比例",坦克属性分配比例标头,0),FALSE),0)</f>
        <v>360</v>
      </c>
      <c r="BE127" s="426">
        <f ca="1">ROUND(VLOOKUP($AW127&amp;"初始",$O$3:$AA$63,MATCH(BE$3,$O$3:$AA$3,0),FALSE)+(VLOOKUP($AW127&amp;"最终",$O$3:$AA$63,MATCH(BE$3,$O$3:$AA$3,0),FALSE)-VLOOKUP($AW127&amp;"初始",$O$3:$AA$63,MATCH(BE$3,$O$3:$AA$3,0),FALSE))*$AY127/VLOOKUP(VLOOKUP($AW127,坦克个性化设定!$B$18:$E$48,4,FALSE)&amp;$AX127,坦克属性分配比例,MATCH("升星次数",坦克属性分配比例标头,0),FALSE),0)</f>
        <v>88</v>
      </c>
      <c r="BF127" s="462">
        <f>ROUND(VLOOKUP($AW127,$AD$3:$AJ$33,MATCH(BF$3,$AD$3:$AJ$3,0),FALSE)+$AY127/VLOOKUP(VLOOKUP($AW127,坦克个性化设定!$B$18:$E$48,4,FALSE)&amp;$AX127,坦克属性分配比例,MATCH("升星次数",坦克属性分配比例标头,0),FALSE)*VLOOKUP($AW127,$AM$3:$AS$33,MATCH(BF$3,$AM$3:$AS$3,0),FALSE),1)</f>
        <v>44.5</v>
      </c>
      <c r="BG127" s="462">
        <f>ROUND(VLOOKUP($AW127,$AD$3:$AJ$33,MATCH(BG$3,$AD$3:$AJ$3,0),FALSE)+$AY127/VLOOKUP(VLOOKUP($AW127,坦克个性化设定!$B$18:$E$48,4,FALSE)&amp;$AX127,坦克属性分配比例,MATCH("升星次数",坦克属性分配比例标头,0),FALSE)*VLOOKUP($AW127,$AM$3:$AS$33,MATCH(BG$3,$AM$3:$AS$3,0),FALSE),1)</f>
        <v>40</v>
      </c>
      <c r="BH127" s="462">
        <f>ROUND(VLOOKUP($AW127,$AD$3:$AJ$33,MATCH(BH$3,$AD$3:$AJ$3,0),FALSE)+$AY127/VLOOKUP(VLOOKUP($AW127,坦克个性化设定!$B$18:$E$48,4,FALSE)&amp;$AX127,坦克属性分配比例,MATCH("升星次数",坦克属性分配比例标头,0),FALSE)*VLOOKUP($AW127,$AM$3:$AS$33,MATCH(BH$3,$AM$3:$AS$3,0),FALSE),1)</f>
        <v>12.3</v>
      </c>
      <c r="BI127" s="654">
        <f>IF(VLOOKUP(AW127,坦克个性化设定!$B$18:$BB$48,MATCH("装弹类型",坦克个性化设定!$B$18:$BB$18,0),FALSE)="弹夹换弹",0,ROUND(VLOOKUP($AW127,$AD$3:$AJ$33,MATCH("换弹时间",$AD$3:$AJ$3,0),FALSE)-$AY127/VLOOKUP(VLOOKUP($AW127,坦克个性化设定!$B$18:$E$48,4,FALSE)&amp;$AX127,坦克属性分配比例,MATCH("升星次数",坦克属性分配比例标头,0),FALSE)*VLOOKUP($AW127,$AM$3:$AS$33,MATCH("换弹时间",$AM$3:$AS$3,0),FALSE),2))</f>
        <v>0</v>
      </c>
      <c r="BJ127" s="462">
        <f>IF(VLOOKUP(AW127,坦克个性化设定!$B$18:$BB$48,MATCH("装弹类型",坦克个性化设定!$B$18:$BB$18,0),FALSE)="弹夹换弹",ROUND(VLOOKUP($AW127,$AD$3:$AJ$33,MATCH("换弹时间",$AD$3:$AJ$3,0),FALSE)-$AY127/VLOOKUP(VLOOKUP($AW127,坦克个性化设定!$B$18:$E$48,4,FALSE)&amp;$AX127,坦克属性分配比例,MATCH("升星次数",坦克属性分配比例标头,0),FALSE)*VLOOKUP($AW127,$AM$3:$AS$33,MATCH("换弹时间",$AM$3:$AS$3,0),FALSE),1),0)</f>
        <v>4.8</v>
      </c>
      <c r="BK127" s="462">
        <f>ROUND(VLOOKUP($AW127,$AD$3:$AJ$33,MATCH(BK$3,$AD$3:$AJ$3,0),FALSE)+$AY127/VLOOKUP(VLOOKUP($AW127,坦克个性化设定!$B$18:$E$48,4,FALSE)&amp;$AX127,坦克属性分配比例,MATCH("升星次数",坦克属性分配比例标头,0),FALSE)*VLOOKUP($AW127,$AM$3:$AS$33,MATCH(BK$3,$AM$3:$AS$3,0),FALSE),2)</f>
        <v>0.4</v>
      </c>
      <c r="BL127" s="462">
        <f>ROUND(VLOOKUP($AW127,$AD$3:$AJ$33,MATCH(BL$3,$AD$3:$AJ$3,0),FALSE)-$AY127/VLOOKUP(VLOOKUP($AW127,坦克个性化设定!$B$18:$E$48,4,FALSE)&amp;$AX127,坦克属性分配比例,MATCH("升星次数",坦克属性分配比例标头,0),FALSE)*VLOOKUP($AW127,$AM$3:$AS$33,MATCH(BL$3,$AM$3:$AS$3,0),FALSE),2)</f>
        <v>0.93</v>
      </c>
    </row>
    <row r="128" spans="47:64" x14ac:dyDescent="0.35">
      <c r="AU128" s="364" t="str">
        <f t="shared" si="19"/>
        <v>Stuart1</v>
      </c>
      <c r="AV128" s="183">
        <f>IF(AY127&gt;=VLOOKUP(VLOOKUP(AW127,坦克个性化设定!$B$18:$E$48,4,FALSE)&amp;AX127,坦克属性分配比例,MATCH("升星次数",坦克属性分配比例标头,0),FALSE),AV127+1,AV127)</f>
        <v>11</v>
      </c>
      <c r="AW128" s="131" t="str">
        <f t="shared" si="20"/>
        <v>Stuart</v>
      </c>
      <c r="AX128" s="177" t="str">
        <f>VLOOKUP(AW128,坦克个性化细分!$I$3:$J$33,2,FALSE)</f>
        <v>低</v>
      </c>
      <c r="AY128" s="183">
        <f t="shared" si="18"/>
        <v>1</v>
      </c>
      <c r="AZ128" s="486">
        <f ca="1">ROUND(VLOOKUP($AW128&amp;"初始",$O$3:$AA$63,MATCH(AZ$3,$O$3:$AA$3,0),FALSE)+((VLOOKUP($AW128&amp;"最终",$O$3:$AA$63,MATCH(AZ$3,$O$3:$AA$3,0),FALSE)*坦克个性化细分!$C$9-VLOOKUP($AW128&amp;"初始",$O$3:$AA$63,MATCH(AZ$3,$O$3:$AA$3,0),FALSE))-(VLOOKUP($AW128&amp;"最终",$O$3:$AA$63,MATCH(AZ$3,$O$3:$AA$3,0),FALSE)-VLOOKUP($AW128&amp;"初始",$O$3:$AA$63,MATCH(AZ$3,$O$3:$AA$3,0),FALSE))*VLOOKUP(VLOOKUP($AW128,坦克个性化设定!$B$18:$E$48,4,FALSE)&amp;$AX128,坦克属性分配比例,MATCH("部件比例",坦克属性分配比例标头,0),FALSE))*$AY128/VLOOKUP(VLOOKUP($AW128,坦克个性化设定!$B$18:$E$48,4,FALSE)&amp;$AX128,坦克属性分配比例,MATCH("升星次数",坦克属性分配比例标头,0),FALSE),0)</f>
        <v>849</v>
      </c>
      <c r="BA128" s="426">
        <f ca="1">ROUND(VLOOKUP($AW128&amp;"初始",$O$3:$AA$63,MATCH(BA$3,$O$3:$AA$3,0),FALSE)+(VLOOKUP($AW128&amp;"最终",$O$3:$AA$63,MATCH(BA$3,$O$3:$AA$3,0),FALSE)-VLOOKUP($AW128&amp;"初始",$O$3:$AA$63,MATCH(BA$3,$O$3:$AA$3,0),FALSE))*$AY128/VLOOKUP(VLOOKUP($AW128,坦克个性化设定!$B$18:$E$48,4,FALSE)&amp;$AX128,坦克属性分配比例,MATCH("升星次数",坦克属性分配比例标头,0),FALSE)*VLOOKUP(VLOOKUP($AW128,坦克个性化设定!$B$18:$E$48,4,FALSE)&amp;$AX128,坦克属性分配比例,MATCH("升星比例",坦克属性分配比例标头,0),FALSE),0)</f>
        <v>51</v>
      </c>
      <c r="BB128" s="486">
        <f ca="1">ROUND(VLOOKUP($AW128&amp;"初始",$O$3:$AA$63,MATCH(BB$3,$O$3:$AA$3,0),FALSE)+(VLOOKUP($AW128&amp;"最终",$O$3:$AA$63,MATCH(BB$3,$O$3:$AA$3,0),FALSE)-VLOOKUP($AW128&amp;"初始",$O$3:$AA$63,MATCH(BB$3,$O$3:$AA$3,0),FALSE))*$AY128/VLOOKUP(VLOOKUP($AW128,坦克个性化设定!$B$18:$E$48,4,FALSE)&amp;$AX128,坦克属性分配比例,MATCH("升星次数",坦克属性分配比例标头,0),FALSE)*(VLOOKUP(VLOOKUP($AW128,坦克个性化设定!$B$18:$E$48,4,FALSE)&amp;$AX128,坦克属性分配比例,MATCH("升星比例",坦克属性分配比例标头,0),FALSE)+VLOOKUP(VLOOKUP($AW128,坦克个性化设定!$B$18:$E$48,4,FALSE)&amp;$AX128,坦克属性分配比例,MATCH("部件比例",坦克属性分配比例标头,0),FALSE)*$C$3),0)</f>
        <v>311</v>
      </c>
      <c r="BC128" s="486">
        <f ca="1">ROUND(VLOOKUP($AW128&amp;"初始",$O$3:$AA$63,MATCH(BC$3,$O$3:$AA$3,0),FALSE)+(VLOOKUP($AW128&amp;"最终",$O$3:$AA$63,MATCH(BC$3,$O$3:$AA$3,0),FALSE)-VLOOKUP($AW128&amp;"初始",$O$3:$AA$63,MATCH(BC$3,$O$3:$AA$3,0),FALSE))*$AY128/VLOOKUP(VLOOKUP($AW128,坦克个性化设定!$B$18:$E$48,4,FALSE)&amp;$AX128,坦克属性分配比例,MATCH("升星次数",坦克属性分配比例标头,0),FALSE)*(VLOOKUP(VLOOKUP($AW128,坦克个性化设定!$B$18:$E$48,4,FALSE)&amp;$AX128,坦克属性分配比例,MATCH("升星比例",坦克属性分配比例标头,0),FALSE)+VLOOKUP(VLOOKUP($AW128,坦克个性化设定!$B$18:$E$48,4,FALSE)&amp;$AX128,坦克属性分配比例,MATCH("部件比例",坦克属性分配比例标头,0),FALSE)*$C$3),0)</f>
        <v>233</v>
      </c>
      <c r="BD128" s="426">
        <f ca="1">ROUND(VLOOKUP($AW128&amp;"初始",$O$3:$AA$63,MATCH(BD$3,$O$3:$AA$3,0),FALSE)+(VLOOKUP($AW128&amp;"最终",$O$3:$AA$63,MATCH(BD$3,$O$3:$AA$3,0),FALSE)-VLOOKUP($AW128&amp;"初始",$O$3:$AA$63,MATCH(BD$3,$O$3:$AA$3,0),FALSE))*$AY128/VLOOKUP(VLOOKUP($AW128,坦克个性化设定!$B$18:$E$48,4,FALSE)&amp;$AX128,坦克属性分配比例,MATCH("升星次数",坦克属性分配比例标头,0),FALSE)*VLOOKUP(VLOOKUP($AW128,坦克个性化设定!$B$18:$E$48,4,FALSE)&amp;$AX128,坦克属性分配比例,MATCH("升星比例",坦克属性分配比例标头,0),FALSE),0)</f>
        <v>384</v>
      </c>
      <c r="BE128" s="426">
        <f ca="1">ROUND(VLOOKUP($AW128&amp;"初始",$O$3:$AA$63,MATCH(BE$3,$O$3:$AA$3,0),FALSE)+(VLOOKUP($AW128&amp;"最终",$O$3:$AA$63,MATCH(BE$3,$O$3:$AA$3,0),FALSE)-VLOOKUP($AW128&amp;"初始",$O$3:$AA$63,MATCH(BE$3,$O$3:$AA$3,0),FALSE))*$AY128/VLOOKUP(VLOOKUP($AW128,坦克个性化设定!$B$18:$E$48,4,FALSE)&amp;$AX128,坦克属性分配比例,MATCH("升星次数",坦克属性分配比例标头,0),FALSE),0)</f>
        <v>97</v>
      </c>
      <c r="BF128" s="462">
        <f>ROUND(VLOOKUP($AW128,$AD$3:$AJ$33,MATCH(BF$3,$AD$3:$AJ$3,0),FALSE)+$AY128/VLOOKUP(VLOOKUP($AW128,坦克个性化设定!$B$18:$E$48,4,FALSE)&amp;$AX128,坦克属性分配比例,MATCH("升星次数",坦克属性分配比例标头,0),FALSE)*VLOOKUP($AW128,$AM$3:$AS$33,MATCH(BF$3,$AM$3:$AS$3,0),FALSE),1)</f>
        <v>47.3</v>
      </c>
      <c r="BG128" s="462">
        <f>ROUND(VLOOKUP($AW128,$AD$3:$AJ$33,MATCH(BG$3,$AD$3:$AJ$3,0),FALSE)+$AY128/VLOOKUP(VLOOKUP($AW128,坦克个性化设定!$B$18:$E$48,4,FALSE)&amp;$AX128,坦克属性分配比例,MATCH("升星次数",坦克属性分配比例标头,0),FALSE)*VLOOKUP($AW128,$AM$3:$AS$33,MATCH(BG$3,$AM$3:$AS$3,0),FALSE),1)</f>
        <v>42.5</v>
      </c>
      <c r="BH128" s="462">
        <f>ROUND(VLOOKUP($AW128,$AD$3:$AJ$33,MATCH(BH$3,$AD$3:$AJ$3,0),FALSE)+$AY128/VLOOKUP(VLOOKUP($AW128,坦克个性化设定!$B$18:$E$48,4,FALSE)&amp;$AX128,坦克属性分配比例,MATCH("升星次数",坦克属性分配比例标头,0),FALSE)*VLOOKUP($AW128,$AM$3:$AS$33,MATCH(BH$3,$AM$3:$AS$3,0),FALSE),1)</f>
        <v>13.3</v>
      </c>
      <c r="BI128" s="654">
        <f>IF(VLOOKUP(AW128,坦克个性化设定!$B$18:$BB$48,MATCH("装弹类型",坦克个性化设定!$B$18:$BB$18,0),FALSE)="弹夹换弹",0,ROUND(VLOOKUP($AW128,$AD$3:$AJ$33,MATCH("换弹时间",$AD$3:$AJ$3,0),FALSE)-$AY128/VLOOKUP(VLOOKUP($AW128,坦克个性化设定!$B$18:$E$48,4,FALSE)&amp;$AX128,坦克属性分配比例,MATCH("升星次数",坦克属性分配比例标头,0),FALSE)*VLOOKUP($AW128,$AM$3:$AS$33,MATCH("换弹时间",$AM$3:$AS$3,0),FALSE),2))</f>
        <v>0</v>
      </c>
      <c r="BJ128" s="462">
        <f>IF(VLOOKUP(AW128,坦克个性化设定!$B$18:$BB$48,MATCH("装弹类型",坦克个性化设定!$B$18:$BB$18,0),FALSE)="弹夹换弹",ROUND(VLOOKUP($AW128,$AD$3:$AJ$33,MATCH("换弹时间",$AD$3:$AJ$3,0),FALSE)-$AY128/VLOOKUP(VLOOKUP($AW128,坦克个性化设定!$B$18:$E$48,4,FALSE)&amp;$AX128,坦克属性分配比例,MATCH("升星次数",坦克属性分配比例标头,0),FALSE)*VLOOKUP($AW128,$AM$3:$AS$33,MATCH("换弹时间",$AM$3:$AS$3,0),FALSE),1),0)</f>
        <v>4.4000000000000004</v>
      </c>
      <c r="BK128" s="462">
        <f>ROUND(VLOOKUP($AW128,$AD$3:$AJ$33,MATCH(BK$3,$AD$3:$AJ$3,0),FALSE)+$AY128/VLOOKUP(VLOOKUP($AW128,坦克个性化设定!$B$18:$E$48,4,FALSE)&amp;$AX128,坦克属性分配比例,MATCH("升星次数",坦克属性分配比例标头,0),FALSE)*VLOOKUP($AW128,$AM$3:$AS$33,MATCH(BK$3,$AM$3:$AS$3,0),FALSE),2)</f>
        <v>0.4</v>
      </c>
      <c r="BL128" s="462">
        <f>ROUND(VLOOKUP($AW128,$AD$3:$AJ$33,MATCH(BL$3,$AD$3:$AJ$3,0),FALSE)-$AY128/VLOOKUP(VLOOKUP($AW128,坦克个性化设定!$B$18:$E$48,4,FALSE)&amp;$AX128,坦克属性分配比例,MATCH("升星次数",坦克属性分配比例标头,0),FALSE)*VLOOKUP($AW128,$AM$3:$AS$33,MATCH(BL$3,$AM$3:$AS$3,0),FALSE),2)</f>
        <v>0.89</v>
      </c>
    </row>
    <row r="129" spans="47:64" x14ac:dyDescent="0.35">
      <c r="AU129" s="364" t="str">
        <f t="shared" si="19"/>
        <v>Stuart2</v>
      </c>
      <c r="AV129" s="183">
        <f>IF(AY128&gt;=VLOOKUP(VLOOKUP(AW128,坦克个性化设定!$B$18:$E$48,4,FALSE)&amp;AX128,坦克属性分配比例,MATCH("升星次数",坦克属性分配比例标头,0),FALSE),AV128+1,AV128)</f>
        <v>11</v>
      </c>
      <c r="AW129" s="131" t="str">
        <f t="shared" si="20"/>
        <v>Stuart</v>
      </c>
      <c r="AX129" s="177" t="str">
        <f>VLOOKUP(AW129,坦克个性化细分!$I$3:$J$33,2,FALSE)</f>
        <v>低</v>
      </c>
      <c r="AY129" s="183">
        <f t="shared" si="18"/>
        <v>2</v>
      </c>
      <c r="AZ129" s="486">
        <f ca="1">ROUND(VLOOKUP($AW129&amp;"初始",$O$3:$AA$63,MATCH(AZ$3,$O$3:$AA$3,0),FALSE)+((VLOOKUP($AW129&amp;"最终",$O$3:$AA$63,MATCH(AZ$3,$O$3:$AA$3,0),FALSE)*坦克个性化细分!$C$9-VLOOKUP($AW129&amp;"初始",$O$3:$AA$63,MATCH(AZ$3,$O$3:$AA$3,0),FALSE))-(VLOOKUP($AW129&amp;"最终",$O$3:$AA$63,MATCH(AZ$3,$O$3:$AA$3,0),FALSE)-VLOOKUP($AW129&amp;"初始",$O$3:$AA$63,MATCH(AZ$3,$O$3:$AA$3,0),FALSE))*VLOOKUP(VLOOKUP($AW129,坦克个性化设定!$B$18:$E$48,4,FALSE)&amp;$AX129,坦克属性分配比例,MATCH("部件比例",坦克属性分配比例标头,0),FALSE))*$AY129/VLOOKUP(VLOOKUP($AW129,坦克个性化设定!$B$18:$E$48,4,FALSE)&amp;$AX129,坦克属性分配比例,MATCH("升星次数",坦克属性分配比例标头,0),FALSE),0)</f>
        <v>973</v>
      </c>
      <c r="BA129" s="426">
        <f ca="1">ROUND(VLOOKUP($AW129&amp;"初始",$O$3:$AA$63,MATCH(BA$3,$O$3:$AA$3,0),FALSE)+(VLOOKUP($AW129&amp;"最终",$O$3:$AA$63,MATCH(BA$3,$O$3:$AA$3,0),FALSE)-VLOOKUP($AW129&amp;"初始",$O$3:$AA$63,MATCH(BA$3,$O$3:$AA$3,0),FALSE))*$AY129/VLOOKUP(VLOOKUP($AW129,坦克个性化设定!$B$18:$E$48,4,FALSE)&amp;$AX129,坦克属性分配比例,MATCH("升星次数",坦克属性分配比例标头,0),FALSE)*VLOOKUP(VLOOKUP($AW129,坦克个性化设定!$B$18:$E$48,4,FALSE)&amp;$AX129,坦克属性分配比例,MATCH("升星比例",坦克属性分配比例标头,0),FALSE),0)</f>
        <v>54</v>
      </c>
      <c r="BB129" s="486">
        <f ca="1">ROUND(VLOOKUP($AW129&amp;"初始",$O$3:$AA$63,MATCH(BB$3,$O$3:$AA$3,0),FALSE)+(VLOOKUP($AW129&amp;"最终",$O$3:$AA$63,MATCH(BB$3,$O$3:$AA$3,0),FALSE)-VLOOKUP($AW129&amp;"初始",$O$3:$AA$63,MATCH(BB$3,$O$3:$AA$3,0),FALSE))*$AY129/VLOOKUP(VLOOKUP($AW129,坦克个性化设定!$B$18:$E$48,4,FALSE)&amp;$AX129,坦克属性分配比例,MATCH("升星次数",坦克属性分配比例标头,0),FALSE)*(VLOOKUP(VLOOKUP($AW129,坦克个性化设定!$B$18:$E$48,4,FALSE)&amp;$AX129,坦克属性分配比例,MATCH("升星比例",坦克属性分配比例标头,0),FALSE)+VLOOKUP(VLOOKUP($AW129,坦克个性化设定!$B$18:$E$48,4,FALSE)&amp;$AX129,坦克属性分配比例,MATCH("部件比例",坦克属性分配比例标头,0),FALSE)*$C$3),0)</f>
        <v>335</v>
      </c>
      <c r="BC129" s="486">
        <f ca="1">ROUND(VLOOKUP($AW129&amp;"初始",$O$3:$AA$63,MATCH(BC$3,$O$3:$AA$3,0),FALSE)+(VLOOKUP($AW129&amp;"最终",$O$3:$AA$63,MATCH(BC$3,$O$3:$AA$3,0),FALSE)-VLOOKUP($AW129&amp;"初始",$O$3:$AA$63,MATCH(BC$3,$O$3:$AA$3,0),FALSE))*$AY129/VLOOKUP(VLOOKUP($AW129,坦克个性化设定!$B$18:$E$48,4,FALSE)&amp;$AX129,坦克属性分配比例,MATCH("升星次数",坦克属性分配比例标头,0),FALSE)*(VLOOKUP(VLOOKUP($AW129,坦克个性化设定!$B$18:$E$48,4,FALSE)&amp;$AX129,坦克属性分配比例,MATCH("升星比例",坦克属性分配比例标头,0),FALSE)+VLOOKUP(VLOOKUP($AW129,坦克个性化设定!$B$18:$E$48,4,FALSE)&amp;$AX129,坦克属性分配比例,MATCH("部件比例",坦克属性分配比例标头,0),FALSE)*$C$3),0)</f>
        <v>251</v>
      </c>
      <c r="BD129" s="426">
        <f ca="1">ROUND(VLOOKUP($AW129&amp;"初始",$O$3:$AA$63,MATCH(BD$3,$O$3:$AA$3,0),FALSE)+(VLOOKUP($AW129&amp;"最终",$O$3:$AA$63,MATCH(BD$3,$O$3:$AA$3,0),FALSE)-VLOOKUP($AW129&amp;"初始",$O$3:$AA$63,MATCH(BD$3,$O$3:$AA$3,0),FALSE))*$AY129/VLOOKUP(VLOOKUP($AW129,坦克个性化设定!$B$18:$E$48,4,FALSE)&amp;$AX129,坦克属性分配比例,MATCH("升星次数",坦克属性分配比例标头,0),FALSE)*VLOOKUP(VLOOKUP($AW129,坦克个性化设定!$B$18:$E$48,4,FALSE)&amp;$AX129,坦克属性分配比例,MATCH("升星比例",坦克属性分配比例标头,0),FALSE),0)</f>
        <v>408</v>
      </c>
      <c r="BE129" s="426">
        <f ca="1">ROUND(VLOOKUP($AW129&amp;"初始",$O$3:$AA$63,MATCH(BE$3,$O$3:$AA$3,0),FALSE)+(VLOOKUP($AW129&amp;"最终",$O$3:$AA$63,MATCH(BE$3,$O$3:$AA$3,0),FALSE)-VLOOKUP($AW129&amp;"初始",$O$3:$AA$63,MATCH(BE$3,$O$3:$AA$3,0),FALSE))*$AY129/VLOOKUP(VLOOKUP($AW129,坦克个性化设定!$B$18:$E$48,4,FALSE)&amp;$AX129,坦克属性分配比例,MATCH("升星次数",坦克属性分配比例标头,0),FALSE),0)</f>
        <v>106</v>
      </c>
      <c r="BF129" s="462">
        <f>ROUND(VLOOKUP($AW129,$AD$3:$AJ$33,MATCH(BF$3,$AD$3:$AJ$3,0),FALSE)+$AY129/VLOOKUP(VLOOKUP($AW129,坦克个性化设定!$B$18:$E$48,4,FALSE)&amp;$AX129,坦克属性分配比例,MATCH("升星次数",坦克属性分配比例标头,0),FALSE)*VLOOKUP($AW129,$AM$3:$AS$33,MATCH(BF$3,$AM$3:$AS$3,0),FALSE),1)</f>
        <v>50.1</v>
      </c>
      <c r="BG129" s="462">
        <f>ROUND(VLOOKUP($AW129,$AD$3:$AJ$33,MATCH(BG$3,$AD$3:$AJ$3,0),FALSE)+$AY129/VLOOKUP(VLOOKUP($AW129,坦克个性化设定!$B$18:$E$48,4,FALSE)&amp;$AX129,坦克属性分配比例,MATCH("升星次数",坦克属性分配比例标头,0),FALSE)*VLOOKUP($AW129,$AM$3:$AS$33,MATCH(BG$3,$AM$3:$AS$3,0),FALSE),1)</f>
        <v>45</v>
      </c>
      <c r="BH129" s="462">
        <f>ROUND(VLOOKUP($AW129,$AD$3:$AJ$33,MATCH(BH$3,$AD$3:$AJ$3,0),FALSE)+$AY129/VLOOKUP(VLOOKUP($AW129,坦克个性化设定!$B$18:$E$48,4,FALSE)&amp;$AX129,坦克属性分配比例,MATCH("升星次数",坦克属性分配比例标头,0),FALSE)*VLOOKUP($AW129,$AM$3:$AS$33,MATCH(BH$3,$AM$3:$AS$3,0),FALSE),1)</f>
        <v>14.3</v>
      </c>
      <c r="BI129" s="654">
        <f>IF(VLOOKUP(AW129,坦克个性化设定!$B$18:$BB$48,MATCH("装弹类型",坦克个性化设定!$B$18:$BB$18,0),FALSE)="弹夹换弹",0,ROUND(VLOOKUP($AW129,$AD$3:$AJ$33,MATCH("换弹时间",$AD$3:$AJ$3,0),FALSE)-$AY129/VLOOKUP(VLOOKUP($AW129,坦克个性化设定!$B$18:$E$48,4,FALSE)&amp;$AX129,坦克属性分配比例,MATCH("升星次数",坦克属性分配比例标头,0),FALSE)*VLOOKUP($AW129,$AM$3:$AS$33,MATCH("换弹时间",$AM$3:$AS$3,0),FALSE),2))</f>
        <v>0</v>
      </c>
      <c r="BJ129" s="462">
        <f>IF(VLOOKUP(AW129,坦克个性化设定!$B$18:$BB$48,MATCH("装弹类型",坦克个性化设定!$B$18:$BB$18,0),FALSE)="弹夹换弹",ROUND(VLOOKUP($AW129,$AD$3:$AJ$33,MATCH("换弹时间",$AD$3:$AJ$3,0),FALSE)-$AY129/VLOOKUP(VLOOKUP($AW129,坦克个性化设定!$B$18:$E$48,4,FALSE)&amp;$AX129,坦克属性分配比例,MATCH("升星次数",坦克属性分配比例标头,0),FALSE)*VLOOKUP($AW129,$AM$3:$AS$33,MATCH("换弹时间",$AM$3:$AS$3,0),FALSE),1),0)</f>
        <v>3.9</v>
      </c>
      <c r="BK129" s="462">
        <f>ROUND(VLOOKUP($AW129,$AD$3:$AJ$33,MATCH(BK$3,$AD$3:$AJ$3,0),FALSE)+$AY129/VLOOKUP(VLOOKUP($AW129,坦克个性化设定!$B$18:$E$48,4,FALSE)&amp;$AX129,坦克属性分配比例,MATCH("升星次数",坦克属性分配比例标头,0),FALSE)*VLOOKUP($AW129,$AM$3:$AS$33,MATCH(BK$3,$AM$3:$AS$3,0),FALSE),2)</f>
        <v>0.4</v>
      </c>
      <c r="BL129" s="462">
        <f>ROUND(VLOOKUP($AW129,$AD$3:$AJ$33,MATCH(BL$3,$AD$3:$AJ$3,0),FALSE)-$AY129/VLOOKUP(VLOOKUP($AW129,坦克个性化设定!$B$18:$E$48,4,FALSE)&amp;$AX129,坦克属性分配比例,MATCH("升星次数",坦克属性分配比例标头,0),FALSE)*VLOOKUP($AW129,$AM$3:$AS$33,MATCH(BL$3,$AM$3:$AS$3,0),FALSE),2)</f>
        <v>0.86</v>
      </c>
    </row>
    <row r="130" spans="47:64" x14ac:dyDescent="0.35">
      <c r="AU130" s="364" t="str">
        <f t="shared" si="19"/>
        <v>Stuart3</v>
      </c>
      <c r="AV130" s="183">
        <f>IF(AY129&gt;=VLOOKUP(VLOOKUP(AW129,坦克个性化设定!$B$18:$E$48,4,FALSE)&amp;AX129,坦克属性分配比例,MATCH("升星次数",坦克属性分配比例标头,0),FALSE),AV129+1,AV129)</f>
        <v>11</v>
      </c>
      <c r="AW130" s="131" t="str">
        <f t="shared" si="20"/>
        <v>Stuart</v>
      </c>
      <c r="AX130" s="177" t="str">
        <f>VLOOKUP(AW130,坦克个性化细分!$I$3:$J$33,2,FALSE)</f>
        <v>低</v>
      </c>
      <c r="AY130" s="183">
        <f t="shared" si="18"/>
        <v>3</v>
      </c>
      <c r="AZ130" s="486">
        <f ca="1">ROUND(VLOOKUP($AW130&amp;"初始",$O$3:$AA$63,MATCH(AZ$3,$O$3:$AA$3,0),FALSE)+((VLOOKUP($AW130&amp;"最终",$O$3:$AA$63,MATCH(AZ$3,$O$3:$AA$3,0),FALSE)*坦克个性化细分!$C$9-VLOOKUP($AW130&amp;"初始",$O$3:$AA$63,MATCH(AZ$3,$O$3:$AA$3,0),FALSE))-(VLOOKUP($AW130&amp;"最终",$O$3:$AA$63,MATCH(AZ$3,$O$3:$AA$3,0),FALSE)-VLOOKUP($AW130&amp;"初始",$O$3:$AA$63,MATCH(AZ$3,$O$3:$AA$3,0),FALSE))*VLOOKUP(VLOOKUP($AW130,坦克个性化设定!$B$18:$E$48,4,FALSE)&amp;$AX130,坦克属性分配比例,MATCH("部件比例",坦克属性分配比例标头,0),FALSE))*$AY130/VLOOKUP(VLOOKUP($AW130,坦克个性化设定!$B$18:$E$48,4,FALSE)&amp;$AX130,坦克属性分配比例,MATCH("升星次数",坦克属性分配比例标头,0),FALSE),0)</f>
        <v>1098</v>
      </c>
      <c r="BA130" s="426">
        <f ca="1">ROUND(VLOOKUP($AW130&amp;"初始",$O$3:$AA$63,MATCH(BA$3,$O$3:$AA$3,0),FALSE)+(VLOOKUP($AW130&amp;"最终",$O$3:$AA$63,MATCH(BA$3,$O$3:$AA$3,0),FALSE)-VLOOKUP($AW130&amp;"初始",$O$3:$AA$63,MATCH(BA$3,$O$3:$AA$3,0),FALSE))*$AY130/VLOOKUP(VLOOKUP($AW130,坦克个性化设定!$B$18:$E$48,4,FALSE)&amp;$AX130,坦克属性分配比例,MATCH("升星次数",坦克属性分配比例标头,0),FALSE)*VLOOKUP(VLOOKUP($AW130,坦克个性化设定!$B$18:$E$48,4,FALSE)&amp;$AX130,坦克属性分配比例,MATCH("升星比例",坦克属性分配比例标头,0),FALSE),0)</f>
        <v>58</v>
      </c>
      <c r="BB130" s="486">
        <f ca="1">ROUND(VLOOKUP($AW130&amp;"初始",$O$3:$AA$63,MATCH(BB$3,$O$3:$AA$3,0),FALSE)+(VLOOKUP($AW130&amp;"最终",$O$3:$AA$63,MATCH(BB$3,$O$3:$AA$3,0),FALSE)-VLOOKUP($AW130&amp;"初始",$O$3:$AA$63,MATCH(BB$3,$O$3:$AA$3,0),FALSE))*$AY130/VLOOKUP(VLOOKUP($AW130,坦克个性化设定!$B$18:$E$48,4,FALSE)&amp;$AX130,坦克属性分配比例,MATCH("升星次数",坦克属性分配比例标头,0),FALSE)*(VLOOKUP(VLOOKUP($AW130,坦克个性化设定!$B$18:$E$48,4,FALSE)&amp;$AX130,坦克属性分配比例,MATCH("升星比例",坦克属性分配比例标头,0),FALSE)+VLOOKUP(VLOOKUP($AW130,坦克个性化设定!$B$18:$E$48,4,FALSE)&amp;$AX130,坦克属性分配比例,MATCH("部件比例",坦克属性分配比例标头,0),FALSE)*$C$3),0)</f>
        <v>360</v>
      </c>
      <c r="BC130" s="486">
        <f ca="1">ROUND(VLOOKUP($AW130&amp;"初始",$O$3:$AA$63,MATCH(BC$3,$O$3:$AA$3,0),FALSE)+(VLOOKUP($AW130&amp;"最终",$O$3:$AA$63,MATCH(BC$3,$O$3:$AA$3,0),FALSE)-VLOOKUP($AW130&amp;"初始",$O$3:$AA$63,MATCH(BC$3,$O$3:$AA$3,0),FALSE))*$AY130/VLOOKUP(VLOOKUP($AW130,坦克个性化设定!$B$18:$E$48,4,FALSE)&amp;$AX130,坦克属性分配比例,MATCH("升星次数",坦克属性分配比例标头,0),FALSE)*(VLOOKUP(VLOOKUP($AW130,坦克个性化设定!$B$18:$E$48,4,FALSE)&amp;$AX130,坦克属性分配比例,MATCH("升星比例",坦克属性分配比例标头,0),FALSE)+VLOOKUP(VLOOKUP($AW130,坦克个性化设定!$B$18:$E$48,4,FALSE)&amp;$AX130,坦克属性分配比例,MATCH("部件比例",坦克属性分配比例标头,0),FALSE)*$C$3),0)</f>
        <v>270</v>
      </c>
      <c r="BD130" s="426">
        <f ca="1">ROUND(VLOOKUP($AW130&amp;"初始",$O$3:$AA$63,MATCH(BD$3,$O$3:$AA$3,0),FALSE)+(VLOOKUP($AW130&amp;"最终",$O$3:$AA$63,MATCH(BD$3,$O$3:$AA$3,0),FALSE)-VLOOKUP($AW130&amp;"初始",$O$3:$AA$63,MATCH(BD$3,$O$3:$AA$3,0),FALSE))*$AY130/VLOOKUP(VLOOKUP($AW130,坦克个性化设定!$B$18:$E$48,4,FALSE)&amp;$AX130,坦克属性分配比例,MATCH("升星次数",坦克属性分配比例标头,0),FALSE)*VLOOKUP(VLOOKUP($AW130,坦克个性化设定!$B$18:$E$48,4,FALSE)&amp;$AX130,坦克属性分配比例,MATCH("升星比例",坦克属性分配比例标头,0),FALSE),0)</f>
        <v>432</v>
      </c>
      <c r="BE130" s="426">
        <f ca="1">ROUND(VLOOKUP($AW130&amp;"初始",$O$3:$AA$63,MATCH(BE$3,$O$3:$AA$3,0),FALSE)+(VLOOKUP($AW130&amp;"最终",$O$3:$AA$63,MATCH(BE$3,$O$3:$AA$3,0),FALSE)-VLOOKUP($AW130&amp;"初始",$O$3:$AA$63,MATCH(BE$3,$O$3:$AA$3,0),FALSE))*$AY130/VLOOKUP(VLOOKUP($AW130,坦克个性化设定!$B$18:$E$48,4,FALSE)&amp;$AX130,坦克属性分配比例,MATCH("升星次数",坦克属性分配比例标头,0),FALSE),0)</f>
        <v>114</v>
      </c>
      <c r="BF130" s="462">
        <f>ROUND(VLOOKUP($AW130,$AD$3:$AJ$33,MATCH(BF$3,$AD$3:$AJ$3,0),FALSE)+$AY130/VLOOKUP(VLOOKUP($AW130,坦克个性化设定!$B$18:$E$48,4,FALSE)&amp;$AX130,坦克属性分配比例,MATCH("升星次数",坦克属性分配比例标头,0),FALSE)*VLOOKUP($AW130,$AM$3:$AS$33,MATCH(BF$3,$AM$3:$AS$3,0),FALSE),1)</f>
        <v>52.8</v>
      </c>
      <c r="BG130" s="462">
        <f>ROUND(VLOOKUP($AW130,$AD$3:$AJ$33,MATCH(BG$3,$AD$3:$AJ$3,0),FALSE)+$AY130/VLOOKUP(VLOOKUP($AW130,坦克个性化设定!$B$18:$E$48,4,FALSE)&amp;$AX130,坦克属性分配比例,MATCH("升星次数",坦克属性分配比例标头,0),FALSE)*VLOOKUP($AW130,$AM$3:$AS$33,MATCH(BG$3,$AM$3:$AS$3,0),FALSE),1)</f>
        <v>47.5</v>
      </c>
      <c r="BH130" s="462">
        <f>ROUND(VLOOKUP($AW130,$AD$3:$AJ$33,MATCH(BH$3,$AD$3:$AJ$3,0),FALSE)+$AY130/VLOOKUP(VLOOKUP($AW130,坦克个性化设定!$B$18:$E$48,4,FALSE)&amp;$AX130,坦克属性分配比例,MATCH("升星次数",坦克属性分配比例标头,0),FALSE)*VLOOKUP($AW130,$AM$3:$AS$33,MATCH(BH$3,$AM$3:$AS$3,0),FALSE),1)</f>
        <v>15.3</v>
      </c>
      <c r="BI130" s="654">
        <f>IF(VLOOKUP(AW130,坦克个性化设定!$B$18:$BB$48,MATCH("装弹类型",坦克个性化设定!$B$18:$BB$18,0),FALSE)="弹夹换弹",0,ROUND(VLOOKUP($AW130,$AD$3:$AJ$33,MATCH("换弹时间",$AD$3:$AJ$3,0),FALSE)-$AY130/VLOOKUP(VLOOKUP($AW130,坦克个性化设定!$B$18:$E$48,4,FALSE)&amp;$AX130,坦克属性分配比例,MATCH("升星次数",坦克属性分配比例标头,0),FALSE)*VLOOKUP($AW130,$AM$3:$AS$33,MATCH("换弹时间",$AM$3:$AS$3,0),FALSE),2))</f>
        <v>0</v>
      </c>
      <c r="BJ130" s="462">
        <f>IF(VLOOKUP(AW130,坦克个性化设定!$B$18:$BB$48,MATCH("装弹类型",坦克个性化设定!$B$18:$BB$18,0),FALSE)="弹夹换弹",ROUND(VLOOKUP($AW130,$AD$3:$AJ$33,MATCH("换弹时间",$AD$3:$AJ$3,0),FALSE)-$AY130/VLOOKUP(VLOOKUP($AW130,坦克个性化设定!$B$18:$E$48,4,FALSE)&amp;$AX130,坦克属性分配比例,MATCH("升星次数",坦克属性分配比例标头,0),FALSE)*VLOOKUP($AW130,$AM$3:$AS$33,MATCH("换弹时间",$AM$3:$AS$3,0),FALSE),1),0)</f>
        <v>3.5</v>
      </c>
      <c r="BK130" s="462">
        <f>ROUND(VLOOKUP($AW130,$AD$3:$AJ$33,MATCH(BK$3,$AD$3:$AJ$3,0),FALSE)+$AY130/VLOOKUP(VLOOKUP($AW130,坦克个性化设定!$B$18:$E$48,4,FALSE)&amp;$AX130,坦克属性分配比例,MATCH("升星次数",坦克属性分配比例标头,0),FALSE)*VLOOKUP($AW130,$AM$3:$AS$33,MATCH(BK$3,$AM$3:$AS$3,0),FALSE),2)</f>
        <v>0.4</v>
      </c>
      <c r="BL130" s="462">
        <f>ROUND(VLOOKUP($AW130,$AD$3:$AJ$33,MATCH(BL$3,$AD$3:$AJ$3,0),FALSE)-$AY130/VLOOKUP(VLOOKUP($AW130,坦克个性化设定!$B$18:$E$48,4,FALSE)&amp;$AX130,坦克属性分配比例,MATCH("升星次数",坦克属性分配比例标头,0),FALSE)*VLOOKUP($AW130,$AM$3:$AS$33,MATCH(BL$3,$AM$3:$AS$3,0),FALSE),2)</f>
        <v>0.82</v>
      </c>
    </row>
    <row r="131" spans="47:64" x14ac:dyDescent="0.35">
      <c r="AU131" s="364" t="str">
        <f t="shared" si="19"/>
        <v>Stuart4</v>
      </c>
      <c r="AV131" s="183">
        <f>IF(AY130&gt;=VLOOKUP(VLOOKUP(AW130,坦克个性化设定!$B$18:$E$48,4,FALSE)&amp;AX130,坦克属性分配比例,MATCH("升星次数",坦克属性分配比例标头,0),FALSE),AV130+1,AV130)</f>
        <v>11</v>
      </c>
      <c r="AW131" s="131" t="str">
        <f t="shared" si="20"/>
        <v>Stuart</v>
      </c>
      <c r="AX131" s="177" t="str">
        <f>VLOOKUP(AW131,坦克个性化细分!$I$3:$J$33,2,FALSE)</f>
        <v>低</v>
      </c>
      <c r="AY131" s="183">
        <f t="shared" si="18"/>
        <v>4</v>
      </c>
      <c r="AZ131" s="486">
        <f ca="1">ROUND(VLOOKUP($AW131&amp;"初始",$O$3:$AA$63,MATCH(AZ$3,$O$3:$AA$3,0),FALSE)+((VLOOKUP($AW131&amp;"最终",$O$3:$AA$63,MATCH(AZ$3,$O$3:$AA$3,0),FALSE)*坦克个性化细分!$C$9-VLOOKUP($AW131&amp;"初始",$O$3:$AA$63,MATCH(AZ$3,$O$3:$AA$3,0),FALSE))-(VLOOKUP($AW131&amp;"最终",$O$3:$AA$63,MATCH(AZ$3,$O$3:$AA$3,0),FALSE)-VLOOKUP($AW131&amp;"初始",$O$3:$AA$63,MATCH(AZ$3,$O$3:$AA$3,0),FALSE))*VLOOKUP(VLOOKUP($AW131,坦克个性化设定!$B$18:$E$48,4,FALSE)&amp;$AX131,坦克属性分配比例,MATCH("部件比例",坦克属性分配比例标头,0),FALSE))*$AY131/VLOOKUP(VLOOKUP($AW131,坦克个性化设定!$B$18:$E$48,4,FALSE)&amp;$AX131,坦克属性分配比例,MATCH("升星次数",坦克属性分配比例标头,0),FALSE),0)</f>
        <v>1222</v>
      </c>
      <c r="BA131" s="426">
        <f ca="1">ROUND(VLOOKUP($AW131&amp;"初始",$O$3:$AA$63,MATCH(BA$3,$O$3:$AA$3,0),FALSE)+(VLOOKUP($AW131&amp;"最终",$O$3:$AA$63,MATCH(BA$3,$O$3:$AA$3,0),FALSE)-VLOOKUP($AW131&amp;"初始",$O$3:$AA$63,MATCH(BA$3,$O$3:$AA$3,0),FALSE))*$AY131/VLOOKUP(VLOOKUP($AW131,坦克个性化设定!$B$18:$E$48,4,FALSE)&amp;$AX131,坦克属性分配比例,MATCH("升星次数",坦克属性分配比例标头,0),FALSE)*VLOOKUP(VLOOKUP($AW131,坦克个性化设定!$B$18:$E$48,4,FALSE)&amp;$AX131,坦克属性分配比例,MATCH("升星比例",坦克属性分配比例标头,0),FALSE),0)</f>
        <v>61</v>
      </c>
      <c r="BB131" s="486">
        <f ca="1">ROUND(VLOOKUP($AW131&amp;"初始",$O$3:$AA$63,MATCH(BB$3,$O$3:$AA$3,0),FALSE)+(VLOOKUP($AW131&amp;"最终",$O$3:$AA$63,MATCH(BB$3,$O$3:$AA$3,0),FALSE)-VLOOKUP($AW131&amp;"初始",$O$3:$AA$63,MATCH(BB$3,$O$3:$AA$3,0),FALSE))*$AY131/VLOOKUP(VLOOKUP($AW131,坦克个性化设定!$B$18:$E$48,4,FALSE)&amp;$AX131,坦克属性分配比例,MATCH("升星次数",坦克属性分配比例标头,0),FALSE)*(VLOOKUP(VLOOKUP($AW131,坦克个性化设定!$B$18:$E$48,4,FALSE)&amp;$AX131,坦克属性分配比例,MATCH("升星比例",坦克属性分配比例标头,0),FALSE)+VLOOKUP(VLOOKUP($AW131,坦克个性化设定!$B$18:$E$48,4,FALSE)&amp;$AX131,坦克属性分配比例,MATCH("部件比例",坦克属性分配比例标头,0),FALSE)*$C$3),0)</f>
        <v>385</v>
      </c>
      <c r="BC131" s="486">
        <f ca="1">ROUND(VLOOKUP($AW131&amp;"初始",$O$3:$AA$63,MATCH(BC$3,$O$3:$AA$3,0),FALSE)+(VLOOKUP($AW131&amp;"最终",$O$3:$AA$63,MATCH(BC$3,$O$3:$AA$3,0),FALSE)-VLOOKUP($AW131&amp;"初始",$O$3:$AA$63,MATCH(BC$3,$O$3:$AA$3,0),FALSE))*$AY131/VLOOKUP(VLOOKUP($AW131,坦克个性化设定!$B$18:$E$48,4,FALSE)&amp;$AX131,坦克属性分配比例,MATCH("升星次数",坦克属性分配比例标头,0),FALSE)*(VLOOKUP(VLOOKUP($AW131,坦克个性化设定!$B$18:$E$48,4,FALSE)&amp;$AX131,坦克属性分配比例,MATCH("升星比例",坦克属性分配比例标头,0),FALSE)+VLOOKUP(VLOOKUP($AW131,坦克个性化设定!$B$18:$E$48,4,FALSE)&amp;$AX131,坦克属性分配比例,MATCH("部件比例",坦克属性分配比例标头,0),FALSE)*$C$3),0)</f>
        <v>289</v>
      </c>
      <c r="BD131" s="426">
        <f ca="1">ROUND(VLOOKUP($AW131&amp;"初始",$O$3:$AA$63,MATCH(BD$3,$O$3:$AA$3,0),FALSE)+(VLOOKUP($AW131&amp;"最终",$O$3:$AA$63,MATCH(BD$3,$O$3:$AA$3,0),FALSE)-VLOOKUP($AW131&amp;"初始",$O$3:$AA$63,MATCH(BD$3,$O$3:$AA$3,0),FALSE))*$AY131/VLOOKUP(VLOOKUP($AW131,坦克个性化设定!$B$18:$E$48,4,FALSE)&amp;$AX131,坦克属性分配比例,MATCH("升星次数",坦克属性分配比例标头,0),FALSE)*VLOOKUP(VLOOKUP($AW131,坦克个性化设定!$B$18:$E$48,4,FALSE)&amp;$AX131,坦克属性分配比例,MATCH("升星比例",坦克属性分配比例标头,0),FALSE),0)</f>
        <v>456</v>
      </c>
      <c r="BE131" s="426">
        <f ca="1">ROUND(VLOOKUP($AW131&amp;"初始",$O$3:$AA$63,MATCH(BE$3,$O$3:$AA$3,0),FALSE)+(VLOOKUP($AW131&amp;"最终",$O$3:$AA$63,MATCH(BE$3,$O$3:$AA$3,0),FALSE)-VLOOKUP($AW131&amp;"初始",$O$3:$AA$63,MATCH(BE$3,$O$3:$AA$3,0),FALSE))*$AY131/VLOOKUP(VLOOKUP($AW131,坦克个性化设定!$B$18:$E$48,4,FALSE)&amp;$AX131,坦克属性分配比例,MATCH("升星次数",坦克属性分配比例标头,0),FALSE),0)</f>
        <v>123</v>
      </c>
      <c r="BF131" s="462">
        <f>ROUND(VLOOKUP($AW131,$AD$3:$AJ$33,MATCH(BF$3,$AD$3:$AJ$3,0),FALSE)+$AY131/VLOOKUP(VLOOKUP($AW131,坦克个性化设定!$B$18:$E$48,4,FALSE)&amp;$AX131,坦克属性分配比例,MATCH("升星次数",坦克属性分配比例标头,0),FALSE)*VLOOKUP($AW131,$AM$3:$AS$33,MATCH(BF$3,$AM$3:$AS$3,0),FALSE),1)</f>
        <v>55.6</v>
      </c>
      <c r="BG131" s="462">
        <f>ROUND(VLOOKUP($AW131,$AD$3:$AJ$33,MATCH(BG$3,$AD$3:$AJ$3,0),FALSE)+$AY131/VLOOKUP(VLOOKUP($AW131,坦克个性化设定!$B$18:$E$48,4,FALSE)&amp;$AX131,坦克属性分配比例,MATCH("升星次数",坦克属性分配比例标头,0),FALSE)*VLOOKUP($AW131,$AM$3:$AS$33,MATCH(BG$3,$AM$3:$AS$3,0),FALSE),1)</f>
        <v>50</v>
      </c>
      <c r="BH131" s="462">
        <f>ROUND(VLOOKUP($AW131,$AD$3:$AJ$33,MATCH(BH$3,$AD$3:$AJ$3,0),FALSE)+$AY131/VLOOKUP(VLOOKUP($AW131,坦克个性化设定!$B$18:$E$48,4,FALSE)&amp;$AX131,坦克属性分配比例,MATCH("升星次数",坦克属性分配比例标头,0),FALSE)*VLOOKUP($AW131,$AM$3:$AS$33,MATCH(BH$3,$AM$3:$AS$3,0),FALSE),1)</f>
        <v>16.3</v>
      </c>
      <c r="BI131" s="654">
        <f>IF(VLOOKUP(AW131,坦克个性化设定!$B$18:$BB$48,MATCH("装弹类型",坦克个性化设定!$B$18:$BB$18,0),FALSE)="弹夹换弹",0,ROUND(VLOOKUP($AW131,$AD$3:$AJ$33,MATCH("换弹时间",$AD$3:$AJ$3,0),FALSE)-$AY131/VLOOKUP(VLOOKUP($AW131,坦克个性化设定!$B$18:$E$48,4,FALSE)&amp;$AX131,坦克属性分配比例,MATCH("升星次数",坦克属性分配比例标头,0),FALSE)*VLOOKUP($AW131,$AM$3:$AS$33,MATCH("换弹时间",$AM$3:$AS$3,0),FALSE),2))</f>
        <v>0</v>
      </c>
      <c r="BJ131" s="462">
        <f>IF(VLOOKUP(AW131,坦克个性化设定!$B$18:$BB$48,MATCH("装弹类型",坦克个性化设定!$B$18:$BB$18,0),FALSE)="弹夹换弹",ROUND(VLOOKUP($AW131,$AD$3:$AJ$33,MATCH("换弹时间",$AD$3:$AJ$3,0),FALSE)-$AY131/VLOOKUP(VLOOKUP($AW131,坦克个性化设定!$B$18:$E$48,4,FALSE)&amp;$AX131,坦克属性分配比例,MATCH("升星次数",坦克属性分配比例标头,0),FALSE)*VLOOKUP($AW131,$AM$3:$AS$33,MATCH("换弹时间",$AM$3:$AS$3,0),FALSE),1),0)</f>
        <v>3.1</v>
      </c>
      <c r="BK131" s="462">
        <f>ROUND(VLOOKUP($AW131,$AD$3:$AJ$33,MATCH(BK$3,$AD$3:$AJ$3,0),FALSE)+$AY131/VLOOKUP(VLOOKUP($AW131,坦克个性化设定!$B$18:$E$48,4,FALSE)&amp;$AX131,坦克属性分配比例,MATCH("升星次数",坦克属性分配比例标头,0),FALSE)*VLOOKUP($AW131,$AM$3:$AS$33,MATCH(BK$3,$AM$3:$AS$3,0),FALSE),2)</f>
        <v>0.4</v>
      </c>
      <c r="BL131" s="462">
        <f>ROUND(VLOOKUP($AW131,$AD$3:$AJ$33,MATCH(BL$3,$AD$3:$AJ$3,0),FALSE)-$AY131/VLOOKUP(VLOOKUP($AW131,坦克个性化设定!$B$18:$E$48,4,FALSE)&amp;$AX131,坦克属性分配比例,MATCH("升星次数",坦克属性分配比例标头,0),FALSE)*VLOOKUP($AW131,$AM$3:$AS$33,MATCH(BL$3,$AM$3:$AS$3,0),FALSE),2)</f>
        <v>0.78</v>
      </c>
    </row>
    <row r="132" spans="47:64" x14ac:dyDescent="0.35">
      <c r="AU132" s="364" t="str">
        <f t="shared" si="19"/>
        <v>T-340</v>
      </c>
      <c r="AV132" s="183">
        <f>IF(AY131&gt;=VLOOKUP(VLOOKUP(AW131,坦克个性化设定!$B$18:$E$48,4,FALSE)&amp;AX131,坦克属性分配比例,MATCH("升星次数",坦克属性分配比例标头,0),FALSE),AV131+1,AV131)</f>
        <v>12</v>
      </c>
      <c r="AW132" s="131" t="str">
        <f t="shared" si="20"/>
        <v>T-34</v>
      </c>
      <c r="AX132" s="177" t="str">
        <f>VLOOKUP(AW132,坦克个性化细分!$I$3:$J$33,2,FALSE)</f>
        <v>低</v>
      </c>
      <c r="AY132" s="183">
        <f t="shared" ref="AY132:AY195" si="21">IF(AW132&lt;&gt;AW131,0,AY131+1)</f>
        <v>0</v>
      </c>
      <c r="AZ132" s="486">
        <f ca="1">ROUND(VLOOKUP($AW132&amp;"初始",$O$3:$AA$63,MATCH(AZ$3,$O$3:$AA$3,0),FALSE)+((VLOOKUP($AW132&amp;"最终",$O$3:$AA$63,MATCH(AZ$3,$O$3:$AA$3,0),FALSE)*坦克个性化细分!$C$9-VLOOKUP($AW132&amp;"初始",$O$3:$AA$63,MATCH(AZ$3,$O$3:$AA$3,0),FALSE))-(VLOOKUP($AW132&amp;"最终",$O$3:$AA$63,MATCH(AZ$3,$O$3:$AA$3,0),FALSE)-VLOOKUP($AW132&amp;"初始",$O$3:$AA$63,MATCH(AZ$3,$O$3:$AA$3,0),FALSE))*VLOOKUP(VLOOKUP($AW132,坦克个性化设定!$B$18:$E$48,4,FALSE)&amp;$AX132,坦克属性分配比例,MATCH("部件比例",坦克属性分配比例标头,0),FALSE))*$AY132/VLOOKUP(VLOOKUP($AW132,坦克个性化设定!$B$18:$E$48,4,FALSE)&amp;$AX132,坦克属性分配比例,MATCH("升星次数",坦克属性分配比例标头,0),FALSE),0)</f>
        <v>979</v>
      </c>
      <c r="BA132" s="426">
        <f ca="1">ROUND(VLOOKUP($AW132&amp;"初始",$O$3:$AA$63,MATCH(BA$3,$O$3:$AA$3,0),FALSE)+(VLOOKUP($AW132&amp;"最终",$O$3:$AA$63,MATCH(BA$3,$O$3:$AA$3,0),FALSE)-VLOOKUP($AW132&amp;"初始",$O$3:$AA$63,MATCH(BA$3,$O$3:$AA$3,0),FALSE))*$AY132/VLOOKUP(VLOOKUP($AW132,坦克个性化设定!$B$18:$E$48,4,FALSE)&amp;$AX132,坦克属性分配比例,MATCH("升星次数",坦克属性分配比例标头,0),FALSE)*VLOOKUP(VLOOKUP($AW132,坦克个性化设定!$B$18:$E$48,4,FALSE)&amp;$AX132,坦克属性分配比例,MATCH("升星比例",坦克属性分配比例标头,0),FALSE),0)</f>
        <v>71</v>
      </c>
      <c r="BB132" s="486">
        <f ca="1">ROUND(VLOOKUP($AW132&amp;"初始",$O$3:$AA$63,MATCH(BB$3,$O$3:$AA$3,0),FALSE)+(VLOOKUP($AW132&amp;"最终",$O$3:$AA$63,MATCH(BB$3,$O$3:$AA$3,0),FALSE)-VLOOKUP($AW132&amp;"初始",$O$3:$AA$63,MATCH(BB$3,$O$3:$AA$3,0),FALSE))*$AY132/VLOOKUP(VLOOKUP($AW132,坦克个性化设定!$B$18:$E$48,4,FALSE)&amp;$AX132,坦克属性分配比例,MATCH("升星次数",坦克属性分配比例标头,0),FALSE)*(VLOOKUP(VLOOKUP($AW132,坦克个性化设定!$B$18:$E$48,4,FALSE)&amp;$AX132,坦克属性分配比例,MATCH("升星比例",坦克属性分配比例标头,0),FALSE)+VLOOKUP(VLOOKUP($AW132,坦克个性化设定!$B$18:$E$48,4,FALSE)&amp;$AX132,坦克属性分配比例,MATCH("部件比例",坦克属性分配比例标头,0),FALSE)*$C$3),0)</f>
        <v>343</v>
      </c>
      <c r="BC132" s="486">
        <f ca="1">ROUND(VLOOKUP($AW132&amp;"初始",$O$3:$AA$63,MATCH(BC$3,$O$3:$AA$3,0),FALSE)+(VLOOKUP($AW132&amp;"最终",$O$3:$AA$63,MATCH(BC$3,$O$3:$AA$3,0),FALSE)-VLOOKUP($AW132&amp;"初始",$O$3:$AA$63,MATCH(BC$3,$O$3:$AA$3,0),FALSE))*$AY132/VLOOKUP(VLOOKUP($AW132,坦克个性化设定!$B$18:$E$48,4,FALSE)&amp;$AX132,坦克属性分配比例,MATCH("升星次数",坦克属性分配比例标头,0),FALSE)*(VLOOKUP(VLOOKUP($AW132,坦克个性化设定!$B$18:$E$48,4,FALSE)&amp;$AX132,坦克属性分配比例,MATCH("升星比例",坦克属性分配比例标头,0),FALSE)+VLOOKUP(VLOOKUP($AW132,坦克个性化设定!$B$18:$E$48,4,FALSE)&amp;$AX132,坦克属性分配比例,MATCH("部件比例",坦克属性分配比例标头,0),FALSE)*$C$3),0)</f>
        <v>257</v>
      </c>
      <c r="BD132" s="426">
        <f ca="1">ROUND(VLOOKUP($AW132&amp;"初始",$O$3:$AA$63,MATCH(BD$3,$O$3:$AA$3,0),FALSE)+(VLOOKUP($AW132&amp;"最终",$O$3:$AA$63,MATCH(BD$3,$O$3:$AA$3,0),FALSE)-VLOOKUP($AW132&amp;"初始",$O$3:$AA$63,MATCH(BD$3,$O$3:$AA$3,0),FALSE))*$AY132/VLOOKUP(VLOOKUP($AW132,坦克个性化设定!$B$18:$E$48,4,FALSE)&amp;$AX132,坦克属性分配比例,MATCH("升星次数",坦克属性分配比例标头,0),FALSE)*VLOOKUP(VLOOKUP($AW132,坦克个性化设定!$B$18:$E$48,4,FALSE)&amp;$AX132,坦克属性分配比例,MATCH("升星比例",坦克属性分配比例标头,0),FALSE),0)</f>
        <v>432</v>
      </c>
      <c r="BE132" s="426">
        <f ca="1">ROUND(VLOOKUP($AW132&amp;"初始",$O$3:$AA$63,MATCH(BE$3,$O$3:$AA$3,0),FALSE)+(VLOOKUP($AW132&amp;"最终",$O$3:$AA$63,MATCH(BE$3,$O$3:$AA$3,0),FALSE)-VLOOKUP($AW132&amp;"初始",$O$3:$AA$63,MATCH(BE$3,$O$3:$AA$3,0),FALSE))*$AY132/VLOOKUP(VLOOKUP($AW132,坦克个性化设定!$B$18:$E$48,4,FALSE)&amp;$AX132,坦克属性分配比例,MATCH("升星次数",坦克属性分配比例标头,0),FALSE),0)</f>
        <v>106</v>
      </c>
      <c r="BF132" s="462">
        <f>ROUND(VLOOKUP($AW132,$AD$3:$AJ$33,MATCH(BF$3,$AD$3:$AJ$3,0),FALSE)+$AY132/VLOOKUP(VLOOKUP($AW132,坦克个性化设定!$B$18:$E$48,4,FALSE)&amp;$AX132,坦克属性分配比例,MATCH("升星次数",坦克属性分配比例标头,0),FALSE)*VLOOKUP($AW132,$AM$3:$AS$33,MATCH(BF$3,$AM$3:$AS$3,0),FALSE),1)</f>
        <v>44.5</v>
      </c>
      <c r="BG132" s="462">
        <f>ROUND(VLOOKUP($AW132,$AD$3:$AJ$33,MATCH(BG$3,$AD$3:$AJ$3,0),FALSE)+$AY132/VLOOKUP(VLOOKUP($AW132,坦克个性化设定!$B$18:$E$48,4,FALSE)&amp;$AX132,坦克属性分配比例,MATCH("升星次数",坦克属性分配比例标头,0),FALSE)*VLOOKUP($AW132,$AM$3:$AS$33,MATCH(BG$3,$AM$3:$AS$3,0),FALSE),1)</f>
        <v>40</v>
      </c>
      <c r="BH132" s="462">
        <f>ROUND(VLOOKUP($AW132,$AD$3:$AJ$33,MATCH(BH$3,$AD$3:$AJ$3,0),FALSE)+$AY132/VLOOKUP(VLOOKUP($AW132,坦克个性化设定!$B$18:$E$48,4,FALSE)&amp;$AX132,坦克属性分配比例,MATCH("升星次数",坦克属性分配比例标头,0),FALSE)*VLOOKUP($AW132,$AM$3:$AS$33,MATCH(BH$3,$AM$3:$AS$3,0),FALSE),1)</f>
        <v>12.3</v>
      </c>
      <c r="BI132" s="654">
        <f>IF(VLOOKUP(AW132,坦克个性化设定!$B$18:$BB$48,MATCH("装弹类型",坦克个性化设定!$B$18:$BB$18,0),FALSE)="弹夹换弹",0,ROUND(VLOOKUP($AW132,$AD$3:$AJ$33,MATCH("换弹时间",$AD$3:$AJ$3,0),FALSE)-$AY132/VLOOKUP(VLOOKUP($AW132,坦克个性化设定!$B$18:$E$48,4,FALSE)&amp;$AX132,坦克属性分配比例,MATCH("升星次数",坦克属性分配比例标头,0),FALSE)*VLOOKUP($AW132,$AM$3:$AS$33,MATCH("换弹时间",$AM$3:$AS$3,0),FALSE),2))</f>
        <v>0</v>
      </c>
      <c r="BJ132" s="462">
        <f>IF(VLOOKUP(AW132,坦克个性化设定!$B$18:$BB$48,MATCH("装弹类型",坦克个性化设定!$B$18:$BB$18,0),FALSE)="弹夹换弹",ROUND(VLOOKUP($AW132,$AD$3:$AJ$33,MATCH("换弹时间",$AD$3:$AJ$3,0),FALSE)-$AY132/VLOOKUP(VLOOKUP($AW132,坦克个性化设定!$B$18:$E$48,4,FALSE)&amp;$AX132,坦克属性分配比例,MATCH("升星次数",坦克属性分配比例标头,0),FALSE)*VLOOKUP($AW132,$AM$3:$AS$33,MATCH("换弹时间",$AM$3:$AS$3,0),FALSE),1),0)</f>
        <v>3</v>
      </c>
      <c r="BK132" s="462">
        <f>ROUND(VLOOKUP($AW132,$AD$3:$AJ$33,MATCH(BK$3,$AD$3:$AJ$3,0),FALSE)+$AY132/VLOOKUP(VLOOKUP($AW132,坦克个性化设定!$B$18:$E$48,4,FALSE)&amp;$AX132,坦克属性分配比例,MATCH("升星次数",坦克属性分配比例标头,0),FALSE)*VLOOKUP($AW132,$AM$3:$AS$33,MATCH(BK$3,$AM$3:$AS$3,0),FALSE),2)</f>
        <v>1.2</v>
      </c>
      <c r="BL132" s="462">
        <f>ROUND(VLOOKUP($AW132,$AD$3:$AJ$33,MATCH(BL$3,$AD$3:$AJ$3,0),FALSE)-$AY132/VLOOKUP(VLOOKUP($AW132,坦克个性化设定!$B$18:$E$48,4,FALSE)&amp;$AX132,坦克属性分配比例,MATCH("升星次数",坦克属性分配比例标头,0),FALSE)*VLOOKUP($AW132,$AM$3:$AS$33,MATCH(BL$3,$AM$3:$AS$3,0),FALSE),2)</f>
        <v>1.47</v>
      </c>
    </row>
    <row r="133" spans="47:64" x14ac:dyDescent="0.35">
      <c r="AU133" s="364" t="str">
        <f t="shared" ref="AU133:AU196" si="22">AW133&amp;AY133</f>
        <v>T-341</v>
      </c>
      <c r="AV133" s="183">
        <f>IF(AY132&gt;=VLOOKUP(VLOOKUP(AW132,坦克个性化设定!$B$18:$E$48,4,FALSE)&amp;AX132,坦克属性分配比例,MATCH("升星次数",坦克属性分配比例标头,0),FALSE),AV132+1,AV132)</f>
        <v>12</v>
      </c>
      <c r="AW133" s="131" t="str">
        <f t="shared" ref="AW133:AW196" si="23">VLOOKUP(AV133,$B$5:$C$35,2,FALSE)</f>
        <v>T-34</v>
      </c>
      <c r="AX133" s="177" t="str">
        <f>VLOOKUP(AW133,坦克个性化细分!$I$3:$J$33,2,FALSE)</f>
        <v>低</v>
      </c>
      <c r="AY133" s="183">
        <f t="shared" si="21"/>
        <v>1</v>
      </c>
      <c r="AZ133" s="486">
        <f ca="1">ROUND(VLOOKUP($AW133&amp;"初始",$O$3:$AA$63,MATCH(AZ$3,$O$3:$AA$3,0),FALSE)+((VLOOKUP($AW133&amp;"最终",$O$3:$AA$63,MATCH(AZ$3,$O$3:$AA$3,0),FALSE)*坦克个性化细分!$C$9-VLOOKUP($AW133&amp;"初始",$O$3:$AA$63,MATCH(AZ$3,$O$3:$AA$3,0),FALSE))-(VLOOKUP($AW133&amp;"最终",$O$3:$AA$63,MATCH(AZ$3,$O$3:$AA$3,0),FALSE)-VLOOKUP($AW133&amp;"初始",$O$3:$AA$63,MATCH(AZ$3,$O$3:$AA$3,0),FALSE))*VLOOKUP(VLOOKUP($AW133,坦克个性化设定!$B$18:$E$48,4,FALSE)&amp;$AX133,坦克属性分配比例,MATCH("部件比例",坦克属性分配比例标头,0),FALSE))*$AY133/VLOOKUP(VLOOKUP($AW133,坦克个性化设定!$B$18:$E$48,4,FALSE)&amp;$AX133,坦克属性分配比例,MATCH("升星次数",坦克属性分配比例标头,0),FALSE),0)</f>
        <v>1098</v>
      </c>
      <c r="BA133" s="426">
        <f ca="1">ROUND(VLOOKUP($AW133&amp;"初始",$O$3:$AA$63,MATCH(BA$3,$O$3:$AA$3,0),FALSE)+(VLOOKUP($AW133&amp;"最终",$O$3:$AA$63,MATCH(BA$3,$O$3:$AA$3,0),FALSE)-VLOOKUP($AW133&amp;"初始",$O$3:$AA$63,MATCH(BA$3,$O$3:$AA$3,0),FALSE))*$AY133/VLOOKUP(VLOOKUP($AW133,坦克个性化设定!$B$18:$E$48,4,FALSE)&amp;$AX133,坦克属性分配比例,MATCH("升星次数",坦克属性分配比例标头,0),FALSE)*VLOOKUP(VLOOKUP($AW133,坦克个性化设定!$B$18:$E$48,4,FALSE)&amp;$AX133,坦克属性分配比例,MATCH("升星比例",坦克属性分配比例标头,0),FALSE),0)</f>
        <v>74</v>
      </c>
      <c r="BB133" s="486">
        <f ca="1">ROUND(VLOOKUP($AW133&amp;"初始",$O$3:$AA$63,MATCH(BB$3,$O$3:$AA$3,0),FALSE)+(VLOOKUP($AW133&amp;"最终",$O$3:$AA$63,MATCH(BB$3,$O$3:$AA$3,0),FALSE)-VLOOKUP($AW133&amp;"初始",$O$3:$AA$63,MATCH(BB$3,$O$3:$AA$3,0),FALSE))*$AY133/VLOOKUP(VLOOKUP($AW133,坦克个性化设定!$B$18:$E$48,4,FALSE)&amp;$AX133,坦克属性分配比例,MATCH("升星次数",坦克属性分配比例标头,0),FALSE)*(VLOOKUP(VLOOKUP($AW133,坦克个性化设定!$B$18:$E$48,4,FALSE)&amp;$AX133,坦克属性分配比例,MATCH("升星比例",坦克属性分配比例标头,0),FALSE)+VLOOKUP(VLOOKUP($AW133,坦克个性化设定!$B$18:$E$48,4,FALSE)&amp;$AX133,坦克属性分配比例,MATCH("部件比例",坦克属性分配比例标头,0),FALSE)*$C$3),0)</f>
        <v>366</v>
      </c>
      <c r="BC133" s="486">
        <f ca="1">ROUND(VLOOKUP($AW133&amp;"初始",$O$3:$AA$63,MATCH(BC$3,$O$3:$AA$3,0),FALSE)+(VLOOKUP($AW133&amp;"最终",$O$3:$AA$63,MATCH(BC$3,$O$3:$AA$3,0),FALSE)-VLOOKUP($AW133&amp;"初始",$O$3:$AA$63,MATCH(BC$3,$O$3:$AA$3,0),FALSE))*$AY133/VLOOKUP(VLOOKUP($AW133,坦克个性化设定!$B$18:$E$48,4,FALSE)&amp;$AX133,坦克属性分配比例,MATCH("升星次数",坦克属性分配比例标头,0),FALSE)*(VLOOKUP(VLOOKUP($AW133,坦克个性化设定!$B$18:$E$48,4,FALSE)&amp;$AX133,坦克属性分配比例,MATCH("升星比例",坦克属性分配比例标头,0),FALSE)+VLOOKUP(VLOOKUP($AW133,坦克个性化设定!$B$18:$E$48,4,FALSE)&amp;$AX133,坦克属性分配比例,MATCH("部件比例",坦克属性分配比例标头,0),FALSE)*$C$3),0)</f>
        <v>275</v>
      </c>
      <c r="BD133" s="426">
        <f ca="1">ROUND(VLOOKUP($AW133&amp;"初始",$O$3:$AA$63,MATCH(BD$3,$O$3:$AA$3,0),FALSE)+(VLOOKUP($AW133&amp;"最终",$O$3:$AA$63,MATCH(BD$3,$O$3:$AA$3,0),FALSE)-VLOOKUP($AW133&amp;"初始",$O$3:$AA$63,MATCH(BD$3,$O$3:$AA$3,0),FALSE))*$AY133/VLOOKUP(VLOOKUP($AW133,坦克个性化设定!$B$18:$E$48,4,FALSE)&amp;$AX133,坦克属性分配比例,MATCH("升星次数",坦克属性分配比例标头,0),FALSE)*VLOOKUP(VLOOKUP($AW133,坦克个性化设定!$B$18:$E$48,4,FALSE)&amp;$AX133,坦克属性分配比例,MATCH("升星比例",坦克属性分配比例标头,0),FALSE),0)</f>
        <v>452</v>
      </c>
      <c r="BE133" s="426">
        <f ca="1">ROUND(VLOOKUP($AW133&amp;"初始",$O$3:$AA$63,MATCH(BE$3,$O$3:$AA$3,0),FALSE)+(VLOOKUP($AW133&amp;"最终",$O$3:$AA$63,MATCH(BE$3,$O$3:$AA$3,0),FALSE)-VLOOKUP($AW133&amp;"初始",$O$3:$AA$63,MATCH(BE$3,$O$3:$AA$3,0),FALSE))*$AY133/VLOOKUP(VLOOKUP($AW133,坦克个性化设定!$B$18:$E$48,4,FALSE)&amp;$AX133,坦克属性分配比例,MATCH("升星次数",坦克属性分配比例标头,0),FALSE),0)</f>
        <v>115</v>
      </c>
      <c r="BF133" s="462">
        <f>ROUND(VLOOKUP($AW133,$AD$3:$AJ$33,MATCH(BF$3,$AD$3:$AJ$3,0),FALSE)+$AY133/VLOOKUP(VLOOKUP($AW133,坦克个性化设定!$B$18:$E$48,4,FALSE)&amp;$AX133,坦克属性分配比例,MATCH("升星次数",坦克属性分配比例标头,0),FALSE)*VLOOKUP($AW133,$AM$3:$AS$33,MATCH(BF$3,$AM$3:$AS$3,0),FALSE),1)</f>
        <v>46.4</v>
      </c>
      <c r="BG133" s="462">
        <f>ROUND(VLOOKUP($AW133,$AD$3:$AJ$33,MATCH(BG$3,$AD$3:$AJ$3,0),FALSE)+$AY133/VLOOKUP(VLOOKUP($AW133,坦克个性化设定!$B$18:$E$48,4,FALSE)&amp;$AX133,坦克属性分配比例,MATCH("升星次数",坦克属性分配比例标头,0),FALSE)*VLOOKUP($AW133,$AM$3:$AS$33,MATCH(BG$3,$AM$3:$AS$3,0),FALSE),1)</f>
        <v>41.7</v>
      </c>
      <c r="BH133" s="462">
        <f>ROUND(VLOOKUP($AW133,$AD$3:$AJ$33,MATCH(BH$3,$AD$3:$AJ$3,0),FALSE)+$AY133/VLOOKUP(VLOOKUP($AW133,坦克个性化设定!$B$18:$E$48,4,FALSE)&amp;$AX133,坦克属性分配比例,MATCH("升星次数",坦克属性分配比例标头,0),FALSE)*VLOOKUP($AW133,$AM$3:$AS$33,MATCH(BH$3,$AM$3:$AS$3,0),FALSE),1)</f>
        <v>13</v>
      </c>
      <c r="BI133" s="654">
        <f>IF(VLOOKUP(AW133,坦克个性化设定!$B$18:$BB$48,MATCH("装弹类型",坦克个性化设定!$B$18:$BB$18,0),FALSE)="弹夹换弹",0,ROUND(VLOOKUP($AW133,$AD$3:$AJ$33,MATCH("换弹时间",$AD$3:$AJ$3,0),FALSE)-$AY133/VLOOKUP(VLOOKUP($AW133,坦克个性化设定!$B$18:$E$48,4,FALSE)&amp;$AX133,坦克属性分配比例,MATCH("升星次数",坦克属性分配比例标头,0),FALSE)*VLOOKUP($AW133,$AM$3:$AS$33,MATCH("换弹时间",$AM$3:$AS$3,0),FALSE),2))</f>
        <v>0</v>
      </c>
      <c r="BJ133" s="462">
        <f>IF(VLOOKUP(AW133,坦克个性化设定!$B$18:$BB$48,MATCH("装弹类型",坦克个性化设定!$B$18:$BB$18,0),FALSE)="弹夹换弹",ROUND(VLOOKUP($AW133,$AD$3:$AJ$33,MATCH("换弹时间",$AD$3:$AJ$3,0),FALSE)-$AY133/VLOOKUP(VLOOKUP($AW133,坦克个性化设定!$B$18:$E$48,4,FALSE)&amp;$AX133,坦克属性分配比例,MATCH("升星次数",坦克属性分配比例标头,0),FALSE)*VLOOKUP($AW133,$AM$3:$AS$33,MATCH("换弹时间",$AM$3:$AS$3,0),FALSE),1),0)</f>
        <v>2.8</v>
      </c>
      <c r="BK133" s="462">
        <f>ROUND(VLOOKUP($AW133,$AD$3:$AJ$33,MATCH(BK$3,$AD$3:$AJ$3,0),FALSE)+$AY133/VLOOKUP(VLOOKUP($AW133,坦克个性化设定!$B$18:$E$48,4,FALSE)&amp;$AX133,坦克属性分配比例,MATCH("升星次数",坦克属性分配比例标头,0),FALSE)*VLOOKUP($AW133,$AM$3:$AS$33,MATCH(BK$3,$AM$3:$AS$3,0),FALSE),2)</f>
        <v>1.17</v>
      </c>
      <c r="BL133" s="462">
        <f>ROUND(VLOOKUP($AW133,$AD$3:$AJ$33,MATCH(BL$3,$AD$3:$AJ$3,0),FALSE)-$AY133/VLOOKUP(VLOOKUP($AW133,坦克个性化设定!$B$18:$E$48,4,FALSE)&amp;$AX133,坦克属性分配比例,MATCH("升星次数",坦克属性分配比例标头,0),FALSE)*VLOOKUP($AW133,$AM$3:$AS$33,MATCH(BL$3,$AM$3:$AS$3,0),FALSE),2)</f>
        <v>1.43</v>
      </c>
    </row>
    <row r="134" spans="47:64" x14ac:dyDescent="0.35">
      <c r="AU134" s="364" t="str">
        <f t="shared" si="22"/>
        <v>T-342</v>
      </c>
      <c r="AV134" s="183">
        <f>IF(AY133&gt;=VLOOKUP(VLOOKUP(AW133,坦克个性化设定!$B$18:$E$48,4,FALSE)&amp;AX133,坦克属性分配比例,MATCH("升星次数",坦克属性分配比例标头,0),FALSE),AV133+1,AV133)</f>
        <v>12</v>
      </c>
      <c r="AW134" s="131" t="str">
        <f t="shared" si="23"/>
        <v>T-34</v>
      </c>
      <c r="AX134" s="177" t="str">
        <f>VLOOKUP(AW134,坦克个性化细分!$I$3:$J$33,2,FALSE)</f>
        <v>低</v>
      </c>
      <c r="AY134" s="183">
        <f t="shared" si="21"/>
        <v>2</v>
      </c>
      <c r="AZ134" s="486">
        <f ca="1">ROUND(VLOOKUP($AW134&amp;"初始",$O$3:$AA$63,MATCH(AZ$3,$O$3:$AA$3,0),FALSE)+((VLOOKUP($AW134&amp;"最终",$O$3:$AA$63,MATCH(AZ$3,$O$3:$AA$3,0),FALSE)*坦克个性化细分!$C$9-VLOOKUP($AW134&amp;"初始",$O$3:$AA$63,MATCH(AZ$3,$O$3:$AA$3,0),FALSE))-(VLOOKUP($AW134&amp;"最终",$O$3:$AA$63,MATCH(AZ$3,$O$3:$AA$3,0),FALSE)-VLOOKUP($AW134&amp;"初始",$O$3:$AA$63,MATCH(AZ$3,$O$3:$AA$3,0),FALSE))*VLOOKUP(VLOOKUP($AW134,坦克个性化设定!$B$18:$E$48,4,FALSE)&amp;$AX134,坦克属性分配比例,MATCH("部件比例",坦克属性分配比例标头,0),FALSE))*$AY134/VLOOKUP(VLOOKUP($AW134,坦克个性化设定!$B$18:$E$48,4,FALSE)&amp;$AX134,坦克属性分配比例,MATCH("升星次数",坦克属性分配比例标头,0),FALSE),0)</f>
        <v>1217</v>
      </c>
      <c r="BA134" s="426">
        <f ca="1">ROUND(VLOOKUP($AW134&amp;"初始",$O$3:$AA$63,MATCH(BA$3,$O$3:$AA$3,0),FALSE)+(VLOOKUP($AW134&amp;"最终",$O$3:$AA$63,MATCH(BA$3,$O$3:$AA$3,0),FALSE)-VLOOKUP($AW134&amp;"初始",$O$3:$AA$63,MATCH(BA$3,$O$3:$AA$3,0),FALSE))*$AY134/VLOOKUP(VLOOKUP($AW134,坦克个性化设定!$B$18:$E$48,4,FALSE)&amp;$AX134,坦克属性分配比例,MATCH("升星次数",坦克属性分配比例标头,0),FALSE)*VLOOKUP(VLOOKUP($AW134,坦克个性化设定!$B$18:$E$48,4,FALSE)&amp;$AX134,坦克属性分配比例,MATCH("升星比例",坦克属性分配比例标头,0),FALSE),0)</f>
        <v>78</v>
      </c>
      <c r="BB134" s="486">
        <f ca="1">ROUND(VLOOKUP($AW134&amp;"初始",$O$3:$AA$63,MATCH(BB$3,$O$3:$AA$3,0),FALSE)+(VLOOKUP($AW134&amp;"最终",$O$3:$AA$63,MATCH(BB$3,$O$3:$AA$3,0),FALSE)-VLOOKUP($AW134&amp;"初始",$O$3:$AA$63,MATCH(BB$3,$O$3:$AA$3,0),FALSE))*$AY134/VLOOKUP(VLOOKUP($AW134,坦克个性化设定!$B$18:$E$48,4,FALSE)&amp;$AX134,坦克属性分配比例,MATCH("升星次数",坦克属性分配比例标头,0),FALSE)*(VLOOKUP(VLOOKUP($AW134,坦克个性化设定!$B$18:$E$48,4,FALSE)&amp;$AX134,坦克属性分配比例,MATCH("升星比例",坦克属性分配比例标头,0),FALSE)+VLOOKUP(VLOOKUP($AW134,坦克个性化设定!$B$18:$E$48,4,FALSE)&amp;$AX134,坦克属性分配比例,MATCH("部件比例",坦克属性分配比例标头,0),FALSE)*$C$3),0)</f>
        <v>390</v>
      </c>
      <c r="BC134" s="486">
        <f ca="1">ROUND(VLOOKUP($AW134&amp;"初始",$O$3:$AA$63,MATCH(BC$3,$O$3:$AA$3,0),FALSE)+(VLOOKUP($AW134&amp;"最终",$O$3:$AA$63,MATCH(BC$3,$O$3:$AA$3,0),FALSE)-VLOOKUP($AW134&amp;"初始",$O$3:$AA$63,MATCH(BC$3,$O$3:$AA$3,0),FALSE))*$AY134/VLOOKUP(VLOOKUP($AW134,坦克个性化设定!$B$18:$E$48,4,FALSE)&amp;$AX134,坦克属性分配比例,MATCH("升星次数",坦克属性分配比例标头,0),FALSE)*(VLOOKUP(VLOOKUP($AW134,坦克个性化设定!$B$18:$E$48,4,FALSE)&amp;$AX134,坦克属性分配比例,MATCH("升星比例",坦克属性分配比例标头,0),FALSE)+VLOOKUP(VLOOKUP($AW134,坦克个性化设定!$B$18:$E$48,4,FALSE)&amp;$AX134,坦克属性分配比例,MATCH("部件比例",坦克属性分配比例标头,0),FALSE)*$C$3),0)</f>
        <v>292</v>
      </c>
      <c r="BD134" s="426">
        <f ca="1">ROUND(VLOOKUP($AW134&amp;"初始",$O$3:$AA$63,MATCH(BD$3,$O$3:$AA$3,0),FALSE)+(VLOOKUP($AW134&amp;"最终",$O$3:$AA$63,MATCH(BD$3,$O$3:$AA$3,0),FALSE)-VLOOKUP($AW134&amp;"初始",$O$3:$AA$63,MATCH(BD$3,$O$3:$AA$3,0),FALSE))*$AY134/VLOOKUP(VLOOKUP($AW134,坦克个性化设定!$B$18:$E$48,4,FALSE)&amp;$AX134,坦克属性分配比例,MATCH("升星次数",坦克属性分配比例标头,0),FALSE)*VLOOKUP(VLOOKUP($AW134,坦克个性化设定!$B$18:$E$48,4,FALSE)&amp;$AX134,坦克属性分配比例,MATCH("升星比例",坦克属性分配比例标头,0),FALSE),0)</f>
        <v>472</v>
      </c>
      <c r="BE134" s="426">
        <f ca="1">ROUND(VLOOKUP($AW134&amp;"初始",$O$3:$AA$63,MATCH(BE$3,$O$3:$AA$3,0),FALSE)+(VLOOKUP($AW134&amp;"最终",$O$3:$AA$63,MATCH(BE$3,$O$3:$AA$3,0),FALSE)-VLOOKUP($AW134&amp;"初始",$O$3:$AA$63,MATCH(BE$3,$O$3:$AA$3,0),FALSE))*$AY134/VLOOKUP(VLOOKUP($AW134,坦克个性化设定!$B$18:$E$48,4,FALSE)&amp;$AX134,坦克属性分配比例,MATCH("升星次数",坦克属性分配比例标头,0),FALSE),0)</f>
        <v>123</v>
      </c>
      <c r="BF134" s="462">
        <f>ROUND(VLOOKUP($AW134,$AD$3:$AJ$33,MATCH(BF$3,$AD$3:$AJ$3,0),FALSE)+$AY134/VLOOKUP(VLOOKUP($AW134,坦克个性化设定!$B$18:$E$48,4,FALSE)&amp;$AX134,坦克属性分配比例,MATCH("升星次数",坦克属性分配比例标头,0),FALSE)*VLOOKUP($AW134,$AM$3:$AS$33,MATCH(BF$3,$AM$3:$AS$3,0),FALSE),1)</f>
        <v>48.2</v>
      </c>
      <c r="BG134" s="462">
        <f>ROUND(VLOOKUP($AW134,$AD$3:$AJ$33,MATCH(BG$3,$AD$3:$AJ$3,0),FALSE)+$AY134/VLOOKUP(VLOOKUP($AW134,坦克个性化设定!$B$18:$E$48,4,FALSE)&amp;$AX134,坦克属性分配比例,MATCH("升星次数",坦克属性分配比例标头,0),FALSE)*VLOOKUP($AW134,$AM$3:$AS$33,MATCH(BG$3,$AM$3:$AS$3,0),FALSE),1)</f>
        <v>43.3</v>
      </c>
      <c r="BH134" s="462">
        <f>ROUND(VLOOKUP($AW134,$AD$3:$AJ$33,MATCH(BH$3,$AD$3:$AJ$3,0),FALSE)+$AY134/VLOOKUP(VLOOKUP($AW134,坦克个性化设定!$B$18:$E$48,4,FALSE)&amp;$AX134,坦克属性分配比例,MATCH("升星次数",坦克属性分配比例标头,0),FALSE)*VLOOKUP($AW134,$AM$3:$AS$33,MATCH(BH$3,$AM$3:$AS$3,0),FALSE),1)</f>
        <v>13.6</v>
      </c>
      <c r="BI134" s="654">
        <f>IF(VLOOKUP(AW134,坦克个性化设定!$B$18:$BB$48,MATCH("装弹类型",坦克个性化设定!$B$18:$BB$18,0),FALSE)="弹夹换弹",0,ROUND(VLOOKUP($AW134,$AD$3:$AJ$33,MATCH("换弹时间",$AD$3:$AJ$3,0),FALSE)-$AY134/VLOOKUP(VLOOKUP($AW134,坦克个性化设定!$B$18:$E$48,4,FALSE)&amp;$AX134,坦克属性分配比例,MATCH("升星次数",坦克属性分配比例标头,0),FALSE)*VLOOKUP($AW134,$AM$3:$AS$33,MATCH("换弹时间",$AM$3:$AS$3,0),FALSE),2))</f>
        <v>0</v>
      </c>
      <c r="BJ134" s="462">
        <f>IF(VLOOKUP(AW134,坦克个性化设定!$B$18:$BB$48,MATCH("装弹类型",坦克个性化设定!$B$18:$BB$18,0),FALSE)="弹夹换弹",ROUND(VLOOKUP($AW134,$AD$3:$AJ$33,MATCH("换弹时间",$AD$3:$AJ$3,0),FALSE)-$AY134/VLOOKUP(VLOOKUP($AW134,坦克个性化设定!$B$18:$E$48,4,FALSE)&amp;$AX134,坦克属性分配比例,MATCH("升星次数",坦克属性分配比例标头,0),FALSE)*VLOOKUP($AW134,$AM$3:$AS$33,MATCH("换弹时间",$AM$3:$AS$3,0),FALSE),1),0)</f>
        <v>2.6</v>
      </c>
      <c r="BK134" s="462">
        <f>ROUND(VLOOKUP($AW134,$AD$3:$AJ$33,MATCH(BK$3,$AD$3:$AJ$3,0),FALSE)+$AY134/VLOOKUP(VLOOKUP($AW134,坦克个性化设定!$B$18:$E$48,4,FALSE)&amp;$AX134,坦克属性分配比例,MATCH("升星次数",坦克属性分配比例标头,0),FALSE)*VLOOKUP($AW134,$AM$3:$AS$33,MATCH(BK$3,$AM$3:$AS$3,0),FALSE),2)</f>
        <v>1.1299999999999999</v>
      </c>
      <c r="BL134" s="462">
        <f>ROUND(VLOOKUP($AW134,$AD$3:$AJ$33,MATCH(BL$3,$AD$3:$AJ$3,0),FALSE)-$AY134/VLOOKUP(VLOOKUP($AW134,坦克个性化设定!$B$18:$E$48,4,FALSE)&amp;$AX134,坦克属性分配比例,MATCH("升星次数",坦克属性分配比例标头,0),FALSE)*VLOOKUP($AW134,$AM$3:$AS$33,MATCH(BL$3,$AM$3:$AS$3,0),FALSE),2)</f>
        <v>1.39</v>
      </c>
    </row>
    <row r="135" spans="47:64" x14ac:dyDescent="0.35">
      <c r="AU135" s="364" t="str">
        <f t="shared" si="22"/>
        <v>T-343</v>
      </c>
      <c r="AV135" s="183">
        <f>IF(AY134&gt;=VLOOKUP(VLOOKUP(AW134,坦克个性化设定!$B$18:$E$48,4,FALSE)&amp;AX134,坦克属性分配比例,MATCH("升星次数",坦克属性分配比例标头,0),FALSE),AV134+1,AV134)</f>
        <v>12</v>
      </c>
      <c r="AW135" s="131" t="str">
        <f t="shared" si="23"/>
        <v>T-34</v>
      </c>
      <c r="AX135" s="177" t="str">
        <f>VLOOKUP(AW135,坦克个性化细分!$I$3:$J$33,2,FALSE)</f>
        <v>低</v>
      </c>
      <c r="AY135" s="183">
        <f t="shared" si="21"/>
        <v>3</v>
      </c>
      <c r="AZ135" s="486">
        <f ca="1">ROUND(VLOOKUP($AW135&amp;"初始",$O$3:$AA$63,MATCH(AZ$3,$O$3:$AA$3,0),FALSE)+((VLOOKUP($AW135&amp;"最终",$O$3:$AA$63,MATCH(AZ$3,$O$3:$AA$3,0),FALSE)*坦克个性化细分!$C$9-VLOOKUP($AW135&amp;"初始",$O$3:$AA$63,MATCH(AZ$3,$O$3:$AA$3,0),FALSE))-(VLOOKUP($AW135&amp;"最终",$O$3:$AA$63,MATCH(AZ$3,$O$3:$AA$3,0),FALSE)-VLOOKUP($AW135&amp;"初始",$O$3:$AA$63,MATCH(AZ$3,$O$3:$AA$3,0),FALSE))*VLOOKUP(VLOOKUP($AW135,坦克个性化设定!$B$18:$E$48,4,FALSE)&amp;$AX135,坦克属性分配比例,MATCH("部件比例",坦克属性分配比例标头,0),FALSE))*$AY135/VLOOKUP(VLOOKUP($AW135,坦克个性化设定!$B$18:$E$48,4,FALSE)&amp;$AX135,坦克属性分配比例,MATCH("升星次数",坦克属性分配比例标头,0),FALSE),0)</f>
        <v>1336</v>
      </c>
      <c r="BA135" s="426">
        <f ca="1">ROUND(VLOOKUP($AW135&amp;"初始",$O$3:$AA$63,MATCH(BA$3,$O$3:$AA$3,0),FALSE)+(VLOOKUP($AW135&amp;"最终",$O$3:$AA$63,MATCH(BA$3,$O$3:$AA$3,0),FALSE)-VLOOKUP($AW135&amp;"初始",$O$3:$AA$63,MATCH(BA$3,$O$3:$AA$3,0),FALSE))*$AY135/VLOOKUP(VLOOKUP($AW135,坦克个性化设定!$B$18:$E$48,4,FALSE)&amp;$AX135,坦克属性分配比例,MATCH("升星次数",坦克属性分配比例标头,0),FALSE)*VLOOKUP(VLOOKUP($AW135,坦克个性化设定!$B$18:$E$48,4,FALSE)&amp;$AX135,坦克属性分配比例,MATCH("升星比例",坦克属性分配比例标头,0),FALSE),0)</f>
        <v>81</v>
      </c>
      <c r="BB135" s="486">
        <f ca="1">ROUND(VLOOKUP($AW135&amp;"初始",$O$3:$AA$63,MATCH(BB$3,$O$3:$AA$3,0),FALSE)+(VLOOKUP($AW135&amp;"最终",$O$3:$AA$63,MATCH(BB$3,$O$3:$AA$3,0),FALSE)-VLOOKUP($AW135&amp;"初始",$O$3:$AA$63,MATCH(BB$3,$O$3:$AA$3,0),FALSE))*$AY135/VLOOKUP(VLOOKUP($AW135,坦克个性化设定!$B$18:$E$48,4,FALSE)&amp;$AX135,坦克属性分配比例,MATCH("升星次数",坦克属性分配比例标头,0),FALSE)*(VLOOKUP(VLOOKUP($AW135,坦克个性化设定!$B$18:$E$48,4,FALSE)&amp;$AX135,坦克属性分配比例,MATCH("升星比例",坦克属性分配比例标头,0),FALSE)+VLOOKUP(VLOOKUP($AW135,坦克个性化设定!$B$18:$E$48,4,FALSE)&amp;$AX135,坦克属性分配比例,MATCH("部件比例",坦克属性分配比例标头,0),FALSE)*$C$3),0)</f>
        <v>413</v>
      </c>
      <c r="BC135" s="486">
        <f ca="1">ROUND(VLOOKUP($AW135&amp;"初始",$O$3:$AA$63,MATCH(BC$3,$O$3:$AA$3,0),FALSE)+(VLOOKUP($AW135&amp;"最终",$O$3:$AA$63,MATCH(BC$3,$O$3:$AA$3,0),FALSE)-VLOOKUP($AW135&amp;"初始",$O$3:$AA$63,MATCH(BC$3,$O$3:$AA$3,0),FALSE))*$AY135/VLOOKUP(VLOOKUP($AW135,坦克个性化设定!$B$18:$E$48,4,FALSE)&amp;$AX135,坦克属性分配比例,MATCH("升星次数",坦克属性分配比例标头,0),FALSE)*(VLOOKUP(VLOOKUP($AW135,坦克个性化设定!$B$18:$E$48,4,FALSE)&amp;$AX135,坦克属性分配比例,MATCH("升星比例",坦克属性分配比例标头,0),FALSE)+VLOOKUP(VLOOKUP($AW135,坦克个性化设定!$B$18:$E$48,4,FALSE)&amp;$AX135,坦克属性分配比例,MATCH("部件比例",坦克属性分配比例标头,0),FALSE)*$C$3),0)</f>
        <v>310</v>
      </c>
      <c r="BD135" s="426">
        <f ca="1">ROUND(VLOOKUP($AW135&amp;"初始",$O$3:$AA$63,MATCH(BD$3,$O$3:$AA$3,0),FALSE)+(VLOOKUP($AW135&amp;"最终",$O$3:$AA$63,MATCH(BD$3,$O$3:$AA$3,0),FALSE)-VLOOKUP($AW135&amp;"初始",$O$3:$AA$63,MATCH(BD$3,$O$3:$AA$3,0),FALSE))*$AY135/VLOOKUP(VLOOKUP($AW135,坦克个性化设定!$B$18:$E$48,4,FALSE)&amp;$AX135,坦克属性分配比例,MATCH("升星次数",坦克属性分配比例标头,0),FALSE)*VLOOKUP(VLOOKUP($AW135,坦克个性化设定!$B$18:$E$48,4,FALSE)&amp;$AX135,坦克属性分配比例,MATCH("升星比例",坦克属性分配比例标头,0),FALSE),0)</f>
        <v>492</v>
      </c>
      <c r="BE135" s="426">
        <f ca="1">ROUND(VLOOKUP($AW135&amp;"初始",$O$3:$AA$63,MATCH(BE$3,$O$3:$AA$3,0),FALSE)+(VLOOKUP($AW135&amp;"最终",$O$3:$AA$63,MATCH(BE$3,$O$3:$AA$3,0),FALSE)-VLOOKUP($AW135&amp;"初始",$O$3:$AA$63,MATCH(BE$3,$O$3:$AA$3,0),FALSE))*$AY135/VLOOKUP(VLOOKUP($AW135,坦克个性化设定!$B$18:$E$48,4,FALSE)&amp;$AX135,坦克属性分配比例,MATCH("升星次数",坦克属性分配比例标头,0),FALSE),0)</f>
        <v>132</v>
      </c>
      <c r="BF135" s="462">
        <f>ROUND(VLOOKUP($AW135,$AD$3:$AJ$33,MATCH(BF$3,$AD$3:$AJ$3,0),FALSE)+$AY135/VLOOKUP(VLOOKUP($AW135,坦克个性化设定!$B$18:$E$48,4,FALSE)&amp;$AX135,坦克属性分配比例,MATCH("升星次数",坦克属性分配比例标头,0),FALSE)*VLOOKUP($AW135,$AM$3:$AS$33,MATCH(BF$3,$AM$3:$AS$3,0),FALSE),1)</f>
        <v>50.1</v>
      </c>
      <c r="BG135" s="462">
        <f>ROUND(VLOOKUP($AW135,$AD$3:$AJ$33,MATCH(BG$3,$AD$3:$AJ$3,0),FALSE)+$AY135/VLOOKUP(VLOOKUP($AW135,坦克个性化设定!$B$18:$E$48,4,FALSE)&amp;$AX135,坦克属性分配比例,MATCH("升星次数",坦克属性分配比例标头,0),FALSE)*VLOOKUP($AW135,$AM$3:$AS$33,MATCH(BG$3,$AM$3:$AS$3,0),FALSE),1)</f>
        <v>45</v>
      </c>
      <c r="BH135" s="462">
        <f>ROUND(VLOOKUP($AW135,$AD$3:$AJ$33,MATCH(BH$3,$AD$3:$AJ$3,0),FALSE)+$AY135/VLOOKUP(VLOOKUP($AW135,坦克个性化设定!$B$18:$E$48,4,FALSE)&amp;$AX135,坦克属性分配比例,MATCH("升星次数",坦克属性分配比例标头,0),FALSE)*VLOOKUP($AW135,$AM$3:$AS$33,MATCH(BH$3,$AM$3:$AS$3,0),FALSE),1)</f>
        <v>14.3</v>
      </c>
      <c r="BI135" s="654">
        <f>IF(VLOOKUP(AW135,坦克个性化设定!$B$18:$BB$48,MATCH("装弹类型",坦克个性化设定!$B$18:$BB$18,0),FALSE)="弹夹换弹",0,ROUND(VLOOKUP($AW135,$AD$3:$AJ$33,MATCH("换弹时间",$AD$3:$AJ$3,0),FALSE)-$AY135/VLOOKUP(VLOOKUP($AW135,坦克个性化设定!$B$18:$E$48,4,FALSE)&amp;$AX135,坦克属性分配比例,MATCH("升星次数",坦克属性分配比例标头,0),FALSE)*VLOOKUP($AW135,$AM$3:$AS$33,MATCH("换弹时间",$AM$3:$AS$3,0),FALSE),2))</f>
        <v>0</v>
      </c>
      <c r="BJ135" s="462">
        <f>IF(VLOOKUP(AW135,坦克个性化设定!$B$18:$BB$48,MATCH("装弹类型",坦克个性化设定!$B$18:$BB$18,0),FALSE)="弹夹换弹",ROUND(VLOOKUP($AW135,$AD$3:$AJ$33,MATCH("换弹时间",$AD$3:$AJ$3,0),FALSE)-$AY135/VLOOKUP(VLOOKUP($AW135,坦克个性化设定!$B$18:$E$48,4,FALSE)&amp;$AX135,坦克属性分配比例,MATCH("升星次数",坦克属性分配比例标头,0),FALSE)*VLOOKUP($AW135,$AM$3:$AS$33,MATCH("换弹时间",$AM$3:$AS$3,0),FALSE),1),0)</f>
        <v>2.4</v>
      </c>
      <c r="BK135" s="462">
        <f>ROUND(VLOOKUP($AW135,$AD$3:$AJ$33,MATCH(BK$3,$AD$3:$AJ$3,0),FALSE)+$AY135/VLOOKUP(VLOOKUP($AW135,坦克个性化设定!$B$18:$E$48,4,FALSE)&amp;$AX135,坦克属性分配比例,MATCH("升星次数",坦克属性分配比例标头,0),FALSE)*VLOOKUP($AW135,$AM$3:$AS$33,MATCH(BK$3,$AM$3:$AS$3,0),FALSE),2)</f>
        <v>1.1000000000000001</v>
      </c>
      <c r="BL135" s="462">
        <f>ROUND(VLOOKUP($AW135,$AD$3:$AJ$33,MATCH(BL$3,$AD$3:$AJ$3,0),FALSE)-$AY135/VLOOKUP(VLOOKUP($AW135,坦克个性化设定!$B$18:$E$48,4,FALSE)&amp;$AX135,坦克属性分配比例,MATCH("升星次数",坦克属性分配比例标头,0),FALSE)*VLOOKUP($AW135,$AM$3:$AS$33,MATCH(BL$3,$AM$3:$AS$3,0),FALSE),2)</f>
        <v>1.34</v>
      </c>
    </row>
    <row r="136" spans="47:64" x14ac:dyDescent="0.35">
      <c r="AU136" s="364" t="str">
        <f t="shared" si="22"/>
        <v>T-344</v>
      </c>
      <c r="AV136" s="183">
        <f>IF(AY135&gt;=VLOOKUP(VLOOKUP(AW135,坦克个性化设定!$B$18:$E$48,4,FALSE)&amp;AX135,坦克属性分配比例,MATCH("升星次数",坦克属性分配比例标头,0),FALSE),AV135+1,AV135)</f>
        <v>12</v>
      </c>
      <c r="AW136" s="131" t="str">
        <f t="shared" si="23"/>
        <v>T-34</v>
      </c>
      <c r="AX136" s="177" t="str">
        <f>VLOOKUP(AW136,坦克个性化细分!$I$3:$J$33,2,FALSE)</f>
        <v>低</v>
      </c>
      <c r="AY136" s="183">
        <f t="shared" si="21"/>
        <v>4</v>
      </c>
      <c r="AZ136" s="486">
        <f ca="1">ROUND(VLOOKUP($AW136&amp;"初始",$O$3:$AA$63,MATCH(AZ$3,$O$3:$AA$3,0),FALSE)+((VLOOKUP($AW136&amp;"最终",$O$3:$AA$63,MATCH(AZ$3,$O$3:$AA$3,0),FALSE)*坦克个性化细分!$C$9-VLOOKUP($AW136&amp;"初始",$O$3:$AA$63,MATCH(AZ$3,$O$3:$AA$3,0),FALSE))-(VLOOKUP($AW136&amp;"最终",$O$3:$AA$63,MATCH(AZ$3,$O$3:$AA$3,0),FALSE)-VLOOKUP($AW136&amp;"初始",$O$3:$AA$63,MATCH(AZ$3,$O$3:$AA$3,0),FALSE))*VLOOKUP(VLOOKUP($AW136,坦克个性化设定!$B$18:$E$48,4,FALSE)&amp;$AX136,坦克属性分配比例,MATCH("部件比例",坦克属性分配比例标头,0),FALSE))*$AY136/VLOOKUP(VLOOKUP($AW136,坦克个性化设定!$B$18:$E$48,4,FALSE)&amp;$AX136,坦克属性分配比例,MATCH("升星次数",坦克属性分配比例标头,0),FALSE),0)</f>
        <v>1455</v>
      </c>
      <c r="BA136" s="426">
        <f ca="1">ROUND(VLOOKUP($AW136&amp;"初始",$O$3:$AA$63,MATCH(BA$3,$O$3:$AA$3,0),FALSE)+(VLOOKUP($AW136&amp;"最终",$O$3:$AA$63,MATCH(BA$3,$O$3:$AA$3,0),FALSE)-VLOOKUP($AW136&amp;"初始",$O$3:$AA$63,MATCH(BA$3,$O$3:$AA$3,0),FALSE))*$AY136/VLOOKUP(VLOOKUP($AW136,坦克个性化设定!$B$18:$E$48,4,FALSE)&amp;$AX136,坦克属性分配比例,MATCH("升星次数",坦克属性分配比例标头,0),FALSE)*VLOOKUP(VLOOKUP($AW136,坦克个性化设定!$B$18:$E$48,4,FALSE)&amp;$AX136,坦克属性分配比例,MATCH("升星比例",坦克属性分配比例标头,0),FALSE),0)</f>
        <v>84</v>
      </c>
      <c r="BB136" s="486">
        <f ca="1">ROUND(VLOOKUP($AW136&amp;"初始",$O$3:$AA$63,MATCH(BB$3,$O$3:$AA$3,0),FALSE)+(VLOOKUP($AW136&amp;"最终",$O$3:$AA$63,MATCH(BB$3,$O$3:$AA$3,0),FALSE)-VLOOKUP($AW136&amp;"初始",$O$3:$AA$63,MATCH(BB$3,$O$3:$AA$3,0),FALSE))*$AY136/VLOOKUP(VLOOKUP($AW136,坦克个性化设定!$B$18:$E$48,4,FALSE)&amp;$AX136,坦克属性分配比例,MATCH("升星次数",坦克属性分配比例标头,0),FALSE)*(VLOOKUP(VLOOKUP($AW136,坦克个性化设定!$B$18:$E$48,4,FALSE)&amp;$AX136,坦克属性分配比例,MATCH("升星比例",坦克属性分配比例标头,0),FALSE)+VLOOKUP(VLOOKUP($AW136,坦克个性化设定!$B$18:$E$48,4,FALSE)&amp;$AX136,坦克属性分配比例,MATCH("部件比例",坦克属性分配比例标头,0),FALSE)*$C$3),0)</f>
        <v>437</v>
      </c>
      <c r="BC136" s="486">
        <f ca="1">ROUND(VLOOKUP($AW136&amp;"初始",$O$3:$AA$63,MATCH(BC$3,$O$3:$AA$3,0),FALSE)+(VLOOKUP($AW136&amp;"最终",$O$3:$AA$63,MATCH(BC$3,$O$3:$AA$3,0),FALSE)-VLOOKUP($AW136&amp;"初始",$O$3:$AA$63,MATCH(BC$3,$O$3:$AA$3,0),FALSE))*$AY136/VLOOKUP(VLOOKUP($AW136,坦克个性化设定!$B$18:$E$48,4,FALSE)&amp;$AX136,坦克属性分配比例,MATCH("升星次数",坦克属性分配比例标头,0),FALSE)*(VLOOKUP(VLOOKUP($AW136,坦克个性化设定!$B$18:$E$48,4,FALSE)&amp;$AX136,坦克属性分配比例,MATCH("升星比例",坦克属性分配比例标头,0),FALSE)+VLOOKUP(VLOOKUP($AW136,坦克个性化设定!$B$18:$E$48,4,FALSE)&amp;$AX136,坦克属性分配比例,MATCH("部件比例",坦克属性分配比例标头,0),FALSE)*$C$3),0)</f>
        <v>328</v>
      </c>
      <c r="BD136" s="426">
        <f ca="1">ROUND(VLOOKUP($AW136&amp;"初始",$O$3:$AA$63,MATCH(BD$3,$O$3:$AA$3,0),FALSE)+(VLOOKUP($AW136&amp;"最终",$O$3:$AA$63,MATCH(BD$3,$O$3:$AA$3,0),FALSE)-VLOOKUP($AW136&amp;"初始",$O$3:$AA$63,MATCH(BD$3,$O$3:$AA$3,0),FALSE))*$AY136/VLOOKUP(VLOOKUP($AW136,坦克个性化设定!$B$18:$E$48,4,FALSE)&amp;$AX136,坦克属性分配比例,MATCH("升星次数",坦克属性分配比例标头,0),FALSE)*VLOOKUP(VLOOKUP($AW136,坦克个性化设定!$B$18:$E$48,4,FALSE)&amp;$AX136,坦克属性分配比例,MATCH("升星比例",坦克属性分配比例标头,0),FALSE),0)</f>
        <v>512</v>
      </c>
      <c r="BE136" s="426">
        <f ca="1">ROUND(VLOOKUP($AW136&amp;"初始",$O$3:$AA$63,MATCH(BE$3,$O$3:$AA$3,0),FALSE)+(VLOOKUP($AW136&amp;"最终",$O$3:$AA$63,MATCH(BE$3,$O$3:$AA$3,0),FALSE)-VLOOKUP($AW136&amp;"初始",$O$3:$AA$63,MATCH(BE$3,$O$3:$AA$3,0),FALSE))*$AY136/VLOOKUP(VLOOKUP($AW136,坦克个性化设定!$B$18:$E$48,4,FALSE)&amp;$AX136,坦克属性分配比例,MATCH("升星次数",坦克属性分配比例标头,0),FALSE),0)</f>
        <v>141</v>
      </c>
      <c r="BF136" s="462">
        <f>ROUND(VLOOKUP($AW136,$AD$3:$AJ$33,MATCH(BF$3,$AD$3:$AJ$3,0),FALSE)+$AY136/VLOOKUP(VLOOKUP($AW136,坦克个性化设定!$B$18:$E$48,4,FALSE)&amp;$AX136,坦克属性分配比例,MATCH("升星次数",坦克属性分配比例标头,0),FALSE)*VLOOKUP($AW136,$AM$3:$AS$33,MATCH(BF$3,$AM$3:$AS$3,0),FALSE),1)</f>
        <v>51.9</v>
      </c>
      <c r="BG136" s="462">
        <f>ROUND(VLOOKUP($AW136,$AD$3:$AJ$33,MATCH(BG$3,$AD$3:$AJ$3,0),FALSE)+$AY136/VLOOKUP(VLOOKUP($AW136,坦克个性化设定!$B$18:$E$48,4,FALSE)&amp;$AX136,坦克属性分配比例,MATCH("升星次数",坦克属性分配比例标头,0),FALSE)*VLOOKUP($AW136,$AM$3:$AS$33,MATCH(BG$3,$AM$3:$AS$3,0),FALSE),1)</f>
        <v>46.7</v>
      </c>
      <c r="BH136" s="462">
        <f>ROUND(VLOOKUP($AW136,$AD$3:$AJ$33,MATCH(BH$3,$AD$3:$AJ$3,0),FALSE)+$AY136/VLOOKUP(VLOOKUP($AW136,坦克个性化设定!$B$18:$E$48,4,FALSE)&amp;$AX136,坦克属性分配比例,MATCH("升星次数",坦克属性分配比例标头,0),FALSE)*VLOOKUP($AW136,$AM$3:$AS$33,MATCH(BH$3,$AM$3:$AS$3,0),FALSE),1)</f>
        <v>15</v>
      </c>
      <c r="BI136" s="654">
        <f>IF(VLOOKUP(AW136,坦克个性化设定!$B$18:$BB$48,MATCH("装弹类型",坦克个性化设定!$B$18:$BB$18,0),FALSE)="弹夹换弹",0,ROUND(VLOOKUP($AW136,$AD$3:$AJ$33,MATCH("换弹时间",$AD$3:$AJ$3,0),FALSE)-$AY136/VLOOKUP(VLOOKUP($AW136,坦克个性化设定!$B$18:$E$48,4,FALSE)&amp;$AX136,坦克属性分配比例,MATCH("升星次数",坦克属性分配比例标头,0),FALSE)*VLOOKUP($AW136,$AM$3:$AS$33,MATCH("换弹时间",$AM$3:$AS$3,0),FALSE),2))</f>
        <v>0</v>
      </c>
      <c r="BJ136" s="462">
        <f>IF(VLOOKUP(AW136,坦克个性化设定!$B$18:$BB$48,MATCH("装弹类型",坦克个性化设定!$B$18:$BB$18,0),FALSE)="弹夹换弹",ROUND(VLOOKUP($AW136,$AD$3:$AJ$33,MATCH("换弹时间",$AD$3:$AJ$3,0),FALSE)-$AY136/VLOOKUP(VLOOKUP($AW136,坦克个性化设定!$B$18:$E$48,4,FALSE)&amp;$AX136,坦克属性分配比例,MATCH("升星次数",坦克属性分配比例标头,0),FALSE)*VLOOKUP($AW136,$AM$3:$AS$33,MATCH("换弹时间",$AM$3:$AS$3,0),FALSE),1),0)</f>
        <v>2.2000000000000002</v>
      </c>
      <c r="BK136" s="462">
        <f>ROUND(VLOOKUP($AW136,$AD$3:$AJ$33,MATCH(BK$3,$AD$3:$AJ$3,0),FALSE)+$AY136/VLOOKUP(VLOOKUP($AW136,坦克个性化设定!$B$18:$E$48,4,FALSE)&amp;$AX136,坦克属性分配比例,MATCH("升星次数",坦克属性分配比例标头,0),FALSE)*VLOOKUP($AW136,$AM$3:$AS$33,MATCH(BK$3,$AM$3:$AS$3,0),FALSE),2)</f>
        <v>1.07</v>
      </c>
      <c r="BL136" s="462">
        <f>ROUND(VLOOKUP($AW136,$AD$3:$AJ$33,MATCH(BL$3,$AD$3:$AJ$3,0),FALSE)-$AY136/VLOOKUP(VLOOKUP($AW136,坦克个性化设定!$B$18:$E$48,4,FALSE)&amp;$AX136,坦克属性分配比例,MATCH("升星次数",坦克属性分配比例标头,0),FALSE)*VLOOKUP($AW136,$AM$3:$AS$33,MATCH(BL$3,$AM$3:$AS$3,0),FALSE),2)</f>
        <v>1.3</v>
      </c>
    </row>
    <row r="137" spans="47:64" x14ac:dyDescent="0.35">
      <c r="AU137" s="364" t="str">
        <f t="shared" si="22"/>
        <v>T-345</v>
      </c>
      <c r="AV137" s="183">
        <f>IF(AY136&gt;=VLOOKUP(VLOOKUP(AW136,坦克个性化设定!$B$18:$E$48,4,FALSE)&amp;AX136,坦克属性分配比例,MATCH("升星次数",坦克属性分配比例标头,0),FALSE),AV136+1,AV136)</f>
        <v>12</v>
      </c>
      <c r="AW137" s="131" t="str">
        <f t="shared" si="23"/>
        <v>T-34</v>
      </c>
      <c r="AX137" s="177" t="str">
        <f>VLOOKUP(AW137,坦克个性化细分!$I$3:$J$33,2,FALSE)</f>
        <v>低</v>
      </c>
      <c r="AY137" s="183">
        <f t="shared" si="21"/>
        <v>5</v>
      </c>
      <c r="AZ137" s="486">
        <f ca="1">ROUND(VLOOKUP($AW137&amp;"初始",$O$3:$AA$63,MATCH(AZ$3,$O$3:$AA$3,0),FALSE)+((VLOOKUP($AW137&amp;"最终",$O$3:$AA$63,MATCH(AZ$3,$O$3:$AA$3,0),FALSE)*坦克个性化细分!$C$9-VLOOKUP($AW137&amp;"初始",$O$3:$AA$63,MATCH(AZ$3,$O$3:$AA$3,0),FALSE))-(VLOOKUP($AW137&amp;"最终",$O$3:$AA$63,MATCH(AZ$3,$O$3:$AA$3,0),FALSE)-VLOOKUP($AW137&amp;"初始",$O$3:$AA$63,MATCH(AZ$3,$O$3:$AA$3,0),FALSE))*VLOOKUP(VLOOKUP($AW137,坦克个性化设定!$B$18:$E$48,4,FALSE)&amp;$AX137,坦克属性分配比例,MATCH("部件比例",坦克属性分配比例标头,0),FALSE))*$AY137/VLOOKUP(VLOOKUP($AW137,坦克个性化设定!$B$18:$E$48,4,FALSE)&amp;$AX137,坦克属性分配比例,MATCH("升星次数",坦克属性分配比例标头,0),FALSE),0)</f>
        <v>1574</v>
      </c>
      <c r="BA137" s="426">
        <f ca="1">ROUND(VLOOKUP($AW137&amp;"初始",$O$3:$AA$63,MATCH(BA$3,$O$3:$AA$3,0),FALSE)+(VLOOKUP($AW137&amp;"最终",$O$3:$AA$63,MATCH(BA$3,$O$3:$AA$3,0),FALSE)-VLOOKUP($AW137&amp;"初始",$O$3:$AA$63,MATCH(BA$3,$O$3:$AA$3,0),FALSE))*$AY137/VLOOKUP(VLOOKUP($AW137,坦克个性化设定!$B$18:$E$48,4,FALSE)&amp;$AX137,坦克属性分配比例,MATCH("升星次数",坦克属性分配比例标头,0),FALSE)*VLOOKUP(VLOOKUP($AW137,坦克个性化设定!$B$18:$E$48,4,FALSE)&amp;$AX137,坦克属性分配比例,MATCH("升星比例",坦克属性分配比例标头,0),FALSE),0)</f>
        <v>88</v>
      </c>
      <c r="BB137" s="486">
        <f ca="1">ROUND(VLOOKUP($AW137&amp;"初始",$O$3:$AA$63,MATCH(BB$3,$O$3:$AA$3,0),FALSE)+(VLOOKUP($AW137&amp;"最终",$O$3:$AA$63,MATCH(BB$3,$O$3:$AA$3,0),FALSE)-VLOOKUP($AW137&amp;"初始",$O$3:$AA$63,MATCH(BB$3,$O$3:$AA$3,0),FALSE))*$AY137/VLOOKUP(VLOOKUP($AW137,坦克个性化设定!$B$18:$E$48,4,FALSE)&amp;$AX137,坦克属性分配比例,MATCH("升星次数",坦克属性分配比例标头,0),FALSE)*(VLOOKUP(VLOOKUP($AW137,坦克个性化设定!$B$18:$E$48,4,FALSE)&amp;$AX137,坦克属性分配比例,MATCH("升星比例",坦克属性分配比例标头,0),FALSE)+VLOOKUP(VLOOKUP($AW137,坦克个性化设定!$B$18:$E$48,4,FALSE)&amp;$AX137,坦克属性分配比例,MATCH("部件比例",坦克属性分配比例标头,0),FALSE)*$C$3),0)</f>
        <v>460</v>
      </c>
      <c r="BC137" s="486">
        <f ca="1">ROUND(VLOOKUP($AW137&amp;"初始",$O$3:$AA$63,MATCH(BC$3,$O$3:$AA$3,0),FALSE)+(VLOOKUP($AW137&amp;"最终",$O$3:$AA$63,MATCH(BC$3,$O$3:$AA$3,0),FALSE)-VLOOKUP($AW137&amp;"初始",$O$3:$AA$63,MATCH(BC$3,$O$3:$AA$3,0),FALSE))*$AY137/VLOOKUP(VLOOKUP($AW137,坦克个性化设定!$B$18:$E$48,4,FALSE)&amp;$AX137,坦克属性分配比例,MATCH("升星次数",坦克属性分配比例标头,0),FALSE)*(VLOOKUP(VLOOKUP($AW137,坦克个性化设定!$B$18:$E$48,4,FALSE)&amp;$AX137,坦克属性分配比例,MATCH("升星比例",坦克属性分配比例标头,0),FALSE)+VLOOKUP(VLOOKUP($AW137,坦克个性化设定!$B$18:$E$48,4,FALSE)&amp;$AX137,坦克属性分配比例,MATCH("部件比例",坦克属性分配比例标头,0),FALSE)*$C$3),0)</f>
        <v>345</v>
      </c>
      <c r="BD137" s="426">
        <f ca="1">ROUND(VLOOKUP($AW137&amp;"初始",$O$3:$AA$63,MATCH(BD$3,$O$3:$AA$3,0),FALSE)+(VLOOKUP($AW137&amp;"最终",$O$3:$AA$63,MATCH(BD$3,$O$3:$AA$3,0),FALSE)-VLOOKUP($AW137&amp;"初始",$O$3:$AA$63,MATCH(BD$3,$O$3:$AA$3,0),FALSE))*$AY137/VLOOKUP(VLOOKUP($AW137,坦克个性化设定!$B$18:$E$48,4,FALSE)&amp;$AX137,坦克属性分配比例,MATCH("升星次数",坦克属性分配比例标头,0),FALSE)*VLOOKUP(VLOOKUP($AW137,坦克个性化设定!$B$18:$E$48,4,FALSE)&amp;$AX137,坦克属性分配比例,MATCH("升星比例",坦克属性分配比例标头,0),FALSE),0)</f>
        <v>532</v>
      </c>
      <c r="BE137" s="426">
        <f ca="1">ROUND(VLOOKUP($AW137&amp;"初始",$O$3:$AA$63,MATCH(BE$3,$O$3:$AA$3,0),FALSE)+(VLOOKUP($AW137&amp;"最终",$O$3:$AA$63,MATCH(BE$3,$O$3:$AA$3,0),FALSE)-VLOOKUP($AW137&amp;"初始",$O$3:$AA$63,MATCH(BE$3,$O$3:$AA$3,0),FALSE))*$AY137/VLOOKUP(VLOOKUP($AW137,坦克个性化设定!$B$18:$E$48,4,FALSE)&amp;$AX137,坦克属性分配比例,MATCH("升星次数",坦克属性分配比例标头,0),FALSE),0)</f>
        <v>149</v>
      </c>
      <c r="BF137" s="462">
        <f>ROUND(VLOOKUP($AW137,$AD$3:$AJ$33,MATCH(BF$3,$AD$3:$AJ$3,0),FALSE)+$AY137/VLOOKUP(VLOOKUP($AW137,坦克个性化设定!$B$18:$E$48,4,FALSE)&amp;$AX137,坦克属性分配比例,MATCH("升星次数",坦克属性分配比例标头,0),FALSE)*VLOOKUP($AW137,$AM$3:$AS$33,MATCH(BF$3,$AM$3:$AS$3,0),FALSE),1)</f>
        <v>53.8</v>
      </c>
      <c r="BG137" s="462">
        <f>ROUND(VLOOKUP($AW137,$AD$3:$AJ$33,MATCH(BG$3,$AD$3:$AJ$3,0),FALSE)+$AY137/VLOOKUP(VLOOKUP($AW137,坦克个性化设定!$B$18:$E$48,4,FALSE)&amp;$AX137,坦克属性分配比例,MATCH("升星次数",坦克属性分配比例标头,0),FALSE)*VLOOKUP($AW137,$AM$3:$AS$33,MATCH(BG$3,$AM$3:$AS$3,0),FALSE),1)</f>
        <v>48.3</v>
      </c>
      <c r="BH137" s="462">
        <f>ROUND(VLOOKUP($AW137,$AD$3:$AJ$33,MATCH(BH$3,$AD$3:$AJ$3,0),FALSE)+$AY137/VLOOKUP(VLOOKUP($AW137,坦克个性化设定!$B$18:$E$48,4,FALSE)&amp;$AX137,坦克属性分配比例,MATCH("升星次数",坦克属性分配比例标头,0),FALSE)*VLOOKUP($AW137,$AM$3:$AS$33,MATCH(BH$3,$AM$3:$AS$3,0),FALSE),1)</f>
        <v>15.7</v>
      </c>
      <c r="BI137" s="654">
        <f>IF(VLOOKUP(AW137,坦克个性化设定!$B$18:$BB$48,MATCH("装弹类型",坦克个性化设定!$B$18:$BB$18,0),FALSE)="弹夹换弹",0,ROUND(VLOOKUP($AW137,$AD$3:$AJ$33,MATCH("换弹时间",$AD$3:$AJ$3,0),FALSE)-$AY137/VLOOKUP(VLOOKUP($AW137,坦克个性化设定!$B$18:$E$48,4,FALSE)&amp;$AX137,坦克属性分配比例,MATCH("升星次数",坦克属性分配比例标头,0),FALSE)*VLOOKUP($AW137,$AM$3:$AS$33,MATCH("换弹时间",$AM$3:$AS$3,0),FALSE),2))</f>
        <v>0</v>
      </c>
      <c r="BJ137" s="462">
        <f>IF(VLOOKUP(AW137,坦克个性化设定!$B$18:$BB$48,MATCH("装弹类型",坦克个性化设定!$B$18:$BB$18,0),FALSE)="弹夹换弹",ROUND(VLOOKUP($AW137,$AD$3:$AJ$33,MATCH("换弹时间",$AD$3:$AJ$3,0),FALSE)-$AY137/VLOOKUP(VLOOKUP($AW137,坦克个性化设定!$B$18:$E$48,4,FALSE)&amp;$AX137,坦克属性分配比例,MATCH("升星次数",坦克属性分配比例标头,0),FALSE)*VLOOKUP($AW137,$AM$3:$AS$33,MATCH("换弹时间",$AM$3:$AS$3,0),FALSE),1),0)</f>
        <v>2</v>
      </c>
      <c r="BK137" s="462">
        <f>ROUND(VLOOKUP($AW137,$AD$3:$AJ$33,MATCH(BK$3,$AD$3:$AJ$3,0),FALSE)+$AY137/VLOOKUP(VLOOKUP($AW137,坦克个性化设定!$B$18:$E$48,4,FALSE)&amp;$AX137,坦克属性分配比例,MATCH("升星次数",坦克属性分配比例标头,0),FALSE)*VLOOKUP($AW137,$AM$3:$AS$33,MATCH(BK$3,$AM$3:$AS$3,0),FALSE),2)</f>
        <v>1.03</v>
      </c>
      <c r="BL137" s="462">
        <f>ROUND(VLOOKUP($AW137,$AD$3:$AJ$33,MATCH(BL$3,$AD$3:$AJ$3,0),FALSE)-$AY137/VLOOKUP(VLOOKUP($AW137,坦克个性化设定!$B$18:$E$48,4,FALSE)&amp;$AX137,坦克属性分配比例,MATCH("升星次数",坦克属性分配比例标头,0),FALSE)*VLOOKUP($AW137,$AM$3:$AS$33,MATCH(BL$3,$AM$3:$AS$3,0),FALSE),2)</f>
        <v>1.26</v>
      </c>
    </row>
    <row r="138" spans="47:64" x14ac:dyDescent="0.35">
      <c r="AU138" s="364" t="str">
        <f t="shared" si="22"/>
        <v>T-346</v>
      </c>
      <c r="AV138" s="183">
        <f>IF(AY137&gt;=VLOOKUP(VLOOKUP(AW137,坦克个性化设定!$B$18:$E$48,4,FALSE)&amp;AX137,坦克属性分配比例,MATCH("升星次数",坦克属性分配比例标头,0),FALSE),AV137+1,AV137)</f>
        <v>12</v>
      </c>
      <c r="AW138" s="131" t="str">
        <f t="shared" si="23"/>
        <v>T-34</v>
      </c>
      <c r="AX138" s="177" t="str">
        <f>VLOOKUP(AW138,坦克个性化细分!$I$3:$J$33,2,FALSE)</f>
        <v>低</v>
      </c>
      <c r="AY138" s="183">
        <f t="shared" si="21"/>
        <v>6</v>
      </c>
      <c r="AZ138" s="486">
        <f ca="1">ROUND(VLOOKUP($AW138&amp;"初始",$O$3:$AA$63,MATCH(AZ$3,$O$3:$AA$3,0),FALSE)+((VLOOKUP($AW138&amp;"最终",$O$3:$AA$63,MATCH(AZ$3,$O$3:$AA$3,0),FALSE)*坦克个性化细分!$C$9-VLOOKUP($AW138&amp;"初始",$O$3:$AA$63,MATCH(AZ$3,$O$3:$AA$3,0),FALSE))-(VLOOKUP($AW138&amp;"最终",$O$3:$AA$63,MATCH(AZ$3,$O$3:$AA$3,0),FALSE)-VLOOKUP($AW138&amp;"初始",$O$3:$AA$63,MATCH(AZ$3,$O$3:$AA$3,0),FALSE))*VLOOKUP(VLOOKUP($AW138,坦克个性化设定!$B$18:$E$48,4,FALSE)&amp;$AX138,坦克属性分配比例,MATCH("部件比例",坦克属性分配比例标头,0),FALSE))*$AY138/VLOOKUP(VLOOKUP($AW138,坦克个性化设定!$B$18:$E$48,4,FALSE)&amp;$AX138,坦克属性分配比例,MATCH("升星次数",坦克属性分配比例标头,0),FALSE),0)</f>
        <v>1693</v>
      </c>
      <c r="BA138" s="426">
        <f ca="1">ROUND(VLOOKUP($AW138&amp;"初始",$O$3:$AA$63,MATCH(BA$3,$O$3:$AA$3,0),FALSE)+(VLOOKUP($AW138&amp;"最终",$O$3:$AA$63,MATCH(BA$3,$O$3:$AA$3,0),FALSE)-VLOOKUP($AW138&amp;"初始",$O$3:$AA$63,MATCH(BA$3,$O$3:$AA$3,0),FALSE))*$AY138/VLOOKUP(VLOOKUP($AW138,坦克个性化设定!$B$18:$E$48,4,FALSE)&amp;$AX138,坦克属性分配比例,MATCH("升星次数",坦克属性分配比例标头,0),FALSE)*VLOOKUP(VLOOKUP($AW138,坦克个性化设定!$B$18:$E$48,4,FALSE)&amp;$AX138,坦克属性分配比例,MATCH("升星比例",坦克属性分配比例标头,0),FALSE),0)</f>
        <v>91</v>
      </c>
      <c r="BB138" s="486">
        <f ca="1">ROUND(VLOOKUP($AW138&amp;"初始",$O$3:$AA$63,MATCH(BB$3,$O$3:$AA$3,0),FALSE)+(VLOOKUP($AW138&amp;"最终",$O$3:$AA$63,MATCH(BB$3,$O$3:$AA$3,0),FALSE)-VLOOKUP($AW138&amp;"初始",$O$3:$AA$63,MATCH(BB$3,$O$3:$AA$3,0),FALSE))*$AY138/VLOOKUP(VLOOKUP($AW138,坦克个性化设定!$B$18:$E$48,4,FALSE)&amp;$AX138,坦克属性分配比例,MATCH("升星次数",坦克属性分配比例标头,0),FALSE)*(VLOOKUP(VLOOKUP($AW138,坦克个性化设定!$B$18:$E$48,4,FALSE)&amp;$AX138,坦克属性分配比例,MATCH("升星比例",坦克属性分配比例标头,0),FALSE)+VLOOKUP(VLOOKUP($AW138,坦克个性化设定!$B$18:$E$48,4,FALSE)&amp;$AX138,坦克属性分配比例,MATCH("部件比例",坦克属性分配比例标头,0),FALSE)*$C$3),0)</f>
        <v>484</v>
      </c>
      <c r="BC138" s="486">
        <f ca="1">ROUND(VLOOKUP($AW138&amp;"初始",$O$3:$AA$63,MATCH(BC$3,$O$3:$AA$3,0),FALSE)+(VLOOKUP($AW138&amp;"最终",$O$3:$AA$63,MATCH(BC$3,$O$3:$AA$3,0),FALSE)-VLOOKUP($AW138&amp;"初始",$O$3:$AA$63,MATCH(BC$3,$O$3:$AA$3,0),FALSE))*$AY138/VLOOKUP(VLOOKUP($AW138,坦克个性化设定!$B$18:$E$48,4,FALSE)&amp;$AX138,坦克属性分配比例,MATCH("升星次数",坦克属性分配比例标头,0),FALSE)*(VLOOKUP(VLOOKUP($AW138,坦克个性化设定!$B$18:$E$48,4,FALSE)&amp;$AX138,坦克属性分配比例,MATCH("升星比例",坦克属性分配比例标头,0),FALSE)+VLOOKUP(VLOOKUP($AW138,坦克个性化设定!$B$18:$E$48,4,FALSE)&amp;$AX138,坦克属性分配比例,MATCH("部件比例",坦克属性分配比例标头,0),FALSE)*$C$3),0)</f>
        <v>363</v>
      </c>
      <c r="BD138" s="426">
        <f ca="1">ROUND(VLOOKUP($AW138&amp;"初始",$O$3:$AA$63,MATCH(BD$3,$O$3:$AA$3,0),FALSE)+(VLOOKUP($AW138&amp;"最终",$O$3:$AA$63,MATCH(BD$3,$O$3:$AA$3,0),FALSE)-VLOOKUP($AW138&amp;"初始",$O$3:$AA$63,MATCH(BD$3,$O$3:$AA$3,0),FALSE))*$AY138/VLOOKUP(VLOOKUP($AW138,坦克个性化设定!$B$18:$E$48,4,FALSE)&amp;$AX138,坦克属性分配比例,MATCH("升星次数",坦克属性分配比例标头,0),FALSE)*VLOOKUP(VLOOKUP($AW138,坦克个性化设定!$B$18:$E$48,4,FALSE)&amp;$AX138,坦克属性分配比例,MATCH("升星比例",坦克属性分配比例标头,0),FALSE),0)</f>
        <v>552</v>
      </c>
      <c r="BE138" s="426">
        <f ca="1">ROUND(VLOOKUP($AW138&amp;"初始",$O$3:$AA$63,MATCH(BE$3,$O$3:$AA$3,0),FALSE)+(VLOOKUP($AW138&amp;"最终",$O$3:$AA$63,MATCH(BE$3,$O$3:$AA$3,0),FALSE)-VLOOKUP($AW138&amp;"初始",$O$3:$AA$63,MATCH(BE$3,$O$3:$AA$3,0),FALSE))*$AY138/VLOOKUP(VLOOKUP($AW138,坦克个性化设定!$B$18:$E$48,4,FALSE)&amp;$AX138,坦克属性分配比例,MATCH("升星次数",坦克属性分配比例标头,0),FALSE),0)</f>
        <v>158</v>
      </c>
      <c r="BF138" s="462">
        <f>ROUND(VLOOKUP($AW138,$AD$3:$AJ$33,MATCH(BF$3,$AD$3:$AJ$3,0),FALSE)+$AY138/VLOOKUP(VLOOKUP($AW138,坦克个性化设定!$B$18:$E$48,4,FALSE)&amp;$AX138,坦克属性分配比例,MATCH("升星次数",坦克属性分配比例标头,0),FALSE)*VLOOKUP($AW138,$AM$3:$AS$33,MATCH(BF$3,$AM$3:$AS$3,0),FALSE),1)</f>
        <v>55.6</v>
      </c>
      <c r="BG138" s="462">
        <f>ROUND(VLOOKUP($AW138,$AD$3:$AJ$33,MATCH(BG$3,$AD$3:$AJ$3,0),FALSE)+$AY138/VLOOKUP(VLOOKUP($AW138,坦克个性化设定!$B$18:$E$48,4,FALSE)&amp;$AX138,坦克属性分配比例,MATCH("升星次数",坦克属性分配比例标头,0),FALSE)*VLOOKUP($AW138,$AM$3:$AS$33,MATCH(BG$3,$AM$3:$AS$3,0),FALSE),1)</f>
        <v>50</v>
      </c>
      <c r="BH138" s="462">
        <f>ROUND(VLOOKUP($AW138,$AD$3:$AJ$33,MATCH(BH$3,$AD$3:$AJ$3,0),FALSE)+$AY138/VLOOKUP(VLOOKUP($AW138,坦克个性化设定!$B$18:$E$48,4,FALSE)&amp;$AX138,坦克属性分配比例,MATCH("升星次数",坦克属性分配比例标头,0),FALSE)*VLOOKUP($AW138,$AM$3:$AS$33,MATCH(BH$3,$AM$3:$AS$3,0),FALSE),1)</f>
        <v>16.3</v>
      </c>
      <c r="BI138" s="654">
        <f>IF(VLOOKUP(AW138,坦克个性化设定!$B$18:$BB$48,MATCH("装弹类型",坦克个性化设定!$B$18:$BB$18,0),FALSE)="弹夹换弹",0,ROUND(VLOOKUP($AW138,$AD$3:$AJ$33,MATCH("换弹时间",$AD$3:$AJ$3,0),FALSE)-$AY138/VLOOKUP(VLOOKUP($AW138,坦克个性化设定!$B$18:$E$48,4,FALSE)&amp;$AX138,坦克属性分配比例,MATCH("升星次数",坦克属性分配比例标头,0),FALSE)*VLOOKUP($AW138,$AM$3:$AS$33,MATCH("换弹时间",$AM$3:$AS$3,0),FALSE),2))</f>
        <v>0</v>
      </c>
      <c r="BJ138" s="462">
        <f>IF(VLOOKUP(AW138,坦克个性化设定!$B$18:$BB$48,MATCH("装弹类型",坦克个性化设定!$B$18:$BB$18,0),FALSE)="弹夹换弹",ROUND(VLOOKUP($AW138,$AD$3:$AJ$33,MATCH("换弹时间",$AD$3:$AJ$3,0),FALSE)-$AY138/VLOOKUP(VLOOKUP($AW138,坦克个性化设定!$B$18:$E$48,4,FALSE)&amp;$AX138,坦克属性分配比例,MATCH("升星次数",坦克属性分配比例标头,0),FALSE)*VLOOKUP($AW138,$AM$3:$AS$33,MATCH("换弹时间",$AM$3:$AS$3,0),FALSE),1),0)</f>
        <v>1.8</v>
      </c>
      <c r="BK138" s="462">
        <f>ROUND(VLOOKUP($AW138,$AD$3:$AJ$33,MATCH(BK$3,$AD$3:$AJ$3,0),FALSE)+$AY138/VLOOKUP(VLOOKUP($AW138,坦克个性化设定!$B$18:$E$48,4,FALSE)&amp;$AX138,坦克属性分配比例,MATCH("升星次数",坦克属性分配比例标头,0),FALSE)*VLOOKUP($AW138,$AM$3:$AS$33,MATCH(BK$3,$AM$3:$AS$3,0),FALSE),2)</f>
        <v>1</v>
      </c>
      <c r="BL138" s="462">
        <f>ROUND(VLOOKUP($AW138,$AD$3:$AJ$33,MATCH(BL$3,$AD$3:$AJ$3,0),FALSE)-$AY138/VLOOKUP(VLOOKUP($AW138,坦克个性化设定!$B$18:$E$48,4,FALSE)&amp;$AX138,坦克属性分配比例,MATCH("升星次数",坦克属性分配比例标头,0),FALSE)*VLOOKUP($AW138,$AM$3:$AS$33,MATCH(BL$3,$AM$3:$AS$3,0),FALSE),2)</f>
        <v>1.22</v>
      </c>
    </row>
    <row r="139" spans="47:64" x14ac:dyDescent="0.35">
      <c r="AU139" s="364" t="str">
        <f t="shared" si="22"/>
        <v>四号0</v>
      </c>
      <c r="AV139" s="183">
        <f>IF(AY138&gt;=VLOOKUP(VLOOKUP(AW138,坦克个性化设定!$B$18:$E$48,4,FALSE)&amp;AX138,坦克属性分配比例,MATCH("升星次数",坦克属性分配比例标头,0),FALSE),AV138+1,AV138)</f>
        <v>13</v>
      </c>
      <c r="AW139" s="131" t="str">
        <f t="shared" si="23"/>
        <v>四号</v>
      </c>
      <c r="AX139" s="177" t="str">
        <f>VLOOKUP(AW139,坦克个性化细分!$I$3:$J$33,2,FALSE)</f>
        <v>中</v>
      </c>
      <c r="AY139" s="183">
        <f t="shared" si="21"/>
        <v>0</v>
      </c>
      <c r="AZ139" s="486">
        <f ca="1">ROUND(VLOOKUP($AW139&amp;"初始",$O$3:$AA$63,MATCH(AZ$3,$O$3:$AA$3,0),FALSE)+((VLOOKUP($AW139&amp;"最终",$O$3:$AA$63,MATCH(AZ$3,$O$3:$AA$3,0),FALSE)*坦克个性化细分!$C$9-VLOOKUP($AW139&amp;"初始",$O$3:$AA$63,MATCH(AZ$3,$O$3:$AA$3,0),FALSE))-(VLOOKUP($AW139&amp;"最终",$O$3:$AA$63,MATCH(AZ$3,$O$3:$AA$3,0),FALSE)-VLOOKUP($AW139&amp;"初始",$O$3:$AA$63,MATCH(AZ$3,$O$3:$AA$3,0),FALSE))*VLOOKUP(VLOOKUP($AW139,坦克个性化设定!$B$18:$E$48,4,FALSE)&amp;$AX139,坦克属性分配比例,MATCH("部件比例",坦克属性分配比例标头,0),FALSE))*$AY139/VLOOKUP(VLOOKUP($AW139,坦克个性化设定!$B$18:$E$48,4,FALSE)&amp;$AX139,坦克属性分配比例,MATCH("升星次数",坦克属性分配比例标头,0),FALSE),0)</f>
        <v>1036</v>
      </c>
      <c r="BA139" s="426">
        <f ca="1">ROUND(VLOOKUP($AW139&amp;"初始",$O$3:$AA$63,MATCH(BA$3,$O$3:$AA$3,0),FALSE)+(VLOOKUP($AW139&amp;"最终",$O$3:$AA$63,MATCH(BA$3,$O$3:$AA$3,0),FALSE)-VLOOKUP($AW139&amp;"初始",$O$3:$AA$63,MATCH(BA$3,$O$3:$AA$3,0),FALSE))*$AY139/VLOOKUP(VLOOKUP($AW139,坦克个性化设定!$B$18:$E$48,4,FALSE)&amp;$AX139,坦克属性分配比例,MATCH("升星次数",坦克属性分配比例标头,0),FALSE)*VLOOKUP(VLOOKUP($AW139,坦克个性化设定!$B$18:$E$48,4,FALSE)&amp;$AX139,坦克属性分配比例,MATCH("升星比例",坦克属性分配比例标头,0),FALSE),0)</f>
        <v>199</v>
      </c>
      <c r="BB139" s="486">
        <f ca="1">ROUND(VLOOKUP($AW139&amp;"初始",$O$3:$AA$63,MATCH(BB$3,$O$3:$AA$3,0),FALSE)+(VLOOKUP($AW139&amp;"最终",$O$3:$AA$63,MATCH(BB$3,$O$3:$AA$3,0),FALSE)-VLOOKUP($AW139&amp;"初始",$O$3:$AA$63,MATCH(BB$3,$O$3:$AA$3,0),FALSE))*$AY139/VLOOKUP(VLOOKUP($AW139,坦克个性化设定!$B$18:$E$48,4,FALSE)&amp;$AX139,坦克属性分配比例,MATCH("升星次数",坦克属性分配比例标头,0),FALSE)*(VLOOKUP(VLOOKUP($AW139,坦克个性化设定!$B$18:$E$48,4,FALSE)&amp;$AX139,坦克属性分配比例,MATCH("升星比例",坦克属性分配比例标头,0),FALSE)+VLOOKUP(VLOOKUP($AW139,坦克个性化设定!$B$18:$E$48,4,FALSE)&amp;$AX139,坦克属性分配比例,MATCH("部件比例",坦克属性分配比例标头,0),FALSE)*$C$3),0)</f>
        <v>404</v>
      </c>
      <c r="BC139" s="486">
        <f ca="1">ROUND(VLOOKUP($AW139&amp;"初始",$O$3:$AA$63,MATCH(BC$3,$O$3:$AA$3,0),FALSE)+(VLOOKUP($AW139&amp;"最终",$O$3:$AA$63,MATCH(BC$3,$O$3:$AA$3,0),FALSE)-VLOOKUP($AW139&amp;"初始",$O$3:$AA$63,MATCH(BC$3,$O$3:$AA$3,0),FALSE))*$AY139/VLOOKUP(VLOOKUP($AW139,坦克个性化设定!$B$18:$E$48,4,FALSE)&amp;$AX139,坦克属性分配比例,MATCH("升星次数",坦克属性分配比例标头,0),FALSE)*(VLOOKUP(VLOOKUP($AW139,坦克个性化设定!$B$18:$E$48,4,FALSE)&amp;$AX139,坦克属性分配比例,MATCH("升星比例",坦克属性分配比例标头,0),FALSE)+VLOOKUP(VLOOKUP($AW139,坦克个性化设定!$B$18:$E$48,4,FALSE)&amp;$AX139,坦克属性分配比例,MATCH("部件比例",坦克属性分配比例标头,0),FALSE)*$C$3),0)</f>
        <v>303</v>
      </c>
      <c r="BD139" s="426">
        <f ca="1">ROUND(VLOOKUP($AW139&amp;"初始",$O$3:$AA$63,MATCH(BD$3,$O$3:$AA$3,0),FALSE)+(VLOOKUP($AW139&amp;"最终",$O$3:$AA$63,MATCH(BD$3,$O$3:$AA$3,0),FALSE)-VLOOKUP($AW139&amp;"初始",$O$3:$AA$63,MATCH(BD$3,$O$3:$AA$3,0),FALSE))*$AY139/VLOOKUP(VLOOKUP($AW139,坦克个性化设定!$B$18:$E$48,4,FALSE)&amp;$AX139,坦克属性分配比例,MATCH("升星次数",坦克属性分配比例标头,0),FALSE)*VLOOKUP(VLOOKUP($AW139,坦克个性化设定!$B$18:$E$48,4,FALSE)&amp;$AX139,坦克属性分配比例,MATCH("升星比例",坦克属性分配比例标头,0),FALSE),0)</f>
        <v>443</v>
      </c>
      <c r="BE139" s="426">
        <f ca="1">ROUND(VLOOKUP($AW139&amp;"初始",$O$3:$AA$63,MATCH(BE$3,$O$3:$AA$3,0),FALSE)+(VLOOKUP($AW139&amp;"最终",$O$3:$AA$63,MATCH(BE$3,$O$3:$AA$3,0),FALSE)-VLOOKUP($AW139&amp;"初始",$O$3:$AA$63,MATCH(BE$3,$O$3:$AA$3,0),FALSE))*$AY139/VLOOKUP(VLOOKUP($AW139,坦克个性化设定!$B$18:$E$48,4,FALSE)&amp;$AX139,坦克属性分配比例,MATCH("升星次数",坦克属性分配比例标头,0),FALSE),0)</f>
        <v>108</v>
      </c>
      <c r="BF139" s="462">
        <f>ROUND(VLOOKUP($AW139,$AD$3:$AJ$33,MATCH(BF$3,$AD$3:$AJ$3,0),FALSE)+$AY139/VLOOKUP(VLOOKUP($AW139,坦克个性化设定!$B$18:$E$48,4,FALSE)&amp;$AX139,坦克属性分配比例,MATCH("升星次数",坦克属性分配比例标头,0),FALSE)*VLOOKUP($AW139,$AM$3:$AS$33,MATCH(BF$3,$AM$3:$AS$3,0),FALSE),1)</f>
        <v>36.299999999999997</v>
      </c>
      <c r="BG139" s="462">
        <f>ROUND(VLOOKUP($AW139,$AD$3:$AJ$33,MATCH(BG$3,$AD$3:$AJ$3,0),FALSE)+$AY139/VLOOKUP(VLOOKUP($AW139,坦克个性化设定!$B$18:$E$48,4,FALSE)&amp;$AX139,坦克属性分配比例,MATCH("升星次数",坦克属性分配比例标头,0),FALSE)*VLOOKUP($AW139,$AM$3:$AS$33,MATCH(BG$3,$AM$3:$AS$3,0),FALSE),1)</f>
        <v>51</v>
      </c>
      <c r="BH139" s="462">
        <f>ROUND(VLOOKUP($AW139,$AD$3:$AJ$33,MATCH(BH$3,$AD$3:$AJ$3,0),FALSE)+$AY139/VLOOKUP(VLOOKUP($AW139,坦克个性化设定!$B$18:$E$48,4,FALSE)&amp;$AX139,坦克属性分配比例,MATCH("升星次数",坦克属性分配比例标头,0),FALSE)*VLOOKUP($AW139,$AM$3:$AS$33,MATCH(BH$3,$AM$3:$AS$3,0),FALSE),1)</f>
        <v>11.3</v>
      </c>
      <c r="BI139" s="654">
        <f>IF(VLOOKUP(AW139,坦克个性化设定!$B$18:$BB$48,MATCH("装弹类型",坦克个性化设定!$B$18:$BB$18,0),FALSE)="弹夹换弹",0,ROUND(VLOOKUP($AW139,$AD$3:$AJ$33,MATCH("换弹时间",$AD$3:$AJ$3,0),FALSE)-$AY139/VLOOKUP(VLOOKUP($AW139,坦克个性化设定!$B$18:$E$48,4,FALSE)&amp;$AX139,坦克属性分配比例,MATCH("升星次数",坦克属性分配比例标头,0),FALSE)*VLOOKUP($AW139,$AM$3:$AS$33,MATCH("换弹时间",$AM$3:$AS$3,0),FALSE),2))</f>
        <v>4.5</v>
      </c>
      <c r="BJ139" s="462">
        <f>IF(VLOOKUP(AW139,坦克个性化设定!$B$18:$BB$48,MATCH("装弹类型",坦克个性化设定!$B$18:$BB$18,0),FALSE)="弹夹换弹",ROUND(VLOOKUP($AW139,$AD$3:$AJ$33,MATCH("换弹时间",$AD$3:$AJ$3,0),FALSE)-$AY139/VLOOKUP(VLOOKUP($AW139,坦克个性化设定!$B$18:$E$48,4,FALSE)&amp;$AX139,坦克属性分配比例,MATCH("升星次数",坦克属性分配比例标头,0),FALSE)*VLOOKUP($AW139,$AM$3:$AS$33,MATCH("换弹时间",$AM$3:$AS$3,0),FALSE),1),0)</f>
        <v>0</v>
      </c>
      <c r="BK139" s="462">
        <f>ROUND(VLOOKUP($AW139,$AD$3:$AJ$33,MATCH(BK$3,$AD$3:$AJ$3,0),FALSE)+$AY139/VLOOKUP(VLOOKUP($AW139,坦克个性化设定!$B$18:$E$48,4,FALSE)&amp;$AX139,坦克属性分配比例,MATCH("升星次数",坦克属性分配比例标头,0),FALSE)*VLOOKUP($AW139,$AM$3:$AS$33,MATCH(BK$3,$AM$3:$AS$3,0),FALSE),2)</f>
        <v>0</v>
      </c>
      <c r="BL139" s="462">
        <f>ROUND(VLOOKUP($AW139,$AD$3:$AJ$33,MATCH(BL$3,$AD$3:$AJ$3,0),FALSE)-$AY139/VLOOKUP(VLOOKUP($AW139,坦克个性化设定!$B$18:$E$48,4,FALSE)&amp;$AX139,坦克属性分配比例,MATCH("升星次数",坦克属性分配比例标头,0),FALSE)*VLOOKUP($AW139,$AM$3:$AS$33,MATCH(BL$3,$AM$3:$AS$3,0),FALSE),2)</f>
        <v>2.4</v>
      </c>
    </row>
    <row r="140" spans="47:64" x14ac:dyDescent="0.35">
      <c r="AU140" s="364" t="str">
        <f t="shared" si="22"/>
        <v>四号1</v>
      </c>
      <c r="AV140" s="183">
        <f>IF(AY139&gt;=VLOOKUP(VLOOKUP(AW139,坦克个性化设定!$B$18:$E$48,4,FALSE)&amp;AX139,坦克属性分配比例,MATCH("升星次数",坦克属性分配比例标头,0),FALSE),AV139+1,AV139)</f>
        <v>13</v>
      </c>
      <c r="AW140" s="131" t="str">
        <f t="shared" si="23"/>
        <v>四号</v>
      </c>
      <c r="AX140" s="177" t="str">
        <f>VLOOKUP(AW140,坦克个性化细分!$I$3:$J$33,2,FALSE)</f>
        <v>中</v>
      </c>
      <c r="AY140" s="183">
        <f t="shared" si="21"/>
        <v>1</v>
      </c>
      <c r="AZ140" s="486">
        <f ca="1">ROUND(VLOOKUP($AW140&amp;"初始",$O$3:$AA$63,MATCH(AZ$3,$O$3:$AA$3,0),FALSE)+((VLOOKUP($AW140&amp;"最终",$O$3:$AA$63,MATCH(AZ$3,$O$3:$AA$3,0),FALSE)*坦克个性化细分!$C$9-VLOOKUP($AW140&amp;"初始",$O$3:$AA$63,MATCH(AZ$3,$O$3:$AA$3,0),FALSE))-(VLOOKUP($AW140&amp;"最终",$O$3:$AA$63,MATCH(AZ$3,$O$3:$AA$3,0),FALSE)-VLOOKUP($AW140&amp;"初始",$O$3:$AA$63,MATCH(AZ$3,$O$3:$AA$3,0),FALSE))*VLOOKUP(VLOOKUP($AW140,坦克个性化设定!$B$18:$E$48,4,FALSE)&amp;$AX140,坦克属性分配比例,MATCH("部件比例",坦克属性分配比例标头,0),FALSE))*$AY140/VLOOKUP(VLOOKUP($AW140,坦克个性化设定!$B$18:$E$48,4,FALSE)&amp;$AX140,坦克属性分配比例,MATCH("升星次数",坦克属性分配比例标头,0),FALSE),0)</f>
        <v>1151</v>
      </c>
      <c r="BA140" s="426">
        <f ca="1">ROUND(VLOOKUP($AW140&amp;"初始",$O$3:$AA$63,MATCH(BA$3,$O$3:$AA$3,0),FALSE)+(VLOOKUP($AW140&amp;"最终",$O$3:$AA$63,MATCH(BA$3,$O$3:$AA$3,0),FALSE)-VLOOKUP($AW140&amp;"初始",$O$3:$AA$63,MATCH(BA$3,$O$3:$AA$3,0),FALSE))*$AY140/VLOOKUP(VLOOKUP($AW140,坦克个性化设定!$B$18:$E$48,4,FALSE)&amp;$AX140,坦克属性分配比例,MATCH("升星次数",坦克属性分配比例标头,0),FALSE)*VLOOKUP(VLOOKUP($AW140,坦克个性化设定!$B$18:$E$48,4,FALSE)&amp;$AX140,坦克属性分配比例,MATCH("升星比例",坦克属性分配比例标头,0),FALSE),0)</f>
        <v>210</v>
      </c>
      <c r="BB140" s="486">
        <f ca="1">ROUND(VLOOKUP($AW140&amp;"初始",$O$3:$AA$63,MATCH(BB$3,$O$3:$AA$3,0),FALSE)+(VLOOKUP($AW140&amp;"最终",$O$3:$AA$63,MATCH(BB$3,$O$3:$AA$3,0),FALSE)-VLOOKUP($AW140&amp;"初始",$O$3:$AA$63,MATCH(BB$3,$O$3:$AA$3,0),FALSE))*$AY140/VLOOKUP(VLOOKUP($AW140,坦克个性化设定!$B$18:$E$48,4,FALSE)&amp;$AX140,坦克属性分配比例,MATCH("升星次数",坦克属性分配比例标头,0),FALSE)*(VLOOKUP(VLOOKUP($AW140,坦克个性化设定!$B$18:$E$48,4,FALSE)&amp;$AX140,坦克属性分配比例,MATCH("升星比例",坦克属性分配比例标头,0),FALSE)+VLOOKUP(VLOOKUP($AW140,坦克个性化设定!$B$18:$E$48,4,FALSE)&amp;$AX140,坦克属性分配比例,MATCH("部件比例",坦克属性分配比例标头,0),FALSE)*$C$3),0)</f>
        <v>434</v>
      </c>
      <c r="BC140" s="486">
        <f ca="1">ROUND(VLOOKUP($AW140&amp;"初始",$O$3:$AA$63,MATCH(BC$3,$O$3:$AA$3,0),FALSE)+(VLOOKUP($AW140&amp;"最终",$O$3:$AA$63,MATCH(BC$3,$O$3:$AA$3,0),FALSE)-VLOOKUP($AW140&amp;"初始",$O$3:$AA$63,MATCH(BC$3,$O$3:$AA$3,0),FALSE))*$AY140/VLOOKUP(VLOOKUP($AW140,坦克个性化设定!$B$18:$E$48,4,FALSE)&amp;$AX140,坦克属性分配比例,MATCH("升星次数",坦克属性分配比例标头,0),FALSE)*(VLOOKUP(VLOOKUP($AW140,坦克个性化设定!$B$18:$E$48,4,FALSE)&amp;$AX140,坦克属性分配比例,MATCH("升星比例",坦克属性分配比例标头,0),FALSE)+VLOOKUP(VLOOKUP($AW140,坦克个性化设定!$B$18:$E$48,4,FALSE)&amp;$AX140,坦克属性分配比例,MATCH("部件比例",坦克属性分配比例标头,0),FALSE)*$C$3),0)</f>
        <v>326</v>
      </c>
      <c r="BD140" s="426">
        <f ca="1">ROUND(VLOOKUP($AW140&amp;"初始",$O$3:$AA$63,MATCH(BD$3,$O$3:$AA$3,0),FALSE)+(VLOOKUP($AW140&amp;"最终",$O$3:$AA$63,MATCH(BD$3,$O$3:$AA$3,0),FALSE)-VLOOKUP($AW140&amp;"初始",$O$3:$AA$63,MATCH(BD$3,$O$3:$AA$3,0),FALSE))*$AY140/VLOOKUP(VLOOKUP($AW140,坦克个性化设定!$B$18:$E$48,4,FALSE)&amp;$AX140,坦克属性分配比例,MATCH("升星次数",坦克属性分配比例标头,0),FALSE)*VLOOKUP(VLOOKUP($AW140,坦克个性化设定!$B$18:$E$48,4,FALSE)&amp;$AX140,坦克属性分配比例,MATCH("升星比例",坦克属性分配比例标头,0),FALSE),0)</f>
        <v>469</v>
      </c>
      <c r="BE140" s="426">
        <f ca="1">ROUND(VLOOKUP($AW140&amp;"初始",$O$3:$AA$63,MATCH(BE$3,$O$3:$AA$3,0),FALSE)+(VLOOKUP($AW140&amp;"最终",$O$3:$AA$63,MATCH(BE$3,$O$3:$AA$3,0),FALSE)-VLOOKUP($AW140&amp;"初始",$O$3:$AA$63,MATCH(BE$3,$O$3:$AA$3,0),FALSE))*$AY140/VLOOKUP(VLOOKUP($AW140,坦克个性化设定!$B$18:$E$48,4,FALSE)&amp;$AX140,坦克属性分配比例,MATCH("升星次数",坦克属性分配比例标头,0),FALSE),0)</f>
        <v>117</v>
      </c>
      <c r="BF140" s="462">
        <f>ROUND(VLOOKUP($AW140,$AD$3:$AJ$33,MATCH(BF$3,$AD$3:$AJ$3,0),FALSE)+$AY140/VLOOKUP(VLOOKUP($AW140,坦克个性化设定!$B$18:$E$48,4,FALSE)&amp;$AX140,坦克属性分配比例,MATCH("升星次数",坦克属性分配比例标头,0),FALSE)*VLOOKUP($AW140,$AM$3:$AS$33,MATCH(BF$3,$AM$3:$AS$3,0),FALSE),1)</f>
        <v>37.1</v>
      </c>
      <c r="BG140" s="462">
        <f>ROUND(VLOOKUP($AW140,$AD$3:$AJ$33,MATCH(BG$3,$AD$3:$AJ$3,0),FALSE)+$AY140/VLOOKUP(VLOOKUP($AW140,坦克个性化设定!$B$18:$E$48,4,FALSE)&amp;$AX140,坦克属性分配比例,MATCH("升星次数",坦克属性分配比例标头,0),FALSE)*VLOOKUP($AW140,$AM$3:$AS$33,MATCH(BG$3,$AM$3:$AS$3,0),FALSE),1)</f>
        <v>52.2</v>
      </c>
      <c r="BH140" s="462">
        <f>ROUND(VLOOKUP($AW140,$AD$3:$AJ$33,MATCH(BH$3,$AD$3:$AJ$3,0),FALSE)+$AY140/VLOOKUP(VLOOKUP($AW140,坦克个性化设定!$B$18:$E$48,4,FALSE)&amp;$AX140,坦克属性分配比例,MATCH("升星次数",坦克属性分配比例标头,0),FALSE)*VLOOKUP($AW140,$AM$3:$AS$33,MATCH(BH$3,$AM$3:$AS$3,0),FALSE),1)</f>
        <v>11.6</v>
      </c>
      <c r="BI140" s="654">
        <f>IF(VLOOKUP(AW140,坦克个性化设定!$B$18:$BB$48,MATCH("装弹类型",坦克个性化设定!$B$18:$BB$18,0),FALSE)="弹夹换弹",0,ROUND(VLOOKUP($AW140,$AD$3:$AJ$33,MATCH("换弹时间",$AD$3:$AJ$3,0),FALSE)-$AY140/VLOOKUP(VLOOKUP($AW140,坦克个性化设定!$B$18:$E$48,4,FALSE)&amp;$AX140,坦克属性分配比例,MATCH("升星次数",坦克属性分配比例标头,0),FALSE)*VLOOKUP($AW140,$AM$3:$AS$33,MATCH("换弹时间",$AM$3:$AS$3,0),FALSE),2))</f>
        <v>4.4000000000000004</v>
      </c>
      <c r="BJ140" s="462">
        <f>IF(VLOOKUP(AW140,坦克个性化设定!$B$18:$BB$48,MATCH("装弹类型",坦克个性化设定!$B$18:$BB$18,0),FALSE)="弹夹换弹",ROUND(VLOOKUP($AW140,$AD$3:$AJ$33,MATCH("换弹时间",$AD$3:$AJ$3,0),FALSE)-$AY140/VLOOKUP(VLOOKUP($AW140,坦克个性化设定!$B$18:$E$48,4,FALSE)&amp;$AX140,坦克属性分配比例,MATCH("升星次数",坦克属性分配比例标头,0),FALSE)*VLOOKUP($AW140,$AM$3:$AS$33,MATCH("换弹时间",$AM$3:$AS$3,0),FALSE),1),0)</f>
        <v>0</v>
      </c>
      <c r="BK140" s="462">
        <f>ROUND(VLOOKUP($AW140,$AD$3:$AJ$33,MATCH(BK$3,$AD$3:$AJ$3,0),FALSE)+$AY140/VLOOKUP(VLOOKUP($AW140,坦克个性化设定!$B$18:$E$48,4,FALSE)&amp;$AX140,坦克属性分配比例,MATCH("升星次数",坦克属性分配比例标头,0),FALSE)*VLOOKUP($AW140,$AM$3:$AS$33,MATCH(BK$3,$AM$3:$AS$3,0),FALSE),2)</f>
        <v>0</v>
      </c>
      <c r="BL140" s="462">
        <f>ROUND(VLOOKUP($AW140,$AD$3:$AJ$33,MATCH(BL$3,$AD$3:$AJ$3,0),FALSE)-$AY140/VLOOKUP(VLOOKUP($AW140,坦克个性化设定!$B$18:$E$48,4,FALSE)&amp;$AX140,坦克属性分配比例,MATCH("升星次数",坦克属性分配比例标头,0),FALSE)*VLOOKUP($AW140,$AM$3:$AS$33,MATCH(BL$3,$AM$3:$AS$3,0),FALSE),2)</f>
        <v>2.36</v>
      </c>
    </row>
    <row r="141" spans="47:64" x14ac:dyDescent="0.35">
      <c r="AU141" s="364" t="str">
        <f t="shared" si="22"/>
        <v>四号2</v>
      </c>
      <c r="AV141" s="183">
        <f>IF(AY140&gt;=VLOOKUP(VLOOKUP(AW140,坦克个性化设定!$B$18:$E$48,4,FALSE)&amp;AX140,坦克属性分配比例,MATCH("升星次数",坦克属性分配比例标头,0),FALSE),AV140+1,AV140)</f>
        <v>13</v>
      </c>
      <c r="AW141" s="131" t="str">
        <f t="shared" si="23"/>
        <v>四号</v>
      </c>
      <c r="AX141" s="177" t="str">
        <f>VLOOKUP(AW141,坦克个性化细分!$I$3:$J$33,2,FALSE)</f>
        <v>中</v>
      </c>
      <c r="AY141" s="183">
        <f t="shared" si="21"/>
        <v>2</v>
      </c>
      <c r="AZ141" s="486">
        <f ca="1">ROUND(VLOOKUP($AW141&amp;"初始",$O$3:$AA$63,MATCH(AZ$3,$O$3:$AA$3,0),FALSE)+((VLOOKUP($AW141&amp;"最终",$O$3:$AA$63,MATCH(AZ$3,$O$3:$AA$3,0),FALSE)*坦克个性化细分!$C$9-VLOOKUP($AW141&amp;"初始",$O$3:$AA$63,MATCH(AZ$3,$O$3:$AA$3,0),FALSE))-(VLOOKUP($AW141&amp;"最终",$O$3:$AA$63,MATCH(AZ$3,$O$3:$AA$3,0),FALSE)-VLOOKUP($AW141&amp;"初始",$O$3:$AA$63,MATCH(AZ$3,$O$3:$AA$3,0),FALSE))*VLOOKUP(VLOOKUP($AW141,坦克个性化设定!$B$18:$E$48,4,FALSE)&amp;$AX141,坦克属性分配比例,MATCH("部件比例",坦克属性分配比例标头,0),FALSE))*$AY141/VLOOKUP(VLOOKUP($AW141,坦克个性化设定!$B$18:$E$48,4,FALSE)&amp;$AX141,坦克属性分配比例,MATCH("升星次数",坦克属性分配比例标头,0),FALSE),0)</f>
        <v>1266</v>
      </c>
      <c r="BA141" s="426">
        <f ca="1">ROUND(VLOOKUP($AW141&amp;"初始",$O$3:$AA$63,MATCH(BA$3,$O$3:$AA$3,0),FALSE)+(VLOOKUP($AW141&amp;"最终",$O$3:$AA$63,MATCH(BA$3,$O$3:$AA$3,0),FALSE)-VLOOKUP($AW141&amp;"初始",$O$3:$AA$63,MATCH(BA$3,$O$3:$AA$3,0),FALSE))*$AY141/VLOOKUP(VLOOKUP($AW141,坦克个性化设定!$B$18:$E$48,4,FALSE)&amp;$AX141,坦克属性分配比例,MATCH("升星次数",坦克属性分配比例标头,0),FALSE)*VLOOKUP(VLOOKUP($AW141,坦克个性化设定!$B$18:$E$48,4,FALSE)&amp;$AX141,坦克属性分配比例,MATCH("升星比例",坦克属性分配比例标头,0),FALSE),0)</f>
        <v>222</v>
      </c>
      <c r="BB141" s="486">
        <f ca="1">ROUND(VLOOKUP($AW141&amp;"初始",$O$3:$AA$63,MATCH(BB$3,$O$3:$AA$3,0),FALSE)+(VLOOKUP($AW141&amp;"最终",$O$3:$AA$63,MATCH(BB$3,$O$3:$AA$3,0),FALSE)-VLOOKUP($AW141&amp;"初始",$O$3:$AA$63,MATCH(BB$3,$O$3:$AA$3,0),FALSE))*$AY141/VLOOKUP(VLOOKUP($AW141,坦克个性化设定!$B$18:$E$48,4,FALSE)&amp;$AX141,坦克属性分配比例,MATCH("升星次数",坦克属性分配比例标头,0),FALSE)*(VLOOKUP(VLOOKUP($AW141,坦克个性化设定!$B$18:$E$48,4,FALSE)&amp;$AX141,坦克属性分配比例,MATCH("升星比例",坦克属性分配比例标头,0),FALSE)+VLOOKUP(VLOOKUP($AW141,坦克个性化设定!$B$18:$E$48,4,FALSE)&amp;$AX141,坦克属性分配比例,MATCH("部件比例",坦克属性分配比例标头,0),FALSE)*$C$3),0)</f>
        <v>464</v>
      </c>
      <c r="BC141" s="486">
        <f ca="1">ROUND(VLOOKUP($AW141&amp;"初始",$O$3:$AA$63,MATCH(BC$3,$O$3:$AA$3,0),FALSE)+(VLOOKUP($AW141&amp;"最终",$O$3:$AA$63,MATCH(BC$3,$O$3:$AA$3,0),FALSE)-VLOOKUP($AW141&amp;"初始",$O$3:$AA$63,MATCH(BC$3,$O$3:$AA$3,0),FALSE))*$AY141/VLOOKUP(VLOOKUP($AW141,坦克个性化设定!$B$18:$E$48,4,FALSE)&amp;$AX141,坦克属性分配比例,MATCH("升星次数",坦克属性分配比例标头,0),FALSE)*(VLOOKUP(VLOOKUP($AW141,坦克个性化设定!$B$18:$E$48,4,FALSE)&amp;$AX141,坦克属性分配比例,MATCH("升星比例",坦克属性分配比例标头,0),FALSE)+VLOOKUP(VLOOKUP($AW141,坦克个性化设定!$B$18:$E$48,4,FALSE)&amp;$AX141,坦克属性分配比例,MATCH("部件比例",坦克属性分配比例标头,0),FALSE)*$C$3),0)</f>
        <v>348</v>
      </c>
      <c r="BD141" s="426">
        <f ca="1">ROUND(VLOOKUP($AW141&amp;"初始",$O$3:$AA$63,MATCH(BD$3,$O$3:$AA$3,0),FALSE)+(VLOOKUP($AW141&amp;"最终",$O$3:$AA$63,MATCH(BD$3,$O$3:$AA$3,0),FALSE)-VLOOKUP($AW141&amp;"初始",$O$3:$AA$63,MATCH(BD$3,$O$3:$AA$3,0),FALSE))*$AY141/VLOOKUP(VLOOKUP($AW141,坦克个性化设定!$B$18:$E$48,4,FALSE)&amp;$AX141,坦克属性分配比例,MATCH("升星次数",坦克属性分配比例标头,0),FALSE)*VLOOKUP(VLOOKUP($AW141,坦克个性化设定!$B$18:$E$48,4,FALSE)&amp;$AX141,坦克属性分配比例,MATCH("升星比例",坦克属性分配比例标头,0),FALSE),0)</f>
        <v>495</v>
      </c>
      <c r="BE141" s="426">
        <f ca="1">ROUND(VLOOKUP($AW141&amp;"初始",$O$3:$AA$63,MATCH(BE$3,$O$3:$AA$3,0),FALSE)+(VLOOKUP($AW141&amp;"最终",$O$3:$AA$63,MATCH(BE$3,$O$3:$AA$3,0),FALSE)-VLOOKUP($AW141&amp;"初始",$O$3:$AA$63,MATCH(BE$3,$O$3:$AA$3,0),FALSE))*$AY141/VLOOKUP(VLOOKUP($AW141,坦克个性化设定!$B$18:$E$48,4,FALSE)&amp;$AX141,坦克属性分配比例,MATCH("升星次数",坦克属性分配比例标头,0),FALSE),0)</f>
        <v>127</v>
      </c>
      <c r="BF141" s="462">
        <f>ROUND(VLOOKUP($AW141,$AD$3:$AJ$33,MATCH(BF$3,$AD$3:$AJ$3,0),FALSE)+$AY141/VLOOKUP(VLOOKUP($AW141,坦克个性化设定!$B$18:$E$48,4,FALSE)&amp;$AX141,坦克属性分配比例,MATCH("升星次数",坦克属性分配比例标头,0),FALSE)*VLOOKUP($AW141,$AM$3:$AS$33,MATCH(BF$3,$AM$3:$AS$3,0),FALSE),1)</f>
        <v>38</v>
      </c>
      <c r="BG141" s="462">
        <f>ROUND(VLOOKUP($AW141,$AD$3:$AJ$33,MATCH(BG$3,$AD$3:$AJ$3,0),FALSE)+$AY141/VLOOKUP(VLOOKUP($AW141,坦克个性化设定!$B$18:$E$48,4,FALSE)&amp;$AX141,坦克属性分配比例,MATCH("升星次数",坦克属性分配比例标头,0),FALSE)*VLOOKUP($AW141,$AM$3:$AS$33,MATCH(BG$3,$AM$3:$AS$3,0),FALSE),1)</f>
        <v>53.3</v>
      </c>
      <c r="BH141" s="462">
        <f>ROUND(VLOOKUP($AW141,$AD$3:$AJ$33,MATCH(BH$3,$AD$3:$AJ$3,0),FALSE)+$AY141/VLOOKUP(VLOOKUP($AW141,坦克个性化设定!$B$18:$E$48,4,FALSE)&amp;$AX141,坦克属性分配比例,MATCH("升星次数",坦克属性分配比例标头,0),FALSE)*VLOOKUP($AW141,$AM$3:$AS$33,MATCH(BH$3,$AM$3:$AS$3,0),FALSE),1)</f>
        <v>12</v>
      </c>
      <c r="BI141" s="654">
        <f>IF(VLOOKUP(AW141,坦克个性化设定!$B$18:$BB$48,MATCH("装弹类型",坦克个性化设定!$B$18:$BB$18,0),FALSE)="弹夹换弹",0,ROUND(VLOOKUP($AW141,$AD$3:$AJ$33,MATCH("换弹时间",$AD$3:$AJ$3,0),FALSE)-$AY141/VLOOKUP(VLOOKUP($AW141,坦克个性化设定!$B$18:$E$48,4,FALSE)&amp;$AX141,坦克属性分配比例,MATCH("升星次数",坦克属性分配比例标头,0),FALSE)*VLOOKUP($AW141,$AM$3:$AS$33,MATCH("换弹时间",$AM$3:$AS$3,0),FALSE),2))</f>
        <v>4.3</v>
      </c>
      <c r="BJ141" s="462">
        <f>IF(VLOOKUP(AW141,坦克个性化设定!$B$18:$BB$48,MATCH("装弹类型",坦克个性化设定!$B$18:$BB$18,0),FALSE)="弹夹换弹",ROUND(VLOOKUP($AW141,$AD$3:$AJ$33,MATCH("换弹时间",$AD$3:$AJ$3,0),FALSE)-$AY141/VLOOKUP(VLOOKUP($AW141,坦克个性化设定!$B$18:$E$48,4,FALSE)&amp;$AX141,坦克属性分配比例,MATCH("升星次数",坦克属性分配比例标头,0),FALSE)*VLOOKUP($AW141,$AM$3:$AS$33,MATCH("换弹时间",$AM$3:$AS$3,0),FALSE),1),0)</f>
        <v>0</v>
      </c>
      <c r="BK141" s="462">
        <f>ROUND(VLOOKUP($AW141,$AD$3:$AJ$33,MATCH(BK$3,$AD$3:$AJ$3,0),FALSE)+$AY141/VLOOKUP(VLOOKUP($AW141,坦克个性化设定!$B$18:$E$48,4,FALSE)&amp;$AX141,坦克属性分配比例,MATCH("升星次数",坦克属性分配比例标头,0),FALSE)*VLOOKUP($AW141,$AM$3:$AS$33,MATCH(BK$3,$AM$3:$AS$3,0),FALSE),2)</f>
        <v>0</v>
      </c>
      <c r="BL141" s="462">
        <f>ROUND(VLOOKUP($AW141,$AD$3:$AJ$33,MATCH(BL$3,$AD$3:$AJ$3,0),FALSE)-$AY141/VLOOKUP(VLOOKUP($AW141,坦克个性化设定!$B$18:$E$48,4,FALSE)&amp;$AX141,坦克属性分配比例,MATCH("升星次数",坦克属性分配比例标头,0),FALSE)*VLOOKUP($AW141,$AM$3:$AS$33,MATCH(BL$3,$AM$3:$AS$3,0),FALSE),2)</f>
        <v>2.33</v>
      </c>
    </row>
    <row r="142" spans="47:64" x14ac:dyDescent="0.35">
      <c r="AU142" s="364" t="str">
        <f t="shared" si="22"/>
        <v>四号3</v>
      </c>
      <c r="AV142" s="183">
        <f>IF(AY141&gt;=VLOOKUP(VLOOKUP(AW141,坦克个性化设定!$B$18:$E$48,4,FALSE)&amp;AX141,坦克属性分配比例,MATCH("升星次数",坦克属性分配比例标头,0),FALSE),AV141+1,AV141)</f>
        <v>13</v>
      </c>
      <c r="AW142" s="131" t="str">
        <f t="shared" si="23"/>
        <v>四号</v>
      </c>
      <c r="AX142" s="177" t="str">
        <f>VLOOKUP(AW142,坦克个性化细分!$I$3:$J$33,2,FALSE)</f>
        <v>中</v>
      </c>
      <c r="AY142" s="183">
        <f t="shared" si="21"/>
        <v>3</v>
      </c>
      <c r="AZ142" s="486">
        <f ca="1">ROUND(VLOOKUP($AW142&amp;"初始",$O$3:$AA$63,MATCH(AZ$3,$O$3:$AA$3,0),FALSE)+((VLOOKUP($AW142&amp;"最终",$O$3:$AA$63,MATCH(AZ$3,$O$3:$AA$3,0),FALSE)*坦克个性化细分!$C$9-VLOOKUP($AW142&amp;"初始",$O$3:$AA$63,MATCH(AZ$3,$O$3:$AA$3,0),FALSE))-(VLOOKUP($AW142&amp;"最终",$O$3:$AA$63,MATCH(AZ$3,$O$3:$AA$3,0),FALSE)-VLOOKUP($AW142&amp;"初始",$O$3:$AA$63,MATCH(AZ$3,$O$3:$AA$3,0),FALSE))*VLOOKUP(VLOOKUP($AW142,坦克个性化设定!$B$18:$E$48,4,FALSE)&amp;$AX142,坦克属性分配比例,MATCH("部件比例",坦克属性分配比例标头,0),FALSE))*$AY142/VLOOKUP(VLOOKUP($AW142,坦克个性化设定!$B$18:$E$48,4,FALSE)&amp;$AX142,坦克属性分配比例,MATCH("升星次数",坦克属性分配比例标头,0),FALSE),0)</f>
        <v>1382</v>
      </c>
      <c r="BA142" s="426">
        <f ca="1">ROUND(VLOOKUP($AW142&amp;"初始",$O$3:$AA$63,MATCH(BA$3,$O$3:$AA$3,0),FALSE)+(VLOOKUP($AW142&amp;"最终",$O$3:$AA$63,MATCH(BA$3,$O$3:$AA$3,0),FALSE)-VLOOKUP($AW142&amp;"初始",$O$3:$AA$63,MATCH(BA$3,$O$3:$AA$3,0),FALSE))*$AY142/VLOOKUP(VLOOKUP($AW142,坦克个性化设定!$B$18:$E$48,4,FALSE)&amp;$AX142,坦克属性分配比例,MATCH("升星次数",坦克属性分配比例标头,0),FALSE)*VLOOKUP(VLOOKUP($AW142,坦克个性化设定!$B$18:$E$48,4,FALSE)&amp;$AX142,坦克属性分配比例,MATCH("升星比例",坦克属性分配比例标头,0),FALSE),0)</f>
        <v>233</v>
      </c>
      <c r="BB142" s="486">
        <f ca="1">ROUND(VLOOKUP($AW142&amp;"初始",$O$3:$AA$63,MATCH(BB$3,$O$3:$AA$3,0),FALSE)+(VLOOKUP($AW142&amp;"最终",$O$3:$AA$63,MATCH(BB$3,$O$3:$AA$3,0),FALSE)-VLOOKUP($AW142&amp;"初始",$O$3:$AA$63,MATCH(BB$3,$O$3:$AA$3,0),FALSE))*$AY142/VLOOKUP(VLOOKUP($AW142,坦克个性化设定!$B$18:$E$48,4,FALSE)&amp;$AX142,坦克属性分配比例,MATCH("升星次数",坦克属性分配比例标头,0),FALSE)*(VLOOKUP(VLOOKUP($AW142,坦克个性化设定!$B$18:$E$48,4,FALSE)&amp;$AX142,坦克属性分配比例,MATCH("升星比例",坦克属性分配比例标头,0),FALSE)+VLOOKUP(VLOOKUP($AW142,坦克个性化设定!$B$18:$E$48,4,FALSE)&amp;$AX142,坦克属性分配比例,MATCH("部件比例",坦克属性分配比例标头,0),FALSE)*$C$3),0)</f>
        <v>495</v>
      </c>
      <c r="BC142" s="486">
        <f ca="1">ROUND(VLOOKUP($AW142&amp;"初始",$O$3:$AA$63,MATCH(BC$3,$O$3:$AA$3,0),FALSE)+(VLOOKUP($AW142&amp;"最终",$O$3:$AA$63,MATCH(BC$3,$O$3:$AA$3,0),FALSE)-VLOOKUP($AW142&amp;"初始",$O$3:$AA$63,MATCH(BC$3,$O$3:$AA$3,0),FALSE))*$AY142/VLOOKUP(VLOOKUP($AW142,坦克个性化设定!$B$18:$E$48,4,FALSE)&amp;$AX142,坦克属性分配比例,MATCH("升星次数",坦克属性分配比例标头,0),FALSE)*(VLOOKUP(VLOOKUP($AW142,坦克个性化设定!$B$18:$E$48,4,FALSE)&amp;$AX142,坦克属性分配比例,MATCH("升星比例",坦克属性分配比例标头,0),FALSE)+VLOOKUP(VLOOKUP($AW142,坦克个性化设定!$B$18:$E$48,4,FALSE)&amp;$AX142,坦克属性分配比例,MATCH("部件比例",坦克属性分配比例标头,0),FALSE)*$C$3),0)</f>
        <v>371</v>
      </c>
      <c r="BD142" s="426">
        <f ca="1">ROUND(VLOOKUP($AW142&amp;"初始",$O$3:$AA$63,MATCH(BD$3,$O$3:$AA$3,0),FALSE)+(VLOOKUP($AW142&amp;"最终",$O$3:$AA$63,MATCH(BD$3,$O$3:$AA$3,0),FALSE)-VLOOKUP($AW142&amp;"初始",$O$3:$AA$63,MATCH(BD$3,$O$3:$AA$3,0),FALSE))*$AY142/VLOOKUP(VLOOKUP($AW142,坦克个性化设定!$B$18:$E$48,4,FALSE)&amp;$AX142,坦克属性分配比例,MATCH("升星次数",坦克属性分配比例标头,0),FALSE)*VLOOKUP(VLOOKUP($AW142,坦克个性化设定!$B$18:$E$48,4,FALSE)&amp;$AX142,坦克属性分配比例,MATCH("升星比例",坦克属性分配比例标头,0),FALSE),0)</f>
        <v>520</v>
      </c>
      <c r="BE142" s="426">
        <f ca="1">ROUND(VLOOKUP($AW142&amp;"初始",$O$3:$AA$63,MATCH(BE$3,$O$3:$AA$3,0),FALSE)+(VLOOKUP($AW142&amp;"最终",$O$3:$AA$63,MATCH(BE$3,$O$3:$AA$3,0),FALSE)-VLOOKUP($AW142&amp;"初始",$O$3:$AA$63,MATCH(BE$3,$O$3:$AA$3,0),FALSE))*$AY142/VLOOKUP(VLOOKUP($AW142,坦克个性化设定!$B$18:$E$48,4,FALSE)&amp;$AX142,坦克属性分配比例,MATCH("升星次数",坦克属性分配比例标头,0),FALSE),0)</f>
        <v>136</v>
      </c>
      <c r="BF142" s="462">
        <f>ROUND(VLOOKUP($AW142,$AD$3:$AJ$33,MATCH(BF$3,$AD$3:$AJ$3,0),FALSE)+$AY142/VLOOKUP(VLOOKUP($AW142,坦克个性化设定!$B$18:$E$48,4,FALSE)&amp;$AX142,坦克属性分配比例,MATCH("升星次数",坦克属性分配比例标头,0),FALSE)*VLOOKUP($AW142,$AM$3:$AS$33,MATCH(BF$3,$AM$3:$AS$3,0),FALSE),1)</f>
        <v>38.799999999999997</v>
      </c>
      <c r="BG142" s="462">
        <f>ROUND(VLOOKUP($AW142,$AD$3:$AJ$33,MATCH(BG$3,$AD$3:$AJ$3,0),FALSE)+$AY142/VLOOKUP(VLOOKUP($AW142,坦克个性化设定!$B$18:$E$48,4,FALSE)&amp;$AX142,坦克属性分配比例,MATCH("升星次数",坦克属性分配比例标头,0),FALSE)*VLOOKUP($AW142,$AM$3:$AS$33,MATCH(BG$3,$AM$3:$AS$3,0),FALSE),1)</f>
        <v>54.5</v>
      </c>
      <c r="BH142" s="462">
        <f>ROUND(VLOOKUP($AW142,$AD$3:$AJ$33,MATCH(BH$3,$AD$3:$AJ$3,0),FALSE)+$AY142/VLOOKUP(VLOOKUP($AW142,坦克个性化设定!$B$18:$E$48,4,FALSE)&amp;$AX142,坦克属性分配比例,MATCH("升星次数",坦克属性分配比例标头,0),FALSE)*VLOOKUP($AW142,$AM$3:$AS$33,MATCH(BH$3,$AM$3:$AS$3,0),FALSE),1)</f>
        <v>12.3</v>
      </c>
      <c r="BI142" s="654">
        <f>IF(VLOOKUP(AW142,坦克个性化设定!$B$18:$BB$48,MATCH("装弹类型",坦克个性化设定!$B$18:$BB$18,0),FALSE)="弹夹换弹",0,ROUND(VLOOKUP($AW142,$AD$3:$AJ$33,MATCH("换弹时间",$AD$3:$AJ$3,0),FALSE)-$AY142/VLOOKUP(VLOOKUP($AW142,坦克个性化设定!$B$18:$E$48,4,FALSE)&amp;$AX142,坦克属性分配比例,MATCH("升星次数",坦克属性分配比例标头,0),FALSE)*VLOOKUP($AW142,$AM$3:$AS$33,MATCH("换弹时间",$AM$3:$AS$3,0),FALSE),2))</f>
        <v>4.2</v>
      </c>
      <c r="BJ142" s="462">
        <f>IF(VLOOKUP(AW142,坦克个性化设定!$B$18:$BB$48,MATCH("装弹类型",坦克个性化设定!$B$18:$BB$18,0),FALSE)="弹夹换弹",ROUND(VLOOKUP($AW142,$AD$3:$AJ$33,MATCH("换弹时间",$AD$3:$AJ$3,0),FALSE)-$AY142/VLOOKUP(VLOOKUP($AW142,坦克个性化设定!$B$18:$E$48,4,FALSE)&amp;$AX142,坦克属性分配比例,MATCH("升星次数",坦克属性分配比例标头,0),FALSE)*VLOOKUP($AW142,$AM$3:$AS$33,MATCH("换弹时间",$AM$3:$AS$3,0),FALSE),1),0)</f>
        <v>0</v>
      </c>
      <c r="BK142" s="462">
        <f>ROUND(VLOOKUP($AW142,$AD$3:$AJ$33,MATCH(BK$3,$AD$3:$AJ$3,0),FALSE)+$AY142/VLOOKUP(VLOOKUP($AW142,坦克个性化设定!$B$18:$E$48,4,FALSE)&amp;$AX142,坦克属性分配比例,MATCH("升星次数",坦克属性分配比例标头,0),FALSE)*VLOOKUP($AW142,$AM$3:$AS$33,MATCH(BK$3,$AM$3:$AS$3,0),FALSE),2)</f>
        <v>0</v>
      </c>
      <c r="BL142" s="462">
        <f>ROUND(VLOOKUP($AW142,$AD$3:$AJ$33,MATCH(BL$3,$AD$3:$AJ$3,0),FALSE)-$AY142/VLOOKUP(VLOOKUP($AW142,坦克个性化设定!$B$18:$E$48,4,FALSE)&amp;$AX142,坦克属性分配比例,MATCH("升星次数",坦克属性分配比例标头,0),FALSE)*VLOOKUP($AW142,$AM$3:$AS$33,MATCH(BL$3,$AM$3:$AS$3,0),FALSE),2)</f>
        <v>2.29</v>
      </c>
    </row>
    <row r="143" spans="47:64" x14ac:dyDescent="0.35">
      <c r="AU143" s="364" t="str">
        <f t="shared" si="22"/>
        <v>四号4</v>
      </c>
      <c r="AV143" s="183">
        <f>IF(AY142&gt;=VLOOKUP(VLOOKUP(AW142,坦克个性化设定!$B$18:$E$48,4,FALSE)&amp;AX142,坦克属性分配比例,MATCH("升星次数",坦克属性分配比例标头,0),FALSE),AV142+1,AV142)</f>
        <v>13</v>
      </c>
      <c r="AW143" s="131" t="str">
        <f t="shared" si="23"/>
        <v>四号</v>
      </c>
      <c r="AX143" s="177" t="str">
        <f>VLOOKUP(AW143,坦克个性化细分!$I$3:$J$33,2,FALSE)</f>
        <v>中</v>
      </c>
      <c r="AY143" s="183">
        <f t="shared" si="21"/>
        <v>4</v>
      </c>
      <c r="AZ143" s="486">
        <f ca="1">ROUND(VLOOKUP($AW143&amp;"初始",$O$3:$AA$63,MATCH(AZ$3,$O$3:$AA$3,0),FALSE)+((VLOOKUP($AW143&amp;"最终",$O$3:$AA$63,MATCH(AZ$3,$O$3:$AA$3,0),FALSE)*坦克个性化细分!$C$9-VLOOKUP($AW143&amp;"初始",$O$3:$AA$63,MATCH(AZ$3,$O$3:$AA$3,0),FALSE))-(VLOOKUP($AW143&amp;"最终",$O$3:$AA$63,MATCH(AZ$3,$O$3:$AA$3,0),FALSE)-VLOOKUP($AW143&amp;"初始",$O$3:$AA$63,MATCH(AZ$3,$O$3:$AA$3,0),FALSE))*VLOOKUP(VLOOKUP($AW143,坦克个性化设定!$B$18:$E$48,4,FALSE)&amp;$AX143,坦克属性分配比例,MATCH("部件比例",坦克属性分配比例标头,0),FALSE))*$AY143/VLOOKUP(VLOOKUP($AW143,坦克个性化设定!$B$18:$E$48,4,FALSE)&amp;$AX143,坦克属性分配比例,MATCH("升星次数",坦克属性分配比例标头,0),FALSE),0)</f>
        <v>1497</v>
      </c>
      <c r="BA143" s="426">
        <f ca="1">ROUND(VLOOKUP($AW143&amp;"初始",$O$3:$AA$63,MATCH(BA$3,$O$3:$AA$3,0),FALSE)+(VLOOKUP($AW143&amp;"最终",$O$3:$AA$63,MATCH(BA$3,$O$3:$AA$3,0),FALSE)-VLOOKUP($AW143&amp;"初始",$O$3:$AA$63,MATCH(BA$3,$O$3:$AA$3,0),FALSE))*$AY143/VLOOKUP(VLOOKUP($AW143,坦克个性化设定!$B$18:$E$48,4,FALSE)&amp;$AX143,坦克属性分配比例,MATCH("升星次数",坦克属性分配比例标头,0),FALSE)*VLOOKUP(VLOOKUP($AW143,坦克个性化设定!$B$18:$E$48,4,FALSE)&amp;$AX143,坦克属性分配比例,MATCH("升星比例",坦克属性分配比例标头,0),FALSE),0)</f>
        <v>245</v>
      </c>
      <c r="BB143" s="486">
        <f ca="1">ROUND(VLOOKUP($AW143&amp;"初始",$O$3:$AA$63,MATCH(BB$3,$O$3:$AA$3,0),FALSE)+(VLOOKUP($AW143&amp;"最终",$O$3:$AA$63,MATCH(BB$3,$O$3:$AA$3,0),FALSE)-VLOOKUP($AW143&amp;"初始",$O$3:$AA$63,MATCH(BB$3,$O$3:$AA$3,0),FALSE))*$AY143/VLOOKUP(VLOOKUP($AW143,坦克个性化设定!$B$18:$E$48,4,FALSE)&amp;$AX143,坦克属性分配比例,MATCH("升星次数",坦克属性分配比例标头,0),FALSE)*(VLOOKUP(VLOOKUP($AW143,坦克个性化设定!$B$18:$E$48,4,FALSE)&amp;$AX143,坦克属性分配比例,MATCH("升星比例",坦克属性分配比例标头,0),FALSE)+VLOOKUP(VLOOKUP($AW143,坦克个性化设定!$B$18:$E$48,4,FALSE)&amp;$AX143,坦克属性分配比例,MATCH("部件比例",坦克属性分配比例标头,0),FALSE)*$C$3),0)</f>
        <v>525</v>
      </c>
      <c r="BC143" s="486">
        <f ca="1">ROUND(VLOOKUP($AW143&amp;"初始",$O$3:$AA$63,MATCH(BC$3,$O$3:$AA$3,0),FALSE)+(VLOOKUP($AW143&amp;"最终",$O$3:$AA$63,MATCH(BC$3,$O$3:$AA$3,0),FALSE)-VLOOKUP($AW143&amp;"初始",$O$3:$AA$63,MATCH(BC$3,$O$3:$AA$3,0),FALSE))*$AY143/VLOOKUP(VLOOKUP($AW143,坦克个性化设定!$B$18:$E$48,4,FALSE)&amp;$AX143,坦克属性分配比例,MATCH("升星次数",坦克属性分配比例标头,0),FALSE)*(VLOOKUP(VLOOKUP($AW143,坦克个性化设定!$B$18:$E$48,4,FALSE)&amp;$AX143,坦克属性分配比例,MATCH("升星比例",坦克属性分配比例标头,0),FALSE)+VLOOKUP(VLOOKUP($AW143,坦克个性化设定!$B$18:$E$48,4,FALSE)&amp;$AX143,坦克属性分配比例,MATCH("部件比例",坦克属性分配比例标头,0),FALSE)*$C$3),0)</f>
        <v>394</v>
      </c>
      <c r="BD143" s="426">
        <f ca="1">ROUND(VLOOKUP($AW143&amp;"初始",$O$3:$AA$63,MATCH(BD$3,$O$3:$AA$3,0),FALSE)+(VLOOKUP($AW143&amp;"最终",$O$3:$AA$63,MATCH(BD$3,$O$3:$AA$3,0),FALSE)-VLOOKUP($AW143&amp;"初始",$O$3:$AA$63,MATCH(BD$3,$O$3:$AA$3,0),FALSE))*$AY143/VLOOKUP(VLOOKUP($AW143,坦克个性化设定!$B$18:$E$48,4,FALSE)&amp;$AX143,坦克属性分配比例,MATCH("升星次数",坦克属性分配比例标头,0),FALSE)*VLOOKUP(VLOOKUP($AW143,坦克个性化设定!$B$18:$E$48,4,FALSE)&amp;$AX143,坦克属性分配比例,MATCH("升星比例",坦克属性分配比例标头,0),FALSE),0)</f>
        <v>546</v>
      </c>
      <c r="BE143" s="426">
        <f ca="1">ROUND(VLOOKUP($AW143&amp;"初始",$O$3:$AA$63,MATCH(BE$3,$O$3:$AA$3,0),FALSE)+(VLOOKUP($AW143&amp;"最终",$O$3:$AA$63,MATCH(BE$3,$O$3:$AA$3,0),FALSE)-VLOOKUP($AW143&amp;"初始",$O$3:$AA$63,MATCH(BE$3,$O$3:$AA$3,0),FALSE))*$AY143/VLOOKUP(VLOOKUP($AW143,坦克个性化设定!$B$18:$E$48,4,FALSE)&amp;$AX143,坦克属性分配比例,MATCH("升星次数",坦克属性分配比例标头,0),FALSE),0)</f>
        <v>145</v>
      </c>
      <c r="BF143" s="462">
        <f>ROUND(VLOOKUP($AW143,$AD$3:$AJ$33,MATCH(BF$3,$AD$3:$AJ$3,0),FALSE)+$AY143/VLOOKUP(VLOOKUP($AW143,坦克个性化设定!$B$18:$E$48,4,FALSE)&amp;$AX143,坦克属性分配比例,MATCH("升星次数",坦克属性分配比例标头,0),FALSE)*VLOOKUP($AW143,$AM$3:$AS$33,MATCH(BF$3,$AM$3:$AS$3,0),FALSE),1)</f>
        <v>39.6</v>
      </c>
      <c r="BG143" s="462">
        <f>ROUND(VLOOKUP($AW143,$AD$3:$AJ$33,MATCH(BG$3,$AD$3:$AJ$3,0),FALSE)+$AY143/VLOOKUP(VLOOKUP($AW143,坦克个性化设定!$B$18:$E$48,4,FALSE)&amp;$AX143,坦克属性分配比例,MATCH("升星次数",坦克属性分配比例标头,0),FALSE)*VLOOKUP($AW143,$AM$3:$AS$33,MATCH(BG$3,$AM$3:$AS$3,0),FALSE),1)</f>
        <v>55.6</v>
      </c>
      <c r="BH143" s="462">
        <f>ROUND(VLOOKUP($AW143,$AD$3:$AJ$33,MATCH(BH$3,$AD$3:$AJ$3,0),FALSE)+$AY143/VLOOKUP(VLOOKUP($AW143,坦克个性化设定!$B$18:$E$48,4,FALSE)&amp;$AX143,坦克属性分配比例,MATCH("升星次数",坦克属性分配比例标头,0),FALSE)*VLOOKUP($AW143,$AM$3:$AS$33,MATCH(BH$3,$AM$3:$AS$3,0),FALSE),1)</f>
        <v>12.6</v>
      </c>
      <c r="BI143" s="654">
        <f>IF(VLOOKUP(AW143,坦克个性化设定!$B$18:$BB$48,MATCH("装弹类型",坦克个性化设定!$B$18:$BB$18,0),FALSE)="弹夹换弹",0,ROUND(VLOOKUP($AW143,$AD$3:$AJ$33,MATCH("换弹时间",$AD$3:$AJ$3,0),FALSE)-$AY143/VLOOKUP(VLOOKUP($AW143,坦克个性化设定!$B$18:$E$48,4,FALSE)&amp;$AX143,坦克属性分配比例,MATCH("升星次数",坦克属性分配比例标头,0),FALSE)*VLOOKUP($AW143,$AM$3:$AS$33,MATCH("换弹时间",$AM$3:$AS$3,0),FALSE),2))</f>
        <v>4.0999999999999996</v>
      </c>
      <c r="BJ143" s="462">
        <f>IF(VLOOKUP(AW143,坦克个性化设定!$B$18:$BB$48,MATCH("装弹类型",坦克个性化设定!$B$18:$BB$18,0),FALSE)="弹夹换弹",ROUND(VLOOKUP($AW143,$AD$3:$AJ$33,MATCH("换弹时间",$AD$3:$AJ$3,0),FALSE)-$AY143/VLOOKUP(VLOOKUP($AW143,坦克个性化设定!$B$18:$E$48,4,FALSE)&amp;$AX143,坦克属性分配比例,MATCH("升星次数",坦克属性分配比例标头,0),FALSE)*VLOOKUP($AW143,$AM$3:$AS$33,MATCH("换弹时间",$AM$3:$AS$3,0),FALSE),1),0)</f>
        <v>0</v>
      </c>
      <c r="BK143" s="462">
        <f>ROUND(VLOOKUP($AW143,$AD$3:$AJ$33,MATCH(BK$3,$AD$3:$AJ$3,0),FALSE)+$AY143/VLOOKUP(VLOOKUP($AW143,坦克个性化设定!$B$18:$E$48,4,FALSE)&amp;$AX143,坦克属性分配比例,MATCH("升星次数",坦克属性分配比例标头,0),FALSE)*VLOOKUP($AW143,$AM$3:$AS$33,MATCH(BK$3,$AM$3:$AS$3,0),FALSE),2)</f>
        <v>0</v>
      </c>
      <c r="BL143" s="462">
        <f>ROUND(VLOOKUP($AW143,$AD$3:$AJ$33,MATCH(BL$3,$AD$3:$AJ$3,0),FALSE)-$AY143/VLOOKUP(VLOOKUP($AW143,坦克个性化设定!$B$18:$E$48,4,FALSE)&amp;$AX143,坦克属性分配比例,MATCH("升星次数",坦克属性分配比例标头,0),FALSE)*VLOOKUP($AW143,$AM$3:$AS$33,MATCH(BL$3,$AM$3:$AS$3,0),FALSE),2)</f>
        <v>2.25</v>
      </c>
    </row>
    <row r="144" spans="47:64" x14ac:dyDescent="0.35">
      <c r="AU144" s="364" t="str">
        <f t="shared" si="22"/>
        <v>四号5</v>
      </c>
      <c r="AV144" s="183">
        <f>IF(AY143&gt;=VLOOKUP(VLOOKUP(AW143,坦克个性化设定!$B$18:$E$48,4,FALSE)&amp;AX143,坦克属性分配比例,MATCH("升星次数",坦克属性分配比例标头,0),FALSE),AV143+1,AV143)</f>
        <v>13</v>
      </c>
      <c r="AW144" s="131" t="str">
        <f t="shared" si="23"/>
        <v>四号</v>
      </c>
      <c r="AX144" s="177" t="str">
        <f>VLOOKUP(AW144,坦克个性化细分!$I$3:$J$33,2,FALSE)</f>
        <v>中</v>
      </c>
      <c r="AY144" s="183">
        <f t="shared" si="21"/>
        <v>5</v>
      </c>
      <c r="AZ144" s="486">
        <f ca="1">ROUND(VLOOKUP($AW144&amp;"初始",$O$3:$AA$63,MATCH(AZ$3,$O$3:$AA$3,0),FALSE)+((VLOOKUP($AW144&amp;"最终",$O$3:$AA$63,MATCH(AZ$3,$O$3:$AA$3,0),FALSE)*坦克个性化细分!$C$9-VLOOKUP($AW144&amp;"初始",$O$3:$AA$63,MATCH(AZ$3,$O$3:$AA$3,0),FALSE))-(VLOOKUP($AW144&amp;"最终",$O$3:$AA$63,MATCH(AZ$3,$O$3:$AA$3,0),FALSE)-VLOOKUP($AW144&amp;"初始",$O$3:$AA$63,MATCH(AZ$3,$O$3:$AA$3,0),FALSE))*VLOOKUP(VLOOKUP($AW144,坦克个性化设定!$B$18:$E$48,4,FALSE)&amp;$AX144,坦克属性分配比例,MATCH("部件比例",坦克属性分配比例标头,0),FALSE))*$AY144/VLOOKUP(VLOOKUP($AW144,坦克个性化设定!$B$18:$E$48,4,FALSE)&amp;$AX144,坦克属性分配比例,MATCH("升星次数",坦克属性分配比例标头,0),FALSE),0)</f>
        <v>1612</v>
      </c>
      <c r="BA144" s="426">
        <f ca="1">ROUND(VLOOKUP($AW144&amp;"初始",$O$3:$AA$63,MATCH(BA$3,$O$3:$AA$3,0),FALSE)+(VLOOKUP($AW144&amp;"最终",$O$3:$AA$63,MATCH(BA$3,$O$3:$AA$3,0),FALSE)-VLOOKUP($AW144&amp;"初始",$O$3:$AA$63,MATCH(BA$3,$O$3:$AA$3,0),FALSE))*$AY144/VLOOKUP(VLOOKUP($AW144,坦克个性化设定!$B$18:$E$48,4,FALSE)&amp;$AX144,坦克属性分配比例,MATCH("升星次数",坦克属性分配比例标头,0),FALSE)*VLOOKUP(VLOOKUP($AW144,坦克个性化设定!$B$18:$E$48,4,FALSE)&amp;$AX144,坦克属性分配比例,MATCH("升星比例",坦克属性分配比例标头,0),FALSE),0)</f>
        <v>257</v>
      </c>
      <c r="BB144" s="486">
        <f ca="1">ROUND(VLOOKUP($AW144&amp;"初始",$O$3:$AA$63,MATCH(BB$3,$O$3:$AA$3,0),FALSE)+(VLOOKUP($AW144&amp;"最终",$O$3:$AA$63,MATCH(BB$3,$O$3:$AA$3,0),FALSE)-VLOOKUP($AW144&amp;"初始",$O$3:$AA$63,MATCH(BB$3,$O$3:$AA$3,0),FALSE))*$AY144/VLOOKUP(VLOOKUP($AW144,坦克个性化设定!$B$18:$E$48,4,FALSE)&amp;$AX144,坦克属性分配比例,MATCH("升星次数",坦克属性分配比例标头,0),FALSE)*(VLOOKUP(VLOOKUP($AW144,坦克个性化设定!$B$18:$E$48,4,FALSE)&amp;$AX144,坦克属性分配比例,MATCH("升星比例",坦克属性分配比例标头,0),FALSE)+VLOOKUP(VLOOKUP($AW144,坦克个性化设定!$B$18:$E$48,4,FALSE)&amp;$AX144,坦克属性分配比例,MATCH("部件比例",坦克属性分配比例标头,0),FALSE)*$C$3),0)</f>
        <v>555</v>
      </c>
      <c r="BC144" s="486">
        <f ca="1">ROUND(VLOOKUP($AW144&amp;"初始",$O$3:$AA$63,MATCH(BC$3,$O$3:$AA$3,0),FALSE)+(VLOOKUP($AW144&amp;"最终",$O$3:$AA$63,MATCH(BC$3,$O$3:$AA$3,0),FALSE)-VLOOKUP($AW144&amp;"初始",$O$3:$AA$63,MATCH(BC$3,$O$3:$AA$3,0),FALSE))*$AY144/VLOOKUP(VLOOKUP($AW144,坦克个性化设定!$B$18:$E$48,4,FALSE)&amp;$AX144,坦克属性分配比例,MATCH("升星次数",坦克属性分配比例标头,0),FALSE)*(VLOOKUP(VLOOKUP($AW144,坦克个性化设定!$B$18:$E$48,4,FALSE)&amp;$AX144,坦克属性分配比例,MATCH("升星比例",坦克属性分配比例标头,0),FALSE)+VLOOKUP(VLOOKUP($AW144,坦克个性化设定!$B$18:$E$48,4,FALSE)&amp;$AX144,坦克属性分配比例,MATCH("部件比例",坦克属性分配比例标头,0),FALSE)*$C$3),0)</f>
        <v>416</v>
      </c>
      <c r="BD144" s="426">
        <f ca="1">ROUND(VLOOKUP($AW144&amp;"初始",$O$3:$AA$63,MATCH(BD$3,$O$3:$AA$3,0),FALSE)+(VLOOKUP($AW144&amp;"最终",$O$3:$AA$63,MATCH(BD$3,$O$3:$AA$3,0),FALSE)-VLOOKUP($AW144&amp;"初始",$O$3:$AA$63,MATCH(BD$3,$O$3:$AA$3,0),FALSE))*$AY144/VLOOKUP(VLOOKUP($AW144,坦克个性化设定!$B$18:$E$48,4,FALSE)&amp;$AX144,坦克属性分配比例,MATCH("升星次数",坦克属性分配比例标头,0),FALSE)*VLOOKUP(VLOOKUP($AW144,坦克个性化设定!$B$18:$E$48,4,FALSE)&amp;$AX144,坦克属性分配比例,MATCH("升星比例",坦克属性分配比例标头,0),FALSE),0)</f>
        <v>572</v>
      </c>
      <c r="BE144" s="426">
        <f ca="1">ROUND(VLOOKUP($AW144&amp;"初始",$O$3:$AA$63,MATCH(BE$3,$O$3:$AA$3,0),FALSE)+(VLOOKUP($AW144&amp;"最终",$O$3:$AA$63,MATCH(BE$3,$O$3:$AA$3,0),FALSE)-VLOOKUP($AW144&amp;"初始",$O$3:$AA$63,MATCH(BE$3,$O$3:$AA$3,0),FALSE))*$AY144/VLOOKUP(VLOOKUP($AW144,坦克个性化设定!$B$18:$E$48,4,FALSE)&amp;$AX144,坦克属性分配比例,MATCH("升星次数",坦克属性分配比例标头,0),FALSE),0)</f>
        <v>154</v>
      </c>
      <c r="BF144" s="462">
        <f>ROUND(VLOOKUP($AW144,$AD$3:$AJ$33,MATCH(BF$3,$AD$3:$AJ$3,0),FALSE)+$AY144/VLOOKUP(VLOOKUP($AW144,坦克个性化设定!$B$18:$E$48,4,FALSE)&amp;$AX144,坦克属性分配比例,MATCH("升星次数",坦克属性分配比例标头,0),FALSE)*VLOOKUP($AW144,$AM$3:$AS$33,MATCH(BF$3,$AM$3:$AS$3,0),FALSE),1)</f>
        <v>40.4</v>
      </c>
      <c r="BG144" s="462">
        <f>ROUND(VLOOKUP($AW144,$AD$3:$AJ$33,MATCH(BG$3,$AD$3:$AJ$3,0),FALSE)+$AY144/VLOOKUP(VLOOKUP($AW144,坦克个性化设定!$B$18:$E$48,4,FALSE)&amp;$AX144,坦克属性分配比例,MATCH("升星次数",坦克属性分配比例标头,0),FALSE)*VLOOKUP($AW144,$AM$3:$AS$33,MATCH(BG$3,$AM$3:$AS$3,0),FALSE),1)</f>
        <v>56.8</v>
      </c>
      <c r="BH144" s="462">
        <f>ROUND(VLOOKUP($AW144,$AD$3:$AJ$33,MATCH(BH$3,$AD$3:$AJ$3,0),FALSE)+$AY144/VLOOKUP(VLOOKUP($AW144,坦克个性化设定!$B$18:$E$48,4,FALSE)&amp;$AX144,坦克属性分配比例,MATCH("升星次数",坦克属性分配比例标头,0),FALSE)*VLOOKUP($AW144,$AM$3:$AS$33,MATCH(BH$3,$AM$3:$AS$3,0),FALSE),1)</f>
        <v>13</v>
      </c>
      <c r="BI144" s="654">
        <f>IF(VLOOKUP(AW144,坦克个性化设定!$B$18:$BB$48,MATCH("装弹类型",坦克个性化设定!$B$18:$BB$18,0),FALSE)="弹夹换弹",0,ROUND(VLOOKUP($AW144,$AD$3:$AJ$33,MATCH("换弹时间",$AD$3:$AJ$3,0),FALSE)-$AY144/VLOOKUP(VLOOKUP($AW144,坦克个性化设定!$B$18:$E$48,4,FALSE)&amp;$AX144,坦克属性分配比例,MATCH("升星次数",坦克属性分配比例标头,0),FALSE)*VLOOKUP($AW144,$AM$3:$AS$33,MATCH("换弹时间",$AM$3:$AS$3,0),FALSE),2))</f>
        <v>4</v>
      </c>
      <c r="BJ144" s="462">
        <f>IF(VLOOKUP(AW144,坦克个性化设定!$B$18:$BB$48,MATCH("装弹类型",坦克个性化设定!$B$18:$BB$18,0),FALSE)="弹夹换弹",ROUND(VLOOKUP($AW144,$AD$3:$AJ$33,MATCH("换弹时间",$AD$3:$AJ$3,0),FALSE)-$AY144/VLOOKUP(VLOOKUP($AW144,坦克个性化设定!$B$18:$E$48,4,FALSE)&amp;$AX144,坦克属性分配比例,MATCH("升星次数",坦克属性分配比例标头,0),FALSE)*VLOOKUP($AW144,$AM$3:$AS$33,MATCH("换弹时间",$AM$3:$AS$3,0),FALSE),1),0)</f>
        <v>0</v>
      </c>
      <c r="BK144" s="462">
        <f>ROUND(VLOOKUP($AW144,$AD$3:$AJ$33,MATCH(BK$3,$AD$3:$AJ$3,0),FALSE)+$AY144/VLOOKUP(VLOOKUP($AW144,坦克个性化设定!$B$18:$E$48,4,FALSE)&amp;$AX144,坦克属性分配比例,MATCH("升星次数",坦克属性分配比例标头,0),FALSE)*VLOOKUP($AW144,$AM$3:$AS$33,MATCH(BK$3,$AM$3:$AS$3,0),FALSE),2)</f>
        <v>0</v>
      </c>
      <c r="BL144" s="462">
        <f>ROUND(VLOOKUP($AW144,$AD$3:$AJ$33,MATCH(BL$3,$AD$3:$AJ$3,0),FALSE)-$AY144/VLOOKUP(VLOOKUP($AW144,坦克个性化设定!$B$18:$E$48,4,FALSE)&amp;$AX144,坦克属性分配比例,MATCH("升星次数",坦克属性分配比例标头,0),FALSE)*VLOOKUP($AW144,$AM$3:$AS$33,MATCH(BL$3,$AM$3:$AS$3,0),FALSE),2)</f>
        <v>2.2200000000000002</v>
      </c>
    </row>
    <row r="145" spans="47:64" x14ac:dyDescent="0.35">
      <c r="AU145" s="364" t="str">
        <f t="shared" si="22"/>
        <v>四号6</v>
      </c>
      <c r="AV145" s="183">
        <f>IF(AY144&gt;=VLOOKUP(VLOOKUP(AW144,坦克个性化设定!$B$18:$E$48,4,FALSE)&amp;AX144,坦克属性分配比例,MATCH("升星次数",坦克属性分配比例标头,0),FALSE),AV144+1,AV144)</f>
        <v>13</v>
      </c>
      <c r="AW145" s="131" t="str">
        <f t="shared" si="23"/>
        <v>四号</v>
      </c>
      <c r="AX145" s="177" t="str">
        <f>VLOOKUP(AW145,坦克个性化细分!$I$3:$J$33,2,FALSE)</f>
        <v>中</v>
      </c>
      <c r="AY145" s="183">
        <f t="shared" si="21"/>
        <v>6</v>
      </c>
      <c r="AZ145" s="486">
        <f ca="1">ROUND(VLOOKUP($AW145&amp;"初始",$O$3:$AA$63,MATCH(AZ$3,$O$3:$AA$3,0),FALSE)+((VLOOKUP($AW145&amp;"最终",$O$3:$AA$63,MATCH(AZ$3,$O$3:$AA$3,0),FALSE)*坦克个性化细分!$C$9-VLOOKUP($AW145&amp;"初始",$O$3:$AA$63,MATCH(AZ$3,$O$3:$AA$3,0),FALSE))-(VLOOKUP($AW145&amp;"最终",$O$3:$AA$63,MATCH(AZ$3,$O$3:$AA$3,0),FALSE)-VLOOKUP($AW145&amp;"初始",$O$3:$AA$63,MATCH(AZ$3,$O$3:$AA$3,0),FALSE))*VLOOKUP(VLOOKUP($AW145,坦克个性化设定!$B$18:$E$48,4,FALSE)&amp;$AX145,坦克属性分配比例,MATCH("部件比例",坦克属性分配比例标头,0),FALSE))*$AY145/VLOOKUP(VLOOKUP($AW145,坦克个性化设定!$B$18:$E$48,4,FALSE)&amp;$AX145,坦克属性分配比例,MATCH("升星次数",坦克属性分配比例标头,0),FALSE),0)</f>
        <v>1727</v>
      </c>
      <c r="BA145" s="426">
        <f ca="1">ROUND(VLOOKUP($AW145&amp;"初始",$O$3:$AA$63,MATCH(BA$3,$O$3:$AA$3,0),FALSE)+(VLOOKUP($AW145&amp;"最终",$O$3:$AA$63,MATCH(BA$3,$O$3:$AA$3,0),FALSE)-VLOOKUP($AW145&amp;"初始",$O$3:$AA$63,MATCH(BA$3,$O$3:$AA$3,0),FALSE))*$AY145/VLOOKUP(VLOOKUP($AW145,坦克个性化设定!$B$18:$E$48,4,FALSE)&amp;$AX145,坦克属性分配比例,MATCH("升星次数",坦克属性分配比例标头,0),FALSE)*VLOOKUP(VLOOKUP($AW145,坦克个性化设定!$B$18:$E$48,4,FALSE)&amp;$AX145,坦克属性分配比例,MATCH("升星比例",坦克属性分配比例标头,0),FALSE),0)</f>
        <v>268</v>
      </c>
      <c r="BB145" s="486">
        <f ca="1">ROUND(VLOOKUP($AW145&amp;"初始",$O$3:$AA$63,MATCH(BB$3,$O$3:$AA$3,0),FALSE)+(VLOOKUP($AW145&amp;"最终",$O$3:$AA$63,MATCH(BB$3,$O$3:$AA$3,0),FALSE)-VLOOKUP($AW145&amp;"初始",$O$3:$AA$63,MATCH(BB$3,$O$3:$AA$3,0),FALSE))*$AY145/VLOOKUP(VLOOKUP($AW145,坦克个性化设定!$B$18:$E$48,4,FALSE)&amp;$AX145,坦克属性分配比例,MATCH("升星次数",坦克属性分配比例标头,0),FALSE)*(VLOOKUP(VLOOKUP($AW145,坦克个性化设定!$B$18:$E$48,4,FALSE)&amp;$AX145,坦克属性分配比例,MATCH("升星比例",坦克属性分配比例标头,0),FALSE)+VLOOKUP(VLOOKUP($AW145,坦克个性化设定!$B$18:$E$48,4,FALSE)&amp;$AX145,坦克属性分配比例,MATCH("部件比例",坦克属性分配比例标头,0),FALSE)*$C$3),0)</f>
        <v>585</v>
      </c>
      <c r="BC145" s="486">
        <f ca="1">ROUND(VLOOKUP($AW145&amp;"初始",$O$3:$AA$63,MATCH(BC$3,$O$3:$AA$3,0),FALSE)+(VLOOKUP($AW145&amp;"最终",$O$3:$AA$63,MATCH(BC$3,$O$3:$AA$3,0),FALSE)-VLOOKUP($AW145&amp;"初始",$O$3:$AA$63,MATCH(BC$3,$O$3:$AA$3,0),FALSE))*$AY145/VLOOKUP(VLOOKUP($AW145,坦克个性化设定!$B$18:$E$48,4,FALSE)&amp;$AX145,坦克属性分配比例,MATCH("升星次数",坦克属性分配比例标头,0),FALSE)*(VLOOKUP(VLOOKUP($AW145,坦克个性化设定!$B$18:$E$48,4,FALSE)&amp;$AX145,坦克属性分配比例,MATCH("升星比例",坦克属性分配比例标头,0),FALSE)+VLOOKUP(VLOOKUP($AW145,坦克个性化设定!$B$18:$E$48,4,FALSE)&amp;$AX145,坦克属性分配比例,MATCH("部件比例",坦克属性分配比例标头,0),FALSE)*$C$3),0)</f>
        <v>439</v>
      </c>
      <c r="BD145" s="426">
        <f ca="1">ROUND(VLOOKUP($AW145&amp;"初始",$O$3:$AA$63,MATCH(BD$3,$O$3:$AA$3,0),FALSE)+(VLOOKUP($AW145&amp;"最终",$O$3:$AA$63,MATCH(BD$3,$O$3:$AA$3,0),FALSE)-VLOOKUP($AW145&amp;"初始",$O$3:$AA$63,MATCH(BD$3,$O$3:$AA$3,0),FALSE))*$AY145/VLOOKUP(VLOOKUP($AW145,坦克个性化设定!$B$18:$E$48,4,FALSE)&amp;$AX145,坦克属性分配比例,MATCH("升星次数",坦克属性分配比例标头,0),FALSE)*VLOOKUP(VLOOKUP($AW145,坦克个性化设定!$B$18:$E$48,4,FALSE)&amp;$AX145,坦克属性分配比例,MATCH("升星比例",坦克属性分配比例标头,0),FALSE),0)</f>
        <v>598</v>
      </c>
      <c r="BE145" s="426">
        <f ca="1">ROUND(VLOOKUP($AW145&amp;"初始",$O$3:$AA$63,MATCH(BE$3,$O$3:$AA$3,0),FALSE)+(VLOOKUP($AW145&amp;"最终",$O$3:$AA$63,MATCH(BE$3,$O$3:$AA$3,0),FALSE)-VLOOKUP($AW145&amp;"初始",$O$3:$AA$63,MATCH(BE$3,$O$3:$AA$3,0),FALSE))*$AY145/VLOOKUP(VLOOKUP($AW145,坦克个性化设定!$B$18:$E$48,4,FALSE)&amp;$AX145,坦克属性分配比例,MATCH("升星次数",坦克属性分配比例标头,0),FALSE),0)</f>
        <v>164</v>
      </c>
      <c r="BF145" s="462">
        <f>ROUND(VLOOKUP($AW145,$AD$3:$AJ$33,MATCH(BF$3,$AD$3:$AJ$3,0),FALSE)+$AY145/VLOOKUP(VLOOKUP($AW145,坦克个性化设定!$B$18:$E$48,4,FALSE)&amp;$AX145,坦克属性分配比例,MATCH("升星次数",坦克属性分配比例标头,0),FALSE)*VLOOKUP($AW145,$AM$3:$AS$33,MATCH(BF$3,$AM$3:$AS$3,0),FALSE),1)</f>
        <v>41.3</v>
      </c>
      <c r="BG145" s="462">
        <f>ROUND(VLOOKUP($AW145,$AD$3:$AJ$33,MATCH(BG$3,$AD$3:$AJ$3,0),FALSE)+$AY145/VLOOKUP(VLOOKUP($AW145,坦克个性化设定!$B$18:$E$48,4,FALSE)&amp;$AX145,坦克属性分配比例,MATCH("升星次数",坦克属性分配比例标头,0),FALSE)*VLOOKUP($AW145,$AM$3:$AS$33,MATCH(BG$3,$AM$3:$AS$3,0),FALSE),1)</f>
        <v>58</v>
      </c>
      <c r="BH145" s="462">
        <f>ROUND(VLOOKUP($AW145,$AD$3:$AJ$33,MATCH(BH$3,$AD$3:$AJ$3,0),FALSE)+$AY145/VLOOKUP(VLOOKUP($AW145,坦克个性化设定!$B$18:$E$48,4,FALSE)&amp;$AX145,坦克属性分配比例,MATCH("升星次数",坦克属性分配比例标头,0),FALSE)*VLOOKUP($AW145,$AM$3:$AS$33,MATCH(BH$3,$AM$3:$AS$3,0),FALSE),1)</f>
        <v>13.3</v>
      </c>
      <c r="BI145" s="654">
        <f>IF(VLOOKUP(AW145,坦克个性化设定!$B$18:$BB$48,MATCH("装弹类型",坦克个性化设定!$B$18:$BB$18,0),FALSE)="弹夹换弹",0,ROUND(VLOOKUP($AW145,$AD$3:$AJ$33,MATCH("换弹时间",$AD$3:$AJ$3,0),FALSE)-$AY145/VLOOKUP(VLOOKUP($AW145,坦克个性化设定!$B$18:$E$48,4,FALSE)&amp;$AX145,坦克属性分配比例,MATCH("升星次数",坦克属性分配比例标头,0),FALSE)*VLOOKUP($AW145,$AM$3:$AS$33,MATCH("换弹时间",$AM$3:$AS$3,0),FALSE),2))</f>
        <v>3.9</v>
      </c>
      <c r="BJ145" s="462">
        <f>IF(VLOOKUP(AW145,坦克个性化设定!$B$18:$BB$48,MATCH("装弹类型",坦克个性化设定!$B$18:$BB$18,0),FALSE)="弹夹换弹",ROUND(VLOOKUP($AW145,$AD$3:$AJ$33,MATCH("换弹时间",$AD$3:$AJ$3,0),FALSE)-$AY145/VLOOKUP(VLOOKUP($AW145,坦克个性化设定!$B$18:$E$48,4,FALSE)&amp;$AX145,坦克属性分配比例,MATCH("升星次数",坦克属性分配比例标头,0),FALSE)*VLOOKUP($AW145,$AM$3:$AS$33,MATCH("换弹时间",$AM$3:$AS$3,0),FALSE),1),0)</f>
        <v>0</v>
      </c>
      <c r="BK145" s="462">
        <f>ROUND(VLOOKUP($AW145,$AD$3:$AJ$33,MATCH(BK$3,$AD$3:$AJ$3,0),FALSE)+$AY145/VLOOKUP(VLOOKUP($AW145,坦克个性化设定!$B$18:$E$48,4,FALSE)&amp;$AX145,坦克属性分配比例,MATCH("升星次数",坦克属性分配比例标头,0),FALSE)*VLOOKUP($AW145,$AM$3:$AS$33,MATCH(BK$3,$AM$3:$AS$3,0),FALSE),2)</f>
        <v>0</v>
      </c>
      <c r="BL145" s="462">
        <f>ROUND(VLOOKUP($AW145,$AD$3:$AJ$33,MATCH(BL$3,$AD$3:$AJ$3,0),FALSE)-$AY145/VLOOKUP(VLOOKUP($AW145,坦克个性化设定!$B$18:$E$48,4,FALSE)&amp;$AX145,坦克属性分配比例,MATCH("升星次数",坦克属性分配比例标头,0),FALSE)*VLOOKUP($AW145,$AM$3:$AS$33,MATCH(BL$3,$AM$3:$AS$3,0),FALSE),2)</f>
        <v>2.1800000000000002</v>
      </c>
    </row>
    <row r="146" spans="47:64" x14ac:dyDescent="0.35">
      <c r="AU146" s="364" t="str">
        <f t="shared" si="22"/>
        <v>四号7</v>
      </c>
      <c r="AV146" s="183">
        <f>IF(AY145&gt;=VLOOKUP(VLOOKUP(AW145,坦克个性化设定!$B$18:$E$48,4,FALSE)&amp;AX145,坦克属性分配比例,MATCH("升星次数",坦克属性分配比例标头,0),FALSE),AV145+1,AV145)</f>
        <v>13</v>
      </c>
      <c r="AW146" s="131" t="str">
        <f t="shared" si="23"/>
        <v>四号</v>
      </c>
      <c r="AX146" s="177" t="str">
        <f>VLOOKUP(AW146,坦克个性化细分!$I$3:$J$33,2,FALSE)</f>
        <v>中</v>
      </c>
      <c r="AY146" s="183">
        <f t="shared" si="21"/>
        <v>7</v>
      </c>
      <c r="AZ146" s="486">
        <f ca="1">ROUND(VLOOKUP($AW146&amp;"初始",$O$3:$AA$63,MATCH(AZ$3,$O$3:$AA$3,0),FALSE)+((VLOOKUP($AW146&amp;"最终",$O$3:$AA$63,MATCH(AZ$3,$O$3:$AA$3,0),FALSE)*坦克个性化细分!$C$9-VLOOKUP($AW146&amp;"初始",$O$3:$AA$63,MATCH(AZ$3,$O$3:$AA$3,0),FALSE))-(VLOOKUP($AW146&amp;"最终",$O$3:$AA$63,MATCH(AZ$3,$O$3:$AA$3,0),FALSE)-VLOOKUP($AW146&amp;"初始",$O$3:$AA$63,MATCH(AZ$3,$O$3:$AA$3,0),FALSE))*VLOOKUP(VLOOKUP($AW146,坦克个性化设定!$B$18:$E$48,4,FALSE)&amp;$AX146,坦克属性分配比例,MATCH("部件比例",坦克属性分配比例标头,0),FALSE))*$AY146/VLOOKUP(VLOOKUP($AW146,坦克个性化设定!$B$18:$E$48,4,FALSE)&amp;$AX146,坦克属性分配比例,MATCH("升星次数",坦克属性分配比例标头,0),FALSE),0)</f>
        <v>1842</v>
      </c>
      <c r="BA146" s="426">
        <f ca="1">ROUND(VLOOKUP($AW146&amp;"初始",$O$3:$AA$63,MATCH(BA$3,$O$3:$AA$3,0),FALSE)+(VLOOKUP($AW146&amp;"最终",$O$3:$AA$63,MATCH(BA$3,$O$3:$AA$3,0),FALSE)-VLOOKUP($AW146&amp;"初始",$O$3:$AA$63,MATCH(BA$3,$O$3:$AA$3,0),FALSE))*$AY146/VLOOKUP(VLOOKUP($AW146,坦克个性化设定!$B$18:$E$48,4,FALSE)&amp;$AX146,坦克属性分配比例,MATCH("升星次数",坦克属性分配比例标头,0),FALSE)*VLOOKUP(VLOOKUP($AW146,坦克个性化设定!$B$18:$E$48,4,FALSE)&amp;$AX146,坦克属性分配比例,MATCH("升星比例",坦克属性分配比例标头,0),FALSE),0)</f>
        <v>280</v>
      </c>
      <c r="BB146" s="486">
        <f ca="1">ROUND(VLOOKUP($AW146&amp;"初始",$O$3:$AA$63,MATCH(BB$3,$O$3:$AA$3,0),FALSE)+(VLOOKUP($AW146&amp;"最终",$O$3:$AA$63,MATCH(BB$3,$O$3:$AA$3,0),FALSE)-VLOOKUP($AW146&amp;"初始",$O$3:$AA$63,MATCH(BB$3,$O$3:$AA$3,0),FALSE))*$AY146/VLOOKUP(VLOOKUP($AW146,坦克个性化设定!$B$18:$E$48,4,FALSE)&amp;$AX146,坦克属性分配比例,MATCH("升星次数",坦克属性分配比例标头,0),FALSE)*(VLOOKUP(VLOOKUP($AW146,坦克个性化设定!$B$18:$E$48,4,FALSE)&amp;$AX146,坦克属性分配比例,MATCH("升星比例",坦克属性分配比例标头,0),FALSE)+VLOOKUP(VLOOKUP($AW146,坦克个性化设定!$B$18:$E$48,4,FALSE)&amp;$AX146,坦克属性分配比例,MATCH("部件比例",坦克属性分配比例标头,0),FALSE)*$C$3),0)</f>
        <v>615</v>
      </c>
      <c r="BC146" s="486">
        <f ca="1">ROUND(VLOOKUP($AW146&amp;"初始",$O$3:$AA$63,MATCH(BC$3,$O$3:$AA$3,0),FALSE)+(VLOOKUP($AW146&amp;"最终",$O$3:$AA$63,MATCH(BC$3,$O$3:$AA$3,0),FALSE)-VLOOKUP($AW146&amp;"初始",$O$3:$AA$63,MATCH(BC$3,$O$3:$AA$3,0),FALSE))*$AY146/VLOOKUP(VLOOKUP($AW146,坦克个性化设定!$B$18:$E$48,4,FALSE)&amp;$AX146,坦克属性分配比例,MATCH("升星次数",坦克属性分配比例标头,0),FALSE)*(VLOOKUP(VLOOKUP($AW146,坦克个性化设定!$B$18:$E$48,4,FALSE)&amp;$AX146,坦克属性分配比例,MATCH("升星比例",坦克属性分配比例标头,0),FALSE)+VLOOKUP(VLOOKUP($AW146,坦克个性化设定!$B$18:$E$48,4,FALSE)&amp;$AX146,坦克属性分配比例,MATCH("部件比例",坦克属性分配比例标头,0),FALSE)*$C$3),0)</f>
        <v>462</v>
      </c>
      <c r="BD146" s="426">
        <f ca="1">ROUND(VLOOKUP($AW146&amp;"初始",$O$3:$AA$63,MATCH(BD$3,$O$3:$AA$3,0),FALSE)+(VLOOKUP($AW146&amp;"最终",$O$3:$AA$63,MATCH(BD$3,$O$3:$AA$3,0),FALSE)-VLOOKUP($AW146&amp;"初始",$O$3:$AA$63,MATCH(BD$3,$O$3:$AA$3,0),FALSE))*$AY146/VLOOKUP(VLOOKUP($AW146,坦克个性化设定!$B$18:$E$48,4,FALSE)&amp;$AX146,坦克属性分配比例,MATCH("升星次数",坦克属性分配比例标头,0),FALSE)*VLOOKUP(VLOOKUP($AW146,坦克个性化设定!$B$18:$E$48,4,FALSE)&amp;$AX146,坦克属性分配比例,MATCH("升星比例",坦克属性分配比例标头,0),FALSE),0)</f>
        <v>623</v>
      </c>
      <c r="BE146" s="426">
        <f ca="1">ROUND(VLOOKUP($AW146&amp;"初始",$O$3:$AA$63,MATCH(BE$3,$O$3:$AA$3,0),FALSE)+(VLOOKUP($AW146&amp;"最终",$O$3:$AA$63,MATCH(BE$3,$O$3:$AA$3,0),FALSE)-VLOOKUP($AW146&amp;"初始",$O$3:$AA$63,MATCH(BE$3,$O$3:$AA$3,0),FALSE))*$AY146/VLOOKUP(VLOOKUP($AW146,坦克个性化设定!$B$18:$E$48,4,FALSE)&amp;$AX146,坦克属性分配比例,MATCH("升星次数",坦克属性分配比例标头,0),FALSE),0)</f>
        <v>173</v>
      </c>
      <c r="BF146" s="462">
        <f>ROUND(VLOOKUP($AW146,$AD$3:$AJ$33,MATCH(BF$3,$AD$3:$AJ$3,0),FALSE)+$AY146/VLOOKUP(VLOOKUP($AW146,坦克个性化设定!$B$18:$E$48,4,FALSE)&amp;$AX146,坦克属性分配比例,MATCH("升星次数",坦克属性分配比例标头,0),FALSE)*VLOOKUP($AW146,$AM$3:$AS$33,MATCH(BF$3,$AM$3:$AS$3,0),FALSE),1)</f>
        <v>42.1</v>
      </c>
      <c r="BG146" s="462">
        <f>ROUND(VLOOKUP($AW146,$AD$3:$AJ$33,MATCH(BG$3,$AD$3:$AJ$3,0),FALSE)+$AY146/VLOOKUP(VLOOKUP($AW146,坦克个性化设定!$B$18:$E$48,4,FALSE)&amp;$AX146,坦克属性分配比例,MATCH("升星次数",坦克属性分配比例标头,0),FALSE)*VLOOKUP($AW146,$AM$3:$AS$33,MATCH(BG$3,$AM$3:$AS$3,0),FALSE),1)</f>
        <v>59.1</v>
      </c>
      <c r="BH146" s="462">
        <f>ROUND(VLOOKUP($AW146,$AD$3:$AJ$33,MATCH(BH$3,$AD$3:$AJ$3,0),FALSE)+$AY146/VLOOKUP(VLOOKUP($AW146,坦克个性化设定!$B$18:$E$48,4,FALSE)&amp;$AX146,坦克属性分配比例,MATCH("升星次数",坦克属性分配比例标头,0),FALSE)*VLOOKUP($AW146,$AM$3:$AS$33,MATCH(BH$3,$AM$3:$AS$3,0),FALSE),1)</f>
        <v>13.6</v>
      </c>
      <c r="BI146" s="654">
        <f>IF(VLOOKUP(AW146,坦克个性化设定!$B$18:$BB$48,MATCH("装弹类型",坦克个性化设定!$B$18:$BB$18,0),FALSE)="弹夹换弹",0,ROUND(VLOOKUP($AW146,$AD$3:$AJ$33,MATCH("换弹时间",$AD$3:$AJ$3,0),FALSE)-$AY146/VLOOKUP(VLOOKUP($AW146,坦克个性化设定!$B$18:$E$48,4,FALSE)&amp;$AX146,坦克属性分配比例,MATCH("升星次数",坦克属性分配比例标头,0),FALSE)*VLOOKUP($AW146,$AM$3:$AS$33,MATCH("换弹时间",$AM$3:$AS$3,0),FALSE),2))</f>
        <v>3.8</v>
      </c>
      <c r="BJ146" s="462">
        <f>IF(VLOOKUP(AW146,坦克个性化设定!$B$18:$BB$48,MATCH("装弹类型",坦克个性化设定!$B$18:$BB$18,0),FALSE)="弹夹换弹",ROUND(VLOOKUP($AW146,$AD$3:$AJ$33,MATCH("换弹时间",$AD$3:$AJ$3,0),FALSE)-$AY146/VLOOKUP(VLOOKUP($AW146,坦克个性化设定!$B$18:$E$48,4,FALSE)&amp;$AX146,坦克属性分配比例,MATCH("升星次数",坦克属性分配比例标头,0),FALSE)*VLOOKUP($AW146,$AM$3:$AS$33,MATCH("换弹时间",$AM$3:$AS$3,0),FALSE),1),0)</f>
        <v>0</v>
      </c>
      <c r="BK146" s="462">
        <f>ROUND(VLOOKUP($AW146,$AD$3:$AJ$33,MATCH(BK$3,$AD$3:$AJ$3,0),FALSE)+$AY146/VLOOKUP(VLOOKUP($AW146,坦克个性化设定!$B$18:$E$48,4,FALSE)&amp;$AX146,坦克属性分配比例,MATCH("升星次数",坦克属性分配比例标头,0),FALSE)*VLOOKUP($AW146,$AM$3:$AS$33,MATCH(BK$3,$AM$3:$AS$3,0),FALSE),2)</f>
        <v>0</v>
      </c>
      <c r="BL146" s="462">
        <f>ROUND(VLOOKUP($AW146,$AD$3:$AJ$33,MATCH(BL$3,$AD$3:$AJ$3,0),FALSE)-$AY146/VLOOKUP(VLOOKUP($AW146,坦克个性化设定!$B$18:$E$48,4,FALSE)&amp;$AX146,坦克属性分配比例,MATCH("升星次数",坦克属性分配比例标头,0),FALSE)*VLOOKUP($AW146,$AM$3:$AS$33,MATCH(BL$3,$AM$3:$AS$3,0),FALSE),2)</f>
        <v>2.15</v>
      </c>
    </row>
    <row r="147" spans="47:64" x14ac:dyDescent="0.35">
      <c r="AU147" s="364" t="str">
        <f t="shared" si="22"/>
        <v>四号8</v>
      </c>
      <c r="AV147" s="183">
        <f>IF(AY146&gt;=VLOOKUP(VLOOKUP(AW146,坦克个性化设定!$B$18:$E$48,4,FALSE)&amp;AX146,坦克属性分配比例,MATCH("升星次数",坦克属性分配比例标头,0),FALSE),AV146+1,AV146)</f>
        <v>13</v>
      </c>
      <c r="AW147" s="131" t="str">
        <f t="shared" si="23"/>
        <v>四号</v>
      </c>
      <c r="AX147" s="177" t="str">
        <f>VLOOKUP(AW147,坦克个性化细分!$I$3:$J$33,2,FALSE)</f>
        <v>中</v>
      </c>
      <c r="AY147" s="183">
        <f t="shared" si="21"/>
        <v>8</v>
      </c>
      <c r="AZ147" s="486">
        <f ca="1">ROUND(VLOOKUP($AW147&amp;"初始",$O$3:$AA$63,MATCH(AZ$3,$O$3:$AA$3,0),FALSE)+((VLOOKUP($AW147&amp;"最终",$O$3:$AA$63,MATCH(AZ$3,$O$3:$AA$3,0),FALSE)*坦克个性化细分!$C$9-VLOOKUP($AW147&amp;"初始",$O$3:$AA$63,MATCH(AZ$3,$O$3:$AA$3,0),FALSE))-(VLOOKUP($AW147&amp;"最终",$O$3:$AA$63,MATCH(AZ$3,$O$3:$AA$3,0),FALSE)-VLOOKUP($AW147&amp;"初始",$O$3:$AA$63,MATCH(AZ$3,$O$3:$AA$3,0),FALSE))*VLOOKUP(VLOOKUP($AW147,坦克个性化设定!$B$18:$E$48,4,FALSE)&amp;$AX147,坦克属性分配比例,MATCH("部件比例",坦克属性分配比例标头,0),FALSE))*$AY147/VLOOKUP(VLOOKUP($AW147,坦克个性化设定!$B$18:$E$48,4,FALSE)&amp;$AX147,坦克属性分配比例,MATCH("升星次数",坦克属性分配比例标头,0),FALSE),0)</f>
        <v>1958</v>
      </c>
      <c r="BA147" s="426">
        <f ca="1">ROUND(VLOOKUP($AW147&amp;"初始",$O$3:$AA$63,MATCH(BA$3,$O$3:$AA$3,0),FALSE)+(VLOOKUP($AW147&amp;"最终",$O$3:$AA$63,MATCH(BA$3,$O$3:$AA$3,0),FALSE)-VLOOKUP($AW147&amp;"初始",$O$3:$AA$63,MATCH(BA$3,$O$3:$AA$3,0),FALSE))*$AY147/VLOOKUP(VLOOKUP($AW147,坦克个性化设定!$B$18:$E$48,4,FALSE)&amp;$AX147,坦克属性分配比例,MATCH("升星次数",坦克属性分配比例标头,0),FALSE)*VLOOKUP(VLOOKUP($AW147,坦克个性化设定!$B$18:$E$48,4,FALSE)&amp;$AX147,坦克属性分配比例,MATCH("升星比例",坦克属性分配比例标头,0),FALSE),0)</f>
        <v>292</v>
      </c>
      <c r="BB147" s="486">
        <f ca="1">ROUND(VLOOKUP($AW147&amp;"初始",$O$3:$AA$63,MATCH(BB$3,$O$3:$AA$3,0),FALSE)+(VLOOKUP($AW147&amp;"最终",$O$3:$AA$63,MATCH(BB$3,$O$3:$AA$3,0),FALSE)-VLOOKUP($AW147&amp;"初始",$O$3:$AA$63,MATCH(BB$3,$O$3:$AA$3,0),FALSE))*$AY147/VLOOKUP(VLOOKUP($AW147,坦克个性化设定!$B$18:$E$48,4,FALSE)&amp;$AX147,坦克属性分配比例,MATCH("升星次数",坦克属性分配比例标头,0),FALSE)*(VLOOKUP(VLOOKUP($AW147,坦克个性化设定!$B$18:$E$48,4,FALSE)&amp;$AX147,坦克属性分配比例,MATCH("升星比例",坦克属性分配比例标头,0),FALSE)+VLOOKUP(VLOOKUP($AW147,坦克个性化设定!$B$18:$E$48,4,FALSE)&amp;$AX147,坦克属性分配比例,MATCH("部件比例",坦克属性分配比例标头,0),FALSE)*$C$3),0)</f>
        <v>646</v>
      </c>
      <c r="BC147" s="486">
        <f ca="1">ROUND(VLOOKUP($AW147&amp;"初始",$O$3:$AA$63,MATCH(BC$3,$O$3:$AA$3,0),FALSE)+(VLOOKUP($AW147&amp;"最终",$O$3:$AA$63,MATCH(BC$3,$O$3:$AA$3,0),FALSE)-VLOOKUP($AW147&amp;"初始",$O$3:$AA$63,MATCH(BC$3,$O$3:$AA$3,0),FALSE))*$AY147/VLOOKUP(VLOOKUP($AW147,坦克个性化设定!$B$18:$E$48,4,FALSE)&amp;$AX147,坦克属性分配比例,MATCH("升星次数",坦克属性分配比例标头,0),FALSE)*(VLOOKUP(VLOOKUP($AW147,坦克个性化设定!$B$18:$E$48,4,FALSE)&amp;$AX147,坦克属性分配比例,MATCH("升星比例",坦克属性分配比例标头,0),FALSE)+VLOOKUP(VLOOKUP($AW147,坦克个性化设定!$B$18:$E$48,4,FALSE)&amp;$AX147,坦克属性分配比例,MATCH("部件比例",坦克属性分配比例标头,0),FALSE)*$C$3),0)</f>
        <v>484</v>
      </c>
      <c r="BD147" s="426">
        <f ca="1">ROUND(VLOOKUP($AW147&amp;"初始",$O$3:$AA$63,MATCH(BD$3,$O$3:$AA$3,0),FALSE)+(VLOOKUP($AW147&amp;"最终",$O$3:$AA$63,MATCH(BD$3,$O$3:$AA$3,0),FALSE)-VLOOKUP($AW147&amp;"初始",$O$3:$AA$63,MATCH(BD$3,$O$3:$AA$3,0),FALSE))*$AY147/VLOOKUP(VLOOKUP($AW147,坦克个性化设定!$B$18:$E$48,4,FALSE)&amp;$AX147,坦克属性分配比例,MATCH("升星次数",坦克属性分配比例标头,0),FALSE)*VLOOKUP(VLOOKUP($AW147,坦克个性化设定!$B$18:$E$48,4,FALSE)&amp;$AX147,坦克属性分配比例,MATCH("升星比例",坦克属性分配比例标头,0),FALSE),0)</f>
        <v>649</v>
      </c>
      <c r="BE147" s="426">
        <f ca="1">ROUND(VLOOKUP($AW147&amp;"初始",$O$3:$AA$63,MATCH(BE$3,$O$3:$AA$3,0),FALSE)+(VLOOKUP($AW147&amp;"最终",$O$3:$AA$63,MATCH(BE$3,$O$3:$AA$3,0),FALSE)-VLOOKUP($AW147&amp;"初始",$O$3:$AA$63,MATCH(BE$3,$O$3:$AA$3,0),FALSE))*$AY147/VLOOKUP(VLOOKUP($AW147,坦克个性化设定!$B$18:$E$48,4,FALSE)&amp;$AX147,坦克属性分配比例,MATCH("升星次数",坦克属性分配比例标头,0),FALSE),0)</f>
        <v>182</v>
      </c>
      <c r="BF147" s="462">
        <f>ROUND(VLOOKUP($AW147,$AD$3:$AJ$33,MATCH(BF$3,$AD$3:$AJ$3,0),FALSE)+$AY147/VLOOKUP(VLOOKUP($AW147,坦克个性化设定!$B$18:$E$48,4,FALSE)&amp;$AX147,坦克属性分配比例,MATCH("升星次数",坦克属性分配比例标头,0),FALSE)*VLOOKUP($AW147,$AM$3:$AS$33,MATCH(BF$3,$AM$3:$AS$3,0),FALSE),1)</f>
        <v>42.9</v>
      </c>
      <c r="BG147" s="462">
        <f>ROUND(VLOOKUP($AW147,$AD$3:$AJ$33,MATCH(BG$3,$AD$3:$AJ$3,0),FALSE)+$AY147/VLOOKUP(VLOOKUP($AW147,坦克个性化设定!$B$18:$E$48,4,FALSE)&amp;$AX147,坦克属性分配比例,MATCH("升星次数",坦克属性分配比例标头,0),FALSE)*VLOOKUP($AW147,$AM$3:$AS$33,MATCH(BG$3,$AM$3:$AS$3,0),FALSE),1)</f>
        <v>60.3</v>
      </c>
      <c r="BH147" s="462">
        <f>ROUND(VLOOKUP($AW147,$AD$3:$AJ$33,MATCH(BH$3,$AD$3:$AJ$3,0),FALSE)+$AY147/VLOOKUP(VLOOKUP($AW147,坦克个性化设定!$B$18:$E$48,4,FALSE)&amp;$AX147,坦克属性分配比例,MATCH("升星次数",坦克属性分配比例标头,0),FALSE)*VLOOKUP($AW147,$AM$3:$AS$33,MATCH(BH$3,$AM$3:$AS$3,0),FALSE),1)</f>
        <v>14</v>
      </c>
      <c r="BI147" s="654">
        <f>IF(VLOOKUP(AW147,坦克个性化设定!$B$18:$BB$48,MATCH("装弹类型",坦克个性化设定!$B$18:$BB$18,0),FALSE)="弹夹换弹",0,ROUND(VLOOKUP($AW147,$AD$3:$AJ$33,MATCH("换弹时间",$AD$3:$AJ$3,0),FALSE)-$AY147/VLOOKUP(VLOOKUP($AW147,坦克个性化设定!$B$18:$E$48,4,FALSE)&amp;$AX147,坦克属性分配比例,MATCH("升星次数",坦克属性分配比例标头,0),FALSE)*VLOOKUP($AW147,$AM$3:$AS$33,MATCH("换弹时间",$AM$3:$AS$3,0),FALSE),2))</f>
        <v>3.7</v>
      </c>
      <c r="BJ147" s="462">
        <f>IF(VLOOKUP(AW147,坦克个性化设定!$B$18:$BB$48,MATCH("装弹类型",坦克个性化设定!$B$18:$BB$18,0),FALSE)="弹夹换弹",ROUND(VLOOKUP($AW147,$AD$3:$AJ$33,MATCH("换弹时间",$AD$3:$AJ$3,0),FALSE)-$AY147/VLOOKUP(VLOOKUP($AW147,坦克个性化设定!$B$18:$E$48,4,FALSE)&amp;$AX147,坦克属性分配比例,MATCH("升星次数",坦克属性分配比例标头,0),FALSE)*VLOOKUP($AW147,$AM$3:$AS$33,MATCH("换弹时间",$AM$3:$AS$3,0),FALSE),1),0)</f>
        <v>0</v>
      </c>
      <c r="BK147" s="462">
        <f>ROUND(VLOOKUP($AW147,$AD$3:$AJ$33,MATCH(BK$3,$AD$3:$AJ$3,0),FALSE)+$AY147/VLOOKUP(VLOOKUP($AW147,坦克个性化设定!$B$18:$E$48,4,FALSE)&amp;$AX147,坦克属性分配比例,MATCH("升星次数",坦克属性分配比例标头,0),FALSE)*VLOOKUP($AW147,$AM$3:$AS$33,MATCH(BK$3,$AM$3:$AS$3,0),FALSE),2)</f>
        <v>0</v>
      </c>
      <c r="BL147" s="462">
        <f>ROUND(VLOOKUP($AW147,$AD$3:$AJ$33,MATCH(BL$3,$AD$3:$AJ$3,0),FALSE)-$AY147/VLOOKUP(VLOOKUP($AW147,坦克个性化设定!$B$18:$E$48,4,FALSE)&amp;$AX147,坦克属性分配比例,MATCH("升星次数",坦克属性分配比例标头,0),FALSE)*VLOOKUP($AW147,$AM$3:$AS$33,MATCH(BL$3,$AM$3:$AS$3,0),FALSE),2)</f>
        <v>2.11</v>
      </c>
    </row>
    <row r="148" spans="47:64" x14ac:dyDescent="0.35">
      <c r="AU148" s="364" t="str">
        <f t="shared" si="22"/>
        <v>四号9</v>
      </c>
      <c r="AV148" s="183">
        <f>IF(AY147&gt;=VLOOKUP(VLOOKUP(AW147,坦克个性化设定!$B$18:$E$48,4,FALSE)&amp;AX147,坦克属性分配比例,MATCH("升星次数",坦克属性分配比例标头,0),FALSE),AV147+1,AV147)</f>
        <v>13</v>
      </c>
      <c r="AW148" s="131" t="str">
        <f t="shared" si="23"/>
        <v>四号</v>
      </c>
      <c r="AX148" s="177" t="str">
        <f>VLOOKUP(AW148,坦克个性化细分!$I$3:$J$33,2,FALSE)</f>
        <v>中</v>
      </c>
      <c r="AY148" s="183">
        <f t="shared" si="21"/>
        <v>9</v>
      </c>
      <c r="AZ148" s="486">
        <f ca="1">ROUND(VLOOKUP($AW148&amp;"初始",$O$3:$AA$63,MATCH(AZ$3,$O$3:$AA$3,0),FALSE)+((VLOOKUP($AW148&amp;"最终",$O$3:$AA$63,MATCH(AZ$3,$O$3:$AA$3,0),FALSE)*坦克个性化细分!$C$9-VLOOKUP($AW148&amp;"初始",$O$3:$AA$63,MATCH(AZ$3,$O$3:$AA$3,0),FALSE))-(VLOOKUP($AW148&amp;"最终",$O$3:$AA$63,MATCH(AZ$3,$O$3:$AA$3,0),FALSE)-VLOOKUP($AW148&amp;"初始",$O$3:$AA$63,MATCH(AZ$3,$O$3:$AA$3,0),FALSE))*VLOOKUP(VLOOKUP($AW148,坦克个性化设定!$B$18:$E$48,4,FALSE)&amp;$AX148,坦克属性分配比例,MATCH("部件比例",坦克属性分配比例标头,0),FALSE))*$AY148/VLOOKUP(VLOOKUP($AW148,坦克个性化设定!$B$18:$E$48,4,FALSE)&amp;$AX148,坦克属性分配比例,MATCH("升星次数",坦克属性分配比例标头,0),FALSE),0)</f>
        <v>2073</v>
      </c>
      <c r="BA148" s="426">
        <f ca="1">ROUND(VLOOKUP($AW148&amp;"初始",$O$3:$AA$63,MATCH(BA$3,$O$3:$AA$3,0),FALSE)+(VLOOKUP($AW148&amp;"最终",$O$3:$AA$63,MATCH(BA$3,$O$3:$AA$3,0),FALSE)-VLOOKUP($AW148&amp;"初始",$O$3:$AA$63,MATCH(BA$3,$O$3:$AA$3,0),FALSE))*$AY148/VLOOKUP(VLOOKUP($AW148,坦克个性化设定!$B$18:$E$48,4,FALSE)&amp;$AX148,坦克属性分配比例,MATCH("升星次数",坦克属性分配比例标头,0),FALSE)*VLOOKUP(VLOOKUP($AW148,坦克个性化设定!$B$18:$E$48,4,FALSE)&amp;$AX148,坦克属性分配比例,MATCH("升星比例",坦克属性分配比例标头,0),FALSE),0)</f>
        <v>303</v>
      </c>
      <c r="BB148" s="486">
        <f ca="1">ROUND(VLOOKUP($AW148&amp;"初始",$O$3:$AA$63,MATCH(BB$3,$O$3:$AA$3,0),FALSE)+(VLOOKUP($AW148&amp;"最终",$O$3:$AA$63,MATCH(BB$3,$O$3:$AA$3,0),FALSE)-VLOOKUP($AW148&amp;"初始",$O$3:$AA$63,MATCH(BB$3,$O$3:$AA$3,0),FALSE))*$AY148/VLOOKUP(VLOOKUP($AW148,坦克个性化设定!$B$18:$E$48,4,FALSE)&amp;$AX148,坦克属性分配比例,MATCH("升星次数",坦克属性分配比例标头,0),FALSE)*(VLOOKUP(VLOOKUP($AW148,坦克个性化设定!$B$18:$E$48,4,FALSE)&amp;$AX148,坦克属性分配比例,MATCH("升星比例",坦克属性分配比例标头,0),FALSE)+VLOOKUP(VLOOKUP($AW148,坦克个性化设定!$B$18:$E$48,4,FALSE)&amp;$AX148,坦克属性分配比例,MATCH("部件比例",坦克属性分配比例标头,0),FALSE)*$C$3),0)</f>
        <v>676</v>
      </c>
      <c r="BC148" s="486">
        <f ca="1">ROUND(VLOOKUP($AW148&amp;"初始",$O$3:$AA$63,MATCH(BC$3,$O$3:$AA$3,0),FALSE)+(VLOOKUP($AW148&amp;"最终",$O$3:$AA$63,MATCH(BC$3,$O$3:$AA$3,0),FALSE)-VLOOKUP($AW148&amp;"初始",$O$3:$AA$63,MATCH(BC$3,$O$3:$AA$3,0),FALSE))*$AY148/VLOOKUP(VLOOKUP($AW148,坦克个性化设定!$B$18:$E$48,4,FALSE)&amp;$AX148,坦克属性分配比例,MATCH("升星次数",坦克属性分配比例标头,0),FALSE)*(VLOOKUP(VLOOKUP($AW148,坦克个性化设定!$B$18:$E$48,4,FALSE)&amp;$AX148,坦克属性分配比例,MATCH("升星比例",坦克属性分配比例标头,0),FALSE)+VLOOKUP(VLOOKUP($AW148,坦克个性化设定!$B$18:$E$48,4,FALSE)&amp;$AX148,坦克属性分配比例,MATCH("部件比例",坦克属性分配比例标头,0),FALSE)*$C$3),0)</f>
        <v>507</v>
      </c>
      <c r="BD148" s="426">
        <f ca="1">ROUND(VLOOKUP($AW148&amp;"初始",$O$3:$AA$63,MATCH(BD$3,$O$3:$AA$3,0),FALSE)+(VLOOKUP($AW148&amp;"最终",$O$3:$AA$63,MATCH(BD$3,$O$3:$AA$3,0),FALSE)-VLOOKUP($AW148&amp;"初始",$O$3:$AA$63,MATCH(BD$3,$O$3:$AA$3,0),FALSE))*$AY148/VLOOKUP(VLOOKUP($AW148,坦克个性化设定!$B$18:$E$48,4,FALSE)&amp;$AX148,坦克属性分配比例,MATCH("升星次数",坦克属性分配比例标头,0),FALSE)*VLOOKUP(VLOOKUP($AW148,坦克个性化设定!$B$18:$E$48,4,FALSE)&amp;$AX148,坦克属性分配比例,MATCH("升星比例",坦克属性分配比例标头,0),FALSE),0)</f>
        <v>675</v>
      </c>
      <c r="BE148" s="426">
        <f ca="1">ROUND(VLOOKUP($AW148&amp;"初始",$O$3:$AA$63,MATCH(BE$3,$O$3:$AA$3,0),FALSE)+(VLOOKUP($AW148&amp;"最终",$O$3:$AA$63,MATCH(BE$3,$O$3:$AA$3,0),FALSE)-VLOOKUP($AW148&amp;"初始",$O$3:$AA$63,MATCH(BE$3,$O$3:$AA$3,0),FALSE))*$AY148/VLOOKUP(VLOOKUP($AW148,坦克个性化设定!$B$18:$E$48,4,FALSE)&amp;$AX148,坦克属性分配比例,MATCH("升星次数",坦克属性分配比例标头,0),FALSE),0)</f>
        <v>191</v>
      </c>
      <c r="BF148" s="462">
        <f>ROUND(VLOOKUP($AW148,$AD$3:$AJ$33,MATCH(BF$3,$AD$3:$AJ$3,0),FALSE)+$AY148/VLOOKUP(VLOOKUP($AW148,坦克个性化设定!$B$18:$E$48,4,FALSE)&amp;$AX148,坦克属性分配比例,MATCH("升星次数",坦克属性分配比例标头,0),FALSE)*VLOOKUP($AW148,$AM$3:$AS$33,MATCH(BF$3,$AM$3:$AS$3,0),FALSE),1)</f>
        <v>43.7</v>
      </c>
      <c r="BG148" s="462">
        <f>ROUND(VLOOKUP($AW148,$AD$3:$AJ$33,MATCH(BG$3,$AD$3:$AJ$3,0),FALSE)+$AY148/VLOOKUP(VLOOKUP($AW148,坦克个性化设定!$B$18:$E$48,4,FALSE)&amp;$AX148,坦克属性分配比例,MATCH("升星次数",坦克属性分配比例标头,0),FALSE)*VLOOKUP($AW148,$AM$3:$AS$33,MATCH(BG$3,$AM$3:$AS$3,0),FALSE),1)</f>
        <v>61.4</v>
      </c>
      <c r="BH148" s="462">
        <f>ROUND(VLOOKUP($AW148,$AD$3:$AJ$33,MATCH(BH$3,$AD$3:$AJ$3,0),FALSE)+$AY148/VLOOKUP(VLOOKUP($AW148,坦克个性化设定!$B$18:$E$48,4,FALSE)&amp;$AX148,坦克属性分配比例,MATCH("升星次数",坦克属性分配比例标头,0),FALSE)*VLOOKUP($AW148,$AM$3:$AS$33,MATCH(BH$3,$AM$3:$AS$3,0),FALSE),1)</f>
        <v>14.3</v>
      </c>
      <c r="BI148" s="654">
        <f>IF(VLOOKUP(AW148,坦克个性化设定!$B$18:$BB$48,MATCH("装弹类型",坦克个性化设定!$B$18:$BB$18,0),FALSE)="弹夹换弹",0,ROUND(VLOOKUP($AW148,$AD$3:$AJ$33,MATCH("换弹时间",$AD$3:$AJ$3,0),FALSE)-$AY148/VLOOKUP(VLOOKUP($AW148,坦克个性化设定!$B$18:$E$48,4,FALSE)&amp;$AX148,坦克属性分配比例,MATCH("升星次数",坦克属性分配比例标头,0),FALSE)*VLOOKUP($AW148,$AM$3:$AS$33,MATCH("换弹时间",$AM$3:$AS$3,0),FALSE),2))</f>
        <v>3.6</v>
      </c>
      <c r="BJ148" s="462">
        <f>IF(VLOOKUP(AW148,坦克个性化设定!$B$18:$BB$48,MATCH("装弹类型",坦克个性化设定!$B$18:$BB$18,0),FALSE)="弹夹换弹",ROUND(VLOOKUP($AW148,$AD$3:$AJ$33,MATCH("换弹时间",$AD$3:$AJ$3,0),FALSE)-$AY148/VLOOKUP(VLOOKUP($AW148,坦克个性化设定!$B$18:$E$48,4,FALSE)&amp;$AX148,坦克属性分配比例,MATCH("升星次数",坦克属性分配比例标头,0),FALSE)*VLOOKUP($AW148,$AM$3:$AS$33,MATCH("换弹时间",$AM$3:$AS$3,0),FALSE),1),0)</f>
        <v>0</v>
      </c>
      <c r="BK148" s="462">
        <f>ROUND(VLOOKUP($AW148,$AD$3:$AJ$33,MATCH(BK$3,$AD$3:$AJ$3,0),FALSE)+$AY148/VLOOKUP(VLOOKUP($AW148,坦克个性化设定!$B$18:$E$48,4,FALSE)&amp;$AX148,坦克属性分配比例,MATCH("升星次数",坦克属性分配比例标头,0),FALSE)*VLOOKUP($AW148,$AM$3:$AS$33,MATCH(BK$3,$AM$3:$AS$3,0),FALSE),2)</f>
        <v>0</v>
      </c>
      <c r="BL148" s="462">
        <f>ROUND(VLOOKUP($AW148,$AD$3:$AJ$33,MATCH(BL$3,$AD$3:$AJ$3,0),FALSE)-$AY148/VLOOKUP(VLOOKUP($AW148,坦克个性化设定!$B$18:$E$48,4,FALSE)&amp;$AX148,坦克属性分配比例,MATCH("升星次数",坦克属性分配比例标头,0),FALSE)*VLOOKUP($AW148,$AM$3:$AS$33,MATCH(BL$3,$AM$3:$AS$3,0),FALSE),2)</f>
        <v>2.0699999999999998</v>
      </c>
    </row>
    <row r="149" spans="47:64" x14ac:dyDescent="0.35">
      <c r="AU149" s="364" t="str">
        <f t="shared" si="22"/>
        <v>四号10</v>
      </c>
      <c r="AV149" s="183">
        <f>IF(AY148&gt;=VLOOKUP(VLOOKUP(AW148,坦克个性化设定!$B$18:$E$48,4,FALSE)&amp;AX148,坦克属性分配比例,MATCH("升星次数",坦克属性分配比例标头,0),FALSE),AV148+1,AV148)</f>
        <v>13</v>
      </c>
      <c r="AW149" s="131" t="str">
        <f t="shared" si="23"/>
        <v>四号</v>
      </c>
      <c r="AX149" s="177" t="str">
        <f>VLOOKUP(AW149,坦克个性化细分!$I$3:$J$33,2,FALSE)</f>
        <v>中</v>
      </c>
      <c r="AY149" s="183">
        <f t="shared" si="21"/>
        <v>10</v>
      </c>
      <c r="AZ149" s="486">
        <f ca="1">ROUND(VLOOKUP($AW149&amp;"初始",$O$3:$AA$63,MATCH(AZ$3,$O$3:$AA$3,0),FALSE)+((VLOOKUP($AW149&amp;"最终",$O$3:$AA$63,MATCH(AZ$3,$O$3:$AA$3,0),FALSE)*坦克个性化细分!$C$9-VLOOKUP($AW149&amp;"初始",$O$3:$AA$63,MATCH(AZ$3,$O$3:$AA$3,0),FALSE))-(VLOOKUP($AW149&amp;"最终",$O$3:$AA$63,MATCH(AZ$3,$O$3:$AA$3,0),FALSE)-VLOOKUP($AW149&amp;"初始",$O$3:$AA$63,MATCH(AZ$3,$O$3:$AA$3,0),FALSE))*VLOOKUP(VLOOKUP($AW149,坦克个性化设定!$B$18:$E$48,4,FALSE)&amp;$AX149,坦克属性分配比例,MATCH("部件比例",坦克属性分配比例标头,0),FALSE))*$AY149/VLOOKUP(VLOOKUP($AW149,坦克个性化设定!$B$18:$E$48,4,FALSE)&amp;$AX149,坦克属性分配比例,MATCH("升星次数",坦克属性分配比例标头,0),FALSE),0)</f>
        <v>2188</v>
      </c>
      <c r="BA149" s="426">
        <f ca="1">ROUND(VLOOKUP($AW149&amp;"初始",$O$3:$AA$63,MATCH(BA$3,$O$3:$AA$3,0),FALSE)+(VLOOKUP($AW149&amp;"最终",$O$3:$AA$63,MATCH(BA$3,$O$3:$AA$3,0),FALSE)-VLOOKUP($AW149&amp;"初始",$O$3:$AA$63,MATCH(BA$3,$O$3:$AA$3,0),FALSE))*$AY149/VLOOKUP(VLOOKUP($AW149,坦克个性化设定!$B$18:$E$48,4,FALSE)&amp;$AX149,坦克属性分配比例,MATCH("升星次数",坦克属性分配比例标头,0),FALSE)*VLOOKUP(VLOOKUP($AW149,坦克个性化设定!$B$18:$E$48,4,FALSE)&amp;$AX149,坦克属性分配比例,MATCH("升星比例",坦克属性分配比例标头,0),FALSE),0)</f>
        <v>315</v>
      </c>
      <c r="BB149" s="486">
        <f ca="1">ROUND(VLOOKUP($AW149&amp;"初始",$O$3:$AA$63,MATCH(BB$3,$O$3:$AA$3,0),FALSE)+(VLOOKUP($AW149&amp;"最终",$O$3:$AA$63,MATCH(BB$3,$O$3:$AA$3,0),FALSE)-VLOOKUP($AW149&amp;"初始",$O$3:$AA$63,MATCH(BB$3,$O$3:$AA$3,0),FALSE))*$AY149/VLOOKUP(VLOOKUP($AW149,坦克个性化设定!$B$18:$E$48,4,FALSE)&amp;$AX149,坦克属性分配比例,MATCH("升星次数",坦克属性分配比例标头,0),FALSE)*(VLOOKUP(VLOOKUP($AW149,坦克个性化设定!$B$18:$E$48,4,FALSE)&amp;$AX149,坦克属性分配比例,MATCH("升星比例",坦克属性分配比例标头,0),FALSE)+VLOOKUP(VLOOKUP($AW149,坦克个性化设定!$B$18:$E$48,4,FALSE)&amp;$AX149,坦克属性分配比例,MATCH("部件比例",坦克属性分配比例标头,0),FALSE)*$C$3),0)</f>
        <v>706</v>
      </c>
      <c r="BC149" s="486">
        <f ca="1">ROUND(VLOOKUP($AW149&amp;"初始",$O$3:$AA$63,MATCH(BC$3,$O$3:$AA$3,0),FALSE)+(VLOOKUP($AW149&amp;"最终",$O$3:$AA$63,MATCH(BC$3,$O$3:$AA$3,0),FALSE)-VLOOKUP($AW149&amp;"初始",$O$3:$AA$63,MATCH(BC$3,$O$3:$AA$3,0),FALSE))*$AY149/VLOOKUP(VLOOKUP($AW149,坦克个性化设定!$B$18:$E$48,4,FALSE)&amp;$AX149,坦克属性分配比例,MATCH("升星次数",坦克属性分配比例标头,0),FALSE)*(VLOOKUP(VLOOKUP($AW149,坦克个性化设定!$B$18:$E$48,4,FALSE)&amp;$AX149,坦克属性分配比例,MATCH("升星比例",坦克属性分配比例标头,0),FALSE)+VLOOKUP(VLOOKUP($AW149,坦克个性化设定!$B$18:$E$48,4,FALSE)&amp;$AX149,坦克属性分配比例,MATCH("部件比例",坦克属性分配比例标头,0),FALSE)*$C$3),0)</f>
        <v>530</v>
      </c>
      <c r="BD149" s="426">
        <f ca="1">ROUND(VLOOKUP($AW149&amp;"初始",$O$3:$AA$63,MATCH(BD$3,$O$3:$AA$3,0),FALSE)+(VLOOKUP($AW149&amp;"最终",$O$3:$AA$63,MATCH(BD$3,$O$3:$AA$3,0),FALSE)-VLOOKUP($AW149&amp;"初始",$O$3:$AA$63,MATCH(BD$3,$O$3:$AA$3,0),FALSE))*$AY149/VLOOKUP(VLOOKUP($AW149,坦克个性化设定!$B$18:$E$48,4,FALSE)&amp;$AX149,坦克属性分配比例,MATCH("升星次数",坦克属性分配比例标头,0),FALSE)*VLOOKUP(VLOOKUP($AW149,坦克个性化设定!$B$18:$E$48,4,FALSE)&amp;$AX149,坦克属性分配比例,MATCH("升星比例",坦克属性分配比例标头,0),FALSE),0)</f>
        <v>701</v>
      </c>
      <c r="BE149" s="426">
        <f ca="1">ROUND(VLOOKUP($AW149&amp;"初始",$O$3:$AA$63,MATCH(BE$3,$O$3:$AA$3,0),FALSE)+(VLOOKUP($AW149&amp;"最终",$O$3:$AA$63,MATCH(BE$3,$O$3:$AA$3,0),FALSE)-VLOOKUP($AW149&amp;"初始",$O$3:$AA$63,MATCH(BE$3,$O$3:$AA$3,0),FALSE))*$AY149/VLOOKUP(VLOOKUP($AW149,坦克个性化设定!$B$18:$E$48,4,FALSE)&amp;$AX149,坦克属性分配比例,MATCH("升星次数",坦克属性分配比例标头,0),FALSE),0)</f>
        <v>201</v>
      </c>
      <c r="BF149" s="462">
        <f>ROUND(VLOOKUP($AW149,$AD$3:$AJ$33,MATCH(BF$3,$AD$3:$AJ$3,0),FALSE)+$AY149/VLOOKUP(VLOOKUP($AW149,坦克个性化设定!$B$18:$E$48,4,FALSE)&amp;$AX149,坦克属性分配比例,MATCH("升星次数",坦克属性分配比例标头,0),FALSE)*VLOOKUP($AW149,$AM$3:$AS$33,MATCH(BF$3,$AM$3:$AS$3,0),FALSE),1)</f>
        <v>44.6</v>
      </c>
      <c r="BG149" s="462">
        <f>ROUND(VLOOKUP($AW149,$AD$3:$AJ$33,MATCH(BG$3,$AD$3:$AJ$3,0),FALSE)+$AY149/VLOOKUP(VLOOKUP($AW149,坦克个性化设定!$B$18:$E$48,4,FALSE)&amp;$AX149,坦克属性分配比例,MATCH("升星次数",坦克属性分配比例标头,0),FALSE)*VLOOKUP($AW149,$AM$3:$AS$33,MATCH(BG$3,$AM$3:$AS$3,0),FALSE),1)</f>
        <v>62.6</v>
      </c>
      <c r="BH149" s="462">
        <f>ROUND(VLOOKUP($AW149,$AD$3:$AJ$33,MATCH(BH$3,$AD$3:$AJ$3,0),FALSE)+$AY149/VLOOKUP(VLOOKUP($AW149,坦克个性化设定!$B$18:$E$48,4,FALSE)&amp;$AX149,坦克属性分配比例,MATCH("升星次数",坦克属性分配比例标头,0),FALSE)*VLOOKUP($AW149,$AM$3:$AS$33,MATCH(BH$3,$AM$3:$AS$3,0),FALSE),1)</f>
        <v>14.7</v>
      </c>
      <c r="BI149" s="654">
        <f>IF(VLOOKUP(AW149,坦克个性化设定!$B$18:$BB$48,MATCH("装弹类型",坦克个性化设定!$B$18:$BB$18,0),FALSE)="弹夹换弹",0,ROUND(VLOOKUP($AW149,$AD$3:$AJ$33,MATCH("换弹时间",$AD$3:$AJ$3,0),FALSE)-$AY149/VLOOKUP(VLOOKUP($AW149,坦克个性化设定!$B$18:$E$48,4,FALSE)&amp;$AX149,坦克属性分配比例,MATCH("升星次数",坦克属性分配比例标头,0),FALSE)*VLOOKUP($AW149,$AM$3:$AS$33,MATCH("换弹时间",$AM$3:$AS$3,0),FALSE),2))</f>
        <v>3.5</v>
      </c>
      <c r="BJ149" s="462">
        <f>IF(VLOOKUP(AW149,坦克个性化设定!$B$18:$BB$48,MATCH("装弹类型",坦克个性化设定!$B$18:$BB$18,0),FALSE)="弹夹换弹",ROUND(VLOOKUP($AW149,$AD$3:$AJ$33,MATCH("换弹时间",$AD$3:$AJ$3,0),FALSE)-$AY149/VLOOKUP(VLOOKUP($AW149,坦克个性化设定!$B$18:$E$48,4,FALSE)&amp;$AX149,坦克属性分配比例,MATCH("升星次数",坦克属性分配比例标头,0),FALSE)*VLOOKUP($AW149,$AM$3:$AS$33,MATCH("换弹时间",$AM$3:$AS$3,0),FALSE),1),0)</f>
        <v>0</v>
      </c>
      <c r="BK149" s="462">
        <f>ROUND(VLOOKUP($AW149,$AD$3:$AJ$33,MATCH(BK$3,$AD$3:$AJ$3,0),FALSE)+$AY149/VLOOKUP(VLOOKUP($AW149,坦克个性化设定!$B$18:$E$48,4,FALSE)&amp;$AX149,坦克属性分配比例,MATCH("升星次数",坦克属性分配比例标头,0),FALSE)*VLOOKUP($AW149,$AM$3:$AS$33,MATCH(BK$3,$AM$3:$AS$3,0),FALSE),2)</f>
        <v>0</v>
      </c>
      <c r="BL149" s="462">
        <f>ROUND(VLOOKUP($AW149,$AD$3:$AJ$33,MATCH(BL$3,$AD$3:$AJ$3,0),FALSE)-$AY149/VLOOKUP(VLOOKUP($AW149,坦克个性化设定!$B$18:$E$48,4,FALSE)&amp;$AX149,坦克属性分配比例,MATCH("升星次数",坦克属性分配比例标头,0),FALSE)*VLOOKUP($AW149,$AM$3:$AS$33,MATCH(BL$3,$AM$3:$AS$3,0),FALSE),2)</f>
        <v>2.04</v>
      </c>
    </row>
    <row r="150" spans="47:64" x14ac:dyDescent="0.35">
      <c r="AU150" s="364" t="str">
        <f t="shared" si="22"/>
        <v>四号11</v>
      </c>
      <c r="AV150" s="183">
        <f>IF(AY149&gt;=VLOOKUP(VLOOKUP(AW149,坦克个性化设定!$B$18:$E$48,4,FALSE)&amp;AX149,坦克属性分配比例,MATCH("升星次数",坦克属性分配比例标头,0),FALSE),AV149+1,AV149)</f>
        <v>13</v>
      </c>
      <c r="AW150" s="131" t="str">
        <f t="shared" si="23"/>
        <v>四号</v>
      </c>
      <c r="AX150" s="177" t="str">
        <f>VLOOKUP(AW150,坦克个性化细分!$I$3:$J$33,2,FALSE)</f>
        <v>中</v>
      </c>
      <c r="AY150" s="183">
        <f t="shared" si="21"/>
        <v>11</v>
      </c>
      <c r="AZ150" s="486">
        <f ca="1">ROUND(VLOOKUP($AW150&amp;"初始",$O$3:$AA$63,MATCH(AZ$3,$O$3:$AA$3,0),FALSE)+((VLOOKUP($AW150&amp;"最终",$O$3:$AA$63,MATCH(AZ$3,$O$3:$AA$3,0),FALSE)*坦克个性化细分!$C$9-VLOOKUP($AW150&amp;"初始",$O$3:$AA$63,MATCH(AZ$3,$O$3:$AA$3,0),FALSE))-(VLOOKUP($AW150&amp;"最终",$O$3:$AA$63,MATCH(AZ$3,$O$3:$AA$3,0),FALSE)-VLOOKUP($AW150&amp;"初始",$O$3:$AA$63,MATCH(AZ$3,$O$3:$AA$3,0),FALSE))*VLOOKUP(VLOOKUP($AW150,坦克个性化设定!$B$18:$E$48,4,FALSE)&amp;$AX150,坦克属性分配比例,MATCH("部件比例",坦克属性分配比例标头,0),FALSE))*$AY150/VLOOKUP(VLOOKUP($AW150,坦克个性化设定!$B$18:$E$48,4,FALSE)&amp;$AX150,坦克属性分配比例,MATCH("升星次数",坦克属性分配比例标头,0),FALSE),0)</f>
        <v>2303</v>
      </c>
      <c r="BA150" s="426">
        <f ca="1">ROUND(VLOOKUP($AW150&amp;"初始",$O$3:$AA$63,MATCH(BA$3,$O$3:$AA$3,0),FALSE)+(VLOOKUP($AW150&amp;"最终",$O$3:$AA$63,MATCH(BA$3,$O$3:$AA$3,0),FALSE)-VLOOKUP($AW150&amp;"初始",$O$3:$AA$63,MATCH(BA$3,$O$3:$AA$3,0),FALSE))*$AY150/VLOOKUP(VLOOKUP($AW150,坦克个性化设定!$B$18:$E$48,4,FALSE)&amp;$AX150,坦克属性分配比例,MATCH("升星次数",坦克属性分配比例标头,0),FALSE)*VLOOKUP(VLOOKUP($AW150,坦克个性化设定!$B$18:$E$48,4,FALSE)&amp;$AX150,坦克属性分配比例,MATCH("升星比例",坦克属性分配比例标头,0),FALSE),0)</f>
        <v>326</v>
      </c>
      <c r="BB150" s="486">
        <f ca="1">ROUND(VLOOKUP($AW150&amp;"初始",$O$3:$AA$63,MATCH(BB$3,$O$3:$AA$3,0),FALSE)+(VLOOKUP($AW150&amp;"最终",$O$3:$AA$63,MATCH(BB$3,$O$3:$AA$3,0),FALSE)-VLOOKUP($AW150&amp;"初始",$O$3:$AA$63,MATCH(BB$3,$O$3:$AA$3,0),FALSE))*$AY150/VLOOKUP(VLOOKUP($AW150,坦克个性化设定!$B$18:$E$48,4,FALSE)&amp;$AX150,坦克属性分配比例,MATCH("升星次数",坦克属性分配比例标头,0),FALSE)*(VLOOKUP(VLOOKUP($AW150,坦克个性化设定!$B$18:$E$48,4,FALSE)&amp;$AX150,坦克属性分配比例,MATCH("升星比例",坦克属性分配比例标头,0),FALSE)+VLOOKUP(VLOOKUP($AW150,坦克个性化设定!$B$18:$E$48,4,FALSE)&amp;$AX150,坦克属性分配比例,MATCH("部件比例",坦克属性分配比例标头,0),FALSE)*$C$3),0)</f>
        <v>736</v>
      </c>
      <c r="BC150" s="486">
        <f ca="1">ROUND(VLOOKUP($AW150&amp;"初始",$O$3:$AA$63,MATCH(BC$3,$O$3:$AA$3,0),FALSE)+(VLOOKUP($AW150&amp;"最终",$O$3:$AA$63,MATCH(BC$3,$O$3:$AA$3,0),FALSE)-VLOOKUP($AW150&amp;"初始",$O$3:$AA$63,MATCH(BC$3,$O$3:$AA$3,0),FALSE))*$AY150/VLOOKUP(VLOOKUP($AW150,坦克个性化设定!$B$18:$E$48,4,FALSE)&amp;$AX150,坦克属性分配比例,MATCH("升星次数",坦克属性分配比例标头,0),FALSE)*(VLOOKUP(VLOOKUP($AW150,坦克个性化设定!$B$18:$E$48,4,FALSE)&amp;$AX150,坦克属性分配比例,MATCH("升星比例",坦克属性分配比例标头,0),FALSE)+VLOOKUP(VLOOKUP($AW150,坦克个性化设定!$B$18:$E$48,4,FALSE)&amp;$AX150,坦克属性分配比例,MATCH("部件比例",坦克属性分配比例标头,0),FALSE)*$C$3),0)</f>
        <v>552</v>
      </c>
      <c r="BD150" s="426">
        <f ca="1">ROUND(VLOOKUP($AW150&amp;"初始",$O$3:$AA$63,MATCH(BD$3,$O$3:$AA$3,0),FALSE)+(VLOOKUP($AW150&amp;"最终",$O$3:$AA$63,MATCH(BD$3,$O$3:$AA$3,0),FALSE)-VLOOKUP($AW150&amp;"初始",$O$3:$AA$63,MATCH(BD$3,$O$3:$AA$3,0),FALSE))*$AY150/VLOOKUP(VLOOKUP($AW150,坦克个性化设定!$B$18:$E$48,4,FALSE)&amp;$AX150,坦克属性分配比例,MATCH("升星次数",坦克属性分配比例标头,0),FALSE)*VLOOKUP(VLOOKUP($AW150,坦克个性化设定!$B$18:$E$48,4,FALSE)&amp;$AX150,坦克属性分配比例,MATCH("升星比例",坦克属性分配比例标头,0),FALSE),0)</f>
        <v>726</v>
      </c>
      <c r="BE150" s="426">
        <f ca="1">ROUND(VLOOKUP($AW150&amp;"初始",$O$3:$AA$63,MATCH(BE$3,$O$3:$AA$3,0),FALSE)+(VLOOKUP($AW150&amp;"最终",$O$3:$AA$63,MATCH(BE$3,$O$3:$AA$3,0),FALSE)-VLOOKUP($AW150&amp;"初始",$O$3:$AA$63,MATCH(BE$3,$O$3:$AA$3,0),FALSE))*$AY150/VLOOKUP(VLOOKUP($AW150,坦克个性化设定!$B$18:$E$48,4,FALSE)&amp;$AX150,坦克属性分配比例,MATCH("升星次数",坦克属性分配比例标头,0),FALSE),0)</f>
        <v>210</v>
      </c>
      <c r="BF150" s="462">
        <f>ROUND(VLOOKUP($AW150,$AD$3:$AJ$33,MATCH(BF$3,$AD$3:$AJ$3,0),FALSE)+$AY150/VLOOKUP(VLOOKUP($AW150,坦克个性化设定!$B$18:$E$48,4,FALSE)&amp;$AX150,坦克属性分配比例,MATCH("升星次数",坦克属性分配比例标头,0),FALSE)*VLOOKUP($AW150,$AM$3:$AS$33,MATCH(BF$3,$AM$3:$AS$3,0),FALSE),1)</f>
        <v>45.4</v>
      </c>
      <c r="BG150" s="462">
        <f>ROUND(VLOOKUP($AW150,$AD$3:$AJ$33,MATCH(BG$3,$AD$3:$AJ$3,0),FALSE)+$AY150/VLOOKUP(VLOOKUP($AW150,坦克个性化设定!$B$18:$E$48,4,FALSE)&amp;$AX150,坦克属性分配比例,MATCH("升星次数",坦克属性分配比例标头,0),FALSE)*VLOOKUP($AW150,$AM$3:$AS$33,MATCH(BG$3,$AM$3:$AS$3,0),FALSE),1)</f>
        <v>63.8</v>
      </c>
      <c r="BH150" s="462">
        <f>ROUND(VLOOKUP($AW150,$AD$3:$AJ$33,MATCH(BH$3,$AD$3:$AJ$3,0),FALSE)+$AY150/VLOOKUP(VLOOKUP($AW150,坦克个性化设定!$B$18:$E$48,4,FALSE)&amp;$AX150,坦克属性分配比例,MATCH("升星次数",坦克属性分配比例标头,0),FALSE)*VLOOKUP($AW150,$AM$3:$AS$33,MATCH(BH$3,$AM$3:$AS$3,0),FALSE),1)</f>
        <v>15</v>
      </c>
      <c r="BI150" s="654">
        <f>IF(VLOOKUP(AW150,坦克个性化设定!$B$18:$BB$48,MATCH("装弹类型",坦克个性化设定!$B$18:$BB$18,0),FALSE)="弹夹换弹",0,ROUND(VLOOKUP($AW150,$AD$3:$AJ$33,MATCH("换弹时间",$AD$3:$AJ$3,0),FALSE)-$AY150/VLOOKUP(VLOOKUP($AW150,坦克个性化设定!$B$18:$E$48,4,FALSE)&amp;$AX150,坦克属性分配比例,MATCH("升星次数",坦克属性分配比例标头,0),FALSE)*VLOOKUP($AW150,$AM$3:$AS$33,MATCH("换弹时间",$AM$3:$AS$3,0),FALSE),2))</f>
        <v>3.4</v>
      </c>
      <c r="BJ150" s="462">
        <f>IF(VLOOKUP(AW150,坦克个性化设定!$B$18:$BB$48,MATCH("装弹类型",坦克个性化设定!$B$18:$BB$18,0),FALSE)="弹夹换弹",ROUND(VLOOKUP($AW150,$AD$3:$AJ$33,MATCH("换弹时间",$AD$3:$AJ$3,0),FALSE)-$AY150/VLOOKUP(VLOOKUP($AW150,坦克个性化设定!$B$18:$E$48,4,FALSE)&amp;$AX150,坦克属性分配比例,MATCH("升星次数",坦克属性分配比例标头,0),FALSE)*VLOOKUP($AW150,$AM$3:$AS$33,MATCH("换弹时间",$AM$3:$AS$3,0),FALSE),1),0)</f>
        <v>0</v>
      </c>
      <c r="BK150" s="462">
        <f>ROUND(VLOOKUP($AW150,$AD$3:$AJ$33,MATCH(BK$3,$AD$3:$AJ$3,0),FALSE)+$AY150/VLOOKUP(VLOOKUP($AW150,坦克个性化设定!$B$18:$E$48,4,FALSE)&amp;$AX150,坦克属性分配比例,MATCH("升星次数",坦克属性分配比例标头,0),FALSE)*VLOOKUP($AW150,$AM$3:$AS$33,MATCH(BK$3,$AM$3:$AS$3,0),FALSE),2)</f>
        <v>0</v>
      </c>
      <c r="BL150" s="462">
        <f>ROUND(VLOOKUP($AW150,$AD$3:$AJ$33,MATCH(BL$3,$AD$3:$AJ$3,0),FALSE)-$AY150/VLOOKUP(VLOOKUP($AW150,坦克个性化设定!$B$18:$E$48,4,FALSE)&amp;$AX150,坦克属性分配比例,MATCH("升星次数",坦克属性分配比例标头,0),FALSE)*VLOOKUP($AW150,$AM$3:$AS$33,MATCH(BL$3,$AM$3:$AS$3,0),FALSE),2)</f>
        <v>2</v>
      </c>
    </row>
    <row r="151" spans="47:64" x14ac:dyDescent="0.35">
      <c r="AU151" s="364" t="str">
        <f t="shared" si="22"/>
        <v>玛蒂尔达0</v>
      </c>
      <c r="AV151" s="183">
        <f>IF(AY150&gt;=VLOOKUP(VLOOKUP(AW150,坦克个性化设定!$B$18:$E$48,4,FALSE)&amp;AX150,坦克属性分配比例,MATCH("升星次数",坦克属性分配比例标头,0),FALSE),AV150+1,AV150)</f>
        <v>14</v>
      </c>
      <c r="AW151" s="131" t="str">
        <f t="shared" si="23"/>
        <v>玛蒂尔达</v>
      </c>
      <c r="AX151" s="177" t="str">
        <f>VLOOKUP(AW151,坦克个性化细分!$I$3:$J$33,2,FALSE)</f>
        <v>低</v>
      </c>
      <c r="AY151" s="183">
        <f t="shared" si="21"/>
        <v>0</v>
      </c>
      <c r="AZ151" s="486">
        <f ca="1">ROUND(VLOOKUP($AW151&amp;"初始",$O$3:$AA$63,MATCH(AZ$3,$O$3:$AA$3,0),FALSE)+((VLOOKUP($AW151&amp;"最终",$O$3:$AA$63,MATCH(AZ$3,$O$3:$AA$3,0),FALSE)*坦克个性化细分!$C$9-VLOOKUP($AW151&amp;"初始",$O$3:$AA$63,MATCH(AZ$3,$O$3:$AA$3,0),FALSE))-(VLOOKUP($AW151&amp;"最终",$O$3:$AA$63,MATCH(AZ$3,$O$3:$AA$3,0),FALSE)-VLOOKUP($AW151&amp;"初始",$O$3:$AA$63,MATCH(AZ$3,$O$3:$AA$3,0),FALSE))*VLOOKUP(VLOOKUP($AW151,坦克个性化设定!$B$18:$E$48,4,FALSE)&amp;$AX151,坦克属性分配比例,MATCH("部件比例",坦克属性分配比例标头,0),FALSE))*$AY151/VLOOKUP(VLOOKUP($AW151,坦克个性化设定!$B$18:$E$48,4,FALSE)&amp;$AX151,坦克属性分配比例,MATCH("升星次数",坦克属性分配比例标头,0),FALSE),0)</f>
        <v>1254</v>
      </c>
      <c r="BA151" s="426">
        <f ca="1">ROUND(VLOOKUP($AW151&amp;"初始",$O$3:$AA$63,MATCH(BA$3,$O$3:$AA$3,0),FALSE)+(VLOOKUP($AW151&amp;"最终",$O$3:$AA$63,MATCH(BA$3,$O$3:$AA$3,0),FALSE)-VLOOKUP($AW151&amp;"初始",$O$3:$AA$63,MATCH(BA$3,$O$3:$AA$3,0),FALSE))*$AY151/VLOOKUP(VLOOKUP($AW151,坦克个性化设定!$B$18:$E$48,4,FALSE)&amp;$AX151,坦克属性分配比例,MATCH("升星次数",坦克属性分配比例标头,0),FALSE)*VLOOKUP(VLOOKUP($AW151,坦克个性化设定!$B$18:$E$48,4,FALSE)&amp;$AX151,坦克属性分配比例,MATCH("升星比例",坦克属性分配比例标头,0),FALSE),0)</f>
        <v>64</v>
      </c>
      <c r="BB151" s="486">
        <f ca="1">ROUND(VLOOKUP($AW151&amp;"初始",$O$3:$AA$63,MATCH(BB$3,$O$3:$AA$3,0),FALSE)+(VLOOKUP($AW151&amp;"最终",$O$3:$AA$63,MATCH(BB$3,$O$3:$AA$3,0),FALSE)-VLOOKUP($AW151&amp;"初始",$O$3:$AA$63,MATCH(BB$3,$O$3:$AA$3,0),FALSE))*$AY151/VLOOKUP(VLOOKUP($AW151,坦克个性化设定!$B$18:$E$48,4,FALSE)&amp;$AX151,坦克属性分配比例,MATCH("升星次数",坦克属性分配比例标头,0),FALSE)*(VLOOKUP(VLOOKUP($AW151,坦克个性化设定!$B$18:$E$48,4,FALSE)&amp;$AX151,坦克属性分配比例,MATCH("升星比例",坦克属性分配比例标头,0),FALSE)+VLOOKUP(VLOOKUP($AW151,坦克个性化设定!$B$18:$E$48,4,FALSE)&amp;$AX151,坦克属性分配比例,MATCH("部件比例",坦克属性分配比例标头,0),FALSE)*$C$3),0)</f>
        <v>429</v>
      </c>
      <c r="BC151" s="486">
        <f ca="1">ROUND(VLOOKUP($AW151&amp;"初始",$O$3:$AA$63,MATCH(BC$3,$O$3:$AA$3,0),FALSE)+(VLOOKUP($AW151&amp;"最终",$O$3:$AA$63,MATCH(BC$3,$O$3:$AA$3,0),FALSE)-VLOOKUP($AW151&amp;"初始",$O$3:$AA$63,MATCH(BC$3,$O$3:$AA$3,0),FALSE))*$AY151/VLOOKUP(VLOOKUP($AW151,坦克个性化设定!$B$18:$E$48,4,FALSE)&amp;$AX151,坦克属性分配比例,MATCH("升星次数",坦克属性分配比例标头,0),FALSE)*(VLOOKUP(VLOOKUP($AW151,坦克个性化设定!$B$18:$E$48,4,FALSE)&amp;$AX151,坦克属性分配比例,MATCH("升星比例",坦克属性分配比例标头,0),FALSE)+VLOOKUP(VLOOKUP($AW151,坦克个性化设定!$B$18:$E$48,4,FALSE)&amp;$AX151,坦克属性分配比例,MATCH("部件比例",坦克属性分配比例标头,0),FALSE)*$C$3),0)</f>
        <v>321</v>
      </c>
      <c r="BD151" s="426">
        <f ca="1">ROUND(VLOOKUP($AW151&amp;"初始",$O$3:$AA$63,MATCH(BD$3,$O$3:$AA$3,0),FALSE)+(VLOOKUP($AW151&amp;"最终",$O$3:$AA$63,MATCH(BD$3,$O$3:$AA$3,0),FALSE)-VLOOKUP($AW151&amp;"初始",$O$3:$AA$63,MATCH(BD$3,$O$3:$AA$3,0),FALSE))*$AY151/VLOOKUP(VLOOKUP($AW151,坦克个性化设定!$B$18:$E$48,4,FALSE)&amp;$AX151,坦克属性分配比例,MATCH("升星次数",坦克属性分配比例标头,0),FALSE)*VLOOKUP(VLOOKUP($AW151,坦克个性化设定!$B$18:$E$48,4,FALSE)&amp;$AX151,坦克属性分配比例,MATCH("升星比例",坦克属性分配比例标头,0),FALSE),0)</f>
        <v>540</v>
      </c>
      <c r="BE151" s="426">
        <f ca="1">ROUND(VLOOKUP($AW151&amp;"初始",$O$3:$AA$63,MATCH(BE$3,$O$3:$AA$3,0),FALSE)+(VLOOKUP($AW151&amp;"最终",$O$3:$AA$63,MATCH(BE$3,$O$3:$AA$3,0),FALSE)-VLOOKUP($AW151&amp;"初始",$O$3:$AA$63,MATCH(BE$3,$O$3:$AA$3,0),FALSE))*$AY151/VLOOKUP(VLOOKUP($AW151,坦克个性化设定!$B$18:$E$48,4,FALSE)&amp;$AX151,坦克属性分配比例,MATCH("升星次数",坦克属性分配比例标头,0),FALSE),0)</f>
        <v>132</v>
      </c>
      <c r="BF151" s="462">
        <f>ROUND(VLOOKUP($AW151,$AD$3:$AJ$33,MATCH(BF$3,$AD$3:$AJ$3,0),FALSE)+$AY151/VLOOKUP(VLOOKUP($AW151,坦克个性化设定!$B$18:$E$48,4,FALSE)&amp;$AX151,坦克属性分配比例,MATCH("升星次数",坦克属性分配比例标头,0),FALSE)*VLOOKUP($AW151,$AM$3:$AS$33,MATCH(BF$3,$AM$3:$AS$3,0),FALSE),1)</f>
        <v>44.5</v>
      </c>
      <c r="BG151" s="462">
        <f>ROUND(VLOOKUP($AW151,$AD$3:$AJ$33,MATCH(BG$3,$AD$3:$AJ$3,0),FALSE)+$AY151/VLOOKUP(VLOOKUP($AW151,坦克个性化设定!$B$18:$E$48,4,FALSE)&amp;$AX151,坦克属性分配比例,MATCH("升星次数",坦克属性分配比例标头,0),FALSE)*VLOOKUP($AW151,$AM$3:$AS$33,MATCH(BG$3,$AM$3:$AS$3,0),FALSE),1)</f>
        <v>40</v>
      </c>
      <c r="BH151" s="462">
        <f>ROUND(VLOOKUP($AW151,$AD$3:$AJ$33,MATCH(BH$3,$AD$3:$AJ$3,0),FALSE)+$AY151/VLOOKUP(VLOOKUP($AW151,坦克个性化设定!$B$18:$E$48,4,FALSE)&amp;$AX151,坦克属性分配比例,MATCH("升星次数",坦克属性分配比例标头,0),FALSE)*VLOOKUP($AW151,$AM$3:$AS$33,MATCH(BH$3,$AM$3:$AS$3,0),FALSE),1)</f>
        <v>12.3</v>
      </c>
      <c r="BI151" s="654">
        <f>IF(VLOOKUP(AW151,坦克个性化设定!$B$18:$BB$48,MATCH("装弹类型",坦克个性化设定!$B$18:$BB$18,0),FALSE)="弹夹换弹",0,ROUND(VLOOKUP($AW151,$AD$3:$AJ$33,MATCH("换弹时间",$AD$3:$AJ$3,0),FALSE)-$AY151/VLOOKUP(VLOOKUP($AW151,坦克个性化设定!$B$18:$E$48,4,FALSE)&amp;$AX151,坦克属性分配比例,MATCH("升星次数",坦克属性分配比例标头,0),FALSE)*VLOOKUP($AW151,$AM$3:$AS$33,MATCH("换弹时间",$AM$3:$AS$3,0),FALSE),2))</f>
        <v>0</v>
      </c>
      <c r="BJ151" s="462">
        <f>IF(VLOOKUP(AW151,坦克个性化设定!$B$18:$BB$48,MATCH("装弹类型",坦克个性化设定!$B$18:$BB$18,0),FALSE)="弹夹换弹",ROUND(VLOOKUP($AW151,$AD$3:$AJ$33,MATCH("换弹时间",$AD$3:$AJ$3,0),FALSE)-$AY151/VLOOKUP(VLOOKUP($AW151,坦克个性化设定!$B$18:$E$48,4,FALSE)&amp;$AX151,坦克属性分配比例,MATCH("升星次数",坦克属性分配比例标头,0),FALSE)*VLOOKUP($AW151,$AM$3:$AS$33,MATCH("换弹时间",$AM$3:$AS$3,0),FALSE),1),0)</f>
        <v>3</v>
      </c>
      <c r="BK151" s="462">
        <f>ROUND(VLOOKUP($AW151,$AD$3:$AJ$33,MATCH(BK$3,$AD$3:$AJ$3,0),FALSE)+$AY151/VLOOKUP(VLOOKUP($AW151,坦克个性化设定!$B$18:$E$48,4,FALSE)&amp;$AX151,坦克属性分配比例,MATCH("升星次数",坦克属性分配比例标头,0),FALSE)*VLOOKUP($AW151,$AM$3:$AS$33,MATCH(BK$3,$AM$3:$AS$3,0),FALSE),2)</f>
        <v>0.72</v>
      </c>
      <c r="BL151" s="462">
        <f>ROUND(VLOOKUP($AW151,$AD$3:$AJ$33,MATCH(BL$3,$AD$3:$AJ$3,0),FALSE)-$AY151/VLOOKUP(VLOOKUP($AW151,坦克个性化设定!$B$18:$E$48,4,FALSE)&amp;$AX151,坦克属性分配比例,MATCH("升星次数",坦克属性分配比例标头,0),FALSE)*VLOOKUP($AW151,$AM$3:$AS$33,MATCH(BL$3,$AM$3:$AS$3,0),FALSE),2)</f>
        <v>1.1499999999999999</v>
      </c>
    </row>
    <row r="152" spans="47:64" x14ac:dyDescent="0.35">
      <c r="AU152" s="364" t="str">
        <f t="shared" si="22"/>
        <v>玛蒂尔达1</v>
      </c>
      <c r="AV152" s="183">
        <f>IF(AY151&gt;=VLOOKUP(VLOOKUP(AW151,坦克个性化设定!$B$18:$E$48,4,FALSE)&amp;AX151,坦克属性分配比例,MATCH("升星次数",坦克属性分配比例标头,0),FALSE),AV151+1,AV151)</f>
        <v>14</v>
      </c>
      <c r="AW152" s="131" t="str">
        <f t="shared" si="23"/>
        <v>玛蒂尔达</v>
      </c>
      <c r="AX152" s="177" t="str">
        <f>VLOOKUP(AW152,坦克个性化细分!$I$3:$J$33,2,FALSE)</f>
        <v>低</v>
      </c>
      <c r="AY152" s="183">
        <f t="shared" si="21"/>
        <v>1</v>
      </c>
      <c r="AZ152" s="486">
        <f ca="1">ROUND(VLOOKUP($AW152&amp;"初始",$O$3:$AA$63,MATCH(AZ$3,$O$3:$AA$3,0),FALSE)+((VLOOKUP($AW152&amp;"最终",$O$3:$AA$63,MATCH(AZ$3,$O$3:$AA$3,0),FALSE)*坦克个性化细分!$C$9-VLOOKUP($AW152&amp;"初始",$O$3:$AA$63,MATCH(AZ$3,$O$3:$AA$3,0),FALSE))-(VLOOKUP($AW152&amp;"最终",$O$3:$AA$63,MATCH(AZ$3,$O$3:$AA$3,0),FALSE)-VLOOKUP($AW152&amp;"初始",$O$3:$AA$63,MATCH(AZ$3,$O$3:$AA$3,0),FALSE))*VLOOKUP(VLOOKUP($AW152,坦克个性化设定!$B$18:$E$48,4,FALSE)&amp;$AX152,坦克属性分配比例,MATCH("部件比例",坦克属性分配比例标头,0),FALSE))*$AY152/VLOOKUP(VLOOKUP($AW152,坦克个性化设定!$B$18:$E$48,4,FALSE)&amp;$AX152,坦克属性分配比例,MATCH("升星次数",坦克属性分配比例标头,0),FALSE),0)</f>
        <v>1362</v>
      </c>
      <c r="BA152" s="426">
        <f ca="1">ROUND(VLOOKUP($AW152&amp;"初始",$O$3:$AA$63,MATCH(BA$3,$O$3:$AA$3,0),FALSE)+(VLOOKUP($AW152&amp;"最终",$O$3:$AA$63,MATCH(BA$3,$O$3:$AA$3,0),FALSE)-VLOOKUP($AW152&amp;"初始",$O$3:$AA$63,MATCH(BA$3,$O$3:$AA$3,0),FALSE))*$AY152/VLOOKUP(VLOOKUP($AW152,坦克个性化设定!$B$18:$E$48,4,FALSE)&amp;$AX152,坦克属性分配比例,MATCH("升星次数",坦克属性分配比例标头,0),FALSE)*VLOOKUP(VLOOKUP($AW152,坦克个性化设定!$B$18:$E$48,4,FALSE)&amp;$AX152,坦克属性分配比例,MATCH("升星比例",坦克属性分配比例标头,0),FALSE),0)</f>
        <v>66</v>
      </c>
      <c r="BB152" s="486">
        <f ca="1">ROUND(VLOOKUP($AW152&amp;"初始",$O$3:$AA$63,MATCH(BB$3,$O$3:$AA$3,0),FALSE)+(VLOOKUP($AW152&amp;"最终",$O$3:$AA$63,MATCH(BB$3,$O$3:$AA$3,0),FALSE)-VLOOKUP($AW152&amp;"初始",$O$3:$AA$63,MATCH(BB$3,$O$3:$AA$3,0),FALSE))*$AY152/VLOOKUP(VLOOKUP($AW152,坦克个性化设定!$B$18:$E$48,4,FALSE)&amp;$AX152,坦克属性分配比例,MATCH("升星次数",坦克属性分配比例标头,0),FALSE)*(VLOOKUP(VLOOKUP($AW152,坦克个性化设定!$B$18:$E$48,4,FALSE)&amp;$AX152,坦克属性分配比例,MATCH("升星比例",坦克属性分配比例标头,0),FALSE)+VLOOKUP(VLOOKUP($AW152,坦克个性化设定!$B$18:$E$48,4,FALSE)&amp;$AX152,坦克属性分配比例,MATCH("部件比例",坦克属性分配比例标头,0),FALSE)*$C$3),0)</f>
        <v>451</v>
      </c>
      <c r="BC152" s="486">
        <f ca="1">ROUND(VLOOKUP($AW152&amp;"初始",$O$3:$AA$63,MATCH(BC$3,$O$3:$AA$3,0),FALSE)+(VLOOKUP($AW152&amp;"最终",$O$3:$AA$63,MATCH(BC$3,$O$3:$AA$3,0),FALSE)-VLOOKUP($AW152&amp;"初始",$O$3:$AA$63,MATCH(BC$3,$O$3:$AA$3,0),FALSE))*$AY152/VLOOKUP(VLOOKUP($AW152,坦克个性化设定!$B$18:$E$48,4,FALSE)&amp;$AX152,坦克属性分配比例,MATCH("升星次数",坦克属性分配比例标头,0),FALSE)*(VLOOKUP(VLOOKUP($AW152,坦克个性化设定!$B$18:$E$48,4,FALSE)&amp;$AX152,坦克属性分配比例,MATCH("升星比例",坦克属性分配比例标头,0),FALSE)+VLOOKUP(VLOOKUP($AW152,坦克个性化设定!$B$18:$E$48,4,FALSE)&amp;$AX152,坦克属性分配比例,MATCH("部件比例",坦克属性分配比例标头,0),FALSE)*$C$3),0)</f>
        <v>338</v>
      </c>
      <c r="BD152" s="426">
        <f ca="1">ROUND(VLOOKUP($AW152&amp;"初始",$O$3:$AA$63,MATCH(BD$3,$O$3:$AA$3,0),FALSE)+(VLOOKUP($AW152&amp;"最终",$O$3:$AA$63,MATCH(BD$3,$O$3:$AA$3,0),FALSE)-VLOOKUP($AW152&amp;"初始",$O$3:$AA$63,MATCH(BD$3,$O$3:$AA$3,0),FALSE))*$AY152/VLOOKUP(VLOOKUP($AW152,坦克个性化设定!$B$18:$E$48,4,FALSE)&amp;$AX152,坦克属性分配比例,MATCH("升星次数",坦克属性分配比例标头,0),FALSE)*VLOOKUP(VLOOKUP($AW152,坦克个性化设定!$B$18:$E$48,4,FALSE)&amp;$AX152,坦克属性分配比例,MATCH("升星比例",坦克属性分配比例标头,0),FALSE),0)</f>
        <v>556</v>
      </c>
      <c r="BE152" s="426">
        <f ca="1">ROUND(VLOOKUP($AW152&amp;"初始",$O$3:$AA$63,MATCH(BE$3,$O$3:$AA$3,0),FALSE)+(VLOOKUP($AW152&amp;"最终",$O$3:$AA$63,MATCH(BE$3,$O$3:$AA$3,0),FALSE)-VLOOKUP($AW152&amp;"初始",$O$3:$AA$63,MATCH(BE$3,$O$3:$AA$3,0),FALSE))*$AY152/VLOOKUP(VLOOKUP($AW152,坦克个性化设定!$B$18:$E$48,4,FALSE)&amp;$AX152,坦克属性分配比例,MATCH("升星次数",坦克属性分配比例标头,0),FALSE),0)</f>
        <v>141</v>
      </c>
      <c r="BF152" s="462">
        <f>ROUND(VLOOKUP($AW152,$AD$3:$AJ$33,MATCH(BF$3,$AD$3:$AJ$3,0),FALSE)+$AY152/VLOOKUP(VLOOKUP($AW152,坦克个性化设定!$B$18:$E$48,4,FALSE)&amp;$AX152,坦克属性分配比例,MATCH("升星次数",坦克属性分配比例标头,0),FALSE)*VLOOKUP($AW152,$AM$3:$AS$33,MATCH(BF$3,$AM$3:$AS$3,0),FALSE),1)</f>
        <v>45.9</v>
      </c>
      <c r="BG152" s="462">
        <f>ROUND(VLOOKUP($AW152,$AD$3:$AJ$33,MATCH(BG$3,$AD$3:$AJ$3,0),FALSE)+$AY152/VLOOKUP(VLOOKUP($AW152,坦克个性化设定!$B$18:$E$48,4,FALSE)&amp;$AX152,坦克属性分配比例,MATCH("升星次数",坦克属性分配比例标头,0),FALSE)*VLOOKUP($AW152,$AM$3:$AS$33,MATCH(BG$3,$AM$3:$AS$3,0),FALSE),1)</f>
        <v>41.3</v>
      </c>
      <c r="BH152" s="462">
        <f>ROUND(VLOOKUP($AW152,$AD$3:$AJ$33,MATCH(BH$3,$AD$3:$AJ$3,0),FALSE)+$AY152/VLOOKUP(VLOOKUP($AW152,坦克个性化设定!$B$18:$E$48,4,FALSE)&amp;$AX152,坦克属性分配比例,MATCH("升星次数",坦克属性分配比例标头,0),FALSE)*VLOOKUP($AW152,$AM$3:$AS$33,MATCH(BH$3,$AM$3:$AS$3,0),FALSE),1)</f>
        <v>12.8</v>
      </c>
      <c r="BI152" s="654">
        <f>IF(VLOOKUP(AW152,坦克个性化设定!$B$18:$BB$48,MATCH("装弹类型",坦克个性化设定!$B$18:$BB$18,0),FALSE)="弹夹换弹",0,ROUND(VLOOKUP($AW152,$AD$3:$AJ$33,MATCH("换弹时间",$AD$3:$AJ$3,0),FALSE)-$AY152/VLOOKUP(VLOOKUP($AW152,坦克个性化设定!$B$18:$E$48,4,FALSE)&amp;$AX152,坦克属性分配比例,MATCH("升星次数",坦克属性分配比例标头,0),FALSE)*VLOOKUP($AW152,$AM$3:$AS$33,MATCH("换弹时间",$AM$3:$AS$3,0),FALSE),2))</f>
        <v>0</v>
      </c>
      <c r="BJ152" s="462">
        <f>IF(VLOOKUP(AW152,坦克个性化设定!$B$18:$BB$48,MATCH("装弹类型",坦克个性化设定!$B$18:$BB$18,0),FALSE)="弹夹换弹",ROUND(VLOOKUP($AW152,$AD$3:$AJ$33,MATCH("换弹时间",$AD$3:$AJ$3,0),FALSE)-$AY152/VLOOKUP(VLOOKUP($AW152,坦克个性化设定!$B$18:$E$48,4,FALSE)&amp;$AX152,坦克属性分配比例,MATCH("升星次数",坦克属性分配比例标头,0),FALSE)*VLOOKUP($AW152,$AM$3:$AS$33,MATCH("换弹时间",$AM$3:$AS$3,0),FALSE),1),0)</f>
        <v>2.9</v>
      </c>
      <c r="BK152" s="462">
        <f>ROUND(VLOOKUP($AW152,$AD$3:$AJ$33,MATCH(BK$3,$AD$3:$AJ$3,0),FALSE)+$AY152/VLOOKUP(VLOOKUP($AW152,坦克个性化设定!$B$18:$E$48,4,FALSE)&amp;$AX152,坦克属性分配比例,MATCH("升星次数",坦克属性分配比例标头,0),FALSE)*VLOOKUP($AW152,$AM$3:$AS$33,MATCH(BK$3,$AM$3:$AS$3,0),FALSE),2)</f>
        <v>0.71</v>
      </c>
      <c r="BL152" s="462">
        <f>ROUND(VLOOKUP($AW152,$AD$3:$AJ$33,MATCH(BL$3,$AD$3:$AJ$3,0),FALSE)-$AY152/VLOOKUP(VLOOKUP($AW152,坦克个性化设定!$B$18:$E$48,4,FALSE)&amp;$AX152,坦克属性分配比例,MATCH("升星次数",坦克属性分配比例标头,0),FALSE)*VLOOKUP($AW152,$AM$3:$AS$33,MATCH(BL$3,$AM$3:$AS$3,0),FALSE),2)</f>
        <v>1.1299999999999999</v>
      </c>
    </row>
    <row r="153" spans="47:64" x14ac:dyDescent="0.35">
      <c r="AU153" s="364" t="str">
        <f t="shared" si="22"/>
        <v>玛蒂尔达2</v>
      </c>
      <c r="AV153" s="183">
        <f>IF(AY152&gt;=VLOOKUP(VLOOKUP(AW152,坦克个性化设定!$B$18:$E$48,4,FALSE)&amp;AX152,坦克属性分配比例,MATCH("升星次数",坦克属性分配比例标头,0),FALSE),AV152+1,AV152)</f>
        <v>14</v>
      </c>
      <c r="AW153" s="131" t="str">
        <f t="shared" si="23"/>
        <v>玛蒂尔达</v>
      </c>
      <c r="AX153" s="177" t="str">
        <f>VLOOKUP(AW153,坦克个性化细分!$I$3:$J$33,2,FALSE)</f>
        <v>低</v>
      </c>
      <c r="AY153" s="183">
        <f t="shared" si="21"/>
        <v>2</v>
      </c>
      <c r="AZ153" s="486">
        <f ca="1">ROUND(VLOOKUP($AW153&amp;"初始",$O$3:$AA$63,MATCH(AZ$3,$O$3:$AA$3,0),FALSE)+((VLOOKUP($AW153&amp;"最终",$O$3:$AA$63,MATCH(AZ$3,$O$3:$AA$3,0),FALSE)*坦克个性化细分!$C$9-VLOOKUP($AW153&amp;"初始",$O$3:$AA$63,MATCH(AZ$3,$O$3:$AA$3,0),FALSE))-(VLOOKUP($AW153&amp;"最终",$O$3:$AA$63,MATCH(AZ$3,$O$3:$AA$3,0),FALSE)-VLOOKUP($AW153&amp;"初始",$O$3:$AA$63,MATCH(AZ$3,$O$3:$AA$3,0),FALSE))*VLOOKUP(VLOOKUP($AW153,坦克个性化设定!$B$18:$E$48,4,FALSE)&amp;$AX153,坦克属性分配比例,MATCH("部件比例",坦克属性分配比例标头,0),FALSE))*$AY153/VLOOKUP(VLOOKUP($AW153,坦克个性化设定!$B$18:$E$48,4,FALSE)&amp;$AX153,坦克属性分配比例,MATCH("升星次数",坦克属性分配比例标头,0),FALSE),0)</f>
        <v>1471</v>
      </c>
      <c r="BA153" s="426">
        <f ca="1">ROUND(VLOOKUP($AW153&amp;"初始",$O$3:$AA$63,MATCH(BA$3,$O$3:$AA$3,0),FALSE)+(VLOOKUP($AW153&amp;"最终",$O$3:$AA$63,MATCH(BA$3,$O$3:$AA$3,0),FALSE)-VLOOKUP($AW153&amp;"初始",$O$3:$AA$63,MATCH(BA$3,$O$3:$AA$3,0),FALSE))*$AY153/VLOOKUP(VLOOKUP($AW153,坦克个性化设定!$B$18:$E$48,4,FALSE)&amp;$AX153,坦克属性分配比例,MATCH("升星次数",坦克属性分配比例标头,0),FALSE)*VLOOKUP(VLOOKUP($AW153,坦克个性化设定!$B$18:$E$48,4,FALSE)&amp;$AX153,坦克属性分配比例,MATCH("升星比例",坦克属性分配比例标头,0),FALSE),0)</f>
        <v>68</v>
      </c>
      <c r="BB153" s="486">
        <f ca="1">ROUND(VLOOKUP($AW153&amp;"初始",$O$3:$AA$63,MATCH(BB$3,$O$3:$AA$3,0),FALSE)+(VLOOKUP($AW153&amp;"最终",$O$3:$AA$63,MATCH(BB$3,$O$3:$AA$3,0),FALSE)-VLOOKUP($AW153&amp;"初始",$O$3:$AA$63,MATCH(BB$3,$O$3:$AA$3,0),FALSE))*$AY153/VLOOKUP(VLOOKUP($AW153,坦克个性化设定!$B$18:$E$48,4,FALSE)&amp;$AX153,坦克属性分配比例,MATCH("升星次数",坦克属性分配比例标头,0),FALSE)*(VLOOKUP(VLOOKUP($AW153,坦克个性化设定!$B$18:$E$48,4,FALSE)&amp;$AX153,坦克属性分配比例,MATCH("升星比例",坦克属性分配比例标头,0),FALSE)+VLOOKUP(VLOOKUP($AW153,坦克个性化设定!$B$18:$E$48,4,FALSE)&amp;$AX153,坦克属性分配比例,MATCH("部件比例",坦克属性分配比例标头,0),FALSE)*$C$3),0)</f>
        <v>473</v>
      </c>
      <c r="BC153" s="486">
        <f ca="1">ROUND(VLOOKUP($AW153&amp;"初始",$O$3:$AA$63,MATCH(BC$3,$O$3:$AA$3,0),FALSE)+(VLOOKUP($AW153&amp;"最终",$O$3:$AA$63,MATCH(BC$3,$O$3:$AA$3,0),FALSE)-VLOOKUP($AW153&amp;"初始",$O$3:$AA$63,MATCH(BC$3,$O$3:$AA$3,0),FALSE))*$AY153/VLOOKUP(VLOOKUP($AW153,坦克个性化设定!$B$18:$E$48,4,FALSE)&amp;$AX153,坦克属性分配比例,MATCH("升星次数",坦克属性分配比例标头,0),FALSE)*(VLOOKUP(VLOOKUP($AW153,坦克个性化设定!$B$18:$E$48,4,FALSE)&amp;$AX153,坦克属性分配比例,MATCH("升星比例",坦克属性分配比例标头,0),FALSE)+VLOOKUP(VLOOKUP($AW153,坦克个性化设定!$B$18:$E$48,4,FALSE)&amp;$AX153,坦克属性分配比例,MATCH("部件比例",坦克属性分配比例标头,0),FALSE)*$C$3),0)</f>
        <v>354</v>
      </c>
      <c r="BD153" s="426">
        <f ca="1">ROUND(VLOOKUP($AW153&amp;"初始",$O$3:$AA$63,MATCH(BD$3,$O$3:$AA$3,0),FALSE)+(VLOOKUP($AW153&amp;"最终",$O$3:$AA$63,MATCH(BD$3,$O$3:$AA$3,0),FALSE)-VLOOKUP($AW153&amp;"初始",$O$3:$AA$63,MATCH(BD$3,$O$3:$AA$3,0),FALSE))*$AY153/VLOOKUP(VLOOKUP($AW153,坦克个性化设定!$B$18:$E$48,4,FALSE)&amp;$AX153,坦克属性分配比例,MATCH("升星次数",坦克属性分配比例标头,0),FALSE)*VLOOKUP(VLOOKUP($AW153,坦克个性化设定!$B$18:$E$48,4,FALSE)&amp;$AX153,坦克属性分配比例,MATCH("升星比例",坦克属性分配比例标头,0),FALSE),0)</f>
        <v>571</v>
      </c>
      <c r="BE153" s="426">
        <f ca="1">ROUND(VLOOKUP($AW153&amp;"初始",$O$3:$AA$63,MATCH(BE$3,$O$3:$AA$3,0),FALSE)+(VLOOKUP($AW153&amp;"最终",$O$3:$AA$63,MATCH(BE$3,$O$3:$AA$3,0),FALSE)-VLOOKUP($AW153&amp;"初始",$O$3:$AA$63,MATCH(BE$3,$O$3:$AA$3,0),FALSE))*$AY153/VLOOKUP(VLOOKUP($AW153,坦克个性化设定!$B$18:$E$48,4,FALSE)&amp;$AX153,坦克属性分配比例,MATCH("升星次数",坦克属性分配比例标头,0),FALSE),0)</f>
        <v>150</v>
      </c>
      <c r="BF153" s="462">
        <f>ROUND(VLOOKUP($AW153,$AD$3:$AJ$33,MATCH(BF$3,$AD$3:$AJ$3,0),FALSE)+$AY153/VLOOKUP(VLOOKUP($AW153,坦克个性化设定!$B$18:$E$48,4,FALSE)&amp;$AX153,坦克属性分配比例,MATCH("升星次数",坦克属性分配比例标头,0),FALSE)*VLOOKUP($AW153,$AM$3:$AS$33,MATCH(BF$3,$AM$3:$AS$3,0),FALSE),1)</f>
        <v>47.3</v>
      </c>
      <c r="BG153" s="462">
        <f>ROUND(VLOOKUP($AW153,$AD$3:$AJ$33,MATCH(BG$3,$AD$3:$AJ$3,0),FALSE)+$AY153/VLOOKUP(VLOOKUP($AW153,坦克个性化设定!$B$18:$E$48,4,FALSE)&amp;$AX153,坦克属性分配比例,MATCH("升星次数",坦克属性分配比例标头,0),FALSE)*VLOOKUP($AW153,$AM$3:$AS$33,MATCH(BG$3,$AM$3:$AS$3,0),FALSE),1)</f>
        <v>42.5</v>
      </c>
      <c r="BH153" s="462">
        <f>ROUND(VLOOKUP($AW153,$AD$3:$AJ$33,MATCH(BH$3,$AD$3:$AJ$3,0),FALSE)+$AY153/VLOOKUP(VLOOKUP($AW153,坦克个性化设定!$B$18:$E$48,4,FALSE)&amp;$AX153,坦克属性分配比例,MATCH("升星次数",坦克属性分配比例标头,0),FALSE)*VLOOKUP($AW153,$AM$3:$AS$33,MATCH(BH$3,$AM$3:$AS$3,0),FALSE),1)</f>
        <v>13.3</v>
      </c>
      <c r="BI153" s="654">
        <f>IF(VLOOKUP(AW153,坦克个性化设定!$B$18:$BB$48,MATCH("装弹类型",坦克个性化设定!$B$18:$BB$18,0),FALSE)="弹夹换弹",0,ROUND(VLOOKUP($AW153,$AD$3:$AJ$33,MATCH("换弹时间",$AD$3:$AJ$3,0),FALSE)-$AY153/VLOOKUP(VLOOKUP($AW153,坦克个性化设定!$B$18:$E$48,4,FALSE)&amp;$AX153,坦克属性分配比例,MATCH("升星次数",坦克属性分配比例标头,0),FALSE)*VLOOKUP($AW153,$AM$3:$AS$33,MATCH("换弹时间",$AM$3:$AS$3,0),FALSE),2))</f>
        <v>0</v>
      </c>
      <c r="BJ153" s="462">
        <f>IF(VLOOKUP(AW153,坦克个性化设定!$B$18:$BB$48,MATCH("装弹类型",坦克个性化设定!$B$18:$BB$18,0),FALSE)="弹夹换弹",ROUND(VLOOKUP($AW153,$AD$3:$AJ$33,MATCH("换弹时间",$AD$3:$AJ$3,0),FALSE)-$AY153/VLOOKUP(VLOOKUP($AW153,坦克个性化设定!$B$18:$E$48,4,FALSE)&amp;$AX153,坦克属性分配比例,MATCH("升星次数",坦克属性分配比例标头,0),FALSE)*VLOOKUP($AW153,$AM$3:$AS$33,MATCH("换弹时间",$AM$3:$AS$3,0),FALSE),1),0)</f>
        <v>2.7</v>
      </c>
      <c r="BK153" s="462">
        <f>ROUND(VLOOKUP($AW153,$AD$3:$AJ$33,MATCH(BK$3,$AD$3:$AJ$3,0),FALSE)+$AY153/VLOOKUP(VLOOKUP($AW153,坦克个性化设定!$B$18:$E$48,4,FALSE)&amp;$AX153,坦克属性分配比例,MATCH("升星次数",坦克属性分配比例标头,0),FALSE)*VLOOKUP($AW153,$AM$3:$AS$33,MATCH(BK$3,$AM$3:$AS$3,0),FALSE),2)</f>
        <v>0.69</v>
      </c>
      <c r="BL153" s="462">
        <f>ROUND(VLOOKUP($AW153,$AD$3:$AJ$33,MATCH(BL$3,$AD$3:$AJ$3,0),FALSE)-$AY153/VLOOKUP(VLOOKUP($AW153,坦克个性化设定!$B$18:$E$48,4,FALSE)&amp;$AX153,坦克属性分配比例,MATCH("升星次数",坦克属性分配比例标头,0),FALSE)*VLOOKUP($AW153,$AM$3:$AS$33,MATCH(BL$3,$AM$3:$AS$3,0),FALSE),2)</f>
        <v>1.1000000000000001</v>
      </c>
    </row>
    <row r="154" spans="47:64" x14ac:dyDescent="0.35">
      <c r="AU154" s="364" t="str">
        <f t="shared" si="22"/>
        <v>玛蒂尔达3</v>
      </c>
      <c r="AV154" s="183">
        <f>IF(AY153&gt;=VLOOKUP(VLOOKUP(AW153,坦克个性化设定!$B$18:$E$48,4,FALSE)&amp;AX153,坦克属性分配比例,MATCH("升星次数",坦克属性分配比例标头,0),FALSE),AV153+1,AV153)</f>
        <v>14</v>
      </c>
      <c r="AW154" s="131" t="str">
        <f t="shared" si="23"/>
        <v>玛蒂尔达</v>
      </c>
      <c r="AX154" s="177" t="str">
        <f>VLOOKUP(AW154,坦克个性化细分!$I$3:$J$33,2,FALSE)</f>
        <v>低</v>
      </c>
      <c r="AY154" s="183">
        <f t="shared" si="21"/>
        <v>3</v>
      </c>
      <c r="AZ154" s="486">
        <f ca="1">ROUND(VLOOKUP($AW154&amp;"初始",$O$3:$AA$63,MATCH(AZ$3,$O$3:$AA$3,0),FALSE)+((VLOOKUP($AW154&amp;"最终",$O$3:$AA$63,MATCH(AZ$3,$O$3:$AA$3,0),FALSE)*坦克个性化细分!$C$9-VLOOKUP($AW154&amp;"初始",$O$3:$AA$63,MATCH(AZ$3,$O$3:$AA$3,0),FALSE))-(VLOOKUP($AW154&amp;"最终",$O$3:$AA$63,MATCH(AZ$3,$O$3:$AA$3,0),FALSE)-VLOOKUP($AW154&amp;"初始",$O$3:$AA$63,MATCH(AZ$3,$O$3:$AA$3,0),FALSE))*VLOOKUP(VLOOKUP($AW154,坦克个性化设定!$B$18:$E$48,4,FALSE)&amp;$AX154,坦克属性分配比例,MATCH("部件比例",坦克属性分配比例标头,0),FALSE))*$AY154/VLOOKUP(VLOOKUP($AW154,坦克个性化设定!$B$18:$E$48,4,FALSE)&amp;$AX154,坦克属性分配比例,MATCH("升星次数",坦克属性分配比例标头,0),FALSE),0)</f>
        <v>1579</v>
      </c>
      <c r="BA154" s="426">
        <f ca="1">ROUND(VLOOKUP($AW154&amp;"初始",$O$3:$AA$63,MATCH(BA$3,$O$3:$AA$3,0),FALSE)+(VLOOKUP($AW154&amp;"最终",$O$3:$AA$63,MATCH(BA$3,$O$3:$AA$3,0),FALSE)-VLOOKUP($AW154&amp;"初始",$O$3:$AA$63,MATCH(BA$3,$O$3:$AA$3,0),FALSE))*$AY154/VLOOKUP(VLOOKUP($AW154,坦克个性化设定!$B$18:$E$48,4,FALSE)&amp;$AX154,坦克属性分配比例,MATCH("升星次数",坦克属性分配比例标头,0),FALSE)*VLOOKUP(VLOOKUP($AW154,坦克个性化设定!$B$18:$E$48,4,FALSE)&amp;$AX154,坦克属性分配比例,MATCH("升星比例",坦克属性分配比例标头,0),FALSE),0)</f>
        <v>70</v>
      </c>
      <c r="BB154" s="486">
        <f ca="1">ROUND(VLOOKUP($AW154&amp;"初始",$O$3:$AA$63,MATCH(BB$3,$O$3:$AA$3,0),FALSE)+(VLOOKUP($AW154&amp;"最终",$O$3:$AA$63,MATCH(BB$3,$O$3:$AA$3,0),FALSE)-VLOOKUP($AW154&amp;"初始",$O$3:$AA$63,MATCH(BB$3,$O$3:$AA$3,0),FALSE))*$AY154/VLOOKUP(VLOOKUP($AW154,坦克个性化设定!$B$18:$E$48,4,FALSE)&amp;$AX154,坦克属性分配比例,MATCH("升星次数",坦克属性分配比例标头,0),FALSE)*(VLOOKUP(VLOOKUP($AW154,坦克个性化设定!$B$18:$E$48,4,FALSE)&amp;$AX154,坦克属性分配比例,MATCH("升星比例",坦克属性分配比例标头,0),FALSE)+VLOOKUP(VLOOKUP($AW154,坦克个性化设定!$B$18:$E$48,4,FALSE)&amp;$AX154,坦克属性分配比例,MATCH("部件比例",坦克属性分配比例标头,0),FALSE)*$C$3),0)</f>
        <v>495</v>
      </c>
      <c r="BC154" s="486">
        <f ca="1">ROUND(VLOOKUP($AW154&amp;"初始",$O$3:$AA$63,MATCH(BC$3,$O$3:$AA$3,0),FALSE)+(VLOOKUP($AW154&amp;"最终",$O$3:$AA$63,MATCH(BC$3,$O$3:$AA$3,0),FALSE)-VLOOKUP($AW154&amp;"初始",$O$3:$AA$63,MATCH(BC$3,$O$3:$AA$3,0),FALSE))*$AY154/VLOOKUP(VLOOKUP($AW154,坦克个性化设定!$B$18:$E$48,4,FALSE)&amp;$AX154,坦克属性分配比例,MATCH("升星次数",坦克属性分配比例标头,0),FALSE)*(VLOOKUP(VLOOKUP($AW154,坦克个性化设定!$B$18:$E$48,4,FALSE)&amp;$AX154,坦克属性分配比例,MATCH("升星比例",坦克属性分配比例标头,0),FALSE)+VLOOKUP(VLOOKUP($AW154,坦克个性化设定!$B$18:$E$48,4,FALSE)&amp;$AX154,坦克属性分配比例,MATCH("部件比例",坦克属性分配比例标头,0),FALSE)*$C$3),0)</f>
        <v>371</v>
      </c>
      <c r="BD154" s="426">
        <f ca="1">ROUND(VLOOKUP($AW154&amp;"初始",$O$3:$AA$63,MATCH(BD$3,$O$3:$AA$3,0),FALSE)+(VLOOKUP($AW154&amp;"最终",$O$3:$AA$63,MATCH(BD$3,$O$3:$AA$3,0),FALSE)-VLOOKUP($AW154&amp;"初始",$O$3:$AA$63,MATCH(BD$3,$O$3:$AA$3,0),FALSE))*$AY154/VLOOKUP(VLOOKUP($AW154,坦克个性化设定!$B$18:$E$48,4,FALSE)&amp;$AX154,坦克属性分配比例,MATCH("升星次数",坦克属性分配比例标头,0),FALSE)*VLOOKUP(VLOOKUP($AW154,坦克个性化设定!$B$18:$E$48,4,FALSE)&amp;$AX154,坦克属性分配比例,MATCH("升星比例",坦克属性分配比例标头,0),FALSE),0)</f>
        <v>587</v>
      </c>
      <c r="BE154" s="426">
        <f ca="1">ROUND(VLOOKUP($AW154&amp;"初始",$O$3:$AA$63,MATCH(BE$3,$O$3:$AA$3,0),FALSE)+(VLOOKUP($AW154&amp;"最终",$O$3:$AA$63,MATCH(BE$3,$O$3:$AA$3,0),FALSE)-VLOOKUP($AW154&amp;"初始",$O$3:$AA$63,MATCH(BE$3,$O$3:$AA$3,0),FALSE))*$AY154/VLOOKUP(VLOOKUP($AW154,坦克个性化设定!$B$18:$E$48,4,FALSE)&amp;$AX154,坦克属性分配比例,MATCH("升星次数",坦克属性分配比例标头,0),FALSE),0)</f>
        <v>158</v>
      </c>
      <c r="BF154" s="462">
        <f>ROUND(VLOOKUP($AW154,$AD$3:$AJ$33,MATCH(BF$3,$AD$3:$AJ$3,0),FALSE)+$AY154/VLOOKUP(VLOOKUP($AW154,坦克个性化设定!$B$18:$E$48,4,FALSE)&amp;$AX154,坦克属性分配比例,MATCH("升星次数",坦克属性分配比例标头,0),FALSE)*VLOOKUP($AW154,$AM$3:$AS$33,MATCH(BF$3,$AM$3:$AS$3,0),FALSE),1)</f>
        <v>48.7</v>
      </c>
      <c r="BG154" s="462">
        <f>ROUND(VLOOKUP($AW154,$AD$3:$AJ$33,MATCH(BG$3,$AD$3:$AJ$3,0),FALSE)+$AY154/VLOOKUP(VLOOKUP($AW154,坦克个性化设定!$B$18:$E$48,4,FALSE)&amp;$AX154,坦克属性分配比例,MATCH("升星次数",坦克属性分配比例标头,0),FALSE)*VLOOKUP($AW154,$AM$3:$AS$33,MATCH(BG$3,$AM$3:$AS$3,0),FALSE),1)</f>
        <v>43.8</v>
      </c>
      <c r="BH154" s="462">
        <f>ROUND(VLOOKUP($AW154,$AD$3:$AJ$33,MATCH(BH$3,$AD$3:$AJ$3,0),FALSE)+$AY154/VLOOKUP(VLOOKUP($AW154,坦克个性化设定!$B$18:$E$48,4,FALSE)&amp;$AX154,坦克属性分配比例,MATCH("升星次数",坦克属性分配比例标头,0),FALSE)*VLOOKUP($AW154,$AM$3:$AS$33,MATCH(BH$3,$AM$3:$AS$3,0),FALSE),1)</f>
        <v>13.8</v>
      </c>
      <c r="BI154" s="654">
        <f>IF(VLOOKUP(AW154,坦克个性化设定!$B$18:$BB$48,MATCH("装弹类型",坦克个性化设定!$B$18:$BB$18,0),FALSE)="弹夹换弹",0,ROUND(VLOOKUP($AW154,$AD$3:$AJ$33,MATCH("换弹时间",$AD$3:$AJ$3,0),FALSE)-$AY154/VLOOKUP(VLOOKUP($AW154,坦克个性化设定!$B$18:$E$48,4,FALSE)&amp;$AX154,坦克属性分配比例,MATCH("升星次数",坦克属性分配比例标头,0),FALSE)*VLOOKUP($AW154,$AM$3:$AS$33,MATCH("换弹时间",$AM$3:$AS$3,0),FALSE),2))</f>
        <v>0</v>
      </c>
      <c r="BJ154" s="462">
        <f>IF(VLOOKUP(AW154,坦克个性化设定!$B$18:$BB$48,MATCH("装弹类型",坦克个性化设定!$B$18:$BB$18,0),FALSE)="弹夹换弹",ROUND(VLOOKUP($AW154,$AD$3:$AJ$33,MATCH("换弹时间",$AD$3:$AJ$3,0),FALSE)-$AY154/VLOOKUP(VLOOKUP($AW154,坦克个性化设定!$B$18:$E$48,4,FALSE)&amp;$AX154,坦克属性分配比例,MATCH("升星次数",坦克属性分配比例标头,0),FALSE)*VLOOKUP($AW154,$AM$3:$AS$33,MATCH("换弹时间",$AM$3:$AS$3,0),FALSE),1),0)</f>
        <v>2.6</v>
      </c>
      <c r="BK154" s="462">
        <f>ROUND(VLOOKUP($AW154,$AD$3:$AJ$33,MATCH(BK$3,$AD$3:$AJ$3,0),FALSE)+$AY154/VLOOKUP(VLOOKUP($AW154,坦克个性化设定!$B$18:$E$48,4,FALSE)&amp;$AX154,坦克属性分配比例,MATCH("升星次数",坦克属性分配比例标头,0),FALSE)*VLOOKUP($AW154,$AM$3:$AS$33,MATCH(BK$3,$AM$3:$AS$3,0),FALSE),2)</f>
        <v>0.68</v>
      </c>
      <c r="BL154" s="462">
        <f>ROUND(VLOOKUP($AW154,$AD$3:$AJ$33,MATCH(BL$3,$AD$3:$AJ$3,0),FALSE)-$AY154/VLOOKUP(VLOOKUP($AW154,坦克个性化设定!$B$18:$E$48,4,FALSE)&amp;$AX154,坦克属性分配比例,MATCH("升星次数",坦克属性分配比例标头,0),FALSE)*VLOOKUP($AW154,$AM$3:$AS$33,MATCH(BL$3,$AM$3:$AS$3,0),FALSE),2)</f>
        <v>1.08</v>
      </c>
    </row>
    <row r="155" spans="47:64" x14ac:dyDescent="0.35">
      <c r="AU155" s="364" t="str">
        <f t="shared" si="22"/>
        <v>玛蒂尔达4</v>
      </c>
      <c r="AV155" s="183">
        <f>IF(AY154&gt;=VLOOKUP(VLOOKUP(AW154,坦克个性化设定!$B$18:$E$48,4,FALSE)&amp;AX154,坦克属性分配比例,MATCH("升星次数",坦克属性分配比例标头,0),FALSE),AV154+1,AV154)</f>
        <v>14</v>
      </c>
      <c r="AW155" s="131" t="str">
        <f t="shared" si="23"/>
        <v>玛蒂尔达</v>
      </c>
      <c r="AX155" s="177" t="str">
        <f>VLOOKUP(AW155,坦克个性化细分!$I$3:$J$33,2,FALSE)</f>
        <v>低</v>
      </c>
      <c r="AY155" s="183">
        <f t="shared" si="21"/>
        <v>4</v>
      </c>
      <c r="AZ155" s="486">
        <f ca="1">ROUND(VLOOKUP($AW155&amp;"初始",$O$3:$AA$63,MATCH(AZ$3,$O$3:$AA$3,0),FALSE)+((VLOOKUP($AW155&amp;"最终",$O$3:$AA$63,MATCH(AZ$3,$O$3:$AA$3,0),FALSE)*坦克个性化细分!$C$9-VLOOKUP($AW155&amp;"初始",$O$3:$AA$63,MATCH(AZ$3,$O$3:$AA$3,0),FALSE))-(VLOOKUP($AW155&amp;"最终",$O$3:$AA$63,MATCH(AZ$3,$O$3:$AA$3,0),FALSE)-VLOOKUP($AW155&amp;"初始",$O$3:$AA$63,MATCH(AZ$3,$O$3:$AA$3,0),FALSE))*VLOOKUP(VLOOKUP($AW155,坦克个性化设定!$B$18:$E$48,4,FALSE)&amp;$AX155,坦克属性分配比例,MATCH("部件比例",坦克属性分配比例标头,0),FALSE))*$AY155/VLOOKUP(VLOOKUP($AW155,坦克个性化设定!$B$18:$E$48,4,FALSE)&amp;$AX155,坦克属性分配比例,MATCH("升星次数",坦克属性分配比例标头,0),FALSE),0)</f>
        <v>1688</v>
      </c>
      <c r="BA155" s="426">
        <f ca="1">ROUND(VLOOKUP($AW155&amp;"初始",$O$3:$AA$63,MATCH(BA$3,$O$3:$AA$3,0),FALSE)+(VLOOKUP($AW155&amp;"最终",$O$3:$AA$63,MATCH(BA$3,$O$3:$AA$3,0),FALSE)-VLOOKUP($AW155&amp;"初始",$O$3:$AA$63,MATCH(BA$3,$O$3:$AA$3,0),FALSE))*$AY155/VLOOKUP(VLOOKUP($AW155,坦克个性化设定!$B$18:$E$48,4,FALSE)&amp;$AX155,坦克属性分配比例,MATCH("升星次数",坦克属性分配比例标头,0),FALSE)*VLOOKUP(VLOOKUP($AW155,坦克个性化设定!$B$18:$E$48,4,FALSE)&amp;$AX155,坦克属性分配比例,MATCH("升星比例",坦克属性分配比例标头,0),FALSE),0)</f>
        <v>71</v>
      </c>
      <c r="BB155" s="486">
        <f ca="1">ROUND(VLOOKUP($AW155&amp;"初始",$O$3:$AA$63,MATCH(BB$3,$O$3:$AA$3,0),FALSE)+(VLOOKUP($AW155&amp;"最终",$O$3:$AA$63,MATCH(BB$3,$O$3:$AA$3,0),FALSE)-VLOOKUP($AW155&amp;"初始",$O$3:$AA$63,MATCH(BB$3,$O$3:$AA$3,0),FALSE))*$AY155/VLOOKUP(VLOOKUP($AW155,坦克个性化设定!$B$18:$E$48,4,FALSE)&amp;$AX155,坦克属性分配比例,MATCH("升星次数",坦克属性分配比例标头,0),FALSE)*(VLOOKUP(VLOOKUP($AW155,坦克个性化设定!$B$18:$E$48,4,FALSE)&amp;$AX155,坦克属性分配比例,MATCH("升星比例",坦克属性分配比例标头,0),FALSE)+VLOOKUP(VLOOKUP($AW155,坦克个性化设定!$B$18:$E$48,4,FALSE)&amp;$AX155,坦克属性分配比例,MATCH("部件比例",坦克属性分配比例标头,0),FALSE)*$C$3),0)</f>
        <v>517</v>
      </c>
      <c r="BC155" s="486">
        <f ca="1">ROUND(VLOOKUP($AW155&amp;"初始",$O$3:$AA$63,MATCH(BC$3,$O$3:$AA$3,0),FALSE)+(VLOOKUP($AW155&amp;"最终",$O$3:$AA$63,MATCH(BC$3,$O$3:$AA$3,0),FALSE)-VLOOKUP($AW155&amp;"初始",$O$3:$AA$63,MATCH(BC$3,$O$3:$AA$3,0),FALSE))*$AY155/VLOOKUP(VLOOKUP($AW155,坦克个性化设定!$B$18:$E$48,4,FALSE)&amp;$AX155,坦克属性分配比例,MATCH("升星次数",坦克属性分配比例标头,0),FALSE)*(VLOOKUP(VLOOKUP($AW155,坦克个性化设定!$B$18:$E$48,4,FALSE)&amp;$AX155,坦克属性分配比例,MATCH("升星比例",坦克属性分配比例标头,0),FALSE)+VLOOKUP(VLOOKUP($AW155,坦克个性化设定!$B$18:$E$48,4,FALSE)&amp;$AX155,坦克属性分配比例,MATCH("部件比例",坦克属性分配比例标头,0),FALSE)*$C$3),0)</f>
        <v>388</v>
      </c>
      <c r="BD155" s="426">
        <f ca="1">ROUND(VLOOKUP($AW155&amp;"初始",$O$3:$AA$63,MATCH(BD$3,$O$3:$AA$3,0),FALSE)+(VLOOKUP($AW155&amp;"最终",$O$3:$AA$63,MATCH(BD$3,$O$3:$AA$3,0),FALSE)-VLOOKUP($AW155&amp;"初始",$O$3:$AA$63,MATCH(BD$3,$O$3:$AA$3,0),FALSE))*$AY155/VLOOKUP(VLOOKUP($AW155,坦克个性化设定!$B$18:$E$48,4,FALSE)&amp;$AX155,坦克属性分配比例,MATCH("升星次数",坦克属性分配比例标头,0),FALSE)*VLOOKUP(VLOOKUP($AW155,坦克个性化设定!$B$18:$E$48,4,FALSE)&amp;$AX155,坦克属性分配比例,MATCH("升星比例",坦克属性分配比例标头,0),FALSE),0)</f>
        <v>602</v>
      </c>
      <c r="BE155" s="426">
        <f ca="1">ROUND(VLOOKUP($AW155&amp;"初始",$O$3:$AA$63,MATCH(BE$3,$O$3:$AA$3,0),FALSE)+(VLOOKUP($AW155&amp;"最终",$O$3:$AA$63,MATCH(BE$3,$O$3:$AA$3,0),FALSE)-VLOOKUP($AW155&amp;"初始",$O$3:$AA$63,MATCH(BE$3,$O$3:$AA$3,0),FALSE))*$AY155/VLOOKUP(VLOOKUP($AW155,坦克个性化设定!$B$18:$E$48,4,FALSE)&amp;$AX155,坦克属性分配比例,MATCH("升星次数",坦克属性分配比例标头,0),FALSE),0)</f>
        <v>167</v>
      </c>
      <c r="BF155" s="462">
        <f>ROUND(VLOOKUP($AW155,$AD$3:$AJ$33,MATCH(BF$3,$AD$3:$AJ$3,0),FALSE)+$AY155/VLOOKUP(VLOOKUP($AW155,坦克个性化设定!$B$18:$E$48,4,FALSE)&amp;$AX155,坦克属性分配比例,MATCH("升星次数",坦克属性分配比例标头,0),FALSE)*VLOOKUP($AW155,$AM$3:$AS$33,MATCH(BF$3,$AM$3:$AS$3,0),FALSE),1)</f>
        <v>50.1</v>
      </c>
      <c r="BG155" s="462">
        <f>ROUND(VLOOKUP($AW155,$AD$3:$AJ$33,MATCH(BG$3,$AD$3:$AJ$3,0),FALSE)+$AY155/VLOOKUP(VLOOKUP($AW155,坦克个性化设定!$B$18:$E$48,4,FALSE)&amp;$AX155,坦克属性分配比例,MATCH("升星次数",坦克属性分配比例标头,0),FALSE)*VLOOKUP($AW155,$AM$3:$AS$33,MATCH(BG$3,$AM$3:$AS$3,0),FALSE),1)</f>
        <v>45</v>
      </c>
      <c r="BH155" s="462">
        <f>ROUND(VLOOKUP($AW155,$AD$3:$AJ$33,MATCH(BH$3,$AD$3:$AJ$3,0),FALSE)+$AY155/VLOOKUP(VLOOKUP($AW155,坦克个性化设定!$B$18:$E$48,4,FALSE)&amp;$AX155,坦克属性分配比例,MATCH("升星次数",坦克属性分配比例标头,0),FALSE)*VLOOKUP($AW155,$AM$3:$AS$33,MATCH(BH$3,$AM$3:$AS$3,0),FALSE),1)</f>
        <v>14.3</v>
      </c>
      <c r="BI155" s="654">
        <f>IF(VLOOKUP(AW155,坦克个性化设定!$B$18:$BB$48,MATCH("装弹类型",坦克个性化设定!$B$18:$BB$18,0),FALSE)="弹夹换弹",0,ROUND(VLOOKUP($AW155,$AD$3:$AJ$33,MATCH("换弹时间",$AD$3:$AJ$3,0),FALSE)-$AY155/VLOOKUP(VLOOKUP($AW155,坦克个性化设定!$B$18:$E$48,4,FALSE)&amp;$AX155,坦克属性分配比例,MATCH("升星次数",坦克属性分配比例标头,0),FALSE)*VLOOKUP($AW155,$AM$3:$AS$33,MATCH("换弹时间",$AM$3:$AS$3,0),FALSE),2))</f>
        <v>0</v>
      </c>
      <c r="BJ155" s="462">
        <f>IF(VLOOKUP(AW155,坦克个性化设定!$B$18:$BB$48,MATCH("装弹类型",坦克个性化设定!$B$18:$BB$18,0),FALSE)="弹夹换弹",ROUND(VLOOKUP($AW155,$AD$3:$AJ$33,MATCH("换弹时间",$AD$3:$AJ$3,0),FALSE)-$AY155/VLOOKUP(VLOOKUP($AW155,坦克个性化设定!$B$18:$E$48,4,FALSE)&amp;$AX155,坦克属性分配比例,MATCH("升星次数",坦克属性分配比例标头,0),FALSE)*VLOOKUP($AW155,$AM$3:$AS$33,MATCH("换弹时间",$AM$3:$AS$3,0),FALSE),1),0)</f>
        <v>2.5</v>
      </c>
      <c r="BK155" s="462">
        <f>ROUND(VLOOKUP($AW155,$AD$3:$AJ$33,MATCH(BK$3,$AD$3:$AJ$3,0),FALSE)+$AY155/VLOOKUP(VLOOKUP($AW155,坦克个性化设定!$B$18:$E$48,4,FALSE)&amp;$AX155,坦克属性分配比例,MATCH("升星次数",坦克属性分配比例标头,0),FALSE)*VLOOKUP($AW155,$AM$3:$AS$33,MATCH(BK$3,$AM$3:$AS$3,0),FALSE),2)</f>
        <v>0.66</v>
      </c>
      <c r="BL155" s="462">
        <f>ROUND(VLOOKUP($AW155,$AD$3:$AJ$33,MATCH(BL$3,$AD$3:$AJ$3,0),FALSE)-$AY155/VLOOKUP(VLOOKUP($AW155,坦克个性化设定!$B$18:$E$48,4,FALSE)&amp;$AX155,坦克属性分配比例,MATCH("升星次数",坦克属性分配比例标头,0),FALSE)*VLOOKUP($AW155,$AM$3:$AS$33,MATCH(BL$3,$AM$3:$AS$3,0),FALSE),2)</f>
        <v>1.05</v>
      </c>
    </row>
    <row r="156" spans="47:64" x14ac:dyDescent="0.35">
      <c r="AU156" s="364" t="str">
        <f t="shared" si="22"/>
        <v>玛蒂尔达5</v>
      </c>
      <c r="AV156" s="183">
        <f>IF(AY155&gt;=VLOOKUP(VLOOKUP(AW155,坦克个性化设定!$B$18:$E$48,4,FALSE)&amp;AX155,坦克属性分配比例,MATCH("升星次数",坦克属性分配比例标头,0),FALSE),AV155+1,AV155)</f>
        <v>14</v>
      </c>
      <c r="AW156" s="131" t="str">
        <f t="shared" si="23"/>
        <v>玛蒂尔达</v>
      </c>
      <c r="AX156" s="177" t="str">
        <f>VLOOKUP(AW156,坦克个性化细分!$I$3:$J$33,2,FALSE)</f>
        <v>低</v>
      </c>
      <c r="AY156" s="183">
        <f t="shared" si="21"/>
        <v>5</v>
      </c>
      <c r="AZ156" s="486">
        <f ca="1">ROUND(VLOOKUP($AW156&amp;"初始",$O$3:$AA$63,MATCH(AZ$3,$O$3:$AA$3,0),FALSE)+((VLOOKUP($AW156&amp;"最终",$O$3:$AA$63,MATCH(AZ$3,$O$3:$AA$3,0),FALSE)*坦克个性化细分!$C$9-VLOOKUP($AW156&amp;"初始",$O$3:$AA$63,MATCH(AZ$3,$O$3:$AA$3,0),FALSE))-(VLOOKUP($AW156&amp;"最终",$O$3:$AA$63,MATCH(AZ$3,$O$3:$AA$3,0),FALSE)-VLOOKUP($AW156&amp;"初始",$O$3:$AA$63,MATCH(AZ$3,$O$3:$AA$3,0),FALSE))*VLOOKUP(VLOOKUP($AW156,坦克个性化设定!$B$18:$E$48,4,FALSE)&amp;$AX156,坦克属性分配比例,MATCH("部件比例",坦克属性分配比例标头,0),FALSE))*$AY156/VLOOKUP(VLOOKUP($AW156,坦克个性化设定!$B$18:$E$48,4,FALSE)&amp;$AX156,坦克属性分配比例,MATCH("升星次数",坦克属性分配比例标头,0),FALSE),0)</f>
        <v>1796</v>
      </c>
      <c r="BA156" s="426">
        <f ca="1">ROUND(VLOOKUP($AW156&amp;"初始",$O$3:$AA$63,MATCH(BA$3,$O$3:$AA$3,0),FALSE)+(VLOOKUP($AW156&amp;"最终",$O$3:$AA$63,MATCH(BA$3,$O$3:$AA$3,0),FALSE)-VLOOKUP($AW156&amp;"初始",$O$3:$AA$63,MATCH(BA$3,$O$3:$AA$3,0),FALSE))*$AY156/VLOOKUP(VLOOKUP($AW156,坦克个性化设定!$B$18:$E$48,4,FALSE)&amp;$AX156,坦克属性分配比例,MATCH("升星次数",坦克属性分配比例标头,0),FALSE)*VLOOKUP(VLOOKUP($AW156,坦克个性化设定!$B$18:$E$48,4,FALSE)&amp;$AX156,坦克属性分配比例,MATCH("升星比例",坦克属性分配比例标头,0),FALSE),0)</f>
        <v>73</v>
      </c>
      <c r="BB156" s="486">
        <f ca="1">ROUND(VLOOKUP($AW156&amp;"初始",$O$3:$AA$63,MATCH(BB$3,$O$3:$AA$3,0),FALSE)+(VLOOKUP($AW156&amp;"最终",$O$3:$AA$63,MATCH(BB$3,$O$3:$AA$3,0),FALSE)-VLOOKUP($AW156&amp;"初始",$O$3:$AA$63,MATCH(BB$3,$O$3:$AA$3,0),FALSE))*$AY156/VLOOKUP(VLOOKUP($AW156,坦克个性化设定!$B$18:$E$48,4,FALSE)&amp;$AX156,坦克属性分配比例,MATCH("升星次数",坦克属性分配比例标头,0),FALSE)*(VLOOKUP(VLOOKUP($AW156,坦克个性化设定!$B$18:$E$48,4,FALSE)&amp;$AX156,坦克属性分配比例,MATCH("升星比例",坦克属性分配比例标头,0),FALSE)+VLOOKUP(VLOOKUP($AW156,坦克个性化设定!$B$18:$E$48,4,FALSE)&amp;$AX156,坦克属性分配比例,MATCH("部件比例",坦克属性分配比例标头,0),FALSE)*$C$3),0)</f>
        <v>539</v>
      </c>
      <c r="BC156" s="486">
        <f ca="1">ROUND(VLOOKUP($AW156&amp;"初始",$O$3:$AA$63,MATCH(BC$3,$O$3:$AA$3,0),FALSE)+(VLOOKUP($AW156&amp;"最终",$O$3:$AA$63,MATCH(BC$3,$O$3:$AA$3,0),FALSE)-VLOOKUP($AW156&amp;"初始",$O$3:$AA$63,MATCH(BC$3,$O$3:$AA$3,0),FALSE))*$AY156/VLOOKUP(VLOOKUP($AW156,坦克个性化设定!$B$18:$E$48,4,FALSE)&amp;$AX156,坦克属性分配比例,MATCH("升星次数",坦克属性分配比例标头,0),FALSE)*(VLOOKUP(VLOOKUP($AW156,坦克个性化设定!$B$18:$E$48,4,FALSE)&amp;$AX156,坦克属性分配比例,MATCH("升星比例",坦克属性分配比例标头,0),FALSE)+VLOOKUP(VLOOKUP($AW156,坦克个性化设定!$B$18:$E$48,4,FALSE)&amp;$AX156,坦克属性分配比例,MATCH("部件比例",坦克属性分配比例标头,0),FALSE)*$C$3),0)</f>
        <v>404</v>
      </c>
      <c r="BD156" s="426">
        <f ca="1">ROUND(VLOOKUP($AW156&amp;"初始",$O$3:$AA$63,MATCH(BD$3,$O$3:$AA$3,0),FALSE)+(VLOOKUP($AW156&amp;"最终",$O$3:$AA$63,MATCH(BD$3,$O$3:$AA$3,0),FALSE)-VLOOKUP($AW156&amp;"初始",$O$3:$AA$63,MATCH(BD$3,$O$3:$AA$3,0),FALSE))*$AY156/VLOOKUP(VLOOKUP($AW156,坦克个性化设定!$B$18:$E$48,4,FALSE)&amp;$AX156,坦克属性分配比例,MATCH("升星次数",坦克属性分配比例标头,0),FALSE)*VLOOKUP(VLOOKUP($AW156,坦克个性化设定!$B$18:$E$48,4,FALSE)&amp;$AX156,坦克属性分配比例,MATCH("升星比例",坦克属性分配比例标头,0),FALSE),0)</f>
        <v>618</v>
      </c>
      <c r="BE156" s="426">
        <f ca="1">ROUND(VLOOKUP($AW156&amp;"初始",$O$3:$AA$63,MATCH(BE$3,$O$3:$AA$3,0),FALSE)+(VLOOKUP($AW156&amp;"最终",$O$3:$AA$63,MATCH(BE$3,$O$3:$AA$3,0),FALSE)-VLOOKUP($AW156&amp;"初始",$O$3:$AA$63,MATCH(BE$3,$O$3:$AA$3,0),FALSE))*$AY156/VLOOKUP(VLOOKUP($AW156,坦克个性化设定!$B$18:$E$48,4,FALSE)&amp;$AX156,坦克属性分配比例,MATCH("升星次数",坦克属性分配比例标头,0),FALSE),0)</f>
        <v>176</v>
      </c>
      <c r="BF156" s="462">
        <f>ROUND(VLOOKUP($AW156,$AD$3:$AJ$33,MATCH(BF$3,$AD$3:$AJ$3,0),FALSE)+$AY156/VLOOKUP(VLOOKUP($AW156,坦克个性化设定!$B$18:$E$48,4,FALSE)&amp;$AX156,坦克属性分配比例,MATCH("升星次数",坦克属性分配比例标头,0),FALSE)*VLOOKUP($AW156,$AM$3:$AS$33,MATCH(BF$3,$AM$3:$AS$3,0),FALSE),1)</f>
        <v>51.5</v>
      </c>
      <c r="BG156" s="462">
        <f>ROUND(VLOOKUP($AW156,$AD$3:$AJ$33,MATCH(BG$3,$AD$3:$AJ$3,0),FALSE)+$AY156/VLOOKUP(VLOOKUP($AW156,坦克个性化设定!$B$18:$E$48,4,FALSE)&amp;$AX156,坦克属性分配比例,MATCH("升星次数",坦克属性分配比例标头,0),FALSE)*VLOOKUP($AW156,$AM$3:$AS$33,MATCH(BG$3,$AM$3:$AS$3,0),FALSE),1)</f>
        <v>46.3</v>
      </c>
      <c r="BH156" s="462">
        <f>ROUND(VLOOKUP($AW156,$AD$3:$AJ$33,MATCH(BH$3,$AD$3:$AJ$3,0),FALSE)+$AY156/VLOOKUP(VLOOKUP($AW156,坦克个性化设定!$B$18:$E$48,4,FALSE)&amp;$AX156,坦克属性分配比例,MATCH("升星次数",坦克属性分配比例标头,0),FALSE)*VLOOKUP($AW156,$AM$3:$AS$33,MATCH(BH$3,$AM$3:$AS$3,0),FALSE),1)</f>
        <v>14.8</v>
      </c>
      <c r="BI156" s="654">
        <f>IF(VLOOKUP(AW156,坦克个性化设定!$B$18:$BB$48,MATCH("装弹类型",坦克个性化设定!$B$18:$BB$18,0),FALSE)="弹夹换弹",0,ROUND(VLOOKUP($AW156,$AD$3:$AJ$33,MATCH("换弹时间",$AD$3:$AJ$3,0),FALSE)-$AY156/VLOOKUP(VLOOKUP($AW156,坦克个性化设定!$B$18:$E$48,4,FALSE)&amp;$AX156,坦克属性分配比例,MATCH("升星次数",坦克属性分配比例标头,0),FALSE)*VLOOKUP($AW156,$AM$3:$AS$33,MATCH("换弹时间",$AM$3:$AS$3,0),FALSE),2))</f>
        <v>0</v>
      </c>
      <c r="BJ156" s="462">
        <f>IF(VLOOKUP(AW156,坦克个性化设定!$B$18:$BB$48,MATCH("装弹类型",坦克个性化设定!$B$18:$BB$18,0),FALSE)="弹夹换弹",ROUND(VLOOKUP($AW156,$AD$3:$AJ$33,MATCH("换弹时间",$AD$3:$AJ$3,0),FALSE)-$AY156/VLOOKUP(VLOOKUP($AW156,坦克个性化设定!$B$18:$E$48,4,FALSE)&amp;$AX156,坦克属性分配比例,MATCH("升星次数",坦克属性分配比例标头,0),FALSE)*VLOOKUP($AW156,$AM$3:$AS$33,MATCH("换弹时间",$AM$3:$AS$3,0),FALSE),1),0)</f>
        <v>2.4</v>
      </c>
      <c r="BK156" s="462">
        <f>ROUND(VLOOKUP($AW156,$AD$3:$AJ$33,MATCH(BK$3,$AD$3:$AJ$3,0),FALSE)+$AY156/VLOOKUP(VLOOKUP($AW156,坦克个性化设定!$B$18:$E$48,4,FALSE)&amp;$AX156,坦克属性分配比例,MATCH("升星次数",坦克属性分配比例标头,0),FALSE)*VLOOKUP($AW156,$AM$3:$AS$33,MATCH(BK$3,$AM$3:$AS$3,0),FALSE),2)</f>
        <v>0.65</v>
      </c>
      <c r="BL156" s="462">
        <f>ROUND(VLOOKUP($AW156,$AD$3:$AJ$33,MATCH(BL$3,$AD$3:$AJ$3,0),FALSE)-$AY156/VLOOKUP(VLOOKUP($AW156,坦克个性化设定!$B$18:$E$48,4,FALSE)&amp;$AX156,坦克属性分配比例,MATCH("升星次数",坦克属性分配比例标头,0),FALSE)*VLOOKUP($AW156,$AM$3:$AS$33,MATCH(BL$3,$AM$3:$AS$3,0),FALSE),2)</f>
        <v>1.03</v>
      </c>
    </row>
    <row r="157" spans="47:64" x14ac:dyDescent="0.35">
      <c r="AU157" s="364" t="str">
        <f t="shared" si="22"/>
        <v>玛蒂尔达6</v>
      </c>
      <c r="AV157" s="183">
        <f>IF(AY156&gt;=VLOOKUP(VLOOKUP(AW156,坦克个性化设定!$B$18:$E$48,4,FALSE)&amp;AX156,坦克属性分配比例,MATCH("升星次数",坦克属性分配比例标头,0),FALSE),AV156+1,AV156)</f>
        <v>14</v>
      </c>
      <c r="AW157" s="131" t="str">
        <f t="shared" si="23"/>
        <v>玛蒂尔达</v>
      </c>
      <c r="AX157" s="177" t="str">
        <f>VLOOKUP(AW157,坦克个性化细分!$I$3:$J$33,2,FALSE)</f>
        <v>低</v>
      </c>
      <c r="AY157" s="183">
        <f t="shared" si="21"/>
        <v>6</v>
      </c>
      <c r="AZ157" s="486">
        <f ca="1">ROUND(VLOOKUP($AW157&amp;"初始",$O$3:$AA$63,MATCH(AZ$3,$O$3:$AA$3,0),FALSE)+((VLOOKUP($AW157&amp;"最终",$O$3:$AA$63,MATCH(AZ$3,$O$3:$AA$3,0),FALSE)*坦克个性化细分!$C$9-VLOOKUP($AW157&amp;"初始",$O$3:$AA$63,MATCH(AZ$3,$O$3:$AA$3,0),FALSE))-(VLOOKUP($AW157&amp;"最终",$O$3:$AA$63,MATCH(AZ$3,$O$3:$AA$3,0),FALSE)-VLOOKUP($AW157&amp;"初始",$O$3:$AA$63,MATCH(AZ$3,$O$3:$AA$3,0),FALSE))*VLOOKUP(VLOOKUP($AW157,坦克个性化设定!$B$18:$E$48,4,FALSE)&amp;$AX157,坦克属性分配比例,MATCH("部件比例",坦克属性分配比例标头,0),FALSE))*$AY157/VLOOKUP(VLOOKUP($AW157,坦克个性化设定!$B$18:$E$48,4,FALSE)&amp;$AX157,坦克属性分配比例,MATCH("升星次数",坦克属性分配比例标头,0),FALSE),0)</f>
        <v>1905</v>
      </c>
      <c r="BA157" s="426">
        <f ca="1">ROUND(VLOOKUP($AW157&amp;"初始",$O$3:$AA$63,MATCH(BA$3,$O$3:$AA$3,0),FALSE)+(VLOOKUP($AW157&amp;"最终",$O$3:$AA$63,MATCH(BA$3,$O$3:$AA$3,0),FALSE)-VLOOKUP($AW157&amp;"初始",$O$3:$AA$63,MATCH(BA$3,$O$3:$AA$3,0),FALSE))*$AY157/VLOOKUP(VLOOKUP($AW157,坦克个性化设定!$B$18:$E$48,4,FALSE)&amp;$AX157,坦克属性分配比例,MATCH("升星次数",坦克属性分配比例标头,0),FALSE)*VLOOKUP(VLOOKUP($AW157,坦克个性化设定!$B$18:$E$48,4,FALSE)&amp;$AX157,坦克属性分配比例,MATCH("升星比例",坦克属性分配比例标头,0),FALSE),0)</f>
        <v>75</v>
      </c>
      <c r="BB157" s="486">
        <f ca="1">ROUND(VLOOKUP($AW157&amp;"初始",$O$3:$AA$63,MATCH(BB$3,$O$3:$AA$3,0),FALSE)+(VLOOKUP($AW157&amp;"最终",$O$3:$AA$63,MATCH(BB$3,$O$3:$AA$3,0),FALSE)-VLOOKUP($AW157&amp;"初始",$O$3:$AA$63,MATCH(BB$3,$O$3:$AA$3,0),FALSE))*$AY157/VLOOKUP(VLOOKUP($AW157,坦克个性化设定!$B$18:$E$48,4,FALSE)&amp;$AX157,坦克属性分配比例,MATCH("升星次数",坦克属性分配比例标头,0),FALSE)*(VLOOKUP(VLOOKUP($AW157,坦克个性化设定!$B$18:$E$48,4,FALSE)&amp;$AX157,坦克属性分配比例,MATCH("升星比例",坦克属性分配比例标头,0),FALSE)+VLOOKUP(VLOOKUP($AW157,坦克个性化设定!$B$18:$E$48,4,FALSE)&amp;$AX157,坦克属性分配比例,MATCH("部件比例",坦克属性分配比例标头,0),FALSE)*$C$3),0)</f>
        <v>561</v>
      </c>
      <c r="BC157" s="486">
        <f ca="1">ROUND(VLOOKUP($AW157&amp;"初始",$O$3:$AA$63,MATCH(BC$3,$O$3:$AA$3,0),FALSE)+(VLOOKUP($AW157&amp;"最终",$O$3:$AA$63,MATCH(BC$3,$O$3:$AA$3,0),FALSE)-VLOOKUP($AW157&amp;"初始",$O$3:$AA$63,MATCH(BC$3,$O$3:$AA$3,0),FALSE))*$AY157/VLOOKUP(VLOOKUP($AW157,坦克个性化设定!$B$18:$E$48,4,FALSE)&amp;$AX157,坦克属性分配比例,MATCH("升星次数",坦克属性分配比例标头,0),FALSE)*(VLOOKUP(VLOOKUP($AW157,坦克个性化设定!$B$18:$E$48,4,FALSE)&amp;$AX157,坦克属性分配比例,MATCH("升星比例",坦克属性分配比例标头,0),FALSE)+VLOOKUP(VLOOKUP($AW157,坦克个性化设定!$B$18:$E$48,4,FALSE)&amp;$AX157,坦克属性分配比例,MATCH("部件比例",坦克属性分配比例标头,0),FALSE)*$C$3),0)</f>
        <v>421</v>
      </c>
      <c r="BD157" s="426">
        <f ca="1">ROUND(VLOOKUP($AW157&amp;"初始",$O$3:$AA$63,MATCH(BD$3,$O$3:$AA$3,0),FALSE)+(VLOOKUP($AW157&amp;"最终",$O$3:$AA$63,MATCH(BD$3,$O$3:$AA$3,0),FALSE)-VLOOKUP($AW157&amp;"初始",$O$3:$AA$63,MATCH(BD$3,$O$3:$AA$3,0),FALSE))*$AY157/VLOOKUP(VLOOKUP($AW157,坦克个性化设定!$B$18:$E$48,4,FALSE)&amp;$AX157,坦克属性分配比例,MATCH("升星次数",坦克属性分配比例标头,0),FALSE)*VLOOKUP(VLOOKUP($AW157,坦克个性化设定!$B$18:$E$48,4,FALSE)&amp;$AX157,坦克属性分配比例,MATCH("升星比例",坦克属性分配比例标头,0),FALSE),0)</f>
        <v>634</v>
      </c>
      <c r="BE157" s="426">
        <f ca="1">ROUND(VLOOKUP($AW157&amp;"初始",$O$3:$AA$63,MATCH(BE$3,$O$3:$AA$3,0),FALSE)+(VLOOKUP($AW157&amp;"最终",$O$3:$AA$63,MATCH(BE$3,$O$3:$AA$3,0),FALSE)-VLOOKUP($AW157&amp;"初始",$O$3:$AA$63,MATCH(BE$3,$O$3:$AA$3,0),FALSE))*$AY157/VLOOKUP(VLOOKUP($AW157,坦克个性化设定!$B$18:$E$48,4,FALSE)&amp;$AX157,坦克属性分配比例,MATCH("升星次数",坦克属性分配比例标头,0),FALSE),0)</f>
        <v>185</v>
      </c>
      <c r="BF157" s="462">
        <f>ROUND(VLOOKUP($AW157,$AD$3:$AJ$33,MATCH(BF$3,$AD$3:$AJ$3,0),FALSE)+$AY157/VLOOKUP(VLOOKUP($AW157,坦克个性化设定!$B$18:$E$48,4,FALSE)&amp;$AX157,坦克属性分配比例,MATCH("升星次数",坦克属性分配比例标头,0),FALSE)*VLOOKUP($AW157,$AM$3:$AS$33,MATCH(BF$3,$AM$3:$AS$3,0),FALSE),1)</f>
        <v>52.8</v>
      </c>
      <c r="BG157" s="462">
        <f>ROUND(VLOOKUP($AW157,$AD$3:$AJ$33,MATCH(BG$3,$AD$3:$AJ$3,0),FALSE)+$AY157/VLOOKUP(VLOOKUP($AW157,坦克个性化设定!$B$18:$E$48,4,FALSE)&amp;$AX157,坦克属性分配比例,MATCH("升星次数",坦克属性分配比例标头,0),FALSE)*VLOOKUP($AW157,$AM$3:$AS$33,MATCH(BG$3,$AM$3:$AS$3,0),FALSE),1)</f>
        <v>47.5</v>
      </c>
      <c r="BH157" s="462">
        <f>ROUND(VLOOKUP($AW157,$AD$3:$AJ$33,MATCH(BH$3,$AD$3:$AJ$3,0),FALSE)+$AY157/VLOOKUP(VLOOKUP($AW157,坦克个性化设定!$B$18:$E$48,4,FALSE)&amp;$AX157,坦克属性分配比例,MATCH("升星次数",坦克属性分配比例标头,0),FALSE)*VLOOKUP($AW157,$AM$3:$AS$33,MATCH(BH$3,$AM$3:$AS$3,0),FALSE),1)</f>
        <v>15.3</v>
      </c>
      <c r="BI157" s="654">
        <f>IF(VLOOKUP(AW157,坦克个性化设定!$B$18:$BB$48,MATCH("装弹类型",坦克个性化设定!$B$18:$BB$18,0),FALSE)="弹夹换弹",0,ROUND(VLOOKUP($AW157,$AD$3:$AJ$33,MATCH("换弹时间",$AD$3:$AJ$3,0),FALSE)-$AY157/VLOOKUP(VLOOKUP($AW157,坦克个性化设定!$B$18:$E$48,4,FALSE)&amp;$AX157,坦克属性分配比例,MATCH("升星次数",坦克属性分配比例标头,0),FALSE)*VLOOKUP($AW157,$AM$3:$AS$33,MATCH("换弹时间",$AM$3:$AS$3,0),FALSE),2))</f>
        <v>0</v>
      </c>
      <c r="BJ157" s="462">
        <f>IF(VLOOKUP(AW157,坦克个性化设定!$B$18:$BB$48,MATCH("装弹类型",坦克个性化设定!$B$18:$BB$18,0),FALSE)="弹夹换弹",ROUND(VLOOKUP($AW157,$AD$3:$AJ$33,MATCH("换弹时间",$AD$3:$AJ$3,0),FALSE)-$AY157/VLOOKUP(VLOOKUP($AW157,坦克个性化设定!$B$18:$E$48,4,FALSE)&amp;$AX157,坦克属性分配比例,MATCH("升星次数",坦克属性分配比例标头,0),FALSE)*VLOOKUP($AW157,$AM$3:$AS$33,MATCH("换弹时间",$AM$3:$AS$3,0),FALSE),1),0)</f>
        <v>2.2000000000000002</v>
      </c>
      <c r="BK157" s="462">
        <f>ROUND(VLOOKUP($AW157,$AD$3:$AJ$33,MATCH(BK$3,$AD$3:$AJ$3,0),FALSE)+$AY157/VLOOKUP(VLOOKUP($AW157,坦克个性化设定!$B$18:$E$48,4,FALSE)&amp;$AX157,坦克属性分配比例,MATCH("升星次数",坦克属性分配比例标头,0),FALSE)*VLOOKUP($AW157,$AM$3:$AS$33,MATCH(BK$3,$AM$3:$AS$3,0),FALSE),2)</f>
        <v>0.63</v>
      </c>
      <c r="BL157" s="462">
        <f>ROUND(VLOOKUP($AW157,$AD$3:$AJ$33,MATCH(BL$3,$AD$3:$AJ$3,0),FALSE)-$AY157/VLOOKUP(VLOOKUP($AW157,坦克个性化设定!$B$18:$E$48,4,FALSE)&amp;$AX157,坦克属性分配比例,MATCH("升星次数",坦克属性分配比例标头,0),FALSE)*VLOOKUP($AW157,$AM$3:$AS$33,MATCH(BL$3,$AM$3:$AS$3,0),FALSE),2)</f>
        <v>1.01</v>
      </c>
    </row>
    <row r="158" spans="47:64" x14ac:dyDescent="0.35">
      <c r="AU158" s="364" t="str">
        <f t="shared" si="22"/>
        <v>玛蒂尔达7</v>
      </c>
      <c r="AV158" s="183">
        <f>IF(AY157&gt;=VLOOKUP(VLOOKUP(AW157,坦克个性化设定!$B$18:$E$48,4,FALSE)&amp;AX157,坦克属性分配比例,MATCH("升星次数",坦克属性分配比例标头,0),FALSE),AV157+1,AV157)</f>
        <v>14</v>
      </c>
      <c r="AW158" s="131" t="str">
        <f t="shared" si="23"/>
        <v>玛蒂尔达</v>
      </c>
      <c r="AX158" s="177" t="str">
        <f>VLOOKUP(AW158,坦克个性化细分!$I$3:$J$33,2,FALSE)</f>
        <v>低</v>
      </c>
      <c r="AY158" s="183">
        <f t="shared" si="21"/>
        <v>7</v>
      </c>
      <c r="AZ158" s="486">
        <f ca="1">ROUND(VLOOKUP($AW158&amp;"初始",$O$3:$AA$63,MATCH(AZ$3,$O$3:$AA$3,0),FALSE)+((VLOOKUP($AW158&amp;"最终",$O$3:$AA$63,MATCH(AZ$3,$O$3:$AA$3,0),FALSE)*坦克个性化细分!$C$9-VLOOKUP($AW158&amp;"初始",$O$3:$AA$63,MATCH(AZ$3,$O$3:$AA$3,0),FALSE))-(VLOOKUP($AW158&amp;"最终",$O$3:$AA$63,MATCH(AZ$3,$O$3:$AA$3,0),FALSE)-VLOOKUP($AW158&amp;"初始",$O$3:$AA$63,MATCH(AZ$3,$O$3:$AA$3,0),FALSE))*VLOOKUP(VLOOKUP($AW158,坦克个性化设定!$B$18:$E$48,4,FALSE)&amp;$AX158,坦克属性分配比例,MATCH("部件比例",坦克属性分配比例标头,0),FALSE))*$AY158/VLOOKUP(VLOOKUP($AW158,坦克个性化设定!$B$18:$E$48,4,FALSE)&amp;$AX158,坦克属性分配比例,MATCH("升星次数",坦克属性分配比例标头,0),FALSE),0)</f>
        <v>2013</v>
      </c>
      <c r="BA158" s="426">
        <f ca="1">ROUND(VLOOKUP($AW158&amp;"初始",$O$3:$AA$63,MATCH(BA$3,$O$3:$AA$3,0),FALSE)+(VLOOKUP($AW158&amp;"最终",$O$3:$AA$63,MATCH(BA$3,$O$3:$AA$3,0),FALSE)-VLOOKUP($AW158&amp;"初始",$O$3:$AA$63,MATCH(BA$3,$O$3:$AA$3,0),FALSE))*$AY158/VLOOKUP(VLOOKUP($AW158,坦克个性化设定!$B$18:$E$48,4,FALSE)&amp;$AX158,坦克属性分配比例,MATCH("升星次数",坦克属性分配比例标头,0),FALSE)*VLOOKUP(VLOOKUP($AW158,坦克个性化设定!$B$18:$E$48,4,FALSE)&amp;$AX158,坦克属性分配比例,MATCH("升星比例",坦克属性分配比例标头,0),FALSE),0)</f>
        <v>77</v>
      </c>
      <c r="BB158" s="486">
        <f ca="1">ROUND(VLOOKUP($AW158&amp;"初始",$O$3:$AA$63,MATCH(BB$3,$O$3:$AA$3,0),FALSE)+(VLOOKUP($AW158&amp;"最终",$O$3:$AA$63,MATCH(BB$3,$O$3:$AA$3,0),FALSE)-VLOOKUP($AW158&amp;"初始",$O$3:$AA$63,MATCH(BB$3,$O$3:$AA$3,0),FALSE))*$AY158/VLOOKUP(VLOOKUP($AW158,坦克个性化设定!$B$18:$E$48,4,FALSE)&amp;$AX158,坦克属性分配比例,MATCH("升星次数",坦克属性分配比例标头,0),FALSE)*(VLOOKUP(VLOOKUP($AW158,坦克个性化设定!$B$18:$E$48,4,FALSE)&amp;$AX158,坦克属性分配比例,MATCH("升星比例",坦克属性分配比例标头,0),FALSE)+VLOOKUP(VLOOKUP($AW158,坦克个性化设定!$B$18:$E$48,4,FALSE)&amp;$AX158,坦克属性分配比例,MATCH("部件比例",坦克属性分配比例标头,0),FALSE)*$C$3),0)</f>
        <v>583</v>
      </c>
      <c r="BC158" s="486">
        <f ca="1">ROUND(VLOOKUP($AW158&amp;"初始",$O$3:$AA$63,MATCH(BC$3,$O$3:$AA$3,0),FALSE)+(VLOOKUP($AW158&amp;"最终",$O$3:$AA$63,MATCH(BC$3,$O$3:$AA$3,0),FALSE)-VLOOKUP($AW158&amp;"初始",$O$3:$AA$63,MATCH(BC$3,$O$3:$AA$3,0),FALSE))*$AY158/VLOOKUP(VLOOKUP($AW158,坦克个性化设定!$B$18:$E$48,4,FALSE)&amp;$AX158,坦克属性分配比例,MATCH("升星次数",坦克属性分配比例标头,0),FALSE)*(VLOOKUP(VLOOKUP($AW158,坦克个性化设定!$B$18:$E$48,4,FALSE)&amp;$AX158,坦克属性分配比例,MATCH("升星比例",坦克属性分配比例标头,0),FALSE)+VLOOKUP(VLOOKUP($AW158,坦克个性化设定!$B$18:$E$48,4,FALSE)&amp;$AX158,坦克属性分配比例,MATCH("部件比例",坦克属性分配比例标头,0),FALSE)*$C$3),0)</f>
        <v>437</v>
      </c>
      <c r="BD158" s="426">
        <f ca="1">ROUND(VLOOKUP($AW158&amp;"初始",$O$3:$AA$63,MATCH(BD$3,$O$3:$AA$3,0),FALSE)+(VLOOKUP($AW158&amp;"最终",$O$3:$AA$63,MATCH(BD$3,$O$3:$AA$3,0),FALSE)-VLOOKUP($AW158&amp;"初始",$O$3:$AA$63,MATCH(BD$3,$O$3:$AA$3,0),FALSE))*$AY158/VLOOKUP(VLOOKUP($AW158,坦克个性化设定!$B$18:$E$48,4,FALSE)&amp;$AX158,坦克属性分配比例,MATCH("升星次数",坦克属性分配比例标头,0),FALSE)*VLOOKUP(VLOOKUP($AW158,坦克个性化设定!$B$18:$E$48,4,FALSE)&amp;$AX158,坦克属性分配比例,MATCH("升星比例",坦克属性分配比例标头,0),FALSE),0)</f>
        <v>649</v>
      </c>
      <c r="BE158" s="426">
        <f ca="1">ROUND(VLOOKUP($AW158&amp;"初始",$O$3:$AA$63,MATCH(BE$3,$O$3:$AA$3,0),FALSE)+(VLOOKUP($AW158&amp;"最终",$O$3:$AA$63,MATCH(BE$3,$O$3:$AA$3,0),FALSE)-VLOOKUP($AW158&amp;"初始",$O$3:$AA$63,MATCH(BE$3,$O$3:$AA$3,0),FALSE))*$AY158/VLOOKUP(VLOOKUP($AW158,坦克个性化设定!$B$18:$E$48,4,FALSE)&amp;$AX158,坦克属性分配比例,MATCH("升星次数",坦克属性分配比例标头,0),FALSE),0)</f>
        <v>193</v>
      </c>
      <c r="BF158" s="462">
        <f>ROUND(VLOOKUP($AW158,$AD$3:$AJ$33,MATCH(BF$3,$AD$3:$AJ$3,0),FALSE)+$AY158/VLOOKUP(VLOOKUP($AW158,坦克个性化设定!$B$18:$E$48,4,FALSE)&amp;$AX158,坦克属性分配比例,MATCH("升星次数",坦克属性分配比例标头,0),FALSE)*VLOOKUP($AW158,$AM$3:$AS$33,MATCH(BF$3,$AM$3:$AS$3,0),FALSE),1)</f>
        <v>54.2</v>
      </c>
      <c r="BG158" s="462">
        <f>ROUND(VLOOKUP($AW158,$AD$3:$AJ$33,MATCH(BG$3,$AD$3:$AJ$3,0),FALSE)+$AY158/VLOOKUP(VLOOKUP($AW158,坦克个性化设定!$B$18:$E$48,4,FALSE)&amp;$AX158,坦克属性分配比例,MATCH("升星次数",坦克属性分配比例标头,0),FALSE)*VLOOKUP($AW158,$AM$3:$AS$33,MATCH(BG$3,$AM$3:$AS$3,0),FALSE),1)</f>
        <v>48.8</v>
      </c>
      <c r="BH158" s="462">
        <f>ROUND(VLOOKUP($AW158,$AD$3:$AJ$33,MATCH(BH$3,$AD$3:$AJ$3,0),FALSE)+$AY158/VLOOKUP(VLOOKUP($AW158,坦克个性化设定!$B$18:$E$48,4,FALSE)&amp;$AX158,坦克属性分配比例,MATCH("升星次数",坦克属性分配比例标头,0),FALSE)*VLOOKUP($AW158,$AM$3:$AS$33,MATCH(BH$3,$AM$3:$AS$3,0),FALSE),1)</f>
        <v>15.8</v>
      </c>
      <c r="BI158" s="654">
        <f>IF(VLOOKUP(AW158,坦克个性化设定!$B$18:$BB$48,MATCH("装弹类型",坦克个性化设定!$B$18:$BB$18,0),FALSE)="弹夹换弹",0,ROUND(VLOOKUP($AW158,$AD$3:$AJ$33,MATCH("换弹时间",$AD$3:$AJ$3,0),FALSE)-$AY158/VLOOKUP(VLOOKUP($AW158,坦克个性化设定!$B$18:$E$48,4,FALSE)&amp;$AX158,坦克属性分配比例,MATCH("升星次数",坦克属性分配比例标头,0),FALSE)*VLOOKUP($AW158,$AM$3:$AS$33,MATCH("换弹时间",$AM$3:$AS$3,0),FALSE),2))</f>
        <v>0</v>
      </c>
      <c r="BJ158" s="462">
        <f>IF(VLOOKUP(AW158,坦克个性化设定!$B$18:$BB$48,MATCH("装弹类型",坦克个性化设定!$B$18:$BB$18,0),FALSE)="弹夹换弹",ROUND(VLOOKUP($AW158,$AD$3:$AJ$33,MATCH("换弹时间",$AD$3:$AJ$3,0),FALSE)-$AY158/VLOOKUP(VLOOKUP($AW158,坦克个性化设定!$B$18:$E$48,4,FALSE)&amp;$AX158,坦克属性分配比例,MATCH("升星次数",坦克属性分配比例标头,0),FALSE)*VLOOKUP($AW158,$AM$3:$AS$33,MATCH("换弹时间",$AM$3:$AS$3,0),FALSE),1),0)</f>
        <v>2.1</v>
      </c>
      <c r="BK158" s="462">
        <f>ROUND(VLOOKUP($AW158,$AD$3:$AJ$33,MATCH(BK$3,$AD$3:$AJ$3,0),FALSE)+$AY158/VLOOKUP(VLOOKUP($AW158,坦克个性化设定!$B$18:$E$48,4,FALSE)&amp;$AX158,坦克属性分配比例,MATCH("升星次数",坦克属性分配比例标头,0),FALSE)*VLOOKUP($AW158,$AM$3:$AS$33,MATCH(BK$3,$AM$3:$AS$3,0),FALSE),2)</f>
        <v>0.62</v>
      </c>
      <c r="BL158" s="462">
        <f>ROUND(VLOOKUP($AW158,$AD$3:$AJ$33,MATCH(BL$3,$AD$3:$AJ$3,0),FALSE)-$AY158/VLOOKUP(VLOOKUP($AW158,坦克个性化设定!$B$18:$E$48,4,FALSE)&amp;$AX158,坦克属性分配比例,MATCH("升星次数",坦克属性分配比例标头,0),FALSE)*VLOOKUP($AW158,$AM$3:$AS$33,MATCH(BL$3,$AM$3:$AS$3,0),FALSE),2)</f>
        <v>0.98</v>
      </c>
    </row>
    <row r="159" spans="47:64" x14ac:dyDescent="0.35">
      <c r="AU159" s="364" t="str">
        <f t="shared" si="22"/>
        <v>玛蒂尔达8</v>
      </c>
      <c r="AV159" s="183">
        <f>IF(AY158&gt;=VLOOKUP(VLOOKUP(AW158,坦克个性化设定!$B$18:$E$48,4,FALSE)&amp;AX158,坦克属性分配比例,MATCH("升星次数",坦克属性分配比例标头,0),FALSE),AV158+1,AV158)</f>
        <v>14</v>
      </c>
      <c r="AW159" s="131" t="str">
        <f t="shared" si="23"/>
        <v>玛蒂尔达</v>
      </c>
      <c r="AX159" s="177" t="str">
        <f>VLOOKUP(AW159,坦克个性化细分!$I$3:$J$33,2,FALSE)</f>
        <v>低</v>
      </c>
      <c r="AY159" s="183">
        <f t="shared" si="21"/>
        <v>8</v>
      </c>
      <c r="AZ159" s="486">
        <f ca="1">ROUND(VLOOKUP($AW159&amp;"初始",$O$3:$AA$63,MATCH(AZ$3,$O$3:$AA$3,0),FALSE)+((VLOOKUP($AW159&amp;"最终",$O$3:$AA$63,MATCH(AZ$3,$O$3:$AA$3,0),FALSE)*坦克个性化细分!$C$9-VLOOKUP($AW159&amp;"初始",$O$3:$AA$63,MATCH(AZ$3,$O$3:$AA$3,0),FALSE))-(VLOOKUP($AW159&amp;"最终",$O$3:$AA$63,MATCH(AZ$3,$O$3:$AA$3,0),FALSE)-VLOOKUP($AW159&amp;"初始",$O$3:$AA$63,MATCH(AZ$3,$O$3:$AA$3,0),FALSE))*VLOOKUP(VLOOKUP($AW159,坦克个性化设定!$B$18:$E$48,4,FALSE)&amp;$AX159,坦克属性分配比例,MATCH("部件比例",坦克属性分配比例标头,0),FALSE))*$AY159/VLOOKUP(VLOOKUP($AW159,坦克个性化设定!$B$18:$E$48,4,FALSE)&amp;$AX159,坦克属性分配比例,MATCH("升星次数",坦克属性分配比例标头,0),FALSE),0)</f>
        <v>2122</v>
      </c>
      <c r="BA159" s="426">
        <f ca="1">ROUND(VLOOKUP($AW159&amp;"初始",$O$3:$AA$63,MATCH(BA$3,$O$3:$AA$3,0),FALSE)+(VLOOKUP($AW159&amp;"最终",$O$3:$AA$63,MATCH(BA$3,$O$3:$AA$3,0),FALSE)-VLOOKUP($AW159&amp;"初始",$O$3:$AA$63,MATCH(BA$3,$O$3:$AA$3,0),FALSE))*$AY159/VLOOKUP(VLOOKUP($AW159,坦克个性化设定!$B$18:$E$48,4,FALSE)&amp;$AX159,坦克属性分配比例,MATCH("升星次数",坦克属性分配比例标头,0),FALSE)*VLOOKUP(VLOOKUP($AW159,坦克个性化设定!$B$18:$E$48,4,FALSE)&amp;$AX159,坦克属性分配比例,MATCH("升星比例",坦克属性分配比例标头,0),FALSE),0)</f>
        <v>79</v>
      </c>
      <c r="BB159" s="486">
        <f ca="1">ROUND(VLOOKUP($AW159&amp;"初始",$O$3:$AA$63,MATCH(BB$3,$O$3:$AA$3,0),FALSE)+(VLOOKUP($AW159&amp;"最终",$O$3:$AA$63,MATCH(BB$3,$O$3:$AA$3,0),FALSE)-VLOOKUP($AW159&amp;"初始",$O$3:$AA$63,MATCH(BB$3,$O$3:$AA$3,0),FALSE))*$AY159/VLOOKUP(VLOOKUP($AW159,坦克个性化设定!$B$18:$E$48,4,FALSE)&amp;$AX159,坦克属性分配比例,MATCH("升星次数",坦克属性分配比例标头,0),FALSE)*(VLOOKUP(VLOOKUP($AW159,坦克个性化设定!$B$18:$E$48,4,FALSE)&amp;$AX159,坦克属性分配比例,MATCH("升星比例",坦克属性分配比例标头,0),FALSE)+VLOOKUP(VLOOKUP($AW159,坦克个性化设定!$B$18:$E$48,4,FALSE)&amp;$AX159,坦克属性分配比例,MATCH("部件比例",坦克属性分配比例标头,0),FALSE)*$C$3),0)</f>
        <v>605</v>
      </c>
      <c r="BC159" s="486">
        <f ca="1">ROUND(VLOOKUP($AW159&amp;"初始",$O$3:$AA$63,MATCH(BC$3,$O$3:$AA$3,0),FALSE)+(VLOOKUP($AW159&amp;"最终",$O$3:$AA$63,MATCH(BC$3,$O$3:$AA$3,0),FALSE)-VLOOKUP($AW159&amp;"初始",$O$3:$AA$63,MATCH(BC$3,$O$3:$AA$3,0),FALSE))*$AY159/VLOOKUP(VLOOKUP($AW159,坦克个性化设定!$B$18:$E$48,4,FALSE)&amp;$AX159,坦克属性分配比例,MATCH("升星次数",坦克属性分配比例标头,0),FALSE)*(VLOOKUP(VLOOKUP($AW159,坦克个性化设定!$B$18:$E$48,4,FALSE)&amp;$AX159,坦克属性分配比例,MATCH("升星比例",坦克属性分配比例标头,0),FALSE)+VLOOKUP(VLOOKUP($AW159,坦克个性化设定!$B$18:$E$48,4,FALSE)&amp;$AX159,坦克属性分配比例,MATCH("部件比例",坦克属性分配比例标头,0),FALSE)*$C$3),0)</f>
        <v>454</v>
      </c>
      <c r="BD159" s="426">
        <f ca="1">ROUND(VLOOKUP($AW159&amp;"初始",$O$3:$AA$63,MATCH(BD$3,$O$3:$AA$3,0),FALSE)+(VLOOKUP($AW159&amp;"最终",$O$3:$AA$63,MATCH(BD$3,$O$3:$AA$3,0),FALSE)-VLOOKUP($AW159&amp;"初始",$O$3:$AA$63,MATCH(BD$3,$O$3:$AA$3,0),FALSE))*$AY159/VLOOKUP(VLOOKUP($AW159,坦克个性化设定!$B$18:$E$48,4,FALSE)&amp;$AX159,坦克属性分配比例,MATCH("升星次数",坦克属性分配比例标头,0),FALSE)*VLOOKUP(VLOOKUP($AW159,坦克个性化设定!$B$18:$E$48,4,FALSE)&amp;$AX159,坦克属性分配比例,MATCH("升星比例",坦克属性分配比例标头,0),FALSE),0)</f>
        <v>665</v>
      </c>
      <c r="BE159" s="426">
        <f ca="1">ROUND(VLOOKUP($AW159&amp;"初始",$O$3:$AA$63,MATCH(BE$3,$O$3:$AA$3,0),FALSE)+(VLOOKUP($AW159&amp;"最终",$O$3:$AA$63,MATCH(BE$3,$O$3:$AA$3,0),FALSE)-VLOOKUP($AW159&amp;"初始",$O$3:$AA$63,MATCH(BE$3,$O$3:$AA$3,0),FALSE))*$AY159/VLOOKUP(VLOOKUP($AW159,坦克个性化设定!$B$18:$E$48,4,FALSE)&amp;$AX159,坦克属性分配比例,MATCH("升星次数",坦克属性分配比例标头,0),FALSE),0)</f>
        <v>202</v>
      </c>
      <c r="BF159" s="462">
        <f>ROUND(VLOOKUP($AW159,$AD$3:$AJ$33,MATCH(BF$3,$AD$3:$AJ$3,0),FALSE)+$AY159/VLOOKUP(VLOOKUP($AW159,坦克个性化设定!$B$18:$E$48,4,FALSE)&amp;$AX159,坦克属性分配比例,MATCH("升星次数",坦克属性分配比例标头,0),FALSE)*VLOOKUP($AW159,$AM$3:$AS$33,MATCH(BF$3,$AM$3:$AS$3,0),FALSE),1)</f>
        <v>55.6</v>
      </c>
      <c r="BG159" s="462">
        <f>ROUND(VLOOKUP($AW159,$AD$3:$AJ$33,MATCH(BG$3,$AD$3:$AJ$3,0),FALSE)+$AY159/VLOOKUP(VLOOKUP($AW159,坦克个性化设定!$B$18:$E$48,4,FALSE)&amp;$AX159,坦克属性分配比例,MATCH("升星次数",坦克属性分配比例标头,0),FALSE)*VLOOKUP($AW159,$AM$3:$AS$33,MATCH(BG$3,$AM$3:$AS$3,0),FALSE),1)</f>
        <v>50</v>
      </c>
      <c r="BH159" s="462">
        <f>ROUND(VLOOKUP($AW159,$AD$3:$AJ$33,MATCH(BH$3,$AD$3:$AJ$3,0),FALSE)+$AY159/VLOOKUP(VLOOKUP($AW159,坦克个性化设定!$B$18:$E$48,4,FALSE)&amp;$AX159,坦克属性分配比例,MATCH("升星次数",坦克属性分配比例标头,0),FALSE)*VLOOKUP($AW159,$AM$3:$AS$33,MATCH(BH$3,$AM$3:$AS$3,0),FALSE),1)</f>
        <v>16.3</v>
      </c>
      <c r="BI159" s="654">
        <f>IF(VLOOKUP(AW159,坦克个性化设定!$B$18:$BB$48,MATCH("装弹类型",坦克个性化设定!$B$18:$BB$18,0),FALSE)="弹夹换弹",0,ROUND(VLOOKUP($AW159,$AD$3:$AJ$33,MATCH("换弹时间",$AD$3:$AJ$3,0),FALSE)-$AY159/VLOOKUP(VLOOKUP($AW159,坦克个性化设定!$B$18:$E$48,4,FALSE)&amp;$AX159,坦克属性分配比例,MATCH("升星次数",坦克属性分配比例标头,0),FALSE)*VLOOKUP($AW159,$AM$3:$AS$33,MATCH("换弹时间",$AM$3:$AS$3,0),FALSE),2))</f>
        <v>0</v>
      </c>
      <c r="BJ159" s="462">
        <f>IF(VLOOKUP(AW159,坦克个性化设定!$B$18:$BB$48,MATCH("装弹类型",坦克个性化设定!$B$18:$BB$18,0),FALSE)="弹夹换弹",ROUND(VLOOKUP($AW159,$AD$3:$AJ$33,MATCH("换弹时间",$AD$3:$AJ$3,0),FALSE)-$AY159/VLOOKUP(VLOOKUP($AW159,坦克个性化设定!$B$18:$E$48,4,FALSE)&amp;$AX159,坦克属性分配比例,MATCH("升星次数",坦克属性分配比例标头,0),FALSE)*VLOOKUP($AW159,$AM$3:$AS$33,MATCH("换弹时间",$AM$3:$AS$3,0),FALSE),1),0)</f>
        <v>2</v>
      </c>
      <c r="BK159" s="462">
        <f>ROUND(VLOOKUP($AW159,$AD$3:$AJ$33,MATCH(BK$3,$AD$3:$AJ$3,0),FALSE)+$AY159/VLOOKUP(VLOOKUP($AW159,坦克个性化设定!$B$18:$E$48,4,FALSE)&amp;$AX159,坦克属性分配比例,MATCH("升星次数",坦克属性分配比例标头,0),FALSE)*VLOOKUP($AW159,$AM$3:$AS$33,MATCH(BK$3,$AM$3:$AS$3,0),FALSE),2)</f>
        <v>0.6</v>
      </c>
      <c r="BL159" s="462">
        <f>ROUND(VLOOKUP($AW159,$AD$3:$AJ$33,MATCH(BL$3,$AD$3:$AJ$3,0),FALSE)-$AY159/VLOOKUP(VLOOKUP($AW159,坦克个性化设定!$B$18:$E$48,4,FALSE)&amp;$AX159,坦克属性分配比例,MATCH("升星次数",坦克属性分配比例标头,0),FALSE)*VLOOKUP($AW159,$AM$3:$AS$33,MATCH(BL$3,$AM$3:$AS$3,0),FALSE),2)</f>
        <v>0.96</v>
      </c>
    </row>
    <row r="160" spans="47:64" x14ac:dyDescent="0.35">
      <c r="AU160" s="364" t="str">
        <f t="shared" si="22"/>
        <v>谢尔曼0</v>
      </c>
      <c r="AV160" s="183">
        <f>IF(AY159&gt;=VLOOKUP(VLOOKUP(AW159,坦克个性化设定!$B$18:$E$48,4,FALSE)&amp;AX159,坦克属性分配比例,MATCH("升星次数",坦克属性分配比例标头,0),FALSE),AV159+1,AV159)</f>
        <v>15</v>
      </c>
      <c r="AW160" s="131" t="str">
        <f t="shared" si="23"/>
        <v>谢尔曼</v>
      </c>
      <c r="AX160" s="177" t="str">
        <f>VLOOKUP(AW160,坦克个性化细分!$I$3:$J$33,2,FALSE)</f>
        <v>中</v>
      </c>
      <c r="AY160" s="183">
        <f t="shared" si="21"/>
        <v>0</v>
      </c>
      <c r="AZ160" s="486">
        <f ca="1">ROUND(VLOOKUP($AW160&amp;"初始",$O$3:$AA$63,MATCH(AZ$3,$O$3:$AA$3,0),FALSE)+((VLOOKUP($AW160&amp;"最终",$O$3:$AA$63,MATCH(AZ$3,$O$3:$AA$3,0),FALSE)*坦克个性化细分!$C$9-VLOOKUP($AW160&amp;"初始",$O$3:$AA$63,MATCH(AZ$3,$O$3:$AA$3,0),FALSE))-(VLOOKUP($AW160&amp;"最终",$O$3:$AA$63,MATCH(AZ$3,$O$3:$AA$3,0),FALSE)-VLOOKUP($AW160&amp;"初始",$O$3:$AA$63,MATCH(AZ$3,$O$3:$AA$3,0),FALSE))*VLOOKUP(VLOOKUP($AW160,坦克个性化设定!$B$18:$E$48,4,FALSE)&amp;$AX160,坦克属性分配比例,MATCH("部件比例",坦克属性分配比例标头,0),FALSE))*$AY160/VLOOKUP(VLOOKUP($AW160,坦克个性化设定!$B$18:$E$48,4,FALSE)&amp;$AX160,坦克属性分配比例,MATCH("升星次数",坦克属性分配比例标头,0),FALSE),0)</f>
        <v>1328</v>
      </c>
      <c r="BA160" s="426">
        <f ca="1">ROUND(VLOOKUP($AW160&amp;"初始",$O$3:$AA$63,MATCH(BA$3,$O$3:$AA$3,0),FALSE)+(VLOOKUP($AW160&amp;"最终",$O$3:$AA$63,MATCH(BA$3,$O$3:$AA$3,0),FALSE)-VLOOKUP($AW160&amp;"初始",$O$3:$AA$63,MATCH(BA$3,$O$3:$AA$3,0),FALSE))*$AY160/VLOOKUP(VLOOKUP($AW160,坦克个性化设定!$B$18:$E$48,4,FALSE)&amp;$AX160,坦克属性分配比例,MATCH("升星次数",坦克属性分配比例标头,0),FALSE)*VLOOKUP(VLOOKUP($AW160,坦克个性化设定!$B$18:$E$48,4,FALSE)&amp;$AX160,坦克属性分配比例,MATCH("升星比例",坦克属性分配比例标头,0),FALSE),0)</f>
        <v>245</v>
      </c>
      <c r="BB160" s="486">
        <f ca="1">ROUND(VLOOKUP($AW160&amp;"初始",$O$3:$AA$63,MATCH(BB$3,$O$3:$AA$3,0),FALSE)+(VLOOKUP($AW160&amp;"最终",$O$3:$AA$63,MATCH(BB$3,$O$3:$AA$3,0),FALSE)-VLOOKUP($AW160&amp;"初始",$O$3:$AA$63,MATCH(BB$3,$O$3:$AA$3,0),FALSE))*$AY160/VLOOKUP(VLOOKUP($AW160,坦克个性化设定!$B$18:$E$48,4,FALSE)&amp;$AX160,坦克属性分配比例,MATCH("升星次数",坦克属性分配比例标头,0),FALSE)*(VLOOKUP(VLOOKUP($AW160,坦克个性化设定!$B$18:$E$48,4,FALSE)&amp;$AX160,坦克属性分配比例,MATCH("升星比例",坦克属性分配比例标头,0),FALSE)+VLOOKUP(VLOOKUP($AW160,坦克个性化设定!$B$18:$E$48,4,FALSE)&amp;$AX160,坦克属性分配比例,MATCH("部件比例",坦克属性分配比例标头,0),FALSE)*$C$3),0)</f>
        <v>508</v>
      </c>
      <c r="BC160" s="486">
        <f ca="1">ROUND(VLOOKUP($AW160&amp;"初始",$O$3:$AA$63,MATCH(BC$3,$O$3:$AA$3,0),FALSE)+(VLOOKUP($AW160&amp;"最终",$O$3:$AA$63,MATCH(BC$3,$O$3:$AA$3,0),FALSE)-VLOOKUP($AW160&amp;"初始",$O$3:$AA$63,MATCH(BC$3,$O$3:$AA$3,0),FALSE))*$AY160/VLOOKUP(VLOOKUP($AW160,坦克个性化设定!$B$18:$E$48,4,FALSE)&amp;$AX160,坦克属性分配比例,MATCH("升星次数",坦克属性分配比例标头,0),FALSE)*(VLOOKUP(VLOOKUP($AW160,坦克个性化设定!$B$18:$E$48,4,FALSE)&amp;$AX160,坦克属性分配比例,MATCH("升星比例",坦克属性分配比例标头,0),FALSE)+VLOOKUP(VLOOKUP($AW160,坦克个性化设定!$B$18:$E$48,4,FALSE)&amp;$AX160,坦克属性分配比例,MATCH("部件比例",坦克属性分配比例标头,0),FALSE)*$C$3),0)</f>
        <v>381</v>
      </c>
      <c r="BD160" s="426">
        <f ca="1">ROUND(VLOOKUP($AW160&amp;"初始",$O$3:$AA$63,MATCH(BD$3,$O$3:$AA$3,0),FALSE)+(VLOOKUP($AW160&amp;"最终",$O$3:$AA$63,MATCH(BD$3,$O$3:$AA$3,0),FALSE)-VLOOKUP($AW160&amp;"初始",$O$3:$AA$63,MATCH(BD$3,$O$3:$AA$3,0),FALSE))*$AY160/VLOOKUP(VLOOKUP($AW160,坦克个性化设定!$B$18:$E$48,4,FALSE)&amp;$AX160,坦克属性分配比例,MATCH("升星次数",坦克属性分配比例标头,0),FALSE)*VLOOKUP(VLOOKUP($AW160,坦克个性化设定!$B$18:$E$48,4,FALSE)&amp;$AX160,坦克属性分配比例,MATCH("升星比例",坦克属性分配比例标头,0),FALSE),0)</f>
        <v>556</v>
      </c>
      <c r="BE160" s="426">
        <f ca="1">ROUND(VLOOKUP($AW160&amp;"初始",$O$3:$AA$63,MATCH(BE$3,$O$3:$AA$3,0),FALSE)+(VLOOKUP($AW160&amp;"最终",$O$3:$AA$63,MATCH(BE$3,$O$3:$AA$3,0),FALSE)-VLOOKUP($AW160&amp;"初始",$O$3:$AA$63,MATCH(BE$3,$O$3:$AA$3,0),FALSE))*$AY160/VLOOKUP(VLOOKUP($AW160,坦克个性化设定!$B$18:$E$48,4,FALSE)&amp;$AX160,坦克属性分配比例,MATCH("升星次数",坦克属性分配比例标头,0),FALSE),0)</f>
        <v>136</v>
      </c>
      <c r="BF160" s="462">
        <f>ROUND(VLOOKUP($AW160,$AD$3:$AJ$33,MATCH(BF$3,$AD$3:$AJ$3,0),FALSE)+$AY160/VLOOKUP(VLOOKUP($AW160,坦克个性化设定!$B$18:$E$48,4,FALSE)&amp;$AX160,坦克属性分配比例,MATCH("升星次数",坦克属性分配比例标头,0),FALSE)*VLOOKUP($AW160,$AM$3:$AS$33,MATCH(BF$3,$AM$3:$AS$3,0),FALSE),1)</f>
        <v>36.299999999999997</v>
      </c>
      <c r="BG160" s="462">
        <f>ROUND(VLOOKUP($AW160,$AD$3:$AJ$33,MATCH(BG$3,$AD$3:$AJ$3,0),FALSE)+$AY160/VLOOKUP(VLOOKUP($AW160,坦克个性化设定!$B$18:$E$48,4,FALSE)&amp;$AX160,坦克属性分配比例,MATCH("升星次数",坦克属性分配比例标头,0),FALSE)*VLOOKUP($AW160,$AM$3:$AS$33,MATCH(BG$3,$AM$3:$AS$3,0),FALSE),1)</f>
        <v>51</v>
      </c>
      <c r="BH160" s="462">
        <f>ROUND(VLOOKUP($AW160,$AD$3:$AJ$33,MATCH(BH$3,$AD$3:$AJ$3,0),FALSE)+$AY160/VLOOKUP(VLOOKUP($AW160,坦克个性化设定!$B$18:$E$48,4,FALSE)&amp;$AX160,坦克属性分配比例,MATCH("升星次数",坦克属性分配比例标头,0),FALSE)*VLOOKUP($AW160,$AM$3:$AS$33,MATCH(BH$3,$AM$3:$AS$3,0),FALSE),1)</f>
        <v>11.3</v>
      </c>
      <c r="BI160" s="654">
        <f>IF(VLOOKUP(AW160,坦克个性化设定!$B$18:$BB$48,MATCH("装弹类型",坦克个性化设定!$B$18:$BB$18,0),FALSE)="弹夹换弹",0,ROUND(VLOOKUP($AW160,$AD$3:$AJ$33,MATCH("换弹时间",$AD$3:$AJ$3,0),FALSE)-$AY160/VLOOKUP(VLOOKUP($AW160,坦克个性化设定!$B$18:$E$48,4,FALSE)&amp;$AX160,坦克属性分配比例,MATCH("升星次数",坦克属性分配比例标头,0),FALSE)*VLOOKUP($AW160,$AM$3:$AS$33,MATCH("换弹时间",$AM$3:$AS$3,0),FALSE),2))</f>
        <v>4.5</v>
      </c>
      <c r="BJ160" s="462">
        <f>IF(VLOOKUP(AW160,坦克个性化设定!$B$18:$BB$48,MATCH("装弹类型",坦克个性化设定!$B$18:$BB$18,0),FALSE)="弹夹换弹",ROUND(VLOOKUP($AW160,$AD$3:$AJ$33,MATCH("换弹时间",$AD$3:$AJ$3,0),FALSE)-$AY160/VLOOKUP(VLOOKUP($AW160,坦克个性化设定!$B$18:$E$48,4,FALSE)&amp;$AX160,坦克属性分配比例,MATCH("升星次数",坦克属性分配比例标头,0),FALSE)*VLOOKUP($AW160,$AM$3:$AS$33,MATCH("换弹时间",$AM$3:$AS$3,0),FALSE),1),0)</f>
        <v>0</v>
      </c>
      <c r="BK160" s="462">
        <f>ROUND(VLOOKUP($AW160,$AD$3:$AJ$33,MATCH(BK$3,$AD$3:$AJ$3,0),FALSE)+$AY160/VLOOKUP(VLOOKUP($AW160,坦克个性化设定!$B$18:$E$48,4,FALSE)&amp;$AX160,坦克属性分配比例,MATCH("升星次数",坦克属性分配比例标头,0),FALSE)*VLOOKUP($AW160,$AM$3:$AS$33,MATCH(BK$3,$AM$3:$AS$3,0),FALSE),2)</f>
        <v>0</v>
      </c>
      <c r="BL160" s="462">
        <f>ROUND(VLOOKUP($AW160,$AD$3:$AJ$33,MATCH(BL$3,$AD$3:$AJ$3,0),FALSE)-$AY160/VLOOKUP(VLOOKUP($AW160,坦克个性化设定!$B$18:$E$48,4,FALSE)&amp;$AX160,坦克属性分配比例,MATCH("升星次数",坦克属性分配比例标头,0),FALSE)*VLOOKUP($AW160,$AM$3:$AS$33,MATCH(BL$3,$AM$3:$AS$3,0),FALSE),2)</f>
        <v>2.4</v>
      </c>
    </row>
    <row r="161" spans="47:64" x14ac:dyDescent="0.35">
      <c r="AU161" s="364" t="str">
        <f t="shared" si="22"/>
        <v>谢尔曼1</v>
      </c>
      <c r="AV161" s="183">
        <f>IF(AY160&gt;=VLOOKUP(VLOOKUP(AW160,坦克个性化设定!$B$18:$E$48,4,FALSE)&amp;AX160,坦克属性分配比例,MATCH("升星次数",坦克属性分配比例标头,0),FALSE),AV160+1,AV160)</f>
        <v>15</v>
      </c>
      <c r="AW161" s="131" t="str">
        <f t="shared" si="23"/>
        <v>谢尔曼</v>
      </c>
      <c r="AX161" s="177" t="str">
        <f>VLOOKUP(AW161,坦克个性化细分!$I$3:$J$33,2,FALSE)</f>
        <v>中</v>
      </c>
      <c r="AY161" s="183">
        <f t="shared" si="21"/>
        <v>1</v>
      </c>
      <c r="AZ161" s="486">
        <f ca="1">ROUND(VLOOKUP($AW161&amp;"初始",$O$3:$AA$63,MATCH(AZ$3,$O$3:$AA$3,0),FALSE)+((VLOOKUP($AW161&amp;"最终",$O$3:$AA$63,MATCH(AZ$3,$O$3:$AA$3,0),FALSE)*坦克个性化细分!$C$9-VLOOKUP($AW161&amp;"初始",$O$3:$AA$63,MATCH(AZ$3,$O$3:$AA$3,0),FALSE))-(VLOOKUP($AW161&amp;"最终",$O$3:$AA$63,MATCH(AZ$3,$O$3:$AA$3,0),FALSE)-VLOOKUP($AW161&amp;"初始",$O$3:$AA$63,MATCH(AZ$3,$O$3:$AA$3,0),FALSE))*VLOOKUP(VLOOKUP($AW161,坦克个性化设定!$B$18:$E$48,4,FALSE)&amp;$AX161,坦克属性分配比例,MATCH("部件比例",坦克属性分配比例标头,0),FALSE))*$AY161/VLOOKUP(VLOOKUP($AW161,坦克个性化设定!$B$18:$E$48,4,FALSE)&amp;$AX161,坦克属性分配比例,MATCH("升星次数",坦克属性分配比例标头,0),FALSE),0)</f>
        <v>1436</v>
      </c>
      <c r="BA161" s="426">
        <f ca="1">ROUND(VLOOKUP($AW161&amp;"初始",$O$3:$AA$63,MATCH(BA$3,$O$3:$AA$3,0),FALSE)+(VLOOKUP($AW161&amp;"最终",$O$3:$AA$63,MATCH(BA$3,$O$3:$AA$3,0),FALSE)-VLOOKUP($AW161&amp;"初始",$O$3:$AA$63,MATCH(BA$3,$O$3:$AA$3,0),FALSE))*$AY161/VLOOKUP(VLOOKUP($AW161,坦克个性化设定!$B$18:$E$48,4,FALSE)&amp;$AX161,坦克属性分配比例,MATCH("升星次数",坦克属性分配比例标头,0),FALSE)*VLOOKUP(VLOOKUP($AW161,坦克个性化设定!$B$18:$E$48,4,FALSE)&amp;$AX161,坦克属性分配比例,MATCH("升星比例",坦克属性分配比例标头,0),FALSE),0)</f>
        <v>255</v>
      </c>
      <c r="BB161" s="486">
        <f ca="1">ROUND(VLOOKUP($AW161&amp;"初始",$O$3:$AA$63,MATCH(BB$3,$O$3:$AA$3,0),FALSE)+(VLOOKUP($AW161&amp;"最终",$O$3:$AA$63,MATCH(BB$3,$O$3:$AA$3,0),FALSE)-VLOOKUP($AW161&amp;"初始",$O$3:$AA$63,MATCH(BB$3,$O$3:$AA$3,0),FALSE))*$AY161/VLOOKUP(VLOOKUP($AW161,坦克个性化设定!$B$18:$E$48,4,FALSE)&amp;$AX161,坦克属性分配比例,MATCH("升星次数",坦克属性分配比例标头,0),FALSE)*(VLOOKUP(VLOOKUP($AW161,坦克个性化设定!$B$18:$E$48,4,FALSE)&amp;$AX161,坦克属性分配比例,MATCH("升星比例",坦克属性分配比例标头,0),FALSE)+VLOOKUP(VLOOKUP($AW161,坦克个性化设定!$B$18:$E$48,4,FALSE)&amp;$AX161,坦克属性分配比例,MATCH("部件比例",坦克属性分配比例标头,0),FALSE)*$C$3),0)</f>
        <v>537</v>
      </c>
      <c r="BC161" s="486">
        <f ca="1">ROUND(VLOOKUP($AW161&amp;"初始",$O$3:$AA$63,MATCH(BC$3,$O$3:$AA$3,0),FALSE)+(VLOOKUP($AW161&amp;"最终",$O$3:$AA$63,MATCH(BC$3,$O$3:$AA$3,0),FALSE)-VLOOKUP($AW161&amp;"初始",$O$3:$AA$63,MATCH(BC$3,$O$3:$AA$3,0),FALSE))*$AY161/VLOOKUP(VLOOKUP($AW161,坦克个性化设定!$B$18:$E$48,4,FALSE)&amp;$AX161,坦克属性分配比例,MATCH("升星次数",坦克属性分配比例标头,0),FALSE)*(VLOOKUP(VLOOKUP($AW161,坦克个性化设定!$B$18:$E$48,4,FALSE)&amp;$AX161,坦克属性分配比例,MATCH("升星比例",坦克属性分配比例标头,0),FALSE)+VLOOKUP(VLOOKUP($AW161,坦克个性化设定!$B$18:$E$48,4,FALSE)&amp;$AX161,坦克属性分配比例,MATCH("部件比例",坦克属性分配比例标头,0),FALSE)*$C$3),0)</f>
        <v>403</v>
      </c>
      <c r="BD161" s="426">
        <f ca="1">ROUND(VLOOKUP($AW161&amp;"初始",$O$3:$AA$63,MATCH(BD$3,$O$3:$AA$3,0),FALSE)+(VLOOKUP($AW161&amp;"最终",$O$3:$AA$63,MATCH(BD$3,$O$3:$AA$3,0),FALSE)-VLOOKUP($AW161&amp;"初始",$O$3:$AA$63,MATCH(BD$3,$O$3:$AA$3,0),FALSE))*$AY161/VLOOKUP(VLOOKUP($AW161,坦克个性化设定!$B$18:$E$48,4,FALSE)&amp;$AX161,坦克属性分配比例,MATCH("升星次数",坦克属性分配比例标头,0),FALSE)*VLOOKUP(VLOOKUP($AW161,坦克个性化设定!$B$18:$E$48,4,FALSE)&amp;$AX161,坦克属性分配比例,MATCH("升星比例",坦克属性分配比例标头,0),FALSE),0)</f>
        <v>578</v>
      </c>
      <c r="BE161" s="426">
        <f ca="1">ROUND(VLOOKUP($AW161&amp;"初始",$O$3:$AA$63,MATCH(BE$3,$O$3:$AA$3,0),FALSE)+(VLOOKUP($AW161&amp;"最终",$O$3:$AA$63,MATCH(BE$3,$O$3:$AA$3,0),FALSE)-VLOOKUP($AW161&amp;"初始",$O$3:$AA$63,MATCH(BE$3,$O$3:$AA$3,0),FALSE))*$AY161/VLOOKUP(VLOOKUP($AW161,坦克个性化设定!$B$18:$E$48,4,FALSE)&amp;$AX161,坦克属性分配比例,MATCH("升星次数",坦克属性分配比例标头,0),FALSE),0)</f>
        <v>145</v>
      </c>
      <c r="BF161" s="462">
        <f>ROUND(VLOOKUP($AW161,$AD$3:$AJ$33,MATCH(BF$3,$AD$3:$AJ$3,0),FALSE)+$AY161/VLOOKUP(VLOOKUP($AW161,坦克个性化设定!$B$18:$E$48,4,FALSE)&amp;$AX161,坦克属性分配比例,MATCH("升星次数",坦克属性分配比例标头,0),FALSE)*VLOOKUP($AW161,$AM$3:$AS$33,MATCH(BF$3,$AM$3:$AS$3,0),FALSE),1)</f>
        <v>36.9</v>
      </c>
      <c r="BG161" s="462">
        <f>ROUND(VLOOKUP($AW161,$AD$3:$AJ$33,MATCH(BG$3,$AD$3:$AJ$3,0),FALSE)+$AY161/VLOOKUP(VLOOKUP($AW161,坦克个性化设定!$B$18:$E$48,4,FALSE)&amp;$AX161,坦克属性分配比例,MATCH("升星次数",坦克属性分配比例标头,0),FALSE)*VLOOKUP($AW161,$AM$3:$AS$33,MATCH(BG$3,$AM$3:$AS$3,0),FALSE),1)</f>
        <v>51.9</v>
      </c>
      <c r="BH161" s="462">
        <f>ROUND(VLOOKUP($AW161,$AD$3:$AJ$33,MATCH(BH$3,$AD$3:$AJ$3,0),FALSE)+$AY161/VLOOKUP(VLOOKUP($AW161,坦克个性化设定!$B$18:$E$48,4,FALSE)&amp;$AX161,坦克属性分配比例,MATCH("升星次数",坦克属性分配比例标头,0),FALSE)*VLOOKUP($AW161,$AM$3:$AS$33,MATCH(BH$3,$AM$3:$AS$3,0),FALSE),1)</f>
        <v>11.6</v>
      </c>
      <c r="BI161" s="654">
        <f>IF(VLOOKUP(AW161,坦克个性化设定!$B$18:$BB$48,MATCH("装弹类型",坦克个性化设定!$B$18:$BB$18,0),FALSE)="弹夹换弹",0,ROUND(VLOOKUP($AW161,$AD$3:$AJ$33,MATCH("换弹时间",$AD$3:$AJ$3,0),FALSE)-$AY161/VLOOKUP(VLOOKUP($AW161,坦克个性化设定!$B$18:$E$48,4,FALSE)&amp;$AX161,坦克属性分配比例,MATCH("升星次数",坦克属性分配比例标头,0),FALSE)*VLOOKUP($AW161,$AM$3:$AS$33,MATCH("换弹时间",$AM$3:$AS$3,0),FALSE),2))</f>
        <v>4.42</v>
      </c>
      <c r="BJ161" s="462">
        <f>IF(VLOOKUP(AW161,坦克个性化设定!$B$18:$BB$48,MATCH("装弹类型",坦克个性化设定!$B$18:$BB$18,0),FALSE)="弹夹换弹",ROUND(VLOOKUP($AW161,$AD$3:$AJ$33,MATCH("换弹时间",$AD$3:$AJ$3,0),FALSE)-$AY161/VLOOKUP(VLOOKUP($AW161,坦克个性化设定!$B$18:$E$48,4,FALSE)&amp;$AX161,坦克属性分配比例,MATCH("升星次数",坦克属性分配比例标头,0),FALSE)*VLOOKUP($AW161,$AM$3:$AS$33,MATCH("换弹时间",$AM$3:$AS$3,0),FALSE),1),0)</f>
        <v>0</v>
      </c>
      <c r="BK161" s="462">
        <f>ROUND(VLOOKUP($AW161,$AD$3:$AJ$33,MATCH(BK$3,$AD$3:$AJ$3,0),FALSE)+$AY161/VLOOKUP(VLOOKUP($AW161,坦克个性化设定!$B$18:$E$48,4,FALSE)&amp;$AX161,坦克属性分配比例,MATCH("升星次数",坦克属性分配比例标头,0),FALSE)*VLOOKUP($AW161,$AM$3:$AS$33,MATCH(BK$3,$AM$3:$AS$3,0),FALSE),2)</f>
        <v>0</v>
      </c>
      <c r="BL161" s="462">
        <f>ROUND(VLOOKUP($AW161,$AD$3:$AJ$33,MATCH(BL$3,$AD$3:$AJ$3,0),FALSE)-$AY161/VLOOKUP(VLOOKUP($AW161,坦克个性化设定!$B$18:$E$48,4,FALSE)&amp;$AX161,坦克属性分配比例,MATCH("升星次数",坦克属性分配比例标头,0),FALSE)*VLOOKUP($AW161,$AM$3:$AS$33,MATCH(BL$3,$AM$3:$AS$3,0),FALSE),2)</f>
        <v>2.37</v>
      </c>
    </row>
    <row r="162" spans="47:64" x14ac:dyDescent="0.35">
      <c r="AU162" s="364" t="str">
        <f t="shared" si="22"/>
        <v>谢尔曼2</v>
      </c>
      <c r="AV162" s="183">
        <f>IF(AY161&gt;=VLOOKUP(VLOOKUP(AW161,坦克个性化设定!$B$18:$E$48,4,FALSE)&amp;AX161,坦克属性分配比例,MATCH("升星次数",坦克属性分配比例标头,0),FALSE),AV161+1,AV161)</f>
        <v>15</v>
      </c>
      <c r="AW162" s="131" t="str">
        <f t="shared" si="23"/>
        <v>谢尔曼</v>
      </c>
      <c r="AX162" s="177" t="str">
        <f>VLOOKUP(AW162,坦克个性化细分!$I$3:$J$33,2,FALSE)</f>
        <v>中</v>
      </c>
      <c r="AY162" s="183">
        <f t="shared" si="21"/>
        <v>2</v>
      </c>
      <c r="AZ162" s="486">
        <f ca="1">ROUND(VLOOKUP($AW162&amp;"初始",$O$3:$AA$63,MATCH(AZ$3,$O$3:$AA$3,0),FALSE)+((VLOOKUP($AW162&amp;"最终",$O$3:$AA$63,MATCH(AZ$3,$O$3:$AA$3,0),FALSE)*坦克个性化细分!$C$9-VLOOKUP($AW162&amp;"初始",$O$3:$AA$63,MATCH(AZ$3,$O$3:$AA$3,0),FALSE))-(VLOOKUP($AW162&amp;"最终",$O$3:$AA$63,MATCH(AZ$3,$O$3:$AA$3,0),FALSE)-VLOOKUP($AW162&amp;"初始",$O$3:$AA$63,MATCH(AZ$3,$O$3:$AA$3,0),FALSE))*VLOOKUP(VLOOKUP($AW162,坦克个性化设定!$B$18:$E$48,4,FALSE)&amp;$AX162,坦克属性分配比例,MATCH("部件比例",坦克属性分配比例标头,0),FALSE))*$AY162/VLOOKUP(VLOOKUP($AW162,坦克个性化设定!$B$18:$E$48,4,FALSE)&amp;$AX162,坦克属性分配比例,MATCH("升星次数",坦克属性分配比例标头,0),FALSE),0)</f>
        <v>1544</v>
      </c>
      <c r="BA162" s="426">
        <f ca="1">ROUND(VLOOKUP($AW162&amp;"初始",$O$3:$AA$63,MATCH(BA$3,$O$3:$AA$3,0),FALSE)+(VLOOKUP($AW162&amp;"最终",$O$3:$AA$63,MATCH(BA$3,$O$3:$AA$3,0),FALSE)-VLOOKUP($AW162&amp;"初始",$O$3:$AA$63,MATCH(BA$3,$O$3:$AA$3,0),FALSE))*$AY162/VLOOKUP(VLOOKUP($AW162,坦克个性化设定!$B$18:$E$48,4,FALSE)&amp;$AX162,坦克属性分配比例,MATCH("升星次数",坦克属性分配比例标头,0),FALSE)*VLOOKUP(VLOOKUP($AW162,坦克个性化设定!$B$18:$E$48,4,FALSE)&amp;$AX162,坦克属性分配比例,MATCH("升星比例",坦克属性分配比例标头,0),FALSE),0)</f>
        <v>264</v>
      </c>
      <c r="BB162" s="486">
        <f ca="1">ROUND(VLOOKUP($AW162&amp;"初始",$O$3:$AA$63,MATCH(BB$3,$O$3:$AA$3,0),FALSE)+(VLOOKUP($AW162&amp;"最终",$O$3:$AA$63,MATCH(BB$3,$O$3:$AA$3,0),FALSE)-VLOOKUP($AW162&amp;"初始",$O$3:$AA$63,MATCH(BB$3,$O$3:$AA$3,0),FALSE))*$AY162/VLOOKUP(VLOOKUP($AW162,坦克个性化设定!$B$18:$E$48,4,FALSE)&amp;$AX162,坦克属性分配比例,MATCH("升星次数",坦克属性分配比例标头,0),FALSE)*(VLOOKUP(VLOOKUP($AW162,坦克个性化设定!$B$18:$E$48,4,FALSE)&amp;$AX162,坦克属性分配比例,MATCH("升星比例",坦克属性分配比例标头,0),FALSE)+VLOOKUP(VLOOKUP($AW162,坦克个性化设定!$B$18:$E$48,4,FALSE)&amp;$AX162,坦克属性分配比例,MATCH("部件比例",坦克属性分配比例标头,0),FALSE)*$C$3),0)</f>
        <v>565</v>
      </c>
      <c r="BC162" s="486">
        <f ca="1">ROUND(VLOOKUP($AW162&amp;"初始",$O$3:$AA$63,MATCH(BC$3,$O$3:$AA$3,0),FALSE)+(VLOOKUP($AW162&amp;"最终",$O$3:$AA$63,MATCH(BC$3,$O$3:$AA$3,0),FALSE)-VLOOKUP($AW162&amp;"初始",$O$3:$AA$63,MATCH(BC$3,$O$3:$AA$3,0),FALSE))*$AY162/VLOOKUP(VLOOKUP($AW162,坦克个性化设定!$B$18:$E$48,4,FALSE)&amp;$AX162,坦克属性分配比例,MATCH("升星次数",坦克属性分配比例标头,0),FALSE)*(VLOOKUP(VLOOKUP($AW162,坦克个性化设定!$B$18:$E$48,4,FALSE)&amp;$AX162,坦克属性分配比例,MATCH("升星比例",坦克属性分配比例标头,0),FALSE)+VLOOKUP(VLOOKUP($AW162,坦克个性化设定!$B$18:$E$48,4,FALSE)&amp;$AX162,坦克属性分配比例,MATCH("部件比例",坦克属性分配比例标头,0),FALSE)*$C$3),0)</f>
        <v>424</v>
      </c>
      <c r="BD162" s="426">
        <f ca="1">ROUND(VLOOKUP($AW162&amp;"初始",$O$3:$AA$63,MATCH(BD$3,$O$3:$AA$3,0),FALSE)+(VLOOKUP($AW162&amp;"最终",$O$3:$AA$63,MATCH(BD$3,$O$3:$AA$3,0),FALSE)-VLOOKUP($AW162&amp;"初始",$O$3:$AA$63,MATCH(BD$3,$O$3:$AA$3,0),FALSE))*$AY162/VLOOKUP(VLOOKUP($AW162,坦克个性化设定!$B$18:$E$48,4,FALSE)&amp;$AX162,坦克属性分配比例,MATCH("升星次数",坦克属性分配比例标头,0),FALSE)*VLOOKUP(VLOOKUP($AW162,坦克个性化设定!$B$18:$E$48,4,FALSE)&amp;$AX162,坦克属性分配比例,MATCH("升星比例",坦克属性分配比例标头,0),FALSE),0)</f>
        <v>600</v>
      </c>
      <c r="BE162" s="426">
        <f ca="1">ROUND(VLOOKUP($AW162&amp;"初始",$O$3:$AA$63,MATCH(BE$3,$O$3:$AA$3,0),FALSE)+(VLOOKUP($AW162&amp;"最终",$O$3:$AA$63,MATCH(BE$3,$O$3:$AA$3,0),FALSE)-VLOOKUP($AW162&amp;"初始",$O$3:$AA$63,MATCH(BE$3,$O$3:$AA$3,0),FALSE))*$AY162/VLOOKUP(VLOOKUP($AW162,坦克个性化设定!$B$18:$E$48,4,FALSE)&amp;$AX162,坦克属性分配比例,MATCH("升星次数",坦克属性分配比例标头,0),FALSE),0)</f>
        <v>155</v>
      </c>
      <c r="BF162" s="462">
        <f>ROUND(VLOOKUP($AW162,$AD$3:$AJ$33,MATCH(BF$3,$AD$3:$AJ$3,0),FALSE)+$AY162/VLOOKUP(VLOOKUP($AW162,坦克个性化设定!$B$18:$E$48,4,FALSE)&amp;$AX162,坦克属性分配比例,MATCH("升星次数",坦克属性分配比例标头,0),FALSE)*VLOOKUP($AW162,$AM$3:$AS$33,MATCH(BF$3,$AM$3:$AS$3,0),FALSE),1)</f>
        <v>37.6</v>
      </c>
      <c r="BG162" s="462">
        <f>ROUND(VLOOKUP($AW162,$AD$3:$AJ$33,MATCH(BG$3,$AD$3:$AJ$3,0),FALSE)+$AY162/VLOOKUP(VLOOKUP($AW162,坦克个性化设定!$B$18:$E$48,4,FALSE)&amp;$AX162,坦克属性分配比例,MATCH("升星次数",坦克属性分配比例标头,0),FALSE)*VLOOKUP($AW162,$AM$3:$AS$33,MATCH(BG$3,$AM$3:$AS$3,0),FALSE),1)</f>
        <v>52.8</v>
      </c>
      <c r="BH162" s="462">
        <f>ROUND(VLOOKUP($AW162,$AD$3:$AJ$33,MATCH(BH$3,$AD$3:$AJ$3,0),FALSE)+$AY162/VLOOKUP(VLOOKUP($AW162,坦克个性化设定!$B$18:$E$48,4,FALSE)&amp;$AX162,坦克属性分配比例,MATCH("升星次数",坦克属性分配比例标头,0),FALSE)*VLOOKUP($AW162,$AM$3:$AS$33,MATCH(BH$3,$AM$3:$AS$3,0),FALSE),1)</f>
        <v>11.8</v>
      </c>
      <c r="BI162" s="654">
        <f>IF(VLOOKUP(AW162,坦克个性化设定!$B$18:$BB$48,MATCH("装弹类型",坦克个性化设定!$B$18:$BB$18,0),FALSE)="弹夹换弹",0,ROUND(VLOOKUP($AW162,$AD$3:$AJ$33,MATCH("换弹时间",$AD$3:$AJ$3,0),FALSE)-$AY162/VLOOKUP(VLOOKUP($AW162,坦克个性化设定!$B$18:$E$48,4,FALSE)&amp;$AX162,坦克属性分配比例,MATCH("升星次数",坦克属性分配比例标头,0),FALSE)*VLOOKUP($AW162,$AM$3:$AS$33,MATCH("换弹时间",$AM$3:$AS$3,0),FALSE),2))</f>
        <v>4.34</v>
      </c>
      <c r="BJ162" s="462">
        <f>IF(VLOOKUP(AW162,坦克个性化设定!$B$18:$BB$48,MATCH("装弹类型",坦克个性化设定!$B$18:$BB$18,0),FALSE)="弹夹换弹",ROUND(VLOOKUP($AW162,$AD$3:$AJ$33,MATCH("换弹时间",$AD$3:$AJ$3,0),FALSE)-$AY162/VLOOKUP(VLOOKUP($AW162,坦克个性化设定!$B$18:$E$48,4,FALSE)&amp;$AX162,坦克属性分配比例,MATCH("升星次数",坦克属性分配比例标头,0),FALSE)*VLOOKUP($AW162,$AM$3:$AS$33,MATCH("换弹时间",$AM$3:$AS$3,0),FALSE),1),0)</f>
        <v>0</v>
      </c>
      <c r="BK162" s="462">
        <f>ROUND(VLOOKUP($AW162,$AD$3:$AJ$33,MATCH(BK$3,$AD$3:$AJ$3,0),FALSE)+$AY162/VLOOKUP(VLOOKUP($AW162,坦克个性化设定!$B$18:$E$48,4,FALSE)&amp;$AX162,坦克属性分配比例,MATCH("升星次数",坦克属性分配比例标头,0),FALSE)*VLOOKUP($AW162,$AM$3:$AS$33,MATCH(BK$3,$AM$3:$AS$3,0),FALSE),2)</f>
        <v>0</v>
      </c>
      <c r="BL162" s="462">
        <f>ROUND(VLOOKUP($AW162,$AD$3:$AJ$33,MATCH(BL$3,$AD$3:$AJ$3,0),FALSE)-$AY162/VLOOKUP(VLOOKUP($AW162,坦克个性化设定!$B$18:$E$48,4,FALSE)&amp;$AX162,坦克属性分配比例,MATCH("升星次数",坦克属性分配比例标头,0),FALSE)*VLOOKUP($AW162,$AM$3:$AS$33,MATCH(BL$3,$AM$3:$AS$3,0),FALSE),2)</f>
        <v>2.34</v>
      </c>
    </row>
    <row r="163" spans="47:64" x14ac:dyDescent="0.35">
      <c r="AU163" s="364" t="str">
        <f t="shared" si="22"/>
        <v>谢尔曼3</v>
      </c>
      <c r="AV163" s="183">
        <f>IF(AY162&gt;=VLOOKUP(VLOOKUP(AW162,坦克个性化设定!$B$18:$E$48,4,FALSE)&amp;AX162,坦克属性分配比例,MATCH("升星次数",坦克属性分配比例标头,0),FALSE),AV162+1,AV162)</f>
        <v>15</v>
      </c>
      <c r="AW163" s="131" t="str">
        <f t="shared" si="23"/>
        <v>谢尔曼</v>
      </c>
      <c r="AX163" s="177" t="str">
        <f>VLOOKUP(AW163,坦克个性化细分!$I$3:$J$33,2,FALSE)</f>
        <v>中</v>
      </c>
      <c r="AY163" s="183">
        <f t="shared" si="21"/>
        <v>3</v>
      </c>
      <c r="AZ163" s="486">
        <f ca="1">ROUND(VLOOKUP($AW163&amp;"初始",$O$3:$AA$63,MATCH(AZ$3,$O$3:$AA$3,0),FALSE)+((VLOOKUP($AW163&amp;"最终",$O$3:$AA$63,MATCH(AZ$3,$O$3:$AA$3,0),FALSE)*坦克个性化细分!$C$9-VLOOKUP($AW163&amp;"初始",$O$3:$AA$63,MATCH(AZ$3,$O$3:$AA$3,0),FALSE))-(VLOOKUP($AW163&amp;"最终",$O$3:$AA$63,MATCH(AZ$3,$O$3:$AA$3,0),FALSE)-VLOOKUP($AW163&amp;"初始",$O$3:$AA$63,MATCH(AZ$3,$O$3:$AA$3,0),FALSE))*VLOOKUP(VLOOKUP($AW163,坦克个性化设定!$B$18:$E$48,4,FALSE)&amp;$AX163,坦克属性分配比例,MATCH("部件比例",坦克属性分配比例标头,0),FALSE))*$AY163/VLOOKUP(VLOOKUP($AW163,坦克个性化设定!$B$18:$E$48,4,FALSE)&amp;$AX163,坦克属性分配比例,MATCH("升星次数",坦克属性分配比例标头,0),FALSE),0)</f>
        <v>1652</v>
      </c>
      <c r="BA163" s="426">
        <f ca="1">ROUND(VLOOKUP($AW163&amp;"初始",$O$3:$AA$63,MATCH(BA$3,$O$3:$AA$3,0),FALSE)+(VLOOKUP($AW163&amp;"最终",$O$3:$AA$63,MATCH(BA$3,$O$3:$AA$3,0),FALSE)-VLOOKUP($AW163&amp;"初始",$O$3:$AA$63,MATCH(BA$3,$O$3:$AA$3,0),FALSE))*$AY163/VLOOKUP(VLOOKUP($AW163,坦克个性化设定!$B$18:$E$48,4,FALSE)&amp;$AX163,坦克属性分配比例,MATCH("升星次数",坦克属性分配比例标头,0),FALSE)*VLOOKUP(VLOOKUP($AW163,坦克个性化设定!$B$18:$E$48,4,FALSE)&amp;$AX163,坦克属性分配比例,MATCH("升星比例",坦克属性分配比例标头,0),FALSE),0)</f>
        <v>274</v>
      </c>
      <c r="BB163" s="486">
        <f ca="1">ROUND(VLOOKUP($AW163&amp;"初始",$O$3:$AA$63,MATCH(BB$3,$O$3:$AA$3,0),FALSE)+(VLOOKUP($AW163&amp;"最终",$O$3:$AA$63,MATCH(BB$3,$O$3:$AA$3,0),FALSE)-VLOOKUP($AW163&amp;"初始",$O$3:$AA$63,MATCH(BB$3,$O$3:$AA$3,0),FALSE))*$AY163/VLOOKUP(VLOOKUP($AW163,坦克个性化设定!$B$18:$E$48,4,FALSE)&amp;$AX163,坦克属性分配比例,MATCH("升星次数",坦克属性分配比例标头,0),FALSE)*(VLOOKUP(VLOOKUP($AW163,坦克个性化设定!$B$18:$E$48,4,FALSE)&amp;$AX163,坦克属性分配比例,MATCH("升星比例",坦克属性分配比例标头,0),FALSE)+VLOOKUP(VLOOKUP($AW163,坦克个性化设定!$B$18:$E$48,4,FALSE)&amp;$AX163,坦克属性分配比例,MATCH("部件比例",坦克属性分配比例标头,0),FALSE)*$C$3),0)</f>
        <v>594</v>
      </c>
      <c r="BC163" s="486">
        <f ca="1">ROUND(VLOOKUP($AW163&amp;"初始",$O$3:$AA$63,MATCH(BC$3,$O$3:$AA$3,0),FALSE)+(VLOOKUP($AW163&amp;"最终",$O$3:$AA$63,MATCH(BC$3,$O$3:$AA$3,0),FALSE)-VLOOKUP($AW163&amp;"初始",$O$3:$AA$63,MATCH(BC$3,$O$3:$AA$3,0),FALSE))*$AY163/VLOOKUP(VLOOKUP($AW163,坦克个性化设定!$B$18:$E$48,4,FALSE)&amp;$AX163,坦克属性分配比例,MATCH("升星次数",坦克属性分配比例标头,0),FALSE)*(VLOOKUP(VLOOKUP($AW163,坦克个性化设定!$B$18:$E$48,4,FALSE)&amp;$AX163,坦克属性分配比例,MATCH("升星比例",坦克属性分配比例标头,0),FALSE)+VLOOKUP(VLOOKUP($AW163,坦克个性化设定!$B$18:$E$48,4,FALSE)&amp;$AX163,坦克属性分配比例,MATCH("部件比例",坦克属性分配比例标头,0),FALSE)*$C$3),0)</f>
        <v>446</v>
      </c>
      <c r="BD163" s="426">
        <f ca="1">ROUND(VLOOKUP($AW163&amp;"初始",$O$3:$AA$63,MATCH(BD$3,$O$3:$AA$3,0),FALSE)+(VLOOKUP($AW163&amp;"最终",$O$3:$AA$63,MATCH(BD$3,$O$3:$AA$3,0),FALSE)-VLOOKUP($AW163&amp;"初始",$O$3:$AA$63,MATCH(BD$3,$O$3:$AA$3,0),FALSE))*$AY163/VLOOKUP(VLOOKUP($AW163,坦克个性化设定!$B$18:$E$48,4,FALSE)&amp;$AX163,坦克属性分配比例,MATCH("升星次数",坦克属性分配比例标头,0),FALSE)*VLOOKUP(VLOOKUP($AW163,坦克个性化设定!$B$18:$E$48,4,FALSE)&amp;$AX163,坦克属性分配比例,MATCH("升星比例",坦克属性分配比例标头,0),FALSE),0)</f>
        <v>622</v>
      </c>
      <c r="BE163" s="426">
        <f ca="1">ROUND(VLOOKUP($AW163&amp;"初始",$O$3:$AA$63,MATCH(BE$3,$O$3:$AA$3,0),FALSE)+(VLOOKUP($AW163&amp;"最终",$O$3:$AA$63,MATCH(BE$3,$O$3:$AA$3,0),FALSE)-VLOOKUP($AW163&amp;"初始",$O$3:$AA$63,MATCH(BE$3,$O$3:$AA$3,0),FALSE))*$AY163/VLOOKUP(VLOOKUP($AW163,坦克个性化设定!$B$18:$E$48,4,FALSE)&amp;$AX163,坦克属性分配比例,MATCH("升星次数",坦克属性分配比例标头,0),FALSE),0)</f>
        <v>164</v>
      </c>
      <c r="BF163" s="462">
        <f>ROUND(VLOOKUP($AW163,$AD$3:$AJ$33,MATCH(BF$3,$AD$3:$AJ$3,0),FALSE)+$AY163/VLOOKUP(VLOOKUP($AW163,坦克个性化设定!$B$18:$E$48,4,FALSE)&amp;$AX163,坦克属性分配比例,MATCH("升星次数",坦克属性分配比例标头,0),FALSE)*VLOOKUP($AW163,$AM$3:$AS$33,MATCH(BF$3,$AM$3:$AS$3,0),FALSE),1)</f>
        <v>38.200000000000003</v>
      </c>
      <c r="BG163" s="462">
        <f>ROUND(VLOOKUP($AW163,$AD$3:$AJ$33,MATCH(BG$3,$AD$3:$AJ$3,0),FALSE)+$AY163/VLOOKUP(VLOOKUP($AW163,坦克个性化设定!$B$18:$E$48,4,FALSE)&amp;$AX163,坦克属性分配比例,MATCH("升星次数",坦克属性分配比例标头,0),FALSE)*VLOOKUP($AW163,$AM$3:$AS$33,MATCH(BG$3,$AM$3:$AS$3,0),FALSE),1)</f>
        <v>53.7</v>
      </c>
      <c r="BH163" s="462">
        <f>ROUND(VLOOKUP($AW163,$AD$3:$AJ$33,MATCH(BH$3,$AD$3:$AJ$3,0),FALSE)+$AY163/VLOOKUP(VLOOKUP($AW163,坦克个性化设定!$B$18:$E$48,4,FALSE)&amp;$AX163,坦克属性分配比例,MATCH("升星次数",坦克属性分配比例标头,0),FALSE)*VLOOKUP($AW163,$AM$3:$AS$33,MATCH(BH$3,$AM$3:$AS$3,0),FALSE),1)</f>
        <v>12.1</v>
      </c>
      <c r="BI163" s="654">
        <f>IF(VLOOKUP(AW163,坦克个性化设定!$B$18:$BB$48,MATCH("装弹类型",坦克个性化设定!$B$18:$BB$18,0),FALSE)="弹夹换弹",0,ROUND(VLOOKUP($AW163,$AD$3:$AJ$33,MATCH("换弹时间",$AD$3:$AJ$3,0),FALSE)-$AY163/VLOOKUP(VLOOKUP($AW163,坦克个性化设定!$B$18:$E$48,4,FALSE)&amp;$AX163,坦克属性分配比例,MATCH("升星次数",坦克属性分配比例标头,0),FALSE)*VLOOKUP($AW163,$AM$3:$AS$33,MATCH("换弹时间",$AM$3:$AS$3,0),FALSE),2))</f>
        <v>4.26</v>
      </c>
      <c r="BJ163" s="462">
        <f>IF(VLOOKUP(AW163,坦克个性化设定!$B$18:$BB$48,MATCH("装弹类型",坦克个性化设定!$B$18:$BB$18,0),FALSE)="弹夹换弹",ROUND(VLOOKUP($AW163,$AD$3:$AJ$33,MATCH("换弹时间",$AD$3:$AJ$3,0),FALSE)-$AY163/VLOOKUP(VLOOKUP($AW163,坦克个性化设定!$B$18:$E$48,4,FALSE)&amp;$AX163,坦克属性分配比例,MATCH("升星次数",坦克属性分配比例标头,0),FALSE)*VLOOKUP($AW163,$AM$3:$AS$33,MATCH("换弹时间",$AM$3:$AS$3,0),FALSE),1),0)</f>
        <v>0</v>
      </c>
      <c r="BK163" s="462">
        <f>ROUND(VLOOKUP($AW163,$AD$3:$AJ$33,MATCH(BK$3,$AD$3:$AJ$3,0),FALSE)+$AY163/VLOOKUP(VLOOKUP($AW163,坦克个性化设定!$B$18:$E$48,4,FALSE)&amp;$AX163,坦克属性分配比例,MATCH("升星次数",坦克属性分配比例标头,0),FALSE)*VLOOKUP($AW163,$AM$3:$AS$33,MATCH(BK$3,$AM$3:$AS$3,0),FALSE),2)</f>
        <v>0</v>
      </c>
      <c r="BL163" s="462">
        <f>ROUND(VLOOKUP($AW163,$AD$3:$AJ$33,MATCH(BL$3,$AD$3:$AJ$3,0),FALSE)-$AY163/VLOOKUP(VLOOKUP($AW163,坦克个性化设定!$B$18:$E$48,4,FALSE)&amp;$AX163,坦克属性分配比例,MATCH("升星次数",坦克属性分配比例标头,0),FALSE)*VLOOKUP($AW163,$AM$3:$AS$33,MATCH(BL$3,$AM$3:$AS$3,0),FALSE),2)</f>
        <v>2.31</v>
      </c>
    </row>
    <row r="164" spans="47:64" x14ac:dyDescent="0.35">
      <c r="AU164" s="364" t="str">
        <f t="shared" si="22"/>
        <v>谢尔曼4</v>
      </c>
      <c r="AV164" s="183">
        <f>IF(AY163&gt;=VLOOKUP(VLOOKUP(AW163,坦克个性化设定!$B$18:$E$48,4,FALSE)&amp;AX163,坦克属性分配比例,MATCH("升星次数",坦克属性分配比例标头,0),FALSE),AV163+1,AV163)</f>
        <v>15</v>
      </c>
      <c r="AW164" s="131" t="str">
        <f t="shared" si="23"/>
        <v>谢尔曼</v>
      </c>
      <c r="AX164" s="177" t="str">
        <f>VLOOKUP(AW164,坦克个性化细分!$I$3:$J$33,2,FALSE)</f>
        <v>中</v>
      </c>
      <c r="AY164" s="183">
        <f t="shared" si="21"/>
        <v>4</v>
      </c>
      <c r="AZ164" s="486">
        <f ca="1">ROUND(VLOOKUP($AW164&amp;"初始",$O$3:$AA$63,MATCH(AZ$3,$O$3:$AA$3,0),FALSE)+((VLOOKUP($AW164&amp;"最终",$O$3:$AA$63,MATCH(AZ$3,$O$3:$AA$3,0),FALSE)*坦克个性化细分!$C$9-VLOOKUP($AW164&amp;"初始",$O$3:$AA$63,MATCH(AZ$3,$O$3:$AA$3,0),FALSE))-(VLOOKUP($AW164&amp;"最终",$O$3:$AA$63,MATCH(AZ$3,$O$3:$AA$3,0),FALSE)-VLOOKUP($AW164&amp;"初始",$O$3:$AA$63,MATCH(AZ$3,$O$3:$AA$3,0),FALSE))*VLOOKUP(VLOOKUP($AW164,坦克个性化设定!$B$18:$E$48,4,FALSE)&amp;$AX164,坦克属性分配比例,MATCH("部件比例",坦克属性分配比例标头,0),FALSE))*$AY164/VLOOKUP(VLOOKUP($AW164,坦克个性化设定!$B$18:$E$48,4,FALSE)&amp;$AX164,坦克属性分配比例,MATCH("升星次数",坦克属性分配比例标头,0),FALSE),0)</f>
        <v>1759</v>
      </c>
      <c r="BA164" s="426">
        <f ca="1">ROUND(VLOOKUP($AW164&amp;"初始",$O$3:$AA$63,MATCH(BA$3,$O$3:$AA$3,0),FALSE)+(VLOOKUP($AW164&amp;"最终",$O$3:$AA$63,MATCH(BA$3,$O$3:$AA$3,0),FALSE)-VLOOKUP($AW164&amp;"初始",$O$3:$AA$63,MATCH(BA$3,$O$3:$AA$3,0),FALSE))*$AY164/VLOOKUP(VLOOKUP($AW164,坦克个性化设定!$B$18:$E$48,4,FALSE)&amp;$AX164,坦克属性分配比例,MATCH("升星次数",坦克属性分配比例标头,0),FALSE)*VLOOKUP(VLOOKUP($AW164,坦克个性化设定!$B$18:$E$48,4,FALSE)&amp;$AX164,坦克属性分配比例,MATCH("升星比例",坦克属性分配比例标头,0),FALSE),0)</f>
        <v>283</v>
      </c>
      <c r="BB164" s="486">
        <f ca="1">ROUND(VLOOKUP($AW164&amp;"初始",$O$3:$AA$63,MATCH(BB$3,$O$3:$AA$3,0),FALSE)+(VLOOKUP($AW164&amp;"最终",$O$3:$AA$63,MATCH(BB$3,$O$3:$AA$3,0),FALSE)-VLOOKUP($AW164&amp;"初始",$O$3:$AA$63,MATCH(BB$3,$O$3:$AA$3,0),FALSE))*$AY164/VLOOKUP(VLOOKUP($AW164,坦克个性化设定!$B$18:$E$48,4,FALSE)&amp;$AX164,坦克属性分配比例,MATCH("升星次数",坦克属性分配比例标头,0),FALSE)*(VLOOKUP(VLOOKUP($AW164,坦克个性化设定!$B$18:$E$48,4,FALSE)&amp;$AX164,坦克属性分配比例,MATCH("升星比例",坦克属性分配比例标头,0),FALSE)+VLOOKUP(VLOOKUP($AW164,坦克个性化设定!$B$18:$E$48,4,FALSE)&amp;$AX164,坦克属性分配比例,MATCH("部件比例",坦克属性分配比例标头,0),FALSE)*$C$3),0)</f>
        <v>623</v>
      </c>
      <c r="BC164" s="486">
        <f ca="1">ROUND(VLOOKUP($AW164&amp;"初始",$O$3:$AA$63,MATCH(BC$3,$O$3:$AA$3,0),FALSE)+(VLOOKUP($AW164&amp;"最终",$O$3:$AA$63,MATCH(BC$3,$O$3:$AA$3,0),FALSE)-VLOOKUP($AW164&amp;"初始",$O$3:$AA$63,MATCH(BC$3,$O$3:$AA$3,0),FALSE))*$AY164/VLOOKUP(VLOOKUP($AW164,坦克个性化设定!$B$18:$E$48,4,FALSE)&amp;$AX164,坦克属性分配比例,MATCH("升星次数",坦克属性分配比例标头,0),FALSE)*(VLOOKUP(VLOOKUP($AW164,坦克个性化设定!$B$18:$E$48,4,FALSE)&amp;$AX164,坦克属性分配比例,MATCH("升星比例",坦克属性分配比例标头,0),FALSE)+VLOOKUP(VLOOKUP($AW164,坦克个性化设定!$B$18:$E$48,4,FALSE)&amp;$AX164,坦克属性分配比例,MATCH("部件比例",坦克属性分配比例标头,0),FALSE)*$C$3),0)</f>
        <v>467</v>
      </c>
      <c r="BD164" s="426">
        <f ca="1">ROUND(VLOOKUP($AW164&amp;"初始",$O$3:$AA$63,MATCH(BD$3,$O$3:$AA$3,0),FALSE)+(VLOOKUP($AW164&amp;"最终",$O$3:$AA$63,MATCH(BD$3,$O$3:$AA$3,0),FALSE)-VLOOKUP($AW164&amp;"初始",$O$3:$AA$63,MATCH(BD$3,$O$3:$AA$3,0),FALSE))*$AY164/VLOOKUP(VLOOKUP($AW164,坦克个性化设定!$B$18:$E$48,4,FALSE)&amp;$AX164,坦克属性分配比例,MATCH("升星次数",坦克属性分配比例标头,0),FALSE)*VLOOKUP(VLOOKUP($AW164,坦克个性化设定!$B$18:$E$48,4,FALSE)&amp;$AX164,坦克属性分配比例,MATCH("升星比例",坦克属性分配比例标头,0),FALSE),0)</f>
        <v>644</v>
      </c>
      <c r="BE164" s="426">
        <f ca="1">ROUND(VLOOKUP($AW164&amp;"初始",$O$3:$AA$63,MATCH(BE$3,$O$3:$AA$3,0),FALSE)+(VLOOKUP($AW164&amp;"最终",$O$3:$AA$63,MATCH(BE$3,$O$3:$AA$3,0),FALSE)-VLOOKUP($AW164&amp;"初始",$O$3:$AA$63,MATCH(BE$3,$O$3:$AA$3,0),FALSE))*$AY164/VLOOKUP(VLOOKUP($AW164,坦克个性化设定!$B$18:$E$48,4,FALSE)&amp;$AX164,坦克属性分配比例,MATCH("升星次数",坦克属性分配比例标头,0),FALSE),0)</f>
        <v>173</v>
      </c>
      <c r="BF164" s="462">
        <f>ROUND(VLOOKUP($AW164,$AD$3:$AJ$33,MATCH(BF$3,$AD$3:$AJ$3,0),FALSE)+$AY164/VLOOKUP(VLOOKUP($AW164,坦克个性化设定!$B$18:$E$48,4,FALSE)&amp;$AX164,坦克属性分配比例,MATCH("升星次数",坦克属性分配比例标头,0),FALSE)*VLOOKUP($AW164,$AM$3:$AS$33,MATCH(BF$3,$AM$3:$AS$3,0),FALSE),1)</f>
        <v>38.9</v>
      </c>
      <c r="BG164" s="462">
        <f>ROUND(VLOOKUP($AW164,$AD$3:$AJ$33,MATCH(BG$3,$AD$3:$AJ$3,0),FALSE)+$AY164/VLOOKUP(VLOOKUP($AW164,坦克个性化设定!$B$18:$E$48,4,FALSE)&amp;$AX164,坦克属性分配比例,MATCH("升星次数",坦克属性分配比例标头,0),FALSE)*VLOOKUP($AW164,$AM$3:$AS$33,MATCH(BG$3,$AM$3:$AS$3,0),FALSE),1)</f>
        <v>54.6</v>
      </c>
      <c r="BH164" s="462">
        <f>ROUND(VLOOKUP($AW164,$AD$3:$AJ$33,MATCH(BH$3,$AD$3:$AJ$3,0),FALSE)+$AY164/VLOOKUP(VLOOKUP($AW164,坦克个性化设定!$B$18:$E$48,4,FALSE)&amp;$AX164,坦克属性分配比例,MATCH("升星次数",坦克属性分配比例标头,0),FALSE)*VLOOKUP($AW164,$AM$3:$AS$33,MATCH(BH$3,$AM$3:$AS$3,0),FALSE),1)</f>
        <v>12.4</v>
      </c>
      <c r="BI164" s="654">
        <f>IF(VLOOKUP(AW164,坦克个性化设定!$B$18:$BB$48,MATCH("装弹类型",坦克个性化设定!$B$18:$BB$18,0),FALSE)="弹夹换弹",0,ROUND(VLOOKUP($AW164,$AD$3:$AJ$33,MATCH("换弹时间",$AD$3:$AJ$3,0),FALSE)-$AY164/VLOOKUP(VLOOKUP($AW164,坦克个性化设定!$B$18:$E$48,4,FALSE)&amp;$AX164,坦克属性分配比例,MATCH("升星次数",坦克属性分配比例标头,0),FALSE)*VLOOKUP($AW164,$AM$3:$AS$33,MATCH("换弹时间",$AM$3:$AS$3,0),FALSE),2))</f>
        <v>4.1900000000000004</v>
      </c>
      <c r="BJ164" s="462">
        <f>IF(VLOOKUP(AW164,坦克个性化设定!$B$18:$BB$48,MATCH("装弹类型",坦克个性化设定!$B$18:$BB$18,0),FALSE)="弹夹换弹",ROUND(VLOOKUP($AW164,$AD$3:$AJ$33,MATCH("换弹时间",$AD$3:$AJ$3,0),FALSE)-$AY164/VLOOKUP(VLOOKUP($AW164,坦克个性化设定!$B$18:$E$48,4,FALSE)&amp;$AX164,坦克属性分配比例,MATCH("升星次数",坦克属性分配比例标头,0),FALSE)*VLOOKUP($AW164,$AM$3:$AS$33,MATCH("换弹时间",$AM$3:$AS$3,0),FALSE),1),0)</f>
        <v>0</v>
      </c>
      <c r="BK164" s="462">
        <f>ROUND(VLOOKUP($AW164,$AD$3:$AJ$33,MATCH(BK$3,$AD$3:$AJ$3,0),FALSE)+$AY164/VLOOKUP(VLOOKUP($AW164,坦克个性化设定!$B$18:$E$48,4,FALSE)&amp;$AX164,坦克属性分配比例,MATCH("升星次数",坦克属性分配比例标头,0),FALSE)*VLOOKUP($AW164,$AM$3:$AS$33,MATCH(BK$3,$AM$3:$AS$3,0),FALSE),2)</f>
        <v>0</v>
      </c>
      <c r="BL164" s="462">
        <f>ROUND(VLOOKUP($AW164,$AD$3:$AJ$33,MATCH(BL$3,$AD$3:$AJ$3,0),FALSE)-$AY164/VLOOKUP(VLOOKUP($AW164,坦克个性化设定!$B$18:$E$48,4,FALSE)&amp;$AX164,坦克属性分配比例,MATCH("升星次数",坦克属性分配比例标头,0),FALSE)*VLOOKUP($AW164,$AM$3:$AS$33,MATCH(BL$3,$AM$3:$AS$3,0),FALSE),2)</f>
        <v>2.29</v>
      </c>
    </row>
    <row r="165" spans="47:64" x14ac:dyDescent="0.35">
      <c r="AU165" s="364" t="str">
        <f t="shared" si="22"/>
        <v>谢尔曼5</v>
      </c>
      <c r="AV165" s="183">
        <f>IF(AY164&gt;=VLOOKUP(VLOOKUP(AW164,坦克个性化设定!$B$18:$E$48,4,FALSE)&amp;AX164,坦克属性分配比例,MATCH("升星次数",坦克属性分配比例标头,0),FALSE),AV164+1,AV164)</f>
        <v>15</v>
      </c>
      <c r="AW165" s="131" t="str">
        <f t="shared" si="23"/>
        <v>谢尔曼</v>
      </c>
      <c r="AX165" s="177" t="str">
        <f>VLOOKUP(AW165,坦克个性化细分!$I$3:$J$33,2,FALSE)</f>
        <v>中</v>
      </c>
      <c r="AY165" s="183">
        <f t="shared" si="21"/>
        <v>5</v>
      </c>
      <c r="AZ165" s="486">
        <f ca="1">ROUND(VLOOKUP($AW165&amp;"初始",$O$3:$AA$63,MATCH(AZ$3,$O$3:$AA$3,0),FALSE)+((VLOOKUP($AW165&amp;"最终",$O$3:$AA$63,MATCH(AZ$3,$O$3:$AA$3,0),FALSE)*坦克个性化细分!$C$9-VLOOKUP($AW165&amp;"初始",$O$3:$AA$63,MATCH(AZ$3,$O$3:$AA$3,0),FALSE))-(VLOOKUP($AW165&amp;"最终",$O$3:$AA$63,MATCH(AZ$3,$O$3:$AA$3,0),FALSE)-VLOOKUP($AW165&amp;"初始",$O$3:$AA$63,MATCH(AZ$3,$O$3:$AA$3,0),FALSE))*VLOOKUP(VLOOKUP($AW165,坦克个性化设定!$B$18:$E$48,4,FALSE)&amp;$AX165,坦克属性分配比例,MATCH("部件比例",坦克属性分配比例标头,0),FALSE))*$AY165/VLOOKUP(VLOOKUP($AW165,坦克个性化设定!$B$18:$E$48,4,FALSE)&amp;$AX165,坦克属性分配比例,MATCH("升星次数",坦克属性分配比例标头,0),FALSE),0)</f>
        <v>1867</v>
      </c>
      <c r="BA165" s="426">
        <f ca="1">ROUND(VLOOKUP($AW165&amp;"初始",$O$3:$AA$63,MATCH(BA$3,$O$3:$AA$3,0),FALSE)+(VLOOKUP($AW165&amp;"最终",$O$3:$AA$63,MATCH(BA$3,$O$3:$AA$3,0),FALSE)-VLOOKUP($AW165&amp;"初始",$O$3:$AA$63,MATCH(BA$3,$O$3:$AA$3,0),FALSE))*$AY165/VLOOKUP(VLOOKUP($AW165,坦克个性化设定!$B$18:$E$48,4,FALSE)&amp;$AX165,坦克属性分配比例,MATCH("升星次数",坦克属性分配比例标头,0),FALSE)*VLOOKUP(VLOOKUP($AW165,坦克个性化设定!$B$18:$E$48,4,FALSE)&amp;$AX165,坦克属性分配比例,MATCH("升星比例",坦克属性分配比例标头,0),FALSE),0)</f>
        <v>293</v>
      </c>
      <c r="BB165" s="486">
        <f ca="1">ROUND(VLOOKUP($AW165&amp;"初始",$O$3:$AA$63,MATCH(BB$3,$O$3:$AA$3,0),FALSE)+(VLOOKUP($AW165&amp;"最终",$O$3:$AA$63,MATCH(BB$3,$O$3:$AA$3,0),FALSE)-VLOOKUP($AW165&amp;"初始",$O$3:$AA$63,MATCH(BB$3,$O$3:$AA$3,0),FALSE))*$AY165/VLOOKUP(VLOOKUP($AW165,坦克个性化设定!$B$18:$E$48,4,FALSE)&amp;$AX165,坦克属性分配比例,MATCH("升星次数",坦克属性分配比例标头,0),FALSE)*(VLOOKUP(VLOOKUP($AW165,坦克个性化设定!$B$18:$E$48,4,FALSE)&amp;$AX165,坦克属性分配比例,MATCH("升星比例",坦克属性分配比例标头,0),FALSE)+VLOOKUP(VLOOKUP($AW165,坦克个性化设定!$B$18:$E$48,4,FALSE)&amp;$AX165,坦克属性分配比例,MATCH("部件比例",坦克属性分配比例标头,0),FALSE)*$C$3),0)</f>
        <v>652</v>
      </c>
      <c r="BC165" s="486">
        <f ca="1">ROUND(VLOOKUP($AW165&amp;"初始",$O$3:$AA$63,MATCH(BC$3,$O$3:$AA$3,0),FALSE)+(VLOOKUP($AW165&amp;"最终",$O$3:$AA$63,MATCH(BC$3,$O$3:$AA$3,0),FALSE)-VLOOKUP($AW165&amp;"初始",$O$3:$AA$63,MATCH(BC$3,$O$3:$AA$3,0),FALSE))*$AY165/VLOOKUP(VLOOKUP($AW165,坦克个性化设定!$B$18:$E$48,4,FALSE)&amp;$AX165,坦克属性分配比例,MATCH("升星次数",坦克属性分配比例标头,0),FALSE)*(VLOOKUP(VLOOKUP($AW165,坦克个性化设定!$B$18:$E$48,4,FALSE)&amp;$AX165,坦克属性分配比例,MATCH("升星比例",坦克属性分配比例标头,0),FALSE)+VLOOKUP(VLOOKUP($AW165,坦克个性化设定!$B$18:$E$48,4,FALSE)&amp;$AX165,坦克属性分配比例,MATCH("部件比例",坦克属性分配比例标头,0),FALSE)*$C$3),0)</f>
        <v>489</v>
      </c>
      <c r="BD165" s="426">
        <f ca="1">ROUND(VLOOKUP($AW165&amp;"初始",$O$3:$AA$63,MATCH(BD$3,$O$3:$AA$3,0),FALSE)+(VLOOKUP($AW165&amp;"最终",$O$3:$AA$63,MATCH(BD$3,$O$3:$AA$3,0),FALSE)-VLOOKUP($AW165&amp;"初始",$O$3:$AA$63,MATCH(BD$3,$O$3:$AA$3,0),FALSE))*$AY165/VLOOKUP(VLOOKUP($AW165,坦克个性化设定!$B$18:$E$48,4,FALSE)&amp;$AX165,坦克属性分配比例,MATCH("升星次数",坦克属性分配比例标头,0),FALSE)*VLOOKUP(VLOOKUP($AW165,坦克个性化设定!$B$18:$E$48,4,FALSE)&amp;$AX165,坦克属性分配比例,MATCH("升星比例",坦克属性分配比例标头,0),FALSE),0)</f>
        <v>665</v>
      </c>
      <c r="BE165" s="426">
        <f ca="1">ROUND(VLOOKUP($AW165&amp;"初始",$O$3:$AA$63,MATCH(BE$3,$O$3:$AA$3,0),FALSE)+(VLOOKUP($AW165&amp;"最终",$O$3:$AA$63,MATCH(BE$3,$O$3:$AA$3,0),FALSE)-VLOOKUP($AW165&amp;"初始",$O$3:$AA$63,MATCH(BE$3,$O$3:$AA$3,0),FALSE))*$AY165/VLOOKUP(VLOOKUP($AW165,坦克个性化设定!$B$18:$E$48,4,FALSE)&amp;$AX165,坦克属性分配比例,MATCH("升星次数",坦克属性分配比例标头,0),FALSE),0)</f>
        <v>182</v>
      </c>
      <c r="BF165" s="462">
        <f>ROUND(VLOOKUP($AW165,$AD$3:$AJ$33,MATCH(BF$3,$AD$3:$AJ$3,0),FALSE)+$AY165/VLOOKUP(VLOOKUP($AW165,坦克个性化设定!$B$18:$E$48,4,FALSE)&amp;$AX165,坦克属性分配比例,MATCH("升星次数",坦克属性分配比例标头,0),FALSE)*VLOOKUP($AW165,$AM$3:$AS$33,MATCH(BF$3,$AM$3:$AS$3,0),FALSE),1)</f>
        <v>39.5</v>
      </c>
      <c r="BG165" s="462">
        <f>ROUND(VLOOKUP($AW165,$AD$3:$AJ$33,MATCH(BG$3,$AD$3:$AJ$3,0),FALSE)+$AY165/VLOOKUP(VLOOKUP($AW165,坦克个性化设定!$B$18:$E$48,4,FALSE)&amp;$AX165,坦克属性分配比例,MATCH("升星次数",坦克属性分配比例标头,0),FALSE)*VLOOKUP($AW165,$AM$3:$AS$33,MATCH(BG$3,$AM$3:$AS$3,0),FALSE),1)</f>
        <v>55.6</v>
      </c>
      <c r="BH165" s="462">
        <f>ROUND(VLOOKUP($AW165,$AD$3:$AJ$33,MATCH(BH$3,$AD$3:$AJ$3,0),FALSE)+$AY165/VLOOKUP(VLOOKUP($AW165,坦克个性化设定!$B$18:$E$48,4,FALSE)&amp;$AX165,坦克属性分配比例,MATCH("升星次数",坦克属性分配比例标头,0),FALSE)*VLOOKUP($AW165,$AM$3:$AS$33,MATCH(BH$3,$AM$3:$AS$3,0),FALSE),1)</f>
        <v>12.6</v>
      </c>
      <c r="BI165" s="654">
        <f>IF(VLOOKUP(AW165,坦克个性化设定!$B$18:$BB$48,MATCH("装弹类型",坦克个性化设定!$B$18:$BB$18,0),FALSE)="弹夹换弹",0,ROUND(VLOOKUP($AW165,$AD$3:$AJ$33,MATCH("换弹时间",$AD$3:$AJ$3,0),FALSE)-$AY165/VLOOKUP(VLOOKUP($AW165,坦克个性化设定!$B$18:$E$48,4,FALSE)&amp;$AX165,坦克属性分配比例,MATCH("升星次数",坦克属性分配比例标头,0),FALSE)*VLOOKUP($AW165,$AM$3:$AS$33,MATCH("换弹时间",$AM$3:$AS$3,0),FALSE),2))</f>
        <v>4.1100000000000003</v>
      </c>
      <c r="BJ165" s="462">
        <f>IF(VLOOKUP(AW165,坦克个性化设定!$B$18:$BB$48,MATCH("装弹类型",坦克个性化设定!$B$18:$BB$18,0),FALSE)="弹夹换弹",ROUND(VLOOKUP($AW165,$AD$3:$AJ$33,MATCH("换弹时间",$AD$3:$AJ$3,0),FALSE)-$AY165/VLOOKUP(VLOOKUP($AW165,坦克个性化设定!$B$18:$E$48,4,FALSE)&amp;$AX165,坦克属性分配比例,MATCH("升星次数",坦克属性分配比例标头,0),FALSE)*VLOOKUP($AW165,$AM$3:$AS$33,MATCH("换弹时间",$AM$3:$AS$3,0),FALSE),1),0)</f>
        <v>0</v>
      </c>
      <c r="BK165" s="462">
        <f>ROUND(VLOOKUP($AW165,$AD$3:$AJ$33,MATCH(BK$3,$AD$3:$AJ$3,0),FALSE)+$AY165/VLOOKUP(VLOOKUP($AW165,坦克个性化设定!$B$18:$E$48,4,FALSE)&amp;$AX165,坦克属性分配比例,MATCH("升星次数",坦克属性分配比例标头,0),FALSE)*VLOOKUP($AW165,$AM$3:$AS$33,MATCH(BK$3,$AM$3:$AS$3,0),FALSE),2)</f>
        <v>0</v>
      </c>
      <c r="BL165" s="462">
        <f>ROUND(VLOOKUP($AW165,$AD$3:$AJ$33,MATCH(BL$3,$AD$3:$AJ$3,0),FALSE)-$AY165/VLOOKUP(VLOOKUP($AW165,坦克个性化设定!$B$18:$E$48,4,FALSE)&amp;$AX165,坦克属性分配比例,MATCH("升星次数",坦克属性分配比例标头,0),FALSE)*VLOOKUP($AW165,$AM$3:$AS$33,MATCH(BL$3,$AM$3:$AS$3,0),FALSE),2)</f>
        <v>2.2599999999999998</v>
      </c>
    </row>
    <row r="166" spans="47:64" x14ac:dyDescent="0.35">
      <c r="AU166" s="364" t="str">
        <f t="shared" si="22"/>
        <v>谢尔曼6</v>
      </c>
      <c r="AV166" s="183">
        <f>IF(AY165&gt;=VLOOKUP(VLOOKUP(AW165,坦克个性化设定!$B$18:$E$48,4,FALSE)&amp;AX165,坦克属性分配比例,MATCH("升星次数",坦克属性分配比例标头,0),FALSE),AV165+1,AV165)</f>
        <v>15</v>
      </c>
      <c r="AW166" s="131" t="str">
        <f t="shared" si="23"/>
        <v>谢尔曼</v>
      </c>
      <c r="AX166" s="177" t="str">
        <f>VLOOKUP(AW166,坦克个性化细分!$I$3:$J$33,2,FALSE)</f>
        <v>中</v>
      </c>
      <c r="AY166" s="183">
        <f t="shared" si="21"/>
        <v>6</v>
      </c>
      <c r="AZ166" s="486">
        <f ca="1">ROUND(VLOOKUP($AW166&amp;"初始",$O$3:$AA$63,MATCH(AZ$3,$O$3:$AA$3,0),FALSE)+((VLOOKUP($AW166&amp;"最终",$O$3:$AA$63,MATCH(AZ$3,$O$3:$AA$3,0),FALSE)*坦克个性化细分!$C$9-VLOOKUP($AW166&amp;"初始",$O$3:$AA$63,MATCH(AZ$3,$O$3:$AA$3,0),FALSE))-(VLOOKUP($AW166&amp;"最终",$O$3:$AA$63,MATCH(AZ$3,$O$3:$AA$3,0),FALSE)-VLOOKUP($AW166&amp;"初始",$O$3:$AA$63,MATCH(AZ$3,$O$3:$AA$3,0),FALSE))*VLOOKUP(VLOOKUP($AW166,坦克个性化设定!$B$18:$E$48,4,FALSE)&amp;$AX166,坦克属性分配比例,MATCH("部件比例",坦克属性分配比例标头,0),FALSE))*$AY166/VLOOKUP(VLOOKUP($AW166,坦克个性化设定!$B$18:$E$48,4,FALSE)&amp;$AX166,坦克属性分配比例,MATCH("升星次数",坦克属性分配比例标头,0),FALSE),0)</f>
        <v>1975</v>
      </c>
      <c r="BA166" s="426">
        <f ca="1">ROUND(VLOOKUP($AW166&amp;"初始",$O$3:$AA$63,MATCH(BA$3,$O$3:$AA$3,0),FALSE)+(VLOOKUP($AW166&amp;"最终",$O$3:$AA$63,MATCH(BA$3,$O$3:$AA$3,0),FALSE)-VLOOKUP($AW166&amp;"初始",$O$3:$AA$63,MATCH(BA$3,$O$3:$AA$3,0),FALSE))*$AY166/VLOOKUP(VLOOKUP($AW166,坦克个性化设定!$B$18:$E$48,4,FALSE)&amp;$AX166,坦克属性分配比例,MATCH("升星次数",坦克属性分配比例标头,0),FALSE)*VLOOKUP(VLOOKUP($AW166,坦克个性化设定!$B$18:$E$48,4,FALSE)&amp;$AX166,坦克属性分配比例,MATCH("升星比例",坦克属性分配比例标头,0),FALSE),0)</f>
        <v>303</v>
      </c>
      <c r="BB166" s="486">
        <f ca="1">ROUND(VLOOKUP($AW166&amp;"初始",$O$3:$AA$63,MATCH(BB$3,$O$3:$AA$3,0),FALSE)+(VLOOKUP($AW166&amp;"最终",$O$3:$AA$63,MATCH(BB$3,$O$3:$AA$3,0),FALSE)-VLOOKUP($AW166&amp;"初始",$O$3:$AA$63,MATCH(BB$3,$O$3:$AA$3,0),FALSE))*$AY166/VLOOKUP(VLOOKUP($AW166,坦克个性化设定!$B$18:$E$48,4,FALSE)&amp;$AX166,坦克属性分配比例,MATCH("升星次数",坦克属性分配比例标头,0),FALSE)*(VLOOKUP(VLOOKUP($AW166,坦克个性化设定!$B$18:$E$48,4,FALSE)&amp;$AX166,坦克属性分配比例,MATCH("升星比例",坦克属性分配比例标头,0),FALSE)+VLOOKUP(VLOOKUP($AW166,坦克个性化设定!$B$18:$E$48,4,FALSE)&amp;$AX166,坦克属性分配比例,MATCH("部件比例",坦克属性分配比例标头,0),FALSE)*$C$3),0)</f>
        <v>680</v>
      </c>
      <c r="BC166" s="486">
        <f ca="1">ROUND(VLOOKUP($AW166&amp;"初始",$O$3:$AA$63,MATCH(BC$3,$O$3:$AA$3,0),FALSE)+(VLOOKUP($AW166&amp;"最终",$O$3:$AA$63,MATCH(BC$3,$O$3:$AA$3,0),FALSE)-VLOOKUP($AW166&amp;"初始",$O$3:$AA$63,MATCH(BC$3,$O$3:$AA$3,0),FALSE))*$AY166/VLOOKUP(VLOOKUP($AW166,坦克个性化设定!$B$18:$E$48,4,FALSE)&amp;$AX166,坦克属性分配比例,MATCH("升星次数",坦克属性分配比例标头,0),FALSE)*(VLOOKUP(VLOOKUP($AW166,坦克个性化设定!$B$18:$E$48,4,FALSE)&amp;$AX166,坦克属性分配比例,MATCH("升星比例",坦克属性分配比例标头,0),FALSE)+VLOOKUP(VLOOKUP($AW166,坦克个性化设定!$B$18:$E$48,4,FALSE)&amp;$AX166,坦克属性分配比例,MATCH("部件比例",坦克属性分配比例标头,0),FALSE)*$C$3),0)</f>
        <v>510</v>
      </c>
      <c r="BD166" s="426">
        <f ca="1">ROUND(VLOOKUP($AW166&amp;"初始",$O$3:$AA$63,MATCH(BD$3,$O$3:$AA$3,0),FALSE)+(VLOOKUP($AW166&amp;"最终",$O$3:$AA$63,MATCH(BD$3,$O$3:$AA$3,0),FALSE)-VLOOKUP($AW166&amp;"初始",$O$3:$AA$63,MATCH(BD$3,$O$3:$AA$3,0),FALSE))*$AY166/VLOOKUP(VLOOKUP($AW166,坦克个性化设定!$B$18:$E$48,4,FALSE)&amp;$AX166,坦克属性分配比例,MATCH("升星次数",坦克属性分配比例标头,0),FALSE)*VLOOKUP(VLOOKUP($AW166,坦克个性化设定!$B$18:$E$48,4,FALSE)&amp;$AX166,坦克属性分配比例,MATCH("升星比例",坦克属性分配比例标头,0),FALSE),0)</f>
        <v>687</v>
      </c>
      <c r="BE166" s="426">
        <f ca="1">ROUND(VLOOKUP($AW166&amp;"初始",$O$3:$AA$63,MATCH(BE$3,$O$3:$AA$3,0),FALSE)+(VLOOKUP($AW166&amp;"最终",$O$3:$AA$63,MATCH(BE$3,$O$3:$AA$3,0),FALSE)-VLOOKUP($AW166&amp;"初始",$O$3:$AA$63,MATCH(BE$3,$O$3:$AA$3,0),FALSE))*$AY166/VLOOKUP(VLOOKUP($AW166,坦克个性化设定!$B$18:$E$48,4,FALSE)&amp;$AX166,坦克属性分配比例,MATCH("升星次数",坦克属性分配比例标头,0),FALSE),0)</f>
        <v>192</v>
      </c>
      <c r="BF166" s="462">
        <f>ROUND(VLOOKUP($AW166,$AD$3:$AJ$33,MATCH(BF$3,$AD$3:$AJ$3,0),FALSE)+$AY166/VLOOKUP(VLOOKUP($AW166,坦克个性化设定!$B$18:$E$48,4,FALSE)&amp;$AX166,坦克属性分配比例,MATCH("升星次数",坦克属性分配比例标头,0),FALSE)*VLOOKUP($AW166,$AM$3:$AS$33,MATCH(BF$3,$AM$3:$AS$3,0),FALSE),1)</f>
        <v>40.200000000000003</v>
      </c>
      <c r="BG166" s="462">
        <f>ROUND(VLOOKUP($AW166,$AD$3:$AJ$33,MATCH(BG$3,$AD$3:$AJ$3,0),FALSE)+$AY166/VLOOKUP(VLOOKUP($AW166,坦克个性化设定!$B$18:$E$48,4,FALSE)&amp;$AX166,坦克属性分配比例,MATCH("升星次数",坦克属性分配比例标头,0),FALSE)*VLOOKUP($AW166,$AM$3:$AS$33,MATCH(BG$3,$AM$3:$AS$3,0),FALSE),1)</f>
        <v>56.5</v>
      </c>
      <c r="BH166" s="462">
        <f>ROUND(VLOOKUP($AW166,$AD$3:$AJ$33,MATCH(BH$3,$AD$3:$AJ$3,0),FALSE)+$AY166/VLOOKUP(VLOOKUP($AW166,坦克个性化设定!$B$18:$E$48,4,FALSE)&amp;$AX166,坦克属性分配比例,MATCH("升星次数",坦克属性分配比例标头,0),FALSE)*VLOOKUP($AW166,$AM$3:$AS$33,MATCH(BH$3,$AM$3:$AS$3,0),FALSE),1)</f>
        <v>12.9</v>
      </c>
      <c r="BI166" s="654">
        <f>IF(VLOOKUP(AW166,坦克个性化设定!$B$18:$BB$48,MATCH("装弹类型",坦克个性化设定!$B$18:$BB$18,0),FALSE)="弹夹换弹",0,ROUND(VLOOKUP($AW166,$AD$3:$AJ$33,MATCH("换弹时间",$AD$3:$AJ$3,0),FALSE)-$AY166/VLOOKUP(VLOOKUP($AW166,坦克个性化设定!$B$18:$E$48,4,FALSE)&amp;$AX166,坦克属性分配比例,MATCH("升星次数",坦克属性分配比例标头,0),FALSE)*VLOOKUP($AW166,$AM$3:$AS$33,MATCH("换弹时间",$AM$3:$AS$3,0),FALSE),2))</f>
        <v>4.03</v>
      </c>
      <c r="BJ166" s="462">
        <f>IF(VLOOKUP(AW166,坦克个性化设定!$B$18:$BB$48,MATCH("装弹类型",坦克个性化设定!$B$18:$BB$18,0),FALSE)="弹夹换弹",ROUND(VLOOKUP($AW166,$AD$3:$AJ$33,MATCH("换弹时间",$AD$3:$AJ$3,0),FALSE)-$AY166/VLOOKUP(VLOOKUP($AW166,坦克个性化设定!$B$18:$E$48,4,FALSE)&amp;$AX166,坦克属性分配比例,MATCH("升星次数",坦克属性分配比例标头,0),FALSE)*VLOOKUP($AW166,$AM$3:$AS$33,MATCH("换弹时间",$AM$3:$AS$3,0),FALSE),1),0)</f>
        <v>0</v>
      </c>
      <c r="BK166" s="462">
        <f>ROUND(VLOOKUP($AW166,$AD$3:$AJ$33,MATCH(BK$3,$AD$3:$AJ$3,0),FALSE)+$AY166/VLOOKUP(VLOOKUP($AW166,坦克个性化设定!$B$18:$E$48,4,FALSE)&amp;$AX166,坦克属性分配比例,MATCH("升星次数",坦克属性分配比例标头,0),FALSE)*VLOOKUP($AW166,$AM$3:$AS$33,MATCH(BK$3,$AM$3:$AS$3,0),FALSE),2)</f>
        <v>0</v>
      </c>
      <c r="BL166" s="462">
        <f>ROUND(VLOOKUP($AW166,$AD$3:$AJ$33,MATCH(BL$3,$AD$3:$AJ$3,0),FALSE)-$AY166/VLOOKUP(VLOOKUP($AW166,坦克个性化设定!$B$18:$E$48,4,FALSE)&amp;$AX166,坦克属性分配比例,MATCH("升星次数",坦克属性分配比例标头,0),FALSE)*VLOOKUP($AW166,$AM$3:$AS$33,MATCH(BL$3,$AM$3:$AS$3,0),FALSE),2)</f>
        <v>2.23</v>
      </c>
    </row>
    <row r="167" spans="47:64" x14ac:dyDescent="0.35">
      <c r="AU167" s="364" t="str">
        <f t="shared" si="22"/>
        <v>谢尔曼7</v>
      </c>
      <c r="AV167" s="183">
        <f>IF(AY166&gt;=VLOOKUP(VLOOKUP(AW166,坦克个性化设定!$B$18:$E$48,4,FALSE)&amp;AX166,坦克属性分配比例,MATCH("升星次数",坦克属性分配比例标头,0),FALSE),AV166+1,AV166)</f>
        <v>15</v>
      </c>
      <c r="AW167" s="131" t="str">
        <f t="shared" si="23"/>
        <v>谢尔曼</v>
      </c>
      <c r="AX167" s="177" t="str">
        <f>VLOOKUP(AW167,坦克个性化细分!$I$3:$J$33,2,FALSE)</f>
        <v>中</v>
      </c>
      <c r="AY167" s="183">
        <f t="shared" si="21"/>
        <v>7</v>
      </c>
      <c r="AZ167" s="486">
        <f ca="1">ROUND(VLOOKUP($AW167&amp;"初始",$O$3:$AA$63,MATCH(AZ$3,$O$3:$AA$3,0),FALSE)+((VLOOKUP($AW167&amp;"最终",$O$3:$AA$63,MATCH(AZ$3,$O$3:$AA$3,0),FALSE)*坦克个性化细分!$C$9-VLOOKUP($AW167&amp;"初始",$O$3:$AA$63,MATCH(AZ$3,$O$3:$AA$3,0),FALSE))-(VLOOKUP($AW167&amp;"最终",$O$3:$AA$63,MATCH(AZ$3,$O$3:$AA$3,0),FALSE)-VLOOKUP($AW167&amp;"初始",$O$3:$AA$63,MATCH(AZ$3,$O$3:$AA$3,0),FALSE))*VLOOKUP(VLOOKUP($AW167,坦克个性化设定!$B$18:$E$48,4,FALSE)&amp;$AX167,坦克属性分配比例,MATCH("部件比例",坦克属性分配比例标头,0),FALSE))*$AY167/VLOOKUP(VLOOKUP($AW167,坦克个性化设定!$B$18:$E$48,4,FALSE)&amp;$AX167,坦克属性分配比例,MATCH("升星次数",坦克属性分配比例标头,0),FALSE),0)</f>
        <v>2083</v>
      </c>
      <c r="BA167" s="426">
        <f ca="1">ROUND(VLOOKUP($AW167&amp;"初始",$O$3:$AA$63,MATCH(BA$3,$O$3:$AA$3,0),FALSE)+(VLOOKUP($AW167&amp;"最终",$O$3:$AA$63,MATCH(BA$3,$O$3:$AA$3,0),FALSE)-VLOOKUP($AW167&amp;"初始",$O$3:$AA$63,MATCH(BA$3,$O$3:$AA$3,0),FALSE))*$AY167/VLOOKUP(VLOOKUP($AW167,坦克个性化设定!$B$18:$E$48,4,FALSE)&amp;$AX167,坦克属性分配比例,MATCH("升星次数",坦克属性分配比例标头,0),FALSE)*VLOOKUP(VLOOKUP($AW167,坦克个性化设定!$B$18:$E$48,4,FALSE)&amp;$AX167,坦克属性分配比例,MATCH("升星比例",坦克属性分配比例标头,0),FALSE),0)</f>
        <v>312</v>
      </c>
      <c r="BB167" s="486">
        <f ca="1">ROUND(VLOOKUP($AW167&amp;"初始",$O$3:$AA$63,MATCH(BB$3,$O$3:$AA$3,0),FALSE)+(VLOOKUP($AW167&amp;"最终",$O$3:$AA$63,MATCH(BB$3,$O$3:$AA$3,0),FALSE)-VLOOKUP($AW167&amp;"初始",$O$3:$AA$63,MATCH(BB$3,$O$3:$AA$3,0),FALSE))*$AY167/VLOOKUP(VLOOKUP($AW167,坦克个性化设定!$B$18:$E$48,4,FALSE)&amp;$AX167,坦克属性分配比例,MATCH("升星次数",坦克属性分配比例标头,0),FALSE)*(VLOOKUP(VLOOKUP($AW167,坦克个性化设定!$B$18:$E$48,4,FALSE)&amp;$AX167,坦克属性分配比例,MATCH("升星比例",坦克属性分配比例标头,0),FALSE)+VLOOKUP(VLOOKUP($AW167,坦克个性化设定!$B$18:$E$48,4,FALSE)&amp;$AX167,坦克属性分配比例,MATCH("部件比例",坦克属性分配比例标头,0),FALSE)*$C$3),0)</f>
        <v>709</v>
      </c>
      <c r="BC167" s="486">
        <f ca="1">ROUND(VLOOKUP($AW167&amp;"初始",$O$3:$AA$63,MATCH(BC$3,$O$3:$AA$3,0),FALSE)+(VLOOKUP($AW167&amp;"最终",$O$3:$AA$63,MATCH(BC$3,$O$3:$AA$3,0),FALSE)-VLOOKUP($AW167&amp;"初始",$O$3:$AA$63,MATCH(BC$3,$O$3:$AA$3,0),FALSE))*$AY167/VLOOKUP(VLOOKUP($AW167,坦克个性化设定!$B$18:$E$48,4,FALSE)&amp;$AX167,坦克属性分配比例,MATCH("升星次数",坦克属性分配比例标头,0),FALSE)*(VLOOKUP(VLOOKUP($AW167,坦克个性化设定!$B$18:$E$48,4,FALSE)&amp;$AX167,坦克属性分配比例,MATCH("升星比例",坦克属性分配比例标头,0),FALSE)+VLOOKUP(VLOOKUP($AW167,坦克个性化设定!$B$18:$E$48,4,FALSE)&amp;$AX167,坦克属性分配比例,MATCH("部件比例",坦克属性分配比例标头,0),FALSE)*$C$3),0)</f>
        <v>532</v>
      </c>
      <c r="BD167" s="426">
        <f ca="1">ROUND(VLOOKUP($AW167&amp;"初始",$O$3:$AA$63,MATCH(BD$3,$O$3:$AA$3,0),FALSE)+(VLOOKUP($AW167&amp;"最终",$O$3:$AA$63,MATCH(BD$3,$O$3:$AA$3,0),FALSE)-VLOOKUP($AW167&amp;"初始",$O$3:$AA$63,MATCH(BD$3,$O$3:$AA$3,0),FALSE))*$AY167/VLOOKUP(VLOOKUP($AW167,坦克个性化设定!$B$18:$E$48,4,FALSE)&amp;$AX167,坦克属性分配比例,MATCH("升星次数",坦克属性分配比例标头,0),FALSE)*VLOOKUP(VLOOKUP($AW167,坦克个性化设定!$B$18:$E$48,4,FALSE)&amp;$AX167,坦克属性分配比例,MATCH("升星比例",坦克属性分配比例标头,0),FALSE),0)</f>
        <v>709</v>
      </c>
      <c r="BE167" s="426">
        <f ca="1">ROUND(VLOOKUP($AW167&amp;"初始",$O$3:$AA$63,MATCH(BE$3,$O$3:$AA$3,0),FALSE)+(VLOOKUP($AW167&amp;"最终",$O$3:$AA$63,MATCH(BE$3,$O$3:$AA$3,0),FALSE)-VLOOKUP($AW167&amp;"初始",$O$3:$AA$63,MATCH(BE$3,$O$3:$AA$3,0),FALSE))*$AY167/VLOOKUP(VLOOKUP($AW167,坦克个性化设定!$B$18:$E$48,4,FALSE)&amp;$AX167,坦克属性分配比例,MATCH("升星次数",坦克属性分配比例标头,0),FALSE),0)</f>
        <v>201</v>
      </c>
      <c r="BF167" s="462">
        <f>ROUND(VLOOKUP($AW167,$AD$3:$AJ$33,MATCH(BF$3,$AD$3:$AJ$3,0),FALSE)+$AY167/VLOOKUP(VLOOKUP($AW167,坦克个性化设定!$B$18:$E$48,4,FALSE)&amp;$AX167,坦克属性分配比例,MATCH("升星次数",坦克属性分配比例标头,0),FALSE)*VLOOKUP($AW167,$AM$3:$AS$33,MATCH(BF$3,$AM$3:$AS$3,0),FALSE),1)</f>
        <v>40.799999999999997</v>
      </c>
      <c r="BG167" s="462">
        <f>ROUND(VLOOKUP($AW167,$AD$3:$AJ$33,MATCH(BG$3,$AD$3:$AJ$3,0),FALSE)+$AY167/VLOOKUP(VLOOKUP($AW167,坦克个性化设定!$B$18:$E$48,4,FALSE)&amp;$AX167,坦克属性分配比例,MATCH("升星次数",坦克属性分配比例标头,0),FALSE)*VLOOKUP($AW167,$AM$3:$AS$33,MATCH(BG$3,$AM$3:$AS$3,0),FALSE),1)</f>
        <v>57.4</v>
      </c>
      <c r="BH167" s="462">
        <f>ROUND(VLOOKUP($AW167,$AD$3:$AJ$33,MATCH(BH$3,$AD$3:$AJ$3,0),FALSE)+$AY167/VLOOKUP(VLOOKUP($AW167,坦克个性化设定!$B$18:$E$48,4,FALSE)&amp;$AX167,坦克属性分配比例,MATCH("升星次数",坦克属性分配比例标头,0),FALSE)*VLOOKUP($AW167,$AM$3:$AS$33,MATCH(BH$3,$AM$3:$AS$3,0),FALSE),1)</f>
        <v>13.1</v>
      </c>
      <c r="BI167" s="654">
        <f>IF(VLOOKUP(AW167,坦克个性化设定!$B$18:$BB$48,MATCH("装弹类型",坦克个性化设定!$B$18:$BB$18,0),FALSE)="弹夹换弹",0,ROUND(VLOOKUP($AW167,$AD$3:$AJ$33,MATCH("换弹时间",$AD$3:$AJ$3,0),FALSE)-$AY167/VLOOKUP(VLOOKUP($AW167,坦克个性化设定!$B$18:$E$48,4,FALSE)&amp;$AX167,坦克属性分配比例,MATCH("升星次数",坦克属性分配比例标头,0),FALSE)*VLOOKUP($AW167,$AM$3:$AS$33,MATCH("换弹时间",$AM$3:$AS$3,0),FALSE),2))</f>
        <v>3.95</v>
      </c>
      <c r="BJ167" s="462">
        <f>IF(VLOOKUP(AW167,坦克个性化设定!$B$18:$BB$48,MATCH("装弹类型",坦克个性化设定!$B$18:$BB$18,0),FALSE)="弹夹换弹",ROUND(VLOOKUP($AW167,$AD$3:$AJ$33,MATCH("换弹时间",$AD$3:$AJ$3,0),FALSE)-$AY167/VLOOKUP(VLOOKUP($AW167,坦克个性化设定!$B$18:$E$48,4,FALSE)&amp;$AX167,坦克属性分配比例,MATCH("升星次数",坦克属性分配比例标头,0),FALSE)*VLOOKUP($AW167,$AM$3:$AS$33,MATCH("换弹时间",$AM$3:$AS$3,0),FALSE),1),0)</f>
        <v>0</v>
      </c>
      <c r="BK167" s="462">
        <f>ROUND(VLOOKUP($AW167,$AD$3:$AJ$33,MATCH(BK$3,$AD$3:$AJ$3,0),FALSE)+$AY167/VLOOKUP(VLOOKUP($AW167,坦克个性化设定!$B$18:$E$48,4,FALSE)&amp;$AX167,坦克属性分配比例,MATCH("升星次数",坦克属性分配比例标头,0),FALSE)*VLOOKUP($AW167,$AM$3:$AS$33,MATCH(BK$3,$AM$3:$AS$3,0),FALSE),2)</f>
        <v>0</v>
      </c>
      <c r="BL167" s="462">
        <f>ROUND(VLOOKUP($AW167,$AD$3:$AJ$33,MATCH(BL$3,$AD$3:$AJ$3,0),FALSE)-$AY167/VLOOKUP(VLOOKUP($AW167,坦克个性化设定!$B$18:$E$48,4,FALSE)&amp;$AX167,坦克属性分配比例,MATCH("升星次数",坦克属性分配比例标头,0),FALSE)*VLOOKUP($AW167,$AM$3:$AS$33,MATCH(BL$3,$AM$3:$AS$3,0),FALSE),2)</f>
        <v>2.2000000000000002</v>
      </c>
    </row>
    <row r="168" spans="47:64" x14ac:dyDescent="0.35">
      <c r="AU168" s="364" t="str">
        <f t="shared" si="22"/>
        <v>谢尔曼8</v>
      </c>
      <c r="AV168" s="183">
        <f>IF(AY167&gt;=VLOOKUP(VLOOKUP(AW167,坦克个性化设定!$B$18:$E$48,4,FALSE)&amp;AX167,坦克属性分配比例,MATCH("升星次数",坦克属性分配比例标头,0),FALSE),AV167+1,AV167)</f>
        <v>15</v>
      </c>
      <c r="AW168" s="131" t="str">
        <f t="shared" si="23"/>
        <v>谢尔曼</v>
      </c>
      <c r="AX168" s="177" t="str">
        <f>VLOOKUP(AW168,坦克个性化细分!$I$3:$J$33,2,FALSE)</f>
        <v>中</v>
      </c>
      <c r="AY168" s="183">
        <f t="shared" si="21"/>
        <v>8</v>
      </c>
      <c r="AZ168" s="486">
        <f ca="1">ROUND(VLOOKUP($AW168&amp;"初始",$O$3:$AA$63,MATCH(AZ$3,$O$3:$AA$3,0),FALSE)+((VLOOKUP($AW168&amp;"最终",$O$3:$AA$63,MATCH(AZ$3,$O$3:$AA$3,0),FALSE)*坦克个性化细分!$C$9-VLOOKUP($AW168&amp;"初始",$O$3:$AA$63,MATCH(AZ$3,$O$3:$AA$3,0),FALSE))-(VLOOKUP($AW168&amp;"最终",$O$3:$AA$63,MATCH(AZ$3,$O$3:$AA$3,0),FALSE)-VLOOKUP($AW168&amp;"初始",$O$3:$AA$63,MATCH(AZ$3,$O$3:$AA$3,0),FALSE))*VLOOKUP(VLOOKUP($AW168,坦克个性化设定!$B$18:$E$48,4,FALSE)&amp;$AX168,坦克属性分配比例,MATCH("部件比例",坦克属性分配比例标头,0),FALSE))*$AY168/VLOOKUP(VLOOKUP($AW168,坦克个性化设定!$B$18:$E$48,4,FALSE)&amp;$AX168,坦克属性分配比例,MATCH("升星次数",坦克属性分配比例标头,0),FALSE),0)</f>
        <v>2191</v>
      </c>
      <c r="BA168" s="426">
        <f ca="1">ROUND(VLOOKUP($AW168&amp;"初始",$O$3:$AA$63,MATCH(BA$3,$O$3:$AA$3,0),FALSE)+(VLOOKUP($AW168&amp;"最终",$O$3:$AA$63,MATCH(BA$3,$O$3:$AA$3,0),FALSE)-VLOOKUP($AW168&amp;"初始",$O$3:$AA$63,MATCH(BA$3,$O$3:$AA$3,0),FALSE))*$AY168/VLOOKUP(VLOOKUP($AW168,坦克个性化设定!$B$18:$E$48,4,FALSE)&amp;$AX168,坦克属性分配比例,MATCH("升星次数",坦克属性分配比例标头,0),FALSE)*VLOOKUP(VLOOKUP($AW168,坦克个性化设定!$B$18:$E$48,4,FALSE)&amp;$AX168,坦克属性分配比例,MATCH("升星比例",坦克属性分配比例标头,0),FALSE),0)</f>
        <v>322</v>
      </c>
      <c r="BB168" s="486">
        <f ca="1">ROUND(VLOOKUP($AW168&amp;"初始",$O$3:$AA$63,MATCH(BB$3,$O$3:$AA$3,0),FALSE)+(VLOOKUP($AW168&amp;"最终",$O$3:$AA$63,MATCH(BB$3,$O$3:$AA$3,0),FALSE)-VLOOKUP($AW168&amp;"初始",$O$3:$AA$63,MATCH(BB$3,$O$3:$AA$3,0),FALSE))*$AY168/VLOOKUP(VLOOKUP($AW168,坦克个性化设定!$B$18:$E$48,4,FALSE)&amp;$AX168,坦克属性分配比例,MATCH("升星次数",坦克属性分配比例标头,0),FALSE)*(VLOOKUP(VLOOKUP($AW168,坦克个性化设定!$B$18:$E$48,4,FALSE)&amp;$AX168,坦克属性分配比例,MATCH("升星比例",坦克属性分配比例标头,0),FALSE)+VLOOKUP(VLOOKUP($AW168,坦克个性化设定!$B$18:$E$48,4,FALSE)&amp;$AX168,坦克属性分配比例,MATCH("部件比例",坦克属性分配比例标头,0),FALSE)*$C$3),0)</f>
        <v>738</v>
      </c>
      <c r="BC168" s="486">
        <f ca="1">ROUND(VLOOKUP($AW168&amp;"初始",$O$3:$AA$63,MATCH(BC$3,$O$3:$AA$3,0),FALSE)+(VLOOKUP($AW168&amp;"最终",$O$3:$AA$63,MATCH(BC$3,$O$3:$AA$3,0),FALSE)-VLOOKUP($AW168&amp;"初始",$O$3:$AA$63,MATCH(BC$3,$O$3:$AA$3,0),FALSE))*$AY168/VLOOKUP(VLOOKUP($AW168,坦克个性化设定!$B$18:$E$48,4,FALSE)&amp;$AX168,坦克属性分配比例,MATCH("升星次数",坦克属性分配比例标头,0),FALSE)*(VLOOKUP(VLOOKUP($AW168,坦克个性化设定!$B$18:$E$48,4,FALSE)&amp;$AX168,坦克属性分配比例,MATCH("升星比例",坦克属性分配比例标头,0),FALSE)+VLOOKUP(VLOOKUP($AW168,坦克个性化设定!$B$18:$E$48,4,FALSE)&amp;$AX168,坦克属性分配比例,MATCH("部件比例",坦克属性分配比例标头,0),FALSE)*$C$3),0)</f>
        <v>553</v>
      </c>
      <c r="BD168" s="426">
        <f ca="1">ROUND(VLOOKUP($AW168&amp;"初始",$O$3:$AA$63,MATCH(BD$3,$O$3:$AA$3,0),FALSE)+(VLOOKUP($AW168&amp;"最终",$O$3:$AA$63,MATCH(BD$3,$O$3:$AA$3,0),FALSE)-VLOOKUP($AW168&amp;"初始",$O$3:$AA$63,MATCH(BD$3,$O$3:$AA$3,0),FALSE))*$AY168/VLOOKUP(VLOOKUP($AW168,坦克个性化设定!$B$18:$E$48,4,FALSE)&amp;$AX168,坦克属性分配比例,MATCH("升星次数",坦克属性分配比例标头,0),FALSE)*VLOOKUP(VLOOKUP($AW168,坦克个性化设定!$B$18:$E$48,4,FALSE)&amp;$AX168,坦克属性分配比例,MATCH("升星比例",坦克属性分配比例标头,0),FALSE),0)</f>
        <v>731</v>
      </c>
      <c r="BE168" s="426">
        <f ca="1">ROUND(VLOOKUP($AW168&amp;"初始",$O$3:$AA$63,MATCH(BE$3,$O$3:$AA$3,0),FALSE)+(VLOOKUP($AW168&amp;"最终",$O$3:$AA$63,MATCH(BE$3,$O$3:$AA$3,0),FALSE)-VLOOKUP($AW168&amp;"初始",$O$3:$AA$63,MATCH(BE$3,$O$3:$AA$3,0),FALSE))*$AY168/VLOOKUP(VLOOKUP($AW168,坦克个性化设定!$B$18:$E$48,4,FALSE)&amp;$AX168,坦克属性分配比例,MATCH("升星次数",坦克属性分配比例标头,0),FALSE),0)</f>
        <v>210</v>
      </c>
      <c r="BF168" s="462">
        <f>ROUND(VLOOKUP($AW168,$AD$3:$AJ$33,MATCH(BF$3,$AD$3:$AJ$3,0),FALSE)+$AY168/VLOOKUP(VLOOKUP($AW168,坦克个性化设定!$B$18:$E$48,4,FALSE)&amp;$AX168,坦克属性分配比例,MATCH("升星次数",坦克属性分配比例标头,0),FALSE)*VLOOKUP($AW168,$AM$3:$AS$33,MATCH(BF$3,$AM$3:$AS$3,0),FALSE),1)</f>
        <v>41.5</v>
      </c>
      <c r="BG168" s="462">
        <f>ROUND(VLOOKUP($AW168,$AD$3:$AJ$33,MATCH(BG$3,$AD$3:$AJ$3,0),FALSE)+$AY168/VLOOKUP(VLOOKUP($AW168,坦克个性化设定!$B$18:$E$48,4,FALSE)&amp;$AX168,坦克属性分配比例,MATCH("升星次数",坦克属性分配比例标头,0),FALSE)*VLOOKUP($AW168,$AM$3:$AS$33,MATCH(BG$3,$AM$3:$AS$3,0),FALSE),1)</f>
        <v>58.3</v>
      </c>
      <c r="BH168" s="462">
        <f>ROUND(VLOOKUP($AW168,$AD$3:$AJ$33,MATCH(BH$3,$AD$3:$AJ$3,0),FALSE)+$AY168/VLOOKUP(VLOOKUP($AW168,坦克个性化设定!$B$18:$E$48,4,FALSE)&amp;$AX168,坦克属性分配比例,MATCH("升星次数",坦克属性分配比例标头,0),FALSE)*VLOOKUP($AW168,$AM$3:$AS$33,MATCH(BH$3,$AM$3:$AS$3,0),FALSE),1)</f>
        <v>13.4</v>
      </c>
      <c r="BI168" s="654">
        <f>IF(VLOOKUP(AW168,坦克个性化设定!$B$18:$BB$48,MATCH("装弹类型",坦克个性化设定!$B$18:$BB$18,0),FALSE)="弹夹换弹",0,ROUND(VLOOKUP($AW168,$AD$3:$AJ$33,MATCH("换弹时间",$AD$3:$AJ$3,0),FALSE)-$AY168/VLOOKUP(VLOOKUP($AW168,坦克个性化设定!$B$18:$E$48,4,FALSE)&amp;$AX168,坦克属性分配比例,MATCH("升星次数",坦克属性分配比例标头,0),FALSE)*VLOOKUP($AW168,$AM$3:$AS$33,MATCH("换弹时间",$AM$3:$AS$3,0),FALSE),2))</f>
        <v>3.87</v>
      </c>
      <c r="BJ168" s="462">
        <f>IF(VLOOKUP(AW168,坦克个性化设定!$B$18:$BB$48,MATCH("装弹类型",坦克个性化设定!$B$18:$BB$18,0),FALSE)="弹夹换弹",ROUND(VLOOKUP($AW168,$AD$3:$AJ$33,MATCH("换弹时间",$AD$3:$AJ$3,0),FALSE)-$AY168/VLOOKUP(VLOOKUP($AW168,坦克个性化设定!$B$18:$E$48,4,FALSE)&amp;$AX168,坦克属性分配比例,MATCH("升星次数",坦克属性分配比例标头,0),FALSE)*VLOOKUP($AW168,$AM$3:$AS$33,MATCH("换弹时间",$AM$3:$AS$3,0),FALSE),1),0)</f>
        <v>0</v>
      </c>
      <c r="BK168" s="462">
        <f>ROUND(VLOOKUP($AW168,$AD$3:$AJ$33,MATCH(BK$3,$AD$3:$AJ$3,0),FALSE)+$AY168/VLOOKUP(VLOOKUP($AW168,坦克个性化设定!$B$18:$E$48,4,FALSE)&amp;$AX168,坦克属性分配比例,MATCH("升星次数",坦克属性分配比例标头,0),FALSE)*VLOOKUP($AW168,$AM$3:$AS$33,MATCH(BK$3,$AM$3:$AS$3,0),FALSE),2)</f>
        <v>0</v>
      </c>
      <c r="BL168" s="462">
        <f>ROUND(VLOOKUP($AW168,$AD$3:$AJ$33,MATCH(BL$3,$AD$3:$AJ$3,0),FALSE)-$AY168/VLOOKUP(VLOOKUP($AW168,坦克个性化设定!$B$18:$E$48,4,FALSE)&amp;$AX168,坦克属性分配比例,MATCH("升星次数",坦克属性分配比例标头,0),FALSE)*VLOOKUP($AW168,$AM$3:$AS$33,MATCH(BL$3,$AM$3:$AS$3,0),FALSE),2)</f>
        <v>2.17</v>
      </c>
    </row>
    <row r="169" spans="47:64" x14ac:dyDescent="0.35">
      <c r="AU169" s="364" t="str">
        <f t="shared" si="22"/>
        <v>谢尔曼9</v>
      </c>
      <c r="AV169" s="183">
        <f>IF(AY168&gt;=VLOOKUP(VLOOKUP(AW168,坦克个性化设定!$B$18:$E$48,4,FALSE)&amp;AX168,坦克属性分配比例,MATCH("升星次数",坦克属性分配比例标头,0),FALSE),AV168+1,AV168)</f>
        <v>15</v>
      </c>
      <c r="AW169" s="131" t="str">
        <f t="shared" si="23"/>
        <v>谢尔曼</v>
      </c>
      <c r="AX169" s="177" t="str">
        <f>VLOOKUP(AW169,坦克个性化细分!$I$3:$J$33,2,FALSE)</f>
        <v>中</v>
      </c>
      <c r="AY169" s="183">
        <f t="shared" si="21"/>
        <v>9</v>
      </c>
      <c r="AZ169" s="486">
        <f ca="1">ROUND(VLOOKUP($AW169&amp;"初始",$O$3:$AA$63,MATCH(AZ$3,$O$3:$AA$3,0),FALSE)+((VLOOKUP($AW169&amp;"最终",$O$3:$AA$63,MATCH(AZ$3,$O$3:$AA$3,0),FALSE)*坦克个性化细分!$C$9-VLOOKUP($AW169&amp;"初始",$O$3:$AA$63,MATCH(AZ$3,$O$3:$AA$3,0),FALSE))-(VLOOKUP($AW169&amp;"最终",$O$3:$AA$63,MATCH(AZ$3,$O$3:$AA$3,0),FALSE)-VLOOKUP($AW169&amp;"初始",$O$3:$AA$63,MATCH(AZ$3,$O$3:$AA$3,0),FALSE))*VLOOKUP(VLOOKUP($AW169,坦克个性化设定!$B$18:$E$48,4,FALSE)&amp;$AX169,坦克属性分配比例,MATCH("部件比例",坦克属性分配比例标头,0),FALSE))*$AY169/VLOOKUP(VLOOKUP($AW169,坦克个性化设定!$B$18:$E$48,4,FALSE)&amp;$AX169,坦克属性分配比例,MATCH("升星次数",坦克属性分配比例标头,0),FALSE),0)</f>
        <v>2299</v>
      </c>
      <c r="BA169" s="426">
        <f ca="1">ROUND(VLOOKUP($AW169&amp;"初始",$O$3:$AA$63,MATCH(BA$3,$O$3:$AA$3,0),FALSE)+(VLOOKUP($AW169&amp;"最终",$O$3:$AA$63,MATCH(BA$3,$O$3:$AA$3,0),FALSE)-VLOOKUP($AW169&amp;"初始",$O$3:$AA$63,MATCH(BA$3,$O$3:$AA$3,0),FALSE))*$AY169/VLOOKUP(VLOOKUP($AW169,坦克个性化设定!$B$18:$E$48,4,FALSE)&amp;$AX169,坦克属性分配比例,MATCH("升星次数",坦克属性分配比例标头,0),FALSE)*VLOOKUP(VLOOKUP($AW169,坦克个性化设定!$B$18:$E$48,4,FALSE)&amp;$AX169,坦克属性分配比例,MATCH("升星比例",坦克属性分配比例标头,0),FALSE),0)</f>
        <v>331</v>
      </c>
      <c r="BB169" s="486">
        <f ca="1">ROUND(VLOOKUP($AW169&amp;"初始",$O$3:$AA$63,MATCH(BB$3,$O$3:$AA$3,0),FALSE)+(VLOOKUP($AW169&amp;"最终",$O$3:$AA$63,MATCH(BB$3,$O$3:$AA$3,0),FALSE)-VLOOKUP($AW169&amp;"初始",$O$3:$AA$63,MATCH(BB$3,$O$3:$AA$3,0),FALSE))*$AY169/VLOOKUP(VLOOKUP($AW169,坦克个性化设定!$B$18:$E$48,4,FALSE)&amp;$AX169,坦克属性分配比例,MATCH("升星次数",坦克属性分配比例标头,0),FALSE)*(VLOOKUP(VLOOKUP($AW169,坦克个性化设定!$B$18:$E$48,4,FALSE)&amp;$AX169,坦克属性分配比例,MATCH("升星比例",坦克属性分配比例标头,0),FALSE)+VLOOKUP(VLOOKUP($AW169,坦克个性化设定!$B$18:$E$48,4,FALSE)&amp;$AX169,坦克属性分配比例,MATCH("部件比例",坦克属性分配比例标头,0),FALSE)*$C$3),0)</f>
        <v>766</v>
      </c>
      <c r="BC169" s="486">
        <f ca="1">ROUND(VLOOKUP($AW169&amp;"初始",$O$3:$AA$63,MATCH(BC$3,$O$3:$AA$3,0),FALSE)+(VLOOKUP($AW169&amp;"最终",$O$3:$AA$63,MATCH(BC$3,$O$3:$AA$3,0),FALSE)-VLOOKUP($AW169&amp;"初始",$O$3:$AA$63,MATCH(BC$3,$O$3:$AA$3,0),FALSE))*$AY169/VLOOKUP(VLOOKUP($AW169,坦克个性化设定!$B$18:$E$48,4,FALSE)&amp;$AX169,坦克属性分配比例,MATCH("升星次数",坦克属性分配比例标头,0),FALSE)*(VLOOKUP(VLOOKUP($AW169,坦克个性化设定!$B$18:$E$48,4,FALSE)&amp;$AX169,坦克属性分配比例,MATCH("升星比例",坦克属性分配比例标头,0),FALSE)+VLOOKUP(VLOOKUP($AW169,坦克个性化设定!$B$18:$E$48,4,FALSE)&amp;$AX169,坦克属性分配比例,MATCH("部件比例",坦克属性分配比例标头,0),FALSE)*$C$3),0)</f>
        <v>575</v>
      </c>
      <c r="BD169" s="426">
        <f ca="1">ROUND(VLOOKUP($AW169&amp;"初始",$O$3:$AA$63,MATCH(BD$3,$O$3:$AA$3,0),FALSE)+(VLOOKUP($AW169&amp;"最终",$O$3:$AA$63,MATCH(BD$3,$O$3:$AA$3,0),FALSE)-VLOOKUP($AW169&amp;"初始",$O$3:$AA$63,MATCH(BD$3,$O$3:$AA$3,0),FALSE))*$AY169/VLOOKUP(VLOOKUP($AW169,坦克个性化设定!$B$18:$E$48,4,FALSE)&amp;$AX169,坦克属性分配比例,MATCH("升星次数",坦克属性分配比例标头,0),FALSE)*VLOOKUP(VLOOKUP($AW169,坦克个性化设定!$B$18:$E$48,4,FALSE)&amp;$AX169,坦克属性分配比例,MATCH("升星比例",坦克属性分配比例标头,0),FALSE),0)</f>
        <v>753</v>
      </c>
      <c r="BE169" s="426">
        <f ca="1">ROUND(VLOOKUP($AW169&amp;"初始",$O$3:$AA$63,MATCH(BE$3,$O$3:$AA$3,0),FALSE)+(VLOOKUP($AW169&amp;"最终",$O$3:$AA$63,MATCH(BE$3,$O$3:$AA$3,0),FALSE)-VLOOKUP($AW169&amp;"初始",$O$3:$AA$63,MATCH(BE$3,$O$3:$AA$3,0),FALSE))*$AY169/VLOOKUP(VLOOKUP($AW169,坦克个性化设定!$B$18:$E$48,4,FALSE)&amp;$AX169,坦克属性分配比例,MATCH("升星次数",坦克属性分配比例标头,0),FALSE),0)</f>
        <v>220</v>
      </c>
      <c r="BF169" s="462">
        <f>ROUND(VLOOKUP($AW169,$AD$3:$AJ$33,MATCH(BF$3,$AD$3:$AJ$3,0),FALSE)+$AY169/VLOOKUP(VLOOKUP($AW169,坦克个性化设定!$B$18:$E$48,4,FALSE)&amp;$AX169,坦克属性分配比例,MATCH("升星次数",坦克属性分配比例标头,0),FALSE)*VLOOKUP($AW169,$AM$3:$AS$33,MATCH(BF$3,$AM$3:$AS$3,0),FALSE),1)</f>
        <v>42.1</v>
      </c>
      <c r="BG169" s="462">
        <f>ROUND(VLOOKUP($AW169,$AD$3:$AJ$33,MATCH(BG$3,$AD$3:$AJ$3,0),FALSE)+$AY169/VLOOKUP(VLOOKUP($AW169,坦克个性化设定!$B$18:$E$48,4,FALSE)&amp;$AX169,坦克属性分配比例,MATCH("升星次数",坦克属性分配比例标头,0),FALSE)*VLOOKUP($AW169,$AM$3:$AS$33,MATCH(BG$3,$AM$3:$AS$3,0),FALSE),1)</f>
        <v>59.2</v>
      </c>
      <c r="BH169" s="462">
        <f>ROUND(VLOOKUP($AW169,$AD$3:$AJ$33,MATCH(BH$3,$AD$3:$AJ$3,0),FALSE)+$AY169/VLOOKUP(VLOOKUP($AW169,坦克个性化设定!$B$18:$E$48,4,FALSE)&amp;$AX169,坦克属性分配比例,MATCH("升星次数",坦克属性分配比例标头,0),FALSE)*VLOOKUP($AW169,$AM$3:$AS$33,MATCH(BH$3,$AM$3:$AS$3,0),FALSE),1)</f>
        <v>13.7</v>
      </c>
      <c r="BI169" s="654">
        <f>IF(VLOOKUP(AW169,坦克个性化设定!$B$18:$BB$48,MATCH("装弹类型",坦克个性化设定!$B$18:$BB$18,0),FALSE)="弹夹换弹",0,ROUND(VLOOKUP($AW169,$AD$3:$AJ$33,MATCH("换弹时间",$AD$3:$AJ$3,0),FALSE)-$AY169/VLOOKUP(VLOOKUP($AW169,坦克个性化设定!$B$18:$E$48,4,FALSE)&amp;$AX169,坦克属性分配比例,MATCH("升星次数",坦克属性分配比例标头,0),FALSE)*VLOOKUP($AW169,$AM$3:$AS$33,MATCH("换弹时间",$AM$3:$AS$3,0),FALSE),2))</f>
        <v>3.79</v>
      </c>
      <c r="BJ169" s="462">
        <f>IF(VLOOKUP(AW169,坦克个性化设定!$B$18:$BB$48,MATCH("装弹类型",坦克个性化设定!$B$18:$BB$18,0),FALSE)="弹夹换弹",ROUND(VLOOKUP($AW169,$AD$3:$AJ$33,MATCH("换弹时间",$AD$3:$AJ$3,0),FALSE)-$AY169/VLOOKUP(VLOOKUP($AW169,坦克个性化设定!$B$18:$E$48,4,FALSE)&amp;$AX169,坦克属性分配比例,MATCH("升星次数",坦克属性分配比例标头,0),FALSE)*VLOOKUP($AW169,$AM$3:$AS$33,MATCH("换弹时间",$AM$3:$AS$3,0),FALSE),1),0)</f>
        <v>0</v>
      </c>
      <c r="BK169" s="462">
        <f>ROUND(VLOOKUP($AW169,$AD$3:$AJ$33,MATCH(BK$3,$AD$3:$AJ$3,0),FALSE)+$AY169/VLOOKUP(VLOOKUP($AW169,坦克个性化设定!$B$18:$E$48,4,FALSE)&amp;$AX169,坦克属性分配比例,MATCH("升星次数",坦克属性分配比例标头,0),FALSE)*VLOOKUP($AW169,$AM$3:$AS$33,MATCH(BK$3,$AM$3:$AS$3,0),FALSE),2)</f>
        <v>0</v>
      </c>
      <c r="BL169" s="462">
        <f>ROUND(VLOOKUP($AW169,$AD$3:$AJ$33,MATCH(BL$3,$AD$3:$AJ$3,0),FALSE)-$AY169/VLOOKUP(VLOOKUP($AW169,坦克个性化设定!$B$18:$E$48,4,FALSE)&amp;$AX169,坦克属性分配比例,MATCH("升星次数",坦克属性分配比例标头,0),FALSE)*VLOOKUP($AW169,$AM$3:$AS$33,MATCH(BL$3,$AM$3:$AS$3,0),FALSE),2)</f>
        <v>2.14</v>
      </c>
    </row>
    <row r="170" spans="47:64" x14ac:dyDescent="0.35">
      <c r="AU170" s="364" t="str">
        <f t="shared" si="22"/>
        <v>谢尔曼10</v>
      </c>
      <c r="AV170" s="183">
        <f>IF(AY169&gt;=VLOOKUP(VLOOKUP(AW169,坦克个性化设定!$B$18:$E$48,4,FALSE)&amp;AX169,坦克属性分配比例,MATCH("升星次数",坦克属性分配比例标头,0),FALSE),AV169+1,AV169)</f>
        <v>15</v>
      </c>
      <c r="AW170" s="131" t="str">
        <f t="shared" si="23"/>
        <v>谢尔曼</v>
      </c>
      <c r="AX170" s="177" t="str">
        <f>VLOOKUP(AW170,坦克个性化细分!$I$3:$J$33,2,FALSE)</f>
        <v>中</v>
      </c>
      <c r="AY170" s="183">
        <f t="shared" si="21"/>
        <v>10</v>
      </c>
      <c r="AZ170" s="486">
        <f ca="1">ROUND(VLOOKUP($AW170&amp;"初始",$O$3:$AA$63,MATCH(AZ$3,$O$3:$AA$3,0),FALSE)+((VLOOKUP($AW170&amp;"最终",$O$3:$AA$63,MATCH(AZ$3,$O$3:$AA$3,0),FALSE)*坦克个性化细分!$C$9-VLOOKUP($AW170&amp;"初始",$O$3:$AA$63,MATCH(AZ$3,$O$3:$AA$3,0),FALSE))-(VLOOKUP($AW170&amp;"最终",$O$3:$AA$63,MATCH(AZ$3,$O$3:$AA$3,0),FALSE)-VLOOKUP($AW170&amp;"初始",$O$3:$AA$63,MATCH(AZ$3,$O$3:$AA$3,0),FALSE))*VLOOKUP(VLOOKUP($AW170,坦克个性化设定!$B$18:$E$48,4,FALSE)&amp;$AX170,坦克属性分配比例,MATCH("部件比例",坦克属性分配比例标头,0),FALSE))*$AY170/VLOOKUP(VLOOKUP($AW170,坦克个性化设定!$B$18:$E$48,4,FALSE)&amp;$AX170,坦克属性分配比例,MATCH("升星次数",坦克属性分配比例标头,0),FALSE),0)</f>
        <v>2407</v>
      </c>
      <c r="BA170" s="426">
        <f ca="1">ROUND(VLOOKUP($AW170&amp;"初始",$O$3:$AA$63,MATCH(BA$3,$O$3:$AA$3,0),FALSE)+(VLOOKUP($AW170&amp;"最终",$O$3:$AA$63,MATCH(BA$3,$O$3:$AA$3,0),FALSE)-VLOOKUP($AW170&amp;"初始",$O$3:$AA$63,MATCH(BA$3,$O$3:$AA$3,0),FALSE))*$AY170/VLOOKUP(VLOOKUP($AW170,坦克个性化设定!$B$18:$E$48,4,FALSE)&amp;$AX170,坦克属性分配比例,MATCH("升星次数",坦克属性分配比例标头,0),FALSE)*VLOOKUP(VLOOKUP($AW170,坦克个性化设定!$B$18:$E$48,4,FALSE)&amp;$AX170,坦克属性分配比例,MATCH("升星比例",坦克属性分配比例标头,0),FALSE),0)</f>
        <v>341</v>
      </c>
      <c r="BB170" s="486">
        <f ca="1">ROUND(VLOOKUP($AW170&amp;"初始",$O$3:$AA$63,MATCH(BB$3,$O$3:$AA$3,0),FALSE)+(VLOOKUP($AW170&amp;"最终",$O$3:$AA$63,MATCH(BB$3,$O$3:$AA$3,0),FALSE)-VLOOKUP($AW170&amp;"初始",$O$3:$AA$63,MATCH(BB$3,$O$3:$AA$3,0),FALSE))*$AY170/VLOOKUP(VLOOKUP($AW170,坦克个性化设定!$B$18:$E$48,4,FALSE)&amp;$AX170,坦克属性分配比例,MATCH("升星次数",坦克属性分配比例标头,0),FALSE)*(VLOOKUP(VLOOKUP($AW170,坦克个性化设定!$B$18:$E$48,4,FALSE)&amp;$AX170,坦克属性分配比例,MATCH("升星比例",坦克属性分配比例标头,0),FALSE)+VLOOKUP(VLOOKUP($AW170,坦克个性化设定!$B$18:$E$48,4,FALSE)&amp;$AX170,坦克属性分配比例,MATCH("部件比例",坦克属性分配比例标头,0),FALSE)*$C$3),0)</f>
        <v>795</v>
      </c>
      <c r="BC170" s="486">
        <f ca="1">ROUND(VLOOKUP($AW170&amp;"初始",$O$3:$AA$63,MATCH(BC$3,$O$3:$AA$3,0),FALSE)+(VLOOKUP($AW170&amp;"最终",$O$3:$AA$63,MATCH(BC$3,$O$3:$AA$3,0),FALSE)-VLOOKUP($AW170&amp;"初始",$O$3:$AA$63,MATCH(BC$3,$O$3:$AA$3,0),FALSE))*$AY170/VLOOKUP(VLOOKUP($AW170,坦克个性化设定!$B$18:$E$48,4,FALSE)&amp;$AX170,坦克属性分配比例,MATCH("升星次数",坦克属性分配比例标头,0),FALSE)*(VLOOKUP(VLOOKUP($AW170,坦克个性化设定!$B$18:$E$48,4,FALSE)&amp;$AX170,坦克属性分配比例,MATCH("升星比例",坦克属性分配比例标头,0),FALSE)+VLOOKUP(VLOOKUP($AW170,坦克个性化设定!$B$18:$E$48,4,FALSE)&amp;$AX170,坦克属性分配比例,MATCH("部件比例",坦克属性分配比例标头,0),FALSE)*$C$3),0)</f>
        <v>596</v>
      </c>
      <c r="BD170" s="426">
        <f ca="1">ROUND(VLOOKUP($AW170&amp;"初始",$O$3:$AA$63,MATCH(BD$3,$O$3:$AA$3,0),FALSE)+(VLOOKUP($AW170&amp;"最终",$O$3:$AA$63,MATCH(BD$3,$O$3:$AA$3,0),FALSE)-VLOOKUP($AW170&amp;"初始",$O$3:$AA$63,MATCH(BD$3,$O$3:$AA$3,0),FALSE))*$AY170/VLOOKUP(VLOOKUP($AW170,坦克个性化设定!$B$18:$E$48,4,FALSE)&amp;$AX170,坦克属性分配比例,MATCH("升星次数",坦克属性分配比例标头,0),FALSE)*VLOOKUP(VLOOKUP($AW170,坦克个性化设定!$B$18:$E$48,4,FALSE)&amp;$AX170,坦克属性分配比例,MATCH("升星比例",坦克属性分配比例标头,0),FALSE),0)</f>
        <v>775</v>
      </c>
      <c r="BE170" s="426">
        <f ca="1">ROUND(VLOOKUP($AW170&amp;"初始",$O$3:$AA$63,MATCH(BE$3,$O$3:$AA$3,0),FALSE)+(VLOOKUP($AW170&amp;"最终",$O$3:$AA$63,MATCH(BE$3,$O$3:$AA$3,0),FALSE)-VLOOKUP($AW170&amp;"初始",$O$3:$AA$63,MATCH(BE$3,$O$3:$AA$3,0),FALSE))*$AY170/VLOOKUP(VLOOKUP($AW170,坦克个性化设定!$B$18:$E$48,4,FALSE)&amp;$AX170,坦克属性分配比例,MATCH("升星次数",坦克属性分配比例标头,0),FALSE),0)</f>
        <v>229</v>
      </c>
      <c r="BF170" s="462">
        <f>ROUND(VLOOKUP($AW170,$AD$3:$AJ$33,MATCH(BF$3,$AD$3:$AJ$3,0),FALSE)+$AY170/VLOOKUP(VLOOKUP($AW170,坦克个性化设定!$B$18:$E$48,4,FALSE)&amp;$AX170,坦克属性分配比例,MATCH("升星次数",坦克属性分配比例标头,0),FALSE)*VLOOKUP($AW170,$AM$3:$AS$33,MATCH(BF$3,$AM$3:$AS$3,0),FALSE),1)</f>
        <v>42.8</v>
      </c>
      <c r="BG170" s="462">
        <f>ROUND(VLOOKUP($AW170,$AD$3:$AJ$33,MATCH(BG$3,$AD$3:$AJ$3,0),FALSE)+$AY170/VLOOKUP(VLOOKUP($AW170,坦克个性化设定!$B$18:$E$48,4,FALSE)&amp;$AX170,坦克属性分配比例,MATCH("升星次数",坦克属性分配比例标头,0),FALSE)*VLOOKUP($AW170,$AM$3:$AS$33,MATCH(BG$3,$AM$3:$AS$3,0),FALSE),1)</f>
        <v>60.1</v>
      </c>
      <c r="BH170" s="462">
        <f>ROUND(VLOOKUP($AW170,$AD$3:$AJ$33,MATCH(BH$3,$AD$3:$AJ$3,0),FALSE)+$AY170/VLOOKUP(VLOOKUP($AW170,坦克个性化设定!$B$18:$E$48,4,FALSE)&amp;$AX170,坦克属性分配比例,MATCH("升星次数",坦克属性分配比例标头,0),FALSE)*VLOOKUP($AW170,$AM$3:$AS$33,MATCH(BH$3,$AM$3:$AS$3,0),FALSE),1)</f>
        <v>13.9</v>
      </c>
      <c r="BI170" s="654">
        <f>IF(VLOOKUP(AW170,坦克个性化设定!$B$18:$BB$48,MATCH("装弹类型",坦克个性化设定!$B$18:$BB$18,0),FALSE)="弹夹换弹",0,ROUND(VLOOKUP($AW170,$AD$3:$AJ$33,MATCH("换弹时间",$AD$3:$AJ$3,0),FALSE)-$AY170/VLOOKUP(VLOOKUP($AW170,坦克个性化设定!$B$18:$E$48,4,FALSE)&amp;$AX170,坦克属性分配比例,MATCH("升星次数",坦克属性分配比例标头,0),FALSE)*VLOOKUP($AW170,$AM$3:$AS$33,MATCH("换弹时间",$AM$3:$AS$3,0),FALSE),2))</f>
        <v>3.72</v>
      </c>
      <c r="BJ170" s="462">
        <f>IF(VLOOKUP(AW170,坦克个性化设定!$B$18:$BB$48,MATCH("装弹类型",坦克个性化设定!$B$18:$BB$18,0),FALSE)="弹夹换弹",ROUND(VLOOKUP($AW170,$AD$3:$AJ$33,MATCH("换弹时间",$AD$3:$AJ$3,0),FALSE)-$AY170/VLOOKUP(VLOOKUP($AW170,坦克个性化设定!$B$18:$E$48,4,FALSE)&amp;$AX170,坦克属性分配比例,MATCH("升星次数",坦克属性分配比例标头,0),FALSE)*VLOOKUP($AW170,$AM$3:$AS$33,MATCH("换弹时间",$AM$3:$AS$3,0),FALSE),1),0)</f>
        <v>0</v>
      </c>
      <c r="BK170" s="462">
        <f>ROUND(VLOOKUP($AW170,$AD$3:$AJ$33,MATCH(BK$3,$AD$3:$AJ$3,0),FALSE)+$AY170/VLOOKUP(VLOOKUP($AW170,坦克个性化设定!$B$18:$E$48,4,FALSE)&amp;$AX170,坦克属性分配比例,MATCH("升星次数",坦克属性分配比例标头,0),FALSE)*VLOOKUP($AW170,$AM$3:$AS$33,MATCH(BK$3,$AM$3:$AS$3,0),FALSE),2)</f>
        <v>0</v>
      </c>
      <c r="BL170" s="462">
        <f>ROUND(VLOOKUP($AW170,$AD$3:$AJ$33,MATCH(BL$3,$AD$3:$AJ$3,0),FALSE)-$AY170/VLOOKUP(VLOOKUP($AW170,坦克个性化设定!$B$18:$E$48,4,FALSE)&amp;$AX170,坦克属性分配比例,MATCH("升星次数",坦克属性分配比例标头,0),FALSE)*VLOOKUP($AW170,$AM$3:$AS$33,MATCH(BL$3,$AM$3:$AS$3,0),FALSE),2)</f>
        <v>2.11</v>
      </c>
    </row>
    <row r="171" spans="47:64" x14ac:dyDescent="0.35">
      <c r="AU171" s="364" t="str">
        <f t="shared" si="22"/>
        <v>谢尔曼11</v>
      </c>
      <c r="AV171" s="183">
        <f>IF(AY170&gt;=VLOOKUP(VLOOKUP(AW170,坦克个性化设定!$B$18:$E$48,4,FALSE)&amp;AX170,坦克属性分配比例,MATCH("升星次数",坦克属性分配比例标头,0),FALSE),AV170+1,AV170)</f>
        <v>15</v>
      </c>
      <c r="AW171" s="131" t="str">
        <f t="shared" si="23"/>
        <v>谢尔曼</v>
      </c>
      <c r="AX171" s="177" t="str">
        <f>VLOOKUP(AW171,坦克个性化细分!$I$3:$J$33,2,FALSE)</f>
        <v>中</v>
      </c>
      <c r="AY171" s="183">
        <f t="shared" si="21"/>
        <v>11</v>
      </c>
      <c r="AZ171" s="486">
        <f ca="1">ROUND(VLOOKUP($AW171&amp;"初始",$O$3:$AA$63,MATCH(AZ$3,$O$3:$AA$3,0),FALSE)+((VLOOKUP($AW171&amp;"最终",$O$3:$AA$63,MATCH(AZ$3,$O$3:$AA$3,0),FALSE)*坦克个性化细分!$C$9-VLOOKUP($AW171&amp;"初始",$O$3:$AA$63,MATCH(AZ$3,$O$3:$AA$3,0),FALSE))-(VLOOKUP($AW171&amp;"最终",$O$3:$AA$63,MATCH(AZ$3,$O$3:$AA$3,0),FALSE)-VLOOKUP($AW171&amp;"初始",$O$3:$AA$63,MATCH(AZ$3,$O$3:$AA$3,0),FALSE))*VLOOKUP(VLOOKUP($AW171,坦克个性化设定!$B$18:$E$48,4,FALSE)&amp;$AX171,坦克属性分配比例,MATCH("部件比例",坦克属性分配比例标头,0),FALSE))*$AY171/VLOOKUP(VLOOKUP($AW171,坦克个性化设定!$B$18:$E$48,4,FALSE)&amp;$AX171,坦克属性分配比例,MATCH("升星次数",坦克属性分配比例标头,0),FALSE),0)</f>
        <v>2515</v>
      </c>
      <c r="BA171" s="426">
        <f ca="1">ROUND(VLOOKUP($AW171&amp;"初始",$O$3:$AA$63,MATCH(BA$3,$O$3:$AA$3,0),FALSE)+(VLOOKUP($AW171&amp;"最终",$O$3:$AA$63,MATCH(BA$3,$O$3:$AA$3,0),FALSE)-VLOOKUP($AW171&amp;"初始",$O$3:$AA$63,MATCH(BA$3,$O$3:$AA$3,0),FALSE))*$AY171/VLOOKUP(VLOOKUP($AW171,坦克个性化设定!$B$18:$E$48,4,FALSE)&amp;$AX171,坦克属性分配比例,MATCH("升星次数",坦克属性分配比例标头,0),FALSE)*VLOOKUP(VLOOKUP($AW171,坦克个性化设定!$B$18:$E$48,4,FALSE)&amp;$AX171,坦克属性分配比例,MATCH("升星比例",坦克属性分配比例标头,0),FALSE),0)</f>
        <v>351</v>
      </c>
      <c r="BB171" s="486">
        <f ca="1">ROUND(VLOOKUP($AW171&amp;"初始",$O$3:$AA$63,MATCH(BB$3,$O$3:$AA$3,0),FALSE)+(VLOOKUP($AW171&amp;"最终",$O$3:$AA$63,MATCH(BB$3,$O$3:$AA$3,0),FALSE)-VLOOKUP($AW171&amp;"初始",$O$3:$AA$63,MATCH(BB$3,$O$3:$AA$3,0),FALSE))*$AY171/VLOOKUP(VLOOKUP($AW171,坦克个性化设定!$B$18:$E$48,4,FALSE)&amp;$AX171,坦克属性分配比例,MATCH("升星次数",坦克属性分配比例标头,0),FALSE)*(VLOOKUP(VLOOKUP($AW171,坦克个性化设定!$B$18:$E$48,4,FALSE)&amp;$AX171,坦克属性分配比例,MATCH("升星比例",坦克属性分配比例标头,0),FALSE)+VLOOKUP(VLOOKUP($AW171,坦克个性化设定!$B$18:$E$48,4,FALSE)&amp;$AX171,坦克属性分配比例,MATCH("部件比例",坦克属性分配比例标头,0),FALSE)*$C$3),0)</f>
        <v>824</v>
      </c>
      <c r="BC171" s="486">
        <f ca="1">ROUND(VLOOKUP($AW171&amp;"初始",$O$3:$AA$63,MATCH(BC$3,$O$3:$AA$3,0),FALSE)+(VLOOKUP($AW171&amp;"最终",$O$3:$AA$63,MATCH(BC$3,$O$3:$AA$3,0),FALSE)-VLOOKUP($AW171&amp;"初始",$O$3:$AA$63,MATCH(BC$3,$O$3:$AA$3,0),FALSE))*$AY171/VLOOKUP(VLOOKUP($AW171,坦克个性化设定!$B$18:$E$48,4,FALSE)&amp;$AX171,坦克属性分配比例,MATCH("升星次数",坦克属性分配比例标头,0),FALSE)*(VLOOKUP(VLOOKUP($AW171,坦克个性化设定!$B$18:$E$48,4,FALSE)&amp;$AX171,坦克属性分配比例,MATCH("升星比例",坦克属性分配比例标头,0),FALSE)+VLOOKUP(VLOOKUP($AW171,坦克个性化设定!$B$18:$E$48,4,FALSE)&amp;$AX171,坦克属性分配比例,MATCH("部件比例",坦克属性分配比例标头,0),FALSE)*$C$3),0)</f>
        <v>618</v>
      </c>
      <c r="BD171" s="426">
        <f ca="1">ROUND(VLOOKUP($AW171&amp;"初始",$O$3:$AA$63,MATCH(BD$3,$O$3:$AA$3,0),FALSE)+(VLOOKUP($AW171&amp;"最终",$O$3:$AA$63,MATCH(BD$3,$O$3:$AA$3,0),FALSE)-VLOOKUP($AW171&amp;"初始",$O$3:$AA$63,MATCH(BD$3,$O$3:$AA$3,0),FALSE))*$AY171/VLOOKUP(VLOOKUP($AW171,坦克个性化设定!$B$18:$E$48,4,FALSE)&amp;$AX171,坦克属性分配比例,MATCH("升星次数",坦克属性分配比例标头,0),FALSE)*VLOOKUP(VLOOKUP($AW171,坦克个性化设定!$B$18:$E$48,4,FALSE)&amp;$AX171,坦克属性分配比例,MATCH("升星比例",坦克属性分配比例标头,0),FALSE),0)</f>
        <v>797</v>
      </c>
      <c r="BE171" s="426">
        <f ca="1">ROUND(VLOOKUP($AW171&amp;"初始",$O$3:$AA$63,MATCH(BE$3,$O$3:$AA$3,0),FALSE)+(VLOOKUP($AW171&amp;"最终",$O$3:$AA$63,MATCH(BE$3,$O$3:$AA$3,0),FALSE)-VLOOKUP($AW171&amp;"初始",$O$3:$AA$63,MATCH(BE$3,$O$3:$AA$3,0),FALSE))*$AY171/VLOOKUP(VLOOKUP($AW171,坦克个性化设定!$B$18:$E$48,4,FALSE)&amp;$AX171,坦克属性分配比例,MATCH("升星次数",坦克属性分配比例标头,0),FALSE),0)</f>
        <v>238</v>
      </c>
      <c r="BF171" s="462">
        <f>ROUND(VLOOKUP($AW171,$AD$3:$AJ$33,MATCH(BF$3,$AD$3:$AJ$3,0),FALSE)+$AY171/VLOOKUP(VLOOKUP($AW171,坦克个性化设定!$B$18:$E$48,4,FALSE)&amp;$AX171,坦克属性分配比例,MATCH("升星次数",坦克属性分配比例标头,0),FALSE)*VLOOKUP($AW171,$AM$3:$AS$33,MATCH(BF$3,$AM$3:$AS$3,0),FALSE),1)</f>
        <v>43.4</v>
      </c>
      <c r="BG171" s="462">
        <f>ROUND(VLOOKUP($AW171,$AD$3:$AJ$33,MATCH(BG$3,$AD$3:$AJ$3,0),FALSE)+$AY171/VLOOKUP(VLOOKUP($AW171,坦克个性化设定!$B$18:$E$48,4,FALSE)&amp;$AX171,坦克属性分配比例,MATCH("升星次数",坦克属性分配比例标头,0),FALSE)*VLOOKUP($AW171,$AM$3:$AS$33,MATCH(BG$3,$AM$3:$AS$3,0),FALSE),1)</f>
        <v>61</v>
      </c>
      <c r="BH171" s="462">
        <f>ROUND(VLOOKUP($AW171,$AD$3:$AJ$33,MATCH(BH$3,$AD$3:$AJ$3,0),FALSE)+$AY171/VLOOKUP(VLOOKUP($AW171,坦克个性化设定!$B$18:$E$48,4,FALSE)&amp;$AX171,坦克属性分配比例,MATCH("升星次数",坦克属性分配比例标头,0),FALSE)*VLOOKUP($AW171,$AM$3:$AS$33,MATCH(BH$3,$AM$3:$AS$3,0),FALSE),1)</f>
        <v>14.2</v>
      </c>
      <c r="BI171" s="654">
        <f>IF(VLOOKUP(AW171,坦克个性化设定!$B$18:$BB$48,MATCH("装弹类型",坦克个性化设定!$B$18:$BB$18,0),FALSE)="弹夹换弹",0,ROUND(VLOOKUP($AW171,$AD$3:$AJ$33,MATCH("换弹时间",$AD$3:$AJ$3,0),FALSE)-$AY171/VLOOKUP(VLOOKUP($AW171,坦克个性化设定!$B$18:$E$48,4,FALSE)&amp;$AX171,坦克属性分配比例,MATCH("升星次数",坦克属性分配比例标头,0),FALSE)*VLOOKUP($AW171,$AM$3:$AS$33,MATCH("换弹时间",$AM$3:$AS$3,0),FALSE),2))</f>
        <v>3.64</v>
      </c>
      <c r="BJ171" s="462">
        <f>IF(VLOOKUP(AW171,坦克个性化设定!$B$18:$BB$48,MATCH("装弹类型",坦克个性化设定!$B$18:$BB$18,0),FALSE)="弹夹换弹",ROUND(VLOOKUP($AW171,$AD$3:$AJ$33,MATCH("换弹时间",$AD$3:$AJ$3,0),FALSE)-$AY171/VLOOKUP(VLOOKUP($AW171,坦克个性化设定!$B$18:$E$48,4,FALSE)&amp;$AX171,坦克属性分配比例,MATCH("升星次数",坦克属性分配比例标头,0),FALSE)*VLOOKUP($AW171,$AM$3:$AS$33,MATCH("换弹时间",$AM$3:$AS$3,0),FALSE),1),0)</f>
        <v>0</v>
      </c>
      <c r="BK171" s="462">
        <f>ROUND(VLOOKUP($AW171,$AD$3:$AJ$33,MATCH(BK$3,$AD$3:$AJ$3,0),FALSE)+$AY171/VLOOKUP(VLOOKUP($AW171,坦克个性化设定!$B$18:$E$48,4,FALSE)&amp;$AX171,坦克属性分配比例,MATCH("升星次数",坦克属性分配比例标头,0),FALSE)*VLOOKUP($AW171,$AM$3:$AS$33,MATCH(BK$3,$AM$3:$AS$3,0),FALSE),2)</f>
        <v>0</v>
      </c>
      <c r="BL171" s="462">
        <f>ROUND(VLOOKUP($AW171,$AD$3:$AJ$33,MATCH(BL$3,$AD$3:$AJ$3,0),FALSE)-$AY171/VLOOKUP(VLOOKUP($AW171,坦克个性化设定!$B$18:$E$48,4,FALSE)&amp;$AX171,坦克属性分配比例,MATCH("升星次数",坦克属性分配比例标头,0),FALSE)*VLOOKUP($AW171,$AM$3:$AS$33,MATCH(BL$3,$AM$3:$AS$3,0),FALSE),2)</f>
        <v>2.09</v>
      </c>
    </row>
    <row r="172" spans="47:64" x14ac:dyDescent="0.35">
      <c r="AU172" s="364" t="str">
        <f t="shared" si="22"/>
        <v>谢尔曼12</v>
      </c>
      <c r="AV172" s="183">
        <f>IF(AY171&gt;=VLOOKUP(VLOOKUP(AW171,坦克个性化设定!$B$18:$E$48,4,FALSE)&amp;AX171,坦克属性分配比例,MATCH("升星次数",坦克属性分配比例标头,0),FALSE),AV171+1,AV171)</f>
        <v>15</v>
      </c>
      <c r="AW172" s="131" t="str">
        <f t="shared" si="23"/>
        <v>谢尔曼</v>
      </c>
      <c r="AX172" s="177" t="str">
        <f>VLOOKUP(AW172,坦克个性化细分!$I$3:$J$33,2,FALSE)</f>
        <v>中</v>
      </c>
      <c r="AY172" s="183">
        <f t="shared" si="21"/>
        <v>12</v>
      </c>
      <c r="AZ172" s="486">
        <f ca="1">ROUND(VLOOKUP($AW172&amp;"初始",$O$3:$AA$63,MATCH(AZ$3,$O$3:$AA$3,0),FALSE)+((VLOOKUP($AW172&amp;"最终",$O$3:$AA$63,MATCH(AZ$3,$O$3:$AA$3,0),FALSE)*坦克个性化细分!$C$9-VLOOKUP($AW172&amp;"初始",$O$3:$AA$63,MATCH(AZ$3,$O$3:$AA$3,0),FALSE))-(VLOOKUP($AW172&amp;"最终",$O$3:$AA$63,MATCH(AZ$3,$O$3:$AA$3,0),FALSE)-VLOOKUP($AW172&amp;"初始",$O$3:$AA$63,MATCH(AZ$3,$O$3:$AA$3,0),FALSE))*VLOOKUP(VLOOKUP($AW172,坦克个性化设定!$B$18:$E$48,4,FALSE)&amp;$AX172,坦克属性分配比例,MATCH("部件比例",坦克属性分配比例标头,0),FALSE))*$AY172/VLOOKUP(VLOOKUP($AW172,坦克个性化设定!$B$18:$E$48,4,FALSE)&amp;$AX172,坦克属性分配比例,MATCH("升星次数",坦克属性分配比例标头,0),FALSE),0)</f>
        <v>2623</v>
      </c>
      <c r="BA172" s="426">
        <f ca="1">ROUND(VLOOKUP($AW172&amp;"初始",$O$3:$AA$63,MATCH(BA$3,$O$3:$AA$3,0),FALSE)+(VLOOKUP($AW172&amp;"最终",$O$3:$AA$63,MATCH(BA$3,$O$3:$AA$3,0),FALSE)-VLOOKUP($AW172&amp;"初始",$O$3:$AA$63,MATCH(BA$3,$O$3:$AA$3,0),FALSE))*$AY172/VLOOKUP(VLOOKUP($AW172,坦克个性化设定!$B$18:$E$48,4,FALSE)&amp;$AX172,坦克属性分配比例,MATCH("升星次数",坦克属性分配比例标头,0),FALSE)*VLOOKUP(VLOOKUP($AW172,坦克个性化设定!$B$18:$E$48,4,FALSE)&amp;$AX172,坦克属性分配比例,MATCH("升星比例",坦克属性分配比例标头,0),FALSE),0)</f>
        <v>360</v>
      </c>
      <c r="BB172" s="486">
        <f ca="1">ROUND(VLOOKUP($AW172&amp;"初始",$O$3:$AA$63,MATCH(BB$3,$O$3:$AA$3,0),FALSE)+(VLOOKUP($AW172&amp;"最终",$O$3:$AA$63,MATCH(BB$3,$O$3:$AA$3,0),FALSE)-VLOOKUP($AW172&amp;"初始",$O$3:$AA$63,MATCH(BB$3,$O$3:$AA$3,0),FALSE))*$AY172/VLOOKUP(VLOOKUP($AW172,坦克个性化设定!$B$18:$E$48,4,FALSE)&amp;$AX172,坦克属性分配比例,MATCH("升星次数",坦克属性分配比例标头,0),FALSE)*(VLOOKUP(VLOOKUP($AW172,坦克个性化设定!$B$18:$E$48,4,FALSE)&amp;$AX172,坦克属性分配比例,MATCH("升星比例",坦克属性分配比例标头,0),FALSE)+VLOOKUP(VLOOKUP($AW172,坦克个性化设定!$B$18:$E$48,4,FALSE)&amp;$AX172,坦克属性分配比例,MATCH("部件比例",坦克属性分配比例标头,0),FALSE)*$C$3),0)</f>
        <v>853</v>
      </c>
      <c r="BC172" s="486">
        <f ca="1">ROUND(VLOOKUP($AW172&amp;"初始",$O$3:$AA$63,MATCH(BC$3,$O$3:$AA$3,0),FALSE)+(VLOOKUP($AW172&amp;"最终",$O$3:$AA$63,MATCH(BC$3,$O$3:$AA$3,0),FALSE)-VLOOKUP($AW172&amp;"初始",$O$3:$AA$63,MATCH(BC$3,$O$3:$AA$3,0),FALSE))*$AY172/VLOOKUP(VLOOKUP($AW172,坦克个性化设定!$B$18:$E$48,4,FALSE)&amp;$AX172,坦克属性分配比例,MATCH("升星次数",坦克属性分配比例标头,0),FALSE)*(VLOOKUP(VLOOKUP($AW172,坦克个性化设定!$B$18:$E$48,4,FALSE)&amp;$AX172,坦克属性分配比例,MATCH("升星比例",坦克属性分配比例标头,0),FALSE)+VLOOKUP(VLOOKUP($AW172,坦克个性化设定!$B$18:$E$48,4,FALSE)&amp;$AX172,坦克属性分配比例,MATCH("部件比例",坦克属性分配比例标头,0),FALSE)*$C$3),0)</f>
        <v>639</v>
      </c>
      <c r="BD172" s="426">
        <f ca="1">ROUND(VLOOKUP($AW172&amp;"初始",$O$3:$AA$63,MATCH(BD$3,$O$3:$AA$3,0),FALSE)+(VLOOKUP($AW172&amp;"最终",$O$3:$AA$63,MATCH(BD$3,$O$3:$AA$3,0),FALSE)-VLOOKUP($AW172&amp;"初始",$O$3:$AA$63,MATCH(BD$3,$O$3:$AA$3,0),FALSE))*$AY172/VLOOKUP(VLOOKUP($AW172,坦克个性化设定!$B$18:$E$48,4,FALSE)&amp;$AX172,坦克属性分配比例,MATCH("升星次数",坦克属性分配比例标头,0),FALSE)*VLOOKUP(VLOOKUP($AW172,坦克个性化设定!$B$18:$E$48,4,FALSE)&amp;$AX172,坦克属性分配比例,MATCH("升星比例",坦克属性分配比例标头,0),FALSE),0)</f>
        <v>819</v>
      </c>
      <c r="BE172" s="426">
        <f ca="1">ROUND(VLOOKUP($AW172&amp;"初始",$O$3:$AA$63,MATCH(BE$3,$O$3:$AA$3,0),FALSE)+(VLOOKUP($AW172&amp;"最终",$O$3:$AA$63,MATCH(BE$3,$O$3:$AA$3,0),FALSE)-VLOOKUP($AW172&amp;"初始",$O$3:$AA$63,MATCH(BE$3,$O$3:$AA$3,0),FALSE))*$AY172/VLOOKUP(VLOOKUP($AW172,坦克个性化设定!$B$18:$E$48,4,FALSE)&amp;$AX172,坦克属性分配比例,MATCH("升星次数",坦克属性分配比例标头,0),FALSE),0)</f>
        <v>247</v>
      </c>
      <c r="BF172" s="462">
        <f>ROUND(VLOOKUP($AW172,$AD$3:$AJ$33,MATCH(BF$3,$AD$3:$AJ$3,0),FALSE)+$AY172/VLOOKUP(VLOOKUP($AW172,坦克个性化设定!$B$18:$E$48,4,FALSE)&amp;$AX172,坦克属性分配比例,MATCH("升星次数",坦克属性分配比例标头,0),FALSE)*VLOOKUP($AW172,$AM$3:$AS$33,MATCH(BF$3,$AM$3:$AS$3,0),FALSE),1)</f>
        <v>44.1</v>
      </c>
      <c r="BG172" s="462">
        <f>ROUND(VLOOKUP($AW172,$AD$3:$AJ$33,MATCH(BG$3,$AD$3:$AJ$3,0),FALSE)+$AY172/VLOOKUP(VLOOKUP($AW172,坦克个性化设定!$B$18:$E$48,4,FALSE)&amp;$AX172,坦克属性分配比例,MATCH("升星次数",坦克属性分配比例标头,0),FALSE)*VLOOKUP($AW172,$AM$3:$AS$33,MATCH(BG$3,$AM$3:$AS$3,0),FALSE),1)</f>
        <v>61.9</v>
      </c>
      <c r="BH172" s="462">
        <f>ROUND(VLOOKUP($AW172,$AD$3:$AJ$33,MATCH(BH$3,$AD$3:$AJ$3,0),FALSE)+$AY172/VLOOKUP(VLOOKUP($AW172,坦克个性化设定!$B$18:$E$48,4,FALSE)&amp;$AX172,坦克属性分配比例,MATCH("升星次数",坦克属性分配比例标头,0),FALSE)*VLOOKUP($AW172,$AM$3:$AS$33,MATCH(BH$3,$AM$3:$AS$3,0),FALSE),1)</f>
        <v>14.5</v>
      </c>
      <c r="BI172" s="654">
        <f>IF(VLOOKUP(AW172,坦克个性化设定!$B$18:$BB$48,MATCH("装弹类型",坦克个性化设定!$B$18:$BB$18,0),FALSE)="弹夹换弹",0,ROUND(VLOOKUP($AW172,$AD$3:$AJ$33,MATCH("换弹时间",$AD$3:$AJ$3,0),FALSE)-$AY172/VLOOKUP(VLOOKUP($AW172,坦克个性化设定!$B$18:$E$48,4,FALSE)&amp;$AX172,坦克属性分配比例,MATCH("升星次数",坦克属性分配比例标头,0),FALSE)*VLOOKUP($AW172,$AM$3:$AS$33,MATCH("换弹时间",$AM$3:$AS$3,0),FALSE),2))</f>
        <v>3.56</v>
      </c>
      <c r="BJ172" s="462">
        <f>IF(VLOOKUP(AW172,坦克个性化设定!$B$18:$BB$48,MATCH("装弹类型",坦克个性化设定!$B$18:$BB$18,0),FALSE)="弹夹换弹",ROUND(VLOOKUP($AW172,$AD$3:$AJ$33,MATCH("换弹时间",$AD$3:$AJ$3,0),FALSE)-$AY172/VLOOKUP(VLOOKUP($AW172,坦克个性化设定!$B$18:$E$48,4,FALSE)&amp;$AX172,坦克属性分配比例,MATCH("升星次数",坦克属性分配比例标头,0),FALSE)*VLOOKUP($AW172,$AM$3:$AS$33,MATCH("换弹时间",$AM$3:$AS$3,0),FALSE),1),0)</f>
        <v>0</v>
      </c>
      <c r="BK172" s="462">
        <f>ROUND(VLOOKUP($AW172,$AD$3:$AJ$33,MATCH(BK$3,$AD$3:$AJ$3,0),FALSE)+$AY172/VLOOKUP(VLOOKUP($AW172,坦克个性化设定!$B$18:$E$48,4,FALSE)&amp;$AX172,坦克属性分配比例,MATCH("升星次数",坦克属性分配比例标头,0),FALSE)*VLOOKUP($AW172,$AM$3:$AS$33,MATCH(BK$3,$AM$3:$AS$3,0),FALSE),2)</f>
        <v>0</v>
      </c>
      <c r="BL172" s="462">
        <f>ROUND(VLOOKUP($AW172,$AD$3:$AJ$33,MATCH(BL$3,$AD$3:$AJ$3,0),FALSE)-$AY172/VLOOKUP(VLOOKUP($AW172,坦克个性化设定!$B$18:$E$48,4,FALSE)&amp;$AX172,坦克属性分配比例,MATCH("升星次数",坦克属性分配比例标头,0),FALSE)*VLOOKUP($AW172,$AM$3:$AS$33,MATCH(BL$3,$AM$3:$AS$3,0),FALSE),2)</f>
        <v>2.06</v>
      </c>
    </row>
    <row r="173" spans="47:64" x14ac:dyDescent="0.35">
      <c r="AU173" s="364" t="str">
        <f t="shared" si="22"/>
        <v>谢尔曼13</v>
      </c>
      <c r="AV173" s="183">
        <f>IF(AY172&gt;=VLOOKUP(VLOOKUP(AW172,坦克个性化设定!$B$18:$E$48,4,FALSE)&amp;AX172,坦克属性分配比例,MATCH("升星次数",坦克属性分配比例标头,0),FALSE),AV172+1,AV172)</f>
        <v>15</v>
      </c>
      <c r="AW173" s="131" t="str">
        <f t="shared" si="23"/>
        <v>谢尔曼</v>
      </c>
      <c r="AX173" s="177" t="str">
        <f>VLOOKUP(AW173,坦克个性化细分!$I$3:$J$33,2,FALSE)</f>
        <v>中</v>
      </c>
      <c r="AY173" s="183">
        <f t="shared" si="21"/>
        <v>13</v>
      </c>
      <c r="AZ173" s="486">
        <f ca="1">ROUND(VLOOKUP($AW173&amp;"初始",$O$3:$AA$63,MATCH(AZ$3,$O$3:$AA$3,0),FALSE)+((VLOOKUP($AW173&amp;"最终",$O$3:$AA$63,MATCH(AZ$3,$O$3:$AA$3,0),FALSE)*坦克个性化细分!$C$9-VLOOKUP($AW173&amp;"初始",$O$3:$AA$63,MATCH(AZ$3,$O$3:$AA$3,0),FALSE))-(VLOOKUP($AW173&amp;"最终",$O$3:$AA$63,MATCH(AZ$3,$O$3:$AA$3,0),FALSE)-VLOOKUP($AW173&amp;"初始",$O$3:$AA$63,MATCH(AZ$3,$O$3:$AA$3,0),FALSE))*VLOOKUP(VLOOKUP($AW173,坦克个性化设定!$B$18:$E$48,4,FALSE)&amp;$AX173,坦克属性分配比例,MATCH("部件比例",坦克属性分配比例标头,0),FALSE))*$AY173/VLOOKUP(VLOOKUP($AW173,坦克个性化设定!$B$18:$E$48,4,FALSE)&amp;$AX173,坦克属性分配比例,MATCH("升星次数",坦克属性分配比例标头,0),FALSE),0)</f>
        <v>2730</v>
      </c>
      <c r="BA173" s="426">
        <f ca="1">ROUND(VLOOKUP($AW173&amp;"初始",$O$3:$AA$63,MATCH(BA$3,$O$3:$AA$3,0),FALSE)+(VLOOKUP($AW173&amp;"最终",$O$3:$AA$63,MATCH(BA$3,$O$3:$AA$3,0),FALSE)-VLOOKUP($AW173&amp;"初始",$O$3:$AA$63,MATCH(BA$3,$O$3:$AA$3,0),FALSE))*$AY173/VLOOKUP(VLOOKUP($AW173,坦克个性化设定!$B$18:$E$48,4,FALSE)&amp;$AX173,坦克属性分配比例,MATCH("升星次数",坦克属性分配比例标头,0),FALSE)*VLOOKUP(VLOOKUP($AW173,坦克个性化设定!$B$18:$E$48,4,FALSE)&amp;$AX173,坦克属性分配比例,MATCH("升星比例",坦克属性分配比例标头,0),FALSE),0)</f>
        <v>370</v>
      </c>
      <c r="BB173" s="486">
        <f ca="1">ROUND(VLOOKUP($AW173&amp;"初始",$O$3:$AA$63,MATCH(BB$3,$O$3:$AA$3,0),FALSE)+(VLOOKUP($AW173&amp;"最终",$O$3:$AA$63,MATCH(BB$3,$O$3:$AA$3,0),FALSE)-VLOOKUP($AW173&amp;"初始",$O$3:$AA$63,MATCH(BB$3,$O$3:$AA$3,0),FALSE))*$AY173/VLOOKUP(VLOOKUP($AW173,坦克个性化设定!$B$18:$E$48,4,FALSE)&amp;$AX173,坦克属性分配比例,MATCH("升星次数",坦克属性分配比例标头,0),FALSE)*(VLOOKUP(VLOOKUP($AW173,坦克个性化设定!$B$18:$E$48,4,FALSE)&amp;$AX173,坦克属性分配比例,MATCH("升星比例",坦克属性分配比例标头,0),FALSE)+VLOOKUP(VLOOKUP($AW173,坦克个性化设定!$B$18:$E$48,4,FALSE)&amp;$AX173,坦克属性分配比例,MATCH("部件比例",坦克属性分配比例标头,0),FALSE)*$C$3),0)</f>
        <v>881</v>
      </c>
      <c r="BC173" s="486">
        <f ca="1">ROUND(VLOOKUP($AW173&amp;"初始",$O$3:$AA$63,MATCH(BC$3,$O$3:$AA$3,0),FALSE)+(VLOOKUP($AW173&amp;"最终",$O$3:$AA$63,MATCH(BC$3,$O$3:$AA$3,0),FALSE)-VLOOKUP($AW173&amp;"初始",$O$3:$AA$63,MATCH(BC$3,$O$3:$AA$3,0),FALSE))*$AY173/VLOOKUP(VLOOKUP($AW173,坦克个性化设定!$B$18:$E$48,4,FALSE)&amp;$AX173,坦克属性分配比例,MATCH("升星次数",坦克属性分配比例标头,0),FALSE)*(VLOOKUP(VLOOKUP($AW173,坦克个性化设定!$B$18:$E$48,4,FALSE)&amp;$AX173,坦克属性分配比例,MATCH("升星比例",坦克属性分配比例标头,0),FALSE)+VLOOKUP(VLOOKUP($AW173,坦克个性化设定!$B$18:$E$48,4,FALSE)&amp;$AX173,坦克属性分配比例,MATCH("部件比例",坦克属性分配比例标头,0),FALSE)*$C$3),0)</f>
        <v>661</v>
      </c>
      <c r="BD173" s="426">
        <f ca="1">ROUND(VLOOKUP($AW173&amp;"初始",$O$3:$AA$63,MATCH(BD$3,$O$3:$AA$3,0),FALSE)+(VLOOKUP($AW173&amp;"最终",$O$3:$AA$63,MATCH(BD$3,$O$3:$AA$3,0),FALSE)-VLOOKUP($AW173&amp;"初始",$O$3:$AA$63,MATCH(BD$3,$O$3:$AA$3,0),FALSE))*$AY173/VLOOKUP(VLOOKUP($AW173,坦克个性化设定!$B$18:$E$48,4,FALSE)&amp;$AX173,坦克属性分配比例,MATCH("升星次数",坦克属性分配比例标头,0),FALSE)*VLOOKUP(VLOOKUP($AW173,坦克个性化设定!$B$18:$E$48,4,FALSE)&amp;$AX173,坦克属性分配比例,MATCH("升星比例",坦克属性分配比例标头,0),FALSE),0)</f>
        <v>840</v>
      </c>
      <c r="BE173" s="426">
        <f ca="1">ROUND(VLOOKUP($AW173&amp;"初始",$O$3:$AA$63,MATCH(BE$3,$O$3:$AA$3,0),FALSE)+(VLOOKUP($AW173&amp;"最终",$O$3:$AA$63,MATCH(BE$3,$O$3:$AA$3,0),FALSE)-VLOOKUP($AW173&amp;"初始",$O$3:$AA$63,MATCH(BE$3,$O$3:$AA$3,0),FALSE))*$AY173/VLOOKUP(VLOOKUP($AW173,坦克个性化设定!$B$18:$E$48,4,FALSE)&amp;$AX173,坦克属性分配比例,MATCH("升星次数",坦克属性分配比例标头,0),FALSE),0)</f>
        <v>257</v>
      </c>
      <c r="BF173" s="462">
        <f>ROUND(VLOOKUP($AW173,$AD$3:$AJ$33,MATCH(BF$3,$AD$3:$AJ$3,0),FALSE)+$AY173/VLOOKUP(VLOOKUP($AW173,坦克个性化设定!$B$18:$E$48,4,FALSE)&amp;$AX173,坦克属性分配比例,MATCH("升星次数",坦克属性分配比例标头,0),FALSE)*VLOOKUP($AW173,$AM$3:$AS$33,MATCH(BF$3,$AM$3:$AS$3,0),FALSE),1)</f>
        <v>44.7</v>
      </c>
      <c r="BG173" s="462">
        <f>ROUND(VLOOKUP($AW173,$AD$3:$AJ$33,MATCH(BG$3,$AD$3:$AJ$3,0),FALSE)+$AY173/VLOOKUP(VLOOKUP($AW173,坦克个性化设定!$B$18:$E$48,4,FALSE)&amp;$AX173,坦克属性分配比例,MATCH("升星次数",坦克属性分配比例标头,0),FALSE)*VLOOKUP($AW173,$AM$3:$AS$33,MATCH(BG$3,$AM$3:$AS$3,0),FALSE),1)</f>
        <v>62.8</v>
      </c>
      <c r="BH173" s="462">
        <f>ROUND(VLOOKUP($AW173,$AD$3:$AJ$33,MATCH(BH$3,$AD$3:$AJ$3,0),FALSE)+$AY173/VLOOKUP(VLOOKUP($AW173,坦克个性化设定!$B$18:$E$48,4,FALSE)&amp;$AX173,坦克属性分配比例,MATCH("升星次数",坦克属性分配比例标头,0),FALSE)*VLOOKUP($AW173,$AM$3:$AS$33,MATCH(BH$3,$AM$3:$AS$3,0),FALSE),1)</f>
        <v>14.7</v>
      </c>
      <c r="BI173" s="654">
        <f>IF(VLOOKUP(AW173,坦克个性化设定!$B$18:$BB$48,MATCH("装弹类型",坦克个性化设定!$B$18:$BB$18,0),FALSE)="弹夹换弹",0,ROUND(VLOOKUP($AW173,$AD$3:$AJ$33,MATCH("换弹时间",$AD$3:$AJ$3,0),FALSE)-$AY173/VLOOKUP(VLOOKUP($AW173,坦克个性化设定!$B$18:$E$48,4,FALSE)&amp;$AX173,坦克属性分配比例,MATCH("升星次数",坦克属性分配比例标头,0),FALSE)*VLOOKUP($AW173,$AM$3:$AS$33,MATCH("换弹时间",$AM$3:$AS$3,0),FALSE),2))</f>
        <v>3.48</v>
      </c>
      <c r="BJ173" s="462">
        <f>IF(VLOOKUP(AW173,坦克个性化设定!$B$18:$BB$48,MATCH("装弹类型",坦克个性化设定!$B$18:$BB$18,0),FALSE)="弹夹换弹",ROUND(VLOOKUP($AW173,$AD$3:$AJ$33,MATCH("换弹时间",$AD$3:$AJ$3,0),FALSE)-$AY173/VLOOKUP(VLOOKUP($AW173,坦克个性化设定!$B$18:$E$48,4,FALSE)&amp;$AX173,坦克属性分配比例,MATCH("升星次数",坦克属性分配比例标头,0),FALSE)*VLOOKUP($AW173,$AM$3:$AS$33,MATCH("换弹时间",$AM$3:$AS$3,0),FALSE),1),0)</f>
        <v>0</v>
      </c>
      <c r="BK173" s="462">
        <f>ROUND(VLOOKUP($AW173,$AD$3:$AJ$33,MATCH(BK$3,$AD$3:$AJ$3,0),FALSE)+$AY173/VLOOKUP(VLOOKUP($AW173,坦克个性化设定!$B$18:$E$48,4,FALSE)&amp;$AX173,坦克属性分配比例,MATCH("升星次数",坦克属性分配比例标头,0),FALSE)*VLOOKUP($AW173,$AM$3:$AS$33,MATCH(BK$3,$AM$3:$AS$3,0),FALSE),2)</f>
        <v>0</v>
      </c>
      <c r="BL173" s="462">
        <f>ROUND(VLOOKUP($AW173,$AD$3:$AJ$33,MATCH(BL$3,$AD$3:$AJ$3,0),FALSE)-$AY173/VLOOKUP(VLOOKUP($AW173,坦克个性化设定!$B$18:$E$48,4,FALSE)&amp;$AX173,坦克属性分配比例,MATCH("升星次数",坦克属性分配比例标头,0),FALSE)*VLOOKUP($AW173,$AM$3:$AS$33,MATCH(BL$3,$AM$3:$AS$3,0),FALSE),2)</f>
        <v>2.0299999999999998</v>
      </c>
    </row>
    <row r="174" spans="47:64" x14ac:dyDescent="0.35">
      <c r="AU174" s="364" t="str">
        <f t="shared" si="22"/>
        <v>谢尔曼14</v>
      </c>
      <c r="AV174" s="183">
        <f>IF(AY173&gt;=VLOOKUP(VLOOKUP(AW173,坦克个性化设定!$B$18:$E$48,4,FALSE)&amp;AX173,坦克属性分配比例,MATCH("升星次数",坦克属性分配比例标头,0),FALSE),AV173+1,AV173)</f>
        <v>15</v>
      </c>
      <c r="AW174" s="131" t="str">
        <f t="shared" si="23"/>
        <v>谢尔曼</v>
      </c>
      <c r="AX174" s="177" t="str">
        <f>VLOOKUP(AW174,坦克个性化细分!$I$3:$J$33,2,FALSE)</f>
        <v>中</v>
      </c>
      <c r="AY174" s="183">
        <f t="shared" si="21"/>
        <v>14</v>
      </c>
      <c r="AZ174" s="486">
        <f ca="1">ROUND(VLOOKUP($AW174&amp;"初始",$O$3:$AA$63,MATCH(AZ$3,$O$3:$AA$3,0),FALSE)+((VLOOKUP($AW174&amp;"最终",$O$3:$AA$63,MATCH(AZ$3,$O$3:$AA$3,0),FALSE)*坦克个性化细分!$C$9-VLOOKUP($AW174&amp;"初始",$O$3:$AA$63,MATCH(AZ$3,$O$3:$AA$3,0),FALSE))-(VLOOKUP($AW174&amp;"最终",$O$3:$AA$63,MATCH(AZ$3,$O$3:$AA$3,0),FALSE)-VLOOKUP($AW174&amp;"初始",$O$3:$AA$63,MATCH(AZ$3,$O$3:$AA$3,0),FALSE))*VLOOKUP(VLOOKUP($AW174,坦克个性化设定!$B$18:$E$48,4,FALSE)&amp;$AX174,坦克属性分配比例,MATCH("部件比例",坦克属性分配比例标头,0),FALSE))*$AY174/VLOOKUP(VLOOKUP($AW174,坦克个性化设定!$B$18:$E$48,4,FALSE)&amp;$AX174,坦克属性分配比例,MATCH("升星次数",坦克属性分配比例标头,0),FALSE),0)</f>
        <v>2838</v>
      </c>
      <c r="BA174" s="426">
        <f ca="1">ROUND(VLOOKUP($AW174&amp;"初始",$O$3:$AA$63,MATCH(BA$3,$O$3:$AA$3,0),FALSE)+(VLOOKUP($AW174&amp;"最终",$O$3:$AA$63,MATCH(BA$3,$O$3:$AA$3,0),FALSE)-VLOOKUP($AW174&amp;"初始",$O$3:$AA$63,MATCH(BA$3,$O$3:$AA$3,0),FALSE))*$AY174/VLOOKUP(VLOOKUP($AW174,坦克个性化设定!$B$18:$E$48,4,FALSE)&amp;$AX174,坦克属性分配比例,MATCH("升星次数",坦克属性分配比例标头,0),FALSE)*VLOOKUP(VLOOKUP($AW174,坦克个性化设定!$B$18:$E$48,4,FALSE)&amp;$AX174,坦克属性分配比例,MATCH("升星比例",坦克属性分配比例标头,0),FALSE),0)</f>
        <v>379</v>
      </c>
      <c r="BB174" s="486">
        <f ca="1">ROUND(VLOOKUP($AW174&amp;"初始",$O$3:$AA$63,MATCH(BB$3,$O$3:$AA$3,0),FALSE)+(VLOOKUP($AW174&amp;"最终",$O$3:$AA$63,MATCH(BB$3,$O$3:$AA$3,0),FALSE)-VLOOKUP($AW174&amp;"初始",$O$3:$AA$63,MATCH(BB$3,$O$3:$AA$3,0),FALSE))*$AY174/VLOOKUP(VLOOKUP($AW174,坦克个性化设定!$B$18:$E$48,4,FALSE)&amp;$AX174,坦克属性分配比例,MATCH("升星次数",坦克属性分配比例标头,0),FALSE)*(VLOOKUP(VLOOKUP($AW174,坦克个性化设定!$B$18:$E$48,4,FALSE)&amp;$AX174,坦克属性分配比例,MATCH("升星比例",坦克属性分配比例标头,0),FALSE)+VLOOKUP(VLOOKUP($AW174,坦克个性化设定!$B$18:$E$48,4,FALSE)&amp;$AX174,坦克属性分配比例,MATCH("部件比例",坦克属性分配比例标头,0),FALSE)*$C$3),0)</f>
        <v>910</v>
      </c>
      <c r="BC174" s="486">
        <f ca="1">ROUND(VLOOKUP($AW174&amp;"初始",$O$3:$AA$63,MATCH(BC$3,$O$3:$AA$3,0),FALSE)+(VLOOKUP($AW174&amp;"最终",$O$3:$AA$63,MATCH(BC$3,$O$3:$AA$3,0),FALSE)-VLOOKUP($AW174&amp;"初始",$O$3:$AA$63,MATCH(BC$3,$O$3:$AA$3,0),FALSE))*$AY174/VLOOKUP(VLOOKUP($AW174,坦克个性化设定!$B$18:$E$48,4,FALSE)&amp;$AX174,坦克属性分配比例,MATCH("升星次数",坦克属性分配比例标头,0),FALSE)*(VLOOKUP(VLOOKUP($AW174,坦克个性化设定!$B$18:$E$48,4,FALSE)&amp;$AX174,坦克属性分配比例,MATCH("升星比例",坦克属性分配比例标头,0),FALSE)+VLOOKUP(VLOOKUP($AW174,坦克个性化设定!$B$18:$E$48,4,FALSE)&amp;$AX174,坦克属性分配比例,MATCH("部件比例",坦克属性分配比例标头,0),FALSE)*$C$3),0)</f>
        <v>683</v>
      </c>
      <c r="BD174" s="426">
        <f ca="1">ROUND(VLOOKUP($AW174&amp;"初始",$O$3:$AA$63,MATCH(BD$3,$O$3:$AA$3,0),FALSE)+(VLOOKUP($AW174&amp;"最终",$O$3:$AA$63,MATCH(BD$3,$O$3:$AA$3,0),FALSE)-VLOOKUP($AW174&amp;"初始",$O$3:$AA$63,MATCH(BD$3,$O$3:$AA$3,0),FALSE))*$AY174/VLOOKUP(VLOOKUP($AW174,坦克个性化设定!$B$18:$E$48,4,FALSE)&amp;$AX174,坦克属性分配比例,MATCH("升星次数",坦克属性分配比例标头,0),FALSE)*VLOOKUP(VLOOKUP($AW174,坦克个性化设定!$B$18:$E$48,4,FALSE)&amp;$AX174,坦克属性分配比例,MATCH("升星比例",坦克属性分配比例标头,0),FALSE),0)</f>
        <v>862</v>
      </c>
      <c r="BE174" s="426">
        <f ca="1">ROUND(VLOOKUP($AW174&amp;"初始",$O$3:$AA$63,MATCH(BE$3,$O$3:$AA$3,0),FALSE)+(VLOOKUP($AW174&amp;"最终",$O$3:$AA$63,MATCH(BE$3,$O$3:$AA$3,0),FALSE)-VLOOKUP($AW174&amp;"初始",$O$3:$AA$63,MATCH(BE$3,$O$3:$AA$3,0),FALSE))*$AY174/VLOOKUP(VLOOKUP($AW174,坦克个性化设定!$B$18:$E$48,4,FALSE)&amp;$AX174,坦克属性分配比例,MATCH("升星次数",坦克属性分配比例标头,0),FALSE),0)</f>
        <v>266</v>
      </c>
      <c r="BF174" s="462">
        <f>ROUND(VLOOKUP($AW174,$AD$3:$AJ$33,MATCH(BF$3,$AD$3:$AJ$3,0),FALSE)+$AY174/VLOOKUP(VLOOKUP($AW174,坦克个性化设定!$B$18:$E$48,4,FALSE)&amp;$AX174,坦克属性分配比例,MATCH("升星次数",坦克属性分配比例标头,0),FALSE)*VLOOKUP($AW174,$AM$3:$AS$33,MATCH(BF$3,$AM$3:$AS$3,0),FALSE),1)</f>
        <v>45.4</v>
      </c>
      <c r="BG174" s="462">
        <f>ROUND(VLOOKUP($AW174,$AD$3:$AJ$33,MATCH(BG$3,$AD$3:$AJ$3,0),FALSE)+$AY174/VLOOKUP(VLOOKUP($AW174,坦克个性化设定!$B$18:$E$48,4,FALSE)&amp;$AX174,坦克属性分配比例,MATCH("升星次数",坦克属性分配比例标头,0),FALSE)*VLOOKUP($AW174,$AM$3:$AS$33,MATCH(BG$3,$AM$3:$AS$3,0),FALSE),1)</f>
        <v>63.8</v>
      </c>
      <c r="BH174" s="462">
        <f>ROUND(VLOOKUP($AW174,$AD$3:$AJ$33,MATCH(BH$3,$AD$3:$AJ$3,0),FALSE)+$AY174/VLOOKUP(VLOOKUP($AW174,坦克个性化设定!$B$18:$E$48,4,FALSE)&amp;$AX174,坦克属性分配比例,MATCH("升星次数",坦克属性分配比例标头,0),FALSE)*VLOOKUP($AW174,$AM$3:$AS$33,MATCH(BH$3,$AM$3:$AS$3,0),FALSE),1)</f>
        <v>15</v>
      </c>
      <c r="BI174" s="654">
        <f>IF(VLOOKUP(AW174,坦克个性化设定!$B$18:$BB$48,MATCH("装弹类型",坦克个性化设定!$B$18:$BB$18,0),FALSE)="弹夹换弹",0,ROUND(VLOOKUP($AW174,$AD$3:$AJ$33,MATCH("换弹时间",$AD$3:$AJ$3,0),FALSE)-$AY174/VLOOKUP(VLOOKUP($AW174,坦克个性化设定!$B$18:$E$48,4,FALSE)&amp;$AX174,坦克属性分配比例,MATCH("升星次数",坦克属性分配比例标头,0),FALSE)*VLOOKUP($AW174,$AM$3:$AS$33,MATCH("换弹时间",$AM$3:$AS$3,0),FALSE),2))</f>
        <v>3.4</v>
      </c>
      <c r="BJ174" s="462">
        <f>IF(VLOOKUP(AW174,坦克个性化设定!$B$18:$BB$48,MATCH("装弹类型",坦克个性化设定!$B$18:$BB$18,0),FALSE)="弹夹换弹",ROUND(VLOOKUP($AW174,$AD$3:$AJ$33,MATCH("换弹时间",$AD$3:$AJ$3,0),FALSE)-$AY174/VLOOKUP(VLOOKUP($AW174,坦克个性化设定!$B$18:$E$48,4,FALSE)&amp;$AX174,坦克属性分配比例,MATCH("升星次数",坦克属性分配比例标头,0),FALSE)*VLOOKUP($AW174,$AM$3:$AS$33,MATCH("换弹时间",$AM$3:$AS$3,0),FALSE),1),0)</f>
        <v>0</v>
      </c>
      <c r="BK174" s="462">
        <f>ROUND(VLOOKUP($AW174,$AD$3:$AJ$33,MATCH(BK$3,$AD$3:$AJ$3,0),FALSE)+$AY174/VLOOKUP(VLOOKUP($AW174,坦克个性化设定!$B$18:$E$48,4,FALSE)&amp;$AX174,坦克属性分配比例,MATCH("升星次数",坦克属性分配比例标头,0),FALSE)*VLOOKUP($AW174,$AM$3:$AS$33,MATCH(BK$3,$AM$3:$AS$3,0),FALSE),2)</f>
        <v>0</v>
      </c>
      <c r="BL174" s="462">
        <f>ROUND(VLOOKUP($AW174,$AD$3:$AJ$33,MATCH(BL$3,$AD$3:$AJ$3,0),FALSE)-$AY174/VLOOKUP(VLOOKUP($AW174,坦克个性化设定!$B$18:$E$48,4,FALSE)&amp;$AX174,坦克属性分配比例,MATCH("升星次数",坦克属性分配比例标头,0),FALSE)*VLOOKUP($AW174,$AM$3:$AS$33,MATCH(BL$3,$AM$3:$AS$3,0),FALSE),2)</f>
        <v>2</v>
      </c>
    </row>
    <row r="175" spans="47:64" x14ac:dyDescent="0.35">
      <c r="AU175" s="364" t="str">
        <f t="shared" si="22"/>
        <v>彗星0</v>
      </c>
      <c r="AV175" s="183">
        <f>IF(AY174&gt;=VLOOKUP(VLOOKUP(AW174,坦克个性化设定!$B$18:$E$48,4,FALSE)&amp;AX174,坦克属性分配比例,MATCH("升星次数",坦克属性分配比例标头,0),FALSE),AV174+1,AV174)</f>
        <v>16</v>
      </c>
      <c r="AW175" s="131" t="str">
        <f t="shared" si="23"/>
        <v>彗星</v>
      </c>
      <c r="AX175" s="177" t="str">
        <f>VLOOKUP(AW175,坦克个性化细分!$I$3:$J$33,2,FALSE)</f>
        <v>高</v>
      </c>
      <c r="AY175" s="183">
        <f t="shared" si="21"/>
        <v>0</v>
      </c>
      <c r="AZ175" s="486">
        <f ca="1">ROUND(VLOOKUP($AW175&amp;"初始",$O$3:$AA$63,MATCH(AZ$3,$O$3:$AA$3,0),FALSE)+((VLOOKUP($AW175&amp;"最终",$O$3:$AA$63,MATCH(AZ$3,$O$3:$AA$3,0),FALSE)*坦克个性化细分!$C$9-VLOOKUP($AW175&amp;"初始",$O$3:$AA$63,MATCH(AZ$3,$O$3:$AA$3,0),FALSE))-(VLOOKUP($AW175&amp;"最终",$O$3:$AA$63,MATCH(AZ$3,$O$3:$AA$3,0),FALSE)-VLOOKUP($AW175&amp;"初始",$O$3:$AA$63,MATCH(AZ$3,$O$3:$AA$3,0),FALSE))*VLOOKUP(VLOOKUP($AW175,坦克个性化设定!$B$18:$E$48,4,FALSE)&amp;$AX175,坦克属性分配比例,MATCH("部件比例",坦克属性分配比例标头,0),FALSE))*$AY175/VLOOKUP(VLOOKUP($AW175,坦克个性化设定!$B$18:$E$48,4,FALSE)&amp;$AX175,坦克属性分配比例,MATCH("升星次数",坦克属性分配比例标头,0),FALSE),0)</f>
        <v>1434</v>
      </c>
      <c r="BA175" s="426">
        <f ca="1">ROUND(VLOOKUP($AW175&amp;"初始",$O$3:$AA$63,MATCH(BA$3,$O$3:$AA$3,0),FALSE)+(VLOOKUP($AW175&amp;"最终",$O$3:$AA$63,MATCH(BA$3,$O$3:$AA$3,0),FALSE)-VLOOKUP($AW175&amp;"初始",$O$3:$AA$63,MATCH(BA$3,$O$3:$AA$3,0),FALSE))*$AY175/VLOOKUP(VLOOKUP($AW175,坦克个性化设定!$B$18:$E$48,4,FALSE)&amp;$AX175,坦克属性分配比例,MATCH("升星次数",坦克属性分配比例标头,0),FALSE)*VLOOKUP(VLOOKUP($AW175,坦克个性化设定!$B$18:$E$48,4,FALSE)&amp;$AX175,坦克属性分配比例,MATCH("升星比例",坦克属性分配比例标头,0),FALSE),0)</f>
        <v>249</v>
      </c>
      <c r="BB175" s="486">
        <f ca="1">ROUND(VLOOKUP($AW175&amp;"初始",$O$3:$AA$63,MATCH(BB$3,$O$3:$AA$3,0),FALSE)+(VLOOKUP($AW175&amp;"最终",$O$3:$AA$63,MATCH(BB$3,$O$3:$AA$3,0),FALSE)-VLOOKUP($AW175&amp;"初始",$O$3:$AA$63,MATCH(BB$3,$O$3:$AA$3,0),FALSE))*$AY175/VLOOKUP(VLOOKUP($AW175,坦克个性化设定!$B$18:$E$48,4,FALSE)&amp;$AX175,坦克属性分配比例,MATCH("升星次数",坦克属性分配比例标头,0),FALSE)*(VLOOKUP(VLOOKUP($AW175,坦克个性化设定!$B$18:$E$48,4,FALSE)&amp;$AX175,坦克属性分配比例,MATCH("升星比例",坦克属性分配比例标头,0),FALSE)+VLOOKUP(VLOOKUP($AW175,坦克个性化设定!$B$18:$E$48,4,FALSE)&amp;$AX175,坦克属性分配比例,MATCH("部件比例",坦克属性分配比例标头,0),FALSE)*$C$3),0)</f>
        <v>532</v>
      </c>
      <c r="BC175" s="486">
        <f ca="1">ROUND(VLOOKUP($AW175&amp;"初始",$O$3:$AA$63,MATCH(BC$3,$O$3:$AA$3,0),FALSE)+(VLOOKUP($AW175&amp;"最终",$O$3:$AA$63,MATCH(BC$3,$O$3:$AA$3,0),FALSE)-VLOOKUP($AW175&amp;"初始",$O$3:$AA$63,MATCH(BC$3,$O$3:$AA$3,0),FALSE))*$AY175/VLOOKUP(VLOOKUP($AW175,坦克个性化设定!$B$18:$E$48,4,FALSE)&amp;$AX175,坦克属性分配比例,MATCH("升星次数",坦克属性分配比例标头,0),FALSE)*(VLOOKUP(VLOOKUP($AW175,坦克个性化设定!$B$18:$E$48,4,FALSE)&amp;$AX175,坦克属性分配比例,MATCH("升星比例",坦克属性分配比例标头,0),FALSE)+VLOOKUP(VLOOKUP($AW175,坦克个性化设定!$B$18:$E$48,4,FALSE)&amp;$AX175,坦克属性分配比例,MATCH("部件比例",坦克属性分配比例标头,0),FALSE)*$C$3),0)</f>
        <v>399</v>
      </c>
      <c r="BD175" s="426">
        <f ca="1">ROUND(VLOOKUP($AW175&amp;"初始",$O$3:$AA$63,MATCH(BD$3,$O$3:$AA$3,0),FALSE)+(VLOOKUP($AW175&amp;"最终",$O$3:$AA$63,MATCH(BD$3,$O$3:$AA$3,0),FALSE)-VLOOKUP($AW175&amp;"初始",$O$3:$AA$63,MATCH(BD$3,$O$3:$AA$3,0),FALSE))*$AY175/VLOOKUP(VLOOKUP($AW175,坦克个性化设定!$B$18:$E$48,4,FALSE)&amp;$AX175,坦克属性分配比例,MATCH("升星次数",坦克属性分配比例标头,0),FALSE)*VLOOKUP(VLOOKUP($AW175,坦克个性化设定!$B$18:$E$48,4,FALSE)&amp;$AX175,坦克属性分配比例,MATCH("升星比例",坦克属性分配比例标头,0),FALSE),0)</f>
        <v>583</v>
      </c>
      <c r="BE175" s="426">
        <f ca="1">ROUND(VLOOKUP($AW175&amp;"初始",$O$3:$AA$63,MATCH(BE$3,$O$3:$AA$3,0),FALSE)+(VLOOKUP($AW175&amp;"最终",$O$3:$AA$63,MATCH(BE$3,$O$3:$AA$3,0),FALSE)-VLOOKUP($AW175&amp;"初始",$O$3:$AA$63,MATCH(BE$3,$O$3:$AA$3,0),FALSE))*$AY175/VLOOKUP(VLOOKUP($AW175,坦克个性化设定!$B$18:$E$48,4,FALSE)&amp;$AX175,坦克属性分配比例,MATCH("升星次数",坦克属性分配比例标头,0),FALSE),0)</f>
        <v>143</v>
      </c>
      <c r="BF175" s="462">
        <f>ROUND(VLOOKUP($AW175,$AD$3:$AJ$33,MATCH(BF$3,$AD$3:$AJ$3,0),FALSE)+$AY175/VLOOKUP(VLOOKUP($AW175,坦克个性化设定!$B$18:$E$48,4,FALSE)&amp;$AX175,坦克属性分配比例,MATCH("升星次数",坦克属性分配比例标头,0),FALSE)*VLOOKUP($AW175,$AM$3:$AS$33,MATCH(BF$3,$AM$3:$AS$3,0),FALSE),1)</f>
        <v>37.4</v>
      </c>
      <c r="BG175" s="462">
        <f>ROUND(VLOOKUP($AW175,$AD$3:$AJ$33,MATCH(BG$3,$AD$3:$AJ$3,0),FALSE)+$AY175/VLOOKUP(VLOOKUP($AW175,坦克个性化设定!$B$18:$E$48,4,FALSE)&amp;$AX175,坦克属性分配比例,MATCH("升星次数",坦克属性分配比例标头,0),FALSE)*VLOOKUP($AW175,$AM$3:$AS$33,MATCH(BG$3,$AM$3:$AS$3,0),FALSE),1)</f>
        <v>52.5</v>
      </c>
      <c r="BH175" s="462">
        <f>ROUND(VLOOKUP($AW175,$AD$3:$AJ$33,MATCH(BH$3,$AD$3:$AJ$3,0),FALSE)+$AY175/VLOOKUP(VLOOKUP($AW175,坦克个性化设定!$B$18:$E$48,4,FALSE)&amp;$AX175,坦克属性分配比例,MATCH("升星次数",坦克属性分配比例标头,0),FALSE)*VLOOKUP($AW175,$AM$3:$AS$33,MATCH(BH$3,$AM$3:$AS$3,0),FALSE),1)</f>
        <v>11.6</v>
      </c>
      <c r="BI175" s="654">
        <f>IF(VLOOKUP(AW175,坦克个性化设定!$B$18:$BB$48,MATCH("装弹类型",坦克个性化设定!$B$18:$BB$18,0),FALSE)="弹夹换弹",0,ROUND(VLOOKUP($AW175,$AD$3:$AJ$33,MATCH("换弹时间",$AD$3:$AJ$3,0),FALSE)-$AY175/VLOOKUP(VLOOKUP($AW175,坦克个性化设定!$B$18:$E$48,4,FALSE)&amp;$AX175,坦克属性分配比例,MATCH("升星次数",坦克属性分配比例标头,0),FALSE)*VLOOKUP($AW175,$AM$3:$AS$33,MATCH("换弹时间",$AM$3:$AS$3,0),FALSE),2))</f>
        <v>4.5</v>
      </c>
      <c r="BJ175" s="462">
        <f>IF(VLOOKUP(AW175,坦克个性化设定!$B$18:$BB$48,MATCH("装弹类型",坦克个性化设定!$B$18:$BB$18,0),FALSE)="弹夹换弹",ROUND(VLOOKUP($AW175,$AD$3:$AJ$33,MATCH("换弹时间",$AD$3:$AJ$3,0),FALSE)-$AY175/VLOOKUP(VLOOKUP($AW175,坦克个性化设定!$B$18:$E$48,4,FALSE)&amp;$AX175,坦克属性分配比例,MATCH("升星次数",坦克属性分配比例标头,0),FALSE)*VLOOKUP($AW175,$AM$3:$AS$33,MATCH("换弹时间",$AM$3:$AS$3,0),FALSE),1),0)</f>
        <v>0</v>
      </c>
      <c r="BK175" s="462">
        <f>ROUND(VLOOKUP($AW175,$AD$3:$AJ$33,MATCH(BK$3,$AD$3:$AJ$3,0),FALSE)+$AY175/VLOOKUP(VLOOKUP($AW175,坦克个性化设定!$B$18:$E$48,4,FALSE)&amp;$AX175,坦克属性分配比例,MATCH("升星次数",坦克属性分配比例标头,0),FALSE)*VLOOKUP($AW175,$AM$3:$AS$33,MATCH(BK$3,$AM$3:$AS$3,0),FALSE),2)</f>
        <v>0</v>
      </c>
      <c r="BL175" s="462">
        <f>ROUND(VLOOKUP($AW175,$AD$3:$AJ$33,MATCH(BL$3,$AD$3:$AJ$3,0),FALSE)-$AY175/VLOOKUP(VLOOKUP($AW175,坦克个性化设定!$B$18:$E$48,4,FALSE)&amp;$AX175,坦克属性分配比例,MATCH("升星次数",坦克属性分配比例标头,0),FALSE)*VLOOKUP($AW175,$AM$3:$AS$33,MATCH(BL$3,$AM$3:$AS$3,0),FALSE),2)</f>
        <v>2.4</v>
      </c>
    </row>
    <row r="176" spans="47:64" x14ac:dyDescent="0.35">
      <c r="AU176" s="364" t="str">
        <f t="shared" si="22"/>
        <v>彗星1</v>
      </c>
      <c r="AV176" s="183">
        <f>IF(AY175&gt;=VLOOKUP(VLOOKUP(AW175,坦克个性化设定!$B$18:$E$48,4,FALSE)&amp;AX175,坦克属性分配比例,MATCH("升星次数",坦克属性分配比例标头,0),FALSE),AV175+1,AV175)</f>
        <v>16</v>
      </c>
      <c r="AW176" s="131" t="str">
        <f t="shared" si="23"/>
        <v>彗星</v>
      </c>
      <c r="AX176" s="177" t="str">
        <f>VLOOKUP(AW176,坦克个性化细分!$I$3:$J$33,2,FALSE)</f>
        <v>高</v>
      </c>
      <c r="AY176" s="183">
        <f t="shared" si="21"/>
        <v>1</v>
      </c>
      <c r="AZ176" s="486">
        <f ca="1">ROUND(VLOOKUP($AW176&amp;"初始",$O$3:$AA$63,MATCH(AZ$3,$O$3:$AA$3,0),FALSE)+((VLOOKUP($AW176&amp;"最终",$O$3:$AA$63,MATCH(AZ$3,$O$3:$AA$3,0),FALSE)*坦克个性化细分!$C$9-VLOOKUP($AW176&amp;"初始",$O$3:$AA$63,MATCH(AZ$3,$O$3:$AA$3,0),FALSE))-(VLOOKUP($AW176&amp;"最终",$O$3:$AA$63,MATCH(AZ$3,$O$3:$AA$3,0),FALSE)-VLOOKUP($AW176&amp;"初始",$O$3:$AA$63,MATCH(AZ$3,$O$3:$AA$3,0),FALSE))*VLOOKUP(VLOOKUP($AW176,坦克个性化设定!$B$18:$E$48,4,FALSE)&amp;$AX176,坦克属性分配比例,MATCH("部件比例",坦克属性分配比例标头,0),FALSE))*$AY176/VLOOKUP(VLOOKUP($AW176,坦克个性化设定!$B$18:$E$48,4,FALSE)&amp;$AX176,坦克属性分配比例,MATCH("升星次数",坦克属性分配比例标头,0),FALSE),0)</f>
        <v>1555</v>
      </c>
      <c r="BA176" s="426">
        <f ca="1">ROUND(VLOOKUP($AW176&amp;"初始",$O$3:$AA$63,MATCH(BA$3,$O$3:$AA$3,0),FALSE)+(VLOOKUP($AW176&amp;"最终",$O$3:$AA$63,MATCH(BA$3,$O$3:$AA$3,0),FALSE)-VLOOKUP($AW176&amp;"初始",$O$3:$AA$63,MATCH(BA$3,$O$3:$AA$3,0),FALSE))*$AY176/VLOOKUP(VLOOKUP($AW176,坦克个性化设定!$B$18:$E$48,4,FALSE)&amp;$AX176,坦克属性分配比例,MATCH("升星次数",坦克属性分配比例标头,0),FALSE)*VLOOKUP(VLOOKUP($AW176,坦克个性化设定!$B$18:$E$48,4,FALSE)&amp;$AX176,坦克属性分配比例,MATCH("升星比例",坦克属性分配比例标头,0),FALSE),0)</f>
        <v>260</v>
      </c>
      <c r="BB176" s="486">
        <f ca="1">ROUND(VLOOKUP($AW176&amp;"初始",$O$3:$AA$63,MATCH(BB$3,$O$3:$AA$3,0),FALSE)+(VLOOKUP($AW176&amp;"最终",$O$3:$AA$63,MATCH(BB$3,$O$3:$AA$3,0),FALSE)-VLOOKUP($AW176&amp;"初始",$O$3:$AA$63,MATCH(BB$3,$O$3:$AA$3,0),FALSE))*$AY176/VLOOKUP(VLOOKUP($AW176,坦克个性化设定!$B$18:$E$48,4,FALSE)&amp;$AX176,坦克属性分配比例,MATCH("升星次数",坦克属性分配比例标头,0),FALSE)*(VLOOKUP(VLOOKUP($AW176,坦克个性化设定!$B$18:$E$48,4,FALSE)&amp;$AX176,坦克属性分配比例,MATCH("升星比例",坦克属性分配比例标头,0),FALSE)+VLOOKUP(VLOOKUP($AW176,坦克个性化设定!$B$18:$E$48,4,FALSE)&amp;$AX176,坦克属性分配比例,MATCH("部件比例",坦克属性分配比例标头,0),FALSE)*$C$3),0)</f>
        <v>563</v>
      </c>
      <c r="BC176" s="486">
        <f ca="1">ROUND(VLOOKUP($AW176&amp;"初始",$O$3:$AA$63,MATCH(BC$3,$O$3:$AA$3,0),FALSE)+(VLOOKUP($AW176&amp;"最终",$O$3:$AA$63,MATCH(BC$3,$O$3:$AA$3,0),FALSE)-VLOOKUP($AW176&amp;"初始",$O$3:$AA$63,MATCH(BC$3,$O$3:$AA$3,0),FALSE))*$AY176/VLOOKUP(VLOOKUP($AW176,坦克个性化设定!$B$18:$E$48,4,FALSE)&amp;$AX176,坦克属性分配比例,MATCH("升星次数",坦克属性分配比例标头,0),FALSE)*(VLOOKUP(VLOOKUP($AW176,坦克个性化设定!$B$18:$E$48,4,FALSE)&amp;$AX176,坦克属性分配比例,MATCH("升星比例",坦克属性分配比例标头,0),FALSE)+VLOOKUP(VLOOKUP($AW176,坦克个性化设定!$B$18:$E$48,4,FALSE)&amp;$AX176,坦克属性分配比例,MATCH("部件比例",坦克属性分配比例标头,0),FALSE)*$C$3),0)</f>
        <v>423</v>
      </c>
      <c r="BD176" s="426">
        <f ca="1">ROUND(VLOOKUP($AW176&amp;"初始",$O$3:$AA$63,MATCH(BD$3,$O$3:$AA$3,0),FALSE)+(VLOOKUP($AW176&amp;"最终",$O$3:$AA$63,MATCH(BD$3,$O$3:$AA$3,0),FALSE)-VLOOKUP($AW176&amp;"初始",$O$3:$AA$63,MATCH(BD$3,$O$3:$AA$3,0),FALSE))*$AY176/VLOOKUP(VLOOKUP($AW176,坦克个性化设定!$B$18:$E$48,4,FALSE)&amp;$AX176,坦克属性分配比例,MATCH("升星次数",坦克属性分配比例标头,0),FALSE)*VLOOKUP(VLOOKUP($AW176,坦克个性化设定!$B$18:$E$48,4,FALSE)&amp;$AX176,坦克属性分配比例,MATCH("升星比例",坦克属性分配比例标头,0),FALSE),0)</f>
        <v>607</v>
      </c>
      <c r="BE176" s="426">
        <f ca="1">ROUND(VLOOKUP($AW176&amp;"初始",$O$3:$AA$63,MATCH(BE$3,$O$3:$AA$3,0),FALSE)+(VLOOKUP($AW176&amp;"最终",$O$3:$AA$63,MATCH(BE$3,$O$3:$AA$3,0),FALSE)-VLOOKUP($AW176&amp;"初始",$O$3:$AA$63,MATCH(BE$3,$O$3:$AA$3,0),FALSE))*$AY176/VLOOKUP(VLOOKUP($AW176,坦克个性化设定!$B$18:$E$48,4,FALSE)&amp;$AX176,坦克属性分配比例,MATCH("升星次数",坦克属性分配比例标头,0),FALSE),0)</f>
        <v>153</v>
      </c>
      <c r="BF176" s="462">
        <f>ROUND(VLOOKUP($AW176,$AD$3:$AJ$33,MATCH(BF$3,$AD$3:$AJ$3,0),FALSE)+$AY176/VLOOKUP(VLOOKUP($AW176,坦克个性化设定!$B$18:$E$48,4,FALSE)&amp;$AX176,坦克属性分配比例,MATCH("升星次数",坦克属性分配比例标头,0),FALSE)*VLOOKUP($AW176,$AM$3:$AS$33,MATCH(BF$3,$AM$3:$AS$3,0),FALSE),1)</f>
        <v>38.1</v>
      </c>
      <c r="BG176" s="462">
        <f>ROUND(VLOOKUP($AW176,$AD$3:$AJ$33,MATCH(BG$3,$AD$3:$AJ$3,0),FALSE)+$AY176/VLOOKUP(VLOOKUP($AW176,坦克个性化设定!$B$18:$E$48,4,FALSE)&amp;$AX176,坦克属性分配比例,MATCH("升星次数",坦克属性分配比例标头,0),FALSE)*VLOOKUP($AW176,$AM$3:$AS$33,MATCH(BG$3,$AM$3:$AS$3,0),FALSE),1)</f>
        <v>53.4</v>
      </c>
      <c r="BH176" s="462">
        <f>ROUND(VLOOKUP($AW176,$AD$3:$AJ$33,MATCH(BH$3,$AD$3:$AJ$3,0),FALSE)+$AY176/VLOOKUP(VLOOKUP($AW176,坦克个性化设定!$B$18:$E$48,4,FALSE)&amp;$AX176,坦克属性分配比例,MATCH("升星次数",坦克属性分配比例标头,0),FALSE)*VLOOKUP($AW176,$AM$3:$AS$33,MATCH(BH$3,$AM$3:$AS$3,0),FALSE),1)</f>
        <v>11.9</v>
      </c>
      <c r="BI176" s="654">
        <f>IF(VLOOKUP(AW176,坦克个性化设定!$B$18:$BB$48,MATCH("装弹类型",坦克个性化设定!$B$18:$BB$18,0),FALSE)="弹夹换弹",0,ROUND(VLOOKUP($AW176,$AD$3:$AJ$33,MATCH("换弹时间",$AD$3:$AJ$3,0),FALSE)-$AY176/VLOOKUP(VLOOKUP($AW176,坦克个性化设定!$B$18:$E$48,4,FALSE)&amp;$AX176,坦克属性分配比例,MATCH("升星次数",坦克属性分配比例标头,0),FALSE)*VLOOKUP($AW176,$AM$3:$AS$33,MATCH("换弹时间",$AM$3:$AS$3,0),FALSE),2))</f>
        <v>4.42</v>
      </c>
      <c r="BJ176" s="462">
        <f>IF(VLOOKUP(AW176,坦克个性化设定!$B$18:$BB$48,MATCH("装弹类型",坦克个性化设定!$B$18:$BB$18,0),FALSE)="弹夹换弹",ROUND(VLOOKUP($AW176,$AD$3:$AJ$33,MATCH("换弹时间",$AD$3:$AJ$3,0),FALSE)-$AY176/VLOOKUP(VLOOKUP($AW176,坦克个性化设定!$B$18:$E$48,4,FALSE)&amp;$AX176,坦克属性分配比例,MATCH("升星次数",坦克属性分配比例标头,0),FALSE)*VLOOKUP($AW176,$AM$3:$AS$33,MATCH("换弹时间",$AM$3:$AS$3,0),FALSE),1),0)</f>
        <v>0</v>
      </c>
      <c r="BK176" s="462">
        <f>ROUND(VLOOKUP($AW176,$AD$3:$AJ$33,MATCH(BK$3,$AD$3:$AJ$3,0),FALSE)+$AY176/VLOOKUP(VLOOKUP($AW176,坦克个性化设定!$B$18:$E$48,4,FALSE)&amp;$AX176,坦克属性分配比例,MATCH("升星次数",坦克属性分配比例标头,0),FALSE)*VLOOKUP($AW176,$AM$3:$AS$33,MATCH(BK$3,$AM$3:$AS$3,0),FALSE),2)</f>
        <v>0</v>
      </c>
      <c r="BL176" s="462">
        <f>ROUND(VLOOKUP($AW176,$AD$3:$AJ$33,MATCH(BL$3,$AD$3:$AJ$3,0),FALSE)-$AY176/VLOOKUP(VLOOKUP($AW176,坦克个性化设定!$B$18:$E$48,4,FALSE)&amp;$AX176,坦克属性分配比例,MATCH("升星次数",坦克属性分配比例标头,0),FALSE)*VLOOKUP($AW176,$AM$3:$AS$33,MATCH(BL$3,$AM$3:$AS$3,0),FALSE),2)</f>
        <v>2.37</v>
      </c>
    </row>
    <row r="177" spans="47:64" x14ac:dyDescent="0.35">
      <c r="AU177" s="364" t="str">
        <f t="shared" si="22"/>
        <v>彗星2</v>
      </c>
      <c r="AV177" s="183">
        <f>IF(AY176&gt;=VLOOKUP(VLOOKUP(AW176,坦克个性化设定!$B$18:$E$48,4,FALSE)&amp;AX176,坦克属性分配比例,MATCH("升星次数",坦克属性分配比例标头,0),FALSE),AV176+1,AV176)</f>
        <v>16</v>
      </c>
      <c r="AW177" s="131" t="str">
        <f t="shared" si="23"/>
        <v>彗星</v>
      </c>
      <c r="AX177" s="177" t="str">
        <f>VLOOKUP(AW177,坦克个性化细分!$I$3:$J$33,2,FALSE)</f>
        <v>高</v>
      </c>
      <c r="AY177" s="183">
        <f t="shared" si="21"/>
        <v>2</v>
      </c>
      <c r="AZ177" s="486">
        <f ca="1">ROUND(VLOOKUP($AW177&amp;"初始",$O$3:$AA$63,MATCH(AZ$3,$O$3:$AA$3,0),FALSE)+((VLOOKUP($AW177&amp;"最终",$O$3:$AA$63,MATCH(AZ$3,$O$3:$AA$3,0),FALSE)*坦克个性化细分!$C$9-VLOOKUP($AW177&amp;"初始",$O$3:$AA$63,MATCH(AZ$3,$O$3:$AA$3,0),FALSE))-(VLOOKUP($AW177&amp;"最终",$O$3:$AA$63,MATCH(AZ$3,$O$3:$AA$3,0),FALSE)-VLOOKUP($AW177&amp;"初始",$O$3:$AA$63,MATCH(AZ$3,$O$3:$AA$3,0),FALSE))*VLOOKUP(VLOOKUP($AW177,坦克个性化设定!$B$18:$E$48,4,FALSE)&amp;$AX177,坦克属性分配比例,MATCH("部件比例",坦克属性分配比例标头,0),FALSE))*$AY177/VLOOKUP(VLOOKUP($AW177,坦克个性化设定!$B$18:$E$48,4,FALSE)&amp;$AX177,坦克属性分配比例,MATCH("升星次数",坦克属性分配比例标头,0),FALSE),0)</f>
        <v>1676</v>
      </c>
      <c r="BA177" s="426">
        <f ca="1">ROUND(VLOOKUP($AW177&amp;"初始",$O$3:$AA$63,MATCH(BA$3,$O$3:$AA$3,0),FALSE)+(VLOOKUP($AW177&amp;"最终",$O$3:$AA$63,MATCH(BA$3,$O$3:$AA$3,0),FALSE)-VLOOKUP($AW177&amp;"初始",$O$3:$AA$63,MATCH(BA$3,$O$3:$AA$3,0),FALSE))*$AY177/VLOOKUP(VLOOKUP($AW177,坦克个性化设定!$B$18:$E$48,4,FALSE)&amp;$AX177,坦克属性分配比例,MATCH("升星次数",坦克属性分配比例标头,0),FALSE)*VLOOKUP(VLOOKUP($AW177,坦克个性化设定!$B$18:$E$48,4,FALSE)&amp;$AX177,坦克属性分配比例,MATCH("升星比例",坦克属性分配比例标头,0),FALSE),0)</f>
        <v>270</v>
      </c>
      <c r="BB177" s="486">
        <f ca="1">ROUND(VLOOKUP($AW177&amp;"初始",$O$3:$AA$63,MATCH(BB$3,$O$3:$AA$3,0),FALSE)+(VLOOKUP($AW177&amp;"最终",$O$3:$AA$63,MATCH(BB$3,$O$3:$AA$3,0),FALSE)-VLOOKUP($AW177&amp;"初始",$O$3:$AA$63,MATCH(BB$3,$O$3:$AA$3,0),FALSE))*$AY177/VLOOKUP(VLOOKUP($AW177,坦克个性化设定!$B$18:$E$48,4,FALSE)&amp;$AX177,坦克属性分配比例,MATCH("升星次数",坦克属性分配比例标头,0),FALSE)*(VLOOKUP(VLOOKUP($AW177,坦克个性化设定!$B$18:$E$48,4,FALSE)&amp;$AX177,坦克属性分配比例,MATCH("升星比例",坦克属性分配比例标头,0),FALSE)+VLOOKUP(VLOOKUP($AW177,坦克个性化设定!$B$18:$E$48,4,FALSE)&amp;$AX177,坦克属性分配比例,MATCH("部件比例",坦克属性分配比例标头,0),FALSE)*$C$3),0)</f>
        <v>595</v>
      </c>
      <c r="BC177" s="486">
        <f ca="1">ROUND(VLOOKUP($AW177&amp;"初始",$O$3:$AA$63,MATCH(BC$3,$O$3:$AA$3,0),FALSE)+(VLOOKUP($AW177&amp;"最终",$O$3:$AA$63,MATCH(BC$3,$O$3:$AA$3,0),FALSE)-VLOOKUP($AW177&amp;"初始",$O$3:$AA$63,MATCH(BC$3,$O$3:$AA$3,0),FALSE))*$AY177/VLOOKUP(VLOOKUP($AW177,坦克个性化设定!$B$18:$E$48,4,FALSE)&amp;$AX177,坦克属性分配比例,MATCH("升星次数",坦克属性分配比例标头,0),FALSE)*(VLOOKUP(VLOOKUP($AW177,坦克个性化设定!$B$18:$E$48,4,FALSE)&amp;$AX177,坦克属性分配比例,MATCH("升星比例",坦克属性分配比例标头,0),FALSE)+VLOOKUP(VLOOKUP($AW177,坦克个性化设定!$B$18:$E$48,4,FALSE)&amp;$AX177,坦克属性分配比例,MATCH("部件比例",坦克属性分配比例标头,0),FALSE)*$C$3),0)</f>
        <v>446</v>
      </c>
      <c r="BD177" s="426">
        <f ca="1">ROUND(VLOOKUP($AW177&amp;"初始",$O$3:$AA$63,MATCH(BD$3,$O$3:$AA$3,0),FALSE)+(VLOOKUP($AW177&amp;"最终",$O$3:$AA$63,MATCH(BD$3,$O$3:$AA$3,0),FALSE)-VLOOKUP($AW177&amp;"初始",$O$3:$AA$63,MATCH(BD$3,$O$3:$AA$3,0),FALSE))*$AY177/VLOOKUP(VLOOKUP($AW177,坦克个性化设定!$B$18:$E$48,4,FALSE)&amp;$AX177,坦克属性分配比例,MATCH("升星次数",坦克属性分配比例标头,0),FALSE)*VLOOKUP(VLOOKUP($AW177,坦克个性化设定!$B$18:$E$48,4,FALSE)&amp;$AX177,坦克属性分配比例,MATCH("升星比例",坦克属性分配比例标头,0),FALSE),0)</f>
        <v>632</v>
      </c>
      <c r="BE177" s="426">
        <f ca="1">ROUND(VLOOKUP($AW177&amp;"初始",$O$3:$AA$63,MATCH(BE$3,$O$3:$AA$3,0),FALSE)+(VLOOKUP($AW177&amp;"最终",$O$3:$AA$63,MATCH(BE$3,$O$3:$AA$3,0),FALSE)-VLOOKUP($AW177&amp;"初始",$O$3:$AA$63,MATCH(BE$3,$O$3:$AA$3,0),FALSE))*$AY177/VLOOKUP(VLOOKUP($AW177,坦克个性化设定!$B$18:$E$48,4,FALSE)&amp;$AX177,坦克属性分配比例,MATCH("升星次数",坦克属性分配比例标头,0),FALSE),0)</f>
        <v>163</v>
      </c>
      <c r="BF177" s="462">
        <f>ROUND(VLOOKUP($AW177,$AD$3:$AJ$33,MATCH(BF$3,$AD$3:$AJ$3,0),FALSE)+$AY177/VLOOKUP(VLOOKUP($AW177,坦克个性化设定!$B$18:$E$48,4,FALSE)&amp;$AX177,坦克属性分配比例,MATCH("升星次数",坦克属性分配比例标头,0),FALSE)*VLOOKUP($AW177,$AM$3:$AS$33,MATCH(BF$3,$AM$3:$AS$3,0),FALSE),1)</f>
        <v>38.700000000000003</v>
      </c>
      <c r="BG177" s="462">
        <f>ROUND(VLOOKUP($AW177,$AD$3:$AJ$33,MATCH(BG$3,$AD$3:$AJ$3,0),FALSE)+$AY177/VLOOKUP(VLOOKUP($AW177,坦克个性化设定!$B$18:$E$48,4,FALSE)&amp;$AX177,坦克属性分配比例,MATCH("升星次数",坦克属性分配比例标头,0),FALSE)*VLOOKUP($AW177,$AM$3:$AS$33,MATCH(BG$3,$AM$3:$AS$3,0),FALSE),1)</f>
        <v>54.4</v>
      </c>
      <c r="BH177" s="462">
        <f>ROUND(VLOOKUP($AW177,$AD$3:$AJ$33,MATCH(BH$3,$AD$3:$AJ$3,0),FALSE)+$AY177/VLOOKUP(VLOOKUP($AW177,坦克个性化设定!$B$18:$E$48,4,FALSE)&amp;$AX177,坦克属性分配比例,MATCH("升星次数",坦克属性分配比例标头,0),FALSE)*VLOOKUP($AW177,$AM$3:$AS$33,MATCH(BH$3,$AM$3:$AS$3,0),FALSE),1)</f>
        <v>12.1</v>
      </c>
      <c r="BI177" s="654">
        <f>IF(VLOOKUP(AW177,坦克个性化设定!$B$18:$BB$48,MATCH("装弹类型",坦克个性化设定!$B$18:$BB$18,0),FALSE)="弹夹换弹",0,ROUND(VLOOKUP($AW177,$AD$3:$AJ$33,MATCH("换弹时间",$AD$3:$AJ$3,0),FALSE)-$AY177/VLOOKUP(VLOOKUP($AW177,坦克个性化设定!$B$18:$E$48,4,FALSE)&amp;$AX177,坦克属性分配比例,MATCH("升星次数",坦克属性分配比例标头,0),FALSE)*VLOOKUP($AW177,$AM$3:$AS$33,MATCH("换弹时间",$AM$3:$AS$3,0),FALSE),2))</f>
        <v>4.34</v>
      </c>
      <c r="BJ177" s="462">
        <f>IF(VLOOKUP(AW177,坦克个性化设定!$B$18:$BB$48,MATCH("装弹类型",坦克个性化设定!$B$18:$BB$18,0),FALSE)="弹夹换弹",ROUND(VLOOKUP($AW177,$AD$3:$AJ$33,MATCH("换弹时间",$AD$3:$AJ$3,0),FALSE)-$AY177/VLOOKUP(VLOOKUP($AW177,坦克个性化设定!$B$18:$E$48,4,FALSE)&amp;$AX177,坦克属性分配比例,MATCH("升星次数",坦克属性分配比例标头,0),FALSE)*VLOOKUP($AW177,$AM$3:$AS$33,MATCH("换弹时间",$AM$3:$AS$3,0),FALSE),1),0)</f>
        <v>0</v>
      </c>
      <c r="BK177" s="462">
        <f>ROUND(VLOOKUP($AW177,$AD$3:$AJ$33,MATCH(BK$3,$AD$3:$AJ$3,0),FALSE)+$AY177/VLOOKUP(VLOOKUP($AW177,坦克个性化设定!$B$18:$E$48,4,FALSE)&amp;$AX177,坦克属性分配比例,MATCH("升星次数",坦克属性分配比例标头,0),FALSE)*VLOOKUP($AW177,$AM$3:$AS$33,MATCH(BK$3,$AM$3:$AS$3,0),FALSE),2)</f>
        <v>0</v>
      </c>
      <c r="BL177" s="462">
        <f>ROUND(VLOOKUP($AW177,$AD$3:$AJ$33,MATCH(BL$3,$AD$3:$AJ$3,0),FALSE)-$AY177/VLOOKUP(VLOOKUP($AW177,坦克个性化设定!$B$18:$E$48,4,FALSE)&amp;$AX177,坦克属性分配比例,MATCH("升星次数",坦克属性分配比例标头,0),FALSE)*VLOOKUP($AW177,$AM$3:$AS$33,MATCH(BL$3,$AM$3:$AS$3,0),FALSE),2)</f>
        <v>2.34</v>
      </c>
    </row>
    <row r="178" spans="47:64" x14ac:dyDescent="0.35">
      <c r="AU178" s="364" t="str">
        <f t="shared" si="22"/>
        <v>彗星3</v>
      </c>
      <c r="AV178" s="183">
        <f>IF(AY177&gt;=VLOOKUP(VLOOKUP(AW177,坦克个性化设定!$B$18:$E$48,4,FALSE)&amp;AX177,坦克属性分配比例,MATCH("升星次数",坦克属性分配比例标头,0),FALSE),AV177+1,AV177)</f>
        <v>16</v>
      </c>
      <c r="AW178" s="131" t="str">
        <f t="shared" si="23"/>
        <v>彗星</v>
      </c>
      <c r="AX178" s="177" t="str">
        <f>VLOOKUP(AW178,坦克个性化细分!$I$3:$J$33,2,FALSE)</f>
        <v>高</v>
      </c>
      <c r="AY178" s="183">
        <f t="shared" si="21"/>
        <v>3</v>
      </c>
      <c r="AZ178" s="486">
        <f ca="1">ROUND(VLOOKUP($AW178&amp;"初始",$O$3:$AA$63,MATCH(AZ$3,$O$3:$AA$3,0),FALSE)+((VLOOKUP($AW178&amp;"最终",$O$3:$AA$63,MATCH(AZ$3,$O$3:$AA$3,0),FALSE)*坦克个性化细分!$C$9-VLOOKUP($AW178&amp;"初始",$O$3:$AA$63,MATCH(AZ$3,$O$3:$AA$3,0),FALSE))-(VLOOKUP($AW178&amp;"最终",$O$3:$AA$63,MATCH(AZ$3,$O$3:$AA$3,0),FALSE)-VLOOKUP($AW178&amp;"初始",$O$3:$AA$63,MATCH(AZ$3,$O$3:$AA$3,0),FALSE))*VLOOKUP(VLOOKUP($AW178,坦克个性化设定!$B$18:$E$48,4,FALSE)&amp;$AX178,坦克属性分配比例,MATCH("部件比例",坦克属性分配比例标头,0),FALSE))*$AY178/VLOOKUP(VLOOKUP($AW178,坦克个性化设定!$B$18:$E$48,4,FALSE)&amp;$AX178,坦克属性分配比例,MATCH("升星次数",坦克属性分配比例标头,0),FALSE),0)</f>
        <v>1796</v>
      </c>
      <c r="BA178" s="426">
        <f ca="1">ROUND(VLOOKUP($AW178&amp;"初始",$O$3:$AA$63,MATCH(BA$3,$O$3:$AA$3,0),FALSE)+(VLOOKUP($AW178&amp;"最终",$O$3:$AA$63,MATCH(BA$3,$O$3:$AA$3,0),FALSE)-VLOOKUP($AW178&amp;"初始",$O$3:$AA$63,MATCH(BA$3,$O$3:$AA$3,0),FALSE))*$AY178/VLOOKUP(VLOOKUP($AW178,坦克个性化设定!$B$18:$E$48,4,FALSE)&amp;$AX178,坦克属性分配比例,MATCH("升星次数",坦克属性分配比例标头,0),FALSE)*VLOOKUP(VLOOKUP($AW178,坦克个性化设定!$B$18:$E$48,4,FALSE)&amp;$AX178,坦克属性分配比例,MATCH("升星比例",坦克属性分配比例标头,0),FALSE),0)</f>
        <v>280</v>
      </c>
      <c r="BB178" s="486">
        <f ca="1">ROUND(VLOOKUP($AW178&amp;"初始",$O$3:$AA$63,MATCH(BB$3,$O$3:$AA$3,0),FALSE)+(VLOOKUP($AW178&amp;"最终",$O$3:$AA$63,MATCH(BB$3,$O$3:$AA$3,0),FALSE)-VLOOKUP($AW178&amp;"初始",$O$3:$AA$63,MATCH(BB$3,$O$3:$AA$3,0),FALSE))*$AY178/VLOOKUP(VLOOKUP($AW178,坦克个性化设定!$B$18:$E$48,4,FALSE)&amp;$AX178,坦克属性分配比例,MATCH("升星次数",坦克属性分配比例标头,0),FALSE)*(VLOOKUP(VLOOKUP($AW178,坦克个性化设定!$B$18:$E$48,4,FALSE)&amp;$AX178,坦克属性分配比例,MATCH("升星比例",坦克属性分配比例标头,0),FALSE)+VLOOKUP(VLOOKUP($AW178,坦克个性化设定!$B$18:$E$48,4,FALSE)&amp;$AX178,坦克属性分配比例,MATCH("部件比例",坦克属性分配比例标头,0),FALSE)*$C$3),0)</f>
        <v>626</v>
      </c>
      <c r="BC178" s="486">
        <f ca="1">ROUND(VLOOKUP($AW178&amp;"初始",$O$3:$AA$63,MATCH(BC$3,$O$3:$AA$3,0),FALSE)+(VLOOKUP($AW178&amp;"最终",$O$3:$AA$63,MATCH(BC$3,$O$3:$AA$3,0),FALSE)-VLOOKUP($AW178&amp;"初始",$O$3:$AA$63,MATCH(BC$3,$O$3:$AA$3,0),FALSE))*$AY178/VLOOKUP(VLOOKUP($AW178,坦克个性化设定!$B$18:$E$48,4,FALSE)&amp;$AX178,坦克属性分配比例,MATCH("升星次数",坦克属性分配比例标头,0),FALSE)*(VLOOKUP(VLOOKUP($AW178,坦克个性化设定!$B$18:$E$48,4,FALSE)&amp;$AX178,坦克属性分配比例,MATCH("升星比例",坦克属性分配比例标头,0),FALSE)+VLOOKUP(VLOOKUP($AW178,坦克个性化设定!$B$18:$E$48,4,FALSE)&amp;$AX178,坦克属性分配比例,MATCH("部件比例",坦克属性分配比例标头,0),FALSE)*$C$3),0)</f>
        <v>470</v>
      </c>
      <c r="BD178" s="426">
        <f ca="1">ROUND(VLOOKUP($AW178&amp;"初始",$O$3:$AA$63,MATCH(BD$3,$O$3:$AA$3,0),FALSE)+(VLOOKUP($AW178&amp;"最终",$O$3:$AA$63,MATCH(BD$3,$O$3:$AA$3,0),FALSE)-VLOOKUP($AW178&amp;"初始",$O$3:$AA$63,MATCH(BD$3,$O$3:$AA$3,0),FALSE))*$AY178/VLOOKUP(VLOOKUP($AW178,坦克个性化设定!$B$18:$E$48,4,FALSE)&amp;$AX178,坦克属性分配比例,MATCH("升星次数",坦克属性分配比例标头,0),FALSE)*VLOOKUP(VLOOKUP($AW178,坦克个性化设定!$B$18:$E$48,4,FALSE)&amp;$AX178,坦克属性分配比例,MATCH("升星比例",坦克属性分配比例标头,0),FALSE),0)</f>
        <v>656</v>
      </c>
      <c r="BE178" s="426">
        <f ca="1">ROUND(VLOOKUP($AW178&amp;"初始",$O$3:$AA$63,MATCH(BE$3,$O$3:$AA$3,0),FALSE)+(VLOOKUP($AW178&amp;"最终",$O$3:$AA$63,MATCH(BE$3,$O$3:$AA$3,0),FALSE)-VLOOKUP($AW178&amp;"初始",$O$3:$AA$63,MATCH(BE$3,$O$3:$AA$3,0),FALSE))*$AY178/VLOOKUP(VLOOKUP($AW178,坦克个性化设定!$B$18:$E$48,4,FALSE)&amp;$AX178,坦克属性分配比例,MATCH("升星次数",坦克属性分配比例标头,0),FALSE),0)</f>
        <v>173</v>
      </c>
      <c r="BF178" s="462">
        <f>ROUND(VLOOKUP($AW178,$AD$3:$AJ$33,MATCH(BF$3,$AD$3:$AJ$3,0),FALSE)+$AY178/VLOOKUP(VLOOKUP($AW178,坦克个性化设定!$B$18:$E$48,4,FALSE)&amp;$AX178,坦克属性分配比例,MATCH("升星次数",坦克属性分配比例标头,0),FALSE)*VLOOKUP($AW178,$AM$3:$AS$33,MATCH(BF$3,$AM$3:$AS$3,0),FALSE),1)</f>
        <v>39.4</v>
      </c>
      <c r="BG178" s="462">
        <f>ROUND(VLOOKUP($AW178,$AD$3:$AJ$33,MATCH(BG$3,$AD$3:$AJ$3,0),FALSE)+$AY178/VLOOKUP(VLOOKUP($AW178,坦克个性化设定!$B$18:$E$48,4,FALSE)&amp;$AX178,坦克属性分配比例,MATCH("升星次数",坦克属性分配比例标头,0),FALSE)*VLOOKUP($AW178,$AM$3:$AS$33,MATCH(BG$3,$AM$3:$AS$3,0),FALSE),1)</f>
        <v>55.3</v>
      </c>
      <c r="BH178" s="462">
        <f>ROUND(VLOOKUP($AW178,$AD$3:$AJ$33,MATCH(BH$3,$AD$3:$AJ$3,0),FALSE)+$AY178/VLOOKUP(VLOOKUP($AW178,坦克个性化设定!$B$18:$E$48,4,FALSE)&amp;$AX178,坦克属性分配比例,MATCH("升星次数",坦克属性分配比例标头,0),FALSE)*VLOOKUP($AW178,$AM$3:$AS$33,MATCH(BH$3,$AM$3:$AS$3,0),FALSE),1)</f>
        <v>12.4</v>
      </c>
      <c r="BI178" s="654">
        <f>IF(VLOOKUP(AW178,坦克个性化设定!$B$18:$BB$48,MATCH("装弹类型",坦克个性化设定!$B$18:$BB$18,0),FALSE)="弹夹换弹",0,ROUND(VLOOKUP($AW178,$AD$3:$AJ$33,MATCH("换弹时间",$AD$3:$AJ$3,0),FALSE)-$AY178/VLOOKUP(VLOOKUP($AW178,坦克个性化设定!$B$18:$E$48,4,FALSE)&amp;$AX178,坦克属性分配比例,MATCH("升星次数",坦克属性分配比例标头,0),FALSE)*VLOOKUP($AW178,$AM$3:$AS$33,MATCH("换弹时间",$AM$3:$AS$3,0),FALSE),2))</f>
        <v>4.26</v>
      </c>
      <c r="BJ178" s="462">
        <f>IF(VLOOKUP(AW178,坦克个性化设定!$B$18:$BB$48,MATCH("装弹类型",坦克个性化设定!$B$18:$BB$18,0),FALSE)="弹夹换弹",ROUND(VLOOKUP($AW178,$AD$3:$AJ$33,MATCH("换弹时间",$AD$3:$AJ$3,0),FALSE)-$AY178/VLOOKUP(VLOOKUP($AW178,坦克个性化设定!$B$18:$E$48,4,FALSE)&amp;$AX178,坦克属性分配比例,MATCH("升星次数",坦克属性分配比例标头,0),FALSE)*VLOOKUP($AW178,$AM$3:$AS$33,MATCH("换弹时间",$AM$3:$AS$3,0),FALSE),1),0)</f>
        <v>0</v>
      </c>
      <c r="BK178" s="462">
        <f>ROUND(VLOOKUP($AW178,$AD$3:$AJ$33,MATCH(BK$3,$AD$3:$AJ$3,0),FALSE)+$AY178/VLOOKUP(VLOOKUP($AW178,坦克个性化设定!$B$18:$E$48,4,FALSE)&amp;$AX178,坦克属性分配比例,MATCH("升星次数",坦克属性分配比例标头,0),FALSE)*VLOOKUP($AW178,$AM$3:$AS$33,MATCH(BK$3,$AM$3:$AS$3,0),FALSE),2)</f>
        <v>0</v>
      </c>
      <c r="BL178" s="462">
        <f>ROUND(VLOOKUP($AW178,$AD$3:$AJ$33,MATCH(BL$3,$AD$3:$AJ$3,0),FALSE)-$AY178/VLOOKUP(VLOOKUP($AW178,坦克个性化设定!$B$18:$E$48,4,FALSE)&amp;$AX178,坦克属性分配比例,MATCH("升星次数",坦克属性分配比例标头,0),FALSE)*VLOOKUP($AW178,$AM$3:$AS$33,MATCH(BL$3,$AM$3:$AS$3,0),FALSE),2)</f>
        <v>2.31</v>
      </c>
    </row>
    <row r="179" spans="47:64" x14ac:dyDescent="0.35">
      <c r="AU179" s="364" t="str">
        <f t="shared" si="22"/>
        <v>彗星4</v>
      </c>
      <c r="AV179" s="183">
        <f>IF(AY178&gt;=VLOOKUP(VLOOKUP(AW178,坦克个性化设定!$B$18:$E$48,4,FALSE)&amp;AX178,坦克属性分配比例,MATCH("升星次数",坦克属性分配比例标头,0),FALSE),AV178+1,AV178)</f>
        <v>16</v>
      </c>
      <c r="AW179" s="131" t="str">
        <f t="shared" si="23"/>
        <v>彗星</v>
      </c>
      <c r="AX179" s="177" t="str">
        <f>VLOOKUP(AW179,坦克个性化细分!$I$3:$J$33,2,FALSE)</f>
        <v>高</v>
      </c>
      <c r="AY179" s="183">
        <f t="shared" si="21"/>
        <v>4</v>
      </c>
      <c r="AZ179" s="486">
        <f ca="1">ROUND(VLOOKUP($AW179&amp;"初始",$O$3:$AA$63,MATCH(AZ$3,$O$3:$AA$3,0),FALSE)+((VLOOKUP($AW179&amp;"最终",$O$3:$AA$63,MATCH(AZ$3,$O$3:$AA$3,0),FALSE)*坦克个性化细分!$C$9-VLOOKUP($AW179&amp;"初始",$O$3:$AA$63,MATCH(AZ$3,$O$3:$AA$3,0),FALSE))-(VLOOKUP($AW179&amp;"最终",$O$3:$AA$63,MATCH(AZ$3,$O$3:$AA$3,0),FALSE)-VLOOKUP($AW179&amp;"初始",$O$3:$AA$63,MATCH(AZ$3,$O$3:$AA$3,0),FALSE))*VLOOKUP(VLOOKUP($AW179,坦克个性化设定!$B$18:$E$48,4,FALSE)&amp;$AX179,坦克属性分配比例,MATCH("部件比例",坦克属性分配比例标头,0),FALSE))*$AY179/VLOOKUP(VLOOKUP($AW179,坦克个性化设定!$B$18:$E$48,4,FALSE)&amp;$AX179,坦克属性分配比例,MATCH("升星次数",坦克属性分配比例标头,0),FALSE),0)</f>
        <v>1917</v>
      </c>
      <c r="BA179" s="426">
        <f ca="1">ROUND(VLOOKUP($AW179&amp;"初始",$O$3:$AA$63,MATCH(BA$3,$O$3:$AA$3,0),FALSE)+(VLOOKUP($AW179&amp;"最终",$O$3:$AA$63,MATCH(BA$3,$O$3:$AA$3,0),FALSE)-VLOOKUP($AW179&amp;"初始",$O$3:$AA$63,MATCH(BA$3,$O$3:$AA$3,0),FALSE))*$AY179/VLOOKUP(VLOOKUP($AW179,坦克个性化设定!$B$18:$E$48,4,FALSE)&amp;$AX179,坦克属性分配比例,MATCH("升星次数",坦克属性分配比例标头,0),FALSE)*VLOOKUP(VLOOKUP($AW179,坦克个性化设定!$B$18:$E$48,4,FALSE)&amp;$AX179,坦克属性分配比例,MATCH("升星比例",坦克属性分配比例标头,0),FALSE),0)</f>
        <v>291</v>
      </c>
      <c r="BB179" s="486">
        <f ca="1">ROUND(VLOOKUP($AW179&amp;"初始",$O$3:$AA$63,MATCH(BB$3,$O$3:$AA$3,0),FALSE)+(VLOOKUP($AW179&amp;"最终",$O$3:$AA$63,MATCH(BB$3,$O$3:$AA$3,0),FALSE)-VLOOKUP($AW179&amp;"初始",$O$3:$AA$63,MATCH(BB$3,$O$3:$AA$3,0),FALSE))*$AY179/VLOOKUP(VLOOKUP($AW179,坦克个性化设定!$B$18:$E$48,4,FALSE)&amp;$AX179,坦克属性分配比例,MATCH("升星次数",坦克属性分配比例标头,0),FALSE)*(VLOOKUP(VLOOKUP($AW179,坦克个性化设定!$B$18:$E$48,4,FALSE)&amp;$AX179,坦克属性分配比例,MATCH("升星比例",坦克属性分配比例标头,0),FALSE)+VLOOKUP(VLOOKUP($AW179,坦克个性化设定!$B$18:$E$48,4,FALSE)&amp;$AX179,坦克属性分配比例,MATCH("部件比例",坦克属性分配比例标头,0),FALSE)*$C$3),0)</f>
        <v>658</v>
      </c>
      <c r="BC179" s="486">
        <f ca="1">ROUND(VLOOKUP($AW179&amp;"初始",$O$3:$AA$63,MATCH(BC$3,$O$3:$AA$3,0),FALSE)+(VLOOKUP($AW179&amp;"最终",$O$3:$AA$63,MATCH(BC$3,$O$3:$AA$3,0),FALSE)-VLOOKUP($AW179&amp;"初始",$O$3:$AA$63,MATCH(BC$3,$O$3:$AA$3,0),FALSE))*$AY179/VLOOKUP(VLOOKUP($AW179,坦克个性化设定!$B$18:$E$48,4,FALSE)&amp;$AX179,坦克属性分配比例,MATCH("升星次数",坦克属性分配比例标头,0),FALSE)*(VLOOKUP(VLOOKUP($AW179,坦克个性化设定!$B$18:$E$48,4,FALSE)&amp;$AX179,坦克属性分配比例,MATCH("升星比例",坦克属性分配比例标头,0),FALSE)+VLOOKUP(VLOOKUP($AW179,坦克个性化设定!$B$18:$E$48,4,FALSE)&amp;$AX179,坦克属性分配比例,MATCH("部件比例",坦克属性分配比例标头,0),FALSE)*$C$3),0)</f>
        <v>493</v>
      </c>
      <c r="BD179" s="426">
        <f ca="1">ROUND(VLOOKUP($AW179&amp;"初始",$O$3:$AA$63,MATCH(BD$3,$O$3:$AA$3,0),FALSE)+(VLOOKUP($AW179&amp;"最终",$O$3:$AA$63,MATCH(BD$3,$O$3:$AA$3,0),FALSE)-VLOOKUP($AW179&amp;"初始",$O$3:$AA$63,MATCH(BD$3,$O$3:$AA$3,0),FALSE))*$AY179/VLOOKUP(VLOOKUP($AW179,坦克个性化设定!$B$18:$E$48,4,FALSE)&amp;$AX179,坦克属性分配比例,MATCH("升星次数",坦克属性分配比例标头,0),FALSE)*VLOOKUP(VLOOKUP($AW179,坦克个性化设定!$B$18:$E$48,4,FALSE)&amp;$AX179,坦克属性分配比例,MATCH("升星比例",坦克属性分配比例标头,0),FALSE),0)</f>
        <v>680</v>
      </c>
      <c r="BE179" s="426">
        <f ca="1">ROUND(VLOOKUP($AW179&amp;"初始",$O$3:$AA$63,MATCH(BE$3,$O$3:$AA$3,0),FALSE)+(VLOOKUP($AW179&amp;"最终",$O$3:$AA$63,MATCH(BE$3,$O$3:$AA$3,0),FALSE)-VLOOKUP($AW179&amp;"初始",$O$3:$AA$63,MATCH(BE$3,$O$3:$AA$3,0),FALSE))*$AY179/VLOOKUP(VLOOKUP($AW179,坦克个性化设定!$B$18:$E$48,4,FALSE)&amp;$AX179,坦克属性分配比例,MATCH("升星次数",坦克属性分配比例标头,0),FALSE),0)</f>
        <v>183</v>
      </c>
      <c r="BF179" s="462">
        <f>ROUND(VLOOKUP($AW179,$AD$3:$AJ$33,MATCH(BF$3,$AD$3:$AJ$3,0),FALSE)+$AY179/VLOOKUP(VLOOKUP($AW179,坦克个性化设定!$B$18:$E$48,4,FALSE)&amp;$AX179,坦克属性分配比例,MATCH("升星次数",坦克属性分配比例标头,0),FALSE)*VLOOKUP($AW179,$AM$3:$AS$33,MATCH(BF$3,$AM$3:$AS$3,0),FALSE),1)</f>
        <v>40.1</v>
      </c>
      <c r="BG179" s="462">
        <f>ROUND(VLOOKUP($AW179,$AD$3:$AJ$33,MATCH(BG$3,$AD$3:$AJ$3,0),FALSE)+$AY179/VLOOKUP(VLOOKUP($AW179,坦克个性化设定!$B$18:$E$48,4,FALSE)&amp;$AX179,坦克属性分配比例,MATCH("升星次数",坦克属性分配比例标头,0),FALSE)*VLOOKUP($AW179,$AM$3:$AS$33,MATCH(BG$3,$AM$3:$AS$3,0),FALSE),1)</f>
        <v>56.3</v>
      </c>
      <c r="BH179" s="462">
        <f>ROUND(VLOOKUP($AW179,$AD$3:$AJ$33,MATCH(BH$3,$AD$3:$AJ$3,0),FALSE)+$AY179/VLOOKUP(VLOOKUP($AW179,坦克个性化设定!$B$18:$E$48,4,FALSE)&amp;$AX179,坦克属性分配比例,MATCH("升星次数",坦克属性分配比例标头,0),FALSE)*VLOOKUP($AW179,$AM$3:$AS$33,MATCH(BH$3,$AM$3:$AS$3,0),FALSE),1)</f>
        <v>12.7</v>
      </c>
      <c r="BI179" s="654">
        <f>IF(VLOOKUP(AW179,坦克个性化设定!$B$18:$BB$48,MATCH("装弹类型",坦克个性化设定!$B$18:$BB$18,0),FALSE)="弹夹换弹",0,ROUND(VLOOKUP($AW179,$AD$3:$AJ$33,MATCH("换弹时间",$AD$3:$AJ$3,0),FALSE)-$AY179/VLOOKUP(VLOOKUP($AW179,坦克个性化设定!$B$18:$E$48,4,FALSE)&amp;$AX179,坦克属性分配比例,MATCH("升星次数",坦克属性分配比例标头,0),FALSE)*VLOOKUP($AW179,$AM$3:$AS$33,MATCH("换弹时间",$AM$3:$AS$3,0),FALSE),2))</f>
        <v>4.1900000000000004</v>
      </c>
      <c r="BJ179" s="462">
        <f>IF(VLOOKUP(AW179,坦克个性化设定!$B$18:$BB$48,MATCH("装弹类型",坦克个性化设定!$B$18:$BB$18,0),FALSE)="弹夹换弹",ROUND(VLOOKUP($AW179,$AD$3:$AJ$33,MATCH("换弹时间",$AD$3:$AJ$3,0),FALSE)-$AY179/VLOOKUP(VLOOKUP($AW179,坦克个性化设定!$B$18:$E$48,4,FALSE)&amp;$AX179,坦克属性分配比例,MATCH("升星次数",坦克属性分配比例标头,0),FALSE)*VLOOKUP($AW179,$AM$3:$AS$33,MATCH("换弹时间",$AM$3:$AS$3,0),FALSE),1),0)</f>
        <v>0</v>
      </c>
      <c r="BK179" s="462">
        <f>ROUND(VLOOKUP($AW179,$AD$3:$AJ$33,MATCH(BK$3,$AD$3:$AJ$3,0),FALSE)+$AY179/VLOOKUP(VLOOKUP($AW179,坦克个性化设定!$B$18:$E$48,4,FALSE)&amp;$AX179,坦克属性分配比例,MATCH("升星次数",坦克属性分配比例标头,0),FALSE)*VLOOKUP($AW179,$AM$3:$AS$33,MATCH(BK$3,$AM$3:$AS$3,0),FALSE),2)</f>
        <v>0</v>
      </c>
      <c r="BL179" s="462">
        <f>ROUND(VLOOKUP($AW179,$AD$3:$AJ$33,MATCH(BL$3,$AD$3:$AJ$3,0),FALSE)-$AY179/VLOOKUP(VLOOKUP($AW179,坦克个性化设定!$B$18:$E$48,4,FALSE)&amp;$AX179,坦克属性分配比例,MATCH("升星次数",坦克属性分配比例标头,0),FALSE)*VLOOKUP($AW179,$AM$3:$AS$33,MATCH(BL$3,$AM$3:$AS$3,0),FALSE),2)</f>
        <v>2.29</v>
      </c>
    </row>
    <row r="180" spans="47:64" x14ac:dyDescent="0.35">
      <c r="AU180" s="364" t="str">
        <f t="shared" si="22"/>
        <v>彗星5</v>
      </c>
      <c r="AV180" s="183">
        <f>IF(AY179&gt;=VLOOKUP(VLOOKUP(AW179,坦克个性化设定!$B$18:$E$48,4,FALSE)&amp;AX179,坦克属性分配比例,MATCH("升星次数",坦克属性分配比例标头,0),FALSE),AV179+1,AV179)</f>
        <v>16</v>
      </c>
      <c r="AW180" s="131" t="str">
        <f t="shared" si="23"/>
        <v>彗星</v>
      </c>
      <c r="AX180" s="177" t="str">
        <f>VLOOKUP(AW180,坦克个性化细分!$I$3:$J$33,2,FALSE)</f>
        <v>高</v>
      </c>
      <c r="AY180" s="183">
        <f t="shared" si="21"/>
        <v>5</v>
      </c>
      <c r="AZ180" s="486">
        <f ca="1">ROUND(VLOOKUP($AW180&amp;"初始",$O$3:$AA$63,MATCH(AZ$3,$O$3:$AA$3,0),FALSE)+((VLOOKUP($AW180&amp;"最终",$O$3:$AA$63,MATCH(AZ$3,$O$3:$AA$3,0),FALSE)*坦克个性化细分!$C$9-VLOOKUP($AW180&amp;"初始",$O$3:$AA$63,MATCH(AZ$3,$O$3:$AA$3,0),FALSE))-(VLOOKUP($AW180&amp;"最终",$O$3:$AA$63,MATCH(AZ$3,$O$3:$AA$3,0),FALSE)-VLOOKUP($AW180&amp;"初始",$O$3:$AA$63,MATCH(AZ$3,$O$3:$AA$3,0),FALSE))*VLOOKUP(VLOOKUP($AW180,坦克个性化设定!$B$18:$E$48,4,FALSE)&amp;$AX180,坦克属性分配比例,MATCH("部件比例",坦克属性分配比例标头,0),FALSE))*$AY180/VLOOKUP(VLOOKUP($AW180,坦克个性化设定!$B$18:$E$48,4,FALSE)&amp;$AX180,坦克属性分配比例,MATCH("升星次数",坦克属性分配比例标头,0),FALSE),0)</f>
        <v>2038</v>
      </c>
      <c r="BA180" s="426">
        <f ca="1">ROUND(VLOOKUP($AW180&amp;"初始",$O$3:$AA$63,MATCH(BA$3,$O$3:$AA$3,0),FALSE)+(VLOOKUP($AW180&amp;"最终",$O$3:$AA$63,MATCH(BA$3,$O$3:$AA$3,0),FALSE)-VLOOKUP($AW180&amp;"初始",$O$3:$AA$63,MATCH(BA$3,$O$3:$AA$3,0),FALSE))*$AY180/VLOOKUP(VLOOKUP($AW180,坦克个性化设定!$B$18:$E$48,4,FALSE)&amp;$AX180,坦克属性分配比例,MATCH("升星次数",坦克属性分配比例标头,0),FALSE)*VLOOKUP(VLOOKUP($AW180,坦克个性化设定!$B$18:$E$48,4,FALSE)&amp;$AX180,坦克属性分配比例,MATCH("升星比例",坦克属性分配比例标头,0),FALSE),0)</f>
        <v>301</v>
      </c>
      <c r="BB180" s="486">
        <f ca="1">ROUND(VLOOKUP($AW180&amp;"初始",$O$3:$AA$63,MATCH(BB$3,$O$3:$AA$3,0),FALSE)+(VLOOKUP($AW180&amp;"最终",$O$3:$AA$63,MATCH(BB$3,$O$3:$AA$3,0),FALSE)-VLOOKUP($AW180&amp;"初始",$O$3:$AA$63,MATCH(BB$3,$O$3:$AA$3,0),FALSE))*$AY180/VLOOKUP(VLOOKUP($AW180,坦克个性化设定!$B$18:$E$48,4,FALSE)&amp;$AX180,坦克属性分配比例,MATCH("升星次数",坦克属性分配比例标头,0),FALSE)*(VLOOKUP(VLOOKUP($AW180,坦克个性化设定!$B$18:$E$48,4,FALSE)&amp;$AX180,坦克属性分配比例,MATCH("升星比例",坦克属性分配比例标头,0),FALSE)+VLOOKUP(VLOOKUP($AW180,坦克个性化设定!$B$18:$E$48,4,FALSE)&amp;$AX180,坦克属性分配比例,MATCH("部件比例",坦克属性分配比例标头,0),FALSE)*$C$3),0)</f>
        <v>689</v>
      </c>
      <c r="BC180" s="486">
        <f ca="1">ROUND(VLOOKUP($AW180&amp;"初始",$O$3:$AA$63,MATCH(BC$3,$O$3:$AA$3,0),FALSE)+(VLOOKUP($AW180&amp;"最终",$O$3:$AA$63,MATCH(BC$3,$O$3:$AA$3,0),FALSE)-VLOOKUP($AW180&amp;"初始",$O$3:$AA$63,MATCH(BC$3,$O$3:$AA$3,0),FALSE))*$AY180/VLOOKUP(VLOOKUP($AW180,坦克个性化设定!$B$18:$E$48,4,FALSE)&amp;$AX180,坦克属性分配比例,MATCH("升星次数",坦克属性分配比例标头,0),FALSE)*(VLOOKUP(VLOOKUP($AW180,坦克个性化设定!$B$18:$E$48,4,FALSE)&amp;$AX180,坦克属性分配比例,MATCH("升星比例",坦克属性分配比例标头,0),FALSE)+VLOOKUP(VLOOKUP($AW180,坦克个性化设定!$B$18:$E$48,4,FALSE)&amp;$AX180,坦克属性分配比例,MATCH("部件比例",坦克属性分配比例标头,0),FALSE)*$C$3),0)</f>
        <v>517</v>
      </c>
      <c r="BD180" s="426">
        <f ca="1">ROUND(VLOOKUP($AW180&amp;"初始",$O$3:$AA$63,MATCH(BD$3,$O$3:$AA$3,0),FALSE)+(VLOOKUP($AW180&amp;"最终",$O$3:$AA$63,MATCH(BD$3,$O$3:$AA$3,0),FALSE)-VLOOKUP($AW180&amp;"初始",$O$3:$AA$63,MATCH(BD$3,$O$3:$AA$3,0),FALSE))*$AY180/VLOOKUP(VLOOKUP($AW180,坦克个性化设定!$B$18:$E$48,4,FALSE)&amp;$AX180,坦克属性分配比例,MATCH("升星次数",坦克属性分配比例标头,0),FALSE)*VLOOKUP(VLOOKUP($AW180,坦克个性化设定!$B$18:$E$48,4,FALSE)&amp;$AX180,坦克属性分配比例,MATCH("升星比例",坦克属性分配比例标头,0),FALSE),0)</f>
        <v>705</v>
      </c>
      <c r="BE180" s="426">
        <f ca="1">ROUND(VLOOKUP($AW180&amp;"初始",$O$3:$AA$63,MATCH(BE$3,$O$3:$AA$3,0),FALSE)+(VLOOKUP($AW180&amp;"最终",$O$3:$AA$63,MATCH(BE$3,$O$3:$AA$3,0),FALSE)-VLOOKUP($AW180&amp;"初始",$O$3:$AA$63,MATCH(BE$3,$O$3:$AA$3,0),FALSE))*$AY180/VLOOKUP(VLOOKUP($AW180,坦克个性化设定!$B$18:$E$48,4,FALSE)&amp;$AX180,坦克属性分配比例,MATCH("升星次数",坦克属性分配比例标头,0),FALSE),0)</f>
        <v>193</v>
      </c>
      <c r="BF180" s="462">
        <f>ROUND(VLOOKUP($AW180,$AD$3:$AJ$33,MATCH(BF$3,$AD$3:$AJ$3,0),FALSE)+$AY180/VLOOKUP(VLOOKUP($AW180,坦克个性化设定!$B$18:$E$48,4,FALSE)&amp;$AX180,坦克属性分配比例,MATCH("升星次数",坦克属性分配比例标头,0),FALSE)*VLOOKUP($AW180,$AM$3:$AS$33,MATCH(BF$3,$AM$3:$AS$3,0),FALSE),1)</f>
        <v>40.700000000000003</v>
      </c>
      <c r="BG180" s="462">
        <f>ROUND(VLOOKUP($AW180,$AD$3:$AJ$33,MATCH(BG$3,$AD$3:$AJ$3,0),FALSE)+$AY180/VLOOKUP(VLOOKUP($AW180,坦克个性化设定!$B$18:$E$48,4,FALSE)&amp;$AX180,坦克属性分配比例,MATCH("升星次数",坦克属性分配比例标头,0),FALSE)*VLOOKUP($AW180,$AM$3:$AS$33,MATCH(BG$3,$AM$3:$AS$3,0),FALSE),1)</f>
        <v>57.2</v>
      </c>
      <c r="BH180" s="462">
        <f>ROUND(VLOOKUP($AW180,$AD$3:$AJ$33,MATCH(BH$3,$AD$3:$AJ$3,0),FALSE)+$AY180/VLOOKUP(VLOOKUP($AW180,坦克个性化设定!$B$18:$E$48,4,FALSE)&amp;$AX180,坦克属性分配比例,MATCH("升星次数",坦克属性分配比例标头,0),FALSE)*VLOOKUP($AW180,$AM$3:$AS$33,MATCH(BH$3,$AM$3:$AS$3,0),FALSE),1)</f>
        <v>13</v>
      </c>
      <c r="BI180" s="654">
        <f>IF(VLOOKUP(AW180,坦克个性化设定!$B$18:$BB$48,MATCH("装弹类型",坦克个性化设定!$B$18:$BB$18,0),FALSE)="弹夹换弹",0,ROUND(VLOOKUP($AW180,$AD$3:$AJ$33,MATCH("换弹时间",$AD$3:$AJ$3,0),FALSE)-$AY180/VLOOKUP(VLOOKUP($AW180,坦克个性化设定!$B$18:$E$48,4,FALSE)&amp;$AX180,坦克属性分配比例,MATCH("升星次数",坦克属性分配比例标头,0),FALSE)*VLOOKUP($AW180,$AM$3:$AS$33,MATCH("换弹时间",$AM$3:$AS$3,0),FALSE),2))</f>
        <v>4.1100000000000003</v>
      </c>
      <c r="BJ180" s="462">
        <f>IF(VLOOKUP(AW180,坦克个性化设定!$B$18:$BB$48,MATCH("装弹类型",坦克个性化设定!$B$18:$BB$18,0),FALSE)="弹夹换弹",ROUND(VLOOKUP($AW180,$AD$3:$AJ$33,MATCH("换弹时间",$AD$3:$AJ$3,0),FALSE)-$AY180/VLOOKUP(VLOOKUP($AW180,坦克个性化设定!$B$18:$E$48,4,FALSE)&amp;$AX180,坦克属性分配比例,MATCH("升星次数",坦克属性分配比例标头,0),FALSE)*VLOOKUP($AW180,$AM$3:$AS$33,MATCH("换弹时间",$AM$3:$AS$3,0),FALSE),1),0)</f>
        <v>0</v>
      </c>
      <c r="BK180" s="462">
        <f>ROUND(VLOOKUP($AW180,$AD$3:$AJ$33,MATCH(BK$3,$AD$3:$AJ$3,0),FALSE)+$AY180/VLOOKUP(VLOOKUP($AW180,坦克个性化设定!$B$18:$E$48,4,FALSE)&amp;$AX180,坦克属性分配比例,MATCH("升星次数",坦克属性分配比例标头,0),FALSE)*VLOOKUP($AW180,$AM$3:$AS$33,MATCH(BK$3,$AM$3:$AS$3,0),FALSE),2)</f>
        <v>0</v>
      </c>
      <c r="BL180" s="462">
        <f>ROUND(VLOOKUP($AW180,$AD$3:$AJ$33,MATCH(BL$3,$AD$3:$AJ$3,0),FALSE)-$AY180/VLOOKUP(VLOOKUP($AW180,坦克个性化设定!$B$18:$E$48,4,FALSE)&amp;$AX180,坦克属性分配比例,MATCH("升星次数",坦克属性分配比例标头,0),FALSE)*VLOOKUP($AW180,$AM$3:$AS$33,MATCH(BL$3,$AM$3:$AS$3,0),FALSE),2)</f>
        <v>2.2599999999999998</v>
      </c>
    </row>
    <row r="181" spans="47:64" x14ac:dyDescent="0.35">
      <c r="AU181" s="364" t="str">
        <f t="shared" si="22"/>
        <v>彗星6</v>
      </c>
      <c r="AV181" s="183">
        <f>IF(AY180&gt;=VLOOKUP(VLOOKUP(AW180,坦克个性化设定!$B$18:$E$48,4,FALSE)&amp;AX180,坦克属性分配比例,MATCH("升星次数",坦克属性分配比例标头,0),FALSE),AV180+1,AV180)</f>
        <v>16</v>
      </c>
      <c r="AW181" s="131" t="str">
        <f t="shared" si="23"/>
        <v>彗星</v>
      </c>
      <c r="AX181" s="177" t="str">
        <f>VLOOKUP(AW181,坦克个性化细分!$I$3:$J$33,2,FALSE)</f>
        <v>高</v>
      </c>
      <c r="AY181" s="183">
        <f t="shared" si="21"/>
        <v>6</v>
      </c>
      <c r="AZ181" s="486">
        <f ca="1">ROUND(VLOOKUP($AW181&amp;"初始",$O$3:$AA$63,MATCH(AZ$3,$O$3:$AA$3,0),FALSE)+((VLOOKUP($AW181&amp;"最终",$O$3:$AA$63,MATCH(AZ$3,$O$3:$AA$3,0),FALSE)*坦克个性化细分!$C$9-VLOOKUP($AW181&amp;"初始",$O$3:$AA$63,MATCH(AZ$3,$O$3:$AA$3,0),FALSE))-(VLOOKUP($AW181&amp;"最终",$O$3:$AA$63,MATCH(AZ$3,$O$3:$AA$3,0),FALSE)-VLOOKUP($AW181&amp;"初始",$O$3:$AA$63,MATCH(AZ$3,$O$3:$AA$3,0),FALSE))*VLOOKUP(VLOOKUP($AW181,坦克个性化设定!$B$18:$E$48,4,FALSE)&amp;$AX181,坦克属性分配比例,MATCH("部件比例",坦克属性分配比例标头,0),FALSE))*$AY181/VLOOKUP(VLOOKUP($AW181,坦克个性化设定!$B$18:$E$48,4,FALSE)&amp;$AX181,坦克属性分配比例,MATCH("升星次数",坦克属性分配比例标头,0),FALSE),0)</f>
        <v>2159</v>
      </c>
      <c r="BA181" s="426">
        <f ca="1">ROUND(VLOOKUP($AW181&amp;"初始",$O$3:$AA$63,MATCH(BA$3,$O$3:$AA$3,0),FALSE)+(VLOOKUP($AW181&amp;"最终",$O$3:$AA$63,MATCH(BA$3,$O$3:$AA$3,0),FALSE)-VLOOKUP($AW181&amp;"初始",$O$3:$AA$63,MATCH(BA$3,$O$3:$AA$3,0),FALSE))*$AY181/VLOOKUP(VLOOKUP($AW181,坦克个性化设定!$B$18:$E$48,4,FALSE)&amp;$AX181,坦克属性分配比例,MATCH("升星次数",坦克属性分配比例标头,0),FALSE)*VLOOKUP(VLOOKUP($AW181,坦克个性化设定!$B$18:$E$48,4,FALSE)&amp;$AX181,坦克属性分配比例,MATCH("升星比例",坦克属性分配比例标头,0),FALSE),0)</f>
        <v>312</v>
      </c>
      <c r="BB181" s="486">
        <f ca="1">ROUND(VLOOKUP($AW181&amp;"初始",$O$3:$AA$63,MATCH(BB$3,$O$3:$AA$3,0),FALSE)+(VLOOKUP($AW181&amp;"最终",$O$3:$AA$63,MATCH(BB$3,$O$3:$AA$3,0),FALSE)-VLOOKUP($AW181&amp;"初始",$O$3:$AA$63,MATCH(BB$3,$O$3:$AA$3,0),FALSE))*$AY181/VLOOKUP(VLOOKUP($AW181,坦克个性化设定!$B$18:$E$48,4,FALSE)&amp;$AX181,坦克属性分配比例,MATCH("升星次数",坦克属性分配比例标头,0),FALSE)*(VLOOKUP(VLOOKUP($AW181,坦克个性化设定!$B$18:$E$48,4,FALSE)&amp;$AX181,坦克属性分配比例,MATCH("升星比例",坦克属性分配比例标头,0),FALSE)+VLOOKUP(VLOOKUP($AW181,坦克个性化设定!$B$18:$E$48,4,FALSE)&amp;$AX181,坦克属性分配比例,MATCH("部件比例",坦克属性分配比例标头,0),FALSE)*$C$3),0)</f>
        <v>721</v>
      </c>
      <c r="BC181" s="486">
        <f ca="1">ROUND(VLOOKUP($AW181&amp;"初始",$O$3:$AA$63,MATCH(BC$3,$O$3:$AA$3,0),FALSE)+(VLOOKUP($AW181&amp;"最终",$O$3:$AA$63,MATCH(BC$3,$O$3:$AA$3,0),FALSE)-VLOOKUP($AW181&amp;"初始",$O$3:$AA$63,MATCH(BC$3,$O$3:$AA$3,0),FALSE))*$AY181/VLOOKUP(VLOOKUP($AW181,坦克个性化设定!$B$18:$E$48,4,FALSE)&amp;$AX181,坦克属性分配比例,MATCH("升星次数",坦克属性分配比例标头,0),FALSE)*(VLOOKUP(VLOOKUP($AW181,坦克个性化设定!$B$18:$E$48,4,FALSE)&amp;$AX181,坦克属性分配比例,MATCH("升星比例",坦克属性分配比例标头,0),FALSE)+VLOOKUP(VLOOKUP($AW181,坦克个性化设定!$B$18:$E$48,4,FALSE)&amp;$AX181,坦克属性分配比例,MATCH("部件比例",坦克属性分配比例标头,0),FALSE)*$C$3),0)</f>
        <v>541</v>
      </c>
      <c r="BD181" s="426">
        <f ca="1">ROUND(VLOOKUP($AW181&amp;"初始",$O$3:$AA$63,MATCH(BD$3,$O$3:$AA$3,0),FALSE)+(VLOOKUP($AW181&amp;"最终",$O$3:$AA$63,MATCH(BD$3,$O$3:$AA$3,0),FALSE)-VLOOKUP($AW181&amp;"初始",$O$3:$AA$63,MATCH(BD$3,$O$3:$AA$3,0),FALSE))*$AY181/VLOOKUP(VLOOKUP($AW181,坦克个性化设定!$B$18:$E$48,4,FALSE)&amp;$AX181,坦克属性分配比例,MATCH("升星次数",坦克属性分配比例标头,0),FALSE)*VLOOKUP(VLOOKUP($AW181,坦克个性化设定!$B$18:$E$48,4,FALSE)&amp;$AX181,坦克属性分配比例,MATCH("升星比例",坦克属性分配比例标头,0),FALSE),0)</f>
        <v>729</v>
      </c>
      <c r="BE181" s="426">
        <f ca="1">ROUND(VLOOKUP($AW181&amp;"初始",$O$3:$AA$63,MATCH(BE$3,$O$3:$AA$3,0),FALSE)+(VLOOKUP($AW181&amp;"最终",$O$3:$AA$63,MATCH(BE$3,$O$3:$AA$3,0),FALSE)-VLOOKUP($AW181&amp;"初始",$O$3:$AA$63,MATCH(BE$3,$O$3:$AA$3,0),FALSE))*$AY181/VLOOKUP(VLOOKUP($AW181,坦克个性化设定!$B$18:$E$48,4,FALSE)&amp;$AX181,坦克属性分配比例,MATCH("升星次数",坦克属性分配比例标头,0),FALSE),0)</f>
        <v>203</v>
      </c>
      <c r="BF181" s="462">
        <f>ROUND(VLOOKUP($AW181,$AD$3:$AJ$33,MATCH(BF$3,$AD$3:$AJ$3,0),FALSE)+$AY181/VLOOKUP(VLOOKUP($AW181,坦克个性化设定!$B$18:$E$48,4,FALSE)&amp;$AX181,坦克属性分配比例,MATCH("升星次数",坦克属性分配比例标头,0),FALSE)*VLOOKUP($AW181,$AM$3:$AS$33,MATCH(BF$3,$AM$3:$AS$3,0),FALSE),1)</f>
        <v>41.4</v>
      </c>
      <c r="BG181" s="462">
        <f>ROUND(VLOOKUP($AW181,$AD$3:$AJ$33,MATCH(BG$3,$AD$3:$AJ$3,0),FALSE)+$AY181/VLOOKUP(VLOOKUP($AW181,坦克个性化设定!$B$18:$E$48,4,FALSE)&amp;$AX181,坦克属性分配比例,MATCH("升星次数",坦克属性分配比例标头,0),FALSE)*VLOOKUP($AW181,$AM$3:$AS$33,MATCH(BG$3,$AM$3:$AS$3,0),FALSE),1)</f>
        <v>58.1</v>
      </c>
      <c r="BH181" s="462">
        <f>ROUND(VLOOKUP($AW181,$AD$3:$AJ$33,MATCH(BH$3,$AD$3:$AJ$3,0),FALSE)+$AY181/VLOOKUP(VLOOKUP($AW181,坦克个性化设定!$B$18:$E$48,4,FALSE)&amp;$AX181,坦克属性分配比例,MATCH("升星次数",坦克属性分配比例标头,0),FALSE)*VLOOKUP($AW181,$AM$3:$AS$33,MATCH(BH$3,$AM$3:$AS$3,0),FALSE),1)</f>
        <v>13.2</v>
      </c>
      <c r="BI181" s="654">
        <f>IF(VLOOKUP(AW181,坦克个性化设定!$B$18:$BB$48,MATCH("装弹类型",坦克个性化设定!$B$18:$BB$18,0),FALSE)="弹夹换弹",0,ROUND(VLOOKUP($AW181,$AD$3:$AJ$33,MATCH("换弹时间",$AD$3:$AJ$3,0),FALSE)-$AY181/VLOOKUP(VLOOKUP($AW181,坦克个性化设定!$B$18:$E$48,4,FALSE)&amp;$AX181,坦克属性分配比例,MATCH("升星次数",坦克属性分配比例标头,0),FALSE)*VLOOKUP($AW181,$AM$3:$AS$33,MATCH("换弹时间",$AM$3:$AS$3,0),FALSE),2))</f>
        <v>4.03</v>
      </c>
      <c r="BJ181" s="462">
        <f>IF(VLOOKUP(AW181,坦克个性化设定!$B$18:$BB$48,MATCH("装弹类型",坦克个性化设定!$B$18:$BB$18,0),FALSE)="弹夹换弹",ROUND(VLOOKUP($AW181,$AD$3:$AJ$33,MATCH("换弹时间",$AD$3:$AJ$3,0),FALSE)-$AY181/VLOOKUP(VLOOKUP($AW181,坦克个性化设定!$B$18:$E$48,4,FALSE)&amp;$AX181,坦克属性分配比例,MATCH("升星次数",坦克属性分配比例标头,0),FALSE)*VLOOKUP($AW181,$AM$3:$AS$33,MATCH("换弹时间",$AM$3:$AS$3,0),FALSE),1),0)</f>
        <v>0</v>
      </c>
      <c r="BK181" s="462">
        <f>ROUND(VLOOKUP($AW181,$AD$3:$AJ$33,MATCH(BK$3,$AD$3:$AJ$3,0),FALSE)+$AY181/VLOOKUP(VLOOKUP($AW181,坦克个性化设定!$B$18:$E$48,4,FALSE)&amp;$AX181,坦克属性分配比例,MATCH("升星次数",坦克属性分配比例标头,0),FALSE)*VLOOKUP($AW181,$AM$3:$AS$33,MATCH(BK$3,$AM$3:$AS$3,0),FALSE),2)</f>
        <v>0</v>
      </c>
      <c r="BL181" s="462">
        <f>ROUND(VLOOKUP($AW181,$AD$3:$AJ$33,MATCH(BL$3,$AD$3:$AJ$3,0),FALSE)-$AY181/VLOOKUP(VLOOKUP($AW181,坦克个性化设定!$B$18:$E$48,4,FALSE)&amp;$AX181,坦克属性分配比例,MATCH("升星次数",坦克属性分配比例标头,0),FALSE)*VLOOKUP($AW181,$AM$3:$AS$33,MATCH(BL$3,$AM$3:$AS$3,0),FALSE),2)</f>
        <v>2.23</v>
      </c>
    </row>
    <row r="182" spans="47:64" x14ac:dyDescent="0.35">
      <c r="AU182" s="364" t="str">
        <f t="shared" si="22"/>
        <v>彗星7</v>
      </c>
      <c r="AV182" s="183">
        <f>IF(AY181&gt;=VLOOKUP(VLOOKUP(AW181,坦克个性化设定!$B$18:$E$48,4,FALSE)&amp;AX181,坦克属性分配比例,MATCH("升星次数",坦克属性分配比例标头,0),FALSE),AV181+1,AV181)</f>
        <v>16</v>
      </c>
      <c r="AW182" s="131" t="str">
        <f t="shared" si="23"/>
        <v>彗星</v>
      </c>
      <c r="AX182" s="177" t="str">
        <f>VLOOKUP(AW182,坦克个性化细分!$I$3:$J$33,2,FALSE)</f>
        <v>高</v>
      </c>
      <c r="AY182" s="183">
        <f t="shared" si="21"/>
        <v>7</v>
      </c>
      <c r="AZ182" s="486">
        <f ca="1">ROUND(VLOOKUP($AW182&amp;"初始",$O$3:$AA$63,MATCH(AZ$3,$O$3:$AA$3,0),FALSE)+((VLOOKUP($AW182&amp;"最终",$O$3:$AA$63,MATCH(AZ$3,$O$3:$AA$3,0),FALSE)*坦克个性化细分!$C$9-VLOOKUP($AW182&amp;"初始",$O$3:$AA$63,MATCH(AZ$3,$O$3:$AA$3,0),FALSE))-(VLOOKUP($AW182&amp;"最终",$O$3:$AA$63,MATCH(AZ$3,$O$3:$AA$3,0),FALSE)-VLOOKUP($AW182&amp;"初始",$O$3:$AA$63,MATCH(AZ$3,$O$3:$AA$3,0),FALSE))*VLOOKUP(VLOOKUP($AW182,坦克个性化设定!$B$18:$E$48,4,FALSE)&amp;$AX182,坦克属性分配比例,MATCH("部件比例",坦克属性分配比例标头,0),FALSE))*$AY182/VLOOKUP(VLOOKUP($AW182,坦克个性化设定!$B$18:$E$48,4,FALSE)&amp;$AX182,坦克属性分配比例,MATCH("升星次数",坦克属性分配比例标头,0),FALSE),0)</f>
        <v>2280</v>
      </c>
      <c r="BA182" s="426">
        <f ca="1">ROUND(VLOOKUP($AW182&amp;"初始",$O$3:$AA$63,MATCH(BA$3,$O$3:$AA$3,0),FALSE)+(VLOOKUP($AW182&amp;"最终",$O$3:$AA$63,MATCH(BA$3,$O$3:$AA$3,0),FALSE)-VLOOKUP($AW182&amp;"初始",$O$3:$AA$63,MATCH(BA$3,$O$3:$AA$3,0),FALSE))*$AY182/VLOOKUP(VLOOKUP($AW182,坦克个性化设定!$B$18:$E$48,4,FALSE)&amp;$AX182,坦克属性分配比例,MATCH("升星次数",坦克属性分配比例标头,0),FALSE)*VLOOKUP(VLOOKUP($AW182,坦克个性化设定!$B$18:$E$48,4,FALSE)&amp;$AX182,坦克属性分配比例,MATCH("升星比例",坦克属性分配比例标头,0),FALSE),0)</f>
        <v>322</v>
      </c>
      <c r="BB182" s="486">
        <f ca="1">ROUND(VLOOKUP($AW182&amp;"初始",$O$3:$AA$63,MATCH(BB$3,$O$3:$AA$3,0),FALSE)+(VLOOKUP($AW182&amp;"最终",$O$3:$AA$63,MATCH(BB$3,$O$3:$AA$3,0),FALSE)-VLOOKUP($AW182&amp;"初始",$O$3:$AA$63,MATCH(BB$3,$O$3:$AA$3,0),FALSE))*$AY182/VLOOKUP(VLOOKUP($AW182,坦克个性化设定!$B$18:$E$48,4,FALSE)&amp;$AX182,坦克属性分配比例,MATCH("升星次数",坦克属性分配比例标头,0),FALSE)*(VLOOKUP(VLOOKUP($AW182,坦克个性化设定!$B$18:$E$48,4,FALSE)&amp;$AX182,坦克属性分配比例,MATCH("升星比例",坦克属性分配比例标头,0),FALSE)+VLOOKUP(VLOOKUP($AW182,坦克个性化设定!$B$18:$E$48,4,FALSE)&amp;$AX182,坦克属性分配比例,MATCH("部件比例",坦克属性分配比例标头,0),FALSE)*$C$3),0)</f>
        <v>752</v>
      </c>
      <c r="BC182" s="486">
        <f ca="1">ROUND(VLOOKUP($AW182&amp;"初始",$O$3:$AA$63,MATCH(BC$3,$O$3:$AA$3,0),FALSE)+(VLOOKUP($AW182&amp;"最终",$O$3:$AA$63,MATCH(BC$3,$O$3:$AA$3,0),FALSE)-VLOOKUP($AW182&amp;"初始",$O$3:$AA$63,MATCH(BC$3,$O$3:$AA$3,0),FALSE))*$AY182/VLOOKUP(VLOOKUP($AW182,坦克个性化设定!$B$18:$E$48,4,FALSE)&amp;$AX182,坦克属性分配比例,MATCH("升星次数",坦克属性分配比例标头,0),FALSE)*(VLOOKUP(VLOOKUP($AW182,坦克个性化设定!$B$18:$E$48,4,FALSE)&amp;$AX182,坦克属性分配比例,MATCH("升星比例",坦克属性分配比例标头,0),FALSE)+VLOOKUP(VLOOKUP($AW182,坦克个性化设定!$B$18:$E$48,4,FALSE)&amp;$AX182,坦克属性分配比例,MATCH("部件比例",坦克属性分配比例标头,0),FALSE)*$C$3),0)</f>
        <v>564</v>
      </c>
      <c r="BD182" s="426">
        <f ca="1">ROUND(VLOOKUP($AW182&amp;"初始",$O$3:$AA$63,MATCH(BD$3,$O$3:$AA$3,0),FALSE)+(VLOOKUP($AW182&amp;"最终",$O$3:$AA$63,MATCH(BD$3,$O$3:$AA$3,0),FALSE)-VLOOKUP($AW182&amp;"初始",$O$3:$AA$63,MATCH(BD$3,$O$3:$AA$3,0),FALSE))*$AY182/VLOOKUP(VLOOKUP($AW182,坦克个性化设定!$B$18:$E$48,4,FALSE)&amp;$AX182,坦克属性分配比例,MATCH("升星次数",坦克属性分配比例标头,0),FALSE)*VLOOKUP(VLOOKUP($AW182,坦克个性化设定!$B$18:$E$48,4,FALSE)&amp;$AX182,坦克属性分配比例,MATCH("升星比例",坦克属性分配比例标头,0),FALSE),0)</f>
        <v>753</v>
      </c>
      <c r="BE182" s="426">
        <f ca="1">ROUND(VLOOKUP($AW182&amp;"初始",$O$3:$AA$63,MATCH(BE$3,$O$3:$AA$3,0),FALSE)+(VLOOKUP($AW182&amp;"最终",$O$3:$AA$63,MATCH(BE$3,$O$3:$AA$3,0),FALSE)-VLOOKUP($AW182&amp;"初始",$O$3:$AA$63,MATCH(BE$3,$O$3:$AA$3,0),FALSE))*$AY182/VLOOKUP(VLOOKUP($AW182,坦克个性化设定!$B$18:$E$48,4,FALSE)&amp;$AX182,坦克属性分配比例,MATCH("升星次数",坦克属性分配比例标头,0),FALSE),0)</f>
        <v>213</v>
      </c>
      <c r="BF182" s="462">
        <f>ROUND(VLOOKUP($AW182,$AD$3:$AJ$33,MATCH(BF$3,$AD$3:$AJ$3,0),FALSE)+$AY182/VLOOKUP(VLOOKUP($AW182,坦克个性化设定!$B$18:$E$48,4,FALSE)&amp;$AX182,坦克属性分配比例,MATCH("升星次数",坦克属性分配比例标头,0),FALSE)*VLOOKUP($AW182,$AM$3:$AS$33,MATCH(BF$3,$AM$3:$AS$3,0),FALSE),1)</f>
        <v>42.1</v>
      </c>
      <c r="BG182" s="462">
        <f>ROUND(VLOOKUP($AW182,$AD$3:$AJ$33,MATCH(BG$3,$AD$3:$AJ$3,0),FALSE)+$AY182/VLOOKUP(VLOOKUP($AW182,坦克个性化设定!$B$18:$E$48,4,FALSE)&amp;$AX182,坦克属性分配比例,MATCH("升星次数",坦克属性分配比例标头,0),FALSE)*VLOOKUP($AW182,$AM$3:$AS$33,MATCH(BG$3,$AM$3:$AS$3,0),FALSE),1)</f>
        <v>59.1</v>
      </c>
      <c r="BH182" s="462">
        <f>ROUND(VLOOKUP($AW182,$AD$3:$AJ$33,MATCH(BH$3,$AD$3:$AJ$3,0),FALSE)+$AY182/VLOOKUP(VLOOKUP($AW182,坦克个性化设定!$B$18:$E$48,4,FALSE)&amp;$AX182,坦克属性分配比例,MATCH("升星次数",坦克属性分配比例标头,0),FALSE)*VLOOKUP($AW182,$AM$3:$AS$33,MATCH(BH$3,$AM$3:$AS$3,0),FALSE),1)</f>
        <v>13.5</v>
      </c>
      <c r="BI182" s="654">
        <f>IF(VLOOKUP(AW182,坦克个性化设定!$B$18:$BB$48,MATCH("装弹类型",坦克个性化设定!$B$18:$BB$18,0),FALSE)="弹夹换弹",0,ROUND(VLOOKUP($AW182,$AD$3:$AJ$33,MATCH("换弹时间",$AD$3:$AJ$3,0),FALSE)-$AY182/VLOOKUP(VLOOKUP($AW182,坦克个性化设定!$B$18:$E$48,4,FALSE)&amp;$AX182,坦克属性分配比例,MATCH("升星次数",坦克属性分配比例标头,0),FALSE)*VLOOKUP($AW182,$AM$3:$AS$33,MATCH("换弹时间",$AM$3:$AS$3,0),FALSE),2))</f>
        <v>3.95</v>
      </c>
      <c r="BJ182" s="462">
        <f>IF(VLOOKUP(AW182,坦克个性化设定!$B$18:$BB$48,MATCH("装弹类型",坦克个性化设定!$B$18:$BB$18,0),FALSE)="弹夹换弹",ROUND(VLOOKUP($AW182,$AD$3:$AJ$33,MATCH("换弹时间",$AD$3:$AJ$3,0),FALSE)-$AY182/VLOOKUP(VLOOKUP($AW182,坦克个性化设定!$B$18:$E$48,4,FALSE)&amp;$AX182,坦克属性分配比例,MATCH("升星次数",坦克属性分配比例标头,0),FALSE)*VLOOKUP($AW182,$AM$3:$AS$33,MATCH("换弹时间",$AM$3:$AS$3,0),FALSE),1),0)</f>
        <v>0</v>
      </c>
      <c r="BK182" s="462">
        <f>ROUND(VLOOKUP($AW182,$AD$3:$AJ$33,MATCH(BK$3,$AD$3:$AJ$3,0),FALSE)+$AY182/VLOOKUP(VLOOKUP($AW182,坦克个性化设定!$B$18:$E$48,4,FALSE)&amp;$AX182,坦克属性分配比例,MATCH("升星次数",坦克属性分配比例标头,0),FALSE)*VLOOKUP($AW182,$AM$3:$AS$33,MATCH(BK$3,$AM$3:$AS$3,0),FALSE),2)</f>
        <v>0</v>
      </c>
      <c r="BL182" s="462">
        <f>ROUND(VLOOKUP($AW182,$AD$3:$AJ$33,MATCH(BL$3,$AD$3:$AJ$3,0),FALSE)-$AY182/VLOOKUP(VLOOKUP($AW182,坦克个性化设定!$B$18:$E$48,4,FALSE)&amp;$AX182,坦克属性分配比例,MATCH("升星次数",坦克属性分配比例标头,0),FALSE)*VLOOKUP($AW182,$AM$3:$AS$33,MATCH(BL$3,$AM$3:$AS$3,0),FALSE),2)</f>
        <v>2.2000000000000002</v>
      </c>
    </row>
    <row r="183" spans="47:64" x14ac:dyDescent="0.35">
      <c r="AU183" s="364" t="str">
        <f t="shared" si="22"/>
        <v>彗星8</v>
      </c>
      <c r="AV183" s="183">
        <f>IF(AY182&gt;=VLOOKUP(VLOOKUP(AW182,坦克个性化设定!$B$18:$E$48,4,FALSE)&amp;AX182,坦克属性分配比例,MATCH("升星次数",坦克属性分配比例标头,0),FALSE),AV182+1,AV182)</f>
        <v>16</v>
      </c>
      <c r="AW183" s="131" t="str">
        <f t="shared" si="23"/>
        <v>彗星</v>
      </c>
      <c r="AX183" s="177" t="str">
        <f>VLOOKUP(AW183,坦克个性化细分!$I$3:$J$33,2,FALSE)</f>
        <v>高</v>
      </c>
      <c r="AY183" s="183">
        <f t="shared" si="21"/>
        <v>8</v>
      </c>
      <c r="AZ183" s="486">
        <f ca="1">ROUND(VLOOKUP($AW183&amp;"初始",$O$3:$AA$63,MATCH(AZ$3,$O$3:$AA$3,0),FALSE)+((VLOOKUP($AW183&amp;"最终",$O$3:$AA$63,MATCH(AZ$3,$O$3:$AA$3,0),FALSE)*坦克个性化细分!$C$9-VLOOKUP($AW183&amp;"初始",$O$3:$AA$63,MATCH(AZ$3,$O$3:$AA$3,0),FALSE))-(VLOOKUP($AW183&amp;"最终",$O$3:$AA$63,MATCH(AZ$3,$O$3:$AA$3,0),FALSE)-VLOOKUP($AW183&amp;"初始",$O$3:$AA$63,MATCH(AZ$3,$O$3:$AA$3,0),FALSE))*VLOOKUP(VLOOKUP($AW183,坦克个性化设定!$B$18:$E$48,4,FALSE)&amp;$AX183,坦克属性分配比例,MATCH("部件比例",坦克属性分配比例标头,0),FALSE))*$AY183/VLOOKUP(VLOOKUP($AW183,坦克个性化设定!$B$18:$E$48,4,FALSE)&amp;$AX183,坦克属性分配比例,MATCH("升星次数",坦克属性分配比例标头,0),FALSE),0)</f>
        <v>2401</v>
      </c>
      <c r="BA183" s="426">
        <f ca="1">ROUND(VLOOKUP($AW183&amp;"初始",$O$3:$AA$63,MATCH(BA$3,$O$3:$AA$3,0),FALSE)+(VLOOKUP($AW183&amp;"最终",$O$3:$AA$63,MATCH(BA$3,$O$3:$AA$3,0),FALSE)-VLOOKUP($AW183&amp;"初始",$O$3:$AA$63,MATCH(BA$3,$O$3:$AA$3,0),FALSE))*$AY183/VLOOKUP(VLOOKUP($AW183,坦克个性化设定!$B$18:$E$48,4,FALSE)&amp;$AX183,坦克属性分配比例,MATCH("升星次数",坦克属性分配比例标头,0),FALSE)*VLOOKUP(VLOOKUP($AW183,坦克个性化设定!$B$18:$E$48,4,FALSE)&amp;$AX183,坦克属性分配比例,MATCH("升星比例",坦克属性分配比例标头,0),FALSE),0)</f>
        <v>332</v>
      </c>
      <c r="BB183" s="486">
        <f ca="1">ROUND(VLOOKUP($AW183&amp;"初始",$O$3:$AA$63,MATCH(BB$3,$O$3:$AA$3,0),FALSE)+(VLOOKUP($AW183&amp;"最终",$O$3:$AA$63,MATCH(BB$3,$O$3:$AA$3,0),FALSE)-VLOOKUP($AW183&amp;"初始",$O$3:$AA$63,MATCH(BB$3,$O$3:$AA$3,0),FALSE))*$AY183/VLOOKUP(VLOOKUP($AW183,坦克个性化设定!$B$18:$E$48,4,FALSE)&amp;$AX183,坦克属性分配比例,MATCH("升星次数",坦克属性分配比例标头,0),FALSE)*(VLOOKUP(VLOOKUP($AW183,坦克个性化设定!$B$18:$E$48,4,FALSE)&amp;$AX183,坦克属性分配比例,MATCH("升星比例",坦克属性分配比例标头,0),FALSE)+VLOOKUP(VLOOKUP($AW183,坦克个性化设定!$B$18:$E$48,4,FALSE)&amp;$AX183,坦克属性分配比例,MATCH("部件比例",坦克属性分配比例标头,0),FALSE)*$C$3),0)</f>
        <v>783</v>
      </c>
      <c r="BC183" s="486">
        <f ca="1">ROUND(VLOOKUP($AW183&amp;"初始",$O$3:$AA$63,MATCH(BC$3,$O$3:$AA$3,0),FALSE)+(VLOOKUP($AW183&amp;"最终",$O$3:$AA$63,MATCH(BC$3,$O$3:$AA$3,0),FALSE)-VLOOKUP($AW183&amp;"初始",$O$3:$AA$63,MATCH(BC$3,$O$3:$AA$3,0),FALSE))*$AY183/VLOOKUP(VLOOKUP($AW183,坦克个性化设定!$B$18:$E$48,4,FALSE)&amp;$AX183,坦克属性分配比例,MATCH("升星次数",坦克属性分配比例标头,0),FALSE)*(VLOOKUP(VLOOKUP($AW183,坦克个性化设定!$B$18:$E$48,4,FALSE)&amp;$AX183,坦克属性分配比例,MATCH("升星比例",坦克属性分配比例标头,0),FALSE)+VLOOKUP(VLOOKUP($AW183,坦克个性化设定!$B$18:$E$48,4,FALSE)&amp;$AX183,坦克属性分配比例,MATCH("部件比例",坦克属性分配比例标头,0),FALSE)*$C$3),0)</f>
        <v>588</v>
      </c>
      <c r="BD183" s="426">
        <f ca="1">ROUND(VLOOKUP($AW183&amp;"初始",$O$3:$AA$63,MATCH(BD$3,$O$3:$AA$3,0),FALSE)+(VLOOKUP($AW183&amp;"最终",$O$3:$AA$63,MATCH(BD$3,$O$3:$AA$3,0),FALSE)-VLOOKUP($AW183&amp;"初始",$O$3:$AA$63,MATCH(BD$3,$O$3:$AA$3,0),FALSE))*$AY183/VLOOKUP(VLOOKUP($AW183,坦克个性化设定!$B$18:$E$48,4,FALSE)&amp;$AX183,坦克属性分配比例,MATCH("升星次数",坦克属性分配比例标头,0),FALSE)*VLOOKUP(VLOOKUP($AW183,坦克个性化设定!$B$18:$E$48,4,FALSE)&amp;$AX183,坦克属性分配比例,MATCH("升星比例",坦克属性分配比例标头,0),FALSE),0)</f>
        <v>778</v>
      </c>
      <c r="BE183" s="426">
        <f ca="1">ROUND(VLOOKUP($AW183&amp;"初始",$O$3:$AA$63,MATCH(BE$3,$O$3:$AA$3,0),FALSE)+(VLOOKUP($AW183&amp;"最终",$O$3:$AA$63,MATCH(BE$3,$O$3:$AA$3,0),FALSE)-VLOOKUP($AW183&amp;"初始",$O$3:$AA$63,MATCH(BE$3,$O$3:$AA$3,0),FALSE))*$AY183/VLOOKUP(VLOOKUP($AW183,坦克个性化设定!$B$18:$E$48,4,FALSE)&amp;$AX183,坦克属性分配比例,MATCH("升星次数",坦克属性分配比例标头,0),FALSE),0)</f>
        <v>223</v>
      </c>
      <c r="BF183" s="462">
        <f>ROUND(VLOOKUP($AW183,$AD$3:$AJ$33,MATCH(BF$3,$AD$3:$AJ$3,0),FALSE)+$AY183/VLOOKUP(VLOOKUP($AW183,坦克个性化设定!$B$18:$E$48,4,FALSE)&amp;$AX183,坦克属性分配比例,MATCH("升星次数",坦克属性分配比例标头,0),FALSE)*VLOOKUP($AW183,$AM$3:$AS$33,MATCH(BF$3,$AM$3:$AS$3,0),FALSE),1)</f>
        <v>42.7</v>
      </c>
      <c r="BG183" s="462">
        <f>ROUND(VLOOKUP($AW183,$AD$3:$AJ$33,MATCH(BG$3,$AD$3:$AJ$3,0),FALSE)+$AY183/VLOOKUP(VLOOKUP($AW183,坦克个性化设定!$B$18:$E$48,4,FALSE)&amp;$AX183,坦克属性分配比例,MATCH("升星次数",坦克属性分配比例标头,0),FALSE)*VLOOKUP($AW183,$AM$3:$AS$33,MATCH(BG$3,$AM$3:$AS$3,0),FALSE),1)</f>
        <v>60</v>
      </c>
      <c r="BH183" s="462">
        <f>ROUND(VLOOKUP($AW183,$AD$3:$AJ$33,MATCH(BH$3,$AD$3:$AJ$3,0),FALSE)+$AY183/VLOOKUP(VLOOKUP($AW183,坦克个性化设定!$B$18:$E$48,4,FALSE)&amp;$AX183,坦克属性分配比例,MATCH("升星次数",坦克属性分配比例标头,0),FALSE)*VLOOKUP($AW183,$AM$3:$AS$33,MATCH(BH$3,$AM$3:$AS$3,0),FALSE),1)</f>
        <v>13.8</v>
      </c>
      <c r="BI183" s="654">
        <f>IF(VLOOKUP(AW183,坦克个性化设定!$B$18:$BB$48,MATCH("装弹类型",坦克个性化设定!$B$18:$BB$18,0),FALSE)="弹夹换弹",0,ROUND(VLOOKUP($AW183,$AD$3:$AJ$33,MATCH("换弹时间",$AD$3:$AJ$3,0),FALSE)-$AY183/VLOOKUP(VLOOKUP($AW183,坦克个性化设定!$B$18:$E$48,4,FALSE)&amp;$AX183,坦克属性分配比例,MATCH("升星次数",坦克属性分配比例标头,0),FALSE)*VLOOKUP($AW183,$AM$3:$AS$33,MATCH("换弹时间",$AM$3:$AS$3,0),FALSE),2))</f>
        <v>3.87</v>
      </c>
      <c r="BJ183" s="462">
        <f>IF(VLOOKUP(AW183,坦克个性化设定!$B$18:$BB$48,MATCH("装弹类型",坦克个性化设定!$B$18:$BB$18,0),FALSE)="弹夹换弹",ROUND(VLOOKUP($AW183,$AD$3:$AJ$33,MATCH("换弹时间",$AD$3:$AJ$3,0),FALSE)-$AY183/VLOOKUP(VLOOKUP($AW183,坦克个性化设定!$B$18:$E$48,4,FALSE)&amp;$AX183,坦克属性分配比例,MATCH("升星次数",坦克属性分配比例标头,0),FALSE)*VLOOKUP($AW183,$AM$3:$AS$33,MATCH("换弹时间",$AM$3:$AS$3,0),FALSE),1),0)</f>
        <v>0</v>
      </c>
      <c r="BK183" s="462">
        <f>ROUND(VLOOKUP($AW183,$AD$3:$AJ$33,MATCH(BK$3,$AD$3:$AJ$3,0),FALSE)+$AY183/VLOOKUP(VLOOKUP($AW183,坦克个性化设定!$B$18:$E$48,4,FALSE)&amp;$AX183,坦克属性分配比例,MATCH("升星次数",坦克属性分配比例标头,0),FALSE)*VLOOKUP($AW183,$AM$3:$AS$33,MATCH(BK$3,$AM$3:$AS$3,0),FALSE),2)</f>
        <v>0</v>
      </c>
      <c r="BL183" s="462">
        <f>ROUND(VLOOKUP($AW183,$AD$3:$AJ$33,MATCH(BL$3,$AD$3:$AJ$3,0),FALSE)-$AY183/VLOOKUP(VLOOKUP($AW183,坦克个性化设定!$B$18:$E$48,4,FALSE)&amp;$AX183,坦克属性分配比例,MATCH("升星次数",坦克属性分配比例标头,0),FALSE)*VLOOKUP($AW183,$AM$3:$AS$33,MATCH(BL$3,$AM$3:$AS$3,0),FALSE),2)</f>
        <v>2.17</v>
      </c>
    </row>
    <row r="184" spans="47:64" x14ac:dyDescent="0.35">
      <c r="AU184" s="364" t="str">
        <f t="shared" si="22"/>
        <v>彗星9</v>
      </c>
      <c r="AV184" s="183">
        <f>IF(AY183&gt;=VLOOKUP(VLOOKUP(AW183,坦克个性化设定!$B$18:$E$48,4,FALSE)&amp;AX183,坦克属性分配比例,MATCH("升星次数",坦克属性分配比例标头,0),FALSE),AV183+1,AV183)</f>
        <v>16</v>
      </c>
      <c r="AW184" s="131" t="str">
        <f t="shared" si="23"/>
        <v>彗星</v>
      </c>
      <c r="AX184" s="177" t="str">
        <f>VLOOKUP(AW184,坦克个性化细分!$I$3:$J$33,2,FALSE)</f>
        <v>高</v>
      </c>
      <c r="AY184" s="183">
        <f t="shared" si="21"/>
        <v>9</v>
      </c>
      <c r="AZ184" s="486">
        <f ca="1">ROUND(VLOOKUP($AW184&amp;"初始",$O$3:$AA$63,MATCH(AZ$3,$O$3:$AA$3,0),FALSE)+((VLOOKUP($AW184&amp;"最终",$O$3:$AA$63,MATCH(AZ$3,$O$3:$AA$3,0),FALSE)*坦克个性化细分!$C$9-VLOOKUP($AW184&amp;"初始",$O$3:$AA$63,MATCH(AZ$3,$O$3:$AA$3,0),FALSE))-(VLOOKUP($AW184&amp;"最终",$O$3:$AA$63,MATCH(AZ$3,$O$3:$AA$3,0),FALSE)-VLOOKUP($AW184&amp;"初始",$O$3:$AA$63,MATCH(AZ$3,$O$3:$AA$3,0),FALSE))*VLOOKUP(VLOOKUP($AW184,坦克个性化设定!$B$18:$E$48,4,FALSE)&amp;$AX184,坦克属性分配比例,MATCH("部件比例",坦克属性分配比例标头,0),FALSE))*$AY184/VLOOKUP(VLOOKUP($AW184,坦克个性化设定!$B$18:$E$48,4,FALSE)&amp;$AX184,坦克属性分配比例,MATCH("升星次数",坦克属性分配比例标头,0),FALSE),0)</f>
        <v>2522</v>
      </c>
      <c r="BA184" s="426">
        <f ca="1">ROUND(VLOOKUP($AW184&amp;"初始",$O$3:$AA$63,MATCH(BA$3,$O$3:$AA$3,0),FALSE)+(VLOOKUP($AW184&amp;"最终",$O$3:$AA$63,MATCH(BA$3,$O$3:$AA$3,0),FALSE)-VLOOKUP($AW184&amp;"初始",$O$3:$AA$63,MATCH(BA$3,$O$3:$AA$3,0),FALSE))*$AY184/VLOOKUP(VLOOKUP($AW184,坦克个性化设定!$B$18:$E$48,4,FALSE)&amp;$AX184,坦克属性分配比例,MATCH("升星次数",坦克属性分配比例标头,0),FALSE)*VLOOKUP(VLOOKUP($AW184,坦克个性化设定!$B$18:$E$48,4,FALSE)&amp;$AX184,坦克属性分配比例,MATCH("升星比例",坦克属性分配比例标头,0),FALSE),0)</f>
        <v>343</v>
      </c>
      <c r="BB184" s="486">
        <f ca="1">ROUND(VLOOKUP($AW184&amp;"初始",$O$3:$AA$63,MATCH(BB$3,$O$3:$AA$3,0),FALSE)+(VLOOKUP($AW184&amp;"最终",$O$3:$AA$63,MATCH(BB$3,$O$3:$AA$3,0),FALSE)-VLOOKUP($AW184&amp;"初始",$O$3:$AA$63,MATCH(BB$3,$O$3:$AA$3,0),FALSE))*$AY184/VLOOKUP(VLOOKUP($AW184,坦克个性化设定!$B$18:$E$48,4,FALSE)&amp;$AX184,坦克属性分配比例,MATCH("升星次数",坦克属性分配比例标头,0),FALSE)*(VLOOKUP(VLOOKUP($AW184,坦克个性化设定!$B$18:$E$48,4,FALSE)&amp;$AX184,坦克属性分配比例,MATCH("升星比例",坦克属性分配比例标头,0),FALSE)+VLOOKUP(VLOOKUP($AW184,坦克个性化设定!$B$18:$E$48,4,FALSE)&amp;$AX184,坦克属性分配比例,MATCH("部件比例",坦克属性分配比例标头,0),FALSE)*$C$3),0)</f>
        <v>815</v>
      </c>
      <c r="BC184" s="486">
        <f ca="1">ROUND(VLOOKUP($AW184&amp;"初始",$O$3:$AA$63,MATCH(BC$3,$O$3:$AA$3,0),FALSE)+(VLOOKUP($AW184&amp;"最终",$O$3:$AA$63,MATCH(BC$3,$O$3:$AA$3,0),FALSE)-VLOOKUP($AW184&amp;"初始",$O$3:$AA$63,MATCH(BC$3,$O$3:$AA$3,0),FALSE))*$AY184/VLOOKUP(VLOOKUP($AW184,坦克个性化设定!$B$18:$E$48,4,FALSE)&amp;$AX184,坦克属性分配比例,MATCH("升星次数",坦克属性分配比例标头,0),FALSE)*(VLOOKUP(VLOOKUP($AW184,坦克个性化设定!$B$18:$E$48,4,FALSE)&amp;$AX184,坦克属性分配比例,MATCH("升星比例",坦克属性分配比例标头,0),FALSE)+VLOOKUP(VLOOKUP($AW184,坦克个性化设定!$B$18:$E$48,4,FALSE)&amp;$AX184,坦克属性分配比例,MATCH("部件比例",坦克属性分配比例标头,0),FALSE)*$C$3),0)</f>
        <v>611</v>
      </c>
      <c r="BD184" s="426">
        <f ca="1">ROUND(VLOOKUP($AW184&amp;"初始",$O$3:$AA$63,MATCH(BD$3,$O$3:$AA$3,0),FALSE)+(VLOOKUP($AW184&amp;"最终",$O$3:$AA$63,MATCH(BD$3,$O$3:$AA$3,0),FALSE)-VLOOKUP($AW184&amp;"初始",$O$3:$AA$63,MATCH(BD$3,$O$3:$AA$3,0),FALSE))*$AY184/VLOOKUP(VLOOKUP($AW184,坦克个性化设定!$B$18:$E$48,4,FALSE)&amp;$AX184,坦克属性分配比例,MATCH("升星次数",坦克属性分配比例标头,0),FALSE)*VLOOKUP(VLOOKUP($AW184,坦克个性化设定!$B$18:$E$48,4,FALSE)&amp;$AX184,坦克属性分配比例,MATCH("升星比例",坦克属性分配比例标头,0),FALSE),0)</f>
        <v>802</v>
      </c>
      <c r="BE184" s="426">
        <f ca="1">ROUND(VLOOKUP($AW184&amp;"初始",$O$3:$AA$63,MATCH(BE$3,$O$3:$AA$3,0),FALSE)+(VLOOKUP($AW184&amp;"最终",$O$3:$AA$63,MATCH(BE$3,$O$3:$AA$3,0),FALSE)-VLOOKUP($AW184&amp;"初始",$O$3:$AA$63,MATCH(BE$3,$O$3:$AA$3,0),FALSE))*$AY184/VLOOKUP(VLOOKUP($AW184,坦克个性化设定!$B$18:$E$48,4,FALSE)&amp;$AX184,坦克属性分配比例,MATCH("升星次数",坦克属性分配比例标头,0),FALSE),0)</f>
        <v>233</v>
      </c>
      <c r="BF184" s="462">
        <f>ROUND(VLOOKUP($AW184,$AD$3:$AJ$33,MATCH(BF$3,$AD$3:$AJ$3,0),FALSE)+$AY184/VLOOKUP(VLOOKUP($AW184,坦克个性化设定!$B$18:$E$48,4,FALSE)&amp;$AX184,坦克属性分配比例,MATCH("升星次数",坦克属性分配比例标头,0),FALSE)*VLOOKUP($AW184,$AM$3:$AS$33,MATCH(BF$3,$AM$3:$AS$3,0),FALSE),1)</f>
        <v>43.4</v>
      </c>
      <c r="BG184" s="462">
        <f>ROUND(VLOOKUP($AW184,$AD$3:$AJ$33,MATCH(BG$3,$AD$3:$AJ$3,0),FALSE)+$AY184/VLOOKUP(VLOOKUP($AW184,坦克个性化设定!$B$18:$E$48,4,FALSE)&amp;$AX184,坦克属性分配比例,MATCH("升星次数",坦克属性分配比例标头,0),FALSE)*VLOOKUP($AW184,$AM$3:$AS$33,MATCH(BG$3,$AM$3:$AS$3,0),FALSE),1)</f>
        <v>60.9</v>
      </c>
      <c r="BH184" s="462">
        <f>ROUND(VLOOKUP($AW184,$AD$3:$AJ$33,MATCH(BH$3,$AD$3:$AJ$3,0),FALSE)+$AY184/VLOOKUP(VLOOKUP($AW184,坦克个性化设定!$B$18:$E$48,4,FALSE)&amp;$AX184,坦克属性分配比例,MATCH("升星次数",坦克属性分配比例标头,0),FALSE)*VLOOKUP($AW184,$AM$3:$AS$33,MATCH(BH$3,$AM$3:$AS$3,0),FALSE),1)</f>
        <v>14</v>
      </c>
      <c r="BI184" s="654">
        <f>IF(VLOOKUP(AW184,坦克个性化设定!$B$18:$BB$48,MATCH("装弹类型",坦克个性化设定!$B$18:$BB$18,0),FALSE)="弹夹换弹",0,ROUND(VLOOKUP($AW184,$AD$3:$AJ$33,MATCH("换弹时间",$AD$3:$AJ$3,0),FALSE)-$AY184/VLOOKUP(VLOOKUP($AW184,坦克个性化设定!$B$18:$E$48,4,FALSE)&amp;$AX184,坦克属性分配比例,MATCH("升星次数",坦克属性分配比例标头,0),FALSE)*VLOOKUP($AW184,$AM$3:$AS$33,MATCH("换弹时间",$AM$3:$AS$3,0),FALSE),2))</f>
        <v>3.79</v>
      </c>
      <c r="BJ184" s="462">
        <f>IF(VLOOKUP(AW184,坦克个性化设定!$B$18:$BB$48,MATCH("装弹类型",坦克个性化设定!$B$18:$BB$18,0),FALSE)="弹夹换弹",ROUND(VLOOKUP($AW184,$AD$3:$AJ$33,MATCH("换弹时间",$AD$3:$AJ$3,0),FALSE)-$AY184/VLOOKUP(VLOOKUP($AW184,坦克个性化设定!$B$18:$E$48,4,FALSE)&amp;$AX184,坦克属性分配比例,MATCH("升星次数",坦克属性分配比例标头,0),FALSE)*VLOOKUP($AW184,$AM$3:$AS$33,MATCH("换弹时间",$AM$3:$AS$3,0),FALSE),1),0)</f>
        <v>0</v>
      </c>
      <c r="BK184" s="462">
        <f>ROUND(VLOOKUP($AW184,$AD$3:$AJ$33,MATCH(BK$3,$AD$3:$AJ$3,0),FALSE)+$AY184/VLOOKUP(VLOOKUP($AW184,坦克个性化设定!$B$18:$E$48,4,FALSE)&amp;$AX184,坦克属性分配比例,MATCH("升星次数",坦克属性分配比例标头,0),FALSE)*VLOOKUP($AW184,$AM$3:$AS$33,MATCH(BK$3,$AM$3:$AS$3,0),FALSE),2)</f>
        <v>0</v>
      </c>
      <c r="BL184" s="462">
        <f>ROUND(VLOOKUP($AW184,$AD$3:$AJ$33,MATCH(BL$3,$AD$3:$AJ$3,0),FALSE)-$AY184/VLOOKUP(VLOOKUP($AW184,坦克个性化设定!$B$18:$E$48,4,FALSE)&amp;$AX184,坦克属性分配比例,MATCH("升星次数",坦克属性分配比例标头,0),FALSE)*VLOOKUP($AW184,$AM$3:$AS$33,MATCH(BL$3,$AM$3:$AS$3,0),FALSE),2)</f>
        <v>2.14</v>
      </c>
    </row>
    <row r="185" spans="47:64" x14ac:dyDescent="0.35">
      <c r="AU185" s="364" t="str">
        <f t="shared" si="22"/>
        <v>彗星10</v>
      </c>
      <c r="AV185" s="183">
        <f>IF(AY184&gt;=VLOOKUP(VLOOKUP(AW184,坦克个性化设定!$B$18:$E$48,4,FALSE)&amp;AX184,坦克属性分配比例,MATCH("升星次数",坦克属性分配比例标头,0),FALSE),AV184+1,AV184)</f>
        <v>16</v>
      </c>
      <c r="AW185" s="131" t="str">
        <f t="shared" si="23"/>
        <v>彗星</v>
      </c>
      <c r="AX185" s="177" t="str">
        <f>VLOOKUP(AW185,坦克个性化细分!$I$3:$J$33,2,FALSE)</f>
        <v>高</v>
      </c>
      <c r="AY185" s="183">
        <f t="shared" si="21"/>
        <v>10</v>
      </c>
      <c r="AZ185" s="486">
        <f ca="1">ROUND(VLOOKUP($AW185&amp;"初始",$O$3:$AA$63,MATCH(AZ$3,$O$3:$AA$3,0),FALSE)+((VLOOKUP($AW185&amp;"最终",$O$3:$AA$63,MATCH(AZ$3,$O$3:$AA$3,0),FALSE)*坦克个性化细分!$C$9-VLOOKUP($AW185&amp;"初始",$O$3:$AA$63,MATCH(AZ$3,$O$3:$AA$3,0),FALSE))-(VLOOKUP($AW185&amp;"最终",$O$3:$AA$63,MATCH(AZ$3,$O$3:$AA$3,0),FALSE)-VLOOKUP($AW185&amp;"初始",$O$3:$AA$63,MATCH(AZ$3,$O$3:$AA$3,0),FALSE))*VLOOKUP(VLOOKUP($AW185,坦克个性化设定!$B$18:$E$48,4,FALSE)&amp;$AX185,坦克属性分配比例,MATCH("部件比例",坦克属性分配比例标头,0),FALSE))*$AY185/VLOOKUP(VLOOKUP($AW185,坦克个性化设定!$B$18:$E$48,4,FALSE)&amp;$AX185,坦克属性分配比例,MATCH("升星次数",坦克属性分配比例标头,0),FALSE),0)</f>
        <v>2643</v>
      </c>
      <c r="BA185" s="426">
        <f ca="1">ROUND(VLOOKUP($AW185&amp;"初始",$O$3:$AA$63,MATCH(BA$3,$O$3:$AA$3,0),FALSE)+(VLOOKUP($AW185&amp;"最终",$O$3:$AA$63,MATCH(BA$3,$O$3:$AA$3,0),FALSE)-VLOOKUP($AW185&amp;"初始",$O$3:$AA$63,MATCH(BA$3,$O$3:$AA$3,0),FALSE))*$AY185/VLOOKUP(VLOOKUP($AW185,坦克个性化设定!$B$18:$E$48,4,FALSE)&amp;$AX185,坦克属性分配比例,MATCH("升星次数",坦克属性分配比例标头,0),FALSE)*VLOOKUP(VLOOKUP($AW185,坦克个性化设定!$B$18:$E$48,4,FALSE)&amp;$AX185,坦克属性分配比例,MATCH("升星比例",坦克属性分配比例标头,0),FALSE),0)</f>
        <v>353</v>
      </c>
      <c r="BB185" s="486">
        <f ca="1">ROUND(VLOOKUP($AW185&amp;"初始",$O$3:$AA$63,MATCH(BB$3,$O$3:$AA$3,0),FALSE)+(VLOOKUP($AW185&amp;"最终",$O$3:$AA$63,MATCH(BB$3,$O$3:$AA$3,0),FALSE)-VLOOKUP($AW185&amp;"初始",$O$3:$AA$63,MATCH(BB$3,$O$3:$AA$3,0),FALSE))*$AY185/VLOOKUP(VLOOKUP($AW185,坦克个性化设定!$B$18:$E$48,4,FALSE)&amp;$AX185,坦克属性分配比例,MATCH("升星次数",坦克属性分配比例标头,0),FALSE)*(VLOOKUP(VLOOKUP($AW185,坦克个性化设定!$B$18:$E$48,4,FALSE)&amp;$AX185,坦克属性分配比例,MATCH("升星比例",坦克属性分配比例标头,0),FALSE)+VLOOKUP(VLOOKUP($AW185,坦克个性化设定!$B$18:$E$48,4,FALSE)&amp;$AX185,坦克属性分配比例,MATCH("部件比例",坦克属性分配比例标头,0),FALSE)*$C$3),0)</f>
        <v>846</v>
      </c>
      <c r="BC185" s="486">
        <f ca="1">ROUND(VLOOKUP($AW185&amp;"初始",$O$3:$AA$63,MATCH(BC$3,$O$3:$AA$3,0),FALSE)+(VLOOKUP($AW185&amp;"最终",$O$3:$AA$63,MATCH(BC$3,$O$3:$AA$3,0),FALSE)-VLOOKUP($AW185&amp;"初始",$O$3:$AA$63,MATCH(BC$3,$O$3:$AA$3,0),FALSE))*$AY185/VLOOKUP(VLOOKUP($AW185,坦克个性化设定!$B$18:$E$48,4,FALSE)&amp;$AX185,坦克属性分配比例,MATCH("升星次数",坦克属性分配比例标头,0),FALSE)*(VLOOKUP(VLOOKUP($AW185,坦克个性化设定!$B$18:$E$48,4,FALSE)&amp;$AX185,坦克属性分配比例,MATCH("升星比例",坦克属性分配比例标头,0),FALSE)+VLOOKUP(VLOOKUP($AW185,坦克个性化设定!$B$18:$E$48,4,FALSE)&amp;$AX185,坦克属性分配比例,MATCH("部件比例",坦克属性分配比例标头,0),FALSE)*$C$3),0)</f>
        <v>635</v>
      </c>
      <c r="BD185" s="426">
        <f ca="1">ROUND(VLOOKUP($AW185&amp;"初始",$O$3:$AA$63,MATCH(BD$3,$O$3:$AA$3,0),FALSE)+(VLOOKUP($AW185&amp;"最终",$O$3:$AA$63,MATCH(BD$3,$O$3:$AA$3,0),FALSE)-VLOOKUP($AW185&amp;"初始",$O$3:$AA$63,MATCH(BD$3,$O$3:$AA$3,0),FALSE))*$AY185/VLOOKUP(VLOOKUP($AW185,坦克个性化设定!$B$18:$E$48,4,FALSE)&amp;$AX185,坦克属性分配比例,MATCH("升星次数",坦克属性分配比例标头,0),FALSE)*VLOOKUP(VLOOKUP($AW185,坦克个性化设定!$B$18:$E$48,4,FALSE)&amp;$AX185,坦克属性分配比例,MATCH("升星比例",坦克属性分配比例标头,0),FALSE),0)</f>
        <v>826</v>
      </c>
      <c r="BE185" s="426">
        <f ca="1">ROUND(VLOOKUP($AW185&amp;"初始",$O$3:$AA$63,MATCH(BE$3,$O$3:$AA$3,0),FALSE)+(VLOOKUP($AW185&amp;"最终",$O$3:$AA$63,MATCH(BE$3,$O$3:$AA$3,0),FALSE)-VLOOKUP($AW185&amp;"初始",$O$3:$AA$63,MATCH(BE$3,$O$3:$AA$3,0),FALSE))*$AY185/VLOOKUP(VLOOKUP($AW185,坦克个性化设定!$B$18:$E$48,4,FALSE)&amp;$AX185,坦克属性分配比例,MATCH("升星次数",坦克属性分配比例标头,0),FALSE),0)</f>
        <v>243</v>
      </c>
      <c r="BF185" s="462">
        <f>ROUND(VLOOKUP($AW185,$AD$3:$AJ$33,MATCH(BF$3,$AD$3:$AJ$3,0),FALSE)+$AY185/VLOOKUP(VLOOKUP($AW185,坦克个性化设定!$B$18:$E$48,4,FALSE)&amp;$AX185,坦克属性分配比例,MATCH("升星次数",坦克属性分配比例标头,0),FALSE)*VLOOKUP($AW185,$AM$3:$AS$33,MATCH(BF$3,$AM$3:$AS$3,0),FALSE),1)</f>
        <v>44.1</v>
      </c>
      <c r="BG185" s="462">
        <f>ROUND(VLOOKUP($AW185,$AD$3:$AJ$33,MATCH(BG$3,$AD$3:$AJ$3,0),FALSE)+$AY185/VLOOKUP(VLOOKUP($AW185,坦克个性化设定!$B$18:$E$48,4,FALSE)&amp;$AX185,坦克属性分配比例,MATCH("升星次数",坦克属性分配比例标头,0),FALSE)*VLOOKUP($AW185,$AM$3:$AS$33,MATCH(BG$3,$AM$3:$AS$3,0),FALSE),1)</f>
        <v>61.9</v>
      </c>
      <c r="BH185" s="462">
        <f>ROUND(VLOOKUP($AW185,$AD$3:$AJ$33,MATCH(BH$3,$AD$3:$AJ$3,0),FALSE)+$AY185/VLOOKUP(VLOOKUP($AW185,坦克个性化设定!$B$18:$E$48,4,FALSE)&amp;$AX185,坦克属性分配比例,MATCH("升星次数",坦克属性分配比例标头,0),FALSE)*VLOOKUP($AW185,$AM$3:$AS$33,MATCH(BH$3,$AM$3:$AS$3,0),FALSE),1)</f>
        <v>14.3</v>
      </c>
      <c r="BI185" s="654">
        <f>IF(VLOOKUP(AW185,坦克个性化设定!$B$18:$BB$48,MATCH("装弹类型",坦克个性化设定!$B$18:$BB$18,0),FALSE)="弹夹换弹",0,ROUND(VLOOKUP($AW185,$AD$3:$AJ$33,MATCH("换弹时间",$AD$3:$AJ$3,0),FALSE)-$AY185/VLOOKUP(VLOOKUP($AW185,坦克个性化设定!$B$18:$E$48,4,FALSE)&amp;$AX185,坦克属性分配比例,MATCH("升星次数",坦克属性分配比例标头,0),FALSE)*VLOOKUP($AW185,$AM$3:$AS$33,MATCH("换弹时间",$AM$3:$AS$3,0),FALSE),2))</f>
        <v>3.72</v>
      </c>
      <c r="BJ185" s="462">
        <f>IF(VLOOKUP(AW185,坦克个性化设定!$B$18:$BB$48,MATCH("装弹类型",坦克个性化设定!$B$18:$BB$18,0),FALSE)="弹夹换弹",ROUND(VLOOKUP($AW185,$AD$3:$AJ$33,MATCH("换弹时间",$AD$3:$AJ$3,0),FALSE)-$AY185/VLOOKUP(VLOOKUP($AW185,坦克个性化设定!$B$18:$E$48,4,FALSE)&amp;$AX185,坦克属性分配比例,MATCH("升星次数",坦克属性分配比例标头,0),FALSE)*VLOOKUP($AW185,$AM$3:$AS$33,MATCH("换弹时间",$AM$3:$AS$3,0),FALSE),1),0)</f>
        <v>0</v>
      </c>
      <c r="BK185" s="462">
        <f>ROUND(VLOOKUP($AW185,$AD$3:$AJ$33,MATCH(BK$3,$AD$3:$AJ$3,0),FALSE)+$AY185/VLOOKUP(VLOOKUP($AW185,坦克个性化设定!$B$18:$E$48,4,FALSE)&amp;$AX185,坦克属性分配比例,MATCH("升星次数",坦克属性分配比例标头,0),FALSE)*VLOOKUP($AW185,$AM$3:$AS$33,MATCH(BK$3,$AM$3:$AS$3,0),FALSE),2)</f>
        <v>0</v>
      </c>
      <c r="BL185" s="462">
        <f>ROUND(VLOOKUP($AW185,$AD$3:$AJ$33,MATCH(BL$3,$AD$3:$AJ$3,0),FALSE)-$AY185/VLOOKUP(VLOOKUP($AW185,坦克个性化设定!$B$18:$E$48,4,FALSE)&amp;$AX185,坦克属性分配比例,MATCH("升星次数",坦克属性分配比例标头,0),FALSE)*VLOOKUP($AW185,$AM$3:$AS$33,MATCH(BL$3,$AM$3:$AS$3,0),FALSE),2)</f>
        <v>2.11</v>
      </c>
    </row>
    <row r="186" spans="47:64" x14ac:dyDescent="0.35">
      <c r="AU186" s="364" t="str">
        <f t="shared" si="22"/>
        <v>彗星11</v>
      </c>
      <c r="AV186" s="183">
        <f>IF(AY185&gt;=VLOOKUP(VLOOKUP(AW185,坦克个性化设定!$B$18:$E$48,4,FALSE)&amp;AX185,坦克属性分配比例,MATCH("升星次数",坦克属性分配比例标头,0),FALSE),AV185+1,AV185)</f>
        <v>16</v>
      </c>
      <c r="AW186" s="131" t="str">
        <f t="shared" si="23"/>
        <v>彗星</v>
      </c>
      <c r="AX186" s="177" t="str">
        <f>VLOOKUP(AW186,坦克个性化细分!$I$3:$J$33,2,FALSE)</f>
        <v>高</v>
      </c>
      <c r="AY186" s="183">
        <f t="shared" si="21"/>
        <v>11</v>
      </c>
      <c r="AZ186" s="486">
        <f ca="1">ROUND(VLOOKUP($AW186&amp;"初始",$O$3:$AA$63,MATCH(AZ$3,$O$3:$AA$3,0),FALSE)+((VLOOKUP($AW186&amp;"最终",$O$3:$AA$63,MATCH(AZ$3,$O$3:$AA$3,0),FALSE)*坦克个性化细分!$C$9-VLOOKUP($AW186&amp;"初始",$O$3:$AA$63,MATCH(AZ$3,$O$3:$AA$3,0),FALSE))-(VLOOKUP($AW186&amp;"最终",$O$3:$AA$63,MATCH(AZ$3,$O$3:$AA$3,0),FALSE)-VLOOKUP($AW186&amp;"初始",$O$3:$AA$63,MATCH(AZ$3,$O$3:$AA$3,0),FALSE))*VLOOKUP(VLOOKUP($AW186,坦克个性化设定!$B$18:$E$48,4,FALSE)&amp;$AX186,坦克属性分配比例,MATCH("部件比例",坦克属性分配比例标头,0),FALSE))*$AY186/VLOOKUP(VLOOKUP($AW186,坦克个性化设定!$B$18:$E$48,4,FALSE)&amp;$AX186,坦克属性分配比例,MATCH("升星次数",坦克属性分配比例标头,0),FALSE),0)</f>
        <v>2764</v>
      </c>
      <c r="BA186" s="426">
        <f ca="1">ROUND(VLOOKUP($AW186&amp;"初始",$O$3:$AA$63,MATCH(BA$3,$O$3:$AA$3,0),FALSE)+(VLOOKUP($AW186&amp;"最终",$O$3:$AA$63,MATCH(BA$3,$O$3:$AA$3,0),FALSE)-VLOOKUP($AW186&amp;"初始",$O$3:$AA$63,MATCH(BA$3,$O$3:$AA$3,0),FALSE))*$AY186/VLOOKUP(VLOOKUP($AW186,坦克个性化设定!$B$18:$E$48,4,FALSE)&amp;$AX186,坦克属性分配比例,MATCH("升星次数",坦克属性分配比例标头,0),FALSE)*VLOOKUP(VLOOKUP($AW186,坦克个性化设定!$B$18:$E$48,4,FALSE)&amp;$AX186,坦克属性分配比例,MATCH("升星比例",坦克属性分配比例标头,0),FALSE),0)</f>
        <v>364</v>
      </c>
      <c r="BB186" s="486">
        <f ca="1">ROUND(VLOOKUP($AW186&amp;"初始",$O$3:$AA$63,MATCH(BB$3,$O$3:$AA$3,0),FALSE)+(VLOOKUP($AW186&amp;"最终",$O$3:$AA$63,MATCH(BB$3,$O$3:$AA$3,0),FALSE)-VLOOKUP($AW186&amp;"初始",$O$3:$AA$63,MATCH(BB$3,$O$3:$AA$3,0),FALSE))*$AY186/VLOOKUP(VLOOKUP($AW186,坦克个性化设定!$B$18:$E$48,4,FALSE)&amp;$AX186,坦克属性分配比例,MATCH("升星次数",坦克属性分配比例标头,0),FALSE)*(VLOOKUP(VLOOKUP($AW186,坦克个性化设定!$B$18:$E$48,4,FALSE)&amp;$AX186,坦克属性分配比例,MATCH("升星比例",坦克属性分配比例标头,0),FALSE)+VLOOKUP(VLOOKUP($AW186,坦克个性化设定!$B$18:$E$48,4,FALSE)&amp;$AX186,坦克属性分配比例,MATCH("部件比例",坦克属性分配比例标头,0),FALSE)*$C$3),0)</f>
        <v>878</v>
      </c>
      <c r="BC186" s="486">
        <f ca="1">ROUND(VLOOKUP($AW186&amp;"初始",$O$3:$AA$63,MATCH(BC$3,$O$3:$AA$3,0),FALSE)+(VLOOKUP($AW186&amp;"最终",$O$3:$AA$63,MATCH(BC$3,$O$3:$AA$3,0),FALSE)-VLOOKUP($AW186&amp;"初始",$O$3:$AA$63,MATCH(BC$3,$O$3:$AA$3,0),FALSE))*$AY186/VLOOKUP(VLOOKUP($AW186,坦克个性化设定!$B$18:$E$48,4,FALSE)&amp;$AX186,坦克属性分配比例,MATCH("升星次数",坦克属性分配比例标头,0),FALSE)*(VLOOKUP(VLOOKUP($AW186,坦克个性化设定!$B$18:$E$48,4,FALSE)&amp;$AX186,坦克属性分配比例,MATCH("升星比例",坦克属性分配比例标头,0),FALSE)+VLOOKUP(VLOOKUP($AW186,坦克个性化设定!$B$18:$E$48,4,FALSE)&amp;$AX186,坦克属性分配比例,MATCH("部件比例",坦克属性分配比例标头,0),FALSE)*$C$3),0)</f>
        <v>659</v>
      </c>
      <c r="BD186" s="426">
        <f ca="1">ROUND(VLOOKUP($AW186&amp;"初始",$O$3:$AA$63,MATCH(BD$3,$O$3:$AA$3,0),FALSE)+(VLOOKUP($AW186&amp;"最终",$O$3:$AA$63,MATCH(BD$3,$O$3:$AA$3,0),FALSE)-VLOOKUP($AW186&amp;"初始",$O$3:$AA$63,MATCH(BD$3,$O$3:$AA$3,0),FALSE))*$AY186/VLOOKUP(VLOOKUP($AW186,坦克个性化设定!$B$18:$E$48,4,FALSE)&amp;$AX186,坦克属性分配比例,MATCH("升星次数",坦克属性分配比例标头,0),FALSE)*VLOOKUP(VLOOKUP($AW186,坦克个性化设定!$B$18:$E$48,4,FALSE)&amp;$AX186,坦克属性分配比例,MATCH("升星比例",坦克属性分配比例标头,0),FALSE),0)</f>
        <v>850</v>
      </c>
      <c r="BE186" s="426">
        <f ca="1">ROUND(VLOOKUP($AW186&amp;"初始",$O$3:$AA$63,MATCH(BE$3,$O$3:$AA$3,0),FALSE)+(VLOOKUP($AW186&amp;"最终",$O$3:$AA$63,MATCH(BE$3,$O$3:$AA$3,0),FALSE)-VLOOKUP($AW186&amp;"初始",$O$3:$AA$63,MATCH(BE$3,$O$3:$AA$3,0),FALSE))*$AY186/VLOOKUP(VLOOKUP($AW186,坦克个性化设定!$B$18:$E$48,4,FALSE)&amp;$AX186,坦克属性分配比例,MATCH("升星次数",坦克属性分配比例标头,0),FALSE),0)</f>
        <v>253</v>
      </c>
      <c r="BF186" s="462">
        <f>ROUND(VLOOKUP($AW186,$AD$3:$AJ$33,MATCH(BF$3,$AD$3:$AJ$3,0),FALSE)+$AY186/VLOOKUP(VLOOKUP($AW186,坦克个性化设定!$B$18:$E$48,4,FALSE)&amp;$AX186,坦克属性分配比例,MATCH("升星次数",坦克属性分配比例标头,0),FALSE)*VLOOKUP($AW186,$AM$3:$AS$33,MATCH(BF$3,$AM$3:$AS$3,0),FALSE),1)</f>
        <v>44.7</v>
      </c>
      <c r="BG186" s="462">
        <f>ROUND(VLOOKUP($AW186,$AD$3:$AJ$33,MATCH(BG$3,$AD$3:$AJ$3,0),FALSE)+$AY186/VLOOKUP(VLOOKUP($AW186,坦克个性化设定!$B$18:$E$48,4,FALSE)&amp;$AX186,坦克属性分配比例,MATCH("升星次数",坦克属性分配比例标头,0),FALSE)*VLOOKUP($AW186,$AM$3:$AS$33,MATCH(BG$3,$AM$3:$AS$3,0),FALSE),1)</f>
        <v>62.8</v>
      </c>
      <c r="BH186" s="462">
        <f>ROUND(VLOOKUP($AW186,$AD$3:$AJ$33,MATCH(BH$3,$AD$3:$AJ$3,0),FALSE)+$AY186/VLOOKUP(VLOOKUP($AW186,坦克个性化设定!$B$18:$E$48,4,FALSE)&amp;$AX186,坦克属性分配比例,MATCH("升星次数",坦克属性分配比例标头,0),FALSE)*VLOOKUP($AW186,$AM$3:$AS$33,MATCH(BH$3,$AM$3:$AS$3,0),FALSE),1)</f>
        <v>14.6</v>
      </c>
      <c r="BI186" s="654">
        <f>IF(VLOOKUP(AW186,坦克个性化设定!$B$18:$BB$48,MATCH("装弹类型",坦克个性化设定!$B$18:$BB$18,0),FALSE)="弹夹换弹",0,ROUND(VLOOKUP($AW186,$AD$3:$AJ$33,MATCH("换弹时间",$AD$3:$AJ$3,0),FALSE)-$AY186/VLOOKUP(VLOOKUP($AW186,坦克个性化设定!$B$18:$E$48,4,FALSE)&amp;$AX186,坦克属性分配比例,MATCH("升星次数",坦克属性分配比例标头,0),FALSE)*VLOOKUP($AW186,$AM$3:$AS$33,MATCH("换弹时间",$AM$3:$AS$3,0),FALSE),2))</f>
        <v>3.64</v>
      </c>
      <c r="BJ186" s="462">
        <f>IF(VLOOKUP(AW186,坦克个性化设定!$B$18:$BB$48,MATCH("装弹类型",坦克个性化设定!$B$18:$BB$18,0),FALSE)="弹夹换弹",ROUND(VLOOKUP($AW186,$AD$3:$AJ$33,MATCH("换弹时间",$AD$3:$AJ$3,0),FALSE)-$AY186/VLOOKUP(VLOOKUP($AW186,坦克个性化设定!$B$18:$E$48,4,FALSE)&amp;$AX186,坦克属性分配比例,MATCH("升星次数",坦克属性分配比例标头,0),FALSE)*VLOOKUP($AW186,$AM$3:$AS$33,MATCH("换弹时间",$AM$3:$AS$3,0),FALSE),1),0)</f>
        <v>0</v>
      </c>
      <c r="BK186" s="462">
        <f>ROUND(VLOOKUP($AW186,$AD$3:$AJ$33,MATCH(BK$3,$AD$3:$AJ$3,0),FALSE)+$AY186/VLOOKUP(VLOOKUP($AW186,坦克个性化设定!$B$18:$E$48,4,FALSE)&amp;$AX186,坦克属性分配比例,MATCH("升星次数",坦克属性分配比例标头,0),FALSE)*VLOOKUP($AW186,$AM$3:$AS$33,MATCH(BK$3,$AM$3:$AS$3,0),FALSE),2)</f>
        <v>0</v>
      </c>
      <c r="BL186" s="462">
        <f>ROUND(VLOOKUP($AW186,$AD$3:$AJ$33,MATCH(BL$3,$AD$3:$AJ$3,0),FALSE)-$AY186/VLOOKUP(VLOOKUP($AW186,坦克个性化设定!$B$18:$E$48,4,FALSE)&amp;$AX186,坦克属性分配比例,MATCH("升星次数",坦克属性分配比例标头,0),FALSE)*VLOOKUP($AW186,$AM$3:$AS$33,MATCH(BL$3,$AM$3:$AS$3,0),FALSE),2)</f>
        <v>2.09</v>
      </c>
    </row>
    <row r="187" spans="47:64" x14ac:dyDescent="0.35">
      <c r="AU187" s="364" t="str">
        <f t="shared" si="22"/>
        <v>彗星12</v>
      </c>
      <c r="AV187" s="183">
        <f>IF(AY186&gt;=VLOOKUP(VLOOKUP(AW186,坦克个性化设定!$B$18:$E$48,4,FALSE)&amp;AX186,坦克属性分配比例,MATCH("升星次数",坦克属性分配比例标头,0),FALSE),AV186+1,AV186)</f>
        <v>16</v>
      </c>
      <c r="AW187" s="131" t="str">
        <f t="shared" si="23"/>
        <v>彗星</v>
      </c>
      <c r="AX187" s="177" t="str">
        <f>VLOOKUP(AW187,坦克个性化细分!$I$3:$J$33,2,FALSE)</f>
        <v>高</v>
      </c>
      <c r="AY187" s="183">
        <f t="shared" si="21"/>
        <v>12</v>
      </c>
      <c r="AZ187" s="486">
        <f ca="1">ROUND(VLOOKUP($AW187&amp;"初始",$O$3:$AA$63,MATCH(AZ$3,$O$3:$AA$3,0),FALSE)+((VLOOKUP($AW187&amp;"最终",$O$3:$AA$63,MATCH(AZ$3,$O$3:$AA$3,0),FALSE)*坦克个性化细分!$C$9-VLOOKUP($AW187&amp;"初始",$O$3:$AA$63,MATCH(AZ$3,$O$3:$AA$3,0),FALSE))-(VLOOKUP($AW187&amp;"最终",$O$3:$AA$63,MATCH(AZ$3,$O$3:$AA$3,0),FALSE)-VLOOKUP($AW187&amp;"初始",$O$3:$AA$63,MATCH(AZ$3,$O$3:$AA$3,0),FALSE))*VLOOKUP(VLOOKUP($AW187,坦克个性化设定!$B$18:$E$48,4,FALSE)&amp;$AX187,坦克属性分配比例,MATCH("部件比例",坦克属性分配比例标头,0),FALSE))*$AY187/VLOOKUP(VLOOKUP($AW187,坦克个性化设定!$B$18:$E$48,4,FALSE)&amp;$AX187,坦克属性分配比例,MATCH("升星次数",坦克属性分配比例标头,0),FALSE),0)</f>
        <v>2884</v>
      </c>
      <c r="BA187" s="426">
        <f ca="1">ROUND(VLOOKUP($AW187&amp;"初始",$O$3:$AA$63,MATCH(BA$3,$O$3:$AA$3,0),FALSE)+(VLOOKUP($AW187&amp;"最终",$O$3:$AA$63,MATCH(BA$3,$O$3:$AA$3,0),FALSE)-VLOOKUP($AW187&amp;"初始",$O$3:$AA$63,MATCH(BA$3,$O$3:$AA$3,0),FALSE))*$AY187/VLOOKUP(VLOOKUP($AW187,坦克个性化设定!$B$18:$E$48,4,FALSE)&amp;$AX187,坦克属性分配比例,MATCH("升星次数",坦克属性分配比例标头,0),FALSE)*VLOOKUP(VLOOKUP($AW187,坦克个性化设定!$B$18:$E$48,4,FALSE)&amp;$AX187,坦克属性分配比例,MATCH("升星比例",坦克属性分配比例标头,0),FALSE),0)</f>
        <v>374</v>
      </c>
      <c r="BB187" s="486">
        <f ca="1">ROUND(VLOOKUP($AW187&amp;"初始",$O$3:$AA$63,MATCH(BB$3,$O$3:$AA$3,0),FALSE)+(VLOOKUP($AW187&amp;"最终",$O$3:$AA$63,MATCH(BB$3,$O$3:$AA$3,0),FALSE)-VLOOKUP($AW187&amp;"初始",$O$3:$AA$63,MATCH(BB$3,$O$3:$AA$3,0),FALSE))*$AY187/VLOOKUP(VLOOKUP($AW187,坦克个性化设定!$B$18:$E$48,4,FALSE)&amp;$AX187,坦克属性分配比例,MATCH("升星次数",坦克属性分配比例标头,0),FALSE)*(VLOOKUP(VLOOKUP($AW187,坦克个性化设定!$B$18:$E$48,4,FALSE)&amp;$AX187,坦克属性分配比例,MATCH("升星比例",坦克属性分配比例标头,0),FALSE)+VLOOKUP(VLOOKUP($AW187,坦克个性化设定!$B$18:$E$48,4,FALSE)&amp;$AX187,坦克属性分配比例,MATCH("部件比例",坦克属性分配比例标头,0),FALSE)*$C$3),0)</f>
        <v>909</v>
      </c>
      <c r="BC187" s="486">
        <f ca="1">ROUND(VLOOKUP($AW187&amp;"初始",$O$3:$AA$63,MATCH(BC$3,$O$3:$AA$3,0),FALSE)+(VLOOKUP($AW187&amp;"最终",$O$3:$AA$63,MATCH(BC$3,$O$3:$AA$3,0),FALSE)-VLOOKUP($AW187&amp;"初始",$O$3:$AA$63,MATCH(BC$3,$O$3:$AA$3,0),FALSE))*$AY187/VLOOKUP(VLOOKUP($AW187,坦克个性化设定!$B$18:$E$48,4,FALSE)&amp;$AX187,坦克属性分配比例,MATCH("升星次数",坦克属性分配比例标头,0),FALSE)*(VLOOKUP(VLOOKUP($AW187,坦克个性化设定!$B$18:$E$48,4,FALSE)&amp;$AX187,坦克属性分配比例,MATCH("升星比例",坦克属性分配比例标头,0),FALSE)+VLOOKUP(VLOOKUP($AW187,坦克个性化设定!$B$18:$E$48,4,FALSE)&amp;$AX187,坦克属性分配比例,MATCH("部件比例",坦克属性分配比例标头,0),FALSE)*$C$3),0)</f>
        <v>682</v>
      </c>
      <c r="BD187" s="426">
        <f ca="1">ROUND(VLOOKUP($AW187&amp;"初始",$O$3:$AA$63,MATCH(BD$3,$O$3:$AA$3,0),FALSE)+(VLOOKUP($AW187&amp;"最终",$O$3:$AA$63,MATCH(BD$3,$O$3:$AA$3,0),FALSE)-VLOOKUP($AW187&amp;"初始",$O$3:$AA$63,MATCH(BD$3,$O$3:$AA$3,0),FALSE))*$AY187/VLOOKUP(VLOOKUP($AW187,坦克个性化设定!$B$18:$E$48,4,FALSE)&amp;$AX187,坦克属性分配比例,MATCH("升星次数",坦克属性分配比例标头,0),FALSE)*VLOOKUP(VLOOKUP($AW187,坦克个性化设定!$B$18:$E$48,4,FALSE)&amp;$AX187,坦克属性分配比例,MATCH("升星比例",坦克属性分配比例标头,0),FALSE),0)</f>
        <v>875</v>
      </c>
      <c r="BE187" s="426">
        <f ca="1">ROUND(VLOOKUP($AW187&amp;"初始",$O$3:$AA$63,MATCH(BE$3,$O$3:$AA$3,0),FALSE)+(VLOOKUP($AW187&amp;"最终",$O$3:$AA$63,MATCH(BE$3,$O$3:$AA$3,0),FALSE)-VLOOKUP($AW187&amp;"初始",$O$3:$AA$63,MATCH(BE$3,$O$3:$AA$3,0),FALSE))*$AY187/VLOOKUP(VLOOKUP($AW187,坦克个性化设定!$B$18:$E$48,4,FALSE)&amp;$AX187,坦克属性分配比例,MATCH("升星次数",坦克属性分配比例标头,0),FALSE),0)</f>
        <v>263</v>
      </c>
      <c r="BF187" s="462">
        <f>ROUND(VLOOKUP($AW187,$AD$3:$AJ$33,MATCH(BF$3,$AD$3:$AJ$3,0),FALSE)+$AY187/VLOOKUP(VLOOKUP($AW187,坦克个性化设定!$B$18:$E$48,4,FALSE)&amp;$AX187,坦克属性分配比例,MATCH("升星次数",坦克属性分配比例标头,0),FALSE)*VLOOKUP($AW187,$AM$3:$AS$33,MATCH(BF$3,$AM$3:$AS$3,0),FALSE),1)</f>
        <v>45.4</v>
      </c>
      <c r="BG187" s="462">
        <f>ROUND(VLOOKUP($AW187,$AD$3:$AJ$33,MATCH(BG$3,$AD$3:$AJ$3,0),FALSE)+$AY187/VLOOKUP(VLOOKUP($AW187,坦克个性化设定!$B$18:$E$48,4,FALSE)&amp;$AX187,坦克属性分配比例,MATCH("升星次数",坦克属性分配比例标头,0),FALSE)*VLOOKUP($AW187,$AM$3:$AS$33,MATCH(BG$3,$AM$3:$AS$3,0),FALSE),1)</f>
        <v>63.8</v>
      </c>
      <c r="BH187" s="462">
        <f>ROUND(VLOOKUP($AW187,$AD$3:$AJ$33,MATCH(BH$3,$AD$3:$AJ$3,0),FALSE)+$AY187/VLOOKUP(VLOOKUP($AW187,坦克个性化设定!$B$18:$E$48,4,FALSE)&amp;$AX187,坦克属性分配比例,MATCH("升星次数",坦克属性分配比例标头,0),FALSE)*VLOOKUP($AW187,$AM$3:$AS$33,MATCH(BH$3,$AM$3:$AS$3,0),FALSE),1)</f>
        <v>14.8</v>
      </c>
      <c r="BI187" s="654">
        <f>IF(VLOOKUP(AW187,坦克个性化设定!$B$18:$BB$48,MATCH("装弹类型",坦克个性化设定!$B$18:$BB$18,0),FALSE)="弹夹换弹",0,ROUND(VLOOKUP($AW187,$AD$3:$AJ$33,MATCH("换弹时间",$AD$3:$AJ$3,0),FALSE)-$AY187/VLOOKUP(VLOOKUP($AW187,坦克个性化设定!$B$18:$E$48,4,FALSE)&amp;$AX187,坦克属性分配比例,MATCH("升星次数",坦克属性分配比例标头,0),FALSE)*VLOOKUP($AW187,$AM$3:$AS$33,MATCH("换弹时间",$AM$3:$AS$3,0),FALSE),2))</f>
        <v>3.56</v>
      </c>
      <c r="BJ187" s="462">
        <f>IF(VLOOKUP(AW187,坦克个性化设定!$B$18:$BB$48,MATCH("装弹类型",坦克个性化设定!$B$18:$BB$18,0),FALSE)="弹夹换弹",ROUND(VLOOKUP($AW187,$AD$3:$AJ$33,MATCH("换弹时间",$AD$3:$AJ$3,0),FALSE)-$AY187/VLOOKUP(VLOOKUP($AW187,坦克个性化设定!$B$18:$E$48,4,FALSE)&amp;$AX187,坦克属性分配比例,MATCH("升星次数",坦克属性分配比例标头,0),FALSE)*VLOOKUP($AW187,$AM$3:$AS$33,MATCH("换弹时间",$AM$3:$AS$3,0),FALSE),1),0)</f>
        <v>0</v>
      </c>
      <c r="BK187" s="462">
        <f>ROUND(VLOOKUP($AW187,$AD$3:$AJ$33,MATCH(BK$3,$AD$3:$AJ$3,0),FALSE)+$AY187/VLOOKUP(VLOOKUP($AW187,坦克个性化设定!$B$18:$E$48,4,FALSE)&amp;$AX187,坦克属性分配比例,MATCH("升星次数",坦克属性分配比例标头,0),FALSE)*VLOOKUP($AW187,$AM$3:$AS$33,MATCH(BK$3,$AM$3:$AS$3,0),FALSE),2)</f>
        <v>0</v>
      </c>
      <c r="BL187" s="462">
        <f>ROUND(VLOOKUP($AW187,$AD$3:$AJ$33,MATCH(BL$3,$AD$3:$AJ$3,0),FALSE)-$AY187/VLOOKUP(VLOOKUP($AW187,坦克个性化设定!$B$18:$E$48,4,FALSE)&amp;$AX187,坦克属性分配比例,MATCH("升星次数",坦克属性分配比例标头,0),FALSE)*VLOOKUP($AW187,$AM$3:$AS$33,MATCH(BL$3,$AM$3:$AS$3,0),FALSE),2)</f>
        <v>2.06</v>
      </c>
    </row>
    <row r="188" spans="47:64" x14ac:dyDescent="0.35">
      <c r="AU188" s="364" t="str">
        <f t="shared" si="22"/>
        <v>彗星13</v>
      </c>
      <c r="AV188" s="183">
        <f>IF(AY187&gt;=VLOOKUP(VLOOKUP(AW187,坦克个性化设定!$B$18:$E$48,4,FALSE)&amp;AX187,坦克属性分配比例,MATCH("升星次数",坦克属性分配比例标头,0),FALSE),AV187+1,AV187)</f>
        <v>16</v>
      </c>
      <c r="AW188" s="131" t="str">
        <f t="shared" si="23"/>
        <v>彗星</v>
      </c>
      <c r="AX188" s="177" t="str">
        <f>VLOOKUP(AW188,坦克个性化细分!$I$3:$J$33,2,FALSE)</f>
        <v>高</v>
      </c>
      <c r="AY188" s="183">
        <f t="shared" si="21"/>
        <v>13</v>
      </c>
      <c r="AZ188" s="486">
        <f ca="1">ROUND(VLOOKUP($AW188&amp;"初始",$O$3:$AA$63,MATCH(AZ$3,$O$3:$AA$3,0),FALSE)+((VLOOKUP($AW188&amp;"最终",$O$3:$AA$63,MATCH(AZ$3,$O$3:$AA$3,0),FALSE)*坦克个性化细分!$C$9-VLOOKUP($AW188&amp;"初始",$O$3:$AA$63,MATCH(AZ$3,$O$3:$AA$3,0),FALSE))-(VLOOKUP($AW188&amp;"最终",$O$3:$AA$63,MATCH(AZ$3,$O$3:$AA$3,0),FALSE)-VLOOKUP($AW188&amp;"初始",$O$3:$AA$63,MATCH(AZ$3,$O$3:$AA$3,0),FALSE))*VLOOKUP(VLOOKUP($AW188,坦克个性化设定!$B$18:$E$48,4,FALSE)&amp;$AX188,坦克属性分配比例,MATCH("部件比例",坦克属性分配比例标头,0),FALSE))*$AY188/VLOOKUP(VLOOKUP($AW188,坦克个性化设定!$B$18:$E$48,4,FALSE)&amp;$AX188,坦克属性分配比例,MATCH("升星次数",坦克属性分配比例标头,0),FALSE),0)</f>
        <v>3005</v>
      </c>
      <c r="BA188" s="426">
        <f ca="1">ROUND(VLOOKUP($AW188&amp;"初始",$O$3:$AA$63,MATCH(BA$3,$O$3:$AA$3,0),FALSE)+(VLOOKUP($AW188&amp;"最终",$O$3:$AA$63,MATCH(BA$3,$O$3:$AA$3,0),FALSE)-VLOOKUP($AW188&amp;"初始",$O$3:$AA$63,MATCH(BA$3,$O$3:$AA$3,0),FALSE))*$AY188/VLOOKUP(VLOOKUP($AW188,坦克个性化设定!$B$18:$E$48,4,FALSE)&amp;$AX188,坦克属性分配比例,MATCH("升星次数",坦克属性分配比例标头,0),FALSE)*VLOOKUP(VLOOKUP($AW188,坦克个性化设定!$B$18:$E$48,4,FALSE)&amp;$AX188,坦克属性分配比例,MATCH("升星比例",坦克属性分配比例标头,0),FALSE),0)</f>
        <v>384</v>
      </c>
      <c r="BB188" s="486">
        <f ca="1">ROUND(VLOOKUP($AW188&amp;"初始",$O$3:$AA$63,MATCH(BB$3,$O$3:$AA$3,0),FALSE)+(VLOOKUP($AW188&amp;"最终",$O$3:$AA$63,MATCH(BB$3,$O$3:$AA$3,0),FALSE)-VLOOKUP($AW188&amp;"初始",$O$3:$AA$63,MATCH(BB$3,$O$3:$AA$3,0),FALSE))*$AY188/VLOOKUP(VLOOKUP($AW188,坦克个性化设定!$B$18:$E$48,4,FALSE)&amp;$AX188,坦克属性分配比例,MATCH("升星次数",坦克属性分配比例标头,0),FALSE)*(VLOOKUP(VLOOKUP($AW188,坦克个性化设定!$B$18:$E$48,4,FALSE)&amp;$AX188,坦克属性分配比例,MATCH("升星比例",坦克属性分配比例标头,0),FALSE)+VLOOKUP(VLOOKUP($AW188,坦克个性化设定!$B$18:$E$48,4,FALSE)&amp;$AX188,坦克属性分配比例,MATCH("部件比例",坦克属性分配比例标头,0),FALSE)*$C$3),0)</f>
        <v>941</v>
      </c>
      <c r="BC188" s="486">
        <f ca="1">ROUND(VLOOKUP($AW188&amp;"初始",$O$3:$AA$63,MATCH(BC$3,$O$3:$AA$3,0),FALSE)+(VLOOKUP($AW188&amp;"最终",$O$3:$AA$63,MATCH(BC$3,$O$3:$AA$3,0),FALSE)-VLOOKUP($AW188&amp;"初始",$O$3:$AA$63,MATCH(BC$3,$O$3:$AA$3,0),FALSE))*$AY188/VLOOKUP(VLOOKUP($AW188,坦克个性化设定!$B$18:$E$48,4,FALSE)&amp;$AX188,坦克属性分配比例,MATCH("升星次数",坦克属性分配比例标头,0),FALSE)*(VLOOKUP(VLOOKUP($AW188,坦克个性化设定!$B$18:$E$48,4,FALSE)&amp;$AX188,坦克属性分配比例,MATCH("升星比例",坦克属性分配比例标头,0),FALSE)+VLOOKUP(VLOOKUP($AW188,坦克个性化设定!$B$18:$E$48,4,FALSE)&amp;$AX188,坦克属性分配比例,MATCH("部件比例",坦克属性分配比例标头,0),FALSE)*$C$3),0)</f>
        <v>706</v>
      </c>
      <c r="BD188" s="426">
        <f ca="1">ROUND(VLOOKUP($AW188&amp;"初始",$O$3:$AA$63,MATCH(BD$3,$O$3:$AA$3,0),FALSE)+(VLOOKUP($AW188&amp;"最终",$O$3:$AA$63,MATCH(BD$3,$O$3:$AA$3,0),FALSE)-VLOOKUP($AW188&amp;"初始",$O$3:$AA$63,MATCH(BD$3,$O$3:$AA$3,0),FALSE))*$AY188/VLOOKUP(VLOOKUP($AW188,坦克个性化设定!$B$18:$E$48,4,FALSE)&amp;$AX188,坦克属性分配比例,MATCH("升星次数",坦克属性分配比例标头,0),FALSE)*VLOOKUP(VLOOKUP($AW188,坦克个性化设定!$B$18:$E$48,4,FALSE)&amp;$AX188,坦克属性分配比例,MATCH("升星比例",坦克属性分配比例标头,0),FALSE),0)</f>
        <v>899</v>
      </c>
      <c r="BE188" s="426">
        <f ca="1">ROUND(VLOOKUP($AW188&amp;"初始",$O$3:$AA$63,MATCH(BE$3,$O$3:$AA$3,0),FALSE)+(VLOOKUP($AW188&amp;"最终",$O$3:$AA$63,MATCH(BE$3,$O$3:$AA$3,0),FALSE)-VLOOKUP($AW188&amp;"初始",$O$3:$AA$63,MATCH(BE$3,$O$3:$AA$3,0),FALSE))*$AY188/VLOOKUP(VLOOKUP($AW188,坦克个性化设定!$B$18:$E$48,4,FALSE)&amp;$AX188,坦克属性分配比例,MATCH("升星次数",坦克属性分配比例标头,0),FALSE),0)</f>
        <v>273</v>
      </c>
      <c r="BF188" s="462">
        <f>ROUND(VLOOKUP($AW188,$AD$3:$AJ$33,MATCH(BF$3,$AD$3:$AJ$3,0),FALSE)+$AY188/VLOOKUP(VLOOKUP($AW188,坦克个性化设定!$B$18:$E$48,4,FALSE)&amp;$AX188,坦克属性分配比例,MATCH("升星次数",坦克属性分配比例标头,0),FALSE)*VLOOKUP($AW188,$AM$3:$AS$33,MATCH(BF$3,$AM$3:$AS$3,0),FALSE),1)</f>
        <v>46.1</v>
      </c>
      <c r="BG188" s="462">
        <f>ROUND(VLOOKUP($AW188,$AD$3:$AJ$33,MATCH(BG$3,$AD$3:$AJ$3,0),FALSE)+$AY188/VLOOKUP(VLOOKUP($AW188,坦克个性化设定!$B$18:$E$48,4,FALSE)&amp;$AX188,坦克属性分配比例,MATCH("升星次数",坦克属性分配比例标头,0),FALSE)*VLOOKUP($AW188,$AM$3:$AS$33,MATCH(BG$3,$AM$3:$AS$3,0),FALSE),1)</f>
        <v>64.7</v>
      </c>
      <c r="BH188" s="462">
        <f>ROUND(VLOOKUP($AW188,$AD$3:$AJ$33,MATCH(BH$3,$AD$3:$AJ$3,0),FALSE)+$AY188/VLOOKUP(VLOOKUP($AW188,坦克个性化设定!$B$18:$E$48,4,FALSE)&amp;$AX188,坦克属性分配比例,MATCH("升星次数",坦克属性分配比例标头,0),FALSE)*VLOOKUP($AW188,$AM$3:$AS$33,MATCH(BH$3,$AM$3:$AS$3,0),FALSE),1)</f>
        <v>15.1</v>
      </c>
      <c r="BI188" s="654">
        <f>IF(VLOOKUP(AW188,坦克个性化设定!$B$18:$BB$48,MATCH("装弹类型",坦克个性化设定!$B$18:$BB$18,0),FALSE)="弹夹换弹",0,ROUND(VLOOKUP($AW188,$AD$3:$AJ$33,MATCH("换弹时间",$AD$3:$AJ$3,0),FALSE)-$AY188/VLOOKUP(VLOOKUP($AW188,坦克个性化设定!$B$18:$E$48,4,FALSE)&amp;$AX188,坦克属性分配比例,MATCH("升星次数",坦克属性分配比例标头,0),FALSE)*VLOOKUP($AW188,$AM$3:$AS$33,MATCH("换弹时间",$AM$3:$AS$3,0),FALSE),2))</f>
        <v>3.48</v>
      </c>
      <c r="BJ188" s="462">
        <f>IF(VLOOKUP(AW188,坦克个性化设定!$B$18:$BB$48,MATCH("装弹类型",坦克个性化设定!$B$18:$BB$18,0),FALSE)="弹夹换弹",ROUND(VLOOKUP($AW188,$AD$3:$AJ$33,MATCH("换弹时间",$AD$3:$AJ$3,0),FALSE)-$AY188/VLOOKUP(VLOOKUP($AW188,坦克个性化设定!$B$18:$E$48,4,FALSE)&amp;$AX188,坦克属性分配比例,MATCH("升星次数",坦克属性分配比例标头,0),FALSE)*VLOOKUP($AW188,$AM$3:$AS$33,MATCH("换弹时间",$AM$3:$AS$3,0),FALSE),1),0)</f>
        <v>0</v>
      </c>
      <c r="BK188" s="462">
        <f>ROUND(VLOOKUP($AW188,$AD$3:$AJ$33,MATCH(BK$3,$AD$3:$AJ$3,0),FALSE)+$AY188/VLOOKUP(VLOOKUP($AW188,坦克个性化设定!$B$18:$E$48,4,FALSE)&amp;$AX188,坦克属性分配比例,MATCH("升星次数",坦克属性分配比例标头,0),FALSE)*VLOOKUP($AW188,$AM$3:$AS$33,MATCH(BK$3,$AM$3:$AS$3,0),FALSE),2)</f>
        <v>0</v>
      </c>
      <c r="BL188" s="462">
        <f>ROUND(VLOOKUP($AW188,$AD$3:$AJ$33,MATCH(BL$3,$AD$3:$AJ$3,0),FALSE)-$AY188/VLOOKUP(VLOOKUP($AW188,坦克个性化设定!$B$18:$E$48,4,FALSE)&amp;$AX188,坦克属性分配比例,MATCH("升星次数",坦克属性分配比例标头,0),FALSE)*VLOOKUP($AW188,$AM$3:$AS$33,MATCH(BL$3,$AM$3:$AS$3,0),FALSE),2)</f>
        <v>2.0299999999999998</v>
      </c>
    </row>
    <row r="189" spans="47:64" x14ac:dyDescent="0.35">
      <c r="AU189" s="364" t="str">
        <f t="shared" si="22"/>
        <v>彗星14</v>
      </c>
      <c r="AV189" s="183">
        <f>IF(AY188&gt;=VLOOKUP(VLOOKUP(AW188,坦克个性化设定!$B$18:$E$48,4,FALSE)&amp;AX188,坦克属性分配比例,MATCH("升星次数",坦克属性分配比例标头,0),FALSE),AV188+1,AV188)</f>
        <v>16</v>
      </c>
      <c r="AW189" s="131" t="str">
        <f t="shared" si="23"/>
        <v>彗星</v>
      </c>
      <c r="AX189" s="177" t="str">
        <f>VLOOKUP(AW189,坦克个性化细分!$I$3:$J$33,2,FALSE)</f>
        <v>高</v>
      </c>
      <c r="AY189" s="183">
        <f t="shared" si="21"/>
        <v>14</v>
      </c>
      <c r="AZ189" s="486">
        <f ca="1">ROUND(VLOOKUP($AW189&amp;"初始",$O$3:$AA$63,MATCH(AZ$3,$O$3:$AA$3,0),FALSE)+((VLOOKUP($AW189&amp;"最终",$O$3:$AA$63,MATCH(AZ$3,$O$3:$AA$3,0),FALSE)*坦克个性化细分!$C$9-VLOOKUP($AW189&amp;"初始",$O$3:$AA$63,MATCH(AZ$3,$O$3:$AA$3,0),FALSE))-(VLOOKUP($AW189&amp;"最终",$O$3:$AA$63,MATCH(AZ$3,$O$3:$AA$3,0),FALSE)-VLOOKUP($AW189&amp;"初始",$O$3:$AA$63,MATCH(AZ$3,$O$3:$AA$3,0),FALSE))*VLOOKUP(VLOOKUP($AW189,坦克个性化设定!$B$18:$E$48,4,FALSE)&amp;$AX189,坦克属性分配比例,MATCH("部件比例",坦克属性分配比例标头,0),FALSE))*$AY189/VLOOKUP(VLOOKUP($AW189,坦克个性化设定!$B$18:$E$48,4,FALSE)&amp;$AX189,坦克属性分配比例,MATCH("升星次数",坦克属性分配比例标头,0),FALSE),0)</f>
        <v>3126</v>
      </c>
      <c r="BA189" s="426">
        <f ca="1">ROUND(VLOOKUP($AW189&amp;"初始",$O$3:$AA$63,MATCH(BA$3,$O$3:$AA$3,0),FALSE)+(VLOOKUP($AW189&amp;"最终",$O$3:$AA$63,MATCH(BA$3,$O$3:$AA$3,0),FALSE)-VLOOKUP($AW189&amp;"初始",$O$3:$AA$63,MATCH(BA$3,$O$3:$AA$3,0),FALSE))*$AY189/VLOOKUP(VLOOKUP($AW189,坦克个性化设定!$B$18:$E$48,4,FALSE)&amp;$AX189,坦克属性分配比例,MATCH("升星次数",坦克属性分配比例标头,0),FALSE)*VLOOKUP(VLOOKUP($AW189,坦克个性化设定!$B$18:$E$48,4,FALSE)&amp;$AX189,坦克属性分配比例,MATCH("升星比例",坦克属性分配比例标头,0),FALSE),0)</f>
        <v>395</v>
      </c>
      <c r="BB189" s="486">
        <f ca="1">ROUND(VLOOKUP($AW189&amp;"初始",$O$3:$AA$63,MATCH(BB$3,$O$3:$AA$3,0),FALSE)+(VLOOKUP($AW189&amp;"最终",$O$3:$AA$63,MATCH(BB$3,$O$3:$AA$3,0),FALSE)-VLOOKUP($AW189&amp;"初始",$O$3:$AA$63,MATCH(BB$3,$O$3:$AA$3,0),FALSE))*$AY189/VLOOKUP(VLOOKUP($AW189,坦克个性化设定!$B$18:$E$48,4,FALSE)&amp;$AX189,坦克属性分配比例,MATCH("升星次数",坦克属性分配比例标头,0),FALSE)*(VLOOKUP(VLOOKUP($AW189,坦克个性化设定!$B$18:$E$48,4,FALSE)&amp;$AX189,坦克属性分配比例,MATCH("升星比例",坦克属性分配比例标头,0),FALSE)+VLOOKUP(VLOOKUP($AW189,坦克个性化设定!$B$18:$E$48,4,FALSE)&amp;$AX189,坦克属性分配比例,MATCH("部件比例",坦克属性分配比例标头,0),FALSE)*$C$3),0)</f>
        <v>972</v>
      </c>
      <c r="BC189" s="486">
        <f ca="1">ROUND(VLOOKUP($AW189&amp;"初始",$O$3:$AA$63,MATCH(BC$3,$O$3:$AA$3,0),FALSE)+(VLOOKUP($AW189&amp;"最终",$O$3:$AA$63,MATCH(BC$3,$O$3:$AA$3,0),FALSE)-VLOOKUP($AW189&amp;"初始",$O$3:$AA$63,MATCH(BC$3,$O$3:$AA$3,0),FALSE))*$AY189/VLOOKUP(VLOOKUP($AW189,坦克个性化设定!$B$18:$E$48,4,FALSE)&amp;$AX189,坦克属性分配比例,MATCH("升星次数",坦克属性分配比例标头,0),FALSE)*(VLOOKUP(VLOOKUP($AW189,坦克个性化设定!$B$18:$E$48,4,FALSE)&amp;$AX189,坦克属性分配比例,MATCH("升星比例",坦克属性分配比例标头,0),FALSE)+VLOOKUP(VLOOKUP($AW189,坦克个性化设定!$B$18:$E$48,4,FALSE)&amp;$AX189,坦克属性分配比例,MATCH("部件比例",坦克属性分配比例标头,0),FALSE)*$C$3),0)</f>
        <v>729</v>
      </c>
      <c r="BD189" s="426">
        <f ca="1">ROUND(VLOOKUP($AW189&amp;"初始",$O$3:$AA$63,MATCH(BD$3,$O$3:$AA$3,0),FALSE)+(VLOOKUP($AW189&amp;"最终",$O$3:$AA$63,MATCH(BD$3,$O$3:$AA$3,0),FALSE)-VLOOKUP($AW189&amp;"初始",$O$3:$AA$63,MATCH(BD$3,$O$3:$AA$3,0),FALSE))*$AY189/VLOOKUP(VLOOKUP($AW189,坦克个性化设定!$B$18:$E$48,4,FALSE)&amp;$AX189,坦克属性分配比例,MATCH("升星次数",坦克属性分配比例标头,0),FALSE)*VLOOKUP(VLOOKUP($AW189,坦克个性化设定!$B$18:$E$48,4,FALSE)&amp;$AX189,坦克属性分配比例,MATCH("升星比例",坦克属性分配比例标头,0),FALSE),0)</f>
        <v>923</v>
      </c>
      <c r="BE189" s="426">
        <f ca="1">ROUND(VLOOKUP($AW189&amp;"初始",$O$3:$AA$63,MATCH(BE$3,$O$3:$AA$3,0),FALSE)+(VLOOKUP($AW189&amp;"最终",$O$3:$AA$63,MATCH(BE$3,$O$3:$AA$3,0),FALSE)-VLOOKUP($AW189&amp;"初始",$O$3:$AA$63,MATCH(BE$3,$O$3:$AA$3,0),FALSE))*$AY189/VLOOKUP(VLOOKUP($AW189,坦克个性化设定!$B$18:$E$48,4,FALSE)&amp;$AX189,坦克属性分配比例,MATCH("升星次数",坦克属性分配比例标头,0),FALSE),0)</f>
        <v>283</v>
      </c>
      <c r="BF189" s="462">
        <f>ROUND(VLOOKUP($AW189,$AD$3:$AJ$33,MATCH(BF$3,$AD$3:$AJ$3,0),FALSE)+$AY189/VLOOKUP(VLOOKUP($AW189,坦克个性化设定!$B$18:$E$48,4,FALSE)&amp;$AX189,坦克属性分配比例,MATCH("升星次数",坦克属性分配比例标头,0),FALSE)*VLOOKUP($AW189,$AM$3:$AS$33,MATCH(BF$3,$AM$3:$AS$3,0),FALSE),1)</f>
        <v>46.8</v>
      </c>
      <c r="BG189" s="462">
        <f>ROUND(VLOOKUP($AW189,$AD$3:$AJ$33,MATCH(BG$3,$AD$3:$AJ$3,0),FALSE)+$AY189/VLOOKUP(VLOOKUP($AW189,坦克个性化设定!$B$18:$E$48,4,FALSE)&amp;$AX189,坦克属性分配比例,MATCH("升星次数",坦克属性分配比例标头,0),FALSE)*VLOOKUP($AW189,$AM$3:$AS$33,MATCH(BG$3,$AM$3:$AS$3,0),FALSE),1)</f>
        <v>65.599999999999994</v>
      </c>
      <c r="BH189" s="462">
        <f>ROUND(VLOOKUP($AW189,$AD$3:$AJ$33,MATCH(BH$3,$AD$3:$AJ$3,0),FALSE)+$AY189/VLOOKUP(VLOOKUP($AW189,坦克个性化设定!$B$18:$E$48,4,FALSE)&amp;$AX189,坦克属性分配比例,MATCH("升星次数",坦克属性分配比例标头,0),FALSE)*VLOOKUP($AW189,$AM$3:$AS$33,MATCH(BH$3,$AM$3:$AS$3,0),FALSE),1)</f>
        <v>15.4</v>
      </c>
      <c r="BI189" s="654">
        <f>IF(VLOOKUP(AW189,坦克个性化设定!$B$18:$BB$48,MATCH("装弹类型",坦克个性化设定!$B$18:$BB$18,0),FALSE)="弹夹换弹",0,ROUND(VLOOKUP($AW189,$AD$3:$AJ$33,MATCH("换弹时间",$AD$3:$AJ$3,0),FALSE)-$AY189/VLOOKUP(VLOOKUP($AW189,坦克个性化设定!$B$18:$E$48,4,FALSE)&amp;$AX189,坦克属性分配比例,MATCH("升星次数",坦克属性分配比例标头,0),FALSE)*VLOOKUP($AW189,$AM$3:$AS$33,MATCH("换弹时间",$AM$3:$AS$3,0),FALSE),2))</f>
        <v>3.4</v>
      </c>
      <c r="BJ189" s="462">
        <f>IF(VLOOKUP(AW189,坦克个性化设定!$B$18:$BB$48,MATCH("装弹类型",坦克个性化设定!$B$18:$BB$18,0),FALSE)="弹夹换弹",ROUND(VLOOKUP($AW189,$AD$3:$AJ$33,MATCH("换弹时间",$AD$3:$AJ$3,0),FALSE)-$AY189/VLOOKUP(VLOOKUP($AW189,坦克个性化设定!$B$18:$E$48,4,FALSE)&amp;$AX189,坦克属性分配比例,MATCH("升星次数",坦克属性分配比例标头,0),FALSE)*VLOOKUP($AW189,$AM$3:$AS$33,MATCH("换弹时间",$AM$3:$AS$3,0),FALSE),1),0)</f>
        <v>0</v>
      </c>
      <c r="BK189" s="462">
        <f>ROUND(VLOOKUP($AW189,$AD$3:$AJ$33,MATCH(BK$3,$AD$3:$AJ$3,0),FALSE)+$AY189/VLOOKUP(VLOOKUP($AW189,坦克个性化设定!$B$18:$E$48,4,FALSE)&amp;$AX189,坦克属性分配比例,MATCH("升星次数",坦克属性分配比例标头,0),FALSE)*VLOOKUP($AW189,$AM$3:$AS$33,MATCH(BK$3,$AM$3:$AS$3,0),FALSE),2)</f>
        <v>0</v>
      </c>
      <c r="BL189" s="462">
        <f>ROUND(VLOOKUP($AW189,$AD$3:$AJ$33,MATCH(BL$3,$AD$3:$AJ$3,0),FALSE)-$AY189/VLOOKUP(VLOOKUP($AW189,坦克个性化设定!$B$18:$E$48,4,FALSE)&amp;$AX189,坦克属性分配比例,MATCH("升星次数",坦克属性分配比例标头,0),FALSE)*VLOOKUP($AW189,$AM$3:$AS$33,MATCH(BL$3,$AM$3:$AS$3,0),FALSE),2)</f>
        <v>2</v>
      </c>
    </row>
    <row r="190" spans="47:64" x14ac:dyDescent="0.35">
      <c r="AU190" s="364" t="str">
        <f t="shared" si="22"/>
        <v>M-480</v>
      </c>
      <c r="AV190" s="183">
        <f>IF(AY189&gt;=VLOOKUP(VLOOKUP(AW189,坦克个性化设定!$B$18:$E$48,4,FALSE)&amp;AX189,坦克属性分配比例,MATCH("升星次数",坦克属性分配比例标头,0),FALSE),AV189+1,AV189)</f>
        <v>17</v>
      </c>
      <c r="AW190" s="131" t="str">
        <f t="shared" si="23"/>
        <v>M-48</v>
      </c>
      <c r="AX190" s="177" t="str">
        <f>VLOOKUP(AW190,坦克个性化细分!$I$3:$J$33,2,FALSE)</f>
        <v>低</v>
      </c>
      <c r="AY190" s="183">
        <f t="shared" si="21"/>
        <v>0</v>
      </c>
      <c r="AZ190" s="486">
        <f ca="1">ROUND(VLOOKUP($AW190&amp;"初始",$O$3:$AA$63,MATCH(AZ$3,$O$3:$AA$3,0),FALSE)+((VLOOKUP($AW190&amp;"最终",$O$3:$AA$63,MATCH(AZ$3,$O$3:$AA$3,0),FALSE)*坦克个性化细分!$C$9-VLOOKUP($AW190&amp;"初始",$O$3:$AA$63,MATCH(AZ$3,$O$3:$AA$3,0),FALSE))-(VLOOKUP($AW190&amp;"最终",$O$3:$AA$63,MATCH(AZ$3,$O$3:$AA$3,0),FALSE)-VLOOKUP($AW190&amp;"初始",$O$3:$AA$63,MATCH(AZ$3,$O$3:$AA$3,0),FALSE))*VLOOKUP(VLOOKUP($AW190,坦克个性化设定!$B$18:$E$48,4,FALSE)&amp;$AX190,坦克属性分配比例,MATCH("部件比例",坦克属性分配比例标头,0),FALSE))*$AY190/VLOOKUP(VLOOKUP($AW190,坦克个性化设定!$B$18:$E$48,4,FALSE)&amp;$AX190,坦克属性分配比例,MATCH("升星次数",坦克属性分配比例标头,0),FALSE),0)</f>
        <v>1795</v>
      </c>
      <c r="BA190" s="426">
        <f ca="1">ROUND(VLOOKUP($AW190&amp;"初始",$O$3:$AA$63,MATCH(BA$3,$O$3:$AA$3,0),FALSE)+(VLOOKUP($AW190&amp;"最终",$O$3:$AA$63,MATCH(BA$3,$O$3:$AA$3,0),FALSE)-VLOOKUP($AW190&amp;"初始",$O$3:$AA$63,MATCH(BA$3,$O$3:$AA$3,0),FALSE))*$AY190/VLOOKUP(VLOOKUP($AW190,坦克个性化设定!$B$18:$E$48,4,FALSE)&amp;$AX190,坦克属性分配比例,MATCH("升星次数",坦克属性分配比例标头,0),FALSE)*VLOOKUP(VLOOKUP($AW190,坦克个性化设定!$B$18:$E$48,4,FALSE)&amp;$AX190,坦克属性分配比例,MATCH("升星比例",坦克属性分配比例标头,0),FALSE),0)</f>
        <v>104</v>
      </c>
      <c r="BB190" s="486">
        <f ca="1">ROUND(VLOOKUP($AW190&amp;"初始",$O$3:$AA$63,MATCH(BB$3,$O$3:$AA$3,0),FALSE)+(VLOOKUP($AW190&amp;"最终",$O$3:$AA$63,MATCH(BB$3,$O$3:$AA$3,0),FALSE)-VLOOKUP($AW190&amp;"初始",$O$3:$AA$63,MATCH(BB$3,$O$3:$AA$3,0),FALSE))*$AY190/VLOOKUP(VLOOKUP($AW190,坦克个性化设定!$B$18:$E$48,4,FALSE)&amp;$AX190,坦克属性分配比例,MATCH("升星次数",坦克属性分配比例标头,0),FALSE)*(VLOOKUP(VLOOKUP($AW190,坦克个性化设定!$B$18:$E$48,4,FALSE)&amp;$AX190,坦克属性分配比例,MATCH("升星比例",坦克属性分配比例标头,0),FALSE)+VLOOKUP(VLOOKUP($AW190,坦克个性化设定!$B$18:$E$48,4,FALSE)&amp;$AX190,坦克属性分配比例,MATCH("部件比例",坦克属性分配比例标头,0),FALSE)*$C$3),0)</f>
        <v>543</v>
      </c>
      <c r="BC190" s="486">
        <f ca="1">ROUND(VLOOKUP($AW190&amp;"初始",$O$3:$AA$63,MATCH(BC$3,$O$3:$AA$3,0),FALSE)+(VLOOKUP($AW190&amp;"最终",$O$3:$AA$63,MATCH(BC$3,$O$3:$AA$3,0),FALSE)-VLOOKUP($AW190&amp;"初始",$O$3:$AA$63,MATCH(BC$3,$O$3:$AA$3,0),FALSE))*$AY190/VLOOKUP(VLOOKUP($AW190,坦克个性化设定!$B$18:$E$48,4,FALSE)&amp;$AX190,坦克属性分配比例,MATCH("升星次数",坦克属性分配比例标头,0),FALSE)*(VLOOKUP(VLOOKUP($AW190,坦克个性化设定!$B$18:$E$48,4,FALSE)&amp;$AX190,坦克属性分配比例,MATCH("升星比例",坦克属性分配比例标头,0),FALSE)+VLOOKUP(VLOOKUP($AW190,坦克个性化设定!$B$18:$E$48,4,FALSE)&amp;$AX190,坦克属性分配比例,MATCH("部件比例",坦克属性分配比例标头,0),FALSE)*$C$3),0)</f>
        <v>407</v>
      </c>
      <c r="BD190" s="426">
        <f ca="1">ROUND(VLOOKUP($AW190&amp;"初始",$O$3:$AA$63,MATCH(BD$3,$O$3:$AA$3,0),FALSE)+(VLOOKUP($AW190&amp;"最终",$O$3:$AA$63,MATCH(BD$3,$O$3:$AA$3,0),FALSE)-VLOOKUP($AW190&amp;"初始",$O$3:$AA$63,MATCH(BD$3,$O$3:$AA$3,0),FALSE))*$AY190/VLOOKUP(VLOOKUP($AW190,坦克个性化设定!$B$18:$E$48,4,FALSE)&amp;$AX190,坦克属性分配比例,MATCH("升星次数",坦克属性分配比例标头,0),FALSE)*VLOOKUP(VLOOKUP($AW190,坦克个性化设定!$B$18:$E$48,4,FALSE)&amp;$AX190,坦克属性分配比例,MATCH("升星比例",坦克属性分配比例标头,0),FALSE),0)</f>
        <v>684</v>
      </c>
      <c r="BE190" s="426">
        <f ca="1">ROUND(VLOOKUP($AW190&amp;"初始",$O$3:$AA$63,MATCH(BE$3,$O$3:$AA$3,0),FALSE)+(VLOOKUP($AW190&amp;"最终",$O$3:$AA$63,MATCH(BE$3,$O$3:$AA$3,0),FALSE)-VLOOKUP($AW190&amp;"初始",$O$3:$AA$63,MATCH(BE$3,$O$3:$AA$3,0),FALSE))*$AY190/VLOOKUP(VLOOKUP($AW190,坦克个性化设定!$B$18:$E$48,4,FALSE)&amp;$AX190,坦克属性分配比例,MATCH("升星次数",坦克属性分配比例标头,0),FALSE),0)</f>
        <v>167</v>
      </c>
      <c r="BF190" s="462">
        <f>ROUND(VLOOKUP($AW190,$AD$3:$AJ$33,MATCH(BF$3,$AD$3:$AJ$3,0),FALSE)+$AY190/VLOOKUP(VLOOKUP($AW190,坦克个性化设定!$B$18:$E$48,4,FALSE)&amp;$AX190,坦克属性分配比例,MATCH("升星次数",坦克属性分配比例标头,0),FALSE)*VLOOKUP($AW190,$AM$3:$AS$33,MATCH(BF$3,$AM$3:$AS$3,0),FALSE),1)</f>
        <v>44.5</v>
      </c>
      <c r="BG190" s="462">
        <f>ROUND(VLOOKUP($AW190,$AD$3:$AJ$33,MATCH(BG$3,$AD$3:$AJ$3,0),FALSE)+$AY190/VLOOKUP(VLOOKUP($AW190,坦克个性化设定!$B$18:$E$48,4,FALSE)&amp;$AX190,坦克属性分配比例,MATCH("升星次数",坦克属性分配比例标头,0),FALSE)*VLOOKUP($AW190,$AM$3:$AS$33,MATCH(BG$3,$AM$3:$AS$3,0),FALSE),1)</f>
        <v>40</v>
      </c>
      <c r="BH190" s="462">
        <f>ROUND(VLOOKUP($AW190,$AD$3:$AJ$33,MATCH(BH$3,$AD$3:$AJ$3,0),FALSE)+$AY190/VLOOKUP(VLOOKUP($AW190,坦克个性化设定!$B$18:$E$48,4,FALSE)&amp;$AX190,坦克属性分配比例,MATCH("升星次数",坦克属性分配比例标头,0),FALSE)*VLOOKUP($AW190,$AM$3:$AS$33,MATCH(BH$3,$AM$3:$AS$3,0),FALSE),1)</f>
        <v>12.3</v>
      </c>
      <c r="BI190" s="654">
        <f>IF(VLOOKUP(AW190,坦克个性化设定!$B$18:$BB$48,MATCH("装弹类型",坦克个性化设定!$B$18:$BB$18,0),FALSE)="弹夹换弹",0,ROUND(VLOOKUP($AW190,$AD$3:$AJ$33,MATCH("换弹时间",$AD$3:$AJ$3,0),FALSE)-$AY190/VLOOKUP(VLOOKUP($AW190,坦克个性化设定!$B$18:$E$48,4,FALSE)&amp;$AX190,坦克属性分配比例,MATCH("升星次数",坦克属性分配比例标头,0),FALSE)*VLOOKUP($AW190,$AM$3:$AS$33,MATCH("换弹时间",$AM$3:$AS$3,0),FALSE),2))</f>
        <v>0</v>
      </c>
      <c r="BJ190" s="462">
        <f>IF(VLOOKUP(AW190,坦克个性化设定!$B$18:$BB$48,MATCH("装弹类型",坦克个性化设定!$B$18:$BB$18,0),FALSE)="弹夹换弹",ROUND(VLOOKUP($AW190,$AD$3:$AJ$33,MATCH("换弹时间",$AD$3:$AJ$3,0),FALSE)-$AY190/VLOOKUP(VLOOKUP($AW190,坦克个性化设定!$B$18:$E$48,4,FALSE)&amp;$AX190,坦克属性分配比例,MATCH("升星次数",坦克属性分配比例标头,0),FALSE)*VLOOKUP($AW190,$AM$3:$AS$33,MATCH("换弹时间",$AM$3:$AS$3,0),FALSE),1),0)</f>
        <v>4</v>
      </c>
      <c r="BK190" s="462">
        <f>ROUND(VLOOKUP($AW190,$AD$3:$AJ$33,MATCH(BK$3,$AD$3:$AJ$3,0),FALSE)+$AY190/VLOOKUP(VLOOKUP($AW190,坦克个性化设定!$B$18:$E$48,4,FALSE)&amp;$AX190,坦克属性分配比例,MATCH("升星次数",坦克属性分配比例标头,0),FALSE)*VLOOKUP($AW190,$AM$3:$AS$33,MATCH(BK$3,$AM$3:$AS$3,0),FALSE),2)</f>
        <v>0.88</v>
      </c>
      <c r="BL190" s="462">
        <f>ROUND(VLOOKUP($AW190,$AD$3:$AJ$33,MATCH(BL$3,$AD$3:$AJ$3,0),FALSE)-$AY190/VLOOKUP(VLOOKUP($AW190,坦克个性化设定!$B$18:$E$48,4,FALSE)&amp;$AX190,坦克属性分配比例,MATCH("升星次数",坦克属性分配比例标头,0),FALSE)*VLOOKUP($AW190,$AM$3:$AS$33,MATCH(BL$3,$AM$3:$AS$3,0),FALSE),2)</f>
        <v>1.44</v>
      </c>
    </row>
    <row r="191" spans="47:64" x14ac:dyDescent="0.35">
      <c r="AU191" s="364" t="str">
        <f t="shared" si="22"/>
        <v>M-481</v>
      </c>
      <c r="AV191" s="183">
        <f>IF(AY190&gt;=VLOOKUP(VLOOKUP(AW190,坦克个性化设定!$B$18:$E$48,4,FALSE)&amp;AX190,坦克属性分配比例,MATCH("升星次数",坦克属性分配比例标头,0),FALSE),AV190+1,AV190)</f>
        <v>17</v>
      </c>
      <c r="AW191" s="131" t="str">
        <f t="shared" si="23"/>
        <v>M-48</v>
      </c>
      <c r="AX191" s="177" t="str">
        <f>VLOOKUP(AW191,坦克个性化细分!$I$3:$J$33,2,FALSE)</f>
        <v>低</v>
      </c>
      <c r="AY191" s="183">
        <f t="shared" si="21"/>
        <v>1</v>
      </c>
      <c r="AZ191" s="486">
        <f ca="1">ROUND(VLOOKUP($AW191&amp;"初始",$O$3:$AA$63,MATCH(AZ$3,$O$3:$AA$3,0),FALSE)+((VLOOKUP($AW191&amp;"最终",$O$3:$AA$63,MATCH(AZ$3,$O$3:$AA$3,0),FALSE)*坦克个性化细分!$C$9-VLOOKUP($AW191&amp;"初始",$O$3:$AA$63,MATCH(AZ$3,$O$3:$AA$3,0),FALSE))-(VLOOKUP($AW191&amp;"最终",$O$3:$AA$63,MATCH(AZ$3,$O$3:$AA$3,0),FALSE)-VLOOKUP($AW191&amp;"初始",$O$3:$AA$63,MATCH(AZ$3,$O$3:$AA$3,0),FALSE))*VLOOKUP(VLOOKUP($AW191,坦克个性化设定!$B$18:$E$48,4,FALSE)&amp;$AX191,坦克属性分配比例,MATCH("部件比例",坦克属性分配比例标头,0),FALSE))*$AY191/VLOOKUP(VLOOKUP($AW191,坦克个性化设定!$B$18:$E$48,4,FALSE)&amp;$AX191,坦克属性分配比例,MATCH("升星次数",坦克属性分配比例标头,0),FALSE),0)</f>
        <v>1899</v>
      </c>
      <c r="BA191" s="426">
        <f ca="1">ROUND(VLOOKUP($AW191&amp;"初始",$O$3:$AA$63,MATCH(BA$3,$O$3:$AA$3,0),FALSE)+(VLOOKUP($AW191&amp;"最终",$O$3:$AA$63,MATCH(BA$3,$O$3:$AA$3,0),FALSE)-VLOOKUP($AW191&amp;"初始",$O$3:$AA$63,MATCH(BA$3,$O$3:$AA$3,0),FALSE))*$AY191/VLOOKUP(VLOOKUP($AW191,坦克个性化设定!$B$18:$E$48,4,FALSE)&amp;$AX191,坦克属性分配比例,MATCH("升星次数",坦克属性分配比例标头,0),FALSE)*VLOOKUP(VLOOKUP($AW191,坦克个性化设定!$B$18:$E$48,4,FALSE)&amp;$AX191,坦克属性分配比例,MATCH("升星比例",坦克属性分配比例标头,0),FALSE),0)</f>
        <v>106</v>
      </c>
      <c r="BB191" s="486">
        <f ca="1">ROUND(VLOOKUP($AW191&amp;"初始",$O$3:$AA$63,MATCH(BB$3,$O$3:$AA$3,0),FALSE)+(VLOOKUP($AW191&amp;"最终",$O$3:$AA$63,MATCH(BB$3,$O$3:$AA$3,0),FALSE)-VLOOKUP($AW191&amp;"初始",$O$3:$AA$63,MATCH(BB$3,$O$3:$AA$3,0),FALSE))*$AY191/VLOOKUP(VLOOKUP($AW191,坦克个性化设定!$B$18:$E$48,4,FALSE)&amp;$AX191,坦克属性分配比例,MATCH("升星次数",坦克属性分配比例标头,0),FALSE)*(VLOOKUP(VLOOKUP($AW191,坦克个性化设定!$B$18:$E$48,4,FALSE)&amp;$AX191,坦克属性分配比例,MATCH("升星比例",坦克属性分配比例标头,0),FALSE)+VLOOKUP(VLOOKUP($AW191,坦克个性化设定!$B$18:$E$48,4,FALSE)&amp;$AX191,坦克属性分配比例,MATCH("部件比例",坦克属性分配比例标头,0),FALSE)*$C$3),0)</f>
        <v>563</v>
      </c>
      <c r="BC191" s="486">
        <f ca="1">ROUND(VLOOKUP($AW191&amp;"初始",$O$3:$AA$63,MATCH(BC$3,$O$3:$AA$3,0),FALSE)+(VLOOKUP($AW191&amp;"最终",$O$3:$AA$63,MATCH(BC$3,$O$3:$AA$3,0),FALSE)-VLOOKUP($AW191&amp;"初始",$O$3:$AA$63,MATCH(BC$3,$O$3:$AA$3,0),FALSE))*$AY191/VLOOKUP(VLOOKUP($AW191,坦克个性化设定!$B$18:$E$48,4,FALSE)&amp;$AX191,坦克属性分配比例,MATCH("升星次数",坦克属性分配比例标头,0),FALSE)*(VLOOKUP(VLOOKUP($AW191,坦克个性化设定!$B$18:$E$48,4,FALSE)&amp;$AX191,坦克属性分配比例,MATCH("升星比例",坦克属性分配比例标头,0),FALSE)+VLOOKUP(VLOOKUP($AW191,坦克个性化设定!$B$18:$E$48,4,FALSE)&amp;$AX191,坦克属性分配比例,MATCH("部件比例",坦克属性分配比例标头,0),FALSE)*$C$3),0)</f>
        <v>422</v>
      </c>
      <c r="BD191" s="426">
        <f ca="1">ROUND(VLOOKUP($AW191&amp;"初始",$O$3:$AA$63,MATCH(BD$3,$O$3:$AA$3,0),FALSE)+(VLOOKUP($AW191&amp;"最终",$O$3:$AA$63,MATCH(BD$3,$O$3:$AA$3,0),FALSE)-VLOOKUP($AW191&amp;"初始",$O$3:$AA$63,MATCH(BD$3,$O$3:$AA$3,0),FALSE))*$AY191/VLOOKUP(VLOOKUP($AW191,坦克个性化设定!$B$18:$E$48,4,FALSE)&amp;$AX191,坦克属性分配比例,MATCH("升星次数",坦克属性分配比例标头,0),FALSE)*VLOOKUP(VLOOKUP($AW191,坦克个性化设定!$B$18:$E$48,4,FALSE)&amp;$AX191,坦克属性分配比例,MATCH("升星比例",坦克属性分配比例标头,0),FALSE),0)</f>
        <v>692</v>
      </c>
      <c r="BE191" s="426">
        <f ca="1">ROUND(VLOOKUP($AW191&amp;"初始",$O$3:$AA$63,MATCH(BE$3,$O$3:$AA$3,0),FALSE)+(VLOOKUP($AW191&amp;"最终",$O$3:$AA$63,MATCH(BE$3,$O$3:$AA$3,0),FALSE)-VLOOKUP($AW191&amp;"初始",$O$3:$AA$63,MATCH(BE$3,$O$3:$AA$3,0),FALSE))*$AY191/VLOOKUP(VLOOKUP($AW191,坦克个性化设定!$B$18:$E$48,4,FALSE)&amp;$AX191,坦克属性分配比例,MATCH("升星次数",坦克属性分配比例标头,0),FALSE),0)</f>
        <v>176</v>
      </c>
      <c r="BF191" s="462">
        <f>ROUND(VLOOKUP($AW191,$AD$3:$AJ$33,MATCH(BF$3,$AD$3:$AJ$3,0),FALSE)+$AY191/VLOOKUP(VLOOKUP($AW191,坦克个性化设定!$B$18:$E$48,4,FALSE)&amp;$AX191,坦克属性分配比例,MATCH("升星次数",坦克属性分配比例标头,0),FALSE)*VLOOKUP($AW191,$AM$3:$AS$33,MATCH(BF$3,$AM$3:$AS$3,0),FALSE),1)</f>
        <v>45.6</v>
      </c>
      <c r="BG191" s="462">
        <f>ROUND(VLOOKUP($AW191,$AD$3:$AJ$33,MATCH(BG$3,$AD$3:$AJ$3,0),FALSE)+$AY191/VLOOKUP(VLOOKUP($AW191,坦克个性化设定!$B$18:$E$48,4,FALSE)&amp;$AX191,坦克属性分配比例,MATCH("升星次数",坦克属性分配比例标头,0),FALSE)*VLOOKUP($AW191,$AM$3:$AS$33,MATCH(BG$3,$AM$3:$AS$3,0),FALSE),1)</f>
        <v>41</v>
      </c>
      <c r="BH191" s="462">
        <f>ROUND(VLOOKUP($AW191,$AD$3:$AJ$33,MATCH(BH$3,$AD$3:$AJ$3,0),FALSE)+$AY191/VLOOKUP(VLOOKUP($AW191,坦克个性化设定!$B$18:$E$48,4,FALSE)&amp;$AX191,坦克属性分配比例,MATCH("升星次数",坦克属性分配比例标头,0),FALSE)*VLOOKUP($AW191,$AM$3:$AS$33,MATCH(BH$3,$AM$3:$AS$3,0),FALSE),1)</f>
        <v>12.7</v>
      </c>
      <c r="BI191" s="654">
        <f>IF(VLOOKUP(AW191,坦克个性化设定!$B$18:$BB$48,MATCH("装弹类型",坦克个性化设定!$B$18:$BB$18,0),FALSE)="弹夹换弹",0,ROUND(VLOOKUP($AW191,$AD$3:$AJ$33,MATCH("换弹时间",$AD$3:$AJ$3,0),FALSE)-$AY191/VLOOKUP(VLOOKUP($AW191,坦克个性化设定!$B$18:$E$48,4,FALSE)&amp;$AX191,坦克属性分配比例,MATCH("升星次数",坦克属性分配比例标头,0),FALSE)*VLOOKUP($AW191,$AM$3:$AS$33,MATCH("换弹时间",$AM$3:$AS$3,0),FALSE),2))</f>
        <v>0</v>
      </c>
      <c r="BJ191" s="462">
        <f>IF(VLOOKUP(AW191,坦克个性化设定!$B$18:$BB$48,MATCH("装弹类型",坦克个性化设定!$B$18:$BB$18,0),FALSE)="弹夹换弹",ROUND(VLOOKUP($AW191,$AD$3:$AJ$33,MATCH("换弹时间",$AD$3:$AJ$3,0),FALSE)-$AY191/VLOOKUP(VLOOKUP($AW191,坦克个性化设定!$B$18:$E$48,4,FALSE)&amp;$AX191,坦克属性分配比例,MATCH("升星次数",坦克属性分配比例标头,0),FALSE)*VLOOKUP($AW191,$AM$3:$AS$33,MATCH("换弹时间",$AM$3:$AS$3,0),FALSE),1),0)</f>
        <v>3.9</v>
      </c>
      <c r="BK191" s="462">
        <f>ROUND(VLOOKUP($AW191,$AD$3:$AJ$33,MATCH(BK$3,$AD$3:$AJ$3,0),FALSE)+$AY191/VLOOKUP(VLOOKUP($AW191,坦克个性化设定!$B$18:$E$48,4,FALSE)&amp;$AX191,坦克属性分配比例,MATCH("升星次数",坦克属性分配比例标头,0),FALSE)*VLOOKUP($AW191,$AM$3:$AS$33,MATCH(BK$3,$AM$3:$AS$3,0),FALSE),2)</f>
        <v>0.87</v>
      </c>
      <c r="BL191" s="462">
        <f>ROUND(VLOOKUP($AW191,$AD$3:$AJ$33,MATCH(BL$3,$AD$3:$AJ$3,0),FALSE)-$AY191/VLOOKUP(VLOOKUP($AW191,坦克个性化设定!$B$18:$E$48,4,FALSE)&amp;$AX191,坦克属性分配比例,MATCH("升星次数",坦克属性分配比例标头,0),FALSE)*VLOOKUP($AW191,$AM$3:$AS$33,MATCH(BL$3,$AM$3:$AS$3,0),FALSE),2)</f>
        <v>1.42</v>
      </c>
    </row>
    <row r="192" spans="47:64" x14ac:dyDescent="0.35">
      <c r="AU192" s="364" t="str">
        <f t="shared" si="22"/>
        <v>M-482</v>
      </c>
      <c r="AV192" s="183">
        <f>IF(AY191&gt;=VLOOKUP(VLOOKUP(AW191,坦克个性化设定!$B$18:$E$48,4,FALSE)&amp;AX191,坦克属性分配比例,MATCH("升星次数",坦克属性分配比例标头,0),FALSE),AV191+1,AV191)</f>
        <v>17</v>
      </c>
      <c r="AW192" s="131" t="str">
        <f t="shared" si="23"/>
        <v>M-48</v>
      </c>
      <c r="AX192" s="177" t="str">
        <f>VLOOKUP(AW192,坦克个性化细分!$I$3:$J$33,2,FALSE)</f>
        <v>低</v>
      </c>
      <c r="AY192" s="183">
        <f t="shared" si="21"/>
        <v>2</v>
      </c>
      <c r="AZ192" s="486">
        <f ca="1">ROUND(VLOOKUP($AW192&amp;"初始",$O$3:$AA$63,MATCH(AZ$3,$O$3:$AA$3,0),FALSE)+((VLOOKUP($AW192&amp;"最终",$O$3:$AA$63,MATCH(AZ$3,$O$3:$AA$3,0),FALSE)*坦克个性化细分!$C$9-VLOOKUP($AW192&amp;"初始",$O$3:$AA$63,MATCH(AZ$3,$O$3:$AA$3,0),FALSE))-(VLOOKUP($AW192&amp;"最终",$O$3:$AA$63,MATCH(AZ$3,$O$3:$AA$3,0),FALSE)-VLOOKUP($AW192&amp;"初始",$O$3:$AA$63,MATCH(AZ$3,$O$3:$AA$3,0),FALSE))*VLOOKUP(VLOOKUP($AW192,坦克个性化设定!$B$18:$E$48,4,FALSE)&amp;$AX192,坦克属性分配比例,MATCH("部件比例",坦克属性分配比例标头,0),FALSE))*$AY192/VLOOKUP(VLOOKUP($AW192,坦克个性化设定!$B$18:$E$48,4,FALSE)&amp;$AX192,坦克属性分配比例,MATCH("升星次数",坦克属性分配比例标头,0),FALSE),0)</f>
        <v>2003</v>
      </c>
      <c r="BA192" s="426">
        <f ca="1">ROUND(VLOOKUP($AW192&amp;"初始",$O$3:$AA$63,MATCH(BA$3,$O$3:$AA$3,0),FALSE)+(VLOOKUP($AW192&amp;"最终",$O$3:$AA$63,MATCH(BA$3,$O$3:$AA$3,0),FALSE)-VLOOKUP($AW192&amp;"初始",$O$3:$AA$63,MATCH(BA$3,$O$3:$AA$3,0),FALSE))*$AY192/VLOOKUP(VLOOKUP($AW192,坦克个性化设定!$B$18:$E$48,4,FALSE)&amp;$AX192,坦克属性分配比例,MATCH("升星次数",坦克属性分配比例标头,0),FALSE)*VLOOKUP(VLOOKUP($AW192,坦克个性化设定!$B$18:$E$48,4,FALSE)&amp;$AX192,坦克属性分配比例,MATCH("升星比例",坦克属性分配比例标头,0),FALSE),0)</f>
        <v>107</v>
      </c>
      <c r="BB192" s="486">
        <f ca="1">ROUND(VLOOKUP($AW192&amp;"初始",$O$3:$AA$63,MATCH(BB$3,$O$3:$AA$3,0),FALSE)+(VLOOKUP($AW192&amp;"最终",$O$3:$AA$63,MATCH(BB$3,$O$3:$AA$3,0),FALSE)-VLOOKUP($AW192&amp;"初始",$O$3:$AA$63,MATCH(BB$3,$O$3:$AA$3,0),FALSE))*$AY192/VLOOKUP(VLOOKUP($AW192,坦克个性化设定!$B$18:$E$48,4,FALSE)&amp;$AX192,坦克属性分配比例,MATCH("升星次数",坦克属性分配比例标头,0),FALSE)*(VLOOKUP(VLOOKUP($AW192,坦克个性化设定!$B$18:$E$48,4,FALSE)&amp;$AX192,坦克属性分配比例,MATCH("升星比例",坦克属性分配比例标头,0),FALSE)+VLOOKUP(VLOOKUP($AW192,坦克个性化设定!$B$18:$E$48,4,FALSE)&amp;$AX192,坦克属性分配比例,MATCH("部件比例",坦克属性分配比例标头,0),FALSE)*$C$3),0)</f>
        <v>583</v>
      </c>
      <c r="BC192" s="486">
        <f ca="1">ROUND(VLOOKUP($AW192&amp;"初始",$O$3:$AA$63,MATCH(BC$3,$O$3:$AA$3,0),FALSE)+(VLOOKUP($AW192&amp;"最终",$O$3:$AA$63,MATCH(BC$3,$O$3:$AA$3,0),FALSE)-VLOOKUP($AW192&amp;"初始",$O$3:$AA$63,MATCH(BC$3,$O$3:$AA$3,0),FALSE))*$AY192/VLOOKUP(VLOOKUP($AW192,坦克个性化设定!$B$18:$E$48,4,FALSE)&amp;$AX192,坦克属性分配比例,MATCH("升星次数",坦克属性分配比例标头,0),FALSE)*(VLOOKUP(VLOOKUP($AW192,坦克个性化设定!$B$18:$E$48,4,FALSE)&amp;$AX192,坦克属性分配比例,MATCH("升星比例",坦克属性分配比例标头,0),FALSE)+VLOOKUP(VLOOKUP($AW192,坦克个性化设定!$B$18:$E$48,4,FALSE)&amp;$AX192,坦克属性分配比例,MATCH("部件比例",坦克属性分配比例标头,0),FALSE)*$C$3),0)</f>
        <v>437</v>
      </c>
      <c r="BD192" s="426">
        <f ca="1">ROUND(VLOOKUP($AW192&amp;"初始",$O$3:$AA$63,MATCH(BD$3,$O$3:$AA$3,0),FALSE)+(VLOOKUP($AW192&amp;"最终",$O$3:$AA$63,MATCH(BD$3,$O$3:$AA$3,0),FALSE)-VLOOKUP($AW192&amp;"初始",$O$3:$AA$63,MATCH(BD$3,$O$3:$AA$3,0),FALSE))*$AY192/VLOOKUP(VLOOKUP($AW192,坦克个性化设定!$B$18:$E$48,4,FALSE)&amp;$AX192,坦克属性分配比例,MATCH("升星次数",坦克属性分配比例标头,0),FALSE)*VLOOKUP(VLOOKUP($AW192,坦克个性化设定!$B$18:$E$48,4,FALSE)&amp;$AX192,坦克属性分配比例,MATCH("升星比例",坦克属性分配比例标头,0),FALSE),0)</f>
        <v>701</v>
      </c>
      <c r="BE192" s="426">
        <f ca="1">ROUND(VLOOKUP($AW192&amp;"初始",$O$3:$AA$63,MATCH(BE$3,$O$3:$AA$3,0),FALSE)+(VLOOKUP($AW192&amp;"最终",$O$3:$AA$63,MATCH(BE$3,$O$3:$AA$3,0),FALSE)-VLOOKUP($AW192&amp;"初始",$O$3:$AA$63,MATCH(BE$3,$O$3:$AA$3,0),FALSE))*$AY192/VLOOKUP(VLOOKUP($AW192,坦克个性化设定!$B$18:$E$48,4,FALSE)&amp;$AX192,坦克属性分配比例,MATCH("升星次数",坦克属性分配比例标头,0),FALSE),0)</f>
        <v>185</v>
      </c>
      <c r="BF192" s="462">
        <f>ROUND(VLOOKUP($AW192,$AD$3:$AJ$33,MATCH(BF$3,$AD$3:$AJ$3,0),FALSE)+$AY192/VLOOKUP(VLOOKUP($AW192,坦克个性化设定!$B$18:$E$48,4,FALSE)&amp;$AX192,坦克属性分配比例,MATCH("升星次数",坦克属性分配比例标头,0),FALSE)*VLOOKUP($AW192,$AM$3:$AS$33,MATCH(BF$3,$AM$3:$AS$3,0),FALSE),1)</f>
        <v>46.7</v>
      </c>
      <c r="BG192" s="462">
        <f>ROUND(VLOOKUP($AW192,$AD$3:$AJ$33,MATCH(BG$3,$AD$3:$AJ$3,0),FALSE)+$AY192/VLOOKUP(VLOOKUP($AW192,坦克个性化设定!$B$18:$E$48,4,FALSE)&amp;$AX192,坦克属性分配比例,MATCH("升星次数",坦克属性分配比例标头,0),FALSE)*VLOOKUP($AW192,$AM$3:$AS$33,MATCH(BG$3,$AM$3:$AS$3,0),FALSE),1)</f>
        <v>42</v>
      </c>
      <c r="BH192" s="462">
        <f>ROUND(VLOOKUP($AW192,$AD$3:$AJ$33,MATCH(BH$3,$AD$3:$AJ$3,0),FALSE)+$AY192/VLOOKUP(VLOOKUP($AW192,坦克个性化设定!$B$18:$E$48,4,FALSE)&amp;$AX192,坦克属性分配比例,MATCH("升星次数",坦克属性分配比例标头,0),FALSE)*VLOOKUP($AW192,$AM$3:$AS$33,MATCH(BH$3,$AM$3:$AS$3,0),FALSE),1)</f>
        <v>13.1</v>
      </c>
      <c r="BI192" s="654">
        <f>IF(VLOOKUP(AW192,坦克个性化设定!$B$18:$BB$48,MATCH("装弹类型",坦克个性化设定!$B$18:$BB$18,0),FALSE)="弹夹换弹",0,ROUND(VLOOKUP($AW192,$AD$3:$AJ$33,MATCH("换弹时间",$AD$3:$AJ$3,0),FALSE)-$AY192/VLOOKUP(VLOOKUP($AW192,坦克个性化设定!$B$18:$E$48,4,FALSE)&amp;$AX192,坦克属性分配比例,MATCH("升星次数",坦克属性分配比例标头,0),FALSE)*VLOOKUP($AW192,$AM$3:$AS$33,MATCH("换弹时间",$AM$3:$AS$3,0),FALSE),2))</f>
        <v>0</v>
      </c>
      <c r="BJ192" s="462">
        <f>IF(VLOOKUP(AW192,坦克个性化设定!$B$18:$BB$48,MATCH("装弹类型",坦克个性化设定!$B$18:$BB$18,0),FALSE)="弹夹换弹",ROUND(VLOOKUP($AW192,$AD$3:$AJ$33,MATCH("换弹时间",$AD$3:$AJ$3,0),FALSE)-$AY192/VLOOKUP(VLOOKUP($AW192,坦克个性化设定!$B$18:$E$48,4,FALSE)&amp;$AX192,坦克属性分配比例,MATCH("升星次数",坦克属性分配比例标头,0),FALSE)*VLOOKUP($AW192,$AM$3:$AS$33,MATCH("换弹时间",$AM$3:$AS$3,0),FALSE),1),0)</f>
        <v>3.8</v>
      </c>
      <c r="BK192" s="462">
        <f>ROUND(VLOOKUP($AW192,$AD$3:$AJ$33,MATCH(BK$3,$AD$3:$AJ$3,0),FALSE)+$AY192/VLOOKUP(VLOOKUP($AW192,坦克个性化设定!$B$18:$E$48,4,FALSE)&amp;$AX192,坦克属性分配比例,MATCH("升星次数",坦克属性分配比例标头,0),FALSE)*VLOOKUP($AW192,$AM$3:$AS$33,MATCH(BK$3,$AM$3:$AS$3,0),FALSE),2)</f>
        <v>0.85</v>
      </c>
      <c r="BL192" s="462">
        <f>ROUND(VLOOKUP($AW192,$AD$3:$AJ$33,MATCH(BL$3,$AD$3:$AJ$3,0),FALSE)-$AY192/VLOOKUP(VLOOKUP($AW192,坦克个性化设定!$B$18:$E$48,4,FALSE)&amp;$AX192,坦克属性分配比例,MATCH("升星次数",坦克属性分配比例标头,0),FALSE)*VLOOKUP($AW192,$AM$3:$AS$33,MATCH(BL$3,$AM$3:$AS$3,0),FALSE),2)</f>
        <v>1.39</v>
      </c>
    </row>
    <row r="193" spans="47:64" x14ac:dyDescent="0.35">
      <c r="AU193" s="364" t="str">
        <f t="shared" si="22"/>
        <v>M-483</v>
      </c>
      <c r="AV193" s="183">
        <f>IF(AY192&gt;=VLOOKUP(VLOOKUP(AW192,坦克个性化设定!$B$18:$E$48,4,FALSE)&amp;AX192,坦克属性分配比例,MATCH("升星次数",坦克属性分配比例标头,0),FALSE),AV192+1,AV192)</f>
        <v>17</v>
      </c>
      <c r="AW193" s="131" t="str">
        <f t="shared" si="23"/>
        <v>M-48</v>
      </c>
      <c r="AX193" s="177" t="str">
        <f>VLOOKUP(AW193,坦克个性化细分!$I$3:$J$33,2,FALSE)</f>
        <v>低</v>
      </c>
      <c r="AY193" s="183">
        <f t="shared" si="21"/>
        <v>3</v>
      </c>
      <c r="AZ193" s="486">
        <f ca="1">ROUND(VLOOKUP($AW193&amp;"初始",$O$3:$AA$63,MATCH(AZ$3,$O$3:$AA$3,0),FALSE)+((VLOOKUP($AW193&amp;"最终",$O$3:$AA$63,MATCH(AZ$3,$O$3:$AA$3,0),FALSE)*坦克个性化细分!$C$9-VLOOKUP($AW193&amp;"初始",$O$3:$AA$63,MATCH(AZ$3,$O$3:$AA$3,0),FALSE))-(VLOOKUP($AW193&amp;"最终",$O$3:$AA$63,MATCH(AZ$3,$O$3:$AA$3,0),FALSE)-VLOOKUP($AW193&amp;"初始",$O$3:$AA$63,MATCH(AZ$3,$O$3:$AA$3,0),FALSE))*VLOOKUP(VLOOKUP($AW193,坦克个性化设定!$B$18:$E$48,4,FALSE)&amp;$AX193,坦克属性分配比例,MATCH("部件比例",坦克属性分配比例标头,0),FALSE))*$AY193/VLOOKUP(VLOOKUP($AW193,坦克个性化设定!$B$18:$E$48,4,FALSE)&amp;$AX193,坦克属性分配比例,MATCH("升星次数",坦克属性分配比例标头,0),FALSE),0)</f>
        <v>2107</v>
      </c>
      <c r="BA193" s="426">
        <f ca="1">ROUND(VLOOKUP($AW193&amp;"初始",$O$3:$AA$63,MATCH(BA$3,$O$3:$AA$3,0),FALSE)+(VLOOKUP($AW193&amp;"最终",$O$3:$AA$63,MATCH(BA$3,$O$3:$AA$3,0),FALSE)-VLOOKUP($AW193&amp;"初始",$O$3:$AA$63,MATCH(BA$3,$O$3:$AA$3,0),FALSE))*$AY193/VLOOKUP(VLOOKUP($AW193,坦克个性化设定!$B$18:$E$48,4,FALSE)&amp;$AX193,坦克属性分配比例,MATCH("升星次数",坦克属性分配比例标头,0),FALSE)*VLOOKUP(VLOOKUP($AW193,坦克个性化设定!$B$18:$E$48,4,FALSE)&amp;$AX193,坦克属性分配比例,MATCH("升星比例",坦克属性分配比例标头,0),FALSE),0)</f>
        <v>108</v>
      </c>
      <c r="BB193" s="486">
        <f ca="1">ROUND(VLOOKUP($AW193&amp;"初始",$O$3:$AA$63,MATCH(BB$3,$O$3:$AA$3,0),FALSE)+(VLOOKUP($AW193&amp;"最终",$O$3:$AA$63,MATCH(BB$3,$O$3:$AA$3,0),FALSE)-VLOOKUP($AW193&amp;"初始",$O$3:$AA$63,MATCH(BB$3,$O$3:$AA$3,0),FALSE))*$AY193/VLOOKUP(VLOOKUP($AW193,坦克个性化设定!$B$18:$E$48,4,FALSE)&amp;$AX193,坦克属性分配比例,MATCH("升星次数",坦克属性分配比例标头,0),FALSE)*(VLOOKUP(VLOOKUP($AW193,坦克个性化设定!$B$18:$E$48,4,FALSE)&amp;$AX193,坦克属性分配比例,MATCH("升星比例",坦克属性分配比例标头,0),FALSE)+VLOOKUP(VLOOKUP($AW193,坦克个性化设定!$B$18:$E$48,4,FALSE)&amp;$AX193,坦克属性分配比例,MATCH("部件比例",坦克属性分配比例标头,0),FALSE)*$C$3),0)</f>
        <v>602</v>
      </c>
      <c r="BC193" s="486">
        <f ca="1">ROUND(VLOOKUP($AW193&amp;"初始",$O$3:$AA$63,MATCH(BC$3,$O$3:$AA$3,0),FALSE)+(VLOOKUP($AW193&amp;"最终",$O$3:$AA$63,MATCH(BC$3,$O$3:$AA$3,0),FALSE)-VLOOKUP($AW193&amp;"初始",$O$3:$AA$63,MATCH(BC$3,$O$3:$AA$3,0),FALSE))*$AY193/VLOOKUP(VLOOKUP($AW193,坦克个性化设定!$B$18:$E$48,4,FALSE)&amp;$AX193,坦克属性分配比例,MATCH("升星次数",坦克属性分配比例标头,0),FALSE)*(VLOOKUP(VLOOKUP($AW193,坦克个性化设定!$B$18:$E$48,4,FALSE)&amp;$AX193,坦克属性分配比例,MATCH("升星比例",坦克属性分配比例标头,0),FALSE)+VLOOKUP(VLOOKUP($AW193,坦克个性化设定!$B$18:$E$48,4,FALSE)&amp;$AX193,坦克属性分配比例,MATCH("部件比例",坦克属性分配比例标头,0),FALSE)*$C$3),0)</f>
        <v>451</v>
      </c>
      <c r="BD193" s="426">
        <f ca="1">ROUND(VLOOKUP($AW193&amp;"初始",$O$3:$AA$63,MATCH(BD$3,$O$3:$AA$3,0),FALSE)+(VLOOKUP($AW193&amp;"最终",$O$3:$AA$63,MATCH(BD$3,$O$3:$AA$3,0),FALSE)-VLOOKUP($AW193&amp;"初始",$O$3:$AA$63,MATCH(BD$3,$O$3:$AA$3,0),FALSE))*$AY193/VLOOKUP(VLOOKUP($AW193,坦克个性化设定!$B$18:$E$48,4,FALSE)&amp;$AX193,坦克属性分配比例,MATCH("升星次数",坦克属性分配比例标头,0),FALSE)*VLOOKUP(VLOOKUP($AW193,坦克个性化设定!$B$18:$E$48,4,FALSE)&amp;$AX193,坦克属性分配比例,MATCH("升星比例",坦克属性分配比例标头,0),FALSE),0)</f>
        <v>709</v>
      </c>
      <c r="BE193" s="426">
        <f ca="1">ROUND(VLOOKUP($AW193&amp;"初始",$O$3:$AA$63,MATCH(BE$3,$O$3:$AA$3,0),FALSE)+(VLOOKUP($AW193&amp;"最终",$O$3:$AA$63,MATCH(BE$3,$O$3:$AA$3,0),FALSE)-VLOOKUP($AW193&amp;"初始",$O$3:$AA$63,MATCH(BE$3,$O$3:$AA$3,0),FALSE))*$AY193/VLOOKUP(VLOOKUP($AW193,坦克个性化设定!$B$18:$E$48,4,FALSE)&amp;$AX193,坦克属性分配比例,MATCH("升星次数",坦克属性分配比例标头,0),FALSE),0)</f>
        <v>193</v>
      </c>
      <c r="BF193" s="462">
        <f>ROUND(VLOOKUP($AW193,$AD$3:$AJ$33,MATCH(BF$3,$AD$3:$AJ$3,0),FALSE)+$AY193/VLOOKUP(VLOOKUP($AW193,坦克个性化设定!$B$18:$E$48,4,FALSE)&amp;$AX193,坦克属性分配比例,MATCH("升星次数",坦克属性分配比例标头,0),FALSE)*VLOOKUP($AW193,$AM$3:$AS$33,MATCH(BF$3,$AM$3:$AS$3,0),FALSE),1)</f>
        <v>47.8</v>
      </c>
      <c r="BG193" s="462">
        <f>ROUND(VLOOKUP($AW193,$AD$3:$AJ$33,MATCH(BG$3,$AD$3:$AJ$3,0),FALSE)+$AY193/VLOOKUP(VLOOKUP($AW193,坦克个性化设定!$B$18:$E$48,4,FALSE)&amp;$AX193,坦克属性分配比例,MATCH("升星次数",坦克属性分配比例标头,0),FALSE)*VLOOKUP($AW193,$AM$3:$AS$33,MATCH(BG$3,$AM$3:$AS$3,0),FALSE),1)</f>
        <v>43</v>
      </c>
      <c r="BH193" s="462">
        <f>ROUND(VLOOKUP($AW193,$AD$3:$AJ$33,MATCH(BH$3,$AD$3:$AJ$3,0),FALSE)+$AY193/VLOOKUP(VLOOKUP($AW193,坦克个性化设定!$B$18:$E$48,4,FALSE)&amp;$AX193,坦克属性分配比例,MATCH("升星次数",坦克属性分配比例标头,0),FALSE)*VLOOKUP($AW193,$AM$3:$AS$33,MATCH(BH$3,$AM$3:$AS$3,0),FALSE),1)</f>
        <v>13.5</v>
      </c>
      <c r="BI193" s="654">
        <f>IF(VLOOKUP(AW193,坦克个性化设定!$B$18:$BB$48,MATCH("装弹类型",坦克个性化设定!$B$18:$BB$18,0),FALSE)="弹夹换弹",0,ROUND(VLOOKUP($AW193,$AD$3:$AJ$33,MATCH("换弹时间",$AD$3:$AJ$3,0),FALSE)-$AY193/VLOOKUP(VLOOKUP($AW193,坦克个性化设定!$B$18:$E$48,4,FALSE)&amp;$AX193,坦克属性分配比例,MATCH("升星次数",坦克属性分配比例标头,0),FALSE)*VLOOKUP($AW193,$AM$3:$AS$33,MATCH("换弹时间",$AM$3:$AS$3,0),FALSE),2))</f>
        <v>0</v>
      </c>
      <c r="BJ193" s="462">
        <f>IF(VLOOKUP(AW193,坦克个性化设定!$B$18:$BB$48,MATCH("装弹类型",坦克个性化设定!$B$18:$BB$18,0),FALSE)="弹夹换弹",ROUND(VLOOKUP($AW193,$AD$3:$AJ$33,MATCH("换弹时间",$AD$3:$AJ$3,0),FALSE)-$AY193/VLOOKUP(VLOOKUP($AW193,坦克个性化设定!$B$18:$E$48,4,FALSE)&amp;$AX193,坦克属性分配比例,MATCH("升星次数",坦克属性分配比例标头,0),FALSE)*VLOOKUP($AW193,$AM$3:$AS$33,MATCH("换弹时间",$AM$3:$AS$3,0),FALSE),1),0)</f>
        <v>3.6</v>
      </c>
      <c r="BK193" s="462">
        <f>ROUND(VLOOKUP($AW193,$AD$3:$AJ$33,MATCH(BK$3,$AD$3:$AJ$3,0),FALSE)+$AY193/VLOOKUP(VLOOKUP($AW193,坦克个性化设定!$B$18:$E$48,4,FALSE)&amp;$AX193,坦克属性分配比例,MATCH("升星次数",坦克属性分配比例标头,0),FALSE)*VLOOKUP($AW193,$AM$3:$AS$33,MATCH(BK$3,$AM$3:$AS$3,0),FALSE),2)</f>
        <v>0.84</v>
      </c>
      <c r="BL193" s="462">
        <f>ROUND(VLOOKUP($AW193,$AD$3:$AJ$33,MATCH(BL$3,$AD$3:$AJ$3,0),FALSE)-$AY193/VLOOKUP(VLOOKUP($AW193,坦克个性化设定!$B$18:$E$48,4,FALSE)&amp;$AX193,坦克属性分配比例,MATCH("升星次数",坦克属性分配比例标头,0),FALSE)*VLOOKUP($AW193,$AM$3:$AS$33,MATCH(BL$3,$AM$3:$AS$3,0),FALSE),2)</f>
        <v>1.37</v>
      </c>
    </row>
    <row r="194" spans="47:64" x14ac:dyDescent="0.35">
      <c r="AU194" s="364" t="str">
        <f t="shared" si="22"/>
        <v>M-484</v>
      </c>
      <c r="AV194" s="183">
        <f>IF(AY193&gt;=VLOOKUP(VLOOKUP(AW193,坦克个性化设定!$B$18:$E$48,4,FALSE)&amp;AX193,坦克属性分配比例,MATCH("升星次数",坦克属性分配比例标头,0),FALSE),AV193+1,AV193)</f>
        <v>17</v>
      </c>
      <c r="AW194" s="131" t="str">
        <f t="shared" si="23"/>
        <v>M-48</v>
      </c>
      <c r="AX194" s="177" t="str">
        <f>VLOOKUP(AW194,坦克个性化细分!$I$3:$J$33,2,FALSE)</f>
        <v>低</v>
      </c>
      <c r="AY194" s="183">
        <f t="shared" si="21"/>
        <v>4</v>
      </c>
      <c r="AZ194" s="486">
        <f ca="1">ROUND(VLOOKUP($AW194&amp;"初始",$O$3:$AA$63,MATCH(AZ$3,$O$3:$AA$3,0),FALSE)+((VLOOKUP($AW194&amp;"最终",$O$3:$AA$63,MATCH(AZ$3,$O$3:$AA$3,0),FALSE)*坦克个性化细分!$C$9-VLOOKUP($AW194&amp;"初始",$O$3:$AA$63,MATCH(AZ$3,$O$3:$AA$3,0),FALSE))-(VLOOKUP($AW194&amp;"最终",$O$3:$AA$63,MATCH(AZ$3,$O$3:$AA$3,0),FALSE)-VLOOKUP($AW194&amp;"初始",$O$3:$AA$63,MATCH(AZ$3,$O$3:$AA$3,0),FALSE))*VLOOKUP(VLOOKUP($AW194,坦克个性化设定!$B$18:$E$48,4,FALSE)&amp;$AX194,坦克属性分配比例,MATCH("部件比例",坦克属性分配比例标头,0),FALSE))*$AY194/VLOOKUP(VLOOKUP($AW194,坦克个性化设定!$B$18:$E$48,4,FALSE)&amp;$AX194,坦克属性分配比例,MATCH("升星次数",坦克属性分配比例标头,0),FALSE),0)</f>
        <v>2211</v>
      </c>
      <c r="BA194" s="426">
        <f ca="1">ROUND(VLOOKUP($AW194&amp;"初始",$O$3:$AA$63,MATCH(BA$3,$O$3:$AA$3,0),FALSE)+(VLOOKUP($AW194&amp;"最终",$O$3:$AA$63,MATCH(BA$3,$O$3:$AA$3,0),FALSE)-VLOOKUP($AW194&amp;"初始",$O$3:$AA$63,MATCH(BA$3,$O$3:$AA$3,0),FALSE))*$AY194/VLOOKUP(VLOOKUP($AW194,坦克个性化设定!$B$18:$E$48,4,FALSE)&amp;$AX194,坦克属性分配比例,MATCH("升星次数",坦克属性分配比例标头,0),FALSE)*VLOOKUP(VLOOKUP($AW194,坦克个性化设定!$B$18:$E$48,4,FALSE)&amp;$AX194,坦克属性分配比例,MATCH("升星比例",坦克属性分配比例标头,0),FALSE),0)</f>
        <v>110</v>
      </c>
      <c r="BB194" s="486">
        <f ca="1">ROUND(VLOOKUP($AW194&amp;"初始",$O$3:$AA$63,MATCH(BB$3,$O$3:$AA$3,0),FALSE)+(VLOOKUP($AW194&amp;"最终",$O$3:$AA$63,MATCH(BB$3,$O$3:$AA$3,0),FALSE)-VLOOKUP($AW194&amp;"初始",$O$3:$AA$63,MATCH(BB$3,$O$3:$AA$3,0),FALSE))*$AY194/VLOOKUP(VLOOKUP($AW194,坦克个性化设定!$B$18:$E$48,4,FALSE)&amp;$AX194,坦克属性分配比例,MATCH("升星次数",坦克属性分配比例标头,0),FALSE)*(VLOOKUP(VLOOKUP($AW194,坦克个性化设定!$B$18:$E$48,4,FALSE)&amp;$AX194,坦克属性分配比例,MATCH("升星比例",坦克属性分配比例标头,0),FALSE)+VLOOKUP(VLOOKUP($AW194,坦克个性化设定!$B$18:$E$48,4,FALSE)&amp;$AX194,坦克属性分配比例,MATCH("部件比例",坦克属性分配比例标头,0),FALSE)*$C$3),0)</f>
        <v>622</v>
      </c>
      <c r="BC194" s="486">
        <f ca="1">ROUND(VLOOKUP($AW194&amp;"初始",$O$3:$AA$63,MATCH(BC$3,$O$3:$AA$3,0),FALSE)+(VLOOKUP($AW194&amp;"最终",$O$3:$AA$63,MATCH(BC$3,$O$3:$AA$3,0),FALSE)-VLOOKUP($AW194&amp;"初始",$O$3:$AA$63,MATCH(BC$3,$O$3:$AA$3,0),FALSE))*$AY194/VLOOKUP(VLOOKUP($AW194,坦克个性化设定!$B$18:$E$48,4,FALSE)&amp;$AX194,坦克属性分配比例,MATCH("升星次数",坦克属性分配比例标头,0),FALSE)*(VLOOKUP(VLOOKUP($AW194,坦克个性化设定!$B$18:$E$48,4,FALSE)&amp;$AX194,坦克属性分配比例,MATCH("升星比例",坦克属性分配比例标头,0),FALSE)+VLOOKUP(VLOOKUP($AW194,坦克个性化设定!$B$18:$E$48,4,FALSE)&amp;$AX194,坦克属性分配比例,MATCH("部件比例",坦克属性分配比例标头,0),FALSE)*$C$3),0)</f>
        <v>466</v>
      </c>
      <c r="BD194" s="426">
        <f ca="1">ROUND(VLOOKUP($AW194&amp;"初始",$O$3:$AA$63,MATCH(BD$3,$O$3:$AA$3,0),FALSE)+(VLOOKUP($AW194&amp;"最终",$O$3:$AA$63,MATCH(BD$3,$O$3:$AA$3,0),FALSE)-VLOOKUP($AW194&amp;"初始",$O$3:$AA$63,MATCH(BD$3,$O$3:$AA$3,0),FALSE))*$AY194/VLOOKUP(VLOOKUP($AW194,坦克个性化设定!$B$18:$E$48,4,FALSE)&amp;$AX194,坦克属性分配比例,MATCH("升星次数",坦克属性分配比例标头,0),FALSE)*VLOOKUP(VLOOKUP($AW194,坦克个性化设定!$B$18:$E$48,4,FALSE)&amp;$AX194,坦克属性分配比例,MATCH("升星比例",坦克属性分配比例标头,0),FALSE),0)</f>
        <v>717</v>
      </c>
      <c r="BE194" s="426">
        <f ca="1">ROUND(VLOOKUP($AW194&amp;"初始",$O$3:$AA$63,MATCH(BE$3,$O$3:$AA$3,0),FALSE)+(VLOOKUP($AW194&amp;"最终",$O$3:$AA$63,MATCH(BE$3,$O$3:$AA$3,0),FALSE)-VLOOKUP($AW194&amp;"初始",$O$3:$AA$63,MATCH(BE$3,$O$3:$AA$3,0),FALSE))*$AY194/VLOOKUP(VLOOKUP($AW194,坦克个性化设定!$B$18:$E$48,4,FALSE)&amp;$AX194,坦克属性分配比例,MATCH("升星次数",坦克属性分配比例标头,0),FALSE),0)</f>
        <v>202</v>
      </c>
      <c r="BF194" s="462">
        <f>ROUND(VLOOKUP($AW194,$AD$3:$AJ$33,MATCH(BF$3,$AD$3:$AJ$3,0),FALSE)+$AY194/VLOOKUP(VLOOKUP($AW194,坦克个性化设定!$B$18:$E$48,4,FALSE)&amp;$AX194,坦克属性分配比例,MATCH("升星次数",坦克属性分配比例标头,0),FALSE)*VLOOKUP($AW194,$AM$3:$AS$33,MATCH(BF$3,$AM$3:$AS$3,0),FALSE),1)</f>
        <v>49</v>
      </c>
      <c r="BG194" s="462">
        <f>ROUND(VLOOKUP($AW194,$AD$3:$AJ$33,MATCH(BG$3,$AD$3:$AJ$3,0),FALSE)+$AY194/VLOOKUP(VLOOKUP($AW194,坦克个性化设定!$B$18:$E$48,4,FALSE)&amp;$AX194,坦克属性分配比例,MATCH("升星次数",坦克属性分配比例标头,0),FALSE)*VLOOKUP($AW194,$AM$3:$AS$33,MATCH(BG$3,$AM$3:$AS$3,0),FALSE),1)</f>
        <v>44</v>
      </c>
      <c r="BH194" s="462">
        <f>ROUND(VLOOKUP($AW194,$AD$3:$AJ$33,MATCH(BH$3,$AD$3:$AJ$3,0),FALSE)+$AY194/VLOOKUP(VLOOKUP($AW194,坦克个性化设定!$B$18:$E$48,4,FALSE)&amp;$AX194,坦克属性分配比例,MATCH("升星次数",坦克属性分配比例标头,0),FALSE)*VLOOKUP($AW194,$AM$3:$AS$33,MATCH(BH$3,$AM$3:$AS$3,0),FALSE),1)</f>
        <v>13.9</v>
      </c>
      <c r="BI194" s="654">
        <f>IF(VLOOKUP(AW194,坦克个性化设定!$B$18:$BB$48,MATCH("装弹类型",坦克个性化设定!$B$18:$BB$18,0),FALSE)="弹夹换弹",0,ROUND(VLOOKUP($AW194,$AD$3:$AJ$33,MATCH("换弹时间",$AD$3:$AJ$3,0),FALSE)-$AY194/VLOOKUP(VLOOKUP($AW194,坦克个性化设定!$B$18:$E$48,4,FALSE)&amp;$AX194,坦克属性分配比例,MATCH("升星次数",坦克属性分配比例标头,0),FALSE)*VLOOKUP($AW194,$AM$3:$AS$33,MATCH("换弹时间",$AM$3:$AS$3,0),FALSE),2))</f>
        <v>0</v>
      </c>
      <c r="BJ194" s="462">
        <f>IF(VLOOKUP(AW194,坦克个性化设定!$B$18:$BB$48,MATCH("装弹类型",坦克个性化设定!$B$18:$BB$18,0),FALSE)="弹夹换弹",ROUND(VLOOKUP($AW194,$AD$3:$AJ$33,MATCH("换弹时间",$AD$3:$AJ$3,0),FALSE)-$AY194/VLOOKUP(VLOOKUP($AW194,坦克个性化设定!$B$18:$E$48,4,FALSE)&amp;$AX194,坦克属性分配比例,MATCH("升星次数",坦克属性分配比例标头,0),FALSE)*VLOOKUP($AW194,$AM$3:$AS$33,MATCH("换弹时间",$AM$3:$AS$3,0),FALSE),1),0)</f>
        <v>3.5</v>
      </c>
      <c r="BK194" s="462">
        <f>ROUND(VLOOKUP($AW194,$AD$3:$AJ$33,MATCH(BK$3,$AD$3:$AJ$3,0),FALSE)+$AY194/VLOOKUP(VLOOKUP($AW194,坦克个性化设定!$B$18:$E$48,4,FALSE)&amp;$AX194,坦克属性分配比例,MATCH("升星次数",坦克属性分配比例标头,0),FALSE)*VLOOKUP($AW194,$AM$3:$AS$33,MATCH(BK$3,$AM$3:$AS$3,0),FALSE),2)</f>
        <v>0.83</v>
      </c>
      <c r="BL194" s="462">
        <f>ROUND(VLOOKUP($AW194,$AD$3:$AJ$33,MATCH(BL$3,$AD$3:$AJ$3,0),FALSE)-$AY194/VLOOKUP(VLOOKUP($AW194,坦克个性化设定!$B$18:$E$48,4,FALSE)&amp;$AX194,坦克属性分配比例,MATCH("升星次数",坦克属性分配比例标头,0),FALSE)*VLOOKUP($AW194,$AM$3:$AS$33,MATCH(BL$3,$AM$3:$AS$3,0),FALSE),2)</f>
        <v>1.35</v>
      </c>
    </row>
    <row r="195" spans="47:64" x14ac:dyDescent="0.35">
      <c r="AU195" s="364" t="str">
        <f t="shared" si="22"/>
        <v>M-485</v>
      </c>
      <c r="AV195" s="183">
        <f>IF(AY194&gt;=VLOOKUP(VLOOKUP(AW194,坦克个性化设定!$B$18:$E$48,4,FALSE)&amp;AX194,坦克属性分配比例,MATCH("升星次数",坦克属性分配比例标头,0),FALSE),AV194+1,AV194)</f>
        <v>17</v>
      </c>
      <c r="AW195" s="131" t="str">
        <f t="shared" si="23"/>
        <v>M-48</v>
      </c>
      <c r="AX195" s="177" t="str">
        <f>VLOOKUP(AW195,坦克个性化细分!$I$3:$J$33,2,FALSE)</f>
        <v>低</v>
      </c>
      <c r="AY195" s="183">
        <f t="shared" si="21"/>
        <v>5</v>
      </c>
      <c r="AZ195" s="486">
        <f ca="1">ROUND(VLOOKUP($AW195&amp;"初始",$O$3:$AA$63,MATCH(AZ$3,$O$3:$AA$3,0),FALSE)+((VLOOKUP($AW195&amp;"最终",$O$3:$AA$63,MATCH(AZ$3,$O$3:$AA$3,0),FALSE)*坦克个性化细分!$C$9-VLOOKUP($AW195&amp;"初始",$O$3:$AA$63,MATCH(AZ$3,$O$3:$AA$3,0),FALSE))-(VLOOKUP($AW195&amp;"最终",$O$3:$AA$63,MATCH(AZ$3,$O$3:$AA$3,0),FALSE)-VLOOKUP($AW195&amp;"初始",$O$3:$AA$63,MATCH(AZ$3,$O$3:$AA$3,0),FALSE))*VLOOKUP(VLOOKUP($AW195,坦克个性化设定!$B$18:$E$48,4,FALSE)&amp;$AX195,坦克属性分配比例,MATCH("部件比例",坦克属性分配比例标头,0),FALSE))*$AY195/VLOOKUP(VLOOKUP($AW195,坦克个性化设定!$B$18:$E$48,4,FALSE)&amp;$AX195,坦克属性分配比例,MATCH("升星次数",坦克属性分配比例标头,0),FALSE),0)</f>
        <v>2316</v>
      </c>
      <c r="BA195" s="426">
        <f ca="1">ROUND(VLOOKUP($AW195&amp;"初始",$O$3:$AA$63,MATCH(BA$3,$O$3:$AA$3,0),FALSE)+(VLOOKUP($AW195&amp;"最终",$O$3:$AA$63,MATCH(BA$3,$O$3:$AA$3,0),FALSE)-VLOOKUP($AW195&amp;"初始",$O$3:$AA$63,MATCH(BA$3,$O$3:$AA$3,0),FALSE))*$AY195/VLOOKUP(VLOOKUP($AW195,坦克个性化设定!$B$18:$E$48,4,FALSE)&amp;$AX195,坦克属性分配比例,MATCH("升星次数",坦克属性分配比例标头,0),FALSE)*VLOOKUP(VLOOKUP($AW195,坦克个性化设定!$B$18:$E$48,4,FALSE)&amp;$AX195,坦克属性分配比例,MATCH("升星比例",坦克属性分配比例标头,0),FALSE),0)</f>
        <v>111</v>
      </c>
      <c r="BB195" s="486">
        <f ca="1">ROUND(VLOOKUP($AW195&amp;"初始",$O$3:$AA$63,MATCH(BB$3,$O$3:$AA$3,0),FALSE)+(VLOOKUP($AW195&amp;"最终",$O$3:$AA$63,MATCH(BB$3,$O$3:$AA$3,0),FALSE)-VLOOKUP($AW195&amp;"初始",$O$3:$AA$63,MATCH(BB$3,$O$3:$AA$3,0),FALSE))*$AY195/VLOOKUP(VLOOKUP($AW195,坦克个性化设定!$B$18:$E$48,4,FALSE)&amp;$AX195,坦克属性分配比例,MATCH("升星次数",坦克属性分配比例标头,0),FALSE)*(VLOOKUP(VLOOKUP($AW195,坦克个性化设定!$B$18:$E$48,4,FALSE)&amp;$AX195,坦克属性分配比例,MATCH("升星比例",坦克属性分配比例标头,0),FALSE)+VLOOKUP(VLOOKUP($AW195,坦克个性化设定!$B$18:$E$48,4,FALSE)&amp;$AX195,坦克属性分配比例,MATCH("部件比例",坦克属性分配比例标头,0),FALSE)*$C$3),0)</f>
        <v>642</v>
      </c>
      <c r="BC195" s="486">
        <f ca="1">ROUND(VLOOKUP($AW195&amp;"初始",$O$3:$AA$63,MATCH(BC$3,$O$3:$AA$3,0),FALSE)+(VLOOKUP($AW195&amp;"最终",$O$3:$AA$63,MATCH(BC$3,$O$3:$AA$3,0),FALSE)-VLOOKUP($AW195&amp;"初始",$O$3:$AA$63,MATCH(BC$3,$O$3:$AA$3,0),FALSE))*$AY195/VLOOKUP(VLOOKUP($AW195,坦克个性化设定!$B$18:$E$48,4,FALSE)&amp;$AX195,坦克属性分配比例,MATCH("升星次数",坦克属性分配比例标头,0),FALSE)*(VLOOKUP(VLOOKUP($AW195,坦克个性化设定!$B$18:$E$48,4,FALSE)&amp;$AX195,坦克属性分配比例,MATCH("升星比例",坦克属性分配比例标头,0),FALSE)+VLOOKUP(VLOOKUP($AW195,坦克个性化设定!$B$18:$E$48,4,FALSE)&amp;$AX195,坦克属性分配比例,MATCH("部件比例",坦克属性分配比例标头,0),FALSE)*$C$3),0)</f>
        <v>481</v>
      </c>
      <c r="BD195" s="426">
        <f ca="1">ROUND(VLOOKUP($AW195&amp;"初始",$O$3:$AA$63,MATCH(BD$3,$O$3:$AA$3,0),FALSE)+(VLOOKUP($AW195&amp;"最终",$O$3:$AA$63,MATCH(BD$3,$O$3:$AA$3,0),FALSE)-VLOOKUP($AW195&amp;"初始",$O$3:$AA$63,MATCH(BD$3,$O$3:$AA$3,0),FALSE))*$AY195/VLOOKUP(VLOOKUP($AW195,坦克个性化设定!$B$18:$E$48,4,FALSE)&amp;$AX195,坦克属性分配比例,MATCH("升星次数",坦克属性分配比例标头,0),FALSE)*VLOOKUP(VLOOKUP($AW195,坦克个性化设定!$B$18:$E$48,4,FALSE)&amp;$AX195,坦克属性分配比例,MATCH("升星比例",坦克属性分配比例标头,0),FALSE),0)</f>
        <v>726</v>
      </c>
      <c r="BE195" s="426">
        <f ca="1">ROUND(VLOOKUP($AW195&amp;"初始",$O$3:$AA$63,MATCH(BE$3,$O$3:$AA$3,0),FALSE)+(VLOOKUP($AW195&amp;"最终",$O$3:$AA$63,MATCH(BE$3,$O$3:$AA$3,0),FALSE)-VLOOKUP($AW195&amp;"初始",$O$3:$AA$63,MATCH(BE$3,$O$3:$AA$3,0),FALSE))*$AY195/VLOOKUP(VLOOKUP($AW195,坦克个性化设定!$B$18:$E$48,4,FALSE)&amp;$AX195,坦克属性分配比例,MATCH("升星次数",坦克属性分配比例标头,0),FALSE),0)</f>
        <v>211</v>
      </c>
      <c r="BF195" s="462">
        <f>ROUND(VLOOKUP($AW195,$AD$3:$AJ$33,MATCH(BF$3,$AD$3:$AJ$3,0),FALSE)+$AY195/VLOOKUP(VLOOKUP($AW195,坦克个性化设定!$B$18:$E$48,4,FALSE)&amp;$AX195,坦克属性分配比例,MATCH("升星次数",坦克属性分配比例标头,0),FALSE)*VLOOKUP($AW195,$AM$3:$AS$33,MATCH(BF$3,$AM$3:$AS$3,0),FALSE),1)</f>
        <v>50.1</v>
      </c>
      <c r="BG195" s="462">
        <f>ROUND(VLOOKUP($AW195,$AD$3:$AJ$33,MATCH(BG$3,$AD$3:$AJ$3,0),FALSE)+$AY195/VLOOKUP(VLOOKUP($AW195,坦克个性化设定!$B$18:$E$48,4,FALSE)&amp;$AX195,坦克属性分配比例,MATCH("升星次数",坦克属性分配比例标头,0),FALSE)*VLOOKUP($AW195,$AM$3:$AS$33,MATCH(BG$3,$AM$3:$AS$3,0),FALSE),1)</f>
        <v>45</v>
      </c>
      <c r="BH195" s="462">
        <f>ROUND(VLOOKUP($AW195,$AD$3:$AJ$33,MATCH(BH$3,$AD$3:$AJ$3,0),FALSE)+$AY195/VLOOKUP(VLOOKUP($AW195,坦克个性化设定!$B$18:$E$48,4,FALSE)&amp;$AX195,坦克属性分配比例,MATCH("升星次数",坦克属性分配比例标头,0),FALSE)*VLOOKUP($AW195,$AM$3:$AS$33,MATCH(BH$3,$AM$3:$AS$3,0),FALSE),1)</f>
        <v>14.3</v>
      </c>
      <c r="BI195" s="654">
        <f>IF(VLOOKUP(AW195,坦克个性化设定!$B$18:$BB$48,MATCH("装弹类型",坦克个性化设定!$B$18:$BB$18,0),FALSE)="弹夹换弹",0,ROUND(VLOOKUP($AW195,$AD$3:$AJ$33,MATCH("换弹时间",$AD$3:$AJ$3,0),FALSE)-$AY195/VLOOKUP(VLOOKUP($AW195,坦克个性化设定!$B$18:$E$48,4,FALSE)&amp;$AX195,坦克属性分配比例,MATCH("升星次数",坦克属性分配比例标头,0),FALSE)*VLOOKUP($AW195,$AM$3:$AS$33,MATCH("换弹时间",$AM$3:$AS$3,0),FALSE),2))</f>
        <v>0</v>
      </c>
      <c r="BJ195" s="462">
        <f>IF(VLOOKUP(AW195,坦克个性化设定!$B$18:$BB$48,MATCH("装弹类型",坦克个性化设定!$B$18:$BB$18,0),FALSE)="弹夹换弹",ROUND(VLOOKUP($AW195,$AD$3:$AJ$33,MATCH("换弹时间",$AD$3:$AJ$3,0),FALSE)-$AY195/VLOOKUP(VLOOKUP($AW195,坦克个性化设定!$B$18:$E$48,4,FALSE)&amp;$AX195,坦克属性分配比例,MATCH("升星次数",坦克属性分配比例标头,0),FALSE)*VLOOKUP($AW195,$AM$3:$AS$33,MATCH("换弹时间",$AM$3:$AS$3,0),FALSE),1),0)</f>
        <v>3.4</v>
      </c>
      <c r="BK195" s="462">
        <f>ROUND(VLOOKUP($AW195,$AD$3:$AJ$33,MATCH(BK$3,$AD$3:$AJ$3,0),FALSE)+$AY195/VLOOKUP(VLOOKUP($AW195,坦克个性化设定!$B$18:$E$48,4,FALSE)&amp;$AX195,坦克属性分配比例,MATCH("升星次数",坦克属性分配比例标头,0),FALSE)*VLOOKUP($AW195,$AM$3:$AS$33,MATCH(BK$3,$AM$3:$AS$3,0),FALSE),2)</f>
        <v>0.82</v>
      </c>
      <c r="BL195" s="462">
        <f>ROUND(VLOOKUP($AW195,$AD$3:$AJ$33,MATCH(BL$3,$AD$3:$AJ$3,0),FALSE)-$AY195/VLOOKUP(VLOOKUP($AW195,坦克个性化设定!$B$18:$E$48,4,FALSE)&amp;$AX195,坦克属性分配比例,MATCH("升星次数",坦克属性分配比例标头,0),FALSE)*VLOOKUP($AW195,$AM$3:$AS$33,MATCH(BL$3,$AM$3:$AS$3,0),FALSE),2)</f>
        <v>1.32</v>
      </c>
    </row>
    <row r="196" spans="47:64" x14ac:dyDescent="0.35">
      <c r="AU196" s="364" t="str">
        <f t="shared" si="22"/>
        <v>M-486</v>
      </c>
      <c r="AV196" s="183">
        <f>IF(AY195&gt;=VLOOKUP(VLOOKUP(AW195,坦克个性化设定!$B$18:$E$48,4,FALSE)&amp;AX195,坦克属性分配比例,MATCH("升星次数",坦克属性分配比例标头,0),FALSE),AV195+1,AV195)</f>
        <v>17</v>
      </c>
      <c r="AW196" s="131" t="str">
        <f t="shared" si="23"/>
        <v>M-48</v>
      </c>
      <c r="AX196" s="177" t="str">
        <f>VLOOKUP(AW196,坦克个性化细分!$I$3:$J$33,2,FALSE)</f>
        <v>低</v>
      </c>
      <c r="AY196" s="183">
        <f t="shared" ref="AY196:AY204" si="24">IF(AW196&lt;&gt;AW195,0,AY195+1)</f>
        <v>6</v>
      </c>
      <c r="AZ196" s="486">
        <f ca="1">ROUND(VLOOKUP($AW196&amp;"初始",$O$3:$AA$63,MATCH(AZ$3,$O$3:$AA$3,0),FALSE)+((VLOOKUP($AW196&amp;"最终",$O$3:$AA$63,MATCH(AZ$3,$O$3:$AA$3,0),FALSE)*坦克个性化细分!$C$9-VLOOKUP($AW196&amp;"初始",$O$3:$AA$63,MATCH(AZ$3,$O$3:$AA$3,0),FALSE))-(VLOOKUP($AW196&amp;"最终",$O$3:$AA$63,MATCH(AZ$3,$O$3:$AA$3,0),FALSE)-VLOOKUP($AW196&amp;"初始",$O$3:$AA$63,MATCH(AZ$3,$O$3:$AA$3,0),FALSE))*VLOOKUP(VLOOKUP($AW196,坦克个性化设定!$B$18:$E$48,4,FALSE)&amp;$AX196,坦克属性分配比例,MATCH("部件比例",坦克属性分配比例标头,0),FALSE))*$AY196/VLOOKUP(VLOOKUP($AW196,坦克个性化设定!$B$18:$E$48,4,FALSE)&amp;$AX196,坦克属性分配比例,MATCH("升星次数",坦克属性分配比例标头,0),FALSE),0)</f>
        <v>2420</v>
      </c>
      <c r="BA196" s="426">
        <f ca="1">ROUND(VLOOKUP($AW196&amp;"初始",$O$3:$AA$63,MATCH(BA$3,$O$3:$AA$3,0),FALSE)+(VLOOKUP($AW196&amp;"最终",$O$3:$AA$63,MATCH(BA$3,$O$3:$AA$3,0),FALSE)-VLOOKUP($AW196&amp;"初始",$O$3:$AA$63,MATCH(BA$3,$O$3:$AA$3,0),FALSE))*$AY196/VLOOKUP(VLOOKUP($AW196,坦克个性化设定!$B$18:$E$48,4,FALSE)&amp;$AX196,坦克属性分配比例,MATCH("升星次数",坦克属性分配比例标头,0),FALSE)*VLOOKUP(VLOOKUP($AW196,坦克个性化设定!$B$18:$E$48,4,FALSE)&amp;$AX196,坦克属性分配比例,MATCH("升星比例",坦克属性分配比例标头,0),FALSE),0)</f>
        <v>112</v>
      </c>
      <c r="BB196" s="486">
        <f ca="1">ROUND(VLOOKUP($AW196&amp;"初始",$O$3:$AA$63,MATCH(BB$3,$O$3:$AA$3,0),FALSE)+(VLOOKUP($AW196&amp;"最终",$O$3:$AA$63,MATCH(BB$3,$O$3:$AA$3,0),FALSE)-VLOOKUP($AW196&amp;"初始",$O$3:$AA$63,MATCH(BB$3,$O$3:$AA$3,0),FALSE))*$AY196/VLOOKUP(VLOOKUP($AW196,坦克个性化设定!$B$18:$E$48,4,FALSE)&amp;$AX196,坦克属性分配比例,MATCH("升星次数",坦克属性分配比例标头,0),FALSE)*(VLOOKUP(VLOOKUP($AW196,坦克个性化设定!$B$18:$E$48,4,FALSE)&amp;$AX196,坦克属性分配比例,MATCH("升星比例",坦克属性分配比例标头,0),FALSE)+VLOOKUP(VLOOKUP($AW196,坦克个性化设定!$B$18:$E$48,4,FALSE)&amp;$AX196,坦克属性分配比例,MATCH("部件比例",坦克属性分配比例标头,0),FALSE)*$C$3),0)</f>
        <v>662</v>
      </c>
      <c r="BC196" s="486">
        <f ca="1">ROUND(VLOOKUP($AW196&amp;"初始",$O$3:$AA$63,MATCH(BC$3,$O$3:$AA$3,0),FALSE)+(VLOOKUP($AW196&amp;"最终",$O$3:$AA$63,MATCH(BC$3,$O$3:$AA$3,0),FALSE)-VLOOKUP($AW196&amp;"初始",$O$3:$AA$63,MATCH(BC$3,$O$3:$AA$3,0),FALSE))*$AY196/VLOOKUP(VLOOKUP($AW196,坦克个性化设定!$B$18:$E$48,4,FALSE)&amp;$AX196,坦克属性分配比例,MATCH("升星次数",坦克属性分配比例标头,0),FALSE)*(VLOOKUP(VLOOKUP($AW196,坦克个性化设定!$B$18:$E$48,4,FALSE)&amp;$AX196,坦克属性分配比例,MATCH("升星比例",坦克属性分配比例标头,0),FALSE)+VLOOKUP(VLOOKUP($AW196,坦克个性化设定!$B$18:$E$48,4,FALSE)&amp;$AX196,坦克属性分配比例,MATCH("部件比例",坦克属性分配比例标头,0),FALSE)*$C$3),0)</f>
        <v>496</v>
      </c>
      <c r="BD196" s="426">
        <f ca="1">ROUND(VLOOKUP($AW196&amp;"初始",$O$3:$AA$63,MATCH(BD$3,$O$3:$AA$3,0),FALSE)+(VLOOKUP($AW196&amp;"最终",$O$3:$AA$63,MATCH(BD$3,$O$3:$AA$3,0),FALSE)-VLOOKUP($AW196&amp;"初始",$O$3:$AA$63,MATCH(BD$3,$O$3:$AA$3,0),FALSE))*$AY196/VLOOKUP(VLOOKUP($AW196,坦克个性化设定!$B$18:$E$48,4,FALSE)&amp;$AX196,坦克属性分配比例,MATCH("升星次数",坦克属性分配比例标头,0),FALSE)*VLOOKUP(VLOOKUP($AW196,坦克个性化设定!$B$18:$E$48,4,FALSE)&amp;$AX196,坦克属性分配比例,MATCH("升星比例",坦克属性分配比例标头,0),FALSE),0)</f>
        <v>734</v>
      </c>
      <c r="BE196" s="426">
        <f ca="1">ROUND(VLOOKUP($AW196&amp;"初始",$O$3:$AA$63,MATCH(BE$3,$O$3:$AA$3,0),FALSE)+(VLOOKUP($AW196&amp;"最终",$O$3:$AA$63,MATCH(BE$3,$O$3:$AA$3,0),FALSE)-VLOOKUP($AW196&amp;"初始",$O$3:$AA$63,MATCH(BE$3,$O$3:$AA$3,0),FALSE))*$AY196/VLOOKUP(VLOOKUP($AW196,坦克个性化设定!$B$18:$E$48,4,FALSE)&amp;$AX196,坦克属性分配比例,MATCH("升星次数",坦克属性分配比例标头,0),FALSE),0)</f>
        <v>220</v>
      </c>
      <c r="BF196" s="462">
        <f>ROUND(VLOOKUP($AW196,$AD$3:$AJ$33,MATCH(BF$3,$AD$3:$AJ$3,0),FALSE)+$AY196/VLOOKUP(VLOOKUP($AW196,坦克个性化设定!$B$18:$E$48,4,FALSE)&amp;$AX196,坦克属性分配比例,MATCH("升星次数",坦克属性分配比例标头,0),FALSE)*VLOOKUP($AW196,$AM$3:$AS$33,MATCH(BF$3,$AM$3:$AS$3,0),FALSE),1)</f>
        <v>51.2</v>
      </c>
      <c r="BG196" s="462">
        <f>ROUND(VLOOKUP($AW196,$AD$3:$AJ$33,MATCH(BG$3,$AD$3:$AJ$3,0),FALSE)+$AY196/VLOOKUP(VLOOKUP($AW196,坦克个性化设定!$B$18:$E$48,4,FALSE)&amp;$AX196,坦克属性分配比例,MATCH("升星次数",坦克属性分配比例标头,0),FALSE)*VLOOKUP($AW196,$AM$3:$AS$33,MATCH(BG$3,$AM$3:$AS$3,0),FALSE),1)</f>
        <v>46</v>
      </c>
      <c r="BH196" s="462">
        <f>ROUND(VLOOKUP($AW196,$AD$3:$AJ$33,MATCH(BH$3,$AD$3:$AJ$3,0),FALSE)+$AY196/VLOOKUP(VLOOKUP($AW196,坦克个性化设定!$B$18:$E$48,4,FALSE)&amp;$AX196,坦克属性分配比例,MATCH("升星次数",坦克属性分配比例标头,0),FALSE)*VLOOKUP($AW196,$AM$3:$AS$33,MATCH(BH$3,$AM$3:$AS$3,0),FALSE),1)</f>
        <v>14.7</v>
      </c>
      <c r="BI196" s="654">
        <f>IF(VLOOKUP(AW196,坦克个性化设定!$B$18:$BB$48,MATCH("装弹类型",坦克个性化设定!$B$18:$BB$18,0),FALSE)="弹夹换弹",0,ROUND(VLOOKUP($AW196,$AD$3:$AJ$33,MATCH("换弹时间",$AD$3:$AJ$3,0),FALSE)-$AY196/VLOOKUP(VLOOKUP($AW196,坦克个性化设定!$B$18:$E$48,4,FALSE)&amp;$AX196,坦克属性分配比例,MATCH("升星次数",坦克属性分配比例标头,0),FALSE)*VLOOKUP($AW196,$AM$3:$AS$33,MATCH("换弹时间",$AM$3:$AS$3,0),FALSE),2))</f>
        <v>0</v>
      </c>
      <c r="BJ196" s="462">
        <f>IF(VLOOKUP(AW196,坦克个性化设定!$B$18:$BB$48,MATCH("装弹类型",坦克个性化设定!$B$18:$BB$18,0),FALSE)="弹夹换弹",ROUND(VLOOKUP($AW196,$AD$3:$AJ$33,MATCH("换弹时间",$AD$3:$AJ$3,0),FALSE)-$AY196/VLOOKUP(VLOOKUP($AW196,坦克个性化设定!$B$18:$E$48,4,FALSE)&amp;$AX196,坦克属性分配比例,MATCH("升星次数",坦克属性分配比例标头,0),FALSE)*VLOOKUP($AW196,$AM$3:$AS$33,MATCH("换弹时间",$AM$3:$AS$3,0),FALSE),1),0)</f>
        <v>3.3</v>
      </c>
      <c r="BK196" s="462">
        <f>ROUND(VLOOKUP($AW196,$AD$3:$AJ$33,MATCH(BK$3,$AD$3:$AJ$3,0),FALSE)+$AY196/VLOOKUP(VLOOKUP($AW196,坦克个性化设定!$B$18:$E$48,4,FALSE)&amp;$AX196,坦克属性分配比例,MATCH("升星次数",坦克属性分配比例标头,0),FALSE)*VLOOKUP($AW196,$AM$3:$AS$33,MATCH(BK$3,$AM$3:$AS$3,0),FALSE),2)</f>
        <v>0.8</v>
      </c>
      <c r="BL196" s="462">
        <f>ROUND(VLOOKUP($AW196,$AD$3:$AJ$33,MATCH(BL$3,$AD$3:$AJ$3,0),FALSE)-$AY196/VLOOKUP(VLOOKUP($AW196,坦克个性化设定!$B$18:$E$48,4,FALSE)&amp;$AX196,坦克属性分配比例,MATCH("升星次数",坦克属性分配比例标头,0),FALSE)*VLOOKUP($AW196,$AM$3:$AS$33,MATCH(BL$3,$AM$3:$AS$3,0),FALSE),2)</f>
        <v>1.3</v>
      </c>
    </row>
    <row r="197" spans="47:64" x14ac:dyDescent="0.35">
      <c r="AU197" s="364" t="str">
        <f t="shared" ref="AU197:AU204" si="25">AW197&amp;AY197</f>
        <v>M-487</v>
      </c>
      <c r="AV197" s="183">
        <f>IF(AY196&gt;=VLOOKUP(VLOOKUP(AW196,坦克个性化设定!$B$18:$E$48,4,FALSE)&amp;AX196,坦克属性分配比例,MATCH("升星次数",坦克属性分配比例标头,0),FALSE),AV196+1,AV196)</f>
        <v>17</v>
      </c>
      <c r="AW197" s="131" t="str">
        <f t="shared" ref="AW197:AW204" si="26">VLOOKUP(AV197,$B$5:$C$35,2,FALSE)</f>
        <v>M-48</v>
      </c>
      <c r="AX197" s="177" t="str">
        <f>VLOOKUP(AW197,坦克个性化细分!$I$3:$J$33,2,FALSE)</f>
        <v>低</v>
      </c>
      <c r="AY197" s="183">
        <f t="shared" si="24"/>
        <v>7</v>
      </c>
      <c r="AZ197" s="486">
        <f ca="1">ROUND(VLOOKUP($AW197&amp;"初始",$O$3:$AA$63,MATCH(AZ$3,$O$3:$AA$3,0),FALSE)+((VLOOKUP($AW197&amp;"最终",$O$3:$AA$63,MATCH(AZ$3,$O$3:$AA$3,0),FALSE)*坦克个性化细分!$C$9-VLOOKUP($AW197&amp;"初始",$O$3:$AA$63,MATCH(AZ$3,$O$3:$AA$3,0),FALSE))-(VLOOKUP($AW197&amp;"最终",$O$3:$AA$63,MATCH(AZ$3,$O$3:$AA$3,0),FALSE)-VLOOKUP($AW197&amp;"初始",$O$3:$AA$63,MATCH(AZ$3,$O$3:$AA$3,0),FALSE))*VLOOKUP(VLOOKUP($AW197,坦克个性化设定!$B$18:$E$48,4,FALSE)&amp;$AX197,坦克属性分配比例,MATCH("部件比例",坦克属性分配比例标头,0),FALSE))*$AY197/VLOOKUP(VLOOKUP($AW197,坦克个性化设定!$B$18:$E$48,4,FALSE)&amp;$AX197,坦克属性分配比例,MATCH("升星次数",坦克属性分配比例标头,0),FALSE),0)</f>
        <v>2524</v>
      </c>
      <c r="BA197" s="426">
        <f ca="1">ROUND(VLOOKUP($AW197&amp;"初始",$O$3:$AA$63,MATCH(BA$3,$O$3:$AA$3,0),FALSE)+(VLOOKUP($AW197&amp;"最终",$O$3:$AA$63,MATCH(BA$3,$O$3:$AA$3,0),FALSE)-VLOOKUP($AW197&amp;"初始",$O$3:$AA$63,MATCH(BA$3,$O$3:$AA$3,0),FALSE))*$AY197/VLOOKUP(VLOOKUP($AW197,坦克个性化设定!$B$18:$E$48,4,FALSE)&amp;$AX197,坦克属性分配比例,MATCH("升星次数",坦克属性分配比例标头,0),FALSE)*VLOOKUP(VLOOKUP($AW197,坦克个性化设定!$B$18:$E$48,4,FALSE)&amp;$AX197,坦克属性分配比例,MATCH("升星比例",坦克属性分配比例标头,0),FALSE),0)</f>
        <v>113</v>
      </c>
      <c r="BB197" s="486">
        <f ca="1">ROUND(VLOOKUP($AW197&amp;"初始",$O$3:$AA$63,MATCH(BB$3,$O$3:$AA$3,0),FALSE)+(VLOOKUP($AW197&amp;"最终",$O$3:$AA$63,MATCH(BB$3,$O$3:$AA$3,0),FALSE)-VLOOKUP($AW197&amp;"初始",$O$3:$AA$63,MATCH(BB$3,$O$3:$AA$3,0),FALSE))*$AY197/VLOOKUP(VLOOKUP($AW197,坦克个性化设定!$B$18:$E$48,4,FALSE)&amp;$AX197,坦克属性分配比例,MATCH("升星次数",坦克属性分配比例标头,0),FALSE)*(VLOOKUP(VLOOKUP($AW197,坦克个性化设定!$B$18:$E$48,4,FALSE)&amp;$AX197,坦克属性分配比例,MATCH("升星比例",坦克属性分配比例标头,0),FALSE)+VLOOKUP(VLOOKUP($AW197,坦克个性化设定!$B$18:$E$48,4,FALSE)&amp;$AX197,坦克属性分配比例,MATCH("部件比例",坦克属性分配比例标头,0),FALSE)*$C$3),0)</f>
        <v>682</v>
      </c>
      <c r="BC197" s="486">
        <f ca="1">ROUND(VLOOKUP($AW197&amp;"初始",$O$3:$AA$63,MATCH(BC$3,$O$3:$AA$3,0),FALSE)+(VLOOKUP($AW197&amp;"最终",$O$3:$AA$63,MATCH(BC$3,$O$3:$AA$3,0),FALSE)-VLOOKUP($AW197&amp;"初始",$O$3:$AA$63,MATCH(BC$3,$O$3:$AA$3,0),FALSE))*$AY197/VLOOKUP(VLOOKUP($AW197,坦克个性化设定!$B$18:$E$48,4,FALSE)&amp;$AX197,坦克属性分配比例,MATCH("升星次数",坦克属性分配比例标头,0),FALSE)*(VLOOKUP(VLOOKUP($AW197,坦克个性化设定!$B$18:$E$48,4,FALSE)&amp;$AX197,坦克属性分配比例,MATCH("升星比例",坦克属性分配比例标头,0),FALSE)+VLOOKUP(VLOOKUP($AW197,坦克个性化设定!$B$18:$E$48,4,FALSE)&amp;$AX197,坦克属性分配比例,MATCH("部件比例",坦克属性分配比例标头,0),FALSE)*$C$3),0)</f>
        <v>511</v>
      </c>
      <c r="BD197" s="426">
        <f ca="1">ROUND(VLOOKUP($AW197&amp;"初始",$O$3:$AA$63,MATCH(BD$3,$O$3:$AA$3,0),FALSE)+(VLOOKUP($AW197&amp;"最终",$O$3:$AA$63,MATCH(BD$3,$O$3:$AA$3,0),FALSE)-VLOOKUP($AW197&amp;"初始",$O$3:$AA$63,MATCH(BD$3,$O$3:$AA$3,0),FALSE))*$AY197/VLOOKUP(VLOOKUP($AW197,坦克个性化设定!$B$18:$E$48,4,FALSE)&amp;$AX197,坦克属性分配比例,MATCH("升星次数",坦克属性分配比例标头,0),FALSE)*VLOOKUP(VLOOKUP($AW197,坦克个性化设定!$B$18:$E$48,4,FALSE)&amp;$AX197,坦克属性分配比例,MATCH("升星比例",坦克属性分配比例标头,0),FALSE),0)</f>
        <v>743</v>
      </c>
      <c r="BE197" s="426">
        <f ca="1">ROUND(VLOOKUP($AW197&amp;"初始",$O$3:$AA$63,MATCH(BE$3,$O$3:$AA$3,0),FALSE)+(VLOOKUP($AW197&amp;"最终",$O$3:$AA$63,MATCH(BE$3,$O$3:$AA$3,0),FALSE)-VLOOKUP($AW197&amp;"初始",$O$3:$AA$63,MATCH(BE$3,$O$3:$AA$3,0),FALSE))*$AY197/VLOOKUP(VLOOKUP($AW197,坦克个性化设定!$B$18:$E$48,4,FALSE)&amp;$AX197,坦克属性分配比例,MATCH("升星次数",坦克属性分配比例标头,0),FALSE),0)</f>
        <v>229</v>
      </c>
      <c r="BF197" s="462">
        <f>ROUND(VLOOKUP($AW197,$AD$3:$AJ$33,MATCH(BF$3,$AD$3:$AJ$3,0),FALSE)+$AY197/VLOOKUP(VLOOKUP($AW197,坦克个性化设定!$B$18:$E$48,4,FALSE)&amp;$AX197,坦克属性分配比例,MATCH("升星次数",坦克属性分配比例标头,0),FALSE)*VLOOKUP($AW197,$AM$3:$AS$33,MATCH(BF$3,$AM$3:$AS$3,0),FALSE),1)</f>
        <v>52.3</v>
      </c>
      <c r="BG197" s="462">
        <f>ROUND(VLOOKUP($AW197,$AD$3:$AJ$33,MATCH(BG$3,$AD$3:$AJ$3,0),FALSE)+$AY197/VLOOKUP(VLOOKUP($AW197,坦克个性化设定!$B$18:$E$48,4,FALSE)&amp;$AX197,坦克属性分配比例,MATCH("升星次数",坦克属性分配比例标头,0),FALSE)*VLOOKUP($AW197,$AM$3:$AS$33,MATCH(BG$3,$AM$3:$AS$3,0),FALSE),1)</f>
        <v>47</v>
      </c>
      <c r="BH197" s="462">
        <f>ROUND(VLOOKUP($AW197,$AD$3:$AJ$33,MATCH(BH$3,$AD$3:$AJ$3,0),FALSE)+$AY197/VLOOKUP(VLOOKUP($AW197,坦克个性化设定!$B$18:$E$48,4,FALSE)&amp;$AX197,坦克属性分配比例,MATCH("升星次数",坦克属性分配比例标头,0),FALSE)*VLOOKUP($AW197,$AM$3:$AS$33,MATCH(BH$3,$AM$3:$AS$3,0),FALSE),1)</f>
        <v>15.1</v>
      </c>
      <c r="BI197" s="654">
        <f>IF(VLOOKUP(AW197,坦克个性化设定!$B$18:$BB$48,MATCH("装弹类型",坦克个性化设定!$B$18:$BB$18,0),FALSE)="弹夹换弹",0,ROUND(VLOOKUP($AW197,$AD$3:$AJ$33,MATCH("换弹时间",$AD$3:$AJ$3,0),FALSE)-$AY197/VLOOKUP(VLOOKUP($AW197,坦克个性化设定!$B$18:$E$48,4,FALSE)&amp;$AX197,坦克属性分配比例,MATCH("升星次数",坦克属性分配比例标头,0),FALSE)*VLOOKUP($AW197,$AM$3:$AS$33,MATCH("换弹时间",$AM$3:$AS$3,0),FALSE),2))</f>
        <v>0</v>
      </c>
      <c r="BJ197" s="462">
        <f>IF(VLOOKUP(AW197,坦克个性化设定!$B$18:$BB$48,MATCH("装弹类型",坦克个性化设定!$B$18:$BB$18,0),FALSE)="弹夹换弹",ROUND(VLOOKUP($AW197,$AD$3:$AJ$33,MATCH("换弹时间",$AD$3:$AJ$3,0),FALSE)-$AY197/VLOOKUP(VLOOKUP($AW197,坦克个性化设定!$B$18:$E$48,4,FALSE)&amp;$AX197,坦克属性分配比例,MATCH("升星次数",坦克属性分配比例标头,0),FALSE)*VLOOKUP($AW197,$AM$3:$AS$33,MATCH("换弹时间",$AM$3:$AS$3,0),FALSE),1),0)</f>
        <v>3.1</v>
      </c>
      <c r="BK197" s="462">
        <f>ROUND(VLOOKUP($AW197,$AD$3:$AJ$33,MATCH(BK$3,$AD$3:$AJ$3,0),FALSE)+$AY197/VLOOKUP(VLOOKUP($AW197,坦克个性化设定!$B$18:$E$48,4,FALSE)&amp;$AX197,坦克属性分配比例,MATCH("升星次数",坦克属性分配比例标头,0),FALSE)*VLOOKUP($AW197,$AM$3:$AS$33,MATCH(BK$3,$AM$3:$AS$3,0),FALSE),2)</f>
        <v>0.79</v>
      </c>
      <c r="BL197" s="462">
        <f>ROUND(VLOOKUP($AW197,$AD$3:$AJ$33,MATCH(BL$3,$AD$3:$AJ$3,0),FALSE)-$AY197/VLOOKUP(VLOOKUP($AW197,坦克个性化设定!$B$18:$E$48,4,FALSE)&amp;$AX197,坦克属性分配比例,MATCH("升星次数",坦克属性分配比例标头,0),FALSE)*VLOOKUP($AW197,$AM$3:$AS$33,MATCH(BL$3,$AM$3:$AS$3,0),FALSE),2)</f>
        <v>1.27</v>
      </c>
    </row>
    <row r="198" spans="47:64" x14ac:dyDescent="0.35">
      <c r="AU198" s="364" t="str">
        <f t="shared" si="25"/>
        <v>M-488</v>
      </c>
      <c r="AV198" s="183">
        <f>IF(AY197&gt;=VLOOKUP(VLOOKUP(AW197,坦克个性化设定!$B$18:$E$48,4,FALSE)&amp;AX197,坦克属性分配比例,MATCH("升星次数",坦克属性分配比例标头,0),FALSE),AV197+1,AV197)</f>
        <v>17</v>
      </c>
      <c r="AW198" s="131" t="str">
        <f t="shared" si="26"/>
        <v>M-48</v>
      </c>
      <c r="AX198" s="177" t="str">
        <f>VLOOKUP(AW198,坦克个性化细分!$I$3:$J$33,2,FALSE)</f>
        <v>低</v>
      </c>
      <c r="AY198" s="183">
        <f t="shared" si="24"/>
        <v>8</v>
      </c>
      <c r="AZ198" s="486">
        <f ca="1">ROUND(VLOOKUP($AW198&amp;"初始",$O$3:$AA$63,MATCH(AZ$3,$O$3:$AA$3,0),FALSE)+((VLOOKUP($AW198&amp;"最终",$O$3:$AA$63,MATCH(AZ$3,$O$3:$AA$3,0),FALSE)*坦克个性化细分!$C$9-VLOOKUP($AW198&amp;"初始",$O$3:$AA$63,MATCH(AZ$3,$O$3:$AA$3,0),FALSE))-(VLOOKUP($AW198&amp;"最终",$O$3:$AA$63,MATCH(AZ$3,$O$3:$AA$3,0),FALSE)-VLOOKUP($AW198&amp;"初始",$O$3:$AA$63,MATCH(AZ$3,$O$3:$AA$3,0),FALSE))*VLOOKUP(VLOOKUP($AW198,坦克个性化设定!$B$18:$E$48,4,FALSE)&amp;$AX198,坦克属性分配比例,MATCH("部件比例",坦克属性分配比例标头,0),FALSE))*$AY198/VLOOKUP(VLOOKUP($AW198,坦克个性化设定!$B$18:$E$48,4,FALSE)&amp;$AX198,坦克属性分配比例,MATCH("升星次数",坦克属性分配比例标头,0),FALSE),0)</f>
        <v>2628</v>
      </c>
      <c r="BA198" s="426">
        <f ca="1">ROUND(VLOOKUP($AW198&amp;"初始",$O$3:$AA$63,MATCH(BA$3,$O$3:$AA$3,0),FALSE)+(VLOOKUP($AW198&amp;"最终",$O$3:$AA$63,MATCH(BA$3,$O$3:$AA$3,0),FALSE)-VLOOKUP($AW198&amp;"初始",$O$3:$AA$63,MATCH(BA$3,$O$3:$AA$3,0),FALSE))*$AY198/VLOOKUP(VLOOKUP($AW198,坦克个性化设定!$B$18:$E$48,4,FALSE)&amp;$AX198,坦克属性分配比例,MATCH("升星次数",坦克属性分配比例标头,0),FALSE)*VLOOKUP(VLOOKUP($AW198,坦克个性化设定!$B$18:$E$48,4,FALSE)&amp;$AX198,坦克属性分配比例,MATCH("升星比例",坦克属性分配比例标头,0),FALSE),0)</f>
        <v>115</v>
      </c>
      <c r="BB198" s="486">
        <f ca="1">ROUND(VLOOKUP($AW198&amp;"初始",$O$3:$AA$63,MATCH(BB$3,$O$3:$AA$3,0),FALSE)+(VLOOKUP($AW198&amp;"最终",$O$3:$AA$63,MATCH(BB$3,$O$3:$AA$3,0),FALSE)-VLOOKUP($AW198&amp;"初始",$O$3:$AA$63,MATCH(BB$3,$O$3:$AA$3,0),FALSE))*$AY198/VLOOKUP(VLOOKUP($AW198,坦克个性化设定!$B$18:$E$48,4,FALSE)&amp;$AX198,坦克属性分配比例,MATCH("升星次数",坦克属性分配比例标头,0),FALSE)*(VLOOKUP(VLOOKUP($AW198,坦克个性化设定!$B$18:$E$48,4,FALSE)&amp;$AX198,坦克属性分配比例,MATCH("升星比例",坦克属性分配比例标头,0),FALSE)+VLOOKUP(VLOOKUP($AW198,坦克个性化设定!$B$18:$E$48,4,FALSE)&amp;$AX198,坦克属性分配比例,MATCH("部件比例",坦克属性分配比例标头,0),FALSE)*$C$3),0)</f>
        <v>702</v>
      </c>
      <c r="BC198" s="486">
        <f ca="1">ROUND(VLOOKUP($AW198&amp;"初始",$O$3:$AA$63,MATCH(BC$3,$O$3:$AA$3,0),FALSE)+(VLOOKUP($AW198&amp;"最终",$O$3:$AA$63,MATCH(BC$3,$O$3:$AA$3,0),FALSE)-VLOOKUP($AW198&amp;"初始",$O$3:$AA$63,MATCH(BC$3,$O$3:$AA$3,0),FALSE))*$AY198/VLOOKUP(VLOOKUP($AW198,坦克个性化设定!$B$18:$E$48,4,FALSE)&amp;$AX198,坦克属性分配比例,MATCH("升星次数",坦克属性分配比例标头,0),FALSE)*(VLOOKUP(VLOOKUP($AW198,坦克个性化设定!$B$18:$E$48,4,FALSE)&amp;$AX198,坦克属性分配比例,MATCH("升星比例",坦克属性分配比例标头,0),FALSE)+VLOOKUP(VLOOKUP($AW198,坦克个性化设定!$B$18:$E$48,4,FALSE)&amp;$AX198,坦克属性分配比例,MATCH("部件比例",坦克属性分配比例标头,0),FALSE)*$C$3),0)</f>
        <v>526</v>
      </c>
      <c r="BD198" s="426">
        <f ca="1">ROUND(VLOOKUP($AW198&amp;"初始",$O$3:$AA$63,MATCH(BD$3,$O$3:$AA$3,0),FALSE)+(VLOOKUP($AW198&amp;"最终",$O$3:$AA$63,MATCH(BD$3,$O$3:$AA$3,0),FALSE)-VLOOKUP($AW198&amp;"初始",$O$3:$AA$63,MATCH(BD$3,$O$3:$AA$3,0),FALSE))*$AY198/VLOOKUP(VLOOKUP($AW198,坦克个性化设定!$B$18:$E$48,4,FALSE)&amp;$AX198,坦克属性分配比例,MATCH("升星次数",坦克属性分配比例标头,0),FALSE)*VLOOKUP(VLOOKUP($AW198,坦克个性化设定!$B$18:$E$48,4,FALSE)&amp;$AX198,坦克属性分配比例,MATCH("升星比例",坦克属性分配比例标头,0),FALSE),0)</f>
        <v>751</v>
      </c>
      <c r="BE198" s="426">
        <f ca="1">ROUND(VLOOKUP($AW198&amp;"初始",$O$3:$AA$63,MATCH(BE$3,$O$3:$AA$3,0),FALSE)+(VLOOKUP($AW198&amp;"最终",$O$3:$AA$63,MATCH(BE$3,$O$3:$AA$3,0),FALSE)-VLOOKUP($AW198&amp;"初始",$O$3:$AA$63,MATCH(BE$3,$O$3:$AA$3,0),FALSE))*$AY198/VLOOKUP(VLOOKUP($AW198,坦克个性化设定!$B$18:$E$48,4,FALSE)&amp;$AX198,坦克属性分配比例,MATCH("升星次数",坦克属性分配比例标头,0),FALSE),0)</f>
        <v>237</v>
      </c>
      <c r="BF198" s="462">
        <f>ROUND(VLOOKUP($AW198,$AD$3:$AJ$33,MATCH(BF$3,$AD$3:$AJ$3,0),FALSE)+$AY198/VLOOKUP(VLOOKUP($AW198,坦克个性化设定!$B$18:$E$48,4,FALSE)&amp;$AX198,坦克属性分配比例,MATCH("升星次数",坦克属性分配比例标头,0),FALSE)*VLOOKUP($AW198,$AM$3:$AS$33,MATCH(BF$3,$AM$3:$AS$3,0),FALSE),1)</f>
        <v>53.4</v>
      </c>
      <c r="BG198" s="462">
        <f>ROUND(VLOOKUP($AW198,$AD$3:$AJ$33,MATCH(BG$3,$AD$3:$AJ$3,0),FALSE)+$AY198/VLOOKUP(VLOOKUP($AW198,坦克个性化设定!$B$18:$E$48,4,FALSE)&amp;$AX198,坦克属性分配比例,MATCH("升星次数",坦克属性分配比例标头,0),FALSE)*VLOOKUP($AW198,$AM$3:$AS$33,MATCH(BG$3,$AM$3:$AS$3,0),FALSE),1)</f>
        <v>48</v>
      </c>
      <c r="BH198" s="462">
        <f>ROUND(VLOOKUP($AW198,$AD$3:$AJ$33,MATCH(BH$3,$AD$3:$AJ$3,0),FALSE)+$AY198/VLOOKUP(VLOOKUP($AW198,坦克个性化设定!$B$18:$E$48,4,FALSE)&amp;$AX198,坦克属性分配比例,MATCH("升星次数",坦克属性分配比例标头,0),FALSE)*VLOOKUP($AW198,$AM$3:$AS$33,MATCH(BH$3,$AM$3:$AS$3,0),FALSE),1)</f>
        <v>15.5</v>
      </c>
      <c r="BI198" s="654">
        <f>IF(VLOOKUP(AW198,坦克个性化设定!$B$18:$BB$48,MATCH("装弹类型",坦克个性化设定!$B$18:$BB$18,0),FALSE)="弹夹换弹",0,ROUND(VLOOKUP($AW198,$AD$3:$AJ$33,MATCH("换弹时间",$AD$3:$AJ$3,0),FALSE)-$AY198/VLOOKUP(VLOOKUP($AW198,坦克个性化设定!$B$18:$E$48,4,FALSE)&amp;$AX198,坦克属性分配比例,MATCH("升星次数",坦克属性分配比例标头,0),FALSE)*VLOOKUP($AW198,$AM$3:$AS$33,MATCH("换弹时间",$AM$3:$AS$3,0),FALSE),2))</f>
        <v>0</v>
      </c>
      <c r="BJ198" s="462">
        <f>IF(VLOOKUP(AW198,坦克个性化设定!$B$18:$BB$48,MATCH("装弹类型",坦克个性化设定!$B$18:$BB$18,0),FALSE)="弹夹换弹",ROUND(VLOOKUP($AW198,$AD$3:$AJ$33,MATCH("换弹时间",$AD$3:$AJ$3,0),FALSE)-$AY198/VLOOKUP(VLOOKUP($AW198,坦克个性化设定!$B$18:$E$48,4,FALSE)&amp;$AX198,坦克属性分配比例,MATCH("升星次数",坦克属性分配比例标头,0),FALSE)*VLOOKUP($AW198,$AM$3:$AS$33,MATCH("换弹时间",$AM$3:$AS$3,0),FALSE),1),0)</f>
        <v>3</v>
      </c>
      <c r="BK198" s="462">
        <f>ROUND(VLOOKUP($AW198,$AD$3:$AJ$33,MATCH(BK$3,$AD$3:$AJ$3,0),FALSE)+$AY198/VLOOKUP(VLOOKUP($AW198,坦克个性化设定!$B$18:$E$48,4,FALSE)&amp;$AX198,坦克属性分配比例,MATCH("升星次数",坦克属性分配比例标头,0),FALSE)*VLOOKUP($AW198,$AM$3:$AS$33,MATCH(BK$3,$AM$3:$AS$3,0),FALSE),2)</f>
        <v>0.78</v>
      </c>
      <c r="BL198" s="462">
        <f>ROUND(VLOOKUP($AW198,$AD$3:$AJ$33,MATCH(BL$3,$AD$3:$AJ$3,0),FALSE)-$AY198/VLOOKUP(VLOOKUP($AW198,坦克个性化设定!$B$18:$E$48,4,FALSE)&amp;$AX198,坦克属性分配比例,MATCH("升星次数",坦克属性分配比例标头,0),FALSE)*VLOOKUP($AW198,$AM$3:$AS$33,MATCH(BL$3,$AM$3:$AS$3,0),FALSE),2)</f>
        <v>1.25</v>
      </c>
    </row>
    <row r="199" spans="47:64" x14ac:dyDescent="0.35">
      <c r="AU199" s="364" t="str">
        <f t="shared" si="25"/>
        <v>M-489</v>
      </c>
      <c r="AV199" s="183">
        <f>IF(AY198&gt;=VLOOKUP(VLOOKUP(AW198,坦克个性化设定!$B$18:$E$48,4,FALSE)&amp;AX198,坦克属性分配比例,MATCH("升星次数",坦克属性分配比例标头,0),FALSE),AV198+1,AV198)</f>
        <v>17</v>
      </c>
      <c r="AW199" s="131" t="str">
        <f t="shared" si="26"/>
        <v>M-48</v>
      </c>
      <c r="AX199" s="177" t="str">
        <f>VLOOKUP(AW199,坦克个性化细分!$I$3:$J$33,2,FALSE)</f>
        <v>低</v>
      </c>
      <c r="AY199" s="183">
        <f t="shared" si="24"/>
        <v>9</v>
      </c>
      <c r="AZ199" s="486">
        <f ca="1">ROUND(VLOOKUP($AW199&amp;"初始",$O$3:$AA$63,MATCH(AZ$3,$O$3:$AA$3,0),FALSE)+((VLOOKUP($AW199&amp;"最终",$O$3:$AA$63,MATCH(AZ$3,$O$3:$AA$3,0),FALSE)*坦克个性化细分!$C$9-VLOOKUP($AW199&amp;"初始",$O$3:$AA$63,MATCH(AZ$3,$O$3:$AA$3,0),FALSE))-(VLOOKUP($AW199&amp;"最终",$O$3:$AA$63,MATCH(AZ$3,$O$3:$AA$3,0),FALSE)-VLOOKUP($AW199&amp;"初始",$O$3:$AA$63,MATCH(AZ$3,$O$3:$AA$3,0),FALSE))*VLOOKUP(VLOOKUP($AW199,坦克个性化设定!$B$18:$E$48,4,FALSE)&amp;$AX199,坦克属性分配比例,MATCH("部件比例",坦克属性分配比例标头,0),FALSE))*$AY199/VLOOKUP(VLOOKUP($AW199,坦克个性化设定!$B$18:$E$48,4,FALSE)&amp;$AX199,坦克属性分配比例,MATCH("升星次数",坦克属性分配比例标头,0),FALSE),0)</f>
        <v>2732</v>
      </c>
      <c r="BA199" s="426">
        <f ca="1">ROUND(VLOOKUP($AW199&amp;"初始",$O$3:$AA$63,MATCH(BA$3,$O$3:$AA$3,0),FALSE)+(VLOOKUP($AW199&amp;"最终",$O$3:$AA$63,MATCH(BA$3,$O$3:$AA$3,0),FALSE)-VLOOKUP($AW199&amp;"初始",$O$3:$AA$63,MATCH(BA$3,$O$3:$AA$3,0),FALSE))*$AY199/VLOOKUP(VLOOKUP($AW199,坦克个性化设定!$B$18:$E$48,4,FALSE)&amp;$AX199,坦克属性分配比例,MATCH("升星次数",坦克属性分配比例标头,0),FALSE)*VLOOKUP(VLOOKUP($AW199,坦克个性化设定!$B$18:$E$48,4,FALSE)&amp;$AX199,坦克属性分配比例,MATCH("升星比例",坦克属性分配比例标头,0),FALSE),0)</f>
        <v>116</v>
      </c>
      <c r="BB199" s="486">
        <f ca="1">ROUND(VLOOKUP($AW199&amp;"初始",$O$3:$AA$63,MATCH(BB$3,$O$3:$AA$3,0),FALSE)+(VLOOKUP($AW199&amp;"最终",$O$3:$AA$63,MATCH(BB$3,$O$3:$AA$3,0),FALSE)-VLOOKUP($AW199&amp;"初始",$O$3:$AA$63,MATCH(BB$3,$O$3:$AA$3,0),FALSE))*$AY199/VLOOKUP(VLOOKUP($AW199,坦克个性化设定!$B$18:$E$48,4,FALSE)&amp;$AX199,坦克属性分配比例,MATCH("升星次数",坦克属性分配比例标头,0),FALSE)*(VLOOKUP(VLOOKUP($AW199,坦克个性化设定!$B$18:$E$48,4,FALSE)&amp;$AX199,坦克属性分配比例,MATCH("升星比例",坦克属性分配比例标头,0),FALSE)+VLOOKUP(VLOOKUP($AW199,坦克个性化设定!$B$18:$E$48,4,FALSE)&amp;$AX199,坦克属性分配比例,MATCH("部件比例",坦克属性分配比例标头,0),FALSE)*$C$3),0)</f>
        <v>721</v>
      </c>
      <c r="BC199" s="486">
        <f ca="1">ROUND(VLOOKUP($AW199&amp;"初始",$O$3:$AA$63,MATCH(BC$3,$O$3:$AA$3,0),FALSE)+(VLOOKUP($AW199&amp;"最终",$O$3:$AA$63,MATCH(BC$3,$O$3:$AA$3,0),FALSE)-VLOOKUP($AW199&amp;"初始",$O$3:$AA$63,MATCH(BC$3,$O$3:$AA$3,0),FALSE))*$AY199/VLOOKUP(VLOOKUP($AW199,坦克个性化设定!$B$18:$E$48,4,FALSE)&amp;$AX199,坦克属性分配比例,MATCH("升星次数",坦克属性分配比例标头,0),FALSE)*(VLOOKUP(VLOOKUP($AW199,坦克个性化设定!$B$18:$E$48,4,FALSE)&amp;$AX199,坦克属性分配比例,MATCH("升星比例",坦克属性分配比例标头,0),FALSE)+VLOOKUP(VLOOKUP($AW199,坦克个性化设定!$B$18:$E$48,4,FALSE)&amp;$AX199,坦克属性分配比例,MATCH("部件比例",坦克属性分配比例标头,0),FALSE)*$C$3),0)</f>
        <v>540</v>
      </c>
      <c r="BD199" s="426">
        <f ca="1">ROUND(VLOOKUP($AW199&amp;"初始",$O$3:$AA$63,MATCH(BD$3,$O$3:$AA$3,0),FALSE)+(VLOOKUP($AW199&amp;"最终",$O$3:$AA$63,MATCH(BD$3,$O$3:$AA$3,0),FALSE)-VLOOKUP($AW199&amp;"初始",$O$3:$AA$63,MATCH(BD$3,$O$3:$AA$3,0),FALSE))*$AY199/VLOOKUP(VLOOKUP($AW199,坦克个性化设定!$B$18:$E$48,4,FALSE)&amp;$AX199,坦克属性分配比例,MATCH("升星次数",坦克属性分配比例标头,0),FALSE)*VLOOKUP(VLOOKUP($AW199,坦克个性化设定!$B$18:$E$48,4,FALSE)&amp;$AX199,坦克属性分配比例,MATCH("升星比例",坦克属性分配比例标头,0),FALSE),0)</f>
        <v>759</v>
      </c>
      <c r="BE199" s="426">
        <f ca="1">ROUND(VLOOKUP($AW199&amp;"初始",$O$3:$AA$63,MATCH(BE$3,$O$3:$AA$3,0),FALSE)+(VLOOKUP($AW199&amp;"最终",$O$3:$AA$63,MATCH(BE$3,$O$3:$AA$3,0),FALSE)-VLOOKUP($AW199&amp;"初始",$O$3:$AA$63,MATCH(BE$3,$O$3:$AA$3,0),FALSE))*$AY199/VLOOKUP(VLOOKUP($AW199,坦克个性化设定!$B$18:$E$48,4,FALSE)&amp;$AX199,坦克属性分配比例,MATCH("升星次数",坦克属性分配比例标头,0),FALSE),0)</f>
        <v>246</v>
      </c>
      <c r="BF199" s="462">
        <f>ROUND(VLOOKUP($AW199,$AD$3:$AJ$33,MATCH(BF$3,$AD$3:$AJ$3,0),FALSE)+$AY199/VLOOKUP(VLOOKUP($AW199,坦克个性化设定!$B$18:$E$48,4,FALSE)&amp;$AX199,坦克属性分配比例,MATCH("升星次数",坦克属性分配比例标头,0),FALSE)*VLOOKUP($AW199,$AM$3:$AS$33,MATCH(BF$3,$AM$3:$AS$3,0),FALSE),1)</f>
        <v>54.5</v>
      </c>
      <c r="BG199" s="462">
        <f>ROUND(VLOOKUP($AW199,$AD$3:$AJ$33,MATCH(BG$3,$AD$3:$AJ$3,0),FALSE)+$AY199/VLOOKUP(VLOOKUP($AW199,坦克个性化设定!$B$18:$E$48,4,FALSE)&amp;$AX199,坦克属性分配比例,MATCH("升星次数",坦克属性分配比例标头,0),FALSE)*VLOOKUP($AW199,$AM$3:$AS$33,MATCH(BG$3,$AM$3:$AS$3,0),FALSE),1)</f>
        <v>49</v>
      </c>
      <c r="BH199" s="462">
        <f>ROUND(VLOOKUP($AW199,$AD$3:$AJ$33,MATCH(BH$3,$AD$3:$AJ$3,0),FALSE)+$AY199/VLOOKUP(VLOOKUP($AW199,坦克个性化设定!$B$18:$E$48,4,FALSE)&amp;$AX199,坦克属性分配比例,MATCH("升星次数",坦克属性分配比例标头,0),FALSE)*VLOOKUP($AW199,$AM$3:$AS$33,MATCH(BH$3,$AM$3:$AS$3,0),FALSE),1)</f>
        <v>15.9</v>
      </c>
      <c r="BI199" s="654">
        <f>IF(VLOOKUP(AW199,坦克个性化设定!$B$18:$BB$48,MATCH("装弹类型",坦克个性化设定!$B$18:$BB$18,0),FALSE)="弹夹换弹",0,ROUND(VLOOKUP($AW199,$AD$3:$AJ$33,MATCH("换弹时间",$AD$3:$AJ$3,0),FALSE)-$AY199/VLOOKUP(VLOOKUP($AW199,坦克个性化设定!$B$18:$E$48,4,FALSE)&amp;$AX199,坦克属性分配比例,MATCH("升星次数",坦克属性分配比例标头,0),FALSE)*VLOOKUP($AW199,$AM$3:$AS$33,MATCH("换弹时间",$AM$3:$AS$3,0),FALSE),2))</f>
        <v>0</v>
      </c>
      <c r="BJ199" s="462">
        <f>IF(VLOOKUP(AW199,坦克个性化设定!$B$18:$BB$48,MATCH("装弹类型",坦克个性化设定!$B$18:$BB$18,0),FALSE)="弹夹换弹",ROUND(VLOOKUP($AW199,$AD$3:$AJ$33,MATCH("换弹时间",$AD$3:$AJ$3,0),FALSE)-$AY199/VLOOKUP(VLOOKUP($AW199,坦克个性化设定!$B$18:$E$48,4,FALSE)&amp;$AX199,坦克属性分配比例,MATCH("升星次数",坦克属性分配比例标头,0),FALSE)*VLOOKUP($AW199,$AM$3:$AS$33,MATCH("换弹时间",$AM$3:$AS$3,0),FALSE),1),0)</f>
        <v>2.9</v>
      </c>
      <c r="BK199" s="462">
        <f>ROUND(VLOOKUP($AW199,$AD$3:$AJ$33,MATCH(BK$3,$AD$3:$AJ$3,0),FALSE)+$AY199/VLOOKUP(VLOOKUP($AW199,坦克个性化设定!$B$18:$E$48,4,FALSE)&amp;$AX199,坦克属性分配比例,MATCH("升星次数",坦克属性分配比例标头,0),FALSE)*VLOOKUP($AW199,$AM$3:$AS$33,MATCH(BK$3,$AM$3:$AS$3,0),FALSE),2)</f>
        <v>0.76</v>
      </c>
      <c r="BL199" s="462">
        <f>ROUND(VLOOKUP($AW199,$AD$3:$AJ$33,MATCH(BL$3,$AD$3:$AJ$3,0),FALSE)-$AY199/VLOOKUP(VLOOKUP($AW199,坦克个性化设定!$B$18:$E$48,4,FALSE)&amp;$AX199,坦克属性分配比例,MATCH("升星次数",坦克属性分配比例标头,0),FALSE)*VLOOKUP($AW199,$AM$3:$AS$33,MATCH(BL$3,$AM$3:$AS$3,0),FALSE),2)</f>
        <v>1.23</v>
      </c>
    </row>
    <row r="200" spans="47:64" x14ac:dyDescent="0.35">
      <c r="AU200" s="364" t="str">
        <f t="shared" si="25"/>
        <v>M-4810</v>
      </c>
      <c r="AV200" s="183">
        <f>IF(AY199&gt;=VLOOKUP(VLOOKUP(AW199,坦克个性化设定!$B$18:$E$48,4,FALSE)&amp;AX199,坦克属性分配比例,MATCH("升星次数",坦克属性分配比例标头,0),FALSE),AV199+1,AV199)</f>
        <v>17</v>
      </c>
      <c r="AW200" s="131" t="str">
        <f t="shared" si="26"/>
        <v>M-48</v>
      </c>
      <c r="AX200" s="177" t="str">
        <f>VLOOKUP(AW200,坦克个性化细分!$I$3:$J$33,2,FALSE)</f>
        <v>低</v>
      </c>
      <c r="AY200" s="183">
        <f t="shared" si="24"/>
        <v>10</v>
      </c>
      <c r="AZ200" s="486">
        <f ca="1">ROUND(VLOOKUP($AW200&amp;"初始",$O$3:$AA$63,MATCH(AZ$3,$O$3:$AA$3,0),FALSE)+((VLOOKUP($AW200&amp;"最终",$O$3:$AA$63,MATCH(AZ$3,$O$3:$AA$3,0),FALSE)*坦克个性化细分!$C$9-VLOOKUP($AW200&amp;"初始",$O$3:$AA$63,MATCH(AZ$3,$O$3:$AA$3,0),FALSE))-(VLOOKUP($AW200&amp;"最终",$O$3:$AA$63,MATCH(AZ$3,$O$3:$AA$3,0),FALSE)-VLOOKUP($AW200&amp;"初始",$O$3:$AA$63,MATCH(AZ$3,$O$3:$AA$3,0),FALSE))*VLOOKUP(VLOOKUP($AW200,坦克个性化设定!$B$18:$E$48,4,FALSE)&amp;$AX200,坦克属性分配比例,MATCH("部件比例",坦克属性分配比例标头,0),FALSE))*$AY200/VLOOKUP(VLOOKUP($AW200,坦克个性化设定!$B$18:$E$48,4,FALSE)&amp;$AX200,坦克属性分配比例,MATCH("升星次数",坦克属性分配比例标头,0),FALSE),0)</f>
        <v>2836</v>
      </c>
      <c r="BA200" s="426">
        <f ca="1">ROUND(VLOOKUP($AW200&amp;"初始",$O$3:$AA$63,MATCH(BA$3,$O$3:$AA$3,0),FALSE)+(VLOOKUP($AW200&amp;"最终",$O$3:$AA$63,MATCH(BA$3,$O$3:$AA$3,0),FALSE)-VLOOKUP($AW200&amp;"初始",$O$3:$AA$63,MATCH(BA$3,$O$3:$AA$3,0),FALSE))*$AY200/VLOOKUP(VLOOKUP($AW200,坦克个性化设定!$B$18:$E$48,4,FALSE)&amp;$AX200,坦克属性分配比例,MATCH("升星次数",坦克属性分配比例标头,0),FALSE)*VLOOKUP(VLOOKUP($AW200,坦克个性化设定!$B$18:$E$48,4,FALSE)&amp;$AX200,坦克属性分配比例,MATCH("升星比例",坦克属性分配比例标头,0),FALSE),0)</f>
        <v>117</v>
      </c>
      <c r="BB200" s="486">
        <f ca="1">ROUND(VLOOKUP($AW200&amp;"初始",$O$3:$AA$63,MATCH(BB$3,$O$3:$AA$3,0),FALSE)+(VLOOKUP($AW200&amp;"最终",$O$3:$AA$63,MATCH(BB$3,$O$3:$AA$3,0),FALSE)-VLOOKUP($AW200&amp;"初始",$O$3:$AA$63,MATCH(BB$3,$O$3:$AA$3,0),FALSE))*$AY200/VLOOKUP(VLOOKUP($AW200,坦克个性化设定!$B$18:$E$48,4,FALSE)&amp;$AX200,坦克属性分配比例,MATCH("升星次数",坦克属性分配比例标头,0),FALSE)*(VLOOKUP(VLOOKUP($AW200,坦克个性化设定!$B$18:$E$48,4,FALSE)&amp;$AX200,坦克属性分配比例,MATCH("升星比例",坦克属性分配比例标头,0),FALSE)+VLOOKUP(VLOOKUP($AW200,坦克个性化设定!$B$18:$E$48,4,FALSE)&amp;$AX200,坦克属性分配比例,MATCH("部件比例",坦克属性分配比例标头,0),FALSE)*$C$3),0)</f>
        <v>741</v>
      </c>
      <c r="BC200" s="486">
        <f ca="1">ROUND(VLOOKUP($AW200&amp;"初始",$O$3:$AA$63,MATCH(BC$3,$O$3:$AA$3,0),FALSE)+(VLOOKUP($AW200&amp;"最终",$O$3:$AA$63,MATCH(BC$3,$O$3:$AA$3,0),FALSE)-VLOOKUP($AW200&amp;"初始",$O$3:$AA$63,MATCH(BC$3,$O$3:$AA$3,0),FALSE))*$AY200/VLOOKUP(VLOOKUP($AW200,坦克个性化设定!$B$18:$E$48,4,FALSE)&amp;$AX200,坦克属性分配比例,MATCH("升星次数",坦克属性分配比例标头,0),FALSE)*(VLOOKUP(VLOOKUP($AW200,坦克个性化设定!$B$18:$E$48,4,FALSE)&amp;$AX200,坦克属性分配比例,MATCH("升星比例",坦克属性分配比例标头,0),FALSE)+VLOOKUP(VLOOKUP($AW200,坦克个性化设定!$B$18:$E$48,4,FALSE)&amp;$AX200,坦克属性分配比例,MATCH("部件比例",坦克属性分配比例标头,0),FALSE)*$C$3),0)</f>
        <v>555</v>
      </c>
      <c r="BD200" s="426">
        <f ca="1">ROUND(VLOOKUP($AW200&amp;"初始",$O$3:$AA$63,MATCH(BD$3,$O$3:$AA$3,0),FALSE)+(VLOOKUP($AW200&amp;"最终",$O$3:$AA$63,MATCH(BD$3,$O$3:$AA$3,0),FALSE)-VLOOKUP($AW200&amp;"初始",$O$3:$AA$63,MATCH(BD$3,$O$3:$AA$3,0),FALSE))*$AY200/VLOOKUP(VLOOKUP($AW200,坦克个性化设定!$B$18:$E$48,4,FALSE)&amp;$AX200,坦克属性分配比例,MATCH("升星次数",坦克属性分配比例标头,0),FALSE)*VLOOKUP(VLOOKUP($AW200,坦克个性化设定!$B$18:$E$48,4,FALSE)&amp;$AX200,坦克属性分配比例,MATCH("升星比例",坦克属性分配比例标头,0),FALSE),0)</f>
        <v>768</v>
      </c>
      <c r="BE200" s="426">
        <f ca="1">ROUND(VLOOKUP($AW200&amp;"初始",$O$3:$AA$63,MATCH(BE$3,$O$3:$AA$3,0),FALSE)+(VLOOKUP($AW200&amp;"最终",$O$3:$AA$63,MATCH(BE$3,$O$3:$AA$3,0),FALSE)-VLOOKUP($AW200&amp;"初始",$O$3:$AA$63,MATCH(BE$3,$O$3:$AA$3,0),FALSE))*$AY200/VLOOKUP(VLOOKUP($AW200,坦克个性化设定!$B$18:$E$48,4,FALSE)&amp;$AX200,坦克属性分配比例,MATCH("升星次数",坦克属性分配比例标头,0),FALSE),0)</f>
        <v>255</v>
      </c>
      <c r="BF200" s="462">
        <f>ROUND(VLOOKUP($AW200,$AD$3:$AJ$33,MATCH(BF$3,$AD$3:$AJ$3,0),FALSE)+$AY200/VLOOKUP(VLOOKUP($AW200,坦克个性化设定!$B$18:$E$48,4,FALSE)&amp;$AX200,坦克属性分配比例,MATCH("升星次数",坦克属性分配比例标头,0),FALSE)*VLOOKUP($AW200,$AM$3:$AS$33,MATCH(BF$3,$AM$3:$AS$3,0),FALSE),1)</f>
        <v>55.6</v>
      </c>
      <c r="BG200" s="462">
        <f>ROUND(VLOOKUP($AW200,$AD$3:$AJ$33,MATCH(BG$3,$AD$3:$AJ$3,0),FALSE)+$AY200/VLOOKUP(VLOOKUP($AW200,坦克个性化设定!$B$18:$E$48,4,FALSE)&amp;$AX200,坦克属性分配比例,MATCH("升星次数",坦克属性分配比例标头,0),FALSE)*VLOOKUP($AW200,$AM$3:$AS$33,MATCH(BG$3,$AM$3:$AS$3,0),FALSE),1)</f>
        <v>50</v>
      </c>
      <c r="BH200" s="462">
        <f>ROUND(VLOOKUP($AW200,$AD$3:$AJ$33,MATCH(BH$3,$AD$3:$AJ$3,0),FALSE)+$AY200/VLOOKUP(VLOOKUP($AW200,坦克个性化设定!$B$18:$E$48,4,FALSE)&amp;$AX200,坦克属性分配比例,MATCH("升星次数",坦克属性分配比例标头,0),FALSE)*VLOOKUP($AW200,$AM$3:$AS$33,MATCH(BH$3,$AM$3:$AS$3,0),FALSE),1)</f>
        <v>16.3</v>
      </c>
      <c r="BI200" s="654">
        <f>IF(VLOOKUP(AW200,坦克个性化设定!$B$18:$BB$48,MATCH("装弹类型",坦克个性化设定!$B$18:$BB$18,0),FALSE)="弹夹换弹",0,ROUND(VLOOKUP($AW200,$AD$3:$AJ$33,MATCH("换弹时间",$AD$3:$AJ$3,0),FALSE)-$AY200/VLOOKUP(VLOOKUP($AW200,坦克个性化设定!$B$18:$E$48,4,FALSE)&amp;$AX200,坦克属性分配比例,MATCH("升星次数",坦克属性分配比例标头,0),FALSE)*VLOOKUP($AW200,$AM$3:$AS$33,MATCH("换弹时间",$AM$3:$AS$3,0),FALSE),2))</f>
        <v>0</v>
      </c>
      <c r="BJ200" s="462">
        <f>IF(VLOOKUP(AW200,坦克个性化设定!$B$18:$BB$48,MATCH("装弹类型",坦克个性化设定!$B$18:$BB$18,0),FALSE)="弹夹换弹",ROUND(VLOOKUP($AW200,$AD$3:$AJ$33,MATCH("换弹时间",$AD$3:$AJ$3,0),FALSE)-$AY200/VLOOKUP(VLOOKUP($AW200,坦克个性化设定!$B$18:$E$48,4,FALSE)&amp;$AX200,坦克属性分配比例,MATCH("升星次数",坦克属性分配比例标头,0),FALSE)*VLOOKUP($AW200,$AM$3:$AS$33,MATCH("换弹时间",$AM$3:$AS$3,0),FALSE),1),0)</f>
        <v>2.8</v>
      </c>
      <c r="BK200" s="462">
        <f>ROUND(VLOOKUP($AW200,$AD$3:$AJ$33,MATCH(BK$3,$AD$3:$AJ$3,0),FALSE)+$AY200/VLOOKUP(VLOOKUP($AW200,坦克个性化设定!$B$18:$E$48,4,FALSE)&amp;$AX200,坦克属性分配比例,MATCH("升星次数",坦克属性分配比例标头,0),FALSE)*VLOOKUP($AW200,$AM$3:$AS$33,MATCH(BK$3,$AM$3:$AS$3,0),FALSE),2)</f>
        <v>0.75</v>
      </c>
      <c r="BL200" s="462">
        <f>ROUND(VLOOKUP($AW200,$AD$3:$AJ$33,MATCH(BL$3,$AD$3:$AJ$3,0),FALSE)-$AY200/VLOOKUP(VLOOKUP($AW200,坦克个性化设定!$B$18:$E$48,4,FALSE)&amp;$AX200,坦克属性分配比例,MATCH("升星次数",坦克属性分配比例标头,0),FALSE)*VLOOKUP($AW200,$AM$3:$AS$33,MATCH(BL$3,$AM$3:$AS$3,0),FALSE),2)</f>
        <v>1.2</v>
      </c>
    </row>
    <row r="201" spans="47:64" x14ac:dyDescent="0.35">
      <c r="AU201" s="364" t="str">
        <f t="shared" si="25"/>
        <v>潘兴0</v>
      </c>
      <c r="AV201" s="183">
        <f>IF(AY200&gt;=VLOOKUP(VLOOKUP(AW200,坦克个性化设定!$B$18:$E$48,4,FALSE)&amp;AX200,坦克属性分配比例,MATCH("升星次数",坦克属性分配比例标头,0),FALSE),AV200+1,AV200)</f>
        <v>18</v>
      </c>
      <c r="AW201" s="131" t="str">
        <f t="shared" si="26"/>
        <v>潘兴</v>
      </c>
      <c r="AX201" s="177" t="str">
        <f>VLOOKUP(AW201,坦克个性化细分!$I$3:$J$33,2,FALSE)</f>
        <v>中</v>
      </c>
      <c r="AY201" s="183">
        <f t="shared" si="24"/>
        <v>0</v>
      </c>
      <c r="AZ201" s="486">
        <f ca="1">ROUND(VLOOKUP($AW201&amp;"初始",$O$3:$AA$63,MATCH(AZ$3,$O$3:$AA$3,0),FALSE)+((VLOOKUP($AW201&amp;"最终",$O$3:$AA$63,MATCH(AZ$3,$O$3:$AA$3,0),FALSE)*坦克个性化细分!$C$9-VLOOKUP($AW201&amp;"初始",$O$3:$AA$63,MATCH(AZ$3,$O$3:$AA$3,0),FALSE))-(VLOOKUP($AW201&amp;"最终",$O$3:$AA$63,MATCH(AZ$3,$O$3:$AA$3,0),FALSE)-VLOOKUP($AW201&amp;"初始",$O$3:$AA$63,MATCH(AZ$3,$O$3:$AA$3,0),FALSE))*VLOOKUP(VLOOKUP($AW201,坦克个性化设定!$B$18:$E$48,4,FALSE)&amp;$AX201,坦克属性分配比例,MATCH("部件比例",坦克属性分配比例标头,0),FALSE))*$AY201/VLOOKUP(VLOOKUP($AW201,坦克个性化设定!$B$18:$E$48,4,FALSE)&amp;$AX201,坦克属性分配比例,MATCH("升星次数",坦克属性分配比例标头,0),FALSE),0)</f>
        <v>1715</v>
      </c>
      <c r="BA201" s="426">
        <f ca="1">ROUND(VLOOKUP($AW201&amp;"初始",$O$3:$AA$63,MATCH(BA$3,$O$3:$AA$3,0),FALSE)+(VLOOKUP($AW201&amp;"最终",$O$3:$AA$63,MATCH(BA$3,$O$3:$AA$3,0),FALSE)-VLOOKUP($AW201&amp;"初始",$O$3:$AA$63,MATCH(BA$3,$O$3:$AA$3,0),FALSE))*$AY201/VLOOKUP(VLOOKUP($AW201,坦克个性化设定!$B$18:$E$48,4,FALSE)&amp;$AX201,坦克属性分配比例,MATCH("升星次数",坦克属性分配比例标头,0),FALSE)*VLOOKUP(VLOOKUP($AW201,坦克个性化设定!$B$18:$E$48,4,FALSE)&amp;$AX201,坦克属性分配比例,MATCH("升星比例",坦克属性分配比例标头,0),FALSE),0)</f>
        <v>304</v>
      </c>
      <c r="BB201" s="486">
        <f ca="1">ROUND(VLOOKUP($AW201&amp;"初始",$O$3:$AA$63,MATCH(BB$3,$O$3:$AA$3,0),FALSE)+(VLOOKUP($AW201&amp;"最终",$O$3:$AA$63,MATCH(BB$3,$O$3:$AA$3,0),FALSE)-VLOOKUP($AW201&amp;"初始",$O$3:$AA$63,MATCH(BB$3,$O$3:$AA$3,0),FALSE))*$AY201/VLOOKUP(VLOOKUP($AW201,坦克个性化设定!$B$18:$E$48,4,FALSE)&amp;$AX201,坦克属性分配比例,MATCH("升星次数",坦克属性分配比例标头,0),FALSE)*(VLOOKUP(VLOOKUP($AW201,坦克个性化设定!$B$18:$E$48,4,FALSE)&amp;$AX201,坦克属性分配比例,MATCH("升星比例",坦克属性分配比例标头,0),FALSE)+VLOOKUP(VLOOKUP($AW201,坦克个性化设定!$B$18:$E$48,4,FALSE)&amp;$AX201,坦克属性分配比例,MATCH("部件比例",坦克属性分配比例标头,0),FALSE)*$C$3),0)</f>
        <v>644</v>
      </c>
      <c r="BC201" s="486">
        <f ca="1">ROUND(VLOOKUP($AW201&amp;"初始",$O$3:$AA$63,MATCH(BC$3,$O$3:$AA$3,0),FALSE)+(VLOOKUP($AW201&amp;"最终",$O$3:$AA$63,MATCH(BC$3,$O$3:$AA$3,0),FALSE)-VLOOKUP($AW201&amp;"初始",$O$3:$AA$63,MATCH(BC$3,$O$3:$AA$3,0),FALSE))*$AY201/VLOOKUP(VLOOKUP($AW201,坦克个性化设定!$B$18:$E$48,4,FALSE)&amp;$AX201,坦克属性分配比例,MATCH("升星次数",坦克属性分配比例标头,0),FALSE)*(VLOOKUP(VLOOKUP($AW201,坦克个性化设定!$B$18:$E$48,4,FALSE)&amp;$AX201,坦克属性分配比例,MATCH("升星比例",坦克属性分配比例标头,0),FALSE)+VLOOKUP(VLOOKUP($AW201,坦克个性化设定!$B$18:$E$48,4,FALSE)&amp;$AX201,坦克属性分配比例,MATCH("部件比例",坦克属性分配比例标头,0),FALSE)*$C$3),0)</f>
        <v>483</v>
      </c>
      <c r="BD201" s="426">
        <f ca="1">ROUND(VLOOKUP($AW201&amp;"初始",$O$3:$AA$63,MATCH(BD$3,$O$3:$AA$3,0),FALSE)+(VLOOKUP($AW201&amp;"最终",$O$3:$AA$63,MATCH(BD$3,$O$3:$AA$3,0),FALSE)-VLOOKUP($AW201&amp;"初始",$O$3:$AA$63,MATCH(BD$3,$O$3:$AA$3,0),FALSE))*$AY201/VLOOKUP(VLOOKUP($AW201,坦克个性化设定!$B$18:$E$48,4,FALSE)&amp;$AX201,坦克属性分配比例,MATCH("升星次数",坦克属性分配比例标头,0),FALSE)*VLOOKUP(VLOOKUP($AW201,坦克个性化设定!$B$18:$E$48,4,FALSE)&amp;$AX201,坦克属性分配比例,MATCH("升星比例",坦克属性分配比例标头,0),FALSE),0)</f>
        <v>706</v>
      </c>
      <c r="BE201" s="426">
        <f ca="1">ROUND(VLOOKUP($AW201&amp;"初始",$O$3:$AA$63,MATCH(BE$3,$O$3:$AA$3,0),FALSE)+(VLOOKUP($AW201&amp;"最终",$O$3:$AA$63,MATCH(BE$3,$O$3:$AA$3,0),FALSE)-VLOOKUP($AW201&amp;"初始",$O$3:$AA$63,MATCH(BE$3,$O$3:$AA$3,0),FALSE))*$AY201/VLOOKUP(VLOOKUP($AW201,坦克个性化设定!$B$18:$E$48,4,FALSE)&amp;$AX201,坦克属性分配比例,MATCH("升星次数",坦克属性分配比例标头,0),FALSE),0)</f>
        <v>173</v>
      </c>
      <c r="BF201" s="462">
        <f>ROUND(VLOOKUP($AW201,$AD$3:$AJ$33,MATCH(BF$3,$AD$3:$AJ$3,0),FALSE)+$AY201/VLOOKUP(VLOOKUP($AW201,坦克个性化设定!$B$18:$E$48,4,FALSE)&amp;$AX201,坦克属性分配比例,MATCH("升星次数",坦克属性分配比例标头,0),FALSE)*VLOOKUP($AW201,$AM$3:$AS$33,MATCH(BF$3,$AM$3:$AS$3,0),FALSE),1)</f>
        <v>36.299999999999997</v>
      </c>
      <c r="BG201" s="462">
        <f>ROUND(VLOOKUP($AW201,$AD$3:$AJ$33,MATCH(BG$3,$AD$3:$AJ$3,0),FALSE)+$AY201/VLOOKUP(VLOOKUP($AW201,坦克个性化设定!$B$18:$E$48,4,FALSE)&amp;$AX201,坦克属性分配比例,MATCH("升星次数",坦克属性分配比例标头,0),FALSE)*VLOOKUP($AW201,$AM$3:$AS$33,MATCH(BG$3,$AM$3:$AS$3,0),FALSE),1)</f>
        <v>51</v>
      </c>
      <c r="BH201" s="462">
        <f>ROUND(VLOOKUP($AW201,$AD$3:$AJ$33,MATCH(BH$3,$AD$3:$AJ$3,0),FALSE)+$AY201/VLOOKUP(VLOOKUP($AW201,坦克个性化设定!$B$18:$E$48,4,FALSE)&amp;$AX201,坦克属性分配比例,MATCH("升星次数",坦克属性分配比例标头,0),FALSE)*VLOOKUP($AW201,$AM$3:$AS$33,MATCH(BH$3,$AM$3:$AS$3,0),FALSE),1)</f>
        <v>11.3</v>
      </c>
      <c r="BI201" s="654">
        <f>IF(VLOOKUP(AW201,坦克个性化设定!$B$18:$BB$48,MATCH("装弹类型",坦克个性化设定!$B$18:$BB$18,0),FALSE)="弹夹换弹",0,ROUND(VLOOKUP($AW201,$AD$3:$AJ$33,MATCH("换弹时间",$AD$3:$AJ$3,0),FALSE)-$AY201/VLOOKUP(VLOOKUP($AW201,坦克个性化设定!$B$18:$E$48,4,FALSE)&amp;$AX201,坦克属性分配比例,MATCH("升星次数",坦克属性分配比例标头,0),FALSE)*VLOOKUP($AW201,$AM$3:$AS$33,MATCH("换弹时间",$AM$3:$AS$3,0),FALSE),2))</f>
        <v>4.5</v>
      </c>
      <c r="BJ201" s="462">
        <f>IF(VLOOKUP(AW201,坦克个性化设定!$B$18:$BB$48,MATCH("装弹类型",坦克个性化设定!$B$18:$BB$18,0),FALSE)="弹夹换弹",ROUND(VLOOKUP($AW201,$AD$3:$AJ$33,MATCH("换弹时间",$AD$3:$AJ$3,0),FALSE)-$AY201/VLOOKUP(VLOOKUP($AW201,坦克个性化设定!$B$18:$E$48,4,FALSE)&amp;$AX201,坦克属性分配比例,MATCH("升星次数",坦克属性分配比例标头,0),FALSE)*VLOOKUP($AW201,$AM$3:$AS$33,MATCH("换弹时间",$AM$3:$AS$3,0),FALSE),1),0)</f>
        <v>0</v>
      </c>
      <c r="BK201" s="462">
        <f>ROUND(VLOOKUP($AW201,$AD$3:$AJ$33,MATCH(BK$3,$AD$3:$AJ$3,0),FALSE)+$AY201/VLOOKUP(VLOOKUP($AW201,坦克个性化设定!$B$18:$E$48,4,FALSE)&amp;$AX201,坦克属性分配比例,MATCH("升星次数",坦克属性分配比例标头,0),FALSE)*VLOOKUP($AW201,$AM$3:$AS$33,MATCH(BK$3,$AM$3:$AS$3,0),FALSE),2)</f>
        <v>0</v>
      </c>
      <c r="BL201" s="462">
        <f>ROUND(VLOOKUP($AW201,$AD$3:$AJ$33,MATCH(BL$3,$AD$3:$AJ$3,0),FALSE)-$AY201/VLOOKUP(VLOOKUP($AW201,坦克个性化设定!$B$18:$E$48,4,FALSE)&amp;$AX201,坦克属性分配比例,MATCH("升星次数",坦克属性分配比例标头,0),FALSE)*VLOOKUP($AW201,$AM$3:$AS$33,MATCH(BL$3,$AM$3:$AS$3,0),FALSE),2)</f>
        <v>2.4</v>
      </c>
    </row>
    <row r="202" spans="47:64" x14ac:dyDescent="0.35">
      <c r="AU202" s="364" t="str">
        <f t="shared" si="25"/>
        <v>潘兴1</v>
      </c>
      <c r="AV202" s="183">
        <f>IF(AY201&gt;=VLOOKUP(VLOOKUP(AW201,坦克个性化设定!$B$18:$E$48,4,FALSE)&amp;AX201,坦克属性分配比例,MATCH("升星次数",坦克属性分配比例标头,0),FALSE),AV201+1,AV201)</f>
        <v>18</v>
      </c>
      <c r="AW202" s="131" t="str">
        <f t="shared" si="26"/>
        <v>潘兴</v>
      </c>
      <c r="AX202" s="177" t="str">
        <f>VLOOKUP(AW202,坦克个性化细分!$I$3:$J$33,2,FALSE)</f>
        <v>中</v>
      </c>
      <c r="AY202" s="183">
        <f t="shared" si="24"/>
        <v>1</v>
      </c>
      <c r="AZ202" s="486">
        <f ca="1">ROUND(VLOOKUP($AW202&amp;"初始",$O$3:$AA$63,MATCH(AZ$3,$O$3:$AA$3,0),FALSE)+((VLOOKUP($AW202&amp;"最终",$O$3:$AA$63,MATCH(AZ$3,$O$3:$AA$3,0),FALSE)*坦克个性化细分!$C$9-VLOOKUP($AW202&amp;"初始",$O$3:$AA$63,MATCH(AZ$3,$O$3:$AA$3,0),FALSE))-(VLOOKUP($AW202&amp;"最终",$O$3:$AA$63,MATCH(AZ$3,$O$3:$AA$3,0),FALSE)-VLOOKUP($AW202&amp;"初始",$O$3:$AA$63,MATCH(AZ$3,$O$3:$AA$3,0),FALSE))*VLOOKUP(VLOOKUP($AW202,坦克个性化设定!$B$18:$E$48,4,FALSE)&amp;$AX202,坦克属性分配比例,MATCH("部件比例",坦克属性分配比例标头,0),FALSE))*$AY202/VLOOKUP(VLOOKUP($AW202,坦克个性化设定!$B$18:$E$48,4,FALSE)&amp;$AX202,坦克属性分配比例,MATCH("升星次数",坦克属性分配比例标头,0),FALSE),0)</f>
        <v>1815</v>
      </c>
      <c r="BA202" s="426">
        <f ca="1">ROUND(VLOOKUP($AW202&amp;"初始",$O$3:$AA$63,MATCH(BA$3,$O$3:$AA$3,0),FALSE)+(VLOOKUP($AW202&amp;"最终",$O$3:$AA$63,MATCH(BA$3,$O$3:$AA$3,0),FALSE)-VLOOKUP($AW202&amp;"初始",$O$3:$AA$63,MATCH(BA$3,$O$3:$AA$3,0),FALSE))*$AY202/VLOOKUP(VLOOKUP($AW202,坦克个性化设定!$B$18:$E$48,4,FALSE)&amp;$AX202,坦克属性分配比例,MATCH("升星次数",坦克属性分配比例标头,0),FALSE)*VLOOKUP(VLOOKUP($AW202,坦克个性化设定!$B$18:$E$48,4,FALSE)&amp;$AX202,坦克属性分配比例,MATCH("升星比例",坦克属性分配比例标头,0),FALSE),0)</f>
        <v>312</v>
      </c>
      <c r="BB202" s="486">
        <f ca="1">ROUND(VLOOKUP($AW202&amp;"初始",$O$3:$AA$63,MATCH(BB$3,$O$3:$AA$3,0),FALSE)+(VLOOKUP($AW202&amp;"最终",$O$3:$AA$63,MATCH(BB$3,$O$3:$AA$3,0),FALSE)-VLOOKUP($AW202&amp;"初始",$O$3:$AA$63,MATCH(BB$3,$O$3:$AA$3,0),FALSE))*$AY202/VLOOKUP(VLOOKUP($AW202,坦克个性化设定!$B$18:$E$48,4,FALSE)&amp;$AX202,坦克属性分配比例,MATCH("升星次数",坦克属性分配比例标头,0),FALSE)*(VLOOKUP(VLOOKUP($AW202,坦克个性化设定!$B$18:$E$48,4,FALSE)&amp;$AX202,坦克属性分配比例,MATCH("升星比例",坦克属性分配比例标头,0),FALSE)+VLOOKUP(VLOOKUP($AW202,坦克个性化设定!$B$18:$E$48,4,FALSE)&amp;$AX202,坦克属性分配比例,MATCH("部件比例",坦克属性分配比例标头,0),FALSE)*$C$3),0)</f>
        <v>671</v>
      </c>
      <c r="BC202" s="486">
        <f ca="1">ROUND(VLOOKUP($AW202&amp;"初始",$O$3:$AA$63,MATCH(BC$3,$O$3:$AA$3,0),FALSE)+(VLOOKUP($AW202&amp;"最终",$O$3:$AA$63,MATCH(BC$3,$O$3:$AA$3,0),FALSE)-VLOOKUP($AW202&amp;"初始",$O$3:$AA$63,MATCH(BC$3,$O$3:$AA$3,0),FALSE))*$AY202/VLOOKUP(VLOOKUP($AW202,坦克个性化设定!$B$18:$E$48,4,FALSE)&amp;$AX202,坦克属性分配比例,MATCH("升星次数",坦克属性分配比例标头,0),FALSE)*(VLOOKUP(VLOOKUP($AW202,坦克个性化设定!$B$18:$E$48,4,FALSE)&amp;$AX202,坦克属性分配比例,MATCH("升星比例",坦克属性分配比例标头,0),FALSE)+VLOOKUP(VLOOKUP($AW202,坦克个性化设定!$B$18:$E$48,4,FALSE)&amp;$AX202,坦克属性分配比例,MATCH("部件比例",坦克属性分配比例标头,0),FALSE)*$C$3),0)</f>
        <v>503</v>
      </c>
      <c r="BD202" s="426">
        <f ca="1">ROUND(VLOOKUP($AW202&amp;"初始",$O$3:$AA$63,MATCH(BD$3,$O$3:$AA$3,0),FALSE)+(VLOOKUP($AW202&amp;"最终",$O$3:$AA$63,MATCH(BD$3,$O$3:$AA$3,0),FALSE)-VLOOKUP($AW202&amp;"初始",$O$3:$AA$63,MATCH(BD$3,$O$3:$AA$3,0),FALSE))*$AY202/VLOOKUP(VLOOKUP($AW202,坦克个性化设定!$B$18:$E$48,4,FALSE)&amp;$AX202,坦克属性分配比例,MATCH("升星次数",坦克属性分配比例标头,0),FALSE)*VLOOKUP(VLOOKUP($AW202,坦克个性化设定!$B$18:$E$48,4,FALSE)&amp;$AX202,坦克属性分配比例,MATCH("升星比例",坦克属性分配比例标头,0),FALSE),0)</f>
        <v>723</v>
      </c>
      <c r="BE202" s="426">
        <f ca="1">ROUND(VLOOKUP($AW202&amp;"初始",$O$3:$AA$63,MATCH(BE$3,$O$3:$AA$3,0),FALSE)+(VLOOKUP($AW202&amp;"最终",$O$3:$AA$63,MATCH(BE$3,$O$3:$AA$3,0),FALSE)-VLOOKUP($AW202&amp;"初始",$O$3:$AA$63,MATCH(BE$3,$O$3:$AA$3,0),FALSE))*$AY202/VLOOKUP(VLOOKUP($AW202,坦克个性化设定!$B$18:$E$48,4,FALSE)&amp;$AX202,坦克属性分配比例,MATCH("升星次数",坦克属性分配比例标头,0),FALSE),0)</f>
        <v>182</v>
      </c>
      <c r="BF202" s="462">
        <f>ROUND(VLOOKUP($AW202,$AD$3:$AJ$33,MATCH(BF$3,$AD$3:$AJ$3,0),FALSE)+$AY202/VLOOKUP(VLOOKUP($AW202,坦克个性化设定!$B$18:$E$48,4,FALSE)&amp;$AX202,坦克属性分配比例,MATCH("升星次数",坦克属性分配比例标头,0),FALSE)*VLOOKUP($AW202,$AM$3:$AS$33,MATCH(BF$3,$AM$3:$AS$3,0),FALSE),1)</f>
        <v>36.799999999999997</v>
      </c>
      <c r="BG202" s="462">
        <f>ROUND(VLOOKUP($AW202,$AD$3:$AJ$33,MATCH(BG$3,$AD$3:$AJ$3,0),FALSE)+$AY202/VLOOKUP(VLOOKUP($AW202,坦克个性化设定!$B$18:$E$48,4,FALSE)&amp;$AX202,坦克属性分配比例,MATCH("升星次数",坦克属性分配比例标头,0),FALSE)*VLOOKUP($AW202,$AM$3:$AS$33,MATCH(BG$3,$AM$3:$AS$3,0),FALSE),1)</f>
        <v>51.8</v>
      </c>
      <c r="BH202" s="462">
        <f>ROUND(VLOOKUP($AW202,$AD$3:$AJ$33,MATCH(BH$3,$AD$3:$AJ$3,0),FALSE)+$AY202/VLOOKUP(VLOOKUP($AW202,坦克个性化设定!$B$18:$E$48,4,FALSE)&amp;$AX202,坦克属性分配比例,MATCH("升星次数",坦克属性分配比例标头,0),FALSE)*VLOOKUP($AW202,$AM$3:$AS$33,MATCH(BH$3,$AM$3:$AS$3,0),FALSE),1)</f>
        <v>11.5</v>
      </c>
      <c r="BI202" s="654">
        <f>IF(VLOOKUP(AW202,坦克个性化设定!$B$18:$BB$48,MATCH("装弹类型",坦克个性化设定!$B$18:$BB$18,0),FALSE)="弹夹换弹",0,ROUND(VLOOKUP($AW202,$AD$3:$AJ$33,MATCH("换弹时间",$AD$3:$AJ$3,0),FALSE)-$AY202/VLOOKUP(VLOOKUP($AW202,坦克个性化设定!$B$18:$E$48,4,FALSE)&amp;$AX202,坦克属性分配比例,MATCH("升星次数",坦克属性分配比例标头,0),FALSE)*VLOOKUP($AW202,$AM$3:$AS$33,MATCH("换弹时间",$AM$3:$AS$3,0),FALSE),2))</f>
        <v>4.4400000000000004</v>
      </c>
      <c r="BJ202" s="462">
        <f>IF(VLOOKUP(AW202,坦克个性化设定!$B$18:$BB$48,MATCH("装弹类型",坦克个性化设定!$B$18:$BB$18,0),FALSE)="弹夹换弹",ROUND(VLOOKUP($AW202,$AD$3:$AJ$33,MATCH("换弹时间",$AD$3:$AJ$3,0),FALSE)-$AY202/VLOOKUP(VLOOKUP($AW202,坦克个性化设定!$B$18:$E$48,4,FALSE)&amp;$AX202,坦克属性分配比例,MATCH("升星次数",坦克属性分配比例标头,0),FALSE)*VLOOKUP($AW202,$AM$3:$AS$33,MATCH("换弹时间",$AM$3:$AS$3,0),FALSE),1),0)</f>
        <v>0</v>
      </c>
      <c r="BK202" s="462">
        <f>ROUND(VLOOKUP($AW202,$AD$3:$AJ$33,MATCH(BK$3,$AD$3:$AJ$3,0),FALSE)+$AY202/VLOOKUP(VLOOKUP($AW202,坦克个性化设定!$B$18:$E$48,4,FALSE)&amp;$AX202,坦克属性分配比例,MATCH("升星次数",坦克属性分配比例标头,0),FALSE)*VLOOKUP($AW202,$AM$3:$AS$33,MATCH(BK$3,$AM$3:$AS$3,0),FALSE),2)</f>
        <v>0</v>
      </c>
      <c r="BL202" s="462">
        <f>ROUND(VLOOKUP($AW202,$AD$3:$AJ$33,MATCH(BL$3,$AD$3:$AJ$3,0),FALSE)-$AY202/VLOOKUP(VLOOKUP($AW202,坦克个性化设定!$B$18:$E$48,4,FALSE)&amp;$AX202,坦克属性分配比例,MATCH("升星次数",坦克属性分配比例标头,0),FALSE)*VLOOKUP($AW202,$AM$3:$AS$33,MATCH(BL$3,$AM$3:$AS$3,0),FALSE),2)</f>
        <v>2.38</v>
      </c>
    </row>
    <row r="203" spans="47:64" x14ac:dyDescent="0.35">
      <c r="AU203" s="364" t="str">
        <f t="shared" si="25"/>
        <v>潘兴2</v>
      </c>
      <c r="AV203" s="183">
        <f>IF(AY202&gt;=VLOOKUP(VLOOKUP(AW202,坦克个性化设定!$B$18:$E$48,4,FALSE)&amp;AX202,坦克属性分配比例,MATCH("升星次数",坦克属性分配比例标头,0),FALSE),AV202+1,AV202)</f>
        <v>18</v>
      </c>
      <c r="AW203" s="131" t="str">
        <f t="shared" si="26"/>
        <v>潘兴</v>
      </c>
      <c r="AX203" s="177" t="str">
        <f>VLOOKUP(AW203,坦克个性化细分!$I$3:$J$33,2,FALSE)</f>
        <v>中</v>
      </c>
      <c r="AY203" s="183">
        <f t="shared" si="24"/>
        <v>2</v>
      </c>
      <c r="AZ203" s="486">
        <f ca="1">ROUND(VLOOKUP($AW203&amp;"初始",$O$3:$AA$63,MATCH(AZ$3,$O$3:$AA$3,0),FALSE)+((VLOOKUP($AW203&amp;"最终",$O$3:$AA$63,MATCH(AZ$3,$O$3:$AA$3,0),FALSE)*坦克个性化细分!$C$9-VLOOKUP($AW203&amp;"初始",$O$3:$AA$63,MATCH(AZ$3,$O$3:$AA$3,0),FALSE))-(VLOOKUP($AW203&amp;"最终",$O$3:$AA$63,MATCH(AZ$3,$O$3:$AA$3,0),FALSE)-VLOOKUP($AW203&amp;"初始",$O$3:$AA$63,MATCH(AZ$3,$O$3:$AA$3,0),FALSE))*VLOOKUP(VLOOKUP($AW203,坦克个性化设定!$B$18:$E$48,4,FALSE)&amp;$AX203,坦克属性分配比例,MATCH("部件比例",坦克属性分配比例标头,0),FALSE))*$AY203/VLOOKUP(VLOOKUP($AW203,坦克个性化设定!$B$18:$E$48,4,FALSE)&amp;$AX203,坦克属性分配比例,MATCH("升星次数",坦克属性分配比例标头,0),FALSE),0)</f>
        <v>1915</v>
      </c>
      <c r="BA203" s="426">
        <f ca="1">ROUND(VLOOKUP($AW203&amp;"初始",$O$3:$AA$63,MATCH(BA$3,$O$3:$AA$3,0),FALSE)+(VLOOKUP($AW203&amp;"最终",$O$3:$AA$63,MATCH(BA$3,$O$3:$AA$3,0),FALSE)-VLOOKUP($AW203&amp;"初始",$O$3:$AA$63,MATCH(BA$3,$O$3:$AA$3,0),FALSE))*$AY203/VLOOKUP(VLOOKUP($AW203,坦克个性化设定!$B$18:$E$48,4,FALSE)&amp;$AX203,坦克属性分配比例,MATCH("升星次数",坦克属性分配比例标头,0),FALSE)*VLOOKUP(VLOOKUP($AW203,坦克个性化设定!$B$18:$E$48,4,FALSE)&amp;$AX203,坦克属性分配比例,MATCH("升星比例",坦克属性分配比例标头,0),FALSE),0)</f>
        <v>319</v>
      </c>
      <c r="BB203" s="486">
        <f ca="1">ROUND(VLOOKUP($AW203&amp;"初始",$O$3:$AA$63,MATCH(BB$3,$O$3:$AA$3,0),FALSE)+(VLOOKUP($AW203&amp;"最终",$O$3:$AA$63,MATCH(BB$3,$O$3:$AA$3,0),FALSE)-VLOOKUP($AW203&amp;"初始",$O$3:$AA$63,MATCH(BB$3,$O$3:$AA$3,0),FALSE))*$AY203/VLOOKUP(VLOOKUP($AW203,坦克个性化设定!$B$18:$E$48,4,FALSE)&amp;$AX203,坦克属性分配比例,MATCH("升星次数",坦克属性分配比例标头,0),FALSE)*(VLOOKUP(VLOOKUP($AW203,坦克个性化设定!$B$18:$E$48,4,FALSE)&amp;$AX203,坦克属性分配比例,MATCH("升星比例",坦克属性分配比例标头,0),FALSE)+VLOOKUP(VLOOKUP($AW203,坦克个性化设定!$B$18:$E$48,4,FALSE)&amp;$AX203,坦克属性分配比例,MATCH("部件比例",坦克属性分配比例标头,0),FALSE)*$C$3),0)</f>
        <v>698</v>
      </c>
      <c r="BC203" s="486">
        <f ca="1">ROUND(VLOOKUP($AW203&amp;"初始",$O$3:$AA$63,MATCH(BC$3,$O$3:$AA$3,0),FALSE)+(VLOOKUP($AW203&amp;"最终",$O$3:$AA$63,MATCH(BC$3,$O$3:$AA$3,0),FALSE)-VLOOKUP($AW203&amp;"初始",$O$3:$AA$63,MATCH(BC$3,$O$3:$AA$3,0),FALSE))*$AY203/VLOOKUP(VLOOKUP($AW203,坦克个性化设定!$B$18:$E$48,4,FALSE)&amp;$AX203,坦克属性分配比例,MATCH("升星次数",坦克属性分配比例标头,0),FALSE)*(VLOOKUP(VLOOKUP($AW203,坦克个性化设定!$B$18:$E$48,4,FALSE)&amp;$AX203,坦克属性分配比例,MATCH("升星比例",坦克属性分配比例标头,0),FALSE)+VLOOKUP(VLOOKUP($AW203,坦克个性化设定!$B$18:$E$48,4,FALSE)&amp;$AX203,坦克属性分配比例,MATCH("部件比例",坦克属性分配比例标头,0),FALSE)*$C$3),0)</f>
        <v>524</v>
      </c>
      <c r="BD203" s="426">
        <f ca="1">ROUND(VLOOKUP($AW203&amp;"初始",$O$3:$AA$63,MATCH(BD$3,$O$3:$AA$3,0),FALSE)+(VLOOKUP($AW203&amp;"最终",$O$3:$AA$63,MATCH(BD$3,$O$3:$AA$3,0),FALSE)-VLOOKUP($AW203&amp;"初始",$O$3:$AA$63,MATCH(BD$3,$O$3:$AA$3,0),FALSE))*$AY203/VLOOKUP(VLOOKUP($AW203,坦克个性化设定!$B$18:$E$48,4,FALSE)&amp;$AX203,坦克属性分配比例,MATCH("升星次数",坦克属性分配比例标头,0),FALSE)*VLOOKUP(VLOOKUP($AW203,坦克个性化设定!$B$18:$E$48,4,FALSE)&amp;$AX203,坦克属性分配比例,MATCH("升星比例",坦克属性分配比例标头,0),FALSE),0)</f>
        <v>740</v>
      </c>
      <c r="BE203" s="426">
        <f ca="1">ROUND(VLOOKUP($AW203&amp;"初始",$O$3:$AA$63,MATCH(BE$3,$O$3:$AA$3,0),FALSE)+(VLOOKUP($AW203&amp;"最终",$O$3:$AA$63,MATCH(BE$3,$O$3:$AA$3,0),FALSE)-VLOOKUP($AW203&amp;"初始",$O$3:$AA$63,MATCH(BE$3,$O$3:$AA$3,0),FALSE))*$AY203/VLOOKUP(VLOOKUP($AW203,坦克个性化设定!$B$18:$E$48,4,FALSE)&amp;$AX203,坦克属性分配比例,MATCH("升星次数",坦克属性分配比例标头,0),FALSE),0)</f>
        <v>191</v>
      </c>
      <c r="BF203" s="462">
        <f>ROUND(VLOOKUP($AW203,$AD$3:$AJ$33,MATCH(BF$3,$AD$3:$AJ$3,0),FALSE)+$AY203/VLOOKUP(VLOOKUP($AW203,坦克个性化设定!$B$18:$E$48,4,FALSE)&amp;$AX203,坦克属性分配比例,MATCH("升星次数",坦克属性分配比例标头,0),FALSE)*VLOOKUP($AW203,$AM$3:$AS$33,MATCH(BF$3,$AM$3:$AS$3,0),FALSE),1)</f>
        <v>37.4</v>
      </c>
      <c r="BG203" s="462">
        <f>ROUND(VLOOKUP($AW203,$AD$3:$AJ$33,MATCH(BG$3,$AD$3:$AJ$3,0),FALSE)+$AY203/VLOOKUP(VLOOKUP($AW203,坦克个性化设定!$B$18:$E$48,4,FALSE)&amp;$AX203,坦克属性分配比例,MATCH("升星次数",坦克属性分配比例标头,0),FALSE)*VLOOKUP($AW203,$AM$3:$AS$33,MATCH(BG$3,$AM$3:$AS$3,0),FALSE),1)</f>
        <v>52.5</v>
      </c>
      <c r="BH203" s="462">
        <f>ROUND(VLOOKUP($AW203,$AD$3:$AJ$33,MATCH(BH$3,$AD$3:$AJ$3,0),FALSE)+$AY203/VLOOKUP(VLOOKUP($AW203,坦克个性化设定!$B$18:$E$48,4,FALSE)&amp;$AX203,坦克属性分配比例,MATCH("升星次数",坦克属性分配比例标头,0),FALSE)*VLOOKUP($AW203,$AM$3:$AS$33,MATCH(BH$3,$AM$3:$AS$3,0),FALSE),1)</f>
        <v>11.7</v>
      </c>
      <c r="BI203" s="654">
        <f>IF(VLOOKUP(AW203,坦克个性化设定!$B$18:$BB$48,MATCH("装弹类型",坦克个性化设定!$B$18:$BB$18,0),FALSE)="弹夹换弹",0,ROUND(VLOOKUP($AW203,$AD$3:$AJ$33,MATCH("换弹时间",$AD$3:$AJ$3,0),FALSE)-$AY203/VLOOKUP(VLOOKUP($AW203,坦克个性化设定!$B$18:$E$48,4,FALSE)&amp;$AX203,坦克属性分配比例,MATCH("升星次数",坦克属性分配比例标头,0),FALSE)*VLOOKUP($AW203,$AM$3:$AS$33,MATCH("换弹时间",$AM$3:$AS$3,0),FALSE),2))</f>
        <v>4.37</v>
      </c>
      <c r="BJ203" s="462">
        <f>IF(VLOOKUP(AW203,坦克个性化设定!$B$18:$BB$48,MATCH("装弹类型",坦克个性化设定!$B$18:$BB$18,0),FALSE)="弹夹换弹",ROUND(VLOOKUP($AW203,$AD$3:$AJ$33,MATCH("换弹时间",$AD$3:$AJ$3,0),FALSE)-$AY203/VLOOKUP(VLOOKUP($AW203,坦克个性化设定!$B$18:$E$48,4,FALSE)&amp;$AX203,坦克属性分配比例,MATCH("升星次数",坦克属性分配比例标头,0),FALSE)*VLOOKUP($AW203,$AM$3:$AS$33,MATCH("换弹时间",$AM$3:$AS$3,0),FALSE),1),0)</f>
        <v>0</v>
      </c>
      <c r="BK203" s="462">
        <f>ROUND(VLOOKUP($AW203,$AD$3:$AJ$33,MATCH(BK$3,$AD$3:$AJ$3,0),FALSE)+$AY203/VLOOKUP(VLOOKUP($AW203,坦克个性化设定!$B$18:$E$48,4,FALSE)&amp;$AX203,坦克属性分配比例,MATCH("升星次数",坦克属性分配比例标头,0),FALSE)*VLOOKUP($AW203,$AM$3:$AS$33,MATCH(BK$3,$AM$3:$AS$3,0),FALSE),2)</f>
        <v>0</v>
      </c>
      <c r="BL203" s="462">
        <f>ROUND(VLOOKUP($AW203,$AD$3:$AJ$33,MATCH(BL$3,$AD$3:$AJ$3,0),FALSE)-$AY203/VLOOKUP(VLOOKUP($AW203,坦克个性化设定!$B$18:$E$48,4,FALSE)&amp;$AX203,坦克属性分配比例,MATCH("升星次数",坦克属性分配比例标头,0),FALSE)*VLOOKUP($AW203,$AM$3:$AS$33,MATCH(BL$3,$AM$3:$AS$3,0),FALSE),2)</f>
        <v>2.35</v>
      </c>
    </row>
    <row r="204" spans="47:64" x14ac:dyDescent="0.35">
      <c r="AU204" s="364" t="str">
        <f t="shared" si="25"/>
        <v>潘兴3</v>
      </c>
      <c r="AV204" s="183">
        <f>IF(AY203&gt;=VLOOKUP(VLOOKUP(AW203,坦克个性化设定!$B$18:$E$48,4,FALSE)&amp;AX203,坦克属性分配比例,MATCH("升星次数",坦克属性分配比例标头,0),FALSE),AV203+1,AV203)</f>
        <v>18</v>
      </c>
      <c r="AW204" s="131" t="str">
        <f t="shared" si="26"/>
        <v>潘兴</v>
      </c>
      <c r="AX204" s="177" t="str">
        <f>VLOOKUP(AW204,坦克个性化细分!$I$3:$J$33,2,FALSE)</f>
        <v>中</v>
      </c>
      <c r="AY204" s="183">
        <f t="shared" si="24"/>
        <v>3</v>
      </c>
      <c r="AZ204" s="486">
        <f ca="1">ROUND(VLOOKUP($AW204&amp;"初始",$O$3:$AA$63,MATCH(AZ$3,$O$3:$AA$3,0),FALSE)+((VLOOKUP($AW204&amp;"最终",$O$3:$AA$63,MATCH(AZ$3,$O$3:$AA$3,0),FALSE)*坦克个性化细分!$C$9-VLOOKUP($AW204&amp;"初始",$O$3:$AA$63,MATCH(AZ$3,$O$3:$AA$3,0),FALSE))-(VLOOKUP($AW204&amp;"最终",$O$3:$AA$63,MATCH(AZ$3,$O$3:$AA$3,0),FALSE)-VLOOKUP($AW204&amp;"初始",$O$3:$AA$63,MATCH(AZ$3,$O$3:$AA$3,0),FALSE))*VLOOKUP(VLOOKUP($AW204,坦克个性化设定!$B$18:$E$48,4,FALSE)&amp;$AX204,坦克属性分配比例,MATCH("部件比例",坦克属性分配比例标头,0),FALSE))*$AY204/VLOOKUP(VLOOKUP($AW204,坦克个性化设定!$B$18:$E$48,4,FALSE)&amp;$AX204,坦克属性分配比例,MATCH("升星次数",坦克属性分配比例标头,0),FALSE),0)</f>
        <v>2014</v>
      </c>
      <c r="BA204" s="426">
        <f ca="1">ROUND(VLOOKUP($AW204&amp;"初始",$O$3:$AA$63,MATCH(BA$3,$O$3:$AA$3,0),FALSE)+(VLOOKUP($AW204&amp;"最终",$O$3:$AA$63,MATCH(BA$3,$O$3:$AA$3,0),FALSE)-VLOOKUP($AW204&amp;"初始",$O$3:$AA$63,MATCH(BA$3,$O$3:$AA$3,0),FALSE))*$AY204/VLOOKUP(VLOOKUP($AW204,坦克个性化设定!$B$18:$E$48,4,FALSE)&amp;$AX204,坦克属性分配比例,MATCH("升星次数",坦克属性分配比例标头,0),FALSE)*VLOOKUP(VLOOKUP($AW204,坦克个性化设定!$B$18:$E$48,4,FALSE)&amp;$AX204,坦克属性分配比例,MATCH("升星比例",坦克属性分配比例标头,0),FALSE),0)</f>
        <v>327</v>
      </c>
      <c r="BB204" s="486">
        <f ca="1">ROUND(VLOOKUP($AW204&amp;"初始",$O$3:$AA$63,MATCH(BB$3,$O$3:$AA$3,0),FALSE)+(VLOOKUP($AW204&amp;"最终",$O$3:$AA$63,MATCH(BB$3,$O$3:$AA$3,0),FALSE)-VLOOKUP($AW204&amp;"初始",$O$3:$AA$63,MATCH(BB$3,$O$3:$AA$3,0),FALSE))*$AY204/VLOOKUP(VLOOKUP($AW204,坦克个性化设定!$B$18:$E$48,4,FALSE)&amp;$AX204,坦克属性分配比例,MATCH("升星次数",坦克属性分配比例标头,0),FALSE)*(VLOOKUP(VLOOKUP($AW204,坦克个性化设定!$B$18:$E$48,4,FALSE)&amp;$AX204,坦克属性分配比例,MATCH("升星比例",坦克属性分配比例标头,0),FALSE)+VLOOKUP(VLOOKUP($AW204,坦克个性化设定!$B$18:$E$48,4,FALSE)&amp;$AX204,坦克属性分配比例,MATCH("部件比例",坦克属性分配比例标头,0),FALSE)*$C$3),0)</f>
        <v>725</v>
      </c>
      <c r="BC204" s="486">
        <f ca="1">ROUND(VLOOKUP($AW204&amp;"初始",$O$3:$AA$63,MATCH(BC$3,$O$3:$AA$3,0),FALSE)+(VLOOKUP($AW204&amp;"最终",$O$3:$AA$63,MATCH(BC$3,$O$3:$AA$3,0),FALSE)-VLOOKUP($AW204&amp;"初始",$O$3:$AA$63,MATCH(BC$3,$O$3:$AA$3,0),FALSE))*$AY204/VLOOKUP(VLOOKUP($AW204,坦克个性化设定!$B$18:$E$48,4,FALSE)&amp;$AX204,坦克属性分配比例,MATCH("升星次数",坦克属性分配比例标头,0),FALSE)*(VLOOKUP(VLOOKUP($AW204,坦克个性化设定!$B$18:$E$48,4,FALSE)&amp;$AX204,坦克属性分配比例,MATCH("升星比例",坦克属性分配比例标头,0),FALSE)+VLOOKUP(VLOOKUP($AW204,坦克个性化设定!$B$18:$E$48,4,FALSE)&amp;$AX204,坦克属性分配比例,MATCH("部件比例",坦克属性分配比例标头,0),FALSE)*$C$3),0)</f>
        <v>544</v>
      </c>
      <c r="BD204" s="426">
        <f ca="1">ROUND(VLOOKUP($AW204&amp;"初始",$O$3:$AA$63,MATCH(BD$3,$O$3:$AA$3,0),FALSE)+(VLOOKUP($AW204&amp;"最终",$O$3:$AA$63,MATCH(BD$3,$O$3:$AA$3,0),FALSE)-VLOOKUP($AW204&amp;"初始",$O$3:$AA$63,MATCH(BD$3,$O$3:$AA$3,0),FALSE))*$AY204/VLOOKUP(VLOOKUP($AW204,坦克个性化设定!$B$18:$E$48,4,FALSE)&amp;$AX204,坦克属性分配比例,MATCH("升星次数",坦克属性分配比例标头,0),FALSE)*VLOOKUP(VLOOKUP($AW204,坦克个性化设定!$B$18:$E$48,4,FALSE)&amp;$AX204,坦克属性分配比例,MATCH("升星比例",坦克属性分配比例标头,0),FALSE),0)</f>
        <v>757</v>
      </c>
      <c r="BE204" s="426">
        <f ca="1">ROUND(VLOOKUP($AW204&amp;"初始",$O$3:$AA$63,MATCH(BE$3,$O$3:$AA$3,0),FALSE)+(VLOOKUP($AW204&amp;"最终",$O$3:$AA$63,MATCH(BE$3,$O$3:$AA$3,0),FALSE)-VLOOKUP($AW204&amp;"初始",$O$3:$AA$63,MATCH(BE$3,$O$3:$AA$3,0),FALSE))*$AY204/VLOOKUP(VLOOKUP($AW204,坦克个性化设定!$B$18:$E$48,4,FALSE)&amp;$AX204,坦克属性分配比例,MATCH("升星次数",坦克属性分配比例标头,0),FALSE),0)</f>
        <v>201</v>
      </c>
      <c r="BF204" s="462">
        <f>ROUND(VLOOKUP($AW204,$AD$3:$AJ$33,MATCH(BF$3,$AD$3:$AJ$3,0),FALSE)+$AY204/VLOOKUP(VLOOKUP($AW204,坦克个性化设定!$B$18:$E$48,4,FALSE)&amp;$AX204,坦克属性分配比例,MATCH("升星次数",坦克属性分配比例标头,0),FALSE)*VLOOKUP($AW204,$AM$3:$AS$33,MATCH(BF$3,$AM$3:$AS$3,0),FALSE),1)</f>
        <v>37.9</v>
      </c>
      <c r="BG204" s="462">
        <f>ROUND(VLOOKUP($AW204,$AD$3:$AJ$33,MATCH(BG$3,$AD$3:$AJ$3,0),FALSE)+$AY204/VLOOKUP(VLOOKUP($AW204,坦克个性化设定!$B$18:$E$48,4,FALSE)&amp;$AX204,坦克属性分配比例,MATCH("升星次数",坦克属性分配比例标头,0),FALSE)*VLOOKUP($AW204,$AM$3:$AS$33,MATCH(BG$3,$AM$3:$AS$3,0),FALSE),1)</f>
        <v>53.3</v>
      </c>
      <c r="BH204" s="462">
        <f>ROUND(VLOOKUP($AW204,$AD$3:$AJ$33,MATCH(BH$3,$AD$3:$AJ$3,0),FALSE)+$AY204/VLOOKUP(VLOOKUP($AW204,坦克个性化设定!$B$18:$E$48,4,FALSE)&amp;$AX204,坦克属性分配比例,MATCH("升星次数",坦克属性分配比例标头,0),FALSE)*VLOOKUP($AW204,$AM$3:$AS$33,MATCH(BH$3,$AM$3:$AS$3,0),FALSE),1)</f>
        <v>12</v>
      </c>
      <c r="BI204" s="654">
        <f>IF(VLOOKUP(AW204,坦克个性化设定!$B$18:$BB$48,MATCH("装弹类型",坦克个性化设定!$B$18:$BB$18,0),FALSE)="弹夹换弹",0,ROUND(VLOOKUP($AW204,$AD$3:$AJ$33,MATCH("换弹时间",$AD$3:$AJ$3,0),FALSE)-$AY204/VLOOKUP(VLOOKUP($AW204,坦克个性化设定!$B$18:$E$48,4,FALSE)&amp;$AX204,坦克属性分配比例,MATCH("升星次数",坦克属性分配比例标头,0),FALSE)*VLOOKUP($AW204,$AM$3:$AS$33,MATCH("换弹时间",$AM$3:$AS$3,0),FALSE),2))</f>
        <v>4.3099999999999996</v>
      </c>
      <c r="BJ204" s="462">
        <f>IF(VLOOKUP(AW204,坦克个性化设定!$B$18:$BB$48,MATCH("装弹类型",坦克个性化设定!$B$18:$BB$18,0),FALSE)="弹夹换弹",ROUND(VLOOKUP($AW204,$AD$3:$AJ$33,MATCH("换弹时间",$AD$3:$AJ$3,0),FALSE)-$AY204/VLOOKUP(VLOOKUP($AW204,坦克个性化设定!$B$18:$E$48,4,FALSE)&amp;$AX204,坦克属性分配比例,MATCH("升星次数",坦克属性分配比例标头,0),FALSE)*VLOOKUP($AW204,$AM$3:$AS$33,MATCH("换弹时间",$AM$3:$AS$3,0),FALSE),1),0)</f>
        <v>0</v>
      </c>
      <c r="BK204" s="462">
        <f>ROUND(VLOOKUP($AW204,$AD$3:$AJ$33,MATCH(BK$3,$AD$3:$AJ$3,0),FALSE)+$AY204/VLOOKUP(VLOOKUP($AW204,坦克个性化设定!$B$18:$E$48,4,FALSE)&amp;$AX204,坦克属性分配比例,MATCH("升星次数",坦克属性分配比例标头,0),FALSE)*VLOOKUP($AW204,$AM$3:$AS$33,MATCH(BK$3,$AM$3:$AS$3,0),FALSE),2)</f>
        <v>0</v>
      </c>
      <c r="BL204" s="462">
        <f>ROUND(VLOOKUP($AW204,$AD$3:$AJ$33,MATCH(BL$3,$AD$3:$AJ$3,0),FALSE)-$AY204/VLOOKUP(VLOOKUP($AW204,坦克个性化设定!$B$18:$E$48,4,FALSE)&amp;$AX204,坦克属性分配比例,MATCH("升星次数",坦克属性分配比例标头,0),FALSE)*VLOOKUP($AW204,$AM$3:$AS$33,MATCH(BL$3,$AM$3:$AS$3,0),FALSE),2)</f>
        <v>2.33</v>
      </c>
    </row>
    <row r="205" spans="47:64" x14ac:dyDescent="0.35">
      <c r="AU205" s="372" t="str">
        <f t="shared" ref="AU205:AU253" si="27">AW205&amp;AY205</f>
        <v>潘兴4</v>
      </c>
      <c r="AV205" s="654">
        <f>IF(AY204&gt;=VLOOKUP(VLOOKUP(AW204,坦克个性化设定!$B$18:$E$48,4,FALSE)&amp;AX204,坦克属性分配比例,MATCH("升星次数",坦克属性分配比例标头,0),FALSE),AV204+1,AV204)</f>
        <v>18</v>
      </c>
      <c r="AW205" s="649" t="str">
        <f t="shared" ref="AW205:AW253" si="28">VLOOKUP(AV205,$B$5:$C$35,2,FALSE)</f>
        <v>潘兴</v>
      </c>
      <c r="AX205" s="650" t="str">
        <f>VLOOKUP(AW205,坦克个性化细分!$I$3:$J$33,2,FALSE)</f>
        <v>中</v>
      </c>
      <c r="AY205" s="654">
        <f t="shared" ref="AY205:AY253" si="29">IF(AW205&lt;&gt;AW204,0,AY204+1)</f>
        <v>4</v>
      </c>
      <c r="AZ205" s="654">
        <f ca="1">ROUND(VLOOKUP($AW205&amp;"初始",$O$3:$AA$63,MATCH(AZ$3,$O$3:$AA$3,0),FALSE)+((VLOOKUP($AW205&amp;"最终",$O$3:$AA$63,MATCH(AZ$3,$O$3:$AA$3,0),FALSE)*坦克个性化细分!$C$9-VLOOKUP($AW205&amp;"初始",$O$3:$AA$63,MATCH(AZ$3,$O$3:$AA$3,0),FALSE))-(VLOOKUP($AW205&amp;"最终",$O$3:$AA$63,MATCH(AZ$3,$O$3:$AA$3,0),FALSE)-VLOOKUP($AW205&amp;"初始",$O$3:$AA$63,MATCH(AZ$3,$O$3:$AA$3,0),FALSE))*VLOOKUP(VLOOKUP($AW205,坦克个性化设定!$B$18:$E$48,4,FALSE)&amp;$AX205,坦克属性分配比例,MATCH("部件比例",坦克属性分配比例标头,0),FALSE))*$AY205/VLOOKUP(VLOOKUP($AW205,坦克个性化设定!$B$18:$E$48,4,FALSE)&amp;$AX205,坦克属性分配比例,MATCH("升星次数",坦克属性分配比例标头,0),FALSE),0)</f>
        <v>2114</v>
      </c>
      <c r="BA205" s="654">
        <f ca="1">ROUND(VLOOKUP($AW205&amp;"初始",$O$3:$AA$63,MATCH(BA$3,$O$3:$AA$3,0),FALSE)+(VLOOKUP($AW205&amp;"最终",$O$3:$AA$63,MATCH(BA$3,$O$3:$AA$3,0),FALSE)-VLOOKUP($AW205&amp;"初始",$O$3:$AA$63,MATCH(BA$3,$O$3:$AA$3,0),FALSE))*$AY205/VLOOKUP(VLOOKUP($AW205,坦克个性化设定!$B$18:$E$48,4,FALSE)&amp;$AX205,坦克属性分配比例,MATCH("升星次数",坦克属性分配比例标头,0),FALSE)*VLOOKUP(VLOOKUP($AW205,坦克个性化设定!$B$18:$E$48,4,FALSE)&amp;$AX205,坦克属性分配比例,MATCH("升星比例",坦克属性分配比例标头,0),FALSE),0)</f>
        <v>334</v>
      </c>
      <c r="BB205" s="654">
        <f ca="1">ROUND(VLOOKUP($AW205&amp;"初始",$O$3:$AA$63,MATCH(BB$3,$O$3:$AA$3,0),FALSE)+(VLOOKUP($AW205&amp;"最终",$O$3:$AA$63,MATCH(BB$3,$O$3:$AA$3,0),FALSE)-VLOOKUP($AW205&amp;"初始",$O$3:$AA$63,MATCH(BB$3,$O$3:$AA$3,0),FALSE))*$AY205/VLOOKUP(VLOOKUP($AW205,坦克个性化设定!$B$18:$E$48,4,FALSE)&amp;$AX205,坦克属性分配比例,MATCH("升星次数",坦克属性分配比例标头,0),FALSE)*(VLOOKUP(VLOOKUP($AW205,坦克个性化设定!$B$18:$E$48,4,FALSE)&amp;$AX205,坦克属性分配比例,MATCH("升星比例",坦克属性分配比例标头,0),FALSE)+VLOOKUP(VLOOKUP($AW205,坦克个性化设定!$B$18:$E$48,4,FALSE)&amp;$AX205,坦克属性分配比例,MATCH("部件比例",坦克属性分配比例标头,0),FALSE)*$C$3),0)</f>
        <v>752</v>
      </c>
      <c r="BC205" s="654">
        <f ca="1">ROUND(VLOOKUP($AW205&amp;"初始",$O$3:$AA$63,MATCH(BC$3,$O$3:$AA$3,0),FALSE)+(VLOOKUP($AW205&amp;"最终",$O$3:$AA$63,MATCH(BC$3,$O$3:$AA$3,0),FALSE)-VLOOKUP($AW205&amp;"初始",$O$3:$AA$63,MATCH(BC$3,$O$3:$AA$3,0),FALSE))*$AY205/VLOOKUP(VLOOKUP($AW205,坦克个性化设定!$B$18:$E$48,4,FALSE)&amp;$AX205,坦克属性分配比例,MATCH("升星次数",坦克属性分配比例标头,0),FALSE)*(VLOOKUP(VLOOKUP($AW205,坦克个性化设定!$B$18:$E$48,4,FALSE)&amp;$AX205,坦克属性分配比例,MATCH("升星比例",坦克属性分配比例标头,0),FALSE)+VLOOKUP(VLOOKUP($AW205,坦克个性化设定!$B$18:$E$48,4,FALSE)&amp;$AX205,坦克属性分配比例,MATCH("部件比例",坦克属性分配比例标头,0),FALSE)*$C$3),0)</f>
        <v>564</v>
      </c>
      <c r="BD205" s="654">
        <f ca="1">ROUND(VLOOKUP($AW205&amp;"初始",$O$3:$AA$63,MATCH(BD$3,$O$3:$AA$3,0),FALSE)+(VLOOKUP($AW205&amp;"最终",$O$3:$AA$63,MATCH(BD$3,$O$3:$AA$3,0),FALSE)-VLOOKUP($AW205&amp;"初始",$O$3:$AA$63,MATCH(BD$3,$O$3:$AA$3,0),FALSE))*$AY205/VLOOKUP(VLOOKUP($AW205,坦克个性化设定!$B$18:$E$48,4,FALSE)&amp;$AX205,坦克属性分配比例,MATCH("升星次数",坦克属性分配比例标头,0),FALSE)*VLOOKUP(VLOOKUP($AW205,坦克个性化设定!$B$18:$E$48,4,FALSE)&amp;$AX205,坦克属性分配比例,MATCH("升星比例",坦克属性分配比例标头,0),FALSE),0)</f>
        <v>775</v>
      </c>
      <c r="BE205" s="654">
        <f ca="1">ROUND(VLOOKUP($AW205&amp;"初始",$O$3:$AA$63,MATCH(BE$3,$O$3:$AA$3,0),FALSE)+(VLOOKUP($AW205&amp;"最终",$O$3:$AA$63,MATCH(BE$3,$O$3:$AA$3,0),FALSE)-VLOOKUP($AW205&amp;"初始",$O$3:$AA$63,MATCH(BE$3,$O$3:$AA$3,0),FALSE))*$AY205/VLOOKUP(VLOOKUP($AW205,坦克个性化设定!$B$18:$E$48,4,FALSE)&amp;$AX205,坦克属性分配比例,MATCH("升星次数",坦克属性分配比例标头,0),FALSE),0)</f>
        <v>210</v>
      </c>
      <c r="BF205" s="654">
        <f>ROUND(VLOOKUP($AW205,$AD$3:$AJ$33,MATCH(BF$3,$AD$3:$AJ$3,0),FALSE)+$AY205/VLOOKUP(VLOOKUP($AW205,坦克个性化设定!$B$18:$E$48,4,FALSE)&amp;$AX205,坦克属性分配比例,MATCH("升星次数",坦克属性分配比例标头,0),FALSE)*VLOOKUP($AW205,$AM$3:$AS$33,MATCH(BF$3,$AM$3:$AS$3,0),FALSE),1)</f>
        <v>38.4</v>
      </c>
      <c r="BG205" s="654">
        <f>ROUND(VLOOKUP($AW205,$AD$3:$AJ$33,MATCH(BG$3,$AD$3:$AJ$3,0),FALSE)+$AY205/VLOOKUP(VLOOKUP($AW205,坦克个性化设定!$B$18:$E$48,4,FALSE)&amp;$AX205,坦克属性分配比例,MATCH("升星次数",坦克属性分配比例标头,0),FALSE)*VLOOKUP($AW205,$AM$3:$AS$33,MATCH(BG$3,$AM$3:$AS$3,0),FALSE),1)</f>
        <v>54</v>
      </c>
      <c r="BH205" s="654">
        <f>ROUND(VLOOKUP($AW205,$AD$3:$AJ$33,MATCH(BH$3,$AD$3:$AJ$3,0),FALSE)+$AY205/VLOOKUP(VLOOKUP($AW205,坦克个性化设定!$B$18:$E$48,4,FALSE)&amp;$AX205,坦克属性分配比例,MATCH("升星次数",坦克属性分配比例标头,0),FALSE)*VLOOKUP($AW205,$AM$3:$AS$33,MATCH(BH$3,$AM$3:$AS$3,0),FALSE),1)</f>
        <v>12.2</v>
      </c>
      <c r="BI205" s="654">
        <f>IF(VLOOKUP(AW205,坦克个性化设定!$B$18:$BB$48,MATCH("装弹类型",坦克个性化设定!$B$18:$BB$18,0),FALSE)="弹夹换弹",0,ROUND(VLOOKUP($AW205,$AD$3:$AJ$33,MATCH("换弹时间",$AD$3:$AJ$3,0),FALSE)-$AY205/VLOOKUP(VLOOKUP($AW205,坦克个性化设定!$B$18:$E$48,4,FALSE)&amp;$AX205,坦克属性分配比例,MATCH("升星次数",坦克属性分配比例标头,0),FALSE)*VLOOKUP($AW205,$AM$3:$AS$33,MATCH("换弹时间",$AM$3:$AS$3,0),FALSE),2))</f>
        <v>4.24</v>
      </c>
      <c r="BJ205" s="654">
        <f>IF(VLOOKUP(AW205,坦克个性化设定!$B$18:$BB$48,MATCH("装弹类型",坦克个性化设定!$B$18:$BB$18,0),FALSE)="弹夹换弹",ROUND(VLOOKUP($AW205,$AD$3:$AJ$33,MATCH("换弹时间",$AD$3:$AJ$3,0),FALSE)-$AY205/VLOOKUP(VLOOKUP($AW205,坦克个性化设定!$B$18:$E$48,4,FALSE)&amp;$AX205,坦克属性分配比例,MATCH("升星次数",坦克属性分配比例标头,0),FALSE)*VLOOKUP($AW205,$AM$3:$AS$33,MATCH("换弹时间",$AM$3:$AS$3,0),FALSE),1),0)</f>
        <v>0</v>
      </c>
      <c r="BK205" s="654">
        <f>ROUND(VLOOKUP($AW205,$AD$3:$AJ$33,MATCH(BK$3,$AD$3:$AJ$3,0),FALSE)+$AY205/VLOOKUP(VLOOKUP($AW205,坦克个性化设定!$B$18:$E$48,4,FALSE)&amp;$AX205,坦克属性分配比例,MATCH("升星次数",坦克属性分配比例标头,0),FALSE)*VLOOKUP($AW205,$AM$3:$AS$33,MATCH(BK$3,$AM$3:$AS$3,0),FALSE),2)</f>
        <v>0</v>
      </c>
      <c r="BL205" s="654">
        <f>ROUND(VLOOKUP($AW205,$AD$3:$AJ$33,MATCH(BL$3,$AD$3:$AJ$3,0),FALSE)-$AY205/VLOOKUP(VLOOKUP($AW205,坦克个性化设定!$B$18:$E$48,4,FALSE)&amp;$AX205,坦克属性分配比例,MATCH("升星次数",坦克属性分配比例标头,0),FALSE)*VLOOKUP($AW205,$AM$3:$AS$33,MATCH(BL$3,$AM$3:$AS$3,0),FALSE),2)</f>
        <v>2.31</v>
      </c>
    </row>
    <row r="206" spans="47:64" x14ac:dyDescent="0.35">
      <c r="AU206" s="372" t="str">
        <f t="shared" si="27"/>
        <v>潘兴5</v>
      </c>
      <c r="AV206" s="654">
        <f>IF(AY205&gt;=VLOOKUP(VLOOKUP(AW205,坦克个性化设定!$B$18:$E$48,4,FALSE)&amp;AX205,坦克属性分配比例,MATCH("升星次数",坦克属性分配比例标头,0),FALSE),AV205+1,AV205)</f>
        <v>18</v>
      </c>
      <c r="AW206" s="649" t="str">
        <f t="shared" si="28"/>
        <v>潘兴</v>
      </c>
      <c r="AX206" s="650" t="str">
        <f>VLOOKUP(AW206,坦克个性化细分!$I$3:$J$33,2,FALSE)</f>
        <v>中</v>
      </c>
      <c r="AY206" s="654">
        <f t="shared" si="29"/>
        <v>5</v>
      </c>
      <c r="AZ206" s="654">
        <f ca="1">ROUND(VLOOKUP($AW206&amp;"初始",$O$3:$AA$63,MATCH(AZ$3,$O$3:$AA$3,0),FALSE)+((VLOOKUP($AW206&amp;"最终",$O$3:$AA$63,MATCH(AZ$3,$O$3:$AA$3,0),FALSE)*坦克个性化细分!$C$9-VLOOKUP($AW206&amp;"初始",$O$3:$AA$63,MATCH(AZ$3,$O$3:$AA$3,0),FALSE))-(VLOOKUP($AW206&amp;"最终",$O$3:$AA$63,MATCH(AZ$3,$O$3:$AA$3,0),FALSE)-VLOOKUP($AW206&amp;"初始",$O$3:$AA$63,MATCH(AZ$3,$O$3:$AA$3,0),FALSE))*VLOOKUP(VLOOKUP($AW206,坦克个性化设定!$B$18:$E$48,4,FALSE)&amp;$AX206,坦克属性分配比例,MATCH("部件比例",坦克属性分配比例标头,0),FALSE))*$AY206/VLOOKUP(VLOOKUP($AW206,坦克个性化设定!$B$18:$E$48,4,FALSE)&amp;$AX206,坦克属性分配比例,MATCH("升星次数",坦克属性分配比例标头,0),FALSE),0)</f>
        <v>2214</v>
      </c>
      <c r="BA206" s="654">
        <f ca="1">ROUND(VLOOKUP($AW206&amp;"初始",$O$3:$AA$63,MATCH(BA$3,$O$3:$AA$3,0),FALSE)+(VLOOKUP($AW206&amp;"最终",$O$3:$AA$63,MATCH(BA$3,$O$3:$AA$3,0),FALSE)-VLOOKUP($AW206&amp;"初始",$O$3:$AA$63,MATCH(BA$3,$O$3:$AA$3,0),FALSE))*$AY206/VLOOKUP(VLOOKUP($AW206,坦克个性化设定!$B$18:$E$48,4,FALSE)&amp;$AX206,坦克属性分配比例,MATCH("升星次数",坦克属性分配比例标头,0),FALSE)*VLOOKUP(VLOOKUP($AW206,坦克个性化设定!$B$18:$E$48,4,FALSE)&amp;$AX206,坦克属性分配比例,MATCH("升星比例",坦克属性分配比例标头,0),FALSE),0)</f>
        <v>342</v>
      </c>
      <c r="BB206" s="654">
        <f ca="1">ROUND(VLOOKUP($AW206&amp;"初始",$O$3:$AA$63,MATCH(BB$3,$O$3:$AA$3,0),FALSE)+(VLOOKUP($AW206&amp;"最终",$O$3:$AA$63,MATCH(BB$3,$O$3:$AA$3,0),FALSE)-VLOOKUP($AW206&amp;"初始",$O$3:$AA$63,MATCH(BB$3,$O$3:$AA$3,0),FALSE))*$AY206/VLOOKUP(VLOOKUP($AW206,坦克个性化设定!$B$18:$E$48,4,FALSE)&amp;$AX206,坦克属性分配比例,MATCH("升星次数",坦克属性分配比例标头,0),FALSE)*(VLOOKUP(VLOOKUP($AW206,坦克个性化设定!$B$18:$E$48,4,FALSE)&amp;$AX206,坦克属性分配比例,MATCH("升星比例",坦克属性分配比例标头,0),FALSE)+VLOOKUP(VLOOKUP($AW206,坦克个性化设定!$B$18:$E$48,4,FALSE)&amp;$AX206,坦克属性分配比例,MATCH("部件比例",坦克属性分配比例标头,0),FALSE)*$C$3),0)</f>
        <v>779</v>
      </c>
      <c r="BC206" s="654">
        <f ca="1">ROUND(VLOOKUP($AW206&amp;"初始",$O$3:$AA$63,MATCH(BC$3,$O$3:$AA$3,0),FALSE)+(VLOOKUP($AW206&amp;"最终",$O$3:$AA$63,MATCH(BC$3,$O$3:$AA$3,0),FALSE)-VLOOKUP($AW206&amp;"初始",$O$3:$AA$63,MATCH(BC$3,$O$3:$AA$3,0),FALSE))*$AY206/VLOOKUP(VLOOKUP($AW206,坦克个性化设定!$B$18:$E$48,4,FALSE)&amp;$AX206,坦克属性分配比例,MATCH("升星次数",坦克属性分配比例标头,0),FALSE)*(VLOOKUP(VLOOKUP($AW206,坦克个性化设定!$B$18:$E$48,4,FALSE)&amp;$AX206,坦克属性分配比例,MATCH("升星比例",坦克属性分配比例标头,0),FALSE)+VLOOKUP(VLOOKUP($AW206,坦克个性化设定!$B$18:$E$48,4,FALSE)&amp;$AX206,坦克属性分配比例,MATCH("部件比例",坦克属性分配比例标头,0),FALSE)*$C$3),0)</f>
        <v>584</v>
      </c>
      <c r="BD206" s="654">
        <f ca="1">ROUND(VLOOKUP($AW206&amp;"初始",$O$3:$AA$63,MATCH(BD$3,$O$3:$AA$3,0),FALSE)+(VLOOKUP($AW206&amp;"最终",$O$3:$AA$63,MATCH(BD$3,$O$3:$AA$3,0),FALSE)-VLOOKUP($AW206&amp;"初始",$O$3:$AA$63,MATCH(BD$3,$O$3:$AA$3,0),FALSE))*$AY206/VLOOKUP(VLOOKUP($AW206,坦克个性化设定!$B$18:$E$48,4,FALSE)&amp;$AX206,坦克属性分配比例,MATCH("升星次数",坦克属性分配比例标头,0),FALSE)*VLOOKUP(VLOOKUP($AW206,坦克个性化设定!$B$18:$E$48,4,FALSE)&amp;$AX206,坦克属性分配比例,MATCH("升星比例",坦克属性分配比例标头,0),FALSE),0)</f>
        <v>792</v>
      </c>
      <c r="BE206" s="654">
        <f ca="1">ROUND(VLOOKUP($AW206&amp;"初始",$O$3:$AA$63,MATCH(BE$3,$O$3:$AA$3,0),FALSE)+(VLOOKUP($AW206&amp;"最终",$O$3:$AA$63,MATCH(BE$3,$O$3:$AA$3,0),FALSE)-VLOOKUP($AW206&amp;"初始",$O$3:$AA$63,MATCH(BE$3,$O$3:$AA$3,0),FALSE))*$AY206/VLOOKUP(VLOOKUP($AW206,坦克个性化设定!$B$18:$E$48,4,FALSE)&amp;$AX206,坦克属性分配比例,MATCH("升星次数",坦克属性分配比例标头,0),FALSE),0)</f>
        <v>219</v>
      </c>
      <c r="BF206" s="654">
        <f>ROUND(VLOOKUP($AW206,$AD$3:$AJ$33,MATCH(BF$3,$AD$3:$AJ$3,0),FALSE)+$AY206/VLOOKUP(VLOOKUP($AW206,坦克个性化设定!$B$18:$E$48,4,FALSE)&amp;$AX206,坦克属性分配比例,MATCH("升星次数",坦克属性分配比例标头,0),FALSE)*VLOOKUP($AW206,$AM$3:$AS$33,MATCH(BF$3,$AM$3:$AS$3,0),FALSE),1)</f>
        <v>39</v>
      </c>
      <c r="BG206" s="654">
        <f>ROUND(VLOOKUP($AW206,$AD$3:$AJ$33,MATCH(BG$3,$AD$3:$AJ$3,0),FALSE)+$AY206/VLOOKUP(VLOOKUP($AW206,坦克个性化设定!$B$18:$E$48,4,FALSE)&amp;$AX206,坦克属性分配比例,MATCH("升星次数",坦克属性分配比例标头,0),FALSE)*VLOOKUP($AW206,$AM$3:$AS$33,MATCH(BG$3,$AM$3:$AS$3,0),FALSE),1)</f>
        <v>54.8</v>
      </c>
      <c r="BH206" s="654">
        <f>ROUND(VLOOKUP($AW206,$AD$3:$AJ$33,MATCH(BH$3,$AD$3:$AJ$3,0),FALSE)+$AY206/VLOOKUP(VLOOKUP($AW206,坦克个性化设定!$B$18:$E$48,4,FALSE)&amp;$AX206,坦克属性分配比例,MATCH("升星次数",坦克属性分配比例标头,0),FALSE)*VLOOKUP($AW206,$AM$3:$AS$33,MATCH(BH$3,$AM$3:$AS$3,0),FALSE),1)</f>
        <v>12.4</v>
      </c>
      <c r="BI206" s="654">
        <f>IF(VLOOKUP(AW206,坦克个性化设定!$B$18:$BB$48,MATCH("装弹类型",坦克个性化设定!$B$18:$BB$18,0),FALSE)="弹夹换弹",0,ROUND(VLOOKUP($AW206,$AD$3:$AJ$33,MATCH("换弹时间",$AD$3:$AJ$3,0),FALSE)-$AY206/VLOOKUP(VLOOKUP($AW206,坦克个性化设定!$B$18:$E$48,4,FALSE)&amp;$AX206,坦克属性分配比例,MATCH("升星次数",坦克属性分配比例标头,0),FALSE)*VLOOKUP($AW206,$AM$3:$AS$33,MATCH("换弹时间",$AM$3:$AS$3,0),FALSE),2))</f>
        <v>4.18</v>
      </c>
      <c r="BJ206" s="654">
        <f>IF(VLOOKUP(AW206,坦克个性化设定!$B$18:$BB$48,MATCH("装弹类型",坦克个性化设定!$B$18:$BB$18,0),FALSE)="弹夹换弹",ROUND(VLOOKUP($AW206,$AD$3:$AJ$33,MATCH("换弹时间",$AD$3:$AJ$3,0),FALSE)-$AY206/VLOOKUP(VLOOKUP($AW206,坦克个性化设定!$B$18:$E$48,4,FALSE)&amp;$AX206,坦克属性分配比例,MATCH("升星次数",坦克属性分配比例标头,0),FALSE)*VLOOKUP($AW206,$AM$3:$AS$33,MATCH("换弹时间",$AM$3:$AS$3,0),FALSE),1),0)</f>
        <v>0</v>
      </c>
      <c r="BK206" s="654">
        <f>ROUND(VLOOKUP($AW206,$AD$3:$AJ$33,MATCH(BK$3,$AD$3:$AJ$3,0),FALSE)+$AY206/VLOOKUP(VLOOKUP($AW206,坦克个性化设定!$B$18:$E$48,4,FALSE)&amp;$AX206,坦克属性分配比例,MATCH("升星次数",坦克属性分配比例标头,0),FALSE)*VLOOKUP($AW206,$AM$3:$AS$33,MATCH(BK$3,$AM$3:$AS$3,0),FALSE),2)</f>
        <v>0</v>
      </c>
      <c r="BL206" s="654">
        <f>ROUND(VLOOKUP($AW206,$AD$3:$AJ$33,MATCH(BL$3,$AD$3:$AJ$3,0),FALSE)-$AY206/VLOOKUP(VLOOKUP($AW206,坦克个性化设定!$B$18:$E$48,4,FALSE)&amp;$AX206,坦克属性分配比例,MATCH("升星次数",坦克属性分配比例标头,0),FALSE)*VLOOKUP($AW206,$AM$3:$AS$33,MATCH(BL$3,$AM$3:$AS$3,0),FALSE),2)</f>
        <v>2.2799999999999998</v>
      </c>
    </row>
    <row r="207" spans="47:64" x14ac:dyDescent="0.35">
      <c r="AU207" s="372" t="str">
        <f t="shared" si="27"/>
        <v>潘兴6</v>
      </c>
      <c r="AV207" s="654">
        <f>IF(AY206&gt;=VLOOKUP(VLOOKUP(AW206,坦克个性化设定!$B$18:$E$48,4,FALSE)&amp;AX206,坦克属性分配比例,MATCH("升星次数",坦克属性分配比例标头,0),FALSE),AV206+1,AV206)</f>
        <v>18</v>
      </c>
      <c r="AW207" s="649" t="str">
        <f t="shared" si="28"/>
        <v>潘兴</v>
      </c>
      <c r="AX207" s="650" t="str">
        <f>VLOOKUP(AW207,坦克个性化细分!$I$3:$J$33,2,FALSE)</f>
        <v>中</v>
      </c>
      <c r="AY207" s="654">
        <f t="shared" si="29"/>
        <v>6</v>
      </c>
      <c r="AZ207" s="654">
        <f ca="1">ROUND(VLOOKUP($AW207&amp;"初始",$O$3:$AA$63,MATCH(AZ$3,$O$3:$AA$3,0),FALSE)+((VLOOKUP($AW207&amp;"最终",$O$3:$AA$63,MATCH(AZ$3,$O$3:$AA$3,0),FALSE)*坦克个性化细分!$C$9-VLOOKUP($AW207&amp;"初始",$O$3:$AA$63,MATCH(AZ$3,$O$3:$AA$3,0),FALSE))-(VLOOKUP($AW207&amp;"最终",$O$3:$AA$63,MATCH(AZ$3,$O$3:$AA$3,0),FALSE)-VLOOKUP($AW207&amp;"初始",$O$3:$AA$63,MATCH(AZ$3,$O$3:$AA$3,0),FALSE))*VLOOKUP(VLOOKUP($AW207,坦克个性化设定!$B$18:$E$48,4,FALSE)&amp;$AX207,坦克属性分配比例,MATCH("部件比例",坦克属性分配比例标头,0),FALSE))*$AY207/VLOOKUP(VLOOKUP($AW207,坦克个性化设定!$B$18:$E$48,4,FALSE)&amp;$AX207,坦克属性分配比例,MATCH("升星次数",坦克属性分配比例标头,0),FALSE),0)</f>
        <v>2313</v>
      </c>
      <c r="BA207" s="654">
        <f ca="1">ROUND(VLOOKUP($AW207&amp;"初始",$O$3:$AA$63,MATCH(BA$3,$O$3:$AA$3,0),FALSE)+(VLOOKUP($AW207&amp;"最终",$O$3:$AA$63,MATCH(BA$3,$O$3:$AA$3,0),FALSE)-VLOOKUP($AW207&amp;"初始",$O$3:$AA$63,MATCH(BA$3,$O$3:$AA$3,0),FALSE))*$AY207/VLOOKUP(VLOOKUP($AW207,坦克个性化设定!$B$18:$E$48,4,FALSE)&amp;$AX207,坦克属性分配比例,MATCH("升星次数",坦克属性分配比例标头,0),FALSE)*VLOOKUP(VLOOKUP($AW207,坦克个性化设定!$B$18:$E$48,4,FALSE)&amp;$AX207,坦克属性分配比例,MATCH("升星比例",坦克属性分配比例标头,0),FALSE),0)</f>
        <v>349</v>
      </c>
      <c r="BB207" s="654">
        <f ca="1">ROUND(VLOOKUP($AW207&amp;"初始",$O$3:$AA$63,MATCH(BB$3,$O$3:$AA$3,0),FALSE)+(VLOOKUP($AW207&amp;"最终",$O$3:$AA$63,MATCH(BB$3,$O$3:$AA$3,0),FALSE)-VLOOKUP($AW207&amp;"初始",$O$3:$AA$63,MATCH(BB$3,$O$3:$AA$3,0),FALSE))*$AY207/VLOOKUP(VLOOKUP($AW207,坦克个性化设定!$B$18:$E$48,4,FALSE)&amp;$AX207,坦克属性分配比例,MATCH("升星次数",坦克属性分配比例标头,0),FALSE)*(VLOOKUP(VLOOKUP($AW207,坦克个性化设定!$B$18:$E$48,4,FALSE)&amp;$AX207,坦克属性分配比例,MATCH("升星比例",坦克属性分配比例标头,0),FALSE)+VLOOKUP(VLOOKUP($AW207,坦克个性化设定!$B$18:$E$48,4,FALSE)&amp;$AX207,坦克属性分配比例,MATCH("部件比例",坦克属性分配比例标头,0),FALSE)*$C$3),0)</f>
        <v>806</v>
      </c>
      <c r="BC207" s="654">
        <f ca="1">ROUND(VLOOKUP($AW207&amp;"初始",$O$3:$AA$63,MATCH(BC$3,$O$3:$AA$3,0),FALSE)+(VLOOKUP($AW207&amp;"最终",$O$3:$AA$63,MATCH(BC$3,$O$3:$AA$3,0),FALSE)-VLOOKUP($AW207&amp;"初始",$O$3:$AA$63,MATCH(BC$3,$O$3:$AA$3,0),FALSE))*$AY207/VLOOKUP(VLOOKUP($AW207,坦克个性化设定!$B$18:$E$48,4,FALSE)&amp;$AX207,坦克属性分配比例,MATCH("升星次数",坦克属性分配比例标头,0),FALSE)*(VLOOKUP(VLOOKUP($AW207,坦克个性化设定!$B$18:$E$48,4,FALSE)&amp;$AX207,坦克属性分配比例,MATCH("升星比例",坦克属性分配比例标头,0),FALSE)+VLOOKUP(VLOOKUP($AW207,坦克个性化设定!$B$18:$E$48,4,FALSE)&amp;$AX207,坦克属性分配比例,MATCH("部件比例",坦克属性分配比例标头,0),FALSE)*$C$3),0)</f>
        <v>605</v>
      </c>
      <c r="BD207" s="654">
        <f ca="1">ROUND(VLOOKUP($AW207&amp;"初始",$O$3:$AA$63,MATCH(BD$3,$O$3:$AA$3,0),FALSE)+(VLOOKUP($AW207&amp;"最终",$O$3:$AA$63,MATCH(BD$3,$O$3:$AA$3,0),FALSE)-VLOOKUP($AW207&amp;"初始",$O$3:$AA$63,MATCH(BD$3,$O$3:$AA$3,0),FALSE))*$AY207/VLOOKUP(VLOOKUP($AW207,坦克个性化设定!$B$18:$E$48,4,FALSE)&amp;$AX207,坦克属性分配比例,MATCH("升星次数",坦克属性分配比例标头,0),FALSE)*VLOOKUP(VLOOKUP($AW207,坦克个性化设定!$B$18:$E$48,4,FALSE)&amp;$AX207,坦克属性分配比例,MATCH("升星比例",坦克属性分配比例标头,0),FALSE),0)</f>
        <v>809</v>
      </c>
      <c r="BE207" s="654">
        <f ca="1">ROUND(VLOOKUP($AW207&amp;"初始",$O$3:$AA$63,MATCH(BE$3,$O$3:$AA$3,0),FALSE)+(VLOOKUP($AW207&amp;"最终",$O$3:$AA$63,MATCH(BE$3,$O$3:$AA$3,0),FALSE)-VLOOKUP($AW207&amp;"初始",$O$3:$AA$63,MATCH(BE$3,$O$3:$AA$3,0),FALSE))*$AY207/VLOOKUP(VLOOKUP($AW207,坦克个性化设定!$B$18:$E$48,4,FALSE)&amp;$AX207,坦克属性分配比例,MATCH("升星次数",坦克属性分配比例标头,0),FALSE),0)</f>
        <v>228</v>
      </c>
      <c r="BF207" s="654">
        <f>ROUND(VLOOKUP($AW207,$AD$3:$AJ$33,MATCH(BF$3,$AD$3:$AJ$3,0),FALSE)+$AY207/VLOOKUP(VLOOKUP($AW207,坦克个性化设定!$B$18:$E$48,4,FALSE)&amp;$AX207,坦克属性分配比例,MATCH("升星次数",坦克属性分配比例标头,0),FALSE)*VLOOKUP($AW207,$AM$3:$AS$33,MATCH(BF$3,$AM$3:$AS$3,0),FALSE),1)</f>
        <v>39.5</v>
      </c>
      <c r="BG207" s="654">
        <f>ROUND(VLOOKUP($AW207,$AD$3:$AJ$33,MATCH(BG$3,$AD$3:$AJ$3,0),FALSE)+$AY207/VLOOKUP(VLOOKUP($AW207,坦克个性化设定!$B$18:$E$48,4,FALSE)&amp;$AX207,坦克属性分配比例,MATCH("升星次数",坦克属性分配比例标头,0),FALSE)*VLOOKUP($AW207,$AM$3:$AS$33,MATCH(BG$3,$AM$3:$AS$3,0),FALSE),1)</f>
        <v>55.5</v>
      </c>
      <c r="BH207" s="654">
        <f>ROUND(VLOOKUP($AW207,$AD$3:$AJ$33,MATCH(BH$3,$AD$3:$AJ$3,0),FALSE)+$AY207/VLOOKUP(VLOOKUP($AW207,坦克个性化设定!$B$18:$E$48,4,FALSE)&amp;$AX207,坦克属性分配比例,MATCH("升星次数",坦克属性分配比例标头,0),FALSE)*VLOOKUP($AW207,$AM$3:$AS$33,MATCH(BH$3,$AM$3:$AS$3,0),FALSE),1)</f>
        <v>12.6</v>
      </c>
      <c r="BI207" s="654">
        <f>IF(VLOOKUP(AW207,坦克个性化设定!$B$18:$BB$48,MATCH("装弹类型",坦克个性化设定!$B$18:$BB$18,0),FALSE)="弹夹换弹",0,ROUND(VLOOKUP($AW207,$AD$3:$AJ$33,MATCH("换弹时间",$AD$3:$AJ$3,0),FALSE)-$AY207/VLOOKUP(VLOOKUP($AW207,坦克个性化设定!$B$18:$E$48,4,FALSE)&amp;$AX207,坦克属性分配比例,MATCH("升星次数",坦克属性分配比例标头,0),FALSE)*VLOOKUP($AW207,$AM$3:$AS$33,MATCH("换弹时间",$AM$3:$AS$3,0),FALSE),2))</f>
        <v>4.1100000000000003</v>
      </c>
      <c r="BJ207" s="654">
        <f>IF(VLOOKUP(AW207,坦克个性化设定!$B$18:$BB$48,MATCH("装弹类型",坦克个性化设定!$B$18:$BB$18,0),FALSE)="弹夹换弹",ROUND(VLOOKUP($AW207,$AD$3:$AJ$33,MATCH("换弹时间",$AD$3:$AJ$3,0),FALSE)-$AY207/VLOOKUP(VLOOKUP($AW207,坦克个性化设定!$B$18:$E$48,4,FALSE)&amp;$AX207,坦克属性分配比例,MATCH("升星次数",坦克属性分配比例标头,0),FALSE)*VLOOKUP($AW207,$AM$3:$AS$33,MATCH("换弹时间",$AM$3:$AS$3,0),FALSE),1),0)</f>
        <v>0</v>
      </c>
      <c r="BK207" s="654">
        <f>ROUND(VLOOKUP($AW207,$AD$3:$AJ$33,MATCH(BK$3,$AD$3:$AJ$3,0),FALSE)+$AY207/VLOOKUP(VLOOKUP($AW207,坦克个性化设定!$B$18:$E$48,4,FALSE)&amp;$AX207,坦克属性分配比例,MATCH("升星次数",坦克属性分配比例标头,0),FALSE)*VLOOKUP($AW207,$AM$3:$AS$33,MATCH(BK$3,$AM$3:$AS$3,0),FALSE),2)</f>
        <v>0</v>
      </c>
      <c r="BL207" s="654">
        <f>ROUND(VLOOKUP($AW207,$AD$3:$AJ$33,MATCH(BL$3,$AD$3:$AJ$3,0),FALSE)-$AY207/VLOOKUP(VLOOKUP($AW207,坦克个性化设定!$B$18:$E$48,4,FALSE)&amp;$AX207,坦克属性分配比例,MATCH("升星次数",坦克属性分配比例标头,0),FALSE)*VLOOKUP($AW207,$AM$3:$AS$33,MATCH(BL$3,$AM$3:$AS$3,0),FALSE),2)</f>
        <v>2.2599999999999998</v>
      </c>
    </row>
    <row r="208" spans="47:64" x14ac:dyDescent="0.35">
      <c r="AU208" s="372" t="str">
        <f t="shared" si="27"/>
        <v>潘兴7</v>
      </c>
      <c r="AV208" s="654">
        <f>IF(AY207&gt;=VLOOKUP(VLOOKUP(AW207,坦克个性化设定!$B$18:$E$48,4,FALSE)&amp;AX207,坦克属性分配比例,MATCH("升星次数",坦克属性分配比例标头,0),FALSE),AV207+1,AV207)</f>
        <v>18</v>
      </c>
      <c r="AW208" s="649" t="str">
        <f t="shared" si="28"/>
        <v>潘兴</v>
      </c>
      <c r="AX208" s="650" t="str">
        <f>VLOOKUP(AW208,坦克个性化细分!$I$3:$J$33,2,FALSE)</f>
        <v>中</v>
      </c>
      <c r="AY208" s="654">
        <f t="shared" si="29"/>
        <v>7</v>
      </c>
      <c r="AZ208" s="654">
        <f ca="1">ROUND(VLOOKUP($AW208&amp;"初始",$O$3:$AA$63,MATCH(AZ$3,$O$3:$AA$3,0),FALSE)+((VLOOKUP($AW208&amp;"最终",$O$3:$AA$63,MATCH(AZ$3,$O$3:$AA$3,0),FALSE)*坦克个性化细分!$C$9-VLOOKUP($AW208&amp;"初始",$O$3:$AA$63,MATCH(AZ$3,$O$3:$AA$3,0),FALSE))-(VLOOKUP($AW208&amp;"最终",$O$3:$AA$63,MATCH(AZ$3,$O$3:$AA$3,0),FALSE)-VLOOKUP($AW208&amp;"初始",$O$3:$AA$63,MATCH(AZ$3,$O$3:$AA$3,0),FALSE))*VLOOKUP(VLOOKUP($AW208,坦克个性化设定!$B$18:$E$48,4,FALSE)&amp;$AX208,坦克属性分配比例,MATCH("部件比例",坦克属性分配比例标头,0),FALSE))*$AY208/VLOOKUP(VLOOKUP($AW208,坦克个性化设定!$B$18:$E$48,4,FALSE)&amp;$AX208,坦克属性分配比例,MATCH("升星次数",坦克属性分配比例标头,0),FALSE),0)</f>
        <v>2413</v>
      </c>
      <c r="BA208" s="654">
        <f ca="1">ROUND(VLOOKUP($AW208&amp;"初始",$O$3:$AA$63,MATCH(BA$3,$O$3:$AA$3,0),FALSE)+(VLOOKUP($AW208&amp;"最终",$O$3:$AA$63,MATCH(BA$3,$O$3:$AA$3,0),FALSE)-VLOOKUP($AW208&amp;"初始",$O$3:$AA$63,MATCH(BA$3,$O$3:$AA$3,0),FALSE))*$AY208/VLOOKUP(VLOOKUP($AW208,坦克个性化设定!$B$18:$E$48,4,FALSE)&amp;$AX208,坦克属性分配比例,MATCH("升星次数",坦克属性分配比例标头,0),FALSE)*VLOOKUP(VLOOKUP($AW208,坦克个性化设定!$B$18:$E$48,4,FALSE)&amp;$AX208,坦克属性分配比例,MATCH("升星比例",坦克属性分配比例标头,0),FALSE),0)</f>
        <v>357</v>
      </c>
      <c r="BB208" s="654">
        <f ca="1">ROUND(VLOOKUP($AW208&amp;"初始",$O$3:$AA$63,MATCH(BB$3,$O$3:$AA$3,0),FALSE)+(VLOOKUP($AW208&amp;"最终",$O$3:$AA$63,MATCH(BB$3,$O$3:$AA$3,0),FALSE)-VLOOKUP($AW208&amp;"初始",$O$3:$AA$63,MATCH(BB$3,$O$3:$AA$3,0),FALSE))*$AY208/VLOOKUP(VLOOKUP($AW208,坦克个性化设定!$B$18:$E$48,4,FALSE)&amp;$AX208,坦克属性分配比例,MATCH("升星次数",坦克属性分配比例标头,0),FALSE)*(VLOOKUP(VLOOKUP($AW208,坦克个性化设定!$B$18:$E$48,4,FALSE)&amp;$AX208,坦克属性分配比例,MATCH("升星比例",坦克属性分配比例标头,0),FALSE)+VLOOKUP(VLOOKUP($AW208,坦克个性化设定!$B$18:$E$48,4,FALSE)&amp;$AX208,坦克属性分配比例,MATCH("部件比例",坦克属性分配比例标头,0),FALSE)*$C$3),0)</f>
        <v>833</v>
      </c>
      <c r="BC208" s="654">
        <f ca="1">ROUND(VLOOKUP($AW208&amp;"初始",$O$3:$AA$63,MATCH(BC$3,$O$3:$AA$3,0),FALSE)+(VLOOKUP($AW208&amp;"最终",$O$3:$AA$63,MATCH(BC$3,$O$3:$AA$3,0),FALSE)-VLOOKUP($AW208&amp;"初始",$O$3:$AA$63,MATCH(BC$3,$O$3:$AA$3,0),FALSE))*$AY208/VLOOKUP(VLOOKUP($AW208,坦克个性化设定!$B$18:$E$48,4,FALSE)&amp;$AX208,坦克属性分配比例,MATCH("升星次数",坦克属性分配比例标头,0),FALSE)*(VLOOKUP(VLOOKUP($AW208,坦克个性化设定!$B$18:$E$48,4,FALSE)&amp;$AX208,坦克属性分配比例,MATCH("升星比例",坦克属性分配比例标头,0),FALSE)+VLOOKUP(VLOOKUP($AW208,坦克个性化设定!$B$18:$E$48,4,FALSE)&amp;$AX208,坦克属性分配比例,MATCH("部件比例",坦克属性分配比例标头,0),FALSE)*$C$3),0)</f>
        <v>625</v>
      </c>
      <c r="BD208" s="654">
        <f ca="1">ROUND(VLOOKUP($AW208&amp;"初始",$O$3:$AA$63,MATCH(BD$3,$O$3:$AA$3,0),FALSE)+(VLOOKUP($AW208&amp;"最终",$O$3:$AA$63,MATCH(BD$3,$O$3:$AA$3,0),FALSE)-VLOOKUP($AW208&amp;"初始",$O$3:$AA$63,MATCH(BD$3,$O$3:$AA$3,0),FALSE))*$AY208/VLOOKUP(VLOOKUP($AW208,坦克个性化设定!$B$18:$E$48,4,FALSE)&amp;$AX208,坦克属性分配比例,MATCH("升星次数",坦克属性分配比例标头,0),FALSE)*VLOOKUP(VLOOKUP($AW208,坦克个性化设定!$B$18:$E$48,4,FALSE)&amp;$AX208,坦克属性分配比例,MATCH("升星比例",坦克属性分配比例标头,0),FALSE),0)</f>
        <v>826</v>
      </c>
      <c r="BE208" s="654">
        <f ca="1">ROUND(VLOOKUP($AW208&amp;"初始",$O$3:$AA$63,MATCH(BE$3,$O$3:$AA$3,0),FALSE)+(VLOOKUP($AW208&amp;"最终",$O$3:$AA$63,MATCH(BE$3,$O$3:$AA$3,0),FALSE)-VLOOKUP($AW208&amp;"初始",$O$3:$AA$63,MATCH(BE$3,$O$3:$AA$3,0),FALSE))*$AY208/VLOOKUP(VLOOKUP($AW208,坦克个性化设定!$B$18:$E$48,4,FALSE)&amp;$AX208,坦克属性分配比例,MATCH("升星次数",坦克属性分配比例标头,0),FALSE),0)</f>
        <v>238</v>
      </c>
      <c r="BF208" s="654">
        <f>ROUND(VLOOKUP($AW208,$AD$3:$AJ$33,MATCH(BF$3,$AD$3:$AJ$3,0),FALSE)+$AY208/VLOOKUP(VLOOKUP($AW208,坦克个性化设定!$B$18:$E$48,4,FALSE)&amp;$AX208,坦克属性分配比例,MATCH("升星次数",坦克属性分配比例标头,0),FALSE)*VLOOKUP($AW208,$AM$3:$AS$33,MATCH(BF$3,$AM$3:$AS$3,0),FALSE),1)</f>
        <v>40</v>
      </c>
      <c r="BG208" s="654">
        <f>ROUND(VLOOKUP($AW208,$AD$3:$AJ$33,MATCH(BG$3,$AD$3:$AJ$3,0),FALSE)+$AY208/VLOOKUP(VLOOKUP($AW208,坦克个性化设定!$B$18:$E$48,4,FALSE)&amp;$AX208,坦克属性分配比例,MATCH("升星次数",坦克属性分配比例标头,0),FALSE)*VLOOKUP($AW208,$AM$3:$AS$33,MATCH(BG$3,$AM$3:$AS$3,0),FALSE),1)</f>
        <v>56.3</v>
      </c>
      <c r="BH208" s="654">
        <f>ROUND(VLOOKUP($AW208,$AD$3:$AJ$33,MATCH(BH$3,$AD$3:$AJ$3,0),FALSE)+$AY208/VLOOKUP(VLOOKUP($AW208,坦克个性化设定!$B$18:$E$48,4,FALSE)&amp;$AX208,坦克属性分配比例,MATCH("升星次数",坦克属性分配比例标头,0),FALSE)*VLOOKUP($AW208,$AM$3:$AS$33,MATCH(BH$3,$AM$3:$AS$3,0),FALSE),1)</f>
        <v>12.8</v>
      </c>
      <c r="BI208" s="654">
        <f>IF(VLOOKUP(AW208,坦克个性化设定!$B$18:$BB$48,MATCH("装弹类型",坦克个性化设定!$B$18:$BB$18,0),FALSE)="弹夹换弹",0,ROUND(VLOOKUP($AW208,$AD$3:$AJ$33,MATCH("换弹时间",$AD$3:$AJ$3,0),FALSE)-$AY208/VLOOKUP(VLOOKUP($AW208,坦克个性化设定!$B$18:$E$48,4,FALSE)&amp;$AX208,坦克属性分配比例,MATCH("升星次数",坦克属性分配比例标头,0),FALSE)*VLOOKUP($AW208,$AM$3:$AS$33,MATCH("换弹时间",$AM$3:$AS$3,0),FALSE),2))</f>
        <v>4.05</v>
      </c>
      <c r="BJ208" s="654">
        <f>IF(VLOOKUP(AW208,坦克个性化设定!$B$18:$BB$48,MATCH("装弹类型",坦克个性化设定!$B$18:$BB$18,0),FALSE)="弹夹换弹",ROUND(VLOOKUP($AW208,$AD$3:$AJ$33,MATCH("换弹时间",$AD$3:$AJ$3,0),FALSE)-$AY208/VLOOKUP(VLOOKUP($AW208,坦克个性化设定!$B$18:$E$48,4,FALSE)&amp;$AX208,坦克属性分配比例,MATCH("升星次数",坦克属性分配比例标头,0),FALSE)*VLOOKUP($AW208,$AM$3:$AS$33,MATCH("换弹时间",$AM$3:$AS$3,0),FALSE),1),0)</f>
        <v>0</v>
      </c>
      <c r="BK208" s="654">
        <f>ROUND(VLOOKUP($AW208,$AD$3:$AJ$33,MATCH(BK$3,$AD$3:$AJ$3,0),FALSE)+$AY208/VLOOKUP(VLOOKUP($AW208,坦克个性化设定!$B$18:$E$48,4,FALSE)&amp;$AX208,坦克属性分配比例,MATCH("升星次数",坦克属性分配比例标头,0),FALSE)*VLOOKUP($AW208,$AM$3:$AS$33,MATCH(BK$3,$AM$3:$AS$3,0),FALSE),2)</f>
        <v>0</v>
      </c>
      <c r="BL208" s="654">
        <f>ROUND(VLOOKUP($AW208,$AD$3:$AJ$33,MATCH(BL$3,$AD$3:$AJ$3,0),FALSE)-$AY208/VLOOKUP(VLOOKUP($AW208,坦克个性化设定!$B$18:$E$48,4,FALSE)&amp;$AX208,坦克属性分配比例,MATCH("升星次数",坦克属性分配比例标头,0),FALSE)*VLOOKUP($AW208,$AM$3:$AS$33,MATCH(BL$3,$AM$3:$AS$3,0),FALSE),2)</f>
        <v>2.2400000000000002</v>
      </c>
    </row>
    <row r="209" spans="47:64" x14ac:dyDescent="0.35">
      <c r="AU209" s="372" t="str">
        <f t="shared" si="27"/>
        <v>潘兴8</v>
      </c>
      <c r="AV209" s="654">
        <f>IF(AY208&gt;=VLOOKUP(VLOOKUP(AW208,坦克个性化设定!$B$18:$E$48,4,FALSE)&amp;AX208,坦克属性分配比例,MATCH("升星次数",坦克属性分配比例标头,0),FALSE),AV208+1,AV208)</f>
        <v>18</v>
      </c>
      <c r="AW209" s="649" t="str">
        <f t="shared" si="28"/>
        <v>潘兴</v>
      </c>
      <c r="AX209" s="650" t="str">
        <f>VLOOKUP(AW209,坦克个性化细分!$I$3:$J$33,2,FALSE)</f>
        <v>中</v>
      </c>
      <c r="AY209" s="654">
        <f t="shared" si="29"/>
        <v>8</v>
      </c>
      <c r="AZ209" s="654">
        <f ca="1">ROUND(VLOOKUP($AW209&amp;"初始",$O$3:$AA$63,MATCH(AZ$3,$O$3:$AA$3,0),FALSE)+((VLOOKUP($AW209&amp;"最终",$O$3:$AA$63,MATCH(AZ$3,$O$3:$AA$3,0),FALSE)*坦克个性化细分!$C$9-VLOOKUP($AW209&amp;"初始",$O$3:$AA$63,MATCH(AZ$3,$O$3:$AA$3,0),FALSE))-(VLOOKUP($AW209&amp;"最终",$O$3:$AA$63,MATCH(AZ$3,$O$3:$AA$3,0),FALSE)-VLOOKUP($AW209&amp;"初始",$O$3:$AA$63,MATCH(AZ$3,$O$3:$AA$3,0),FALSE))*VLOOKUP(VLOOKUP($AW209,坦克个性化设定!$B$18:$E$48,4,FALSE)&amp;$AX209,坦克属性分配比例,MATCH("部件比例",坦克属性分配比例标头,0),FALSE))*$AY209/VLOOKUP(VLOOKUP($AW209,坦克个性化设定!$B$18:$E$48,4,FALSE)&amp;$AX209,坦克属性分配比例,MATCH("升星次数",坦克属性分配比例标头,0),FALSE),0)</f>
        <v>2513</v>
      </c>
      <c r="BA209" s="654">
        <f ca="1">ROUND(VLOOKUP($AW209&amp;"初始",$O$3:$AA$63,MATCH(BA$3,$O$3:$AA$3,0),FALSE)+(VLOOKUP($AW209&amp;"最终",$O$3:$AA$63,MATCH(BA$3,$O$3:$AA$3,0),FALSE)-VLOOKUP($AW209&amp;"初始",$O$3:$AA$63,MATCH(BA$3,$O$3:$AA$3,0),FALSE))*$AY209/VLOOKUP(VLOOKUP($AW209,坦克个性化设定!$B$18:$E$48,4,FALSE)&amp;$AX209,坦克属性分配比例,MATCH("升星次数",坦克属性分配比例标头,0),FALSE)*VLOOKUP(VLOOKUP($AW209,坦克个性化设定!$B$18:$E$48,4,FALSE)&amp;$AX209,坦克属性分配比例,MATCH("升星比例",坦克属性分配比例标头,0),FALSE),0)</f>
        <v>364</v>
      </c>
      <c r="BB209" s="654">
        <f ca="1">ROUND(VLOOKUP($AW209&amp;"初始",$O$3:$AA$63,MATCH(BB$3,$O$3:$AA$3,0),FALSE)+(VLOOKUP($AW209&amp;"最终",$O$3:$AA$63,MATCH(BB$3,$O$3:$AA$3,0),FALSE)-VLOOKUP($AW209&amp;"初始",$O$3:$AA$63,MATCH(BB$3,$O$3:$AA$3,0),FALSE))*$AY209/VLOOKUP(VLOOKUP($AW209,坦克个性化设定!$B$18:$E$48,4,FALSE)&amp;$AX209,坦克属性分配比例,MATCH("升星次数",坦克属性分配比例标头,0),FALSE)*(VLOOKUP(VLOOKUP($AW209,坦克个性化设定!$B$18:$E$48,4,FALSE)&amp;$AX209,坦克属性分配比例,MATCH("升星比例",坦克属性分配比例标头,0),FALSE)+VLOOKUP(VLOOKUP($AW209,坦克个性化设定!$B$18:$E$48,4,FALSE)&amp;$AX209,坦克属性分配比例,MATCH("部件比例",坦克属性分配比例标头,0),FALSE)*$C$3),0)</f>
        <v>860</v>
      </c>
      <c r="BC209" s="654">
        <f ca="1">ROUND(VLOOKUP($AW209&amp;"初始",$O$3:$AA$63,MATCH(BC$3,$O$3:$AA$3,0),FALSE)+(VLOOKUP($AW209&amp;"最终",$O$3:$AA$63,MATCH(BC$3,$O$3:$AA$3,0),FALSE)-VLOOKUP($AW209&amp;"初始",$O$3:$AA$63,MATCH(BC$3,$O$3:$AA$3,0),FALSE))*$AY209/VLOOKUP(VLOOKUP($AW209,坦克个性化设定!$B$18:$E$48,4,FALSE)&amp;$AX209,坦克属性分配比例,MATCH("升星次数",坦克属性分配比例标头,0),FALSE)*(VLOOKUP(VLOOKUP($AW209,坦克个性化设定!$B$18:$E$48,4,FALSE)&amp;$AX209,坦克属性分配比例,MATCH("升星比例",坦克属性分配比例标头,0),FALSE)+VLOOKUP(VLOOKUP($AW209,坦克个性化设定!$B$18:$E$48,4,FALSE)&amp;$AX209,坦克属性分配比例,MATCH("部件比例",坦克属性分配比例标头,0),FALSE)*$C$3),0)</f>
        <v>645</v>
      </c>
      <c r="BD209" s="654">
        <f ca="1">ROUND(VLOOKUP($AW209&amp;"初始",$O$3:$AA$63,MATCH(BD$3,$O$3:$AA$3,0),FALSE)+(VLOOKUP($AW209&amp;"最终",$O$3:$AA$63,MATCH(BD$3,$O$3:$AA$3,0),FALSE)-VLOOKUP($AW209&amp;"初始",$O$3:$AA$63,MATCH(BD$3,$O$3:$AA$3,0),FALSE))*$AY209/VLOOKUP(VLOOKUP($AW209,坦克个性化设定!$B$18:$E$48,4,FALSE)&amp;$AX209,坦克属性分配比例,MATCH("升星次数",坦克属性分配比例标头,0),FALSE)*VLOOKUP(VLOOKUP($AW209,坦克个性化设定!$B$18:$E$48,4,FALSE)&amp;$AX209,坦克属性分配比例,MATCH("升星比例",坦克属性分配比例标头,0),FALSE),0)</f>
        <v>843</v>
      </c>
      <c r="BE209" s="654">
        <f ca="1">ROUND(VLOOKUP($AW209&amp;"初始",$O$3:$AA$63,MATCH(BE$3,$O$3:$AA$3,0),FALSE)+(VLOOKUP($AW209&amp;"最终",$O$3:$AA$63,MATCH(BE$3,$O$3:$AA$3,0),FALSE)-VLOOKUP($AW209&amp;"初始",$O$3:$AA$63,MATCH(BE$3,$O$3:$AA$3,0),FALSE))*$AY209/VLOOKUP(VLOOKUP($AW209,坦克个性化设定!$B$18:$E$48,4,FALSE)&amp;$AX209,坦克属性分配比例,MATCH("升星次数",坦克属性分配比例标头,0),FALSE),0)</f>
        <v>247</v>
      </c>
      <c r="BF209" s="654">
        <f>ROUND(VLOOKUP($AW209,$AD$3:$AJ$33,MATCH(BF$3,$AD$3:$AJ$3,0),FALSE)+$AY209/VLOOKUP(VLOOKUP($AW209,坦克个性化设定!$B$18:$E$48,4,FALSE)&amp;$AX209,坦克属性分配比例,MATCH("升星次数",坦克属性分配比例标头,0),FALSE)*VLOOKUP($AW209,$AM$3:$AS$33,MATCH(BF$3,$AM$3:$AS$3,0),FALSE),1)</f>
        <v>40.6</v>
      </c>
      <c r="BG209" s="654">
        <f>ROUND(VLOOKUP($AW209,$AD$3:$AJ$33,MATCH(BG$3,$AD$3:$AJ$3,0),FALSE)+$AY209/VLOOKUP(VLOOKUP($AW209,坦克个性化设定!$B$18:$E$48,4,FALSE)&amp;$AX209,坦克属性分配比例,MATCH("升星次数",坦克属性分配比例标头,0),FALSE)*VLOOKUP($AW209,$AM$3:$AS$33,MATCH(BG$3,$AM$3:$AS$3,0),FALSE),1)</f>
        <v>57</v>
      </c>
      <c r="BH209" s="654">
        <f>ROUND(VLOOKUP($AW209,$AD$3:$AJ$33,MATCH(BH$3,$AD$3:$AJ$3,0),FALSE)+$AY209/VLOOKUP(VLOOKUP($AW209,坦克个性化设定!$B$18:$E$48,4,FALSE)&amp;$AX209,坦克属性分配比例,MATCH("升星次数",坦克属性分配比例标头,0),FALSE)*VLOOKUP($AW209,$AM$3:$AS$33,MATCH(BH$3,$AM$3:$AS$3,0),FALSE),1)</f>
        <v>13</v>
      </c>
      <c r="BI209" s="654">
        <f>IF(VLOOKUP(AW209,坦克个性化设定!$B$18:$BB$48,MATCH("装弹类型",坦克个性化设定!$B$18:$BB$18,0),FALSE)="弹夹换弹",0,ROUND(VLOOKUP($AW209,$AD$3:$AJ$33,MATCH("换弹时间",$AD$3:$AJ$3,0),FALSE)-$AY209/VLOOKUP(VLOOKUP($AW209,坦克个性化设定!$B$18:$E$48,4,FALSE)&amp;$AX209,坦克属性分配比例,MATCH("升星次数",坦克属性分配比例标头,0),FALSE)*VLOOKUP($AW209,$AM$3:$AS$33,MATCH("换弹时间",$AM$3:$AS$3,0),FALSE),2))</f>
        <v>3.98</v>
      </c>
      <c r="BJ209" s="654">
        <f>IF(VLOOKUP(AW209,坦克个性化设定!$B$18:$BB$48,MATCH("装弹类型",坦克个性化设定!$B$18:$BB$18,0),FALSE)="弹夹换弹",ROUND(VLOOKUP($AW209,$AD$3:$AJ$33,MATCH("换弹时间",$AD$3:$AJ$3,0),FALSE)-$AY209/VLOOKUP(VLOOKUP($AW209,坦克个性化设定!$B$18:$E$48,4,FALSE)&amp;$AX209,坦克属性分配比例,MATCH("升星次数",坦克属性分配比例标头,0),FALSE)*VLOOKUP($AW209,$AM$3:$AS$33,MATCH("换弹时间",$AM$3:$AS$3,0),FALSE),1),0)</f>
        <v>0</v>
      </c>
      <c r="BK209" s="654">
        <f>ROUND(VLOOKUP($AW209,$AD$3:$AJ$33,MATCH(BK$3,$AD$3:$AJ$3,0),FALSE)+$AY209/VLOOKUP(VLOOKUP($AW209,坦克个性化设定!$B$18:$E$48,4,FALSE)&amp;$AX209,坦克属性分配比例,MATCH("升星次数",坦克属性分配比例标头,0),FALSE)*VLOOKUP($AW209,$AM$3:$AS$33,MATCH(BK$3,$AM$3:$AS$3,0),FALSE),2)</f>
        <v>0</v>
      </c>
      <c r="BL209" s="654">
        <f>ROUND(VLOOKUP($AW209,$AD$3:$AJ$33,MATCH(BL$3,$AD$3:$AJ$3,0),FALSE)-$AY209/VLOOKUP(VLOOKUP($AW209,坦克个性化设定!$B$18:$E$48,4,FALSE)&amp;$AX209,坦克属性分配比例,MATCH("升星次数",坦克属性分配比例标头,0),FALSE)*VLOOKUP($AW209,$AM$3:$AS$33,MATCH(BL$3,$AM$3:$AS$3,0),FALSE),2)</f>
        <v>2.21</v>
      </c>
    </row>
    <row r="210" spans="47:64" x14ac:dyDescent="0.35">
      <c r="AU210" s="372" t="str">
        <f t="shared" si="27"/>
        <v>潘兴9</v>
      </c>
      <c r="AV210" s="654">
        <f>IF(AY209&gt;=VLOOKUP(VLOOKUP(AW209,坦克个性化设定!$B$18:$E$48,4,FALSE)&amp;AX209,坦克属性分配比例,MATCH("升星次数",坦克属性分配比例标头,0),FALSE),AV209+1,AV209)</f>
        <v>18</v>
      </c>
      <c r="AW210" s="649" t="str">
        <f t="shared" si="28"/>
        <v>潘兴</v>
      </c>
      <c r="AX210" s="650" t="str">
        <f>VLOOKUP(AW210,坦克个性化细分!$I$3:$J$33,2,FALSE)</f>
        <v>中</v>
      </c>
      <c r="AY210" s="654">
        <f t="shared" si="29"/>
        <v>9</v>
      </c>
      <c r="AZ210" s="654">
        <f ca="1">ROUND(VLOOKUP($AW210&amp;"初始",$O$3:$AA$63,MATCH(AZ$3,$O$3:$AA$3,0),FALSE)+((VLOOKUP($AW210&amp;"最终",$O$3:$AA$63,MATCH(AZ$3,$O$3:$AA$3,0),FALSE)*坦克个性化细分!$C$9-VLOOKUP($AW210&amp;"初始",$O$3:$AA$63,MATCH(AZ$3,$O$3:$AA$3,0),FALSE))-(VLOOKUP($AW210&amp;"最终",$O$3:$AA$63,MATCH(AZ$3,$O$3:$AA$3,0),FALSE)-VLOOKUP($AW210&amp;"初始",$O$3:$AA$63,MATCH(AZ$3,$O$3:$AA$3,0),FALSE))*VLOOKUP(VLOOKUP($AW210,坦克个性化设定!$B$18:$E$48,4,FALSE)&amp;$AX210,坦克属性分配比例,MATCH("部件比例",坦克属性分配比例标头,0),FALSE))*$AY210/VLOOKUP(VLOOKUP($AW210,坦克个性化设定!$B$18:$E$48,4,FALSE)&amp;$AX210,坦克属性分配比例,MATCH("升星次数",坦克属性分配比例标头,0),FALSE),0)</f>
        <v>2612</v>
      </c>
      <c r="BA210" s="654">
        <f ca="1">ROUND(VLOOKUP($AW210&amp;"初始",$O$3:$AA$63,MATCH(BA$3,$O$3:$AA$3,0),FALSE)+(VLOOKUP($AW210&amp;"最终",$O$3:$AA$63,MATCH(BA$3,$O$3:$AA$3,0),FALSE)-VLOOKUP($AW210&amp;"初始",$O$3:$AA$63,MATCH(BA$3,$O$3:$AA$3,0),FALSE))*$AY210/VLOOKUP(VLOOKUP($AW210,坦克个性化设定!$B$18:$E$48,4,FALSE)&amp;$AX210,坦克属性分配比例,MATCH("升星次数",坦克属性分配比例标头,0),FALSE)*VLOOKUP(VLOOKUP($AW210,坦克个性化设定!$B$18:$E$48,4,FALSE)&amp;$AX210,坦克属性分配比例,MATCH("升星比例",坦克属性分配比例标头,0),FALSE),0)</f>
        <v>371</v>
      </c>
      <c r="BB210" s="654">
        <f ca="1">ROUND(VLOOKUP($AW210&amp;"初始",$O$3:$AA$63,MATCH(BB$3,$O$3:$AA$3,0),FALSE)+(VLOOKUP($AW210&amp;"最终",$O$3:$AA$63,MATCH(BB$3,$O$3:$AA$3,0),FALSE)-VLOOKUP($AW210&amp;"初始",$O$3:$AA$63,MATCH(BB$3,$O$3:$AA$3,0),FALSE))*$AY210/VLOOKUP(VLOOKUP($AW210,坦克个性化设定!$B$18:$E$48,4,FALSE)&amp;$AX210,坦克属性分配比例,MATCH("升星次数",坦克属性分配比例标头,0),FALSE)*(VLOOKUP(VLOOKUP($AW210,坦克个性化设定!$B$18:$E$48,4,FALSE)&amp;$AX210,坦克属性分配比例,MATCH("升星比例",坦克属性分配比例标头,0),FALSE)+VLOOKUP(VLOOKUP($AW210,坦克个性化设定!$B$18:$E$48,4,FALSE)&amp;$AX210,坦克属性分配比例,MATCH("部件比例",坦克属性分配比例标头,0),FALSE)*$C$3),0)</f>
        <v>887</v>
      </c>
      <c r="BC210" s="654">
        <f ca="1">ROUND(VLOOKUP($AW210&amp;"初始",$O$3:$AA$63,MATCH(BC$3,$O$3:$AA$3,0),FALSE)+(VLOOKUP($AW210&amp;"最终",$O$3:$AA$63,MATCH(BC$3,$O$3:$AA$3,0),FALSE)-VLOOKUP($AW210&amp;"初始",$O$3:$AA$63,MATCH(BC$3,$O$3:$AA$3,0),FALSE))*$AY210/VLOOKUP(VLOOKUP($AW210,坦克个性化设定!$B$18:$E$48,4,FALSE)&amp;$AX210,坦克属性分配比例,MATCH("升星次数",坦克属性分配比例标头,0),FALSE)*(VLOOKUP(VLOOKUP($AW210,坦克个性化设定!$B$18:$E$48,4,FALSE)&amp;$AX210,坦克属性分配比例,MATCH("升星比例",坦克属性分配比例标头,0),FALSE)+VLOOKUP(VLOOKUP($AW210,坦克个性化设定!$B$18:$E$48,4,FALSE)&amp;$AX210,坦克属性分配比例,MATCH("部件比例",坦克属性分配比例标头,0),FALSE)*$C$3),0)</f>
        <v>665</v>
      </c>
      <c r="BD210" s="654">
        <f ca="1">ROUND(VLOOKUP($AW210&amp;"初始",$O$3:$AA$63,MATCH(BD$3,$O$3:$AA$3,0),FALSE)+(VLOOKUP($AW210&amp;"最终",$O$3:$AA$63,MATCH(BD$3,$O$3:$AA$3,0),FALSE)-VLOOKUP($AW210&amp;"初始",$O$3:$AA$63,MATCH(BD$3,$O$3:$AA$3,0),FALSE))*$AY210/VLOOKUP(VLOOKUP($AW210,坦克个性化设定!$B$18:$E$48,4,FALSE)&amp;$AX210,坦克属性分配比例,MATCH("升星次数",坦克属性分配比例标头,0),FALSE)*VLOOKUP(VLOOKUP($AW210,坦克个性化设定!$B$18:$E$48,4,FALSE)&amp;$AX210,坦克属性分配比例,MATCH("升星比例",坦克属性分配比例标头,0),FALSE),0)</f>
        <v>860</v>
      </c>
      <c r="BE210" s="654">
        <f ca="1">ROUND(VLOOKUP($AW210&amp;"初始",$O$3:$AA$63,MATCH(BE$3,$O$3:$AA$3,0),FALSE)+(VLOOKUP($AW210&amp;"最终",$O$3:$AA$63,MATCH(BE$3,$O$3:$AA$3,0),FALSE)-VLOOKUP($AW210&amp;"初始",$O$3:$AA$63,MATCH(BE$3,$O$3:$AA$3,0),FALSE))*$AY210/VLOOKUP(VLOOKUP($AW210,坦克个性化设定!$B$18:$E$48,4,FALSE)&amp;$AX210,坦克属性分配比例,MATCH("升星次数",坦克属性分配比例标头,0),FALSE),0)</f>
        <v>256</v>
      </c>
      <c r="BF210" s="654">
        <f>ROUND(VLOOKUP($AW210,$AD$3:$AJ$33,MATCH(BF$3,$AD$3:$AJ$3,0),FALSE)+$AY210/VLOOKUP(VLOOKUP($AW210,坦克个性化设定!$B$18:$E$48,4,FALSE)&amp;$AX210,坦克属性分配比例,MATCH("升星次数",坦克属性分配比例标头,0),FALSE)*VLOOKUP($AW210,$AM$3:$AS$33,MATCH(BF$3,$AM$3:$AS$3,0),FALSE),1)</f>
        <v>41.1</v>
      </c>
      <c r="BG210" s="654">
        <f>ROUND(VLOOKUP($AW210,$AD$3:$AJ$33,MATCH(BG$3,$AD$3:$AJ$3,0),FALSE)+$AY210/VLOOKUP(VLOOKUP($AW210,坦克个性化设定!$B$18:$E$48,4,FALSE)&amp;$AX210,坦克属性分配比例,MATCH("升星次数",坦克属性分配比例标头,0),FALSE)*VLOOKUP($AW210,$AM$3:$AS$33,MATCH(BG$3,$AM$3:$AS$3,0),FALSE),1)</f>
        <v>57.8</v>
      </c>
      <c r="BH210" s="654">
        <f>ROUND(VLOOKUP($AW210,$AD$3:$AJ$33,MATCH(BH$3,$AD$3:$AJ$3,0),FALSE)+$AY210/VLOOKUP(VLOOKUP($AW210,坦克个性化设定!$B$18:$E$48,4,FALSE)&amp;$AX210,坦克属性分配比例,MATCH("升星次数",坦克属性分配比例标头,0),FALSE)*VLOOKUP($AW210,$AM$3:$AS$33,MATCH(BH$3,$AM$3:$AS$3,0),FALSE),1)</f>
        <v>13.3</v>
      </c>
      <c r="BI210" s="654">
        <f>IF(VLOOKUP(AW210,坦克个性化设定!$B$18:$BB$48,MATCH("装弹类型",坦克个性化设定!$B$18:$BB$18,0),FALSE)="弹夹换弹",0,ROUND(VLOOKUP($AW210,$AD$3:$AJ$33,MATCH("换弹时间",$AD$3:$AJ$3,0),FALSE)-$AY210/VLOOKUP(VLOOKUP($AW210,坦克个性化设定!$B$18:$E$48,4,FALSE)&amp;$AX210,坦克属性分配比例,MATCH("升星次数",坦克属性分配比例标头,0),FALSE)*VLOOKUP($AW210,$AM$3:$AS$33,MATCH("换弹时间",$AM$3:$AS$3,0),FALSE),2))</f>
        <v>3.92</v>
      </c>
      <c r="BJ210" s="654">
        <f>IF(VLOOKUP(AW210,坦克个性化设定!$B$18:$BB$48,MATCH("装弹类型",坦克个性化设定!$B$18:$BB$18,0),FALSE)="弹夹换弹",ROUND(VLOOKUP($AW210,$AD$3:$AJ$33,MATCH("换弹时间",$AD$3:$AJ$3,0),FALSE)-$AY210/VLOOKUP(VLOOKUP($AW210,坦克个性化设定!$B$18:$E$48,4,FALSE)&amp;$AX210,坦克属性分配比例,MATCH("升星次数",坦克属性分配比例标头,0),FALSE)*VLOOKUP($AW210,$AM$3:$AS$33,MATCH("换弹时间",$AM$3:$AS$3,0),FALSE),1),0)</f>
        <v>0</v>
      </c>
      <c r="BK210" s="654">
        <f>ROUND(VLOOKUP($AW210,$AD$3:$AJ$33,MATCH(BK$3,$AD$3:$AJ$3,0),FALSE)+$AY210/VLOOKUP(VLOOKUP($AW210,坦克个性化设定!$B$18:$E$48,4,FALSE)&amp;$AX210,坦克属性分配比例,MATCH("升星次数",坦克属性分配比例标头,0),FALSE)*VLOOKUP($AW210,$AM$3:$AS$33,MATCH(BK$3,$AM$3:$AS$3,0),FALSE),2)</f>
        <v>0</v>
      </c>
      <c r="BL210" s="654">
        <f>ROUND(VLOOKUP($AW210,$AD$3:$AJ$33,MATCH(BL$3,$AD$3:$AJ$3,0),FALSE)-$AY210/VLOOKUP(VLOOKUP($AW210,坦克个性化设定!$B$18:$E$48,4,FALSE)&amp;$AX210,坦克属性分配比例,MATCH("升星次数",坦克属性分配比例标头,0),FALSE)*VLOOKUP($AW210,$AM$3:$AS$33,MATCH(BL$3,$AM$3:$AS$3,0),FALSE),2)</f>
        <v>2.19</v>
      </c>
    </row>
    <row r="211" spans="47:64" x14ac:dyDescent="0.35">
      <c r="AU211" s="372" t="str">
        <f t="shared" si="27"/>
        <v>潘兴10</v>
      </c>
      <c r="AV211" s="654">
        <f>IF(AY210&gt;=VLOOKUP(VLOOKUP(AW210,坦克个性化设定!$B$18:$E$48,4,FALSE)&amp;AX210,坦克属性分配比例,MATCH("升星次数",坦克属性分配比例标头,0),FALSE),AV210+1,AV210)</f>
        <v>18</v>
      </c>
      <c r="AW211" s="649" t="str">
        <f t="shared" si="28"/>
        <v>潘兴</v>
      </c>
      <c r="AX211" s="650" t="str">
        <f>VLOOKUP(AW211,坦克个性化细分!$I$3:$J$33,2,FALSE)</f>
        <v>中</v>
      </c>
      <c r="AY211" s="654">
        <f t="shared" si="29"/>
        <v>10</v>
      </c>
      <c r="AZ211" s="654">
        <f ca="1">ROUND(VLOOKUP($AW211&amp;"初始",$O$3:$AA$63,MATCH(AZ$3,$O$3:$AA$3,0),FALSE)+((VLOOKUP($AW211&amp;"最终",$O$3:$AA$63,MATCH(AZ$3,$O$3:$AA$3,0),FALSE)*坦克个性化细分!$C$9-VLOOKUP($AW211&amp;"初始",$O$3:$AA$63,MATCH(AZ$3,$O$3:$AA$3,0),FALSE))-(VLOOKUP($AW211&amp;"最终",$O$3:$AA$63,MATCH(AZ$3,$O$3:$AA$3,0),FALSE)-VLOOKUP($AW211&amp;"初始",$O$3:$AA$63,MATCH(AZ$3,$O$3:$AA$3,0),FALSE))*VLOOKUP(VLOOKUP($AW211,坦克个性化设定!$B$18:$E$48,4,FALSE)&amp;$AX211,坦克属性分配比例,MATCH("部件比例",坦克属性分配比例标头,0),FALSE))*$AY211/VLOOKUP(VLOOKUP($AW211,坦克个性化设定!$B$18:$E$48,4,FALSE)&amp;$AX211,坦克属性分配比例,MATCH("升星次数",坦克属性分配比例标头,0),FALSE),0)</f>
        <v>2712</v>
      </c>
      <c r="BA211" s="654">
        <f ca="1">ROUND(VLOOKUP($AW211&amp;"初始",$O$3:$AA$63,MATCH(BA$3,$O$3:$AA$3,0),FALSE)+(VLOOKUP($AW211&amp;"最终",$O$3:$AA$63,MATCH(BA$3,$O$3:$AA$3,0),FALSE)-VLOOKUP($AW211&amp;"初始",$O$3:$AA$63,MATCH(BA$3,$O$3:$AA$3,0),FALSE))*$AY211/VLOOKUP(VLOOKUP($AW211,坦克个性化设定!$B$18:$E$48,4,FALSE)&amp;$AX211,坦克属性分配比例,MATCH("升星次数",坦克属性分配比例标头,0),FALSE)*VLOOKUP(VLOOKUP($AW211,坦克个性化设定!$B$18:$E$48,4,FALSE)&amp;$AX211,坦克属性分配比例,MATCH("升星比例",坦克属性分配比例标头,0),FALSE),0)</f>
        <v>379</v>
      </c>
      <c r="BB211" s="654">
        <f ca="1">ROUND(VLOOKUP($AW211&amp;"初始",$O$3:$AA$63,MATCH(BB$3,$O$3:$AA$3,0),FALSE)+(VLOOKUP($AW211&amp;"最终",$O$3:$AA$63,MATCH(BB$3,$O$3:$AA$3,0),FALSE)-VLOOKUP($AW211&amp;"初始",$O$3:$AA$63,MATCH(BB$3,$O$3:$AA$3,0),FALSE))*$AY211/VLOOKUP(VLOOKUP($AW211,坦克个性化设定!$B$18:$E$48,4,FALSE)&amp;$AX211,坦克属性分配比例,MATCH("升星次数",坦克属性分配比例标头,0),FALSE)*(VLOOKUP(VLOOKUP($AW211,坦克个性化设定!$B$18:$E$48,4,FALSE)&amp;$AX211,坦克属性分配比例,MATCH("升星比例",坦克属性分配比例标头,0),FALSE)+VLOOKUP(VLOOKUP($AW211,坦克个性化设定!$B$18:$E$48,4,FALSE)&amp;$AX211,坦克属性分配比例,MATCH("部件比例",坦克属性分配比例标头,0),FALSE)*$C$3),0)</f>
        <v>914</v>
      </c>
      <c r="BC211" s="654">
        <f ca="1">ROUND(VLOOKUP($AW211&amp;"初始",$O$3:$AA$63,MATCH(BC$3,$O$3:$AA$3,0),FALSE)+(VLOOKUP($AW211&amp;"最终",$O$3:$AA$63,MATCH(BC$3,$O$3:$AA$3,0),FALSE)-VLOOKUP($AW211&amp;"初始",$O$3:$AA$63,MATCH(BC$3,$O$3:$AA$3,0),FALSE))*$AY211/VLOOKUP(VLOOKUP($AW211,坦克个性化设定!$B$18:$E$48,4,FALSE)&amp;$AX211,坦克属性分配比例,MATCH("升星次数",坦克属性分配比例标头,0),FALSE)*(VLOOKUP(VLOOKUP($AW211,坦克个性化设定!$B$18:$E$48,4,FALSE)&amp;$AX211,坦克属性分配比例,MATCH("升星比例",坦克属性分配比例标头,0),FALSE)+VLOOKUP(VLOOKUP($AW211,坦克个性化设定!$B$18:$E$48,4,FALSE)&amp;$AX211,坦克属性分配比例,MATCH("部件比例",坦克属性分配比例标头,0),FALSE)*$C$3),0)</f>
        <v>686</v>
      </c>
      <c r="BD211" s="654">
        <f ca="1">ROUND(VLOOKUP($AW211&amp;"初始",$O$3:$AA$63,MATCH(BD$3,$O$3:$AA$3,0),FALSE)+(VLOOKUP($AW211&amp;"最终",$O$3:$AA$63,MATCH(BD$3,$O$3:$AA$3,0),FALSE)-VLOOKUP($AW211&amp;"初始",$O$3:$AA$63,MATCH(BD$3,$O$3:$AA$3,0),FALSE))*$AY211/VLOOKUP(VLOOKUP($AW211,坦克个性化设定!$B$18:$E$48,4,FALSE)&amp;$AX211,坦克属性分配比例,MATCH("升星次数",坦克属性分配比例标头,0),FALSE)*VLOOKUP(VLOOKUP($AW211,坦克个性化设定!$B$18:$E$48,4,FALSE)&amp;$AX211,坦克属性分配比例,MATCH("升星比例",坦克属性分配比例标头,0),FALSE),0)</f>
        <v>877</v>
      </c>
      <c r="BE211" s="654">
        <f ca="1">ROUND(VLOOKUP($AW211&amp;"初始",$O$3:$AA$63,MATCH(BE$3,$O$3:$AA$3,0),FALSE)+(VLOOKUP($AW211&amp;"最终",$O$3:$AA$63,MATCH(BE$3,$O$3:$AA$3,0),FALSE)-VLOOKUP($AW211&amp;"初始",$O$3:$AA$63,MATCH(BE$3,$O$3:$AA$3,0),FALSE))*$AY211/VLOOKUP(VLOOKUP($AW211,坦克个性化设定!$B$18:$E$48,4,FALSE)&amp;$AX211,坦克属性分配比例,MATCH("升星次数",坦克属性分配比例标头,0),FALSE),0)</f>
        <v>265</v>
      </c>
      <c r="BF211" s="654">
        <f>ROUND(VLOOKUP($AW211,$AD$3:$AJ$33,MATCH(BF$3,$AD$3:$AJ$3,0),FALSE)+$AY211/VLOOKUP(VLOOKUP($AW211,坦克个性化设定!$B$18:$E$48,4,FALSE)&amp;$AX211,坦克属性分配比例,MATCH("升星次数",坦克属性分配比例标头,0),FALSE)*VLOOKUP($AW211,$AM$3:$AS$33,MATCH(BF$3,$AM$3:$AS$3,0),FALSE),1)</f>
        <v>41.6</v>
      </c>
      <c r="BG211" s="654">
        <f>ROUND(VLOOKUP($AW211,$AD$3:$AJ$33,MATCH(BG$3,$AD$3:$AJ$3,0),FALSE)+$AY211/VLOOKUP(VLOOKUP($AW211,坦克个性化设定!$B$18:$E$48,4,FALSE)&amp;$AX211,坦克属性分配比例,MATCH("升星次数",坦克属性分配比例标头,0),FALSE)*VLOOKUP($AW211,$AM$3:$AS$33,MATCH(BG$3,$AM$3:$AS$3,0),FALSE),1)</f>
        <v>58.5</v>
      </c>
      <c r="BH211" s="654">
        <f>ROUND(VLOOKUP($AW211,$AD$3:$AJ$33,MATCH(BH$3,$AD$3:$AJ$3,0),FALSE)+$AY211/VLOOKUP(VLOOKUP($AW211,坦克个性化设定!$B$18:$E$48,4,FALSE)&amp;$AX211,坦克属性分配比例,MATCH("升星次数",坦克属性分配比例标头,0),FALSE)*VLOOKUP($AW211,$AM$3:$AS$33,MATCH(BH$3,$AM$3:$AS$3,0),FALSE),1)</f>
        <v>13.5</v>
      </c>
      <c r="BI211" s="654">
        <f>IF(VLOOKUP(AW211,坦克个性化设定!$B$18:$BB$48,MATCH("装弹类型",坦克个性化设定!$B$18:$BB$18,0),FALSE)="弹夹换弹",0,ROUND(VLOOKUP($AW211,$AD$3:$AJ$33,MATCH("换弹时间",$AD$3:$AJ$3,0),FALSE)-$AY211/VLOOKUP(VLOOKUP($AW211,坦克个性化设定!$B$18:$E$48,4,FALSE)&amp;$AX211,坦克属性分配比例,MATCH("升星次数",坦克属性分配比例标头,0),FALSE)*VLOOKUP($AW211,$AM$3:$AS$33,MATCH("换弹时间",$AM$3:$AS$3,0),FALSE),2))</f>
        <v>3.85</v>
      </c>
      <c r="BJ211" s="654">
        <f>IF(VLOOKUP(AW211,坦克个性化设定!$B$18:$BB$48,MATCH("装弹类型",坦克个性化设定!$B$18:$BB$18,0),FALSE)="弹夹换弹",ROUND(VLOOKUP($AW211,$AD$3:$AJ$33,MATCH("换弹时间",$AD$3:$AJ$3,0),FALSE)-$AY211/VLOOKUP(VLOOKUP($AW211,坦克个性化设定!$B$18:$E$48,4,FALSE)&amp;$AX211,坦克属性分配比例,MATCH("升星次数",坦克属性分配比例标头,0),FALSE)*VLOOKUP($AW211,$AM$3:$AS$33,MATCH("换弹时间",$AM$3:$AS$3,0),FALSE),1),0)</f>
        <v>0</v>
      </c>
      <c r="BK211" s="654">
        <f>ROUND(VLOOKUP($AW211,$AD$3:$AJ$33,MATCH(BK$3,$AD$3:$AJ$3,0),FALSE)+$AY211/VLOOKUP(VLOOKUP($AW211,坦克个性化设定!$B$18:$E$48,4,FALSE)&amp;$AX211,坦克属性分配比例,MATCH("升星次数",坦克属性分配比例标头,0),FALSE)*VLOOKUP($AW211,$AM$3:$AS$33,MATCH(BK$3,$AM$3:$AS$3,0),FALSE),2)</f>
        <v>0</v>
      </c>
      <c r="BL211" s="654">
        <f>ROUND(VLOOKUP($AW211,$AD$3:$AJ$33,MATCH(BL$3,$AD$3:$AJ$3,0),FALSE)-$AY211/VLOOKUP(VLOOKUP($AW211,坦克个性化设定!$B$18:$E$48,4,FALSE)&amp;$AX211,坦克属性分配比例,MATCH("升星次数",坦克属性分配比例标头,0),FALSE)*VLOOKUP($AW211,$AM$3:$AS$33,MATCH(BL$3,$AM$3:$AS$3,0),FALSE),2)</f>
        <v>2.16</v>
      </c>
    </row>
    <row r="212" spans="47:64" x14ac:dyDescent="0.35">
      <c r="AU212" s="372" t="str">
        <f t="shared" si="27"/>
        <v>潘兴11</v>
      </c>
      <c r="AV212" s="654">
        <f>IF(AY211&gt;=VLOOKUP(VLOOKUP(AW211,坦克个性化设定!$B$18:$E$48,4,FALSE)&amp;AX211,坦克属性分配比例,MATCH("升星次数",坦克属性分配比例标头,0),FALSE),AV211+1,AV211)</f>
        <v>18</v>
      </c>
      <c r="AW212" s="649" t="str">
        <f t="shared" si="28"/>
        <v>潘兴</v>
      </c>
      <c r="AX212" s="650" t="str">
        <f>VLOOKUP(AW212,坦克个性化细分!$I$3:$J$33,2,FALSE)</f>
        <v>中</v>
      </c>
      <c r="AY212" s="654">
        <f t="shared" si="29"/>
        <v>11</v>
      </c>
      <c r="AZ212" s="654">
        <f ca="1">ROUND(VLOOKUP($AW212&amp;"初始",$O$3:$AA$63,MATCH(AZ$3,$O$3:$AA$3,0),FALSE)+((VLOOKUP($AW212&amp;"最终",$O$3:$AA$63,MATCH(AZ$3,$O$3:$AA$3,0),FALSE)*坦克个性化细分!$C$9-VLOOKUP($AW212&amp;"初始",$O$3:$AA$63,MATCH(AZ$3,$O$3:$AA$3,0),FALSE))-(VLOOKUP($AW212&amp;"最终",$O$3:$AA$63,MATCH(AZ$3,$O$3:$AA$3,0),FALSE)-VLOOKUP($AW212&amp;"初始",$O$3:$AA$63,MATCH(AZ$3,$O$3:$AA$3,0),FALSE))*VLOOKUP(VLOOKUP($AW212,坦克个性化设定!$B$18:$E$48,4,FALSE)&amp;$AX212,坦克属性分配比例,MATCH("部件比例",坦克属性分配比例标头,0),FALSE))*$AY212/VLOOKUP(VLOOKUP($AW212,坦克个性化设定!$B$18:$E$48,4,FALSE)&amp;$AX212,坦克属性分配比例,MATCH("升星次数",坦克属性分配比例标头,0),FALSE),0)</f>
        <v>2812</v>
      </c>
      <c r="BA212" s="654">
        <f ca="1">ROUND(VLOOKUP($AW212&amp;"初始",$O$3:$AA$63,MATCH(BA$3,$O$3:$AA$3,0),FALSE)+(VLOOKUP($AW212&amp;"最终",$O$3:$AA$63,MATCH(BA$3,$O$3:$AA$3,0),FALSE)-VLOOKUP($AW212&amp;"初始",$O$3:$AA$63,MATCH(BA$3,$O$3:$AA$3,0),FALSE))*$AY212/VLOOKUP(VLOOKUP($AW212,坦克个性化设定!$B$18:$E$48,4,FALSE)&amp;$AX212,坦克属性分配比例,MATCH("升星次数",坦克属性分配比例标头,0),FALSE)*VLOOKUP(VLOOKUP($AW212,坦克个性化设定!$B$18:$E$48,4,FALSE)&amp;$AX212,坦克属性分配比例,MATCH("升星比例",坦克属性分配比例标头,0),FALSE),0)</f>
        <v>386</v>
      </c>
      <c r="BB212" s="654">
        <f ca="1">ROUND(VLOOKUP($AW212&amp;"初始",$O$3:$AA$63,MATCH(BB$3,$O$3:$AA$3,0),FALSE)+(VLOOKUP($AW212&amp;"最终",$O$3:$AA$63,MATCH(BB$3,$O$3:$AA$3,0),FALSE)-VLOOKUP($AW212&amp;"初始",$O$3:$AA$63,MATCH(BB$3,$O$3:$AA$3,0),FALSE))*$AY212/VLOOKUP(VLOOKUP($AW212,坦克个性化设定!$B$18:$E$48,4,FALSE)&amp;$AX212,坦克属性分配比例,MATCH("升星次数",坦克属性分配比例标头,0),FALSE)*(VLOOKUP(VLOOKUP($AW212,坦克个性化设定!$B$18:$E$48,4,FALSE)&amp;$AX212,坦克属性分配比例,MATCH("升星比例",坦克属性分配比例标头,0),FALSE)+VLOOKUP(VLOOKUP($AW212,坦克个性化设定!$B$18:$E$48,4,FALSE)&amp;$AX212,坦克属性分配比例,MATCH("部件比例",坦克属性分配比例标头,0),FALSE)*$C$3),0)</f>
        <v>941</v>
      </c>
      <c r="BC212" s="654">
        <f ca="1">ROUND(VLOOKUP($AW212&amp;"初始",$O$3:$AA$63,MATCH(BC$3,$O$3:$AA$3,0),FALSE)+(VLOOKUP($AW212&amp;"最终",$O$3:$AA$63,MATCH(BC$3,$O$3:$AA$3,0),FALSE)-VLOOKUP($AW212&amp;"初始",$O$3:$AA$63,MATCH(BC$3,$O$3:$AA$3,0),FALSE))*$AY212/VLOOKUP(VLOOKUP($AW212,坦克个性化设定!$B$18:$E$48,4,FALSE)&amp;$AX212,坦克属性分配比例,MATCH("升星次数",坦克属性分配比例标头,0),FALSE)*(VLOOKUP(VLOOKUP($AW212,坦克个性化设定!$B$18:$E$48,4,FALSE)&amp;$AX212,坦克属性分配比例,MATCH("升星比例",坦克属性分配比例标头,0),FALSE)+VLOOKUP(VLOOKUP($AW212,坦克个性化设定!$B$18:$E$48,4,FALSE)&amp;$AX212,坦克属性分配比例,MATCH("部件比例",坦克属性分配比例标头,0),FALSE)*$C$3),0)</f>
        <v>706</v>
      </c>
      <c r="BD212" s="654">
        <f ca="1">ROUND(VLOOKUP($AW212&amp;"初始",$O$3:$AA$63,MATCH(BD$3,$O$3:$AA$3,0),FALSE)+(VLOOKUP($AW212&amp;"最终",$O$3:$AA$63,MATCH(BD$3,$O$3:$AA$3,0),FALSE)-VLOOKUP($AW212&amp;"初始",$O$3:$AA$63,MATCH(BD$3,$O$3:$AA$3,0),FALSE))*$AY212/VLOOKUP(VLOOKUP($AW212,坦克个性化设定!$B$18:$E$48,4,FALSE)&amp;$AX212,坦克属性分配比例,MATCH("升星次数",坦克属性分配比例标头,0),FALSE)*VLOOKUP(VLOOKUP($AW212,坦克个性化设定!$B$18:$E$48,4,FALSE)&amp;$AX212,坦克属性分配比例,MATCH("升星比例",坦克属性分配比例标头,0),FALSE),0)</f>
        <v>895</v>
      </c>
      <c r="BE212" s="654">
        <f ca="1">ROUND(VLOOKUP($AW212&amp;"初始",$O$3:$AA$63,MATCH(BE$3,$O$3:$AA$3,0),FALSE)+(VLOOKUP($AW212&amp;"最终",$O$3:$AA$63,MATCH(BE$3,$O$3:$AA$3,0),FALSE)-VLOOKUP($AW212&amp;"初始",$O$3:$AA$63,MATCH(BE$3,$O$3:$AA$3,0),FALSE))*$AY212/VLOOKUP(VLOOKUP($AW212,坦克个性化设定!$B$18:$E$48,4,FALSE)&amp;$AX212,坦克属性分配比例,MATCH("升星次数",坦克属性分配比例标头,0),FALSE),0)</f>
        <v>275</v>
      </c>
      <c r="BF212" s="654">
        <f>ROUND(VLOOKUP($AW212,$AD$3:$AJ$33,MATCH(BF$3,$AD$3:$AJ$3,0),FALSE)+$AY212/VLOOKUP(VLOOKUP($AW212,坦克个性化设定!$B$18:$E$48,4,FALSE)&amp;$AX212,坦克属性分配比例,MATCH("升星次数",坦克属性分配比例标头,0),FALSE)*VLOOKUP($AW212,$AM$3:$AS$33,MATCH(BF$3,$AM$3:$AS$3,0),FALSE),1)</f>
        <v>42.2</v>
      </c>
      <c r="BG212" s="654">
        <f>ROUND(VLOOKUP($AW212,$AD$3:$AJ$33,MATCH(BG$3,$AD$3:$AJ$3,0),FALSE)+$AY212/VLOOKUP(VLOOKUP($AW212,坦克个性化设定!$B$18:$E$48,4,FALSE)&amp;$AX212,坦克属性分配比例,MATCH("升星次数",坦克属性分配比例标头,0),FALSE)*VLOOKUP($AW212,$AM$3:$AS$33,MATCH(BG$3,$AM$3:$AS$3,0),FALSE),1)</f>
        <v>59.3</v>
      </c>
      <c r="BH212" s="654">
        <f>ROUND(VLOOKUP($AW212,$AD$3:$AJ$33,MATCH(BH$3,$AD$3:$AJ$3,0),FALSE)+$AY212/VLOOKUP(VLOOKUP($AW212,坦克个性化设定!$B$18:$E$48,4,FALSE)&amp;$AX212,坦克属性分配比例,MATCH("升星次数",坦克属性分配比例标头,0),FALSE)*VLOOKUP($AW212,$AM$3:$AS$33,MATCH(BH$3,$AM$3:$AS$3,0),FALSE),1)</f>
        <v>13.7</v>
      </c>
      <c r="BI212" s="654">
        <f>IF(VLOOKUP(AW212,坦克个性化设定!$B$18:$BB$48,MATCH("装弹类型",坦克个性化设定!$B$18:$BB$18,0),FALSE)="弹夹换弹",0,ROUND(VLOOKUP($AW212,$AD$3:$AJ$33,MATCH("换弹时间",$AD$3:$AJ$3,0),FALSE)-$AY212/VLOOKUP(VLOOKUP($AW212,坦克个性化设定!$B$18:$E$48,4,FALSE)&amp;$AX212,坦克属性分配比例,MATCH("升星次数",坦克属性分配比例标头,0),FALSE)*VLOOKUP($AW212,$AM$3:$AS$33,MATCH("换弹时间",$AM$3:$AS$3,0),FALSE),2))</f>
        <v>3.79</v>
      </c>
      <c r="BJ212" s="654">
        <f>IF(VLOOKUP(AW212,坦克个性化设定!$B$18:$BB$48,MATCH("装弹类型",坦克个性化设定!$B$18:$BB$18,0),FALSE)="弹夹换弹",ROUND(VLOOKUP($AW212,$AD$3:$AJ$33,MATCH("换弹时间",$AD$3:$AJ$3,0),FALSE)-$AY212/VLOOKUP(VLOOKUP($AW212,坦克个性化设定!$B$18:$E$48,4,FALSE)&amp;$AX212,坦克属性分配比例,MATCH("升星次数",坦克属性分配比例标头,0),FALSE)*VLOOKUP($AW212,$AM$3:$AS$33,MATCH("换弹时间",$AM$3:$AS$3,0),FALSE),1),0)</f>
        <v>0</v>
      </c>
      <c r="BK212" s="654">
        <f>ROUND(VLOOKUP($AW212,$AD$3:$AJ$33,MATCH(BK$3,$AD$3:$AJ$3,0),FALSE)+$AY212/VLOOKUP(VLOOKUP($AW212,坦克个性化设定!$B$18:$E$48,4,FALSE)&amp;$AX212,坦克属性分配比例,MATCH("升星次数",坦克属性分配比例标头,0),FALSE)*VLOOKUP($AW212,$AM$3:$AS$33,MATCH(BK$3,$AM$3:$AS$3,0),FALSE),2)</f>
        <v>0</v>
      </c>
      <c r="BL212" s="654">
        <f>ROUND(VLOOKUP($AW212,$AD$3:$AJ$33,MATCH(BL$3,$AD$3:$AJ$3,0),FALSE)-$AY212/VLOOKUP(VLOOKUP($AW212,坦克个性化设定!$B$18:$E$48,4,FALSE)&amp;$AX212,坦克属性分配比例,MATCH("升星次数",坦克属性分配比例标头,0),FALSE)*VLOOKUP($AW212,$AM$3:$AS$33,MATCH(BL$3,$AM$3:$AS$3,0),FALSE),2)</f>
        <v>2.14</v>
      </c>
    </row>
    <row r="213" spans="47:64" x14ac:dyDescent="0.35">
      <c r="AU213" s="372" t="str">
        <f t="shared" si="27"/>
        <v>潘兴12</v>
      </c>
      <c r="AV213" s="654">
        <f>IF(AY212&gt;=VLOOKUP(VLOOKUP(AW212,坦克个性化设定!$B$18:$E$48,4,FALSE)&amp;AX212,坦克属性分配比例,MATCH("升星次数",坦克属性分配比例标头,0),FALSE),AV212+1,AV212)</f>
        <v>18</v>
      </c>
      <c r="AW213" s="649" t="str">
        <f t="shared" si="28"/>
        <v>潘兴</v>
      </c>
      <c r="AX213" s="650" t="str">
        <f>VLOOKUP(AW213,坦克个性化细分!$I$3:$J$33,2,FALSE)</f>
        <v>中</v>
      </c>
      <c r="AY213" s="654">
        <f t="shared" si="29"/>
        <v>12</v>
      </c>
      <c r="AZ213" s="654">
        <f ca="1">ROUND(VLOOKUP($AW213&amp;"初始",$O$3:$AA$63,MATCH(AZ$3,$O$3:$AA$3,0),FALSE)+((VLOOKUP($AW213&amp;"最终",$O$3:$AA$63,MATCH(AZ$3,$O$3:$AA$3,0),FALSE)*坦克个性化细分!$C$9-VLOOKUP($AW213&amp;"初始",$O$3:$AA$63,MATCH(AZ$3,$O$3:$AA$3,0),FALSE))-(VLOOKUP($AW213&amp;"最终",$O$3:$AA$63,MATCH(AZ$3,$O$3:$AA$3,0),FALSE)-VLOOKUP($AW213&amp;"初始",$O$3:$AA$63,MATCH(AZ$3,$O$3:$AA$3,0),FALSE))*VLOOKUP(VLOOKUP($AW213,坦克个性化设定!$B$18:$E$48,4,FALSE)&amp;$AX213,坦克属性分配比例,MATCH("部件比例",坦克属性分配比例标头,0),FALSE))*$AY213/VLOOKUP(VLOOKUP($AW213,坦克个性化设定!$B$18:$E$48,4,FALSE)&amp;$AX213,坦克属性分配比例,MATCH("升星次数",坦克属性分配比例标头,0),FALSE),0)</f>
        <v>2911</v>
      </c>
      <c r="BA213" s="654">
        <f ca="1">ROUND(VLOOKUP($AW213&amp;"初始",$O$3:$AA$63,MATCH(BA$3,$O$3:$AA$3,0),FALSE)+(VLOOKUP($AW213&amp;"最终",$O$3:$AA$63,MATCH(BA$3,$O$3:$AA$3,0),FALSE)-VLOOKUP($AW213&amp;"初始",$O$3:$AA$63,MATCH(BA$3,$O$3:$AA$3,0),FALSE))*$AY213/VLOOKUP(VLOOKUP($AW213,坦克个性化设定!$B$18:$E$48,4,FALSE)&amp;$AX213,坦克属性分配比例,MATCH("升星次数",坦克属性分配比例标头,0),FALSE)*VLOOKUP(VLOOKUP($AW213,坦克个性化设定!$B$18:$E$48,4,FALSE)&amp;$AX213,坦克属性分配比例,MATCH("升星比例",坦克属性分配比例标头,0),FALSE),0)</f>
        <v>394</v>
      </c>
      <c r="BB213" s="654">
        <f ca="1">ROUND(VLOOKUP($AW213&amp;"初始",$O$3:$AA$63,MATCH(BB$3,$O$3:$AA$3,0),FALSE)+(VLOOKUP($AW213&amp;"最终",$O$3:$AA$63,MATCH(BB$3,$O$3:$AA$3,0),FALSE)-VLOOKUP($AW213&amp;"初始",$O$3:$AA$63,MATCH(BB$3,$O$3:$AA$3,0),FALSE))*$AY213/VLOOKUP(VLOOKUP($AW213,坦克个性化设定!$B$18:$E$48,4,FALSE)&amp;$AX213,坦克属性分配比例,MATCH("升星次数",坦克属性分配比例标头,0),FALSE)*(VLOOKUP(VLOOKUP($AW213,坦克个性化设定!$B$18:$E$48,4,FALSE)&amp;$AX213,坦克属性分配比例,MATCH("升星比例",坦克属性分配比例标头,0),FALSE)+VLOOKUP(VLOOKUP($AW213,坦克个性化设定!$B$18:$E$48,4,FALSE)&amp;$AX213,坦克属性分配比例,MATCH("部件比例",坦克属性分配比例标头,0),FALSE)*$C$3),0)</f>
        <v>968</v>
      </c>
      <c r="BC213" s="654">
        <f ca="1">ROUND(VLOOKUP($AW213&amp;"初始",$O$3:$AA$63,MATCH(BC$3,$O$3:$AA$3,0),FALSE)+(VLOOKUP($AW213&amp;"最终",$O$3:$AA$63,MATCH(BC$3,$O$3:$AA$3,0),FALSE)-VLOOKUP($AW213&amp;"初始",$O$3:$AA$63,MATCH(BC$3,$O$3:$AA$3,0),FALSE))*$AY213/VLOOKUP(VLOOKUP($AW213,坦克个性化设定!$B$18:$E$48,4,FALSE)&amp;$AX213,坦克属性分配比例,MATCH("升星次数",坦克属性分配比例标头,0),FALSE)*(VLOOKUP(VLOOKUP($AW213,坦克个性化设定!$B$18:$E$48,4,FALSE)&amp;$AX213,坦克属性分配比例,MATCH("升星比例",坦克属性分配比例标头,0),FALSE)+VLOOKUP(VLOOKUP($AW213,坦克个性化设定!$B$18:$E$48,4,FALSE)&amp;$AX213,坦克属性分配比例,MATCH("部件比例",坦克属性分配比例标头,0),FALSE)*$C$3),0)</f>
        <v>726</v>
      </c>
      <c r="BD213" s="654">
        <f ca="1">ROUND(VLOOKUP($AW213&amp;"初始",$O$3:$AA$63,MATCH(BD$3,$O$3:$AA$3,0),FALSE)+(VLOOKUP($AW213&amp;"最终",$O$3:$AA$63,MATCH(BD$3,$O$3:$AA$3,0),FALSE)-VLOOKUP($AW213&amp;"初始",$O$3:$AA$63,MATCH(BD$3,$O$3:$AA$3,0),FALSE))*$AY213/VLOOKUP(VLOOKUP($AW213,坦克个性化设定!$B$18:$E$48,4,FALSE)&amp;$AX213,坦克属性分配比例,MATCH("升星次数",坦克属性分配比例标头,0),FALSE)*VLOOKUP(VLOOKUP($AW213,坦克个性化设定!$B$18:$E$48,4,FALSE)&amp;$AX213,坦克属性分配比例,MATCH("升星比例",坦克属性分配比例标头,0),FALSE),0)</f>
        <v>912</v>
      </c>
      <c r="BE213" s="654">
        <f ca="1">ROUND(VLOOKUP($AW213&amp;"初始",$O$3:$AA$63,MATCH(BE$3,$O$3:$AA$3,0),FALSE)+(VLOOKUP($AW213&amp;"最终",$O$3:$AA$63,MATCH(BE$3,$O$3:$AA$3,0),FALSE)-VLOOKUP($AW213&amp;"初始",$O$3:$AA$63,MATCH(BE$3,$O$3:$AA$3,0),FALSE))*$AY213/VLOOKUP(VLOOKUP($AW213,坦克个性化设定!$B$18:$E$48,4,FALSE)&amp;$AX213,坦克属性分配比例,MATCH("升星次数",坦克属性分配比例标头,0),FALSE),0)</f>
        <v>284</v>
      </c>
      <c r="BF213" s="654">
        <f>ROUND(VLOOKUP($AW213,$AD$3:$AJ$33,MATCH(BF$3,$AD$3:$AJ$3,0),FALSE)+$AY213/VLOOKUP(VLOOKUP($AW213,坦克个性化设定!$B$18:$E$48,4,FALSE)&amp;$AX213,坦克属性分配比例,MATCH("升星次数",坦克属性分配比例标头,0),FALSE)*VLOOKUP($AW213,$AM$3:$AS$33,MATCH(BF$3,$AM$3:$AS$3,0),FALSE),1)</f>
        <v>42.7</v>
      </c>
      <c r="BG213" s="654">
        <f>ROUND(VLOOKUP($AW213,$AD$3:$AJ$33,MATCH(BG$3,$AD$3:$AJ$3,0),FALSE)+$AY213/VLOOKUP(VLOOKUP($AW213,坦克个性化设定!$B$18:$E$48,4,FALSE)&amp;$AX213,坦克属性分配比例,MATCH("升星次数",坦克属性分配比例标头,0),FALSE)*VLOOKUP($AW213,$AM$3:$AS$33,MATCH(BG$3,$AM$3:$AS$3,0),FALSE),1)</f>
        <v>60</v>
      </c>
      <c r="BH213" s="654">
        <f>ROUND(VLOOKUP($AW213,$AD$3:$AJ$33,MATCH(BH$3,$AD$3:$AJ$3,0),FALSE)+$AY213/VLOOKUP(VLOOKUP($AW213,坦克个性化设定!$B$18:$E$48,4,FALSE)&amp;$AX213,坦克属性分配比例,MATCH("升星次数",坦克属性分配比例标头,0),FALSE)*VLOOKUP($AW213,$AM$3:$AS$33,MATCH(BH$3,$AM$3:$AS$3,0),FALSE),1)</f>
        <v>13.9</v>
      </c>
      <c r="BI213" s="654">
        <f>IF(VLOOKUP(AW213,坦克个性化设定!$B$18:$BB$48,MATCH("装弹类型",坦克个性化设定!$B$18:$BB$18,0),FALSE)="弹夹换弹",0,ROUND(VLOOKUP($AW213,$AD$3:$AJ$33,MATCH("换弹时间",$AD$3:$AJ$3,0),FALSE)-$AY213/VLOOKUP(VLOOKUP($AW213,坦克个性化设定!$B$18:$E$48,4,FALSE)&amp;$AX213,坦克属性分配比例,MATCH("升星次数",坦克属性分配比例标头,0),FALSE)*VLOOKUP($AW213,$AM$3:$AS$33,MATCH("换弹时间",$AM$3:$AS$3,0),FALSE),2))</f>
        <v>3.73</v>
      </c>
      <c r="BJ213" s="654">
        <f>IF(VLOOKUP(AW213,坦克个性化设定!$B$18:$BB$48,MATCH("装弹类型",坦克个性化设定!$B$18:$BB$18,0),FALSE)="弹夹换弹",ROUND(VLOOKUP($AW213,$AD$3:$AJ$33,MATCH("换弹时间",$AD$3:$AJ$3,0),FALSE)-$AY213/VLOOKUP(VLOOKUP($AW213,坦克个性化设定!$B$18:$E$48,4,FALSE)&amp;$AX213,坦克属性分配比例,MATCH("升星次数",坦克属性分配比例标头,0),FALSE)*VLOOKUP($AW213,$AM$3:$AS$33,MATCH("换弹时间",$AM$3:$AS$3,0),FALSE),1),0)</f>
        <v>0</v>
      </c>
      <c r="BK213" s="654">
        <f>ROUND(VLOOKUP($AW213,$AD$3:$AJ$33,MATCH(BK$3,$AD$3:$AJ$3,0),FALSE)+$AY213/VLOOKUP(VLOOKUP($AW213,坦克个性化设定!$B$18:$E$48,4,FALSE)&amp;$AX213,坦克属性分配比例,MATCH("升星次数",坦克属性分配比例标头,0),FALSE)*VLOOKUP($AW213,$AM$3:$AS$33,MATCH(BK$3,$AM$3:$AS$3,0),FALSE),2)</f>
        <v>0</v>
      </c>
      <c r="BL213" s="654">
        <f>ROUND(VLOOKUP($AW213,$AD$3:$AJ$33,MATCH(BL$3,$AD$3:$AJ$3,0),FALSE)-$AY213/VLOOKUP(VLOOKUP($AW213,坦克个性化设定!$B$18:$E$48,4,FALSE)&amp;$AX213,坦克属性分配比例,MATCH("升星次数",坦克属性分配比例标头,0),FALSE)*VLOOKUP($AW213,$AM$3:$AS$33,MATCH(BL$3,$AM$3:$AS$3,0),FALSE),2)</f>
        <v>2.12</v>
      </c>
    </row>
    <row r="214" spans="47:64" x14ac:dyDescent="0.35">
      <c r="AU214" s="372" t="str">
        <f t="shared" si="27"/>
        <v>潘兴13</v>
      </c>
      <c r="AV214" s="654">
        <f>IF(AY213&gt;=VLOOKUP(VLOOKUP(AW213,坦克个性化设定!$B$18:$E$48,4,FALSE)&amp;AX213,坦克属性分配比例,MATCH("升星次数",坦克属性分配比例标头,0),FALSE),AV213+1,AV213)</f>
        <v>18</v>
      </c>
      <c r="AW214" s="649" t="str">
        <f t="shared" si="28"/>
        <v>潘兴</v>
      </c>
      <c r="AX214" s="650" t="str">
        <f>VLOOKUP(AW214,坦克个性化细分!$I$3:$J$33,2,FALSE)</f>
        <v>中</v>
      </c>
      <c r="AY214" s="654">
        <f t="shared" si="29"/>
        <v>13</v>
      </c>
      <c r="AZ214" s="654">
        <f ca="1">ROUND(VLOOKUP($AW214&amp;"初始",$O$3:$AA$63,MATCH(AZ$3,$O$3:$AA$3,0),FALSE)+((VLOOKUP($AW214&amp;"最终",$O$3:$AA$63,MATCH(AZ$3,$O$3:$AA$3,0),FALSE)*坦克个性化细分!$C$9-VLOOKUP($AW214&amp;"初始",$O$3:$AA$63,MATCH(AZ$3,$O$3:$AA$3,0),FALSE))-(VLOOKUP($AW214&amp;"最终",$O$3:$AA$63,MATCH(AZ$3,$O$3:$AA$3,0),FALSE)-VLOOKUP($AW214&amp;"初始",$O$3:$AA$63,MATCH(AZ$3,$O$3:$AA$3,0),FALSE))*VLOOKUP(VLOOKUP($AW214,坦克个性化设定!$B$18:$E$48,4,FALSE)&amp;$AX214,坦克属性分配比例,MATCH("部件比例",坦克属性分配比例标头,0),FALSE))*$AY214/VLOOKUP(VLOOKUP($AW214,坦克个性化设定!$B$18:$E$48,4,FALSE)&amp;$AX214,坦克属性分配比例,MATCH("升星次数",坦克属性分配比例标头,0),FALSE),0)</f>
        <v>3011</v>
      </c>
      <c r="BA214" s="654">
        <f ca="1">ROUND(VLOOKUP($AW214&amp;"初始",$O$3:$AA$63,MATCH(BA$3,$O$3:$AA$3,0),FALSE)+(VLOOKUP($AW214&amp;"最终",$O$3:$AA$63,MATCH(BA$3,$O$3:$AA$3,0),FALSE)-VLOOKUP($AW214&amp;"初始",$O$3:$AA$63,MATCH(BA$3,$O$3:$AA$3,0),FALSE))*$AY214/VLOOKUP(VLOOKUP($AW214,坦克个性化设定!$B$18:$E$48,4,FALSE)&amp;$AX214,坦克属性分配比例,MATCH("升星次数",坦克属性分配比例标头,0),FALSE)*VLOOKUP(VLOOKUP($AW214,坦克个性化设定!$B$18:$E$48,4,FALSE)&amp;$AX214,坦克属性分配比例,MATCH("升星比例",坦克属性分配比例标头,0),FALSE),0)</f>
        <v>401</v>
      </c>
      <c r="BB214" s="654">
        <f ca="1">ROUND(VLOOKUP($AW214&amp;"初始",$O$3:$AA$63,MATCH(BB$3,$O$3:$AA$3,0),FALSE)+(VLOOKUP($AW214&amp;"最终",$O$3:$AA$63,MATCH(BB$3,$O$3:$AA$3,0),FALSE)-VLOOKUP($AW214&amp;"初始",$O$3:$AA$63,MATCH(BB$3,$O$3:$AA$3,0),FALSE))*$AY214/VLOOKUP(VLOOKUP($AW214,坦克个性化设定!$B$18:$E$48,4,FALSE)&amp;$AX214,坦克属性分配比例,MATCH("升星次数",坦克属性分配比例标头,0),FALSE)*(VLOOKUP(VLOOKUP($AW214,坦克个性化设定!$B$18:$E$48,4,FALSE)&amp;$AX214,坦克属性分配比例,MATCH("升星比例",坦克属性分配比例标头,0),FALSE)+VLOOKUP(VLOOKUP($AW214,坦克个性化设定!$B$18:$E$48,4,FALSE)&amp;$AX214,坦克属性分配比例,MATCH("部件比例",坦克属性分配比例标头,0),FALSE)*$C$3),0)</f>
        <v>995</v>
      </c>
      <c r="BC214" s="654">
        <f ca="1">ROUND(VLOOKUP($AW214&amp;"初始",$O$3:$AA$63,MATCH(BC$3,$O$3:$AA$3,0),FALSE)+(VLOOKUP($AW214&amp;"最终",$O$3:$AA$63,MATCH(BC$3,$O$3:$AA$3,0),FALSE)-VLOOKUP($AW214&amp;"初始",$O$3:$AA$63,MATCH(BC$3,$O$3:$AA$3,0),FALSE))*$AY214/VLOOKUP(VLOOKUP($AW214,坦克个性化设定!$B$18:$E$48,4,FALSE)&amp;$AX214,坦克属性分配比例,MATCH("升星次数",坦克属性分配比例标头,0),FALSE)*(VLOOKUP(VLOOKUP($AW214,坦克个性化设定!$B$18:$E$48,4,FALSE)&amp;$AX214,坦克属性分配比例,MATCH("升星比例",坦克属性分配比例标头,0),FALSE)+VLOOKUP(VLOOKUP($AW214,坦克个性化设定!$B$18:$E$48,4,FALSE)&amp;$AX214,坦克属性分配比例,MATCH("部件比例",坦克属性分配比例标头,0),FALSE)*$C$3),0)</f>
        <v>746</v>
      </c>
      <c r="BD214" s="654">
        <f ca="1">ROUND(VLOOKUP($AW214&amp;"初始",$O$3:$AA$63,MATCH(BD$3,$O$3:$AA$3,0),FALSE)+(VLOOKUP($AW214&amp;"最终",$O$3:$AA$63,MATCH(BD$3,$O$3:$AA$3,0),FALSE)-VLOOKUP($AW214&amp;"初始",$O$3:$AA$63,MATCH(BD$3,$O$3:$AA$3,0),FALSE))*$AY214/VLOOKUP(VLOOKUP($AW214,坦克个性化设定!$B$18:$E$48,4,FALSE)&amp;$AX214,坦克属性分配比例,MATCH("升星次数",坦克属性分配比例标头,0),FALSE)*VLOOKUP(VLOOKUP($AW214,坦克个性化设定!$B$18:$E$48,4,FALSE)&amp;$AX214,坦克属性分配比例,MATCH("升星比例",坦克属性分配比例标头,0),FALSE),0)</f>
        <v>929</v>
      </c>
      <c r="BE214" s="654">
        <f ca="1">ROUND(VLOOKUP($AW214&amp;"初始",$O$3:$AA$63,MATCH(BE$3,$O$3:$AA$3,0),FALSE)+(VLOOKUP($AW214&amp;"最终",$O$3:$AA$63,MATCH(BE$3,$O$3:$AA$3,0),FALSE)-VLOOKUP($AW214&amp;"初始",$O$3:$AA$63,MATCH(BE$3,$O$3:$AA$3,0),FALSE))*$AY214/VLOOKUP(VLOOKUP($AW214,坦克个性化设定!$B$18:$E$48,4,FALSE)&amp;$AX214,坦克属性分配比例,MATCH("升星次数",坦克属性分配比例标头,0),FALSE),0)</f>
        <v>293</v>
      </c>
      <c r="BF214" s="654">
        <f>ROUND(VLOOKUP($AW214,$AD$3:$AJ$33,MATCH(BF$3,$AD$3:$AJ$3,0),FALSE)+$AY214/VLOOKUP(VLOOKUP($AW214,坦克个性化设定!$B$18:$E$48,4,FALSE)&amp;$AX214,坦克属性分配比例,MATCH("升星次数",坦克属性分配比例标头,0),FALSE)*VLOOKUP($AW214,$AM$3:$AS$33,MATCH(BF$3,$AM$3:$AS$3,0),FALSE),1)</f>
        <v>43.2</v>
      </c>
      <c r="BG214" s="654">
        <f>ROUND(VLOOKUP($AW214,$AD$3:$AJ$33,MATCH(BG$3,$AD$3:$AJ$3,0),FALSE)+$AY214/VLOOKUP(VLOOKUP($AW214,坦克个性化设定!$B$18:$E$48,4,FALSE)&amp;$AX214,坦克属性分配比例,MATCH("升星次数",坦克属性分配比例标头,0),FALSE)*VLOOKUP($AW214,$AM$3:$AS$33,MATCH(BG$3,$AM$3:$AS$3,0),FALSE),1)</f>
        <v>60.8</v>
      </c>
      <c r="BH214" s="654">
        <f>ROUND(VLOOKUP($AW214,$AD$3:$AJ$33,MATCH(BH$3,$AD$3:$AJ$3,0),FALSE)+$AY214/VLOOKUP(VLOOKUP($AW214,坦克个性化设定!$B$18:$E$48,4,FALSE)&amp;$AX214,坦克属性分配比例,MATCH("升星次数",坦克属性分配比例标头,0),FALSE)*VLOOKUP($AW214,$AM$3:$AS$33,MATCH(BH$3,$AM$3:$AS$3,0),FALSE),1)</f>
        <v>14.1</v>
      </c>
      <c r="BI214" s="654">
        <f>IF(VLOOKUP(AW214,坦克个性化设定!$B$18:$BB$48,MATCH("装弹类型",坦克个性化设定!$B$18:$BB$18,0),FALSE)="弹夹换弹",0,ROUND(VLOOKUP($AW214,$AD$3:$AJ$33,MATCH("换弹时间",$AD$3:$AJ$3,0),FALSE)-$AY214/VLOOKUP(VLOOKUP($AW214,坦克个性化设定!$B$18:$E$48,4,FALSE)&amp;$AX214,坦克属性分配比例,MATCH("升星次数",坦克属性分配比例标头,0),FALSE)*VLOOKUP($AW214,$AM$3:$AS$33,MATCH("换弹时间",$AM$3:$AS$3,0),FALSE),2))</f>
        <v>3.66</v>
      </c>
      <c r="BJ214" s="654">
        <f>IF(VLOOKUP(AW214,坦克个性化设定!$B$18:$BB$48,MATCH("装弹类型",坦克个性化设定!$B$18:$BB$18,0),FALSE)="弹夹换弹",ROUND(VLOOKUP($AW214,$AD$3:$AJ$33,MATCH("换弹时间",$AD$3:$AJ$3,0),FALSE)-$AY214/VLOOKUP(VLOOKUP($AW214,坦克个性化设定!$B$18:$E$48,4,FALSE)&amp;$AX214,坦克属性分配比例,MATCH("升星次数",坦克属性分配比例标头,0),FALSE)*VLOOKUP($AW214,$AM$3:$AS$33,MATCH("换弹时间",$AM$3:$AS$3,0),FALSE),1),0)</f>
        <v>0</v>
      </c>
      <c r="BK214" s="654">
        <f>ROUND(VLOOKUP($AW214,$AD$3:$AJ$33,MATCH(BK$3,$AD$3:$AJ$3,0),FALSE)+$AY214/VLOOKUP(VLOOKUP($AW214,坦克个性化设定!$B$18:$E$48,4,FALSE)&amp;$AX214,坦克属性分配比例,MATCH("升星次数",坦克属性分配比例标头,0),FALSE)*VLOOKUP($AW214,$AM$3:$AS$33,MATCH(BK$3,$AM$3:$AS$3,0),FALSE),2)</f>
        <v>0</v>
      </c>
      <c r="BL214" s="654">
        <f>ROUND(VLOOKUP($AW214,$AD$3:$AJ$33,MATCH(BL$3,$AD$3:$AJ$3,0),FALSE)-$AY214/VLOOKUP(VLOOKUP($AW214,坦克个性化设定!$B$18:$E$48,4,FALSE)&amp;$AX214,坦克属性分配比例,MATCH("升星次数",坦克属性分配比例标头,0),FALSE)*VLOOKUP($AW214,$AM$3:$AS$33,MATCH(BL$3,$AM$3:$AS$3,0),FALSE),2)</f>
        <v>2.09</v>
      </c>
    </row>
    <row r="215" spans="47:64" x14ac:dyDescent="0.35">
      <c r="AU215" s="372" t="str">
        <f t="shared" si="27"/>
        <v>潘兴14</v>
      </c>
      <c r="AV215" s="654">
        <f>IF(AY214&gt;=VLOOKUP(VLOOKUP(AW214,坦克个性化设定!$B$18:$E$48,4,FALSE)&amp;AX214,坦克属性分配比例,MATCH("升星次数",坦克属性分配比例标头,0),FALSE),AV214+1,AV214)</f>
        <v>18</v>
      </c>
      <c r="AW215" s="649" t="str">
        <f t="shared" si="28"/>
        <v>潘兴</v>
      </c>
      <c r="AX215" s="650" t="str">
        <f>VLOOKUP(AW215,坦克个性化细分!$I$3:$J$33,2,FALSE)</f>
        <v>中</v>
      </c>
      <c r="AY215" s="654">
        <f t="shared" si="29"/>
        <v>14</v>
      </c>
      <c r="AZ215" s="654">
        <f ca="1">ROUND(VLOOKUP($AW215&amp;"初始",$O$3:$AA$63,MATCH(AZ$3,$O$3:$AA$3,0),FALSE)+((VLOOKUP($AW215&amp;"最终",$O$3:$AA$63,MATCH(AZ$3,$O$3:$AA$3,0),FALSE)*坦克个性化细分!$C$9-VLOOKUP($AW215&amp;"初始",$O$3:$AA$63,MATCH(AZ$3,$O$3:$AA$3,0),FALSE))-(VLOOKUP($AW215&amp;"最终",$O$3:$AA$63,MATCH(AZ$3,$O$3:$AA$3,0),FALSE)-VLOOKUP($AW215&amp;"初始",$O$3:$AA$63,MATCH(AZ$3,$O$3:$AA$3,0),FALSE))*VLOOKUP(VLOOKUP($AW215,坦克个性化设定!$B$18:$E$48,4,FALSE)&amp;$AX215,坦克属性分配比例,MATCH("部件比例",坦克属性分配比例标头,0),FALSE))*$AY215/VLOOKUP(VLOOKUP($AW215,坦克个性化设定!$B$18:$E$48,4,FALSE)&amp;$AX215,坦克属性分配比例,MATCH("升星次数",坦克属性分配比例标头,0),FALSE),0)</f>
        <v>3111</v>
      </c>
      <c r="BA215" s="654">
        <f ca="1">ROUND(VLOOKUP($AW215&amp;"初始",$O$3:$AA$63,MATCH(BA$3,$O$3:$AA$3,0),FALSE)+(VLOOKUP($AW215&amp;"最终",$O$3:$AA$63,MATCH(BA$3,$O$3:$AA$3,0),FALSE)-VLOOKUP($AW215&amp;"初始",$O$3:$AA$63,MATCH(BA$3,$O$3:$AA$3,0),FALSE))*$AY215/VLOOKUP(VLOOKUP($AW215,坦克个性化设定!$B$18:$E$48,4,FALSE)&amp;$AX215,坦克属性分配比例,MATCH("升星次数",坦克属性分配比例标头,0),FALSE)*VLOOKUP(VLOOKUP($AW215,坦克个性化设定!$B$18:$E$48,4,FALSE)&amp;$AX215,坦克属性分配比例,MATCH("升星比例",坦克属性分配比例标头,0),FALSE),0)</f>
        <v>409</v>
      </c>
      <c r="BB215" s="654">
        <f ca="1">ROUND(VLOOKUP($AW215&amp;"初始",$O$3:$AA$63,MATCH(BB$3,$O$3:$AA$3,0),FALSE)+(VLOOKUP($AW215&amp;"最终",$O$3:$AA$63,MATCH(BB$3,$O$3:$AA$3,0),FALSE)-VLOOKUP($AW215&amp;"初始",$O$3:$AA$63,MATCH(BB$3,$O$3:$AA$3,0),FALSE))*$AY215/VLOOKUP(VLOOKUP($AW215,坦克个性化设定!$B$18:$E$48,4,FALSE)&amp;$AX215,坦克属性分配比例,MATCH("升星次数",坦克属性分配比例标头,0),FALSE)*(VLOOKUP(VLOOKUP($AW215,坦克个性化设定!$B$18:$E$48,4,FALSE)&amp;$AX215,坦克属性分配比例,MATCH("升星比例",坦克属性分配比例标头,0),FALSE)+VLOOKUP(VLOOKUP($AW215,坦克个性化设定!$B$18:$E$48,4,FALSE)&amp;$AX215,坦克属性分配比例,MATCH("部件比例",坦克属性分配比例标头,0),FALSE)*$C$3),0)</f>
        <v>1022</v>
      </c>
      <c r="BC215" s="654">
        <f ca="1">ROUND(VLOOKUP($AW215&amp;"初始",$O$3:$AA$63,MATCH(BC$3,$O$3:$AA$3,0),FALSE)+(VLOOKUP($AW215&amp;"最终",$O$3:$AA$63,MATCH(BC$3,$O$3:$AA$3,0),FALSE)-VLOOKUP($AW215&amp;"初始",$O$3:$AA$63,MATCH(BC$3,$O$3:$AA$3,0),FALSE))*$AY215/VLOOKUP(VLOOKUP($AW215,坦克个性化设定!$B$18:$E$48,4,FALSE)&amp;$AX215,坦克属性分配比例,MATCH("升星次数",坦克属性分配比例标头,0),FALSE)*(VLOOKUP(VLOOKUP($AW215,坦克个性化设定!$B$18:$E$48,4,FALSE)&amp;$AX215,坦克属性分配比例,MATCH("升星比例",坦克属性分配比例标头,0),FALSE)+VLOOKUP(VLOOKUP($AW215,坦克个性化设定!$B$18:$E$48,4,FALSE)&amp;$AX215,坦克属性分配比例,MATCH("部件比例",坦克属性分配比例标头,0),FALSE)*$C$3),0)</f>
        <v>767</v>
      </c>
      <c r="BD215" s="654">
        <f ca="1">ROUND(VLOOKUP($AW215&amp;"初始",$O$3:$AA$63,MATCH(BD$3,$O$3:$AA$3,0),FALSE)+(VLOOKUP($AW215&amp;"最终",$O$3:$AA$63,MATCH(BD$3,$O$3:$AA$3,0),FALSE)-VLOOKUP($AW215&amp;"初始",$O$3:$AA$63,MATCH(BD$3,$O$3:$AA$3,0),FALSE))*$AY215/VLOOKUP(VLOOKUP($AW215,坦克个性化设定!$B$18:$E$48,4,FALSE)&amp;$AX215,坦克属性分配比例,MATCH("升星次数",坦克属性分配比例标头,0),FALSE)*VLOOKUP(VLOOKUP($AW215,坦克个性化设定!$B$18:$E$48,4,FALSE)&amp;$AX215,坦克属性分配比例,MATCH("升星比例",坦克属性分配比例标头,0),FALSE),0)</f>
        <v>946</v>
      </c>
      <c r="BE215" s="654">
        <f ca="1">ROUND(VLOOKUP($AW215&amp;"初始",$O$3:$AA$63,MATCH(BE$3,$O$3:$AA$3,0),FALSE)+(VLOOKUP($AW215&amp;"最终",$O$3:$AA$63,MATCH(BE$3,$O$3:$AA$3,0),FALSE)-VLOOKUP($AW215&amp;"初始",$O$3:$AA$63,MATCH(BE$3,$O$3:$AA$3,0),FALSE))*$AY215/VLOOKUP(VLOOKUP($AW215,坦克个性化设定!$B$18:$E$48,4,FALSE)&amp;$AX215,坦克属性分配比例,MATCH("升星次数",坦克属性分配比例标头,0),FALSE),0)</f>
        <v>302</v>
      </c>
      <c r="BF215" s="654">
        <f>ROUND(VLOOKUP($AW215,$AD$3:$AJ$33,MATCH(BF$3,$AD$3:$AJ$3,0),FALSE)+$AY215/VLOOKUP(VLOOKUP($AW215,坦克个性化设定!$B$18:$E$48,4,FALSE)&amp;$AX215,坦克属性分配比例,MATCH("升星次数",坦克属性分配比例标头,0),FALSE)*VLOOKUP($AW215,$AM$3:$AS$33,MATCH(BF$3,$AM$3:$AS$3,0),FALSE),1)</f>
        <v>43.8</v>
      </c>
      <c r="BG215" s="654">
        <f>ROUND(VLOOKUP($AW215,$AD$3:$AJ$33,MATCH(BG$3,$AD$3:$AJ$3,0),FALSE)+$AY215/VLOOKUP(VLOOKUP($AW215,坦克个性化设定!$B$18:$E$48,4,FALSE)&amp;$AX215,坦克属性分配比例,MATCH("升星次数",坦克属性分配比例标头,0),FALSE)*VLOOKUP($AW215,$AM$3:$AS$33,MATCH(BG$3,$AM$3:$AS$3,0),FALSE),1)</f>
        <v>61.5</v>
      </c>
      <c r="BH215" s="654">
        <f>ROUND(VLOOKUP($AW215,$AD$3:$AJ$33,MATCH(BH$3,$AD$3:$AJ$3,0),FALSE)+$AY215/VLOOKUP(VLOOKUP($AW215,坦克个性化设定!$B$18:$E$48,4,FALSE)&amp;$AX215,坦克属性分配比例,MATCH("升星次数",坦克属性分配比例标头,0),FALSE)*VLOOKUP($AW215,$AM$3:$AS$33,MATCH(BH$3,$AM$3:$AS$3,0),FALSE),1)</f>
        <v>14.3</v>
      </c>
      <c r="BI215" s="654">
        <f>IF(VLOOKUP(AW215,坦克个性化设定!$B$18:$BB$48,MATCH("装弹类型",坦克个性化设定!$B$18:$BB$18,0),FALSE)="弹夹换弹",0,ROUND(VLOOKUP($AW215,$AD$3:$AJ$33,MATCH("换弹时间",$AD$3:$AJ$3,0),FALSE)-$AY215/VLOOKUP(VLOOKUP($AW215,坦克个性化设定!$B$18:$E$48,4,FALSE)&amp;$AX215,坦克属性分配比例,MATCH("升星次数",坦克属性分配比例标头,0),FALSE)*VLOOKUP($AW215,$AM$3:$AS$33,MATCH("换弹时间",$AM$3:$AS$3,0),FALSE),2))</f>
        <v>3.6</v>
      </c>
      <c r="BJ215" s="654">
        <f>IF(VLOOKUP(AW215,坦克个性化设定!$B$18:$BB$48,MATCH("装弹类型",坦克个性化设定!$B$18:$BB$18,0),FALSE)="弹夹换弹",ROUND(VLOOKUP($AW215,$AD$3:$AJ$33,MATCH("换弹时间",$AD$3:$AJ$3,0),FALSE)-$AY215/VLOOKUP(VLOOKUP($AW215,坦克个性化设定!$B$18:$E$48,4,FALSE)&amp;$AX215,坦克属性分配比例,MATCH("升星次数",坦克属性分配比例标头,0),FALSE)*VLOOKUP($AW215,$AM$3:$AS$33,MATCH("换弹时间",$AM$3:$AS$3,0),FALSE),1),0)</f>
        <v>0</v>
      </c>
      <c r="BK215" s="654">
        <f>ROUND(VLOOKUP($AW215,$AD$3:$AJ$33,MATCH(BK$3,$AD$3:$AJ$3,0),FALSE)+$AY215/VLOOKUP(VLOOKUP($AW215,坦克个性化设定!$B$18:$E$48,4,FALSE)&amp;$AX215,坦克属性分配比例,MATCH("升星次数",坦克属性分配比例标头,0),FALSE)*VLOOKUP($AW215,$AM$3:$AS$33,MATCH(BK$3,$AM$3:$AS$3,0),FALSE),2)</f>
        <v>0</v>
      </c>
      <c r="BL215" s="654">
        <f>ROUND(VLOOKUP($AW215,$AD$3:$AJ$33,MATCH(BL$3,$AD$3:$AJ$3,0),FALSE)-$AY215/VLOOKUP(VLOOKUP($AW215,坦克个性化设定!$B$18:$E$48,4,FALSE)&amp;$AX215,坦克属性分配比例,MATCH("升星次数",坦克属性分配比例标头,0),FALSE)*VLOOKUP($AW215,$AM$3:$AS$33,MATCH(BL$3,$AM$3:$AS$3,0),FALSE),2)</f>
        <v>2.0699999999999998</v>
      </c>
    </row>
    <row r="216" spans="47:64" x14ac:dyDescent="0.35">
      <c r="AU216" s="372" t="str">
        <f t="shared" si="27"/>
        <v>潘兴15</v>
      </c>
      <c r="AV216" s="654">
        <f>IF(AY215&gt;=VLOOKUP(VLOOKUP(AW215,坦克个性化设定!$B$18:$E$48,4,FALSE)&amp;AX215,坦克属性分配比例,MATCH("升星次数",坦克属性分配比例标头,0),FALSE),AV215+1,AV215)</f>
        <v>18</v>
      </c>
      <c r="AW216" s="649" t="str">
        <f t="shared" si="28"/>
        <v>潘兴</v>
      </c>
      <c r="AX216" s="650" t="str">
        <f>VLOOKUP(AW216,坦克个性化细分!$I$3:$J$33,2,FALSE)</f>
        <v>中</v>
      </c>
      <c r="AY216" s="654">
        <f t="shared" si="29"/>
        <v>15</v>
      </c>
      <c r="AZ216" s="654">
        <f ca="1">ROUND(VLOOKUP($AW216&amp;"初始",$O$3:$AA$63,MATCH(AZ$3,$O$3:$AA$3,0),FALSE)+((VLOOKUP($AW216&amp;"最终",$O$3:$AA$63,MATCH(AZ$3,$O$3:$AA$3,0),FALSE)*坦克个性化细分!$C$9-VLOOKUP($AW216&amp;"初始",$O$3:$AA$63,MATCH(AZ$3,$O$3:$AA$3,0),FALSE))-(VLOOKUP($AW216&amp;"最终",$O$3:$AA$63,MATCH(AZ$3,$O$3:$AA$3,0),FALSE)-VLOOKUP($AW216&amp;"初始",$O$3:$AA$63,MATCH(AZ$3,$O$3:$AA$3,0),FALSE))*VLOOKUP(VLOOKUP($AW216,坦克个性化设定!$B$18:$E$48,4,FALSE)&amp;$AX216,坦克属性分配比例,MATCH("部件比例",坦克属性分配比例标头,0),FALSE))*$AY216/VLOOKUP(VLOOKUP($AW216,坦克个性化设定!$B$18:$E$48,4,FALSE)&amp;$AX216,坦克属性分配比例,MATCH("升星次数",坦克属性分配比例标头,0),FALSE),0)</f>
        <v>3210</v>
      </c>
      <c r="BA216" s="654">
        <f ca="1">ROUND(VLOOKUP($AW216&amp;"初始",$O$3:$AA$63,MATCH(BA$3,$O$3:$AA$3,0),FALSE)+(VLOOKUP($AW216&amp;"最终",$O$3:$AA$63,MATCH(BA$3,$O$3:$AA$3,0),FALSE)-VLOOKUP($AW216&amp;"初始",$O$3:$AA$63,MATCH(BA$3,$O$3:$AA$3,0),FALSE))*$AY216/VLOOKUP(VLOOKUP($AW216,坦克个性化设定!$B$18:$E$48,4,FALSE)&amp;$AX216,坦克属性分配比例,MATCH("升星次数",坦克属性分配比例标头,0),FALSE)*VLOOKUP(VLOOKUP($AW216,坦克个性化设定!$B$18:$E$48,4,FALSE)&amp;$AX216,坦克属性分配比例,MATCH("升星比例",坦克属性分配比例标头,0),FALSE),0)</f>
        <v>416</v>
      </c>
      <c r="BB216" s="654">
        <f ca="1">ROUND(VLOOKUP($AW216&amp;"初始",$O$3:$AA$63,MATCH(BB$3,$O$3:$AA$3,0),FALSE)+(VLOOKUP($AW216&amp;"最终",$O$3:$AA$63,MATCH(BB$3,$O$3:$AA$3,0),FALSE)-VLOOKUP($AW216&amp;"初始",$O$3:$AA$63,MATCH(BB$3,$O$3:$AA$3,0),FALSE))*$AY216/VLOOKUP(VLOOKUP($AW216,坦克个性化设定!$B$18:$E$48,4,FALSE)&amp;$AX216,坦克属性分配比例,MATCH("升星次数",坦克属性分配比例标头,0),FALSE)*(VLOOKUP(VLOOKUP($AW216,坦克个性化设定!$B$18:$E$48,4,FALSE)&amp;$AX216,坦克属性分配比例,MATCH("升星比例",坦克属性分配比例标头,0),FALSE)+VLOOKUP(VLOOKUP($AW216,坦克个性化设定!$B$18:$E$48,4,FALSE)&amp;$AX216,坦克属性分配比例,MATCH("部件比例",坦克属性分配比例标头,0),FALSE)*$C$3),0)</f>
        <v>1049</v>
      </c>
      <c r="BC216" s="654">
        <f ca="1">ROUND(VLOOKUP($AW216&amp;"初始",$O$3:$AA$63,MATCH(BC$3,$O$3:$AA$3,0),FALSE)+(VLOOKUP($AW216&amp;"最终",$O$3:$AA$63,MATCH(BC$3,$O$3:$AA$3,0),FALSE)-VLOOKUP($AW216&amp;"初始",$O$3:$AA$63,MATCH(BC$3,$O$3:$AA$3,0),FALSE))*$AY216/VLOOKUP(VLOOKUP($AW216,坦克个性化设定!$B$18:$E$48,4,FALSE)&amp;$AX216,坦克属性分配比例,MATCH("升星次数",坦克属性分配比例标头,0),FALSE)*(VLOOKUP(VLOOKUP($AW216,坦克个性化设定!$B$18:$E$48,4,FALSE)&amp;$AX216,坦克属性分配比例,MATCH("升星比例",坦克属性分配比例标头,0),FALSE)+VLOOKUP(VLOOKUP($AW216,坦克个性化设定!$B$18:$E$48,4,FALSE)&amp;$AX216,坦克属性分配比例,MATCH("部件比例",坦克属性分配比例标头,0),FALSE)*$C$3),0)</f>
        <v>787</v>
      </c>
      <c r="BD216" s="654">
        <f ca="1">ROUND(VLOOKUP($AW216&amp;"初始",$O$3:$AA$63,MATCH(BD$3,$O$3:$AA$3,0),FALSE)+(VLOOKUP($AW216&amp;"最终",$O$3:$AA$63,MATCH(BD$3,$O$3:$AA$3,0),FALSE)-VLOOKUP($AW216&amp;"初始",$O$3:$AA$63,MATCH(BD$3,$O$3:$AA$3,0),FALSE))*$AY216/VLOOKUP(VLOOKUP($AW216,坦克个性化设定!$B$18:$E$48,4,FALSE)&amp;$AX216,坦克属性分配比例,MATCH("升星次数",坦克属性分配比例标头,0),FALSE)*VLOOKUP(VLOOKUP($AW216,坦克个性化设定!$B$18:$E$48,4,FALSE)&amp;$AX216,坦克属性分配比例,MATCH("升星比例",坦克属性分配比例标头,0),FALSE),0)</f>
        <v>963</v>
      </c>
      <c r="BE216" s="654">
        <f ca="1">ROUND(VLOOKUP($AW216&amp;"初始",$O$3:$AA$63,MATCH(BE$3,$O$3:$AA$3,0),FALSE)+(VLOOKUP($AW216&amp;"最终",$O$3:$AA$63,MATCH(BE$3,$O$3:$AA$3,0),FALSE)-VLOOKUP($AW216&amp;"初始",$O$3:$AA$63,MATCH(BE$3,$O$3:$AA$3,0),FALSE))*$AY216/VLOOKUP(VLOOKUP($AW216,坦克个性化设定!$B$18:$E$48,4,FALSE)&amp;$AX216,坦克属性分配比例,MATCH("升星次数",坦克属性分配比例标头,0),FALSE),0)</f>
        <v>312</v>
      </c>
      <c r="BF216" s="654">
        <f>ROUND(VLOOKUP($AW216,$AD$3:$AJ$33,MATCH(BF$3,$AD$3:$AJ$3,0),FALSE)+$AY216/VLOOKUP(VLOOKUP($AW216,坦克个性化设定!$B$18:$E$48,4,FALSE)&amp;$AX216,坦克属性分配比例,MATCH("升星次数",坦克属性分配比例标头,0),FALSE)*VLOOKUP($AW216,$AM$3:$AS$33,MATCH(BF$3,$AM$3:$AS$3,0),FALSE),1)</f>
        <v>44.3</v>
      </c>
      <c r="BG216" s="654">
        <f>ROUND(VLOOKUP($AW216,$AD$3:$AJ$33,MATCH(BG$3,$AD$3:$AJ$3,0),FALSE)+$AY216/VLOOKUP(VLOOKUP($AW216,坦克个性化设定!$B$18:$E$48,4,FALSE)&amp;$AX216,坦克属性分配比例,MATCH("升星次数",坦克属性分配比例标头,0),FALSE)*VLOOKUP($AW216,$AM$3:$AS$33,MATCH(BG$3,$AM$3:$AS$3,0),FALSE),1)</f>
        <v>62.3</v>
      </c>
      <c r="BH216" s="654">
        <f>ROUND(VLOOKUP($AW216,$AD$3:$AJ$33,MATCH(BH$3,$AD$3:$AJ$3,0),FALSE)+$AY216/VLOOKUP(VLOOKUP($AW216,坦克个性化设定!$B$18:$E$48,4,FALSE)&amp;$AX216,坦克属性分配比例,MATCH("升星次数",坦克属性分配比例标头,0),FALSE)*VLOOKUP($AW216,$AM$3:$AS$33,MATCH(BH$3,$AM$3:$AS$3,0),FALSE),1)</f>
        <v>14.6</v>
      </c>
      <c r="BI216" s="654">
        <f>IF(VLOOKUP(AW216,坦克个性化设定!$B$18:$BB$48,MATCH("装弹类型",坦克个性化设定!$B$18:$BB$18,0),FALSE)="弹夹换弹",0,ROUND(VLOOKUP($AW216,$AD$3:$AJ$33,MATCH("换弹时间",$AD$3:$AJ$3,0),FALSE)-$AY216/VLOOKUP(VLOOKUP($AW216,坦克个性化设定!$B$18:$E$48,4,FALSE)&amp;$AX216,坦克属性分配比例,MATCH("升星次数",坦克属性分配比例标头,0),FALSE)*VLOOKUP($AW216,$AM$3:$AS$33,MATCH("换弹时间",$AM$3:$AS$3,0),FALSE),2))</f>
        <v>3.53</v>
      </c>
      <c r="BJ216" s="654">
        <f>IF(VLOOKUP(AW216,坦克个性化设定!$B$18:$BB$48,MATCH("装弹类型",坦克个性化设定!$B$18:$BB$18,0),FALSE)="弹夹换弹",ROUND(VLOOKUP($AW216,$AD$3:$AJ$33,MATCH("换弹时间",$AD$3:$AJ$3,0),FALSE)-$AY216/VLOOKUP(VLOOKUP($AW216,坦克个性化设定!$B$18:$E$48,4,FALSE)&amp;$AX216,坦克属性分配比例,MATCH("升星次数",坦克属性分配比例标头,0),FALSE)*VLOOKUP($AW216,$AM$3:$AS$33,MATCH("换弹时间",$AM$3:$AS$3,0),FALSE),1),0)</f>
        <v>0</v>
      </c>
      <c r="BK216" s="654">
        <f>ROUND(VLOOKUP($AW216,$AD$3:$AJ$33,MATCH(BK$3,$AD$3:$AJ$3,0),FALSE)+$AY216/VLOOKUP(VLOOKUP($AW216,坦克个性化设定!$B$18:$E$48,4,FALSE)&amp;$AX216,坦克属性分配比例,MATCH("升星次数",坦克属性分配比例标头,0),FALSE)*VLOOKUP($AW216,$AM$3:$AS$33,MATCH(BK$3,$AM$3:$AS$3,0),FALSE),2)</f>
        <v>0</v>
      </c>
      <c r="BL216" s="654">
        <f>ROUND(VLOOKUP($AW216,$AD$3:$AJ$33,MATCH(BL$3,$AD$3:$AJ$3,0),FALSE)-$AY216/VLOOKUP(VLOOKUP($AW216,坦克个性化设定!$B$18:$E$48,4,FALSE)&amp;$AX216,坦克属性分配比例,MATCH("升星次数",坦克属性分配比例标头,0),FALSE)*VLOOKUP($AW216,$AM$3:$AS$33,MATCH(BL$3,$AM$3:$AS$3,0),FALSE),2)</f>
        <v>2.0499999999999998</v>
      </c>
    </row>
    <row r="217" spans="47:64" x14ac:dyDescent="0.35">
      <c r="AU217" s="372" t="str">
        <f t="shared" si="27"/>
        <v>潘兴16</v>
      </c>
      <c r="AV217" s="654">
        <f>IF(AY216&gt;=VLOOKUP(VLOOKUP(AW216,坦克个性化设定!$B$18:$E$48,4,FALSE)&amp;AX216,坦克属性分配比例,MATCH("升星次数",坦克属性分配比例标头,0),FALSE),AV216+1,AV216)</f>
        <v>18</v>
      </c>
      <c r="AW217" s="649" t="str">
        <f t="shared" si="28"/>
        <v>潘兴</v>
      </c>
      <c r="AX217" s="650" t="str">
        <f>VLOOKUP(AW217,坦克个性化细分!$I$3:$J$33,2,FALSE)</f>
        <v>中</v>
      </c>
      <c r="AY217" s="654">
        <f t="shared" si="29"/>
        <v>16</v>
      </c>
      <c r="AZ217" s="654">
        <f ca="1">ROUND(VLOOKUP($AW217&amp;"初始",$O$3:$AA$63,MATCH(AZ$3,$O$3:$AA$3,0),FALSE)+((VLOOKUP($AW217&amp;"最终",$O$3:$AA$63,MATCH(AZ$3,$O$3:$AA$3,0),FALSE)*坦克个性化细分!$C$9-VLOOKUP($AW217&amp;"初始",$O$3:$AA$63,MATCH(AZ$3,$O$3:$AA$3,0),FALSE))-(VLOOKUP($AW217&amp;"最终",$O$3:$AA$63,MATCH(AZ$3,$O$3:$AA$3,0),FALSE)-VLOOKUP($AW217&amp;"初始",$O$3:$AA$63,MATCH(AZ$3,$O$3:$AA$3,0),FALSE))*VLOOKUP(VLOOKUP($AW217,坦克个性化设定!$B$18:$E$48,4,FALSE)&amp;$AX217,坦克属性分配比例,MATCH("部件比例",坦克属性分配比例标头,0),FALSE))*$AY217/VLOOKUP(VLOOKUP($AW217,坦克个性化设定!$B$18:$E$48,4,FALSE)&amp;$AX217,坦克属性分配比例,MATCH("升星次数",坦克属性分配比例标头,0),FALSE),0)</f>
        <v>3310</v>
      </c>
      <c r="BA217" s="654">
        <f ca="1">ROUND(VLOOKUP($AW217&amp;"初始",$O$3:$AA$63,MATCH(BA$3,$O$3:$AA$3,0),FALSE)+(VLOOKUP($AW217&amp;"最终",$O$3:$AA$63,MATCH(BA$3,$O$3:$AA$3,0),FALSE)-VLOOKUP($AW217&amp;"初始",$O$3:$AA$63,MATCH(BA$3,$O$3:$AA$3,0),FALSE))*$AY217/VLOOKUP(VLOOKUP($AW217,坦克个性化设定!$B$18:$E$48,4,FALSE)&amp;$AX217,坦克属性分配比例,MATCH("升星次数",坦克属性分配比例标头,0),FALSE)*VLOOKUP(VLOOKUP($AW217,坦克个性化设定!$B$18:$E$48,4,FALSE)&amp;$AX217,坦克属性分配比例,MATCH("升星比例",坦克属性分配比例标头,0),FALSE),0)</f>
        <v>423</v>
      </c>
      <c r="BB217" s="654">
        <f ca="1">ROUND(VLOOKUP($AW217&amp;"初始",$O$3:$AA$63,MATCH(BB$3,$O$3:$AA$3,0),FALSE)+(VLOOKUP($AW217&amp;"最终",$O$3:$AA$63,MATCH(BB$3,$O$3:$AA$3,0),FALSE)-VLOOKUP($AW217&amp;"初始",$O$3:$AA$63,MATCH(BB$3,$O$3:$AA$3,0),FALSE))*$AY217/VLOOKUP(VLOOKUP($AW217,坦克个性化设定!$B$18:$E$48,4,FALSE)&amp;$AX217,坦克属性分配比例,MATCH("升星次数",坦克属性分配比例标头,0),FALSE)*(VLOOKUP(VLOOKUP($AW217,坦克个性化设定!$B$18:$E$48,4,FALSE)&amp;$AX217,坦克属性分配比例,MATCH("升星比例",坦克属性分配比例标头,0),FALSE)+VLOOKUP(VLOOKUP($AW217,坦克个性化设定!$B$18:$E$48,4,FALSE)&amp;$AX217,坦克属性分配比例,MATCH("部件比例",坦克属性分配比例标头,0),FALSE)*$C$3),0)</f>
        <v>1076</v>
      </c>
      <c r="BC217" s="654">
        <f ca="1">ROUND(VLOOKUP($AW217&amp;"初始",$O$3:$AA$63,MATCH(BC$3,$O$3:$AA$3,0),FALSE)+(VLOOKUP($AW217&amp;"最终",$O$3:$AA$63,MATCH(BC$3,$O$3:$AA$3,0),FALSE)-VLOOKUP($AW217&amp;"初始",$O$3:$AA$63,MATCH(BC$3,$O$3:$AA$3,0),FALSE))*$AY217/VLOOKUP(VLOOKUP($AW217,坦克个性化设定!$B$18:$E$48,4,FALSE)&amp;$AX217,坦克属性分配比例,MATCH("升星次数",坦克属性分配比例标头,0),FALSE)*(VLOOKUP(VLOOKUP($AW217,坦克个性化设定!$B$18:$E$48,4,FALSE)&amp;$AX217,坦克属性分配比例,MATCH("升星比例",坦克属性分配比例标头,0),FALSE)+VLOOKUP(VLOOKUP($AW217,坦克个性化设定!$B$18:$E$48,4,FALSE)&amp;$AX217,坦克属性分配比例,MATCH("部件比例",坦克属性分配比例标头,0),FALSE)*$C$3),0)</f>
        <v>807</v>
      </c>
      <c r="BD217" s="654">
        <f ca="1">ROUND(VLOOKUP($AW217&amp;"初始",$O$3:$AA$63,MATCH(BD$3,$O$3:$AA$3,0),FALSE)+(VLOOKUP($AW217&amp;"最终",$O$3:$AA$63,MATCH(BD$3,$O$3:$AA$3,0),FALSE)-VLOOKUP($AW217&amp;"初始",$O$3:$AA$63,MATCH(BD$3,$O$3:$AA$3,0),FALSE))*$AY217/VLOOKUP(VLOOKUP($AW217,坦克个性化设定!$B$18:$E$48,4,FALSE)&amp;$AX217,坦克属性分配比例,MATCH("升星次数",坦克属性分配比例标头,0),FALSE)*VLOOKUP(VLOOKUP($AW217,坦克个性化设定!$B$18:$E$48,4,FALSE)&amp;$AX217,坦克属性分配比例,MATCH("升星比例",坦克属性分配比例标头,0),FALSE),0)</f>
        <v>980</v>
      </c>
      <c r="BE217" s="654">
        <f ca="1">ROUND(VLOOKUP($AW217&amp;"初始",$O$3:$AA$63,MATCH(BE$3,$O$3:$AA$3,0),FALSE)+(VLOOKUP($AW217&amp;"最终",$O$3:$AA$63,MATCH(BE$3,$O$3:$AA$3,0),FALSE)-VLOOKUP($AW217&amp;"初始",$O$3:$AA$63,MATCH(BE$3,$O$3:$AA$3,0),FALSE))*$AY217/VLOOKUP(VLOOKUP($AW217,坦克个性化设定!$B$18:$E$48,4,FALSE)&amp;$AX217,坦克属性分配比例,MATCH("升星次数",坦克属性分配比例标头,0),FALSE),0)</f>
        <v>321</v>
      </c>
      <c r="BF217" s="654">
        <f>ROUND(VLOOKUP($AW217,$AD$3:$AJ$33,MATCH(BF$3,$AD$3:$AJ$3,0),FALSE)+$AY217/VLOOKUP(VLOOKUP($AW217,坦克个性化设定!$B$18:$E$48,4,FALSE)&amp;$AX217,坦克属性分配比例,MATCH("升星次数",坦克属性分配比例标头,0),FALSE)*VLOOKUP($AW217,$AM$3:$AS$33,MATCH(BF$3,$AM$3:$AS$3,0),FALSE),1)</f>
        <v>44.8</v>
      </c>
      <c r="BG217" s="654">
        <f>ROUND(VLOOKUP($AW217,$AD$3:$AJ$33,MATCH(BG$3,$AD$3:$AJ$3,0),FALSE)+$AY217/VLOOKUP(VLOOKUP($AW217,坦克个性化设定!$B$18:$E$48,4,FALSE)&amp;$AX217,坦克属性分配比例,MATCH("升星次数",坦克属性分配比例标头,0),FALSE)*VLOOKUP($AW217,$AM$3:$AS$33,MATCH(BG$3,$AM$3:$AS$3,0),FALSE),1)</f>
        <v>63</v>
      </c>
      <c r="BH217" s="654">
        <f>ROUND(VLOOKUP($AW217,$AD$3:$AJ$33,MATCH(BH$3,$AD$3:$AJ$3,0),FALSE)+$AY217/VLOOKUP(VLOOKUP($AW217,坦克个性化设定!$B$18:$E$48,4,FALSE)&amp;$AX217,坦克属性分配比例,MATCH("升星次数",坦克属性分配比例标头,0),FALSE)*VLOOKUP($AW217,$AM$3:$AS$33,MATCH(BH$3,$AM$3:$AS$3,0),FALSE),1)</f>
        <v>14.8</v>
      </c>
      <c r="BI217" s="654">
        <f>IF(VLOOKUP(AW217,坦克个性化设定!$B$18:$BB$48,MATCH("装弹类型",坦克个性化设定!$B$18:$BB$18,0),FALSE)="弹夹换弹",0,ROUND(VLOOKUP($AW217,$AD$3:$AJ$33,MATCH("换弹时间",$AD$3:$AJ$3,0),FALSE)-$AY217/VLOOKUP(VLOOKUP($AW217,坦克个性化设定!$B$18:$E$48,4,FALSE)&amp;$AX217,坦克属性分配比例,MATCH("升星次数",坦克属性分配比例标头,0),FALSE)*VLOOKUP($AW217,$AM$3:$AS$33,MATCH("换弹时间",$AM$3:$AS$3,0),FALSE),2))</f>
        <v>3.47</v>
      </c>
      <c r="BJ217" s="654">
        <f>IF(VLOOKUP(AW217,坦克个性化设定!$B$18:$BB$48,MATCH("装弹类型",坦克个性化设定!$B$18:$BB$18,0),FALSE)="弹夹换弹",ROUND(VLOOKUP($AW217,$AD$3:$AJ$33,MATCH("换弹时间",$AD$3:$AJ$3,0),FALSE)-$AY217/VLOOKUP(VLOOKUP($AW217,坦克个性化设定!$B$18:$E$48,4,FALSE)&amp;$AX217,坦克属性分配比例,MATCH("升星次数",坦克属性分配比例标头,0),FALSE)*VLOOKUP($AW217,$AM$3:$AS$33,MATCH("换弹时间",$AM$3:$AS$3,0),FALSE),1),0)</f>
        <v>0</v>
      </c>
      <c r="BK217" s="654">
        <f>ROUND(VLOOKUP($AW217,$AD$3:$AJ$33,MATCH(BK$3,$AD$3:$AJ$3,0),FALSE)+$AY217/VLOOKUP(VLOOKUP($AW217,坦克个性化设定!$B$18:$E$48,4,FALSE)&amp;$AX217,坦克属性分配比例,MATCH("升星次数",坦克属性分配比例标头,0),FALSE)*VLOOKUP($AW217,$AM$3:$AS$33,MATCH(BK$3,$AM$3:$AS$3,0),FALSE),2)</f>
        <v>0</v>
      </c>
      <c r="BL217" s="654">
        <f>ROUND(VLOOKUP($AW217,$AD$3:$AJ$33,MATCH(BL$3,$AD$3:$AJ$3,0),FALSE)-$AY217/VLOOKUP(VLOOKUP($AW217,坦克个性化设定!$B$18:$E$48,4,FALSE)&amp;$AX217,坦克属性分配比例,MATCH("升星次数",坦克属性分配比例标头,0),FALSE)*VLOOKUP($AW217,$AM$3:$AS$33,MATCH(BL$3,$AM$3:$AS$3,0),FALSE),2)</f>
        <v>2.02</v>
      </c>
    </row>
    <row r="218" spans="47:64" x14ac:dyDescent="0.35">
      <c r="AU218" s="372" t="str">
        <f t="shared" si="27"/>
        <v>潘兴17</v>
      </c>
      <c r="AV218" s="654">
        <f>IF(AY217&gt;=VLOOKUP(VLOOKUP(AW217,坦克个性化设定!$B$18:$E$48,4,FALSE)&amp;AX217,坦克属性分配比例,MATCH("升星次数",坦克属性分配比例标头,0),FALSE),AV217+1,AV217)</f>
        <v>18</v>
      </c>
      <c r="AW218" s="649" t="str">
        <f t="shared" si="28"/>
        <v>潘兴</v>
      </c>
      <c r="AX218" s="650" t="str">
        <f>VLOOKUP(AW218,坦克个性化细分!$I$3:$J$33,2,FALSE)</f>
        <v>中</v>
      </c>
      <c r="AY218" s="654">
        <f t="shared" si="29"/>
        <v>17</v>
      </c>
      <c r="AZ218" s="654">
        <f ca="1">ROUND(VLOOKUP($AW218&amp;"初始",$O$3:$AA$63,MATCH(AZ$3,$O$3:$AA$3,0),FALSE)+((VLOOKUP($AW218&amp;"最终",$O$3:$AA$63,MATCH(AZ$3,$O$3:$AA$3,0),FALSE)*坦克个性化细分!$C$9-VLOOKUP($AW218&amp;"初始",$O$3:$AA$63,MATCH(AZ$3,$O$3:$AA$3,0),FALSE))-(VLOOKUP($AW218&amp;"最终",$O$3:$AA$63,MATCH(AZ$3,$O$3:$AA$3,0),FALSE)-VLOOKUP($AW218&amp;"初始",$O$3:$AA$63,MATCH(AZ$3,$O$3:$AA$3,0),FALSE))*VLOOKUP(VLOOKUP($AW218,坦克个性化设定!$B$18:$E$48,4,FALSE)&amp;$AX218,坦克属性分配比例,MATCH("部件比例",坦克属性分配比例标头,0),FALSE))*$AY218/VLOOKUP(VLOOKUP($AW218,坦克个性化设定!$B$18:$E$48,4,FALSE)&amp;$AX218,坦克属性分配比例,MATCH("升星次数",坦克属性分配比例标头,0),FALSE),0)</f>
        <v>3410</v>
      </c>
      <c r="BA218" s="654">
        <f ca="1">ROUND(VLOOKUP($AW218&amp;"初始",$O$3:$AA$63,MATCH(BA$3,$O$3:$AA$3,0),FALSE)+(VLOOKUP($AW218&amp;"最终",$O$3:$AA$63,MATCH(BA$3,$O$3:$AA$3,0),FALSE)-VLOOKUP($AW218&amp;"初始",$O$3:$AA$63,MATCH(BA$3,$O$3:$AA$3,0),FALSE))*$AY218/VLOOKUP(VLOOKUP($AW218,坦克个性化设定!$B$18:$E$48,4,FALSE)&amp;$AX218,坦克属性分配比例,MATCH("升星次数",坦克属性分配比例标头,0),FALSE)*VLOOKUP(VLOOKUP($AW218,坦克个性化设定!$B$18:$E$48,4,FALSE)&amp;$AX218,坦克属性分配比例,MATCH("升星比例",坦克属性分配比例标头,0),FALSE),0)</f>
        <v>431</v>
      </c>
      <c r="BB218" s="654">
        <f ca="1">ROUND(VLOOKUP($AW218&amp;"初始",$O$3:$AA$63,MATCH(BB$3,$O$3:$AA$3,0),FALSE)+(VLOOKUP($AW218&amp;"最终",$O$3:$AA$63,MATCH(BB$3,$O$3:$AA$3,0),FALSE)-VLOOKUP($AW218&amp;"初始",$O$3:$AA$63,MATCH(BB$3,$O$3:$AA$3,0),FALSE))*$AY218/VLOOKUP(VLOOKUP($AW218,坦克个性化设定!$B$18:$E$48,4,FALSE)&amp;$AX218,坦克属性分配比例,MATCH("升星次数",坦克属性分配比例标头,0),FALSE)*(VLOOKUP(VLOOKUP($AW218,坦克个性化设定!$B$18:$E$48,4,FALSE)&amp;$AX218,坦克属性分配比例,MATCH("升星比例",坦克属性分配比例标头,0),FALSE)+VLOOKUP(VLOOKUP($AW218,坦克个性化设定!$B$18:$E$48,4,FALSE)&amp;$AX218,坦克属性分配比例,MATCH("部件比例",坦克属性分配比例标头,0),FALSE)*$C$3),0)</f>
        <v>1103</v>
      </c>
      <c r="BC218" s="654">
        <f ca="1">ROUND(VLOOKUP($AW218&amp;"初始",$O$3:$AA$63,MATCH(BC$3,$O$3:$AA$3,0),FALSE)+(VLOOKUP($AW218&amp;"最终",$O$3:$AA$63,MATCH(BC$3,$O$3:$AA$3,0),FALSE)-VLOOKUP($AW218&amp;"初始",$O$3:$AA$63,MATCH(BC$3,$O$3:$AA$3,0),FALSE))*$AY218/VLOOKUP(VLOOKUP($AW218,坦克个性化设定!$B$18:$E$48,4,FALSE)&amp;$AX218,坦克属性分配比例,MATCH("升星次数",坦克属性分配比例标头,0),FALSE)*(VLOOKUP(VLOOKUP($AW218,坦克个性化设定!$B$18:$E$48,4,FALSE)&amp;$AX218,坦克属性分配比例,MATCH("升星比例",坦克属性分配比例标头,0),FALSE)+VLOOKUP(VLOOKUP($AW218,坦克个性化设定!$B$18:$E$48,4,FALSE)&amp;$AX218,坦克属性分配比例,MATCH("部件比例",坦克属性分配比例标头,0),FALSE)*$C$3),0)</f>
        <v>827</v>
      </c>
      <c r="BD218" s="654">
        <f ca="1">ROUND(VLOOKUP($AW218&amp;"初始",$O$3:$AA$63,MATCH(BD$3,$O$3:$AA$3,0),FALSE)+(VLOOKUP($AW218&amp;"最终",$O$3:$AA$63,MATCH(BD$3,$O$3:$AA$3,0),FALSE)-VLOOKUP($AW218&amp;"初始",$O$3:$AA$63,MATCH(BD$3,$O$3:$AA$3,0),FALSE))*$AY218/VLOOKUP(VLOOKUP($AW218,坦克个性化设定!$B$18:$E$48,4,FALSE)&amp;$AX218,坦克属性分配比例,MATCH("升星次数",坦克属性分配比例标头,0),FALSE)*VLOOKUP(VLOOKUP($AW218,坦克个性化设定!$B$18:$E$48,4,FALSE)&amp;$AX218,坦克属性分配比例,MATCH("升星比例",坦克属性分配比例标头,0),FALSE),0)</f>
        <v>997</v>
      </c>
      <c r="BE218" s="654">
        <f ca="1">ROUND(VLOOKUP($AW218&amp;"初始",$O$3:$AA$63,MATCH(BE$3,$O$3:$AA$3,0),FALSE)+(VLOOKUP($AW218&amp;"最终",$O$3:$AA$63,MATCH(BE$3,$O$3:$AA$3,0),FALSE)-VLOOKUP($AW218&amp;"初始",$O$3:$AA$63,MATCH(BE$3,$O$3:$AA$3,0),FALSE))*$AY218/VLOOKUP(VLOOKUP($AW218,坦克个性化设定!$B$18:$E$48,4,FALSE)&amp;$AX218,坦克属性分配比例,MATCH("升星次数",坦克属性分配比例标头,0),FALSE),0)</f>
        <v>330</v>
      </c>
      <c r="BF218" s="654">
        <f>ROUND(VLOOKUP($AW218,$AD$3:$AJ$33,MATCH(BF$3,$AD$3:$AJ$3,0),FALSE)+$AY218/VLOOKUP(VLOOKUP($AW218,坦克个性化设定!$B$18:$E$48,4,FALSE)&amp;$AX218,坦克属性分配比例,MATCH("升星次数",坦克属性分配比例标头,0),FALSE)*VLOOKUP($AW218,$AM$3:$AS$33,MATCH(BF$3,$AM$3:$AS$3,0),FALSE),1)</f>
        <v>45.4</v>
      </c>
      <c r="BG218" s="654">
        <f>ROUND(VLOOKUP($AW218,$AD$3:$AJ$33,MATCH(BG$3,$AD$3:$AJ$3,0),FALSE)+$AY218/VLOOKUP(VLOOKUP($AW218,坦克个性化设定!$B$18:$E$48,4,FALSE)&amp;$AX218,坦克属性分配比例,MATCH("升星次数",坦克属性分配比例标头,0),FALSE)*VLOOKUP($AW218,$AM$3:$AS$33,MATCH(BG$3,$AM$3:$AS$3,0),FALSE),1)</f>
        <v>63.8</v>
      </c>
      <c r="BH218" s="654">
        <f>ROUND(VLOOKUP($AW218,$AD$3:$AJ$33,MATCH(BH$3,$AD$3:$AJ$3,0),FALSE)+$AY218/VLOOKUP(VLOOKUP($AW218,坦克个性化设定!$B$18:$E$48,4,FALSE)&amp;$AX218,坦克属性分配比例,MATCH("升星次数",坦克属性分配比例标头,0),FALSE)*VLOOKUP($AW218,$AM$3:$AS$33,MATCH(BH$3,$AM$3:$AS$3,0),FALSE),1)</f>
        <v>15</v>
      </c>
      <c r="BI218" s="654">
        <f>IF(VLOOKUP(AW218,坦克个性化设定!$B$18:$BB$48,MATCH("装弹类型",坦克个性化设定!$B$18:$BB$18,0),FALSE)="弹夹换弹",0,ROUND(VLOOKUP($AW218,$AD$3:$AJ$33,MATCH("换弹时间",$AD$3:$AJ$3,0),FALSE)-$AY218/VLOOKUP(VLOOKUP($AW218,坦克个性化设定!$B$18:$E$48,4,FALSE)&amp;$AX218,坦克属性分配比例,MATCH("升星次数",坦克属性分配比例标头,0),FALSE)*VLOOKUP($AW218,$AM$3:$AS$33,MATCH("换弹时间",$AM$3:$AS$3,0),FALSE),2))</f>
        <v>3.4</v>
      </c>
      <c r="BJ218" s="654">
        <f>IF(VLOOKUP(AW218,坦克个性化设定!$B$18:$BB$48,MATCH("装弹类型",坦克个性化设定!$B$18:$BB$18,0),FALSE)="弹夹换弹",ROUND(VLOOKUP($AW218,$AD$3:$AJ$33,MATCH("换弹时间",$AD$3:$AJ$3,0),FALSE)-$AY218/VLOOKUP(VLOOKUP($AW218,坦克个性化设定!$B$18:$E$48,4,FALSE)&amp;$AX218,坦克属性分配比例,MATCH("升星次数",坦克属性分配比例标头,0),FALSE)*VLOOKUP($AW218,$AM$3:$AS$33,MATCH("换弹时间",$AM$3:$AS$3,0),FALSE),1),0)</f>
        <v>0</v>
      </c>
      <c r="BK218" s="654">
        <f>ROUND(VLOOKUP($AW218,$AD$3:$AJ$33,MATCH(BK$3,$AD$3:$AJ$3,0),FALSE)+$AY218/VLOOKUP(VLOOKUP($AW218,坦克个性化设定!$B$18:$E$48,4,FALSE)&amp;$AX218,坦克属性分配比例,MATCH("升星次数",坦克属性分配比例标头,0),FALSE)*VLOOKUP($AW218,$AM$3:$AS$33,MATCH(BK$3,$AM$3:$AS$3,0),FALSE),2)</f>
        <v>0</v>
      </c>
      <c r="BL218" s="654">
        <f>ROUND(VLOOKUP($AW218,$AD$3:$AJ$33,MATCH(BL$3,$AD$3:$AJ$3,0),FALSE)-$AY218/VLOOKUP(VLOOKUP($AW218,坦克个性化设定!$B$18:$E$48,4,FALSE)&amp;$AX218,坦克属性分配比例,MATCH("升星次数",坦克属性分配比例标头,0),FALSE)*VLOOKUP($AW218,$AM$3:$AS$33,MATCH(BL$3,$AM$3:$AS$3,0),FALSE),2)</f>
        <v>2</v>
      </c>
    </row>
    <row r="219" spans="47:64" x14ac:dyDescent="0.35">
      <c r="AU219" s="372" t="str">
        <f t="shared" si="27"/>
        <v>百夫长0</v>
      </c>
      <c r="AV219" s="654">
        <f>IF(AY218&gt;=VLOOKUP(VLOOKUP(AW218,坦克个性化设定!$B$18:$E$48,4,FALSE)&amp;AX218,坦克属性分配比例,MATCH("升星次数",坦克属性分配比例标头,0),FALSE),AV218+1,AV218)</f>
        <v>19</v>
      </c>
      <c r="AW219" s="649" t="str">
        <f t="shared" si="28"/>
        <v>百夫长</v>
      </c>
      <c r="AX219" s="650" t="str">
        <f>VLOOKUP(AW219,坦克个性化细分!$I$3:$J$33,2,FALSE)</f>
        <v>高</v>
      </c>
      <c r="AY219" s="654">
        <f t="shared" si="29"/>
        <v>0</v>
      </c>
      <c r="AZ219" s="654">
        <f ca="1">ROUND(VLOOKUP($AW219&amp;"初始",$O$3:$AA$63,MATCH(AZ$3,$O$3:$AA$3,0),FALSE)+((VLOOKUP($AW219&amp;"最终",$O$3:$AA$63,MATCH(AZ$3,$O$3:$AA$3,0),FALSE)*坦克个性化细分!$C$9-VLOOKUP($AW219&amp;"初始",$O$3:$AA$63,MATCH(AZ$3,$O$3:$AA$3,0),FALSE))-(VLOOKUP($AW219&amp;"最终",$O$3:$AA$63,MATCH(AZ$3,$O$3:$AA$3,0),FALSE)-VLOOKUP($AW219&amp;"初始",$O$3:$AA$63,MATCH(AZ$3,$O$3:$AA$3,0),FALSE))*VLOOKUP(VLOOKUP($AW219,坦克个性化设定!$B$18:$E$48,4,FALSE)&amp;$AX219,坦克属性分配比例,MATCH("部件比例",坦克属性分配比例标头,0),FALSE))*$AY219/VLOOKUP(VLOOKUP($AW219,坦克个性化设定!$B$18:$E$48,4,FALSE)&amp;$AX219,坦克属性分配比例,MATCH("升星次数",坦克属性分配比例标头,0),FALSE),0)</f>
        <v>2041</v>
      </c>
      <c r="BA219" s="654">
        <f ca="1">ROUND(VLOOKUP($AW219&amp;"初始",$O$3:$AA$63,MATCH(BA$3,$O$3:$AA$3,0),FALSE)+(VLOOKUP($AW219&amp;"最终",$O$3:$AA$63,MATCH(BA$3,$O$3:$AA$3,0),FALSE)-VLOOKUP($AW219&amp;"初始",$O$3:$AA$63,MATCH(BA$3,$O$3:$AA$3,0),FALSE))*$AY219/VLOOKUP(VLOOKUP($AW219,坦克个性化设定!$B$18:$E$48,4,FALSE)&amp;$AX219,坦克属性分配比例,MATCH("升星次数",坦克属性分配比例标头,0),FALSE)*VLOOKUP(VLOOKUP($AW219,坦克个性化设定!$B$18:$E$48,4,FALSE)&amp;$AX219,坦克属性分配比例,MATCH("升星比例",坦克属性分配比例标头,0),FALSE),0)</f>
        <v>271</v>
      </c>
      <c r="BB219" s="654">
        <f ca="1">ROUND(VLOOKUP($AW219&amp;"初始",$O$3:$AA$63,MATCH(BB$3,$O$3:$AA$3,0),FALSE)+(VLOOKUP($AW219&amp;"最终",$O$3:$AA$63,MATCH(BB$3,$O$3:$AA$3,0),FALSE)-VLOOKUP($AW219&amp;"初始",$O$3:$AA$63,MATCH(BB$3,$O$3:$AA$3,0),FALSE))*$AY219/VLOOKUP(VLOOKUP($AW219,坦克个性化设定!$B$18:$E$48,4,FALSE)&amp;$AX219,坦克属性分配比例,MATCH("升星次数",坦克属性分配比例标头,0),FALSE)*(VLOOKUP(VLOOKUP($AW219,坦克个性化设定!$B$18:$E$48,4,FALSE)&amp;$AX219,坦克属性分配比例,MATCH("升星比例",坦克属性分配比例标头,0),FALSE)+VLOOKUP(VLOOKUP($AW219,坦克个性化设定!$B$18:$E$48,4,FALSE)&amp;$AX219,坦克属性分配比例,MATCH("部件比例",坦克属性分配比例标头,0),FALSE)*$C$3),0)</f>
        <v>677</v>
      </c>
      <c r="BC219" s="654">
        <f ca="1">ROUND(VLOOKUP($AW219&amp;"初始",$O$3:$AA$63,MATCH(BC$3,$O$3:$AA$3,0),FALSE)+(VLOOKUP($AW219&amp;"最终",$O$3:$AA$63,MATCH(BC$3,$O$3:$AA$3,0),FALSE)-VLOOKUP($AW219&amp;"初始",$O$3:$AA$63,MATCH(BC$3,$O$3:$AA$3,0),FALSE))*$AY219/VLOOKUP(VLOOKUP($AW219,坦克个性化设定!$B$18:$E$48,4,FALSE)&amp;$AX219,坦克属性分配比例,MATCH("升星次数",坦克属性分配比例标头,0),FALSE)*(VLOOKUP(VLOOKUP($AW219,坦克个性化设定!$B$18:$E$48,4,FALSE)&amp;$AX219,坦克属性分配比例,MATCH("升星比例",坦克属性分配比例标头,0),FALSE)+VLOOKUP(VLOOKUP($AW219,坦克个性化设定!$B$18:$E$48,4,FALSE)&amp;$AX219,坦克属性分配比例,MATCH("部件比例",坦克属性分配比例标头,0),FALSE)*$C$3),0)</f>
        <v>508</v>
      </c>
      <c r="BD219" s="654">
        <f ca="1">ROUND(VLOOKUP($AW219&amp;"初始",$O$3:$AA$63,MATCH(BD$3,$O$3:$AA$3,0),FALSE)+(VLOOKUP($AW219&amp;"最终",$O$3:$AA$63,MATCH(BD$3,$O$3:$AA$3,0),FALSE)-VLOOKUP($AW219&amp;"初始",$O$3:$AA$63,MATCH(BD$3,$O$3:$AA$3,0),FALSE))*$AY219/VLOOKUP(VLOOKUP($AW219,坦克个性化设定!$B$18:$E$48,4,FALSE)&amp;$AX219,坦克属性分配比例,MATCH("升星次数",坦克属性分配比例标头,0),FALSE)*VLOOKUP(VLOOKUP($AW219,坦克个性化设定!$B$18:$E$48,4,FALSE)&amp;$AX219,坦克属性分配比例,MATCH("升星比例",坦克属性分配比例标头,0),FALSE),0)</f>
        <v>742</v>
      </c>
      <c r="BE219" s="654">
        <f ca="1">ROUND(VLOOKUP($AW219&amp;"初始",$O$3:$AA$63,MATCH(BE$3,$O$3:$AA$3,0),FALSE)+(VLOOKUP($AW219&amp;"最终",$O$3:$AA$63,MATCH(BE$3,$O$3:$AA$3,0),FALSE)-VLOOKUP($AW219&amp;"初始",$O$3:$AA$63,MATCH(BE$3,$O$3:$AA$3,0),FALSE))*$AY219/VLOOKUP(VLOOKUP($AW219,坦克个性化设定!$B$18:$E$48,4,FALSE)&amp;$AX219,坦克属性分配比例,MATCH("升星次数",坦克属性分配比例标头,0),FALSE),0)</f>
        <v>181</v>
      </c>
      <c r="BF219" s="654">
        <f>ROUND(VLOOKUP($AW219,$AD$3:$AJ$33,MATCH(BF$3,$AD$3:$AJ$3,0),FALSE)+$AY219/VLOOKUP(VLOOKUP($AW219,坦克个性化设定!$B$18:$E$48,4,FALSE)&amp;$AX219,坦克属性分配比例,MATCH("升星次数",坦克属性分配比例标头,0),FALSE)*VLOOKUP($AW219,$AM$3:$AS$33,MATCH(BF$3,$AM$3:$AS$3,0),FALSE),1)</f>
        <v>46.7</v>
      </c>
      <c r="BG219" s="654">
        <f>ROUND(VLOOKUP($AW219,$AD$3:$AJ$33,MATCH(BG$3,$AD$3:$AJ$3,0),FALSE)+$AY219/VLOOKUP(VLOOKUP($AW219,坦克个性化设定!$B$18:$E$48,4,FALSE)&amp;$AX219,坦克属性分配比例,MATCH("升星次数",坦克属性分配比例标头,0),FALSE)*VLOOKUP($AW219,$AM$3:$AS$33,MATCH(BG$3,$AM$3:$AS$3,0),FALSE),1)</f>
        <v>42</v>
      </c>
      <c r="BH219" s="654">
        <f>ROUND(VLOOKUP($AW219,$AD$3:$AJ$33,MATCH(BH$3,$AD$3:$AJ$3,0),FALSE)+$AY219/VLOOKUP(VLOOKUP($AW219,坦克个性化设定!$B$18:$E$48,4,FALSE)&amp;$AX219,坦克属性分配比例,MATCH("升星次数",坦克属性分配比例标头,0),FALSE)*VLOOKUP($AW219,$AM$3:$AS$33,MATCH(BH$3,$AM$3:$AS$3,0),FALSE),1)</f>
        <v>12.9</v>
      </c>
      <c r="BI219" s="654">
        <f>IF(VLOOKUP(AW219,坦克个性化设定!$B$18:$BB$48,MATCH("装弹类型",坦克个性化设定!$B$18:$BB$18,0),FALSE)="弹夹换弹",0,ROUND(VLOOKUP($AW219,$AD$3:$AJ$33,MATCH("换弹时间",$AD$3:$AJ$3,0),FALSE)-$AY219/VLOOKUP(VLOOKUP($AW219,坦克个性化设定!$B$18:$E$48,4,FALSE)&amp;$AX219,坦克属性分配比例,MATCH("升星次数",坦克属性分配比例标头,0),FALSE)*VLOOKUP($AW219,$AM$3:$AS$33,MATCH("换弹时间",$AM$3:$AS$3,0),FALSE),2))</f>
        <v>4.5</v>
      </c>
      <c r="BJ219" s="654">
        <f>IF(VLOOKUP(AW219,坦克个性化设定!$B$18:$BB$48,MATCH("装弹类型",坦克个性化设定!$B$18:$BB$18,0),FALSE)="弹夹换弹",ROUND(VLOOKUP($AW219,$AD$3:$AJ$33,MATCH("换弹时间",$AD$3:$AJ$3,0),FALSE)-$AY219/VLOOKUP(VLOOKUP($AW219,坦克个性化设定!$B$18:$E$48,4,FALSE)&amp;$AX219,坦克属性分配比例,MATCH("升星次数",坦克属性分配比例标头,0),FALSE)*VLOOKUP($AW219,$AM$3:$AS$33,MATCH("换弹时间",$AM$3:$AS$3,0),FALSE),1),0)</f>
        <v>0</v>
      </c>
      <c r="BK219" s="654">
        <f>ROUND(VLOOKUP($AW219,$AD$3:$AJ$33,MATCH(BK$3,$AD$3:$AJ$3,0),FALSE)+$AY219/VLOOKUP(VLOOKUP($AW219,坦克个性化设定!$B$18:$E$48,4,FALSE)&amp;$AX219,坦克属性分配比例,MATCH("升星次数",坦克属性分配比例标头,0),FALSE)*VLOOKUP($AW219,$AM$3:$AS$33,MATCH(BK$3,$AM$3:$AS$3,0),FALSE),2)</f>
        <v>0</v>
      </c>
      <c r="BL219" s="654">
        <f>ROUND(VLOOKUP($AW219,$AD$3:$AJ$33,MATCH(BL$3,$AD$3:$AJ$3,0),FALSE)-$AY219/VLOOKUP(VLOOKUP($AW219,坦克个性化设定!$B$18:$E$48,4,FALSE)&amp;$AX219,坦克属性分配比例,MATCH("升星次数",坦克属性分配比例标头,0),FALSE)*VLOOKUP($AW219,$AM$3:$AS$33,MATCH(BL$3,$AM$3:$AS$3,0),FALSE),2)</f>
        <v>2.4</v>
      </c>
    </row>
    <row r="220" spans="47:64" x14ac:dyDescent="0.35">
      <c r="AU220" s="372" t="str">
        <f t="shared" si="27"/>
        <v>百夫长1</v>
      </c>
      <c r="AV220" s="654">
        <f>IF(AY219&gt;=VLOOKUP(VLOOKUP(AW219,坦克个性化设定!$B$18:$E$48,4,FALSE)&amp;AX219,坦克属性分配比例,MATCH("升星次数",坦克属性分配比例标头,0),FALSE),AV219+1,AV219)</f>
        <v>19</v>
      </c>
      <c r="AW220" s="649" t="str">
        <f t="shared" si="28"/>
        <v>百夫长</v>
      </c>
      <c r="AX220" s="650" t="str">
        <f>VLOOKUP(AW220,坦克个性化细分!$I$3:$J$33,2,FALSE)</f>
        <v>高</v>
      </c>
      <c r="AY220" s="654">
        <f t="shared" si="29"/>
        <v>1</v>
      </c>
      <c r="AZ220" s="654">
        <f ca="1">ROUND(VLOOKUP($AW220&amp;"初始",$O$3:$AA$63,MATCH(AZ$3,$O$3:$AA$3,0),FALSE)+((VLOOKUP($AW220&amp;"最终",$O$3:$AA$63,MATCH(AZ$3,$O$3:$AA$3,0),FALSE)*坦克个性化细分!$C$9-VLOOKUP($AW220&amp;"初始",$O$3:$AA$63,MATCH(AZ$3,$O$3:$AA$3,0),FALSE))-(VLOOKUP($AW220&amp;"最终",$O$3:$AA$63,MATCH(AZ$3,$O$3:$AA$3,0),FALSE)-VLOOKUP($AW220&amp;"初始",$O$3:$AA$63,MATCH(AZ$3,$O$3:$AA$3,0),FALSE))*VLOOKUP(VLOOKUP($AW220,坦克个性化设定!$B$18:$E$48,4,FALSE)&amp;$AX220,坦克属性分配比例,MATCH("部件比例",坦克属性分配比例标头,0),FALSE))*$AY220/VLOOKUP(VLOOKUP($AW220,坦克个性化设定!$B$18:$E$48,4,FALSE)&amp;$AX220,坦克属性分配比例,MATCH("升星次数",坦克属性分配比例标头,0),FALSE),0)</f>
        <v>2164</v>
      </c>
      <c r="BA220" s="654">
        <f ca="1">ROUND(VLOOKUP($AW220&amp;"初始",$O$3:$AA$63,MATCH(BA$3,$O$3:$AA$3,0),FALSE)+(VLOOKUP($AW220&amp;"最终",$O$3:$AA$63,MATCH(BA$3,$O$3:$AA$3,0),FALSE)-VLOOKUP($AW220&amp;"初始",$O$3:$AA$63,MATCH(BA$3,$O$3:$AA$3,0),FALSE))*$AY220/VLOOKUP(VLOOKUP($AW220,坦克个性化设定!$B$18:$E$48,4,FALSE)&amp;$AX220,坦克属性分配比例,MATCH("升星次数",坦克属性分配比例标头,0),FALSE)*VLOOKUP(VLOOKUP($AW220,坦克个性化设定!$B$18:$E$48,4,FALSE)&amp;$AX220,坦克属性分配比例,MATCH("升星比例",坦克属性分配比例标头,0),FALSE),0)</f>
        <v>278</v>
      </c>
      <c r="BB220" s="654">
        <f ca="1">ROUND(VLOOKUP($AW220&amp;"初始",$O$3:$AA$63,MATCH(BB$3,$O$3:$AA$3,0),FALSE)+(VLOOKUP($AW220&amp;"最终",$O$3:$AA$63,MATCH(BB$3,$O$3:$AA$3,0),FALSE)-VLOOKUP($AW220&amp;"初始",$O$3:$AA$63,MATCH(BB$3,$O$3:$AA$3,0),FALSE))*$AY220/VLOOKUP(VLOOKUP($AW220,坦克个性化设定!$B$18:$E$48,4,FALSE)&amp;$AX220,坦克属性分配比例,MATCH("升星次数",坦克属性分配比例标头,0),FALSE)*(VLOOKUP(VLOOKUP($AW220,坦克个性化设定!$B$18:$E$48,4,FALSE)&amp;$AX220,坦克属性分配比例,MATCH("升星比例",坦克属性分配比例标头,0),FALSE)+VLOOKUP(VLOOKUP($AW220,坦克个性化设定!$B$18:$E$48,4,FALSE)&amp;$AX220,坦克属性分配比例,MATCH("部件比例",坦克属性分配比例标头,0),FALSE)*$C$3),0)</f>
        <v>707</v>
      </c>
      <c r="BC220" s="654">
        <f ca="1">ROUND(VLOOKUP($AW220&amp;"初始",$O$3:$AA$63,MATCH(BC$3,$O$3:$AA$3,0),FALSE)+(VLOOKUP($AW220&amp;"最终",$O$3:$AA$63,MATCH(BC$3,$O$3:$AA$3,0),FALSE)-VLOOKUP($AW220&amp;"初始",$O$3:$AA$63,MATCH(BC$3,$O$3:$AA$3,0),FALSE))*$AY220/VLOOKUP(VLOOKUP($AW220,坦克个性化设定!$B$18:$E$48,4,FALSE)&amp;$AX220,坦克属性分配比例,MATCH("升星次数",坦克属性分配比例标头,0),FALSE)*(VLOOKUP(VLOOKUP($AW220,坦克个性化设定!$B$18:$E$48,4,FALSE)&amp;$AX220,坦克属性分配比例,MATCH("升星比例",坦克属性分配比例标头,0),FALSE)+VLOOKUP(VLOOKUP($AW220,坦克个性化设定!$B$18:$E$48,4,FALSE)&amp;$AX220,坦克属性分配比例,MATCH("部件比例",坦克属性分配比例标头,0),FALSE)*$C$3),0)</f>
        <v>530</v>
      </c>
      <c r="BD220" s="654">
        <f ca="1">ROUND(VLOOKUP($AW220&amp;"初始",$O$3:$AA$63,MATCH(BD$3,$O$3:$AA$3,0),FALSE)+(VLOOKUP($AW220&amp;"最终",$O$3:$AA$63,MATCH(BD$3,$O$3:$AA$3,0),FALSE)-VLOOKUP($AW220&amp;"初始",$O$3:$AA$63,MATCH(BD$3,$O$3:$AA$3,0),FALSE))*$AY220/VLOOKUP(VLOOKUP($AW220,坦克个性化设定!$B$18:$E$48,4,FALSE)&amp;$AX220,坦克属性分配比例,MATCH("升星次数",坦克属性分配比例标头,0),FALSE)*VLOOKUP(VLOOKUP($AW220,坦克个性化设定!$B$18:$E$48,4,FALSE)&amp;$AX220,坦克属性分配比例,MATCH("升星比例",坦克属性分配比例标头,0),FALSE),0)</f>
        <v>761</v>
      </c>
      <c r="BE220" s="654">
        <f ca="1">ROUND(VLOOKUP($AW220&amp;"初始",$O$3:$AA$63,MATCH(BE$3,$O$3:$AA$3,0),FALSE)+(VLOOKUP($AW220&amp;"最终",$O$3:$AA$63,MATCH(BE$3,$O$3:$AA$3,0),FALSE)-VLOOKUP($AW220&amp;"初始",$O$3:$AA$63,MATCH(BE$3,$O$3:$AA$3,0),FALSE))*$AY220/VLOOKUP(VLOOKUP($AW220,坦克个性化设定!$B$18:$E$48,4,FALSE)&amp;$AX220,坦克属性分配比例,MATCH("升星次数",坦克属性分配比例标头,0),FALSE),0)</f>
        <v>191</v>
      </c>
      <c r="BF220" s="654">
        <f>ROUND(VLOOKUP($AW220,$AD$3:$AJ$33,MATCH(BF$3,$AD$3:$AJ$3,0),FALSE)+$AY220/VLOOKUP(VLOOKUP($AW220,坦克个性化设定!$B$18:$E$48,4,FALSE)&amp;$AX220,坦克属性分配比例,MATCH("升星次数",坦克属性分配比例标头,0),FALSE)*VLOOKUP($AW220,$AM$3:$AS$33,MATCH(BF$3,$AM$3:$AS$3,0),FALSE),1)</f>
        <v>47.4</v>
      </c>
      <c r="BG220" s="654">
        <f>ROUND(VLOOKUP($AW220,$AD$3:$AJ$33,MATCH(BG$3,$AD$3:$AJ$3,0),FALSE)+$AY220/VLOOKUP(VLOOKUP($AW220,坦克个性化设定!$B$18:$E$48,4,FALSE)&amp;$AX220,坦克属性分配比例,MATCH("升星次数",坦克属性分配比例标头,0),FALSE)*VLOOKUP($AW220,$AM$3:$AS$33,MATCH(BG$3,$AM$3:$AS$3,0),FALSE),1)</f>
        <v>42.6</v>
      </c>
      <c r="BH220" s="654">
        <f>ROUND(VLOOKUP($AW220,$AD$3:$AJ$33,MATCH(BH$3,$AD$3:$AJ$3,0),FALSE)+$AY220/VLOOKUP(VLOOKUP($AW220,坦克个性化设定!$B$18:$E$48,4,FALSE)&amp;$AX220,坦克属性分配比例,MATCH("升星次数",坦克属性分配比例标头,0),FALSE)*VLOOKUP($AW220,$AM$3:$AS$33,MATCH(BH$3,$AM$3:$AS$3,0),FALSE),1)</f>
        <v>13.1</v>
      </c>
      <c r="BI220" s="654">
        <f>IF(VLOOKUP(AW220,坦克个性化设定!$B$18:$BB$48,MATCH("装弹类型",坦克个性化设定!$B$18:$BB$18,0),FALSE)="弹夹换弹",0,ROUND(VLOOKUP($AW220,$AD$3:$AJ$33,MATCH("换弹时间",$AD$3:$AJ$3,0),FALSE)-$AY220/VLOOKUP(VLOOKUP($AW220,坦克个性化设定!$B$18:$E$48,4,FALSE)&amp;$AX220,坦克属性分配比例,MATCH("升星次数",坦克属性分配比例标头,0),FALSE)*VLOOKUP($AW220,$AM$3:$AS$33,MATCH("换弹时间",$AM$3:$AS$3,0),FALSE),2))</f>
        <v>4.4400000000000004</v>
      </c>
      <c r="BJ220" s="654">
        <f>IF(VLOOKUP(AW220,坦克个性化设定!$B$18:$BB$48,MATCH("装弹类型",坦克个性化设定!$B$18:$BB$18,0),FALSE)="弹夹换弹",ROUND(VLOOKUP($AW220,$AD$3:$AJ$33,MATCH("换弹时间",$AD$3:$AJ$3,0),FALSE)-$AY220/VLOOKUP(VLOOKUP($AW220,坦克个性化设定!$B$18:$E$48,4,FALSE)&amp;$AX220,坦克属性分配比例,MATCH("升星次数",坦克属性分配比例标头,0),FALSE)*VLOOKUP($AW220,$AM$3:$AS$33,MATCH("换弹时间",$AM$3:$AS$3,0),FALSE),1),0)</f>
        <v>0</v>
      </c>
      <c r="BK220" s="654">
        <f>ROUND(VLOOKUP($AW220,$AD$3:$AJ$33,MATCH(BK$3,$AD$3:$AJ$3,0),FALSE)+$AY220/VLOOKUP(VLOOKUP($AW220,坦克个性化设定!$B$18:$E$48,4,FALSE)&amp;$AX220,坦克属性分配比例,MATCH("升星次数",坦克属性分配比例标头,0),FALSE)*VLOOKUP($AW220,$AM$3:$AS$33,MATCH(BK$3,$AM$3:$AS$3,0),FALSE),2)</f>
        <v>0</v>
      </c>
      <c r="BL220" s="654">
        <f>ROUND(VLOOKUP($AW220,$AD$3:$AJ$33,MATCH(BL$3,$AD$3:$AJ$3,0),FALSE)-$AY220/VLOOKUP(VLOOKUP($AW220,坦克个性化设定!$B$18:$E$48,4,FALSE)&amp;$AX220,坦克属性分配比例,MATCH("升星次数",坦克属性分配比例标头,0),FALSE)*VLOOKUP($AW220,$AM$3:$AS$33,MATCH(BL$3,$AM$3:$AS$3,0),FALSE),2)</f>
        <v>2.38</v>
      </c>
    </row>
    <row r="221" spans="47:64" x14ac:dyDescent="0.35">
      <c r="AU221" s="372" t="str">
        <f t="shared" si="27"/>
        <v>百夫长2</v>
      </c>
      <c r="AV221" s="654">
        <f>IF(AY220&gt;=VLOOKUP(VLOOKUP(AW220,坦克个性化设定!$B$18:$E$48,4,FALSE)&amp;AX220,坦克属性分配比例,MATCH("升星次数",坦克属性分配比例标头,0),FALSE),AV220+1,AV220)</f>
        <v>19</v>
      </c>
      <c r="AW221" s="649" t="str">
        <f t="shared" si="28"/>
        <v>百夫长</v>
      </c>
      <c r="AX221" s="650" t="str">
        <f>VLOOKUP(AW221,坦克个性化细分!$I$3:$J$33,2,FALSE)</f>
        <v>高</v>
      </c>
      <c r="AY221" s="654">
        <f t="shared" si="29"/>
        <v>2</v>
      </c>
      <c r="AZ221" s="654">
        <f ca="1">ROUND(VLOOKUP($AW221&amp;"初始",$O$3:$AA$63,MATCH(AZ$3,$O$3:$AA$3,0),FALSE)+((VLOOKUP($AW221&amp;"最终",$O$3:$AA$63,MATCH(AZ$3,$O$3:$AA$3,0),FALSE)*坦克个性化细分!$C$9-VLOOKUP($AW221&amp;"初始",$O$3:$AA$63,MATCH(AZ$3,$O$3:$AA$3,0),FALSE))-(VLOOKUP($AW221&amp;"最终",$O$3:$AA$63,MATCH(AZ$3,$O$3:$AA$3,0),FALSE)-VLOOKUP($AW221&amp;"初始",$O$3:$AA$63,MATCH(AZ$3,$O$3:$AA$3,0),FALSE))*VLOOKUP(VLOOKUP($AW221,坦克个性化设定!$B$18:$E$48,4,FALSE)&amp;$AX221,坦克属性分配比例,MATCH("部件比例",坦克属性分配比例标头,0),FALSE))*$AY221/VLOOKUP(VLOOKUP($AW221,坦克个性化设定!$B$18:$E$48,4,FALSE)&amp;$AX221,坦克属性分配比例,MATCH("升星次数",坦克属性分配比例标头,0),FALSE),0)</f>
        <v>2287</v>
      </c>
      <c r="BA221" s="654">
        <f ca="1">ROUND(VLOOKUP($AW221&amp;"初始",$O$3:$AA$63,MATCH(BA$3,$O$3:$AA$3,0),FALSE)+(VLOOKUP($AW221&amp;"最终",$O$3:$AA$63,MATCH(BA$3,$O$3:$AA$3,0),FALSE)-VLOOKUP($AW221&amp;"初始",$O$3:$AA$63,MATCH(BA$3,$O$3:$AA$3,0),FALSE))*$AY221/VLOOKUP(VLOOKUP($AW221,坦克个性化设定!$B$18:$E$48,4,FALSE)&amp;$AX221,坦克属性分配比例,MATCH("升星次数",坦克属性分配比例标头,0),FALSE)*VLOOKUP(VLOOKUP($AW221,坦克个性化设定!$B$18:$E$48,4,FALSE)&amp;$AX221,坦克属性分配比例,MATCH("升星比例",坦克属性分配比例标头,0),FALSE),0)</f>
        <v>285</v>
      </c>
      <c r="BB221" s="654">
        <f ca="1">ROUND(VLOOKUP($AW221&amp;"初始",$O$3:$AA$63,MATCH(BB$3,$O$3:$AA$3,0),FALSE)+(VLOOKUP($AW221&amp;"最终",$O$3:$AA$63,MATCH(BB$3,$O$3:$AA$3,0),FALSE)-VLOOKUP($AW221&amp;"初始",$O$3:$AA$63,MATCH(BB$3,$O$3:$AA$3,0),FALSE))*$AY221/VLOOKUP(VLOOKUP($AW221,坦克个性化设定!$B$18:$E$48,4,FALSE)&amp;$AX221,坦克属性分配比例,MATCH("升星次数",坦克属性分配比例标头,0),FALSE)*(VLOOKUP(VLOOKUP($AW221,坦克个性化设定!$B$18:$E$48,4,FALSE)&amp;$AX221,坦克属性分配比例,MATCH("升星比例",坦克属性分配比例标头,0),FALSE)+VLOOKUP(VLOOKUP($AW221,坦克个性化设定!$B$18:$E$48,4,FALSE)&amp;$AX221,坦克属性分配比例,MATCH("部件比例",坦克属性分配比例标头,0),FALSE)*$C$3),0)</f>
        <v>736</v>
      </c>
      <c r="BC221" s="654">
        <f ca="1">ROUND(VLOOKUP($AW221&amp;"初始",$O$3:$AA$63,MATCH(BC$3,$O$3:$AA$3,0),FALSE)+(VLOOKUP($AW221&amp;"最终",$O$3:$AA$63,MATCH(BC$3,$O$3:$AA$3,0),FALSE)-VLOOKUP($AW221&amp;"初始",$O$3:$AA$63,MATCH(BC$3,$O$3:$AA$3,0),FALSE))*$AY221/VLOOKUP(VLOOKUP($AW221,坦克个性化设定!$B$18:$E$48,4,FALSE)&amp;$AX221,坦克属性分配比例,MATCH("升星次数",坦克属性分配比例标头,0),FALSE)*(VLOOKUP(VLOOKUP($AW221,坦克个性化设定!$B$18:$E$48,4,FALSE)&amp;$AX221,坦克属性分配比例,MATCH("升星比例",坦克属性分配比例标头,0),FALSE)+VLOOKUP(VLOOKUP($AW221,坦克个性化设定!$B$18:$E$48,4,FALSE)&amp;$AX221,坦克属性分配比例,MATCH("部件比例",坦克属性分配比例标头,0),FALSE)*$C$3),0)</f>
        <v>552</v>
      </c>
      <c r="BD221" s="654">
        <f ca="1">ROUND(VLOOKUP($AW221&amp;"初始",$O$3:$AA$63,MATCH(BD$3,$O$3:$AA$3,0),FALSE)+(VLOOKUP($AW221&amp;"最终",$O$3:$AA$63,MATCH(BD$3,$O$3:$AA$3,0),FALSE)-VLOOKUP($AW221&amp;"初始",$O$3:$AA$63,MATCH(BD$3,$O$3:$AA$3,0),FALSE))*$AY221/VLOOKUP(VLOOKUP($AW221,坦克个性化设定!$B$18:$E$48,4,FALSE)&amp;$AX221,坦克属性分配比例,MATCH("升星次数",坦克属性分配比例标头,0),FALSE)*VLOOKUP(VLOOKUP($AW221,坦克个性化设定!$B$18:$E$48,4,FALSE)&amp;$AX221,坦克属性分配比例,MATCH("升星比例",坦克属性分配比例标头,0),FALSE),0)</f>
        <v>781</v>
      </c>
      <c r="BE221" s="654">
        <f ca="1">ROUND(VLOOKUP($AW221&amp;"初始",$O$3:$AA$63,MATCH(BE$3,$O$3:$AA$3,0),FALSE)+(VLOOKUP($AW221&amp;"最终",$O$3:$AA$63,MATCH(BE$3,$O$3:$AA$3,0),FALSE)-VLOOKUP($AW221&amp;"初始",$O$3:$AA$63,MATCH(BE$3,$O$3:$AA$3,0),FALSE))*$AY221/VLOOKUP(VLOOKUP($AW221,坦克个性化设定!$B$18:$E$48,4,FALSE)&amp;$AX221,坦克属性分配比例,MATCH("升星次数",坦克属性分配比例标头,0),FALSE),0)</f>
        <v>201</v>
      </c>
      <c r="BF221" s="654">
        <f>ROUND(VLOOKUP($AW221,$AD$3:$AJ$33,MATCH(BF$3,$AD$3:$AJ$3,0),FALSE)+$AY221/VLOOKUP(VLOOKUP($AW221,坦克个性化设定!$B$18:$E$48,4,FALSE)&amp;$AX221,坦克属性分配比例,MATCH("升星次数",坦克属性分配比例标头,0),FALSE)*VLOOKUP($AW221,$AM$3:$AS$33,MATCH(BF$3,$AM$3:$AS$3,0),FALSE),1)</f>
        <v>48.1</v>
      </c>
      <c r="BG221" s="654">
        <f>ROUND(VLOOKUP($AW221,$AD$3:$AJ$33,MATCH(BG$3,$AD$3:$AJ$3,0),FALSE)+$AY221/VLOOKUP(VLOOKUP($AW221,坦克个性化设定!$B$18:$E$48,4,FALSE)&amp;$AX221,坦克属性分配比例,MATCH("升星次数",坦克属性分配比例标头,0),FALSE)*VLOOKUP($AW221,$AM$3:$AS$33,MATCH(BG$3,$AM$3:$AS$3,0),FALSE),1)</f>
        <v>43.2</v>
      </c>
      <c r="BH221" s="654">
        <f>ROUND(VLOOKUP($AW221,$AD$3:$AJ$33,MATCH(BH$3,$AD$3:$AJ$3,0),FALSE)+$AY221/VLOOKUP(VLOOKUP($AW221,坦克个性化设定!$B$18:$E$48,4,FALSE)&amp;$AX221,坦克属性分配比例,MATCH("升星次数",坦克属性分配比例标头,0),FALSE)*VLOOKUP($AW221,$AM$3:$AS$33,MATCH(BH$3,$AM$3:$AS$3,0),FALSE),1)</f>
        <v>13.4</v>
      </c>
      <c r="BI221" s="654">
        <f>IF(VLOOKUP(AW221,坦克个性化设定!$B$18:$BB$48,MATCH("装弹类型",坦克个性化设定!$B$18:$BB$18,0),FALSE)="弹夹换弹",0,ROUND(VLOOKUP($AW221,$AD$3:$AJ$33,MATCH("换弹时间",$AD$3:$AJ$3,0),FALSE)-$AY221/VLOOKUP(VLOOKUP($AW221,坦克个性化设定!$B$18:$E$48,4,FALSE)&amp;$AX221,坦克属性分配比例,MATCH("升星次数",坦克属性分配比例标头,0),FALSE)*VLOOKUP($AW221,$AM$3:$AS$33,MATCH("换弹时间",$AM$3:$AS$3,0),FALSE),2))</f>
        <v>4.37</v>
      </c>
      <c r="BJ221" s="654">
        <f>IF(VLOOKUP(AW221,坦克个性化设定!$B$18:$BB$48,MATCH("装弹类型",坦克个性化设定!$B$18:$BB$18,0),FALSE)="弹夹换弹",ROUND(VLOOKUP($AW221,$AD$3:$AJ$33,MATCH("换弹时间",$AD$3:$AJ$3,0),FALSE)-$AY221/VLOOKUP(VLOOKUP($AW221,坦克个性化设定!$B$18:$E$48,4,FALSE)&amp;$AX221,坦克属性分配比例,MATCH("升星次数",坦克属性分配比例标头,0),FALSE)*VLOOKUP($AW221,$AM$3:$AS$33,MATCH("换弹时间",$AM$3:$AS$3,0),FALSE),1),0)</f>
        <v>0</v>
      </c>
      <c r="BK221" s="654">
        <f>ROUND(VLOOKUP($AW221,$AD$3:$AJ$33,MATCH(BK$3,$AD$3:$AJ$3,0),FALSE)+$AY221/VLOOKUP(VLOOKUP($AW221,坦克个性化设定!$B$18:$E$48,4,FALSE)&amp;$AX221,坦克属性分配比例,MATCH("升星次数",坦克属性分配比例标头,0),FALSE)*VLOOKUP($AW221,$AM$3:$AS$33,MATCH(BK$3,$AM$3:$AS$3,0),FALSE),2)</f>
        <v>0</v>
      </c>
      <c r="BL221" s="654">
        <f>ROUND(VLOOKUP($AW221,$AD$3:$AJ$33,MATCH(BL$3,$AD$3:$AJ$3,0),FALSE)-$AY221/VLOOKUP(VLOOKUP($AW221,坦克个性化设定!$B$18:$E$48,4,FALSE)&amp;$AX221,坦克属性分配比例,MATCH("升星次数",坦克属性分配比例标头,0),FALSE)*VLOOKUP($AW221,$AM$3:$AS$33,MATCH(BL$3,$AM$3:$AS$3,0),FALSE),2)</f>
        <v>2.35</v>
      </c>
    </row>
    <row r="222" spans="47:64" x14ac:dyDescent="0.35">
      <c r="AU222" s="372" t="str">
        <f t="shared" si="27"/>
        <v>百夫长3</v>
      </c>
      <c r="AV222" s="654">
        <f>IF(AY221&gt;=VLOOKUP(VLOOKUP(AW221,坦克个性化设定!$B$18:$E$48,4,FALSE)&amp;AX221,坦克属性分配比例,MATCH("升星次数",坦克属性分配比例标头,0),FALSE),AV221+1,AV221)</f>
        <v>19</v>
      </c>
      <c r="AW222" s="649" t="str">
        <f t="shared" si="28"/>
        <v>百夫长</v>
      </c>
      <c r="AX222" s="650" t="str">
        <f>VLOOKUP(AW222,坦克个性化细分!$I$3:$J$33,2,FALSE)</f>
        <v>高</v>
      </c>
      <c r="AY222" s="654">
        <f t="shared" si="29"/>
        <v>3</v>
      </c>
      <c r="AZ222" s="654">
        <f ca="1">ROUND(VLOOKUP($AW222&amp;"初始",$O$3:$AA$63,MATCH(AZ$3,$O$3:$AA$3,0),FALSE)+((VLOOKUP($AW222&amp;"最终",$O$3:$AA$63,MATCH(AZ$3,$O$3:$AA$3,0),FALSE)*坦克个性化细分!$C$9-VLOOKUP($AW222&amp;"初始",$O$3:$AA$63,MATCH(AZ$3,$O$3:$AA$3,0),FALSE))-(VLOOKUP($AW222&amp;"最终",$O$3:$AA$63,MATCH(AZ$3,$O$3:$AA$3,0),FALSE)-VLOOKUP($AW222&amp;"初始",$O$3:$AA$63,MATCH(AZ$3,$O$3:$AA$3,0),FALSE))*VLOOKUP(VLOOKUP($AW222,坦克个性化设定!$B$18:$E$48,4,FALSE)&amp;$AX222,坦克属性分配比例,MATCH("部件比例",坦克属性分配比例标头,0),FALSE))*$AY222/VLOOKUP(VLOOKUP($AW222,坦克个性化设定!$B$18:$E$48,4,FALSE)&amp;$AX222,坦克属性分配比例,MATCH("升星次数",坦克属性分配比例标头,0),FALSE),0)</f>
        <v>2411</v>
      </c>
      <c r="BA222" s="654">
        <f ca="1">ROUND(VLOOKUP($AW222&amp;"初始",$O$3:$AA$63,MATCH(BA$3,$O$3:$AA$3,0),FALSE)+(VLOOKUP($AW222&amp;"最终",$O$3:$AA$63,MATCH(BA$3,$O$3:$AA$3,0),FALSE)-VLOOKUP($AW222&amp;"初始",$O$3:$AA$63,MATCH(BA$3,$O$3:$AA$3,0),FALSE))*$AY222/VLOOKUP(VLOOKUP($AW222,坦克个性化设定!$B$18:$E$48,4,FALSE)&amp;$AX222,坦克属性分配比例,MATCH("升星次数",坦克属性分配比例标头,0),FALSE)*VLOOKUP(VLOOKUP($AW222,坦克个性化设定!$B$18:$E$48,4,FALSE)&amp;$AX222,坦克属性分配比例,MATCH("升星比例",坦克属性分配比例标头,0),FALSE),0)</f>
        <v>292</v>
      </c>
      <c r="BB222" s="654">
        <f ca="1">ROUND(VLOOKUP($AW222&amp;"初始",$O$3:$AA$63,MATCH(BB$3,$O$3:$AA$3,0),FALSE)+(VLOOKUP($AW222&amp;"最终",$O$3:$AA$63,MATCH(BB$3,$O$3:$AA$3,0),FALSE)-VLOOKUP($AW222&amp;"初始",$O$3:$AA$63,MATCH(BB$3,$O$3:$AA$3,0),FALSE))*$AY222/VLOOKUP(VLOOKUP($AW222,坦克个性化设定!$B$18:$E$48,4,FALSE)&amp;$AX222,坦克属性分配比例,MATCH("升星次数",坦克属性分配比例标头,0),FALSE)*(VLOOKUP(VLOOKUP($AW222,坦克个性化设定!$B$18:$E$48,4,FALSE)&amp;$AX222,坦克属性分配比例,MATCH("升星比例",坦克属性分配比例标头,0),FALSE)+VLOOKUP(VLOOKUP($AW222,坦克个性化设定!$B$18:$E$48,4,FALSE)&amp;$AX222,坦克属性分配比例,MATCH("部件比例",坦克属性分配比例标头,0),FALSE)*$C$3),0)</f>
        <v>766</v>
      </c>
      <c r="BC222" s="654">
        <f ca="1">ROUND(VLOOKUP($AW222&amp;"初始",$O$3:$AA$63,MATCH(BC$3,$O$3:$AA$3,0),FALSE)+(VLOOKUP($AW222&amp;"最终",$O$3:$AA$63,MATCH(BC$3,$O$3:$AA$3,0),FALSE)-VLOOKUP($AW222&amp;"初始",$O$3:$AA$63,MATCH(BC$3,$O$3:$AA$3,0),FALSE))*$AY222/VLOOKUP(VLOOKUP($AW222,坦克个性化设定!$B$18:$E$48,4,FALSE)&amp;$AX222,坦克属性分配比例,MATCH("升星次数",坦克属性分配比例标头,0),FALSE)*(VLOOKUP(VLOOKUP($AW222,坦克个性化设定!$B$18:$E$48,4,FALSE)&amp;$AX222,坦克属性分配比例,MATCH("升星比例",坦克属性分配比例标头,0),FALSE)+VLOOKUP(VLOOKUP($AW222,坦克个性化设定!$B$18:$E$48,4,FALSE)&amp;$AX222,坦克属性分配比例,MATCH("部件比例",坦克属性分配比例标头,0),FALSE)*$C$3),0)</f>
        <v>574</v>
      </c>
      <c r="BD222" s="654">
        <f ca="1">ROUND(VLOOKUP($AW222&amp;"初始",$O$3:$AA$63,MATCH(BD$3,$O$3:$AA$3,0),FALSE)+(VLOOKUP($AW222&amp;"最终",$O$3:$AA$63,MATCH(BD$3,$O$3:$AA$3,0),FALSE)-VLOOKUP($AW222&amp;"初始",$O$3:$AA$63,MATCH(BD$3,$O$3:$AA$3,0),FALSE))*$AY222/VLOOKUP(VLOOKUP($AW222,坦克个性化设定!$B$18:$E$48,4,FALSE)&amp;$AX222,坦克属性分配比例,MATCH("升星次数",坦克属性分配比例标头,0),FALSE)*VLOOKUP(VLOOKUP($AW222,坦克个性化设定!$B$18:$E$48,4,FALSE)&amp;$AX222,坦克属性分配比例,MATCH("升星比例",坦克属性分配比例标头,0),FALSE),0)</f>
        <v>800</v>
      </c>
      <c r="BE222" s="654">
        <f ca="1">ROUND(VLOOKUP($AW222&amp;"初始",$O$3:$AA$63,MATCH(BE$3,$O$3:$AA$3,0),FALSE)+(VLOOKUP($AW222&amp;"最终",$O$3:$AA$63,MATCH(BE$3,$O$3:$AA$3,0),FALSE)-VLOOKUP($AW222&amp;"初始",$O$3:$AA$63,MATCH(BE$3,$O$3:$AA$3,0),FALSE))*$AY222/VLOOKUP(VLOOKUP($AW222,坦克个性化设定!$B$18:$E$48,4,FALSE)&amp;$AX222,坦克属性分配比例,MATCH("升星次数",坦克属性分配比例标头,0),FALSE),0)</f>
        <v>211</v>
      </c>
      <c r="BF222" s="654">
        <f>ROUND(VLOOKUP($AW222,$AD$3:$AJ$33,MATCH(BF$3,$AD$3:$AJ$3,0),FALSE)+$AY222/VLOOKUP(VLOOKUP($AW222,坦克个性化设定!$B$18:$E$48,4,FALSE)&amp;$AX222,坦克属性分配比例,MATCH("升星次数",坦克属性分配比例标头,0),FALSE)*VLOOKUP($AW222,$AM$3:$AS$33,MATCH(BF$3,$AM$3:$AS$3,0),FALSE),1)</f>
        <v>48.8</v>
      </c>
      <c r="BG222" s="654">
        <f>ROUND(VLOOKUP($AW222,$AD$3:$AJ$33,MATCH(BG$3,$AD$3:$AJ$3,0),FALSE)+$AY222/VLOOKUP(VLOOKUP($AW222,坦克个性化设定!$B$18:$E$48,4,FALSE)&amp;$AX222,坦克属性分配比例,MATCH("升星次数",坦克属性分配比例标头,0),FALSE)*VLOOKUP($AW222,$AM$3:$AS$33,MATCH(BG$3,$AM$3:$AS$3,0),FALSE),1)</f>
        <v>43.9</v>
      </c>
      <c r="BH222" s="654">
        <f>ROUND(VLOOKUP($AW222,$AD$3:$AJ$33,MATCH(BH$3,$AD$3:$AJ$3,0),FALSE)+$AY222/VLOOKUP(VLOOKUP($AW222,坦克个性化设定!$B$18:$E$48,4,FALSE)&amp;$AX222,坦克属性分配比例,MATCH("升星次数",坦克属性分配比例标头,0),FALSE)*VLOOKUP($AW222,$AM$3:$AS$33,MATCH(BH$3,$AM$3:$AS$3,0),FALSE),1)</f>
        <v>13.6</v>
      </c>
      <c r="BI222" s="654">
        <f>IF(VLOOKUP(AW222,坦克个性化设定!$B$18:$BB$48,MATCH("装弹类型",坦克个性化设定!$B$18:$BB$18,0),FALSE)="弹夹换弹",0,ROUND(VLOOKUP($AW222,$AD$3:$AJ$33,MATCH("换弹时间",$AD$3:$AJ$3,0),FALSE)-$AY222/VLOOKUP(VLOOKUP($AW222,坦克个性化设定!$B$18:$E$48,4,FALSE)&amp;$AX222,坦克属性分配比例,MATCH("升星次数",坦克属性分配比例标头,0),FALSE)*VLOOKUP($AW222,$AM$3:$AS$33,MATCH("换弹时间",$AM$3:$AS$3,0),FALSE),2))</f>
        <v>4.3099999999999996</v>
      </c>
      <c r="BJ222" s="654">
        <f>IF(VLOOKUP(AW222,坦克个性化设定!$B$18:$BB$48,MATCH("装弹类型",坦克个性化设定!$B$18:$BB$18,0),FALSE)="弹夹换弹",ROUND(VLOOKUP($AW222,$AD$3:$AJ$33,MATCH("换弹时间",$AD$3:$AJ$3,0),FALSE)-$AY222/VLOOKUP(VLOOKUP($AW222,坦克个性化设定!$B$18:$E$48,4,FALSE)&amp;$AX222,坦克属性分配比例,MATCH("升星次数",坦克属性分配比例标头,0),FALSE)*VLOOKUP($AW222,$AM$3:$AS$33,MATCH("换弹时间",$AM$3:$AS$3,0),FALSE),1),0)</f>
        <v>0</v>
      </c>
      <c r="BK222" s="654">
        <f>ROUND(VLOOKUP($AW222,$AD$3:$AJ$33,MATCH(BK$3,$AD$3:$AJ$3,0),FALSE)+$AY222/VLOOKUP(VLOOKUP($AW222,坦克个性化设定!$B$18:$E$48,4,FALSE)&amp;$AX222,坦克属性分配比例,MATCH("升星次数",坦克属性分配比例标头,0),FALSE)*VLOOKUP($AW222,$AM$3:$AS$33,MATCH(BK$3,$AM$3:$AS$3,0),FALSE),2)</f>
        <v>0</v>
      </c>
      <c r="BL222" s="654">
        <f>ROUND(VLOOKUP($AW222,$AD$3:$AJ$33,MATCH(BL$3,$AD$3:$AJ$3,0),FALSE)-$AY222/VLOOKUP(VLOOKUP($AW222,坦克个性化设定!$B$18:$E$48,4,FALSE)&amp;$AX222,坦克属性分配比例,MATCH("升星次数",坦克属性分配比例标头,0),FALSE)*VLOOKUP($AW222,$AM$3:$AS$33,MATCH(BL$3,$AM$3:$AS$3,0),FALSE),2)</f>
        <v>2.33</v>
      </c>
    </row>
    <row r="223" spans="47:64" x14ac:dyDescent="0.35">
      <c r="AU223" s="372" t="str">
        <f t="shared" si="27"/>
        <v>百夫长4</v>
      </c>
      <c r="AV223" s="654">
        <f>IF(AY222&gt;=VLOOKUP(VLOOKUP(AW222,坦克个性化设定!$B$18:$E$48,4,FALSE)&amp;AX222,坦克属性分配比例,MATCH("升星次数",坦克属性分配比例标头,0),FALSE),AV222+1,AV222)</f>
        <v>19</v>
      </c>
      <c r="AW223" s="649" t="str">
        <f t="shared" si="28"/>
        <v>百夫长</v>
      </c>
      <c r="AX223" s="650" t="str">
        <f>VLOOKUP(AW223,坦克个性化细分!$I$3:$J$33,2,FALSE)</f>
        <v>高</v>
      </c>
      <c r="AY223" s="654">
        <f t="shared" si="29"/>
        <v>4</v>
      </c>
      <c r="AZ223" s="654">
        <f ca="1">ROUND(VLOOKUP($AW223&amp;"初始",$O$3:$AA$63,MATCH(AZ$3,$O$3:$AA$3,0),FALSE)+((VLOOKUP($AW223&amp;"最终",$O$3:$AA$63,MATCH(AZ$3,$O$3:$AA$3,0),FALSE)*坦克个性化细分!$C$9-VLOOKUP($AW223&amp;"初始",$O$3:$AA$63,MATCH(AZ$3,$O$3:$AA$3,0),FALSE))-(VLOOKUP($AW223&amp;"最终",$O$3:$AA$63,MATCH(AZ$3,$O$3:$AA$3,0),FALSE)-VLOOKUP($AW223&amp;"初始",$O$3:$AA$63,MATCH(AZ$3,$O$3:$AA$3,0),FALSE))*VLOOKUP(VLOOKUP($AW223,坦克个性化设定!$B$18:$E$48,4,FALSE)&amp;$AX223,坦克属性分配比例,MATCH("部件比例",坦克属性分配比例标头,0),FALSE))*$AY223/VLOOKUP(VLOOKUP($AW223,坦克个性化设定!$B$18:$E$48,4,FALSE)&amp;$AX223,坦克属性分配比例,MATCH("升星次数",坦克属性分配比例标头,0),FALSE),0)</f>
        <v>2534</v>
      </c>
      <c r="BA223" s="654">
        <f ca="1">ROUND(VLOOKUP($AW223&amp;"初始",$O$3:$AA$63,MATCH(BA$3,$O$3:$AA$3,0),FALSE)+(VLOOKUP($AW223&amp;"最终",$O$3:$AA$63,MATCH(BA$3,$O$3:$AA$3,0),FALSE)-VLOOKUP($AW223&amp;"初始",$O$3:$AA$63,MATCH(BA$3,$O$3:$AA$3,0),FALSE))*$AY223/VLOOKUP(VLOOKUP($AW223,坦克个性化设定!$B$18:$E$48,4,FALSE)&amp;$AX223,坦克属性分配比例,MATCH("升星次数",坦克属性分配比例标头,0),FALSE)*VLOOKUP(VLOOKUP($AW223,坦克个性化设定!$B$18:$E$48,4,FALSE)&amp;$AX223,坦克属性分配比例,MATCH("升星比例",坦克属性分配比例标头,0),FALSE),0)</f>
        <v>299</v>
      </c>
      <c r="BB223" s="654">
        <f ca="1">ROUND(VLOOKUP($AW223&amp;"初始",$O$3:$AA$63,MATCH(BB$3,$O$3:$AA$3,0),FALSE)+(VLOOKUP($AW223&amp;"最终",$O$3:$AA$63,MATCH(BB$3,$O$3:$AA$3,0),FALSE)-VLOOKUP($AW223&amp;"初始",$O$3:$AA$63,MATCH(BB$3,$O$3:$AA$3,0),FALSE))*$AY223/VLOOKUP(VLOOKUP($AW223,坦克个性化设定!$B$18:$E$48,4,FALSE)&amp;$AX223,坦克属性分配比例,MATCH("升星次数",坦克属性分配比例标头,0),FALSE)*(VLOOKUP(VLOOKUP($AW223,坦克个性化设定!$B$18:$E$48,4,FALSE)&amp;$AX223,坦克属性分配比例,MATCH("升星比例",坦克属性分配比例标头,0),FALSE)+VLOOKUP(VLOOKUP($AW223,坦克个性化设定!$B$18:$E$48,4,FALSE)&amp;$AX223,坦克属性分配比例,MATCH("部件比例",坦克属性分配比例标头,0),FALSE)*$C$3),0)</f>
        <v>795</v>
      </c>
      <c r="BC223" s="654">
        <f ca="1">ROUND(VLOOKUP($AW223&amp;"初始",$O$3:$AA$63,MATCH(BC$3,$O$3:$AA$3,0),FALSE)+(VLOOKUP($AW223&amp;"最终",$O$3:$AA$63,MATCH(BC$3,$O$3:$AA$3,0),FALSE)-VLOOKUP($AW223&amp;"初始",$O$3:$AA$63,MATCH(BC$3,$O$3:$AA$3,0),FALSE))*$AY223/VLOOKUP(VLOOKUP($AW223,坦克个性化设定!$B$18:$E$48,4,FALSE)&amp;$AX223,坦克属性分配比例,MATCH("升星次数",坦克属性分配比例标头,0),FALSE)*(VLOOKUP(VLOOKUP($AW223,坦克个性化设定!$B$18:$E$48,4,FALSE)&amp;$AX223,坦克属性分配比例,MATCH("升星比例",坦克属性分配比例标头,0),FALSE)+VLOOKUP(VLOOKUP($AW223,坦克个性化设定!$B$18:$E$48,4,FALSE)&amp;$AX223,坦克属性分配比例,MATCH("部件比例",坦克属性分配比例标头,0),FALSE)*$C$3),0)</f>
        <v>597</v>
      </c>
      <c r="BD223" s="654">
        <f ca="1">ROUND(VLOOKUP($AW223&amp;"初始",$O$3:$AA$63,MATCH(BD$3,$O$3:$AA$3,0),FALSE)+(VLOOKUP($AW223&amp;"最终",$O$3:$AA$63,MATCH(BD$3,$O$3:$AA$3,0),FALSE)-VLOOKUP($AW223&amp;"初始",$O$3:$AA$63,MATCH(BD$3,$O$3:$AA$3,0),FALSE))*$AY223/VLOOKUP(VLOOKUP($AW223,坦克个性化设定!$B$18:$E$48,4,FALSE)&amp;$AX223,坦克属性分配比例,MATCH("升星次数",坦克属性分配比例标头,0),FALSE)*VLOOKUP(VLOOKUP($AW223,坦克个性化设定!$B$18:$E$48,4,FALSE)&amp;$AX223,坦克属性分配比例,MATCH("升星比例",坦克属性分配比例标头,0),FALSE),0)</f>
        <v>819</v>
      </c>
      <c r="BE223" s="654">
        <f ca="1">ROUND(VLOOKUP($AW223&amp;"初始",$O$3:$AA$63,MATCH(BE$3,$O$3:$AA$3,0),FALSE)+(VLOOKUP($AW223&amp;"最终",$O$3:$AA$63,MATCH(BE$3,$O$3:$AA$3,0),FALSE)-VLOOKUP($AW223&amp;"初始",$O$3:$AA$63,MATCH(BE$3,$O$3:$AA$3,0),FALSE))*$AY223/VLOOKUP(VLOOKUP($AW223,坦克个性化设定!$B$18:$E$48,4,FALSE)&amp;$AX223,坦克属性分配比例,MATCH("升星次数",坦克属性分配比例标头,0),FALSE),0)</f>
        <v>221</v>
      </c>
      <c r="BF223" s="654">
        <f>ROUND(VLOOKUP($AW223,$AD$3:$AJ$33,MATCH(BF$3,$AD$3:$AJ$3,0),FALSE)+$AY223/VLOOKUP(VLOOKUP($AW223,坦克个性化设定!$B$18:$E$48,4,FALSE)&amp;$AX223,坦克属性分配比例,MATCH("升星次数",坦克属性分配比例标头,0),FALSE)*VLOOKUP($AW223,$AM$3:$AS$33,MATCH(BF$3,$AM$3:$AS$3,0),FALSE),1)</f>
        <v>49.4</v>
      </c>
      <c r="BG223" s="654">
        <f>ROUND(VLOOKUP($AW223,$AD$3:$AJ$33,MATCH(BG$3,$AD$3:$AJ$3,0),FALSE)+$AY223/VLOOKUP(VLOOKUP($AW223,坦克个性化设定!$B$18:$E$48,4,FALSE)&amp;$AX223,坦克属性分配比例,MATCH("升星次数",坦克属性分配比例标头,0),FALSE)*VLOOKUP($AW223,$AM$3:$AS$33,MATCH(BG$3,$AM$3:$AS$3,0),FALSE),1)</f>
        <v>44.5</v>
      </c>
      <c r="BH223" s="654">
        <f>ROUND(VLOOKUP($AW223,$AD$3:$AJ$33,MATCH(BH$3,$AD$3:$AJ$3,0),FALSE)+$AY223/VLOOKUP(VLOOKUP($AW223,坦克个性化设定!$B$18:$E$48,4,FALSE)&amp;$AX223,坦克属性分配比例,MATCH("升星次数",坦克属性分配比例标头,0),FALSE)*VLOOKUP($AW223,$AM$3:$AS$33,MATCH(BH$3,$AM$3:$AS$3,0),FALSE),1)</f>
        <v>13.9</v>
      </c>
      <c r="BI223" s="654">
        <f>IF(VLOOKUP(AW223,坦克个性化设定!$B$18:$BB$48,MATCH("装弹类型",坦克个性化设定!$B$18:$BB$18,0),FALSE)="弹夹换弹",0,ROUND(VLOOKUP($AW223,$AD$3:$AJ$33,MATCH("换弹时间",$AD$3:$AJ$3,0),FALSE)-$AY223/VLOOKUP(VLOOKUP($AW223,坦克个性化设定!$B$18:$E$48,4,FALSE)&amp;$AX223,坦克属性分配比例,MATCH("升星次数",坦克属性分配比例标头,0),FALSE)*VLOOKUP($AW223,$AM$3:$AS$33,MATCH("换弹时间",$AM$3:$AS$3,0),FALSE),2))</f>
        <v>4.24</v>
      </c>
      <c r="BJ223" s="654">
        <f>IF(VLOOKUP(AW223,坦克个性化设定!$B$18:$BB$48,MATCH("装弹类型",坦克个性化设定!$B$18:$BB$18,0),FALSE)="弹夹换弹",ROUND(VLOOKUP($AW223,$AD$3:$AJ$33,MATCH("换弹时间",$AD$3:$AJ$3,0),FALSE)-$AY223/VLOOKUP(VLOOKUP($AW223,坦克个性化设定!$B$18:$E$48,4,FALSE)&amp;$AX223,坦克属性分配比例,MATCH("升星次数",坦克属性分配比例标头,0),FALSE)*VLOOKUP($AW223,$AM$3:$AS$33,MATCH("换弹时间",$AM$3:$AS$3,0),FALSE),1),0)</f>
        <v>0</v>
      </c>
      <c r="BK223" s="654">
        <f>ROUND(VLOOKUP($AW223,$AD$3:$AJ$33,MATCH(BK$3,$AD$3:$AJ$3,0),FALSE)+$AY223/VLOOKUP(VLOOKUP($AW223,坦克个性化设定!$B$18:$E$48,4,FALSE)&amp;$AX223,坦克属性分配比例,MATCH("升星次数",坦克属性分配比例标头,0),FALSE)*VLOOKUP($AW223,$AM$3:$AS$33,MATCH(BK$3,$AM$3:$AS$3,0),FALSE),2)</f>
        <v>0</v>
      </c>
      <c r="BL223" s="654">
        <f>ROUND(VLOOKUP($AW223,$AD$3:$AJ$33,MATCH(BL$3,$AD$3:$AJ$3,0),FALSE)-$AY223/VLOOKUP(VLOOKUP($AW223,坦克个性化设定!$B$18:$E$48,4,FALSE)&amp;$AX223,坦克属性分配比例,MATCH("升星次数",坦克属性分配比例标头,0),FALSE)*VLOOKUP($AW223,$AM$3:$AS$33,MATCH(BL$3,$AM$3:$AS$3,0),FALSE),2)</f>
        <v>2.31</v>
      </c>
    </row>
    <row r="224" spans="47:64" x14ac:dyDescent="0.35">
      <c r="AU224" s="372" t="str">
        <f t="shared" si="27"/>
        <v>百夫长5</v>
      </c>
      <c r="AV224" s="654">
        <f>IF(AY223&gt;=VLOOKUP(VLOOKUP(AW223,坦克个性化设定!$B$18:$E$48,4,FALSE)&amp;AX223,坦克属性分配比例,MATCH("升星次数",坦克属性分配比例标头,0),FALSE),AV223+1,AV223)</f>
        <v>19</v>
      </c>
      <c r="AW224" s="649" t="str">
        <f t="shared" si="28"/>
        <v>百夫长</v>
      </c>
      <c r="AX224" s="650" t="str">
        <f>VLOOKUP(AW224,坦克个性化细分!$I$3:$J$33,2,FALSE)</f>
        <v>高</v>
      </c>
      <c r="AY224" s="654">
        <f t="shared" si="29"/>
        <v>5</v>
      </c>
      <c r="AZ224" s="654">
        <f ca="1">ROUND(VLOOKUP($AW224&amp;"初始",$O$3:$AA$63,MATCH(AZ$3,$O$3:$AA$3,0),FALSE)+((VLOOKUP($AW224&amp;"最终",$O$3:$AA$63,MATCH(AZ$3,$O$3:$AA$3,0),FALSE)*坦克个性化细分!$C$9-VLOOKUP($AW224&amp;"初始",$O$3:$AA$63,MATCH(AZ$3,$O$3:$AA$3,0),FALSE))-(VLOOKUP($AW224&amp;"最终",$O$3:$AA$63,MATCH(AZ$3,$O$3:$AA$3,0),FALSE)-VLOOKUP($AW224&amp;"初始",$O$3:$AA$63,MATCH(AZ$3,$O$3:$AA$3,0),FALSE))*VLOOKUP(VLOOKUP($AW224,坦克个性化设定!$B$18:$E$48,4,FALSE)&amp;$AX224,坦克属性分配比例,MATCH("部件比例",坦克属性分配比例标头,0),FALSE))*$AY224/VLOOKUP(VLOOKUP($AW224,坦克个性化设定!$B$18:$E$48,4,FALSE)&amp;$AX224,坦克属性分配比例,MATCH("升星次数",坦克属性分配比例标头,0),FALSE),0)</f>
        <v>2657</v>
      </c>
      <c r="BA224" s="654">
        <f ca="1">ROUND(VLOOKUP($AW224&amp;"初始",$O$3:$AA$63,MATCH(BA$3,$O$3:$AA$3,0),FALSE)+(VLOOKUP($AW224&amp;"最终",$O$3:$AA$63,MATCH(BA$3,$O$3:$AA$3,0),FALSE)-VLOOKUP($AW224&amp;"初始",$O$3:$AA$63,MATCH(BA$3,$O$3:$AA$3,0),FALSE))*$AY224/VLOOKUP(VLOOKUP($AW224,坦克个性化设定!$B$18:$E$48,4,FALSE)&amp;$AX224,坦克属性分配比例,MATCH("升星次数",坦克属性分配比例标头,0),FALSE)*VLOOKUP(VLOOKUP($AW224,坦克个性化设定!$B$18:$E$48,4,FALSE)&amp;$AX224,坦克属性分配比例,MATCH("升星比例",坦克属性分配比例标头,0),FALSE),0)</f>
        <v>306</v>
      </c>
      <c r="BB224" s="654">
        <f ca="1">ROUND(VLOOKUP($AW224&amp;"初始",$O$3:$AA$63,MATCH(BB$3,$O$3:$AA$3,0),FALSE)+(VLOOKUP($AW224&amp;"最终",$O$3:$AA$63,MATCH(BB$3,$O$3:$AA$3,0),FALSE)-VLOOKUP($AW224&amp;"初始",$O$3:$AA$63,MATCH(BB$3,$O$3:$AA$3,0),FALSE))*$AY224/VLOOKUP(VLOOKUP($AW224,坦克个性化设定!$B$18:$E$48,4,FALSE)&amp;$AX224,坦克属性分配比例,MATCH("升星次数",坦克属性分配比例标头,0),FALSE)*(VLOOKUP(VLOOKUP($AW224,坦克个性化设定!$B$18:$E$48,4,FALSE)&amp;$AX224,坦克属性分配比例,MATCH("升星比例",坦克属性分配比例标头,0),FALSE)+VLOOKUP(VLOOKUP($AW224,坦克个性化设定!$B$18:$E$48,4,FALSE)&amp;$AX224,坦克属性分配比例,MATCH("部件比例",坦克属性分配比例标头,0),FALSE)*$C$3),0)</f>
        <v>825</v>
      </c>
      <c r="BC224" s="654">
        <f ca="1">ROUND(VLOOKUP($AW224&amp;"初始",$O$3:$AA$63,MATCH(BC$3,$O$3:$AA$3,0),FALSE)+(VLOOKUP($AW224&amp;"最终",$O$3:$AA$63,MATCH(BC$3,$O$3:$AA$3,0),FALSE)-VLOOKUP($AW224&amp;"初始",$O$3:$AA$63,MATCH(BC$3,$O$3:$AA$3,0),FALSE))*$AY224/VLOOKUP(VLOOKUP($AW224,坦克个性化设定!$B$18:$E$48,4,FALSE)&amp;$AX224,坦克属性分配比例,MATCH("升星次数",坦克属性分配比例标头,0),FALSE)*(VLOOKUP(VLOOKUP($AW224,坦克个性化设定!$B$18:$E$48,4,FALSE)&amp;$AX224,坦克属性分配比例,MATCH("升星比例",坦克属性分配比例标头,0),FALSE)+VLOOKUP(VLOOKUP($AW224,坦克个性化设定!$B$18:$E$48,4,FALSE)&amp;$AX224,坦克属性分配比例,MATCH("部件比例",坦克属性分配比例标头,0),FALSE)*$C$3),0)</f>
        <v>619</v>
      </c>
      <c r="BD224" s="654">
        <f ca="1">ROUND(VLOOKUP($AW224&amp;"初始",$O$3:$AA$63,MATCH(BD$3,$O$3:$AA$3,0),FALSE)+(VLOOKUP($AW224&amp;"最终",$O$3:$AA$63,MATCH(BD$3,$O$3:$AA$3,0),FALSE)-VLOOKUP($AW224&amp;"初始",$O$3:$AA$63,MATCH(BD$3,$O$3:$AA$3,0),FALSE))*$AY224/VLOOKUP(VLOOKUP($AW224,坦克个性化设定!$B$18:$E$48,4,FALSE)&amp;$AX224,坦克属性分配比例,MATCH("升星次数",坦克属性分配比例标头,0),FALSE)*VLOOKUP(VLOOKUP($AW224,坦克个性化设定!$B$18:$E$48,4,FALSE)&amp;$AX224,坦克属性分配比例,MATCH("升星比例",坦克属性分配比例标头,0),FALSE),0)</f>
        <v>838</v>
      </c>
      <c r="BE224" s="654">
        <f ca="1">ROUND(VLOOKUP($AW224&amp;"初始",$O$3:$AA$63,MATCH(BE$3,$O$3:$AA$3,0),FALSE)+(VLOOKUP($AW224&amp;"最终",$O$3:$AA$63,MATCH(BE$3,$O$3:$AA$3,0),FALSE)-VLOOKUP($AW224&amp;"初始",$O$3:$AA$63,MATCH(BE$3,$O$3:$AA$3,0),FALSE))*$AY224/VLOOKUP(VLOOKUP($AW224,坦克个性化设定!$B$18:$E$48,4,FALSE)&amp;$AX224,坦克属性分配比例,MATCH("升星次数",坦克属性分配比例标头,0),FALSE),0)</f>
        <v>231</v>
      </c>
      <c r="BF224" s="654">
        <f>ROUND(VLOOKUP($AW224,$AD$3:$AJ$33,MATCH(BF$3,$AD$3:$AJ$3,0),FALSE)+$AY224/VLOOKUP(VLOOKUP($AW224,坦克个性化设定!$B$18:$E$48,4,FALSE)&amp;$AX224,坦克属性分配比例,MATCH("升星次数",坦克属性分配比例标头,0),FALSE)*VLOOKUP($AW224,$AM$3:$AS$33,MATCH(BF$3,$AM$3:$AS$3,0),FALSE),1)</f>
        <v>50.1</v>
      </c>
      <c r="BG224" s="654">
        <f>ROUND(VLOOKUP($AW224,$AD$3:$AJ$33,MATCH(BG$3,$AD$3:$AJ$3,0),FALSE)+$AY224/VLOOKUP(VLOOKUP($AW224,坦克个性化设定!$B$18:$E$48,4,FALSE)&amp;$AX224,坦克属性分配比例,MATCH("升星次数",坦克属性分配比例标头,0),FALSE)*VLOOKUP($AW224,$AM$3:$AS$33,MATCH(BG$3,$AM$3:$AS$3,0),FALSE),1)</f>
        <v>45.1</v>
      </c>
      <c r="BH224" s="654">
        <f>ROUND(VLOOKUP($AW224,$AD$3:$AJ$33,MATCH(BH$3,$AD$3:$AJ$3,0),FALSE)+$AY224/VLOOKUP(VLOOKUP($AW224,坦克个性化设定!$B$18:$E$48,4,FALSE)&amp;$AX224,坦克属性分配比例,MATCH("升星次数",坦克属性分配比例标头,0),FALSE)*VLOOKUP($AW224,$AM$3:$AS$33,MATCH(BH$3,$AM$3:$AS$3,0),FALSE),1)</f>
        <v>14.1</v>
      </c>
      <c r="BI224" s="654">
        <f>IF(VLOOKUP(AW224,坦克个性化设定!$B$18:$BB$48,MATCH("装弹类型",坦克个性化设定!$B$18:$BB$18,0),FALSE)="弹夹换弹",0,ROUND(VLOOKUP($AW224,$AD$3:$AJ$33,MATCH("换弹时间",$AD$3:$AJ$3,0),FALSE)-$AY224/VLOOKUP(VLOOKUP($AW224,坦克个性化设定!$B$18:$E$48,4,FALSE)&amp;$AX224,坦克属性分配比例,MATCH("升星次数",坦克属性分配比例标头,0),FALSE)*VLOOKUP($AW224,$AM$3:$AS$33,MATCH("换弹时间",$AM$3:$AS$3,0),FALSE),2))</f>
        <v>4.18</v>
      </c>
      <c r="BJ224" s="654">
        <f>IF(VLOOKUP(AW224,坦克个性化设定!$B$18:$BB$48,MATCH("装弹类型",坦克个性化设定!$B$18:$BB$18,0),FALSE)="弹夹换弹",ROUND(VLOOKUP($AW224,$AD$3:$AJ$33,MATCH("换弹时间",$AD$3:$AJ$3,0),FALSE)-$AY224/VLOOKUP(VLOOKUP($AW224,坦克个性化设定!$B$18:$E$48,4,FALSE)&amp;$AX224,坦克属性分配比例,MATCH("升星次数",坦克属性分配比例标头,0),FALSE)*VLOOKUP($AW224,$AM$3:$AS$33,MATCH("换弹时间",$AM$3:$AS$3,0),FALSE),1),0)</f>
        <v>0</v>
      </c>
      <c r="BK224" s="654">
        <f>ROUND(VLOOKUP($AW224,$AD$3:$AJ$33,MATCH(BK$3,$AD$3:$AJ$3,0),FALSE)+$AY224/VLOOKUP(VLOOKUP($AW224,坦克个性化设定!$B$18:$E$48,4,FALSE)&amp;$AX224,坦克属性分配比例,MATCH("升星次数",坦克属性分配比例标头,0),FALSE)*VLOOKUP($AW224,$AM$3:$AS$33,MATCH(BK$3,$AM$3:$AS$3,0),FALSE),2)</f>
        <v>0</v>
      </c>
      <c r="BL224" s="654">
        <f>ROUND(VLOOKUP($AW224,$AD$3:$AJ$33,MATCH(BL$3,$AD$3:$AJ$3,0),FALSE)-$AY224/VLOOKUP(VLOOKUP($AW224,坦克个性化设定!$B$18:$E$48,4,FALSE)&amp;$AX224,坦克属性分配比例,MATCH("升星次数",坦克属性分配比例标头,0),FALSE)*VLOOKUP($AW224,$AM$3:$AS$33,MATCH(BL$3,$AM$3:$AS$3,0),FALSE),2)</f>
        <v>2.2799999999999998</v>
      </c>
    </row>
    <row r="225" spans="47:64" x14ac:dyDescent="0.35">
      <c r="AU225" s="372" t="str">
        <f t="shared" si="27"/>
        <v>百夫长6</v>
      </c>
      <c r="AV225" s="654">
        <f>IF(AY224&gt;=VLOOKUP(VLOOKUP(AW224,坦克个性化设定!$B$18:$E$48,4,FALSE)&amp;AX224,坦克属性分配比例,MATCH("升星次数",坦克属性分配比例标头,0),FALSE),AV224+1,AV224)</f>
        <v>19</v>
      </c>
      <c r="AW225" s="649" t="str">
        <f t="shared" si="28"/>
        <v>百夫长</v>
      </c>
      <c r="AX225" s="650" t="str">
        <f>VLOOKUP(AW225,坦克个性化细分!$I$3:$J$33,2,FALSE)</f>
        <v>高</v>
      </c>
      <c r="AY225" s="654">
        <f t="shared" si="29"/>
        <v>6</v>
      </c>
      <c r="AZ225" s="654">
        <f ca="1">ROUND(VLOOKUP($AW225&amp;"初始",$O$3:$AA$63,MATCH(AZ$3,$O$3:$AA$3,0),FALSE)+((VLOOKUP($AW225&amp;"最终",$O$3:$AA$63,MATCH(AZ$3,$O$3:$AA$3,0),FALSE)*坦克个性化细分!$C$9-VLOOKUP($AW225&amp;"初始",$O$3:$AA$63,MATCH(AZ$3,$O$3:$AA$3,0),FALSE))-(VLOOKUP($AW225&amp;"最终",$O$3:$AA$63,MATCH(AZ$3,$O$3:$AA$3,0),FALSE)-VLOOKUP($AW225&amp;"初始",$O$3:$AA$63,MATCH(AZ$3,$O$3:$AA$3,0),FALSE))*VLOOKUP(VLOOKUP($AW225,坦克个性化设定!$B$18:$E$48,4,FALSE)&amp;$AX225,坦克属性分配比例,MATCH("部件比例",坦克属性分配比例标头,0),FALSE))*$AY225/VLOOKUP(VLOOKUP($AW225,坦克个性化设定!$B$18:$E$48,4,FALSE)&amp;$AX225,坦克属性分配比例,MATCH("升星次数",坦克属性分配比例标头,0),FALSE),0)</f>
        <v>2780</v>
      </c>
      <c r="BA225" s="654">
        <f ca="1">ROUND(VLOOKUP($AW225&amp;"初始",$O$3:$AA$63,MATCH(BA$3,$O$3:$AA$3,0),FALSE)+(VLOOKUP($AW225&amp;"最终",$O$3:$AA$63,MATCH(BA$3,$O$3:$AA$3,0),FALSE)-VLOOKUP($AW225&amp;"初始",$O$3:$AA$63,MATCH(BA$3,$O$3:$AA$3,0),FALSE))*$AY225/VLOOKUP(VLOOKUP($AW225,坦克个性化设定!$B$18:$E$48,4,FALSE)&amp;$AX225,坦克属性分配比例,MATCH("升星次数",坦克属性分配比例标头,0),FALSE)*VLOOKUP(VLOOKUP($AW225,坦克个性化设定!$B$18:$E$48,4,FALSE)&amp;$AX225,坦克属性分配比例,MATCH("升星比例",坦克属性分配比例标头,0),FALSE),0)</f>
        <v>313</v>
      </c>
      <c r="BB225" s="654">
        <f ca="1">ROUND(VLOOKUP($AW225&amp;"初始",$O$3:$AA$63,MATCH(BB$3,$O$3:$AA$3,0),FALSE)+(VLOOKUP($AW225&amp;"最终",$O$3:$AA$63,MATCH(BB$3,$O$3:$AA$3,0),FALSE)-VLOOKUP($AW225&amp;"初始",$O$3:$AA$63,MATCH(BB$3,$O$3:$AA$3,0),FALSE))*$AY225/VLOOKUP(VLOOKUP($AW225,坦克个性化设定!$B$18:$E$48,4,FALSE)&amp;$AX225,坦克属性分配比例,MATCH("升星次数",坦克属性分配比例标头,0),FALSE)*(VLOOKUP(VLOOKUP($AW225,坦克个性化设定!$B$18:$E$48,4,FALSE)&amp;$AX225,坦克属性分配比例,MATCH("升星比例",坦克属性分配比例标头,0),FALSE)+VLOOKUP(VLOOKUP($AW225,坦克个性化设定!$B$18:$E$48,4,FALSE)&amp;$AX225,坦克属性分配比例,MATCH("部件比例",坦克属性分配比例标头,0),FALSE)*$C$3),0)</f>
        <v>854</v>
      </c>
      <c r="BC225" s="654">
        <f ca="1">ROUND(VLOOKUP($AW225&amp;"初始",$O$3:$AA$63,MATCH(BC$3,$O$3:$AA$3,0),FALSE)+(VLOOKUP($AW225&amp;"最终",$O$3:$AA$63,MATCH(BC$3,$O$3:$AA$3,0),FALSE)-VLOOKUP($AW225&amp;"初始",$O$3:$AA$63,MATCH(BC$3,$O$3:$AA$3,0),FALSE))*$AY225/VLOOKUP(VLOOKUP($AW225,坦克个性化设定!$B$18:$E$48,4,FALSE)&amp;$AX225,坦克属性分配比例,MATCH("升星次数",坦克属性分配比例标头,0),FALSE)*(VLOOKUP(VLOOKUP($AW225,坦克个性化设定!$B$18:$E$48,4,FALSE)&amp;$AX225,坦克属性分配比例,MATCH("升星比例",坦克属性分配比例标头,0),FALSE)+VLOOKUP(VLOOKUP($AW225,坦克个性化设定!$B$18:$E$48,4,FALSE)&amp;$AX225,坦克属性分配比例,MATCH("部件比例",坦克属性分配比例标头,0),FALSE)*$C$3),0)</f>
        <v>641</v>
      </c>
      <c r="BD225" s="654">
        <f ca="1">ROUND(VLOOKUP($AW225&amp;"初始",$O$3:$AA$63,MATCH(BD$3,$O$3:$AA$3,0),FALSE)+(VLOOKUP($AW225&amp;"最终",$O$3:$AA$63,MATCH(BD$3,$O$3:$AA$3,0),FALSE)-VLOOKUP($AW225&amp;"初始",$O$3:$AA$63,MATCH(BD$3,$O$3:$AA$3,0),FALSE))*$AY225/VLOOKUP(VLOOKUP($AW225,坦克个性化设定!$B$18:$E$48,4,FALSE)&amp;$AX225,坦克属性分配比例,MATCH("升星次数",坦克属性分配比例标头,0),FALSE)*VLOOKUP(VLOOKUP($AW225,坦克个性化设定!$B$18:$E$48,4,FALSE)&amp;$AX225,坦克属性分配比例,MATCH("升星比例",坦克属性分配比例标头,0),FALSE),0)</f>
        <v>858</v>
      </c>
      <c r="BE225" s="654">
        <f ca="1">ROUND(VLOOKUP($AW225&amp;"初始",$O$3:$AA$63,MATCH(BE$3,$O$3:$AA$3,0),FALSE)+(VLOOKUP($AW225&amp;"最终",$O$3:$AA$63,MATCH(BE$3,$O$3:$AA$3,0),FALSE)-VLOOKUP($AW225&amp;"初始",$O$3:$AA$63,MATCH(BE$3,$O$3:$AA$3,0),FALSE))*$AY225/VLOOKUP(VLOOKUP($AW225,坦克个性化设定!$B$18:$E$48,4,FALSE)&amp;$AX225,坦克属性分配比例,MATCH("升星次数",坦克属性分配比例标头,0),FALSE),0)</f>
        <v>241</v>
      </c>
      <c r="BF225" s="654">
        <f>ROUND(VLOOKUP($AW225,$AD$3:$AJ$33,MATCH(BF$3,$AD$3:$AJ$3,0),FALSE)+$AY225/VLOOKUP(VLOOKUP($AW225,坦克个性化设定!$B$18:$E$48,4,FALSE)&amp;$AX225,坦克属性分配比例,MATCH("升星次数",坦克属性分配比例标头,0),FALSE)*VLOOKUP($AW225,$AM$3:$AS$33,MATCH(BF$3,$AM$3:$AS$3,0),FALSE),1)</f>
        <v>50.8</v>
      </c>
      <c r="BG225" s="654">
        <f>ROUND(VLOOKUP($AW225,$AD$3:$AJ$33,MATCH(BG$3,$AD$3:$AJ$3,0),FALSE)+$AY225/VLOOKUP(VLOOKUP($AW225,坦克个性化设定!$B$18:$E$48,4,FALSE)&amp;$AX225,坦克属性分配比例,MATCH("升星次数",坦克属性分配比例标头,0),FALSE)*VLOOKUP($AW225,$AM$3:$AS$33,MATCH(BG$3,$AM$3:$AS$3,0),FALSE),1)</f>
        <v>45.7</v>
      </c>
      <c r="BH225" s="654">
        <f>ROUND(VLOOKUP($AW225,$AD$3:$AJ$33,MATCH(BH$3,$AD$3:$AJ$3,0),FALSE)+$AY225/VLOOKUP(VLOOKUP($AW225,坦克个性化设定!$B$18:$E$48,4,FALSE)&amp;$AX225,坦克属性分配比例,MATCH("升星次数",坦克属性分配比例标头,0),FALSE)*VLOOKUP($AW225,$AM$3:$AS$33,MATCH(BH$3,$AM$3:$AS$3,0),FALSE),1)</f>
        <v>14.4</v>
      </c>
      <c r="BI225" s="654">
        <f>IF(VLOOKUP(AW225,坦克个性化设定!$B$18:$BB$48,MATCH("装弹类型",坦克个性化设定!$B$18:$BB$18,0),FALSE)="弹夹换弹",0,ROUND(VLOOKUP($AW225,$AD$3:$AJ$33,MATCH("换弹时间",$AD$3:$AJ$3,0),FALSE)-$AY225/VLOOKUP(VLOOKUP($AW225,坦克个性化设定!$B$18:$E$48,4,FALSE)&amp;$AX225,坦克属性分配比例,MATCH("升星次数",坦克属性分配比例标头,0),FALSE)*VLOOKUP($AW225,$AM$3:$AS$33,MATCH("换弹时间",$AM$3:$AS$3,0),FALSE),2))</f>
        <v>4.1100000000000003</v>
      </c>
      <c r="BJ225" s="654">
        <f>IF(VLOOKUP(AW225,坦克个性化设定!$B$18:$BB$48,MATCH("装弹类型",坦克个性化设定!$B$18:$BB$18,0),FALSE)="弹夹换弹",ROUND(VLOOKUP($AW225,$AD$3:$AJ$33,MATCH("换弹时间",$AD$3:$AJ$3,0),FALSE)-$AY225/VLOOKUP(VLOOKUP($AW225,坦克个性化设定!$B$18:$E$48,4,FALSE)&amp;$AX225,坦克属性分配比例,MATCH("升星次数",坦克属性分配比例标头,0),FALSE)*VLOOKUP($AW225,$AM$3:$AS$33,MATCH("换弹时间",$AM$3:$AS$3,0),FALSE),1),0)</f>
        <v>0</v>
      </c>
      <c r="BK225" s="654">
        <f>ROUND(VLOOKUP($AW225,$AD$3:$AJ$33,MATCH(BK$3,$AD$3:$AJ$3,0),FALSE)+$AY225/VLOOKUP(VLOOKUP($AW225,坦克个性化设定!$B$18:$E$48,4,FALSE)&amp;$AX225,坦克属性分配比例,MATCH("升星次数",坦克属性分配比例标头,0),FALSE)*VLOOKUP($AW225,$AM$3:$AS$33,MATCH(BK$3,$AM$3:$AS$3,0),FALSE),2)</f>
        <v>0</v>
      </c>
      <c r="BL225" s="654">
        <f>ROUND(VLOOKUP($AW225,$AD$3:$AJ$33,MATCH(BL$3,$AD$3:$AJ$3,0),FALSE)-$AY225/VLOOKUP(VLOOKUP($AW225,坦克个性化设定!$B$18:$E$48,4,FALSE)&amp;$AX225,坦克属性分配比例,MATCH("升星次数",坦克属性分配比例标头,0),FALSE)*VLOOKUP($AW225,$AM$3:$AS$33,MATCH(BL$3,$AM$3:$AS$3,0),FALSE),2)</f>
        <v>2.2599999999999998</v>
      </c>
    </row>
    <row r="226" spans="47:64" x14ac:dyDescent="0.35">
      <c r="AU226" s="372" t="str">
        <f t="shared" si="27"/>
        <v>百夫长7</v>
      </c>
      <c r="AV226" s="654">
        <f>IF(AY225&gt;=VLOOKUP(VLOOKUP(AW225,坦克个性化设定!$B$18:$E$48,4,FALSE)&amp;AX225,坦克属性分配比例,MATCH("升星次数",坦克属性分配比例标头,0),FALSE),AV225+1,AV225)</f>
        <v>19</v>
      </c>
      <c r="AW226" s="649" t="str">
        <f t="shared" si="28"/>
        <v>百夫长</v>
      </c>
      <c r="AX226" s="650" t="str">
        <f>VLOOKUP(AW226,坦克个性化细分!$I$3:$J$33,2,FALSE)</f>
        <v>高</v>
      </c>
      <c r="AY226" s="654">
        <f t="shared" si="29"/>
        <v>7</v>
      </c>
      <c r="AZ226" s="654">
        <f ca="1">ROUND(VLOOKUP($AW226&amp;"初始",$O$3:$AA$63,MATCH(AZ$3,$O$3:$AA$3,0),FALSE)+((VLOOKUP($AW226&amp;"最终",$O$3:$AA$63,MATCH(AZ$3,$O$3:$AA$3,0),FALSE)*坦克个性化细分!$C$9-VLOOKUP($AW226&amp;"初始",$O$3:$AA$63,MATCH(AZ$3,$O$3:$AA$3,0),FALSE))-(VLOOKUP($AW226&amp;"最终",$O$3:$AA$63,MATCH(AZ$3,$O$3:$AA$3,0),FALSE)-VLOOKUP($AW226&amp;"初始",$O$3:$AA$63,MATCH(AZ$3,$O$3:$AA$3,0),FALSE))*VLOOKUP(VLOOKUP($AW226,坦克个性化设定!$B$18:$E$48,4,FALSE)&amp;$AX226,坦克属性分配比例,MATCH("部件比例",坦克属性分配比例标头,0),FALSE))*$AY226/VLOOKUP(VLOOKUP($AW226,坦克个性化设定!$B$18:$E$48,4,FALSE)&amp;$AX226,坦克属性分配比例,MATCH("升星次数",坦克属性分配比例标头,0),FALSE),0)</f>
        <v>2903</v>
      </c>
      <c r="BA226" s="654">
        <f ca="1">ROUND(VLOOKUP($AW226&amp;"初始",$O$3:$AA$63,MATCH(BA$3,$O$3:$AA$3,0),FALSE)+(VLOOKUP($AW226&amp;"最终",$O$3:$AA$63,MATCH(BA$3,$O$3:$AA$3,0),FALSE)-VLOOKUP($AW226&amp;"初始",$O$3:$AA$63,MATCH(BA$3,$O$3:$AA$3,0),FALSE))*$AY226/VLOOKUP(VLOOKUP($AW226,坦克个性化设定!$B$18:$E$48,4,FALSE)&amp;$AX226,坦克属性分配比例,MATCH("升星次数",坦克属性分配比例标头,0),FALSE)*VLOOKUP(VLOOKUP($AW226,坦克个性化设定!$B$18:$E$48,4,FALSE)&amp;$AX226,坦克属性分配比例,MATCH("升星比例",坦克属性分配比例标头,0),FALSE),0)</f>
        <v>320</v>
      </c>
      <c r="BB226" s="654">
        <f ca="1">ROUND(VLOOKUP($AW226&amp;"初始",$O$3:$AA$63,MATCH(BB$3,$O$3:$AA$3,0),FALSE)+(VLOOKUP($AW226&amp;"最终",$O$3:$AA$63,MATCH(BB$3,$O$3:$AA$3,0),FALSE)-VLOOKUP($AW226&amp;"初始",$O$3:$AA$63,MATCH(BB$3,$O$3:$AA$3,0),FALSE))*$AY226/VLOOKUP(VLOOKUP($AW226,坦克个性化设定!$B$18:$E$48,4,FALSE)&amp;$AX226,坦克属性分配比例,MATCH("升星次数",坦克属性分配比例标头,0),FALSE)*(VLOOKUP(VLOOKUP($AW226,坦克个性化设定!$B$18:$E$48,4,FALSE)&amp;$AX226,坦克属性分配比例,MATCH("升星比例",坦克属性分配比例标头,0),FALSE)+VLOOKUP(VLOOKUP($AW226,坦克个性化设定!$B$18:$E$48,4,FALSE)&amp;$AX226,坦克属性分配比例,MATCH("部件比例",坦克属性分配比例标头,0),FALSE)*$C$3),0)</f>
        <v>884</v>
      </c>
      <c r="BC226" s="654">
        <f ca="1">ROUND(VLOOKUP($AW226&amp;"初始",$O$3:$AA$63,MATCH(BC$3,$O$3:$AA$3,0),FALSE)+(VLOOKUP($AW226&amp;"最终",$O$3:$AA$63,MATCH(BC$3,$O$3:$AA$3,0),FALSE)-VLOOKUP($AW226&amp;"初始",$O$3:$AA$63,MATCH(BC$3,$O$3:$AA$3,0),FALSE))*$AY226/VLOOKUP(VLOOKUP($AW226,坦克个性化设定!$B$18:$E$48,4,FALSE)&amp;$AX226,坦克属性分配比例,MATCH("升星次数",坦克属性分配比例标头,0),FALSE)*(VLOOKUP(VLOOKUP($AW226,坦克个性化设定!$B$18:$E$48,4,FALSE)&amp;$AX226,坦克属性分配比例,MATCH("升星比例",坦克属性分配比例标头,0),FALSE)+VLOOKUP(VLOOKUP($AW226,坦克个性化设定!$B$18:$E$48,4,FALSE)&amp;$AX226,坦克属性分配比例,MATCH("部件比例",坦克属性分配比例标头,0),FALSE)*$C$3),0)</f>
        <v>663</v>
      </c>
      <c r="BD226" s="654">
        <f ca="1">ROUND(VLOOKUP($AW226&amp;"初始",$O$3:$AA$63,MATCH(BD$3,$O$3:$AA$3,0),FALSE)+(VLOOKUP($AW226&amp;"最终",$O$3:$AA$63,MATCH(BD$3,$O$3:$AA$3,0),FALSE)-VLOOKUP($AW226&amp;"初始",$O$3:$AA$63,MATCH(BD$3,$O$3:$AA$3,0),FALSE))*$AY226/VLOOKUP(VLOOKUP($AW226,坦克个性化设定!$B$18:$E$48,4,FALSE)&amp;$AX226,坦克属性分配比例,MATCH("升星次数",坦克属性分配比例标头,0),FALSE)*VLOOKUP(VLOOKUP($AW226,坦克个性化设定!$B$18:$E$48,4,FALSE)&amp;$AX226,坦克属性分配比例,MATCH("升星比例",坦克属性分配比例标头,0),FALSE),0)</f>
        <v>877</v>
      </c>
      <c r="BE226" s="654">
        <f ca="1">ROUND(VLOOKUP($AW226&amp;"初始",$O$3:$AA$63,MATCH(BE$3,$O$3:$AA$3,0),FALSE)+(VLOOKUP($AW226&amp;"最终",$O$3:$AA$63,MATCH(BE$3,$O$3:$AA$3,0),FALSE)-VLOOKUP($AW226&amp;"初始",$O$3:$AA$63,MATCH(BE$3,$O$3:$AA$3,0),FALSE))*$AY226/VLOOKUP(VLOOKUP($AW226,坦克个性化设定!$B$18:$E$48,4,FALSE)&amp;$AX226,坦克属性分配比例,MATCH("升星次数",坦克属性分配比例标头,0),FALSE),0)</f>
        <v>251</v>
      </c>
      <c r="BF226" s="654">
        <f>ROUND(VLOOKUP($AW226,$AD$3:$AJ$33,MATCH(BF$3,$AD$3:$AJ$3,0),FALSE)+$AY226/VLOOKUP(VLOOKUP($AW226,坦克个性化设定!$B$18:$E$48,4,FALSE)&amp;$AX226,坦克属性分配比例,MATCH("升星次数",坦克属性分配比例标头,0),FALSE)*VLOOKUP($AW226,$AM$3:$AS$33,MATCH(BF$3,$AM$3:$AS$3,0),FALSE),1)</f>
        <v>51.5</v>
      </c>
      <c r="BG226" s="654">
        <f>ROUND(VLOOKUP($AW226,$AD$3:$AJ$33,MATCH(BG$3,$AD$3:$AJ$3,0),FALSE)+$AY226/VLOOKUP(VLOOKUP($AW226,坦克个性化设定!$B$18:$E$48,4,FALSE)&amp;$AX226,坦克属性分配比例,MATCH("升星次数",坦克属性分配比例标头,0),FALSE)*VLOOKUP($AW226,$AM$3:$AS$33,MATCH(BG$3,$AM$3:$AS$3,0),FALSE),1)</f>
        <v>46.3</v>
      </c>
      <c r="BH226" s="654">
        <f>ROUND(VLOOKUP($AW226,$AD$3:$AJ$33,MATCH(BH$3,$AD$3:$AJ$3,0),FALSE)+$AY226/VLOOKUP(VLOOKUP($AW226,坦克个性化设定!$B$18:$E$48,4,FALSE)&amp;$AX226,坦克属性分配比例,MATCH("升星次数",坦克属性分配比例标头,0),FALSE)*VLOOKUP($AW226,$AM$3:$AS$33,MATCH(BH$3,$AM$3:$AS$3,0),FALSE),1)</f>
        <v>14.6</v>
      </c>
      <c r="BI226" s="654">
        <f>IF(VLOOKUP(AW226,坦克个性化设定!$B$18:$BB$48,MATCH("装弹类型",坦克个性化设定!$B$18:$BB$18,0),FALSE)="弹夹换弹",0,ROUND(VLOOKUP($AW226,$AD$3:$AJ$33,MATCH("换弹时间",$AD$3:$AJ$3,0),FALSE)-$AY226/VLOOKUP(VLOOKUP($AW226,坦克个性化设定!$B$18:$E$48,4,FALSE)&amp;$AX226,坦克属性分配比例,MATCH("升星次数",坦克属性分配比例标头,0),FALSE)*VLOOKUP($AW226,$AM$3:$AS$33,MATCH("换弹时间",$AM$3:$AS$3,0),FALSE),2))</f>
        <v>4.05</v>
      </c>
      <c r="BJ226" s="654">
        <f>IF(VLOOKUP(AW226,坦克个性化设定!$B$18:$BB$48,MATCH("装弹类型",坦克个性化设定!$B$18:$BB$18,0),FALSE)="弹夹换弹",ROUND(VLOOKUP($AW226,$AD$3:$AJ$33,MATCH("换弹时间",$AD$3:$AJ$3,0),FALSE)-$AY226/VLOOKUP(VLOOKUP($AW226,坦克个性化设定!$B$18:$E$48,4,FALSE)&amp;$AX226,坦克属性分配比例,MATCH("升星次数",坦克属性分配比例标头,0),FALSE)*VLOOKUP($AW226,$AM$3:$AS$33,MATCH("换弹时间",$AM$3:$AS$3,0),FALSE),1),0)</f>
        <v>0</v>
      </c>
      <c r="BK226" s="654">
        <f>ROUND(VLOOKUP($AW226,$AD$3:$AJ$33,MATCH(BK$3,$AD$3:$AJ$3,0),FALSE)+$AY226/VLOOKUP(VLOOKUP($AW226,坦克个性化设定!$B$18:$E$48,4,FALSE)&amp;$AX226,坦克属性分配比例,MATCH("升星次数",坦克属性分配比例标头,0),FALSE)*VLOOKUP($AW226,$AM$3:$AS$33,MATCH(BK$3,$AM$3:$AS$3,0),FALSE),2)</f>
        <v>0</v>
      </c>
      <c r="BL226" s="654">
        <f>ROUND(VLOOKUP($AW226,$AD$3:$AJ$33,MATCH(BL$3,$AD$3:$AJ$3,0),FALSE)-$AY226/VLOOKUP(VLOOKUP($AW226,坦克个性化设定!$B$18:$E$48,4,FALSE)&amp;$AX226,坦克属性分配比例,MATCH("升星次数",坦克属性分配比例标头,0),FALSE)*VLOOKUP($AW226,$AM$3:$AS$33,MATCH(BL$3,$AM$3:$AS$3,0),FALSE),2)</f>
        <v>2.2400000000000002</v>
      </c>
    </row>
    <row r="227" spans="47:64" x14ac:dyDescent="0.35">
      <c r="AU227" s="372" t="str">
        <f t="shared" si="27"/>
        <v>百夫长8</v>
      </c>
      <c r="AV227" s="654">
        <f>IF(AY226&gt;=VLOOKUP(VLOOKUP(AW226,坦克个性化设定!$B$18:$E$48,4,FALSE)&amp;AX226,坦克属性分配比例,MATCH("升星次数",坦克属性分配比例标头,0),FALSE),AV226+1,AV226)</f>
        <v>19</v>
      </c>
      <c r="AW227" s="649" t="str">
        <f t="shared" si="28"/>
        <v>百夫长</v>
      </c>
      <c r="AX227" s="650" t="str">
        <f>VLOOKUP(AW227,坦克个性化细分!$I$3:$J$33,2,FALSE)</f>
        <v>高</v>
      </c>
      <c r="AY227" s="654">
        <f t="shared" si="29"/>
        <v>8</v>
      </c>
      <c r="AZ227" s="654">
        <f ca="1">ROUND(VLOOKUP($AW227&amp;"初始",$O$3:$AA$63,MATCH(AZ$3,$O$3:$AA$3,0),FALSE)+((VLOOKUP($AW227&amp;"最终",$O$3:$AA$63,MATCH(AZ$3,$O$3:$AA$3,0),FALSE)*坦克个性化细分!$C$9-VLOOKUP($AW227&amp;"初始",$O$3:$AA$63,MATCH(AZ$3,$O$3:$AA$3,0),FALSE))-(VLOOKUP($AW227&amp;"最终",$O$3:$AA$63,MATCH(AZ$3,$O$3:$AA$3,0),FALSE)-VLOOKUP($AW227&amp;"初始",$O$3:$AA$63,MATCH(AZ$3,$O$3:$AA$3,0),FALSE))*VLOOKUP(VLOOKUP($AW227,坦克个性化设定!$B$18:$E$48,4,FALSE)&amp;$AX227,坦克属性分配比例,MATCH("部件比例",坦克属性分配比例标头,0),FALSE))*$AY227/VLOOKUP(VLOOKUP($AW227,坦克个性化设定!$B$18:$E$48,4,FALSE)&amp;$AX227,坦克属性分配比例,MATCH("升星次数",坦克属性分配比例标头,0),FALSE),0)</f>
        <v>3026</v>
      </c>
      <c r="BA227" s="654">
        <f ca="1">ROUND(VLOOKUP($AW227&amp;"初始",$O$3:$AA$63,MATCH(BA$3,$O$3:$AA$3,0),FALSE)+(VLOOKUP($AW227&amp;"最终",$O$3:$AA$63,MATCH(BA$3,$O$3:$AA$3,0),FALSE)-VLOOKUP($AW227&amp;"初始",$O$3:$AA$63,MATCH(BA$3,$O$3:$AA$3,0),FALSE))*$AY227/VLOOKUP(VLOOKUP($AW227,坦克个性化设定!$B$18:$E$48,4,FALSE)&amp;$AX227,坦克属性分配比例,MATCH("升星次数",坦克属性分配比例标头,0),FALSE)*VLOOKUP(VLOOKUP($AW227,坦克个性化设定!$B$18:$E$48,4,FALSE)&amp;$AX227,坦克属性分配比例,MATCH("升星比例",坦克属性分配比例标头,0),FALSE),0)</f>
        <v>327</v>
      </c>
      <c r="BB227" s="654">
        <f ca="1">ROUND(VLOOKUP($AW227&amp;"初始",$O$3:$AA$63,MATCH(BB$3,$O$3:$AA$3,0),FALSE)+(VLOOKUP($AW227&amp;"最终",$O$3:$AA$63,MATCH(BB$3,$O$3:$AA$3,0),FALSE)-VLOOKUP($AW227&amp;"初始",$O$3:$AA$63,MATCH(BB$3,$O$3:$AA$3,0),FALSE))*$AY227/VLOOKUP(VLOOKUP($AW227,坦克个性化设定!$B$18:$E$48,4,FALSE)&amp;$AX227,坦克属性分配比例,MATCH("升星次数",坦克属性分配比例标头,0),FALSE)*(VLOOKUP(VLOOKUP($AW227,坦克个性化设定!$B$18:$E$48,4,FALSE)&amp;$AX227,坦克属性分配比例,MATCH("升星比例",坦克属性分配比例标头,0),FALSE)+VLOOKUP(VLOOKUP($AW227,坦克个性化设定!$B$18:$E$48,4,FALSE)&amp;$AX227,坦克属性分配比例,MATCH("部件比例",坦克属性分配比例标头,0),FALSE)*$C$3),0)</f>
        <v>913</v>
      </c>
      <c r="BC227" s="654">
        <f ca="1">ROUND(VLOOKUP($AW227&amp;"初始",$O$3:$AA$63,MATCH(BC$3,$O$3:$AA$3,0),FALSE)+(VLOOKUP($AW227&amp;"最终",$O$3:$AA$63,MATCH(BC$3,$O$3:$AA$3,0),FALSE)-VLOOKUP($AW227&amp;"初始",$O$3:$AA$63,MATCH(BC$3,$O$3:$AA$3,0),FALSE))*$AY227/VLOOKUP(VLOOKUP($AW227,坦克个性化设定!$B$18:$E$48,4,FALSE)&amp;$AX227,坦克属性分配比例,MATCH("升星次数",坦克属性分配比例标头,0),FALSE)*(VLOOKUP(VLOOKUP($AW227,坦克个性化设定!$B$18:$E$48,4,FALSE)&amp;$AX227,坦克属性分配比例,MATCH("升星比例",坦克属性分配比例标头,0),FALSE)+VLOOKUP(VLOOKUP($AW227,坦克个性化设定!$B$18:$E$48,4,FALSE)&amp;$AX227,坦克属性分配比例,MATCH("部件比例",坦克属性分配比例标头,0),FALSE)*$C$3),0)</f>
        <v>685</v>
      </c>
      <c r="BD227" s="654">
        <f ca="1">ROUND(VLOOKUP($AW227&amp;"初始",$O$3:$AA$63,MATCH(BD$3,$O$3:$AA$3,0),FALSE)+(VLOOKUP($AW227&amp;"最终",$O$3:$AA$63,MATCH(BD$3,$O$3:$AA$3,0),FALSE)-VLOOKUP($AW227&amp;"初始",$O$3:$AA$63,MATCH(BD$3,$O$3:$AA$3,0),FALSE))*$AY227/VLOOKUP(VLOOKUP($AW227,坦克个性化设定!$B$18:$E$48,4,FALSE)&amp;$AX227,坦克属性分配比例,MATCH("升星次数",坦克属性分配比例标头,0),FALSE)*VLOOKUP(VLOOKUP($AW227,坦克个性化设定!$B$18:$E$48,4,FALSE)&amp;$AX227,坦克属性分配比例,MATCH("升星比例",坦克属性分配比例标头,0),FALSE),0)</f>
        <v>896</v>
      </c>
      <c r="BE227" s="654">
        <f ca="1">ROUND(VLOOKUP($AW227&amp;"初始",$O$3:$AA$63,MATCH(BE$3,$O$3:$AA$3,0),FALSE)+(VLOOKUP($AW227&amp;"最终",$O$3:$AA$63,MATCH(BE$3,$O$3:$AA$3,0),FALSE)-VLOOKUP($AW227&amp;"初始",$O$3:$AA$63,MATCH(BE$3,$O$3:$AA$3,0),FALSE))*$AY227/VLOOKUP(VLOOKUP($AW227,坦克个性化设定!$B$18:$E$48,4,FALSE)&amp;$AX227,坦克属性分配比例,MATCH("升星次数",坦克属性分配比例标头,0),FALSE),0)</f>
        <v>261</v>
      </c>
      <c r="BF227" s="654">
        <f>ROUND(VLOOKUP($AW227,$AD$3:$AJ$33,MATCH(BF$3,$AD$3:$AJ$3,0),FALSE)+$AY227/VLOOKUP(VLOOKUP($AW227,坦克个性化设定!$B$18:$E$48,4,FALSE)&amp;$AX227,坦克属性分配比例,MATCH("升星次数",坦克属性分配比例标头,0),FALSE)*VLOOKUP($AW227,$AM$3:$AS$33,MATCH(BF$3,$AM$3:$AS$3,0),FALSE),1)</f>
        <v>52.2</v>
      </c>
      <c r="BG227" s="654">
        <f>ROUND(VLOOKUP($AW227,$AD$3:$AJ$33,MATCH(BG$3,$AD$3:$AJ$3,0),FALSE)+$AY227/VLOOKUP(VLOOKUP($AW227,坦克个性化设定!$B$18:$E$48,4,FALSE)&amp;$AX227,坦克属性分配比例,MATCH("升星次数",坦克属性分配比例标头,0),FALSE)*VLOOKUP($AW227,$AM$3:$AS$33,MATCH(BG$3,$AM$3:$AS$3,0),FALSE),1)</f>
        <v>46.9</v>
      </c>
      <c r="BH227" s="654">
        <f>ROUND(VLOOKUP($AW227,$AD$3:$AJ$33,MATCH(BH$3,$AD$3:$AJ$3,0),FALSE)+$AY227/VLOOKUP(VLOOKUP($AW227,坦克个性化设定!$B$18:$E$48,4,FALSE)&amp;$AX227,坦克属性分配比例,MATCH("升星次数",坦克属性分配比例标头,0),FALSE)*VLOOKUP($AW227,$AM$3:$AS$33,MATCH(BH$3,$AM$3:$AS$3,0),FALSE),1)</f>
        <v>14.9</v>
      </c>
      <c r="BI227" s="654">
        <f>IF(VLOOKUP(AW227,坦克个性化设定!$B$18:$BB$48,MATCH("装弹类型",坦克个性化设定!$B$18:$BB$18,0),FALSE)="弹夹换弹",0,ROUND(VLOOKUP($AW227,$AD$3:$AJ$33,MATCH("换弹时间",$AD$3:$AJ$3,0),FALSE)-$AY227/VLOOKUP(VLOOKUP($AW227,坦克个性化设定!$B$18:$E$48,4,FALSE)&amp;$AX227,坦克属性分配比例,MATCH("升星次数",坦克属性分配比例标头,0),FALSE)*VLOOKUP($AW227,$AM$3:$AS$33,MATCH("换弹时间",$AM$3:$AS$3,0),FALSE),2))</f>
        <v>3.98</v>
      </c>
      <c r="BJ227" s="654">
        <f>IF(VLOOKUP(AW227,坦克个性化设定!$B$18:$BB$48,MATCH("装弹类型",坦克个性化设定!$B$18:$BB$18,0),FALSE)="弹夹换弹",ROUND(VLOOKUP($AW227,$AD$3:$AJ$33,MATCH("换弹时间",$AD$3:$AJ$3,0),FALSE)-$AY227/VLOOKUP(VLOOKUP($AW227,坦克个性化设定!$B$18:$E$48,4,FALSE)&amp;$AX227,坦克属性分配比例,MATCH("升星次数",坦克属性分配比例标头,0),FALSE)*VLOOKUP($AW227,$AM$3:$AS$33,MATCH("换弹时间",$AM$3:$AS$3,0),FALSE),1),0)</f>
        <v>0</v>
      </c>
      <c r="BK227" s="654">
        <f>ROUND(VLOOKUP($AW227,$AD$3:$AJ$33,MATCH(BK$3,$AD$3:$AJ$3,0),FALSE)+$AY227/VLOOKUP(VLOOKUP($AW227,坦克个性化设定!$B$18:$E$48,4,FALSE)&amp;$AX227,坦克属性分配比例,MATCH("升星次数",坦克属性分配比例标头,0),FALSE)*VLOOKUP($AW227,$AM$3:$AS$33,MATCH(BK$3,$AM$3:$AS$3,0),FALSE),2)</f>
        <v>0</v>
      </c>
      <c r="BL227" s="654">
        <f>ROUND(VLOOKUP($AW227,$AD$3:$AJ$33,MATCH(BL$3,$AD$3:$AJ$3,0),FALSE)-$AY227/VLOOKUP(VLOOKUP($AW227,坦克个性化设定!$B$18:$E$48,4,FALSE)&amp;$AX227,坦克属性分配比例,MATCH("升星次数",坦克属性分配比例标头,0),FALSE)*VLOOKUP($AW227,$AM$3:$AS$33,MATCH(BL$3,$AM$3:$AS$3,0),FALSE),2)</f>
        <v>2.21</v>
      </c>
    </row>
    <row r="228" spans="47:64" x14ac:dyDescent="0.35">
      <c r="AU228" s="372" t="str">
        <f t="shared" si="27"/>
        <v>百夫长9</v>
      </c>
      <c r="AV228" s="654">
        <f>IF(AY227&gt;=VLOOKUP(VLOOKUP(AW227,坦克个性化设定!$B$18:$E$48,4,FALSE)&amp;AX227,坦克属性分配比例,MATCH("升星次数",坦克属性分配比例标头,0),FALSE),AV227+1,AV227)</f>
        <v>19</v>
      </c>
      <c r="AW228" s="649" t="str">
        <f t="shared" si="28"/>
        <v>百夫长</v>
      </c>
      <c r="AX228" s="650" t="str">
        <f>VLOOKUP(AW228,坦克个性化细分!$I$3:$J$33,2,FALSE)</f>
        <v>高</v>
      </c>
      <c r="AY228" s="654">
        <f t="shared" si="29"/>
        <v>9</v>
      </c>
      <c r="AZ228" s="654">
        <f ca="1">ROUND(VLOOKUP($AW228&amp;"初始",$O$3:$AA$63,MATCH(AZ$3,$O$3:$AA$3,0),FALSE)+((VLOOKUP($AW228&amp;"最终",$O$3:$AA$63,MATCH(AZ$3,$O$3:$AA$3,0),FALSE)*坦克个性化细分!$C$9-VLOOKUP($AW228&amp;"初始",$O$3:$AA$63,MATCH(AZ$3,$O$3:$AA$3,0),FALSE))-(VLOOKUP($AW228&amp;"最终",$O$3:$AA$63,MATCH(AZ$3,$O$3:$AA$3,0),FALSE)-VLOOKUP($AW228&amp;"初始",$O$3:$AA$63,MATCH(AZ$3,$O$3:$AA$3,0),FALSE))*VLOOKUP(VLOOKUP($AW228,坦克个性化设定!$B$18:$E$48,4,FALSE)&amp;$AX228,坦克属性分配比例,MATCH("部件比例",坦克属性分配比例标头,0),FALSE))*$AY228/VLOOKUP(VLOOKUP($AW228,坦克个性化设定!$B$18:$E$48,4,FALSE)&amp;$AX228,坦克属性分配比例,MATCH("升星次数",坦克属性分配比例标头,0),FALSE),0)</f>
        <v>3149</v>
      </c>
      <c r="BA228" s="654">
        <f ca="1">ROUND(VLOOKUP($AW228&amp;"初始",$O$3:$AA$63,MATCH(BA$3,$O$3:$AA$3,0),FALSE)+(VLOOKUP($AW228&amp;"最终",$O$3:$AA$63,MATCH(BA$3,$O$3:$AA$3,0),FALSE)-VLOOKUP($AW228&amp;"初始",$O$3:$AA$63,MATCH(BA$3,$O$3:$AA$3,0),FALSE))*$AY228/VLOOKUP(VLOOKUP($AW228,坦克个性化设定!$B$18:$E$48,4,FALSE)&amp;$AX228,坦克属性分配比例,MATCH("升星次数",坦克属性分配比例标头,0),FALSE)*VLOOKUP(VLOOKUP($AW228,坦克个性化设定!$B$18:$E$48,4,FALSE)&amp;$AX228,坦克属性分配比例,MATCH("升星比例",坦克属性分配比例标头,0),FALSE),0)</f>
        <v>334</v>
      </c>
      <c r="BB228" s="654">
        <f ca="1">ROUND(VLOOKUP($AW228&amp;"初始",$O$3:$AA$63,MATCH(BB$3,$O$3:$AA$3,0),FALSE)+(VLOOKUP($AW228&amp;"最终",$O$3:$AA$63,MATCH(BB$3,$O$3:$AA$3,0),FALSE)-VLOOKUP($AW228&amp;"初始",$O$3:$AA$63,MATCH(BB$3,$O$3:$AA$3,0),FALSE))*$AY228/VLOOKUP(VLOOKUP($AW228,坦克个性化设定!$B$18:$E$48,4,FALSE)&amp;$AX228,坦克属性分配比例,MATCH("升星次数",坦克属性分配比例标头,0),FALSE)*(VLOOKUP(VLOOKUP($AW228,坦克个性化设定!$B$18:$E$48,4,FALSE)&amp;$AX228,坦克属性分配比例,MATCH("升星比例",坦克属性分配比例标头,0),FALSE)+VLOOKUP(VLOOKUP($AW228,坦克个性化设定!$B$18:$E$48,4,FALSE)&amp;$AX228,坦克属性分配比例,MATCH("部件比例",坦克属性分配比例标头,0),FALSE)*$C$3),0)</f>
        <v>943</v>
      </c>
      <c r="BC228" s="654">
        <f ca="1">ROUND(VLOOKUP($AW228&amp;"初始",$O$3:$AA$63,MATCH(BC$3,$O$3:$AA$3,0),FALSE)+(VLOOKUP($AW228&amp;"最终",$O$3:$AA$63,MATCH(BC$3,$O$3:$AA$3,0),FALSE)-VLOOKUP($AW228&amp;"初始",$O$3:$AA$63,MATCH(BC$3,$O$3:$AA$3,0),FALSE))*$AY228/VLOOKUP(VLOOKUP($AW228,坦克个性化设定!$B$18:$E$48,4,FALSE)&amp;$AX228,坦克属性分配比例,MATCH("升星次数",坦克属性分配比例标头,0),FALSE)*(VLOOKUP(VLOOKUP($AW228,坦克个性化设定!$B$18:$E$48,4,FALSE)&amp;$AX228,坦克属性分配比例,MATCH("升星比例",坦克属性分配比例标头,0),FALSE)+VLOOKUP(VLOOKUP($AW228,坦克个性化设定!$B$18:$E$48,4,FALSE)&amp;$AX228,坦克属性分配比例,MATCH("部件比例",坦克属性分配比例标头,0),FALSE)*$C$3),0)</f>
        <v>707</v>
      </c>
      <c r="BD228" s="654">
        <f ca="1">ROUND(VLOOKUP($AW228&amp;"初始",$O$3:$AA$63,MATCH(BD$3,$O$3:$AA$3,0),FALSE)+(VLOOKUP($AW228&amp;"最终",$O$3:$AA$63,MATCH(BD$3,$O$3:$AA$3,0),FALSE)-VLOOKUP($AW228&amp;"初始",$O$3:$AA$63,MATCH(BD$3,$O$3:$AA$3,0),FALSE))*$AY228/VLOOKUP(VLOOKUP($AW228,坦克个性化设定!$B$18:$E$48,4,FALSE)&amp;$AX228,坦克属性分配比例,MATCH("升星次数",坦克属性分配比例标头,0),FALSE)*VLOOKUP(VLOOKUP($AW228,坦克个性化设定!$B$18:$E$48,4,FALSE)&amp;$AX228,坦克属性分配比例,MATCH("升星比例",坦克属性分配比例标头,0),FALSE),0)</f>
        <v>915</v>
      </c>
      <c r="BE228" s="654">
        <f ca="1">ROUND(VLOOKUP($AW228&amp;"初始",$O$3:$AA$63,MATCH(BE$3,$O$3:$AA$3,0),FALSE)+(VLOOKUP($AW228&amp;"最终",$O$3:$AA$63,MATCH(BE$3,$O$3:$AA$3,0),FALSE)-VLOOKUP($AW228&amp;"初始",$O$3:$AA$63,MATCH(BE$3,$O$3:$AA$3,0),FALSE))*$AY228/VLOOKUP(VLOOKUP($AW228,坦克个性化设定!$B$18:$E$48,4,FALSE)&amp;$AX228,坦克属性分配比例,MATCH("升星次数",坦克属性分配比例标头,0),FALSE),0)</f>
        <v>272</v>
      </c>
      <c r="BF228" s="654">
        <f>ROUND(VLOOKUP($AW228,$AD$3:$AJ$33,MATCH(BF$3,$AD$3:$AJ$3,0),FALSE)+$AY228/VLOOKUP(VLOOKUP($AW228,坦克个性化设定!$B$18:$E$48,4,FALSE)&amp;$AX228,坦克属性分配比例,MATCH("升星次数",坦克属性分配比例标头,0),FALSE)*VLOOKUP($AW228,$AM$3:$AS$33,MATCH(BF$3,$AM$3:$AS$3,0),FALSE),1)</f>
        <v>52.9</v>
      </c>
      <c r="BG228" s="654">
        <f>ROUND(VLOOKUP($AW228,$AD$3:$AJ$33,MATCH(BG$3,$AD$3:$AJ$3,0),FALSE)+$AY228/VLOOKUP(VLOOKUP($AW228,坦克个性化设定!$B$18:$E$48,4,FALSE)&amp;$AX228,坦克属性分配比例,MATCH("升星次数",坦克属性分配比例标头,0),FALSE)*VLOOKUP($AW228,$AM$3:$AS$33,MATCH(BG$3,$AM$3:$AS$3,0),FALSE),1)</f>
        <v>47.6</v>
      </c>
      <c r="BH228" s="654">
        <f>ROUND(VLOOKUP($AW228,$AD$3:$AJ$33,MATCH(BH$3,$AD$3:$AJ$3,0),FALSE)+$AY228/VLOOKUP(VLOOKUP($AW228,坦克个性化设定!$B$18:$E$48,4,FALSE)&amp;$AX228,坦克属性分配比例,MATCH("升星次数",坦克属性分配比例标头,0),FALSE)*VLOOKUP($AW228,$AM$3:$AS$33,MATCH(BH$3,$AM$3:$AS$3,0),FALSE),1)</f>
        <v>15.1</v>
      </c>
      <c r="BI228" s="654">
        <f>IF(VLOOKUP(AW228,坦克个性化设定!$B$18:$BB$48,MATCH("装弹类型",坦克个性化设定!$B$18:$BB$18,0),FALSE)="弹夹换弹",0,ROUND(VLOOKUP($AW228,$AD$3:$AJ$33,MATCH("换弹时间",$AD$3:$AJ$3,0),FALSE)-$AY228/VLOOKUP(VLOOKUP($AW228,坦克个性化设定!$B$18:$E$48,4,FALSE)&amp;$AX228,坦克属性分配比例,MATCH("升星次数",坦克属性分配比例标头,0),FALSE)*VLOOKUP($AW228,$AM$3:$AS$33,MATCH("换弹时间",$AM$3:$AS$3,0),FALSE),2))</f>
        <v>3.92</v>
      </c>
      <c r="BJ228" s="654">
        <f>IF(VLOOKUP(AW228,坦克个性化设定!$B$18:$BB$48,MATCH("装弹类型",坦克个性化设定!$B$18:$BB$18,0),FALSE)="弹夹换弹",ROUND(VLOOKUP($AW228,$AD$3:$AJ$33,MATCH("换弹时间",$AD$3:$AJ$3,0),FALSE)-$AY228/VLOOKUP(VLOOKUP($AW228,坦克个性化设定!$B$18:$E$48,4,FALSE)&amp;$AX228,坦克属性分配比例,MATCH("升星次数",坦克属性分配比例标头,0),FALSE)*VLOOKUP($AW228,$AM$3:$AS$33,MATCH("换弹时间",$AM$3:$AS$3,0),FALSE),1),0)</f>
        <v>0</v>
      </c>
      <c r="BK228" s="654">
        <f>ROUND(VLOOKUP($AW228,$AD$3:$AJ$33,MATCH(BK$3,$AD$3:$AJ$3,0),FALSE)+$AY228/VLOOKUP(VLOOKUP($AW228,坦克个性化设定!$B$18:$E$48,4,FALSE)&amp;$AX228,坦克属性分配比例,MATCH("升星次数",坦克属性分配比例标头,0),FALSE)*VLOOKUP($AW228,$AM$3:$AS$33,MATCH(BK$3,$AM$3:$AS$3,0),FALSE),2)</f>
        <v>0</v>
      </c>
      <c r="BL228" s="654">
        <f>ROUND(VLOOKUP($AW228,$AD$3:$AJ$33,MATCH(BL$3,$AD$3:$AJ$3,0),FALSE)-$AY228/VLOOKUP(VLOOKUP($AW228,坦克个性化设定!$B$18:$E$48,4,FALSE)&amp;$AX228,坦克属性分配比例,MATCH("升星次数",坦克属性分配比例标头,0),FALSE)*VLOOKUP($AW228,$AM$3:$AS$33,MATCH(BL$3,$AM$3:$AS$3,0),FALSE),2)</f>
        <v>2.19</v>
      </c>
    </row>
    <row r="229" spans="47:64" x14ac:dyDescent="0.35">
      <c r="AU229" s="372" t="str">
        <f t="shared" si="27"/>
        <v>百夫长10</v>
      </c>
      <c r="AV229" s="654">
        <f>IF(AY228&gt;=VLOOKUP(VLOOKUP(AW228,坦克个性化设定!$B$18:$E$48,4,FALSE)&amp;AX228,坦克属性分配比例,MATCH("升星次数",坦克属性分配比例标头,0),FALSE),AV228+1,AV228)</f>
        <v>19</v>
      </c>
      <c r="AW229" s="649" t="str">
        <f t="shared" si="28"/>
        <v>百夫长</v>
      </c>
      <c r="AX229" s="650" t="str">
        <f>VLOOKUP(AW229,坦克个性化细分!$I$3:$J$33,2,FALSE)</f>
        <v>高</v>
      </c>
      <c r="AY229" s="654">
        <f t="shared" si="29"/>
        <v>10</v>
      </c>
      <c r="AZ229" s="654">
        <f ca="1">ROUND(VLOOKUP($AW229&amp;"初始",$O$3:$AA$63,MATCH(AZ$3,$O$3:$AA$3,0),FALSE)+((VLOOKUP($AW229&amp;"最终",$O$3:$AA$63,MATCH(AZ$3,$O$3:$AA$3,0),FALSE)*坦克个性化细分!$C$9-VLOOKUP($AW229&amp;"初始",$O$3:$AA$63,MATCH(AZ$3,$O$3:$AA$3,0),FALSE))-(VLOOKUP($AW229&amp;"最终",$O$3:$AA$63,MATCH(AZ$3,$O$3:$AA$3,0),FALSE)-VLOOKUP($AW229&amp;"初始",$O$3:$AA$63,MATCH(AZ$3,$O$3:$AA$3,0),FALSE))*VLOOKUP(VLOOKUP($AW229,坦克个性化设定!$B$18:$E$48,4,FALSE)&amp;$AX229,坦克属性分配比例,MATCH("部件比例",坦克属性分配比例标头,0),FALSE))*$AY229/VLOOKUP(VLOOKUP($AW229,坦克个性化设定!$B$18:$E$48,4,FALSE)&amp;$AX229,坦克属性分配比例,MATCH("升星次数",坦克属性分配比例标头,0),FALSE),0)</f>
        <v>3272</v>
      </c>
      <c r="BA229" s="654">
        <f ca="1">ROUND(VLOOKUP($AW229&amp;"初始",$O$3:$AA$63,MATCH(BA$3,$O$3:$AA$3,0),FALSE)+(VLOOKUP($AW229&amp;"最终",$O$3:$AA$63,MATCH(BA$3,$O$3:$AA$3,0),FALSE)-VLOOKUP($AW229&amp;"初始",$O$3:$AA$63,MATCH(BA$3,$O$3:$AA$3,0),FALSE))*$AY229/VLOOKUP(VLOOKUP($AW229,坦克个性化设定!$B$18:$E$48,4,FALSE)&amp;$AX229,坦克属性分配比例,MATCH("升星次数",坦克属性分配比例标头,0),FALSE)*VLOOKUP(VLOOKUP($AW229,坦克个性化设定!$B$18:$E$48,4,FALSE)&amp;$AX229,坦克属性分配比例,MATCH("升星比例",坦克属性分配比例标头,0),FALSE),0)</f>
        <v>341</v>
      </c>
      <c r="BB229" s="654">
        <f ca="1">ROUND(VLOOKUP($AW229&amp;"初始",$O$3:$AA$63,MATCH(BB$3,$O$3:$AA$3,0),FALSE)+(VLOOKUP($AW229&amp;"最终",$O$3:$AA$63,MATCH(BB$3,$O$3:$AA$3,0),FALSE)-VLOOKUP($AW229&amp;"初始",$O$3:$AA$63,MATCH(BB$3,$O$3:$AA$3,0),FALSE))*$AY229/VLOOKUP(VLOOKUP($AW229,坦克个性化设定!$B$18:$E$48,4,FALSE)&amp;$AX229,坦克属性分配比例,MATCH("升星次数",坦克属性分配比例标头,0),FALSE)*(VLOOKUP(VLOOKUP($AW229,坦克个性化设定!$B$18:$E$48,4,FALSE)&amp;$AX229,坦克属性分配比例,MATCH("升星比例",坦克属性分配比例标头,0),FALSE)+VLOOKUP(VLOOKUP($AW229,坦克个性化设定!$B$18:$E$48,4,FALSE)&amp;$AX229,坦克属性分配比例,MATCH("部件比例",坦克属性分配比例标头,0),FALSE)*$C$3),0)</f>
        <v>972</v>
      </c>
      <c r="BC229" s="654">
        <f ca="1">ROUND(VLOOKUP($AW229&amp;"初始",$O$3:$AA$63,MATCH(BC$3,$O$3:$AA$3,0),FALSE)+(VLOOKUP($AW229&amp;"最终",$O$3:$AA$63,MATCH(BC$3,$O$3:$AA$3,0),FALSE)-VLOOKUP($AW229&amp;"初始",$O$3:$AA$63,MATCH(BC$3,$O$3:$AA$3,0),FALSE))*$AY229/VLOOKUP(VLOOKUP($AW229,坦克个性化设定!$B$18:$E$48,4,FALSE)&amp;$AX229,坦克属性分配比例,MATCH("升星次数",坦克属性分配比例标头,0),FALSE)*(VLOOKUP(VLOOKUP($AW229,坦克个性化设定!$B$18:$E$48,4,FALSE)&amp;$AX229,坦克属性分配比例,MATCH("升星比例",坦克属性分配比例标头,0),FALSE)+VLOOKUP(VLOOKUP($AW229,坦克个性化设定!$B$18:$E$48,4,FALSE)&amp;$AX229,坦克属性分配比例,MATCH("部件比例",坦克属性分配比例标头,0),FALSE)*$C$3),0)</f>
        <v>729</v>
      </c>
      <c r="BD229" s="654">
        <f ca="1">ROUND(VLOOKUP($AW229&amp;"初始",$O$3:$AA$63,MATCH(BD$3,$O$3:$AA$3,0),FALSE)+(VLOOKUP($AW229&amp;"最终",$O$3:$AA$63,MATCH(BD$3,$O$3:$AA$3,0),FALSE)-VLOOKUP($AW229&amp;"初始",$O$3:$AA$63,MATCH(BD$3,$O$3:$AA$3,0),FALSE))*$AY229/VLOOKUP(VLOOKUP($AW229,坦克个性化设定!$B$18:$E$48,4,FALSE)&amp;$AX229,坦克属性分配比例,MATCH("升星次数",坦克属性分配比例标头,0),FALSE)*VLOOKUP(VLOOKUP($AW229,坦克个性化设定!$B$18:$E$48,4,FALSE)&amp;$AX229,坦克属性分配比例,MATCH("升星比例",坦克属性分配比例标头,0),FALSE),0)</f>
        <v>935</v>
      </c>
      <c r="BE229" s="654">
        <f ca="1">ROUND(VLOOKUP($AW229&amp;"初始",$O$3:$AA$63,MATCH(BE$3,$O$3:$AA$3,0),FALSE)+(VLOOKUP($AW229&amp;"最终",$O$3:$AA$63,MATCH(BE$3,$O$3:$AA$3,0),FALSE)-VLOOKUP($AW229&amp;"初始",$O$3:$AA$63,MATCH(BE$3,$O$3:$AA$3,0),FALSE))*$AY229/VLOOKUP(VLOOKUP($AW229,坦克个性化设定!$B$18:$E$48,4,FALSE)&amp;$AX229,坦克属性分配比例,MATCH("升星次数",坦克属性分配比例标头,0),FALSE),0)</f>
        <v>282</v>
      </c>
      <c r="BF229" s="654">
        <f>ROUND(VLOOKUP($AW229,$AD$3:$AJ$33,MATCH(BF$3,$AD$3:$AJ$3,0),FALSE)+$AY229/VLOOKUP(VLOOKUP($AW229,坦克个性化设定!$B$18:$E$48,4,FALSE)&amp;$AX229,坦克属性分配比例,MATCH("升星次数",坦克属性分配比例标头,0),FALSE)*VLOOKUP($AW229,$AM$3:$AS$33,MATCH(BF$3,$AM$3:$AS$3,0),FALSE),1)</f>
        <v>53.6</v>
      </c>
      <c r="BG229" s="654">
        <f>ROUND(VLOOKUP($AW229,$AD$3:$AJ$33,MATCH(BG$3,$AD$3:$AJ$3,0),FALSE)+$AY229/VLOOKUP(VLOOKUP($AW229,坦克个性化设定!$B$18:$E$48,4,FALSE)&amp;$AX229,坦克属性分配比例,MATCH("升星次数",坦克属性分配比例标头,0),FALSE)*VLOOKUP($AW229,$AM$3:$AS$33,MATCH(BG$3,$AM$3:$AS$3,0),FALSE),1)</f>
        <v>48.2</v>
      </c>
      <c r="BH229" s="654">
        <f>ROUND(VLOOKUP($AW229,$AD$3:$AJ$33,MATCH(BH$3,$AD$3:$AJ$3,0),FALSE)+$AY229/VLOOKUP(VLOOKUP($AW229,坦克个性化设定!$B$18:$E$48,4,FALSE)&amp;$AX229,坦克属性分配比例,MATCH("升星次数",坦克属性分配比例标头,0),FALSE)*VLOOKUP($AW229,$AM$3:$AS$33,MATCH(BH$3,$AM$3:$AS$3,0),FALSE),1)</f>
        <v>15.4</v>
      </c>
      <c r="BI229" s="654">
        <f>IF(VLOOKUP(AW229,坦克个性化设定!$B$18:$BB$48,MATCH("装弹类型",坦克个性化设定!$B$18:$BB$18,0),FALSE)="弹夹换弹",0,ROUND(VLOOKUP($AW229,$AD$3:$AJ$33,MATCH("换弹时间",$AD$3:$AJ$3,0),FALSE)-$AY229/VLOOKUP(VLOOKUP($AW229,坦克个性化设定!$B$18:$E$48,4,FALSE)&amp;$AX229,坦克属性分配比例,MATCH("升星次数",坦克属性分配比例标头,0),FALSE)*VLOOKUP($AW229,$AM$3:$AS$33,MATCH("换弹时间",$AM$3:$AS$3,0),FALSE),2))</f>
        <v>3.85</v>
      </c>
      <c r="BJ229" s="654">
        <f>IF(VLOOKUP(AW229,坦克个性化设定!$B$18:$BB$48,MATCH("装弹类型",坦克个性化设定!$B$18:$BB$18,0),FALSE)="弹夹换弹",ROUND(VLOOKUP($AW229,$AD$3:$AJ$33,MATCH("换弹时间",$AD$3:$AJ$3,0),FALSE)-$AY229/VLOOKUP(VLOOKUP($AW229,坦克个性化设定!$B$18:$E$48,4,FALSE)&amp;$AX229,坦克属性分配比例,MATCH("升星次数",坦克属性分配比例标头,0),FALSE)*VLOOKUP($AW229,$AM$3:$AS$33,MATCH("换弹时间",$AM$3:$AS$3,0),FALSE),1),0)</f>
        <v>0</v>
      </c>
      <c r="BK229" s="654">
        <f>ROUND(VLOOKUP($AW229,$AD$3:$AJ$33,MATCH(BK$3,$AD$3:$AJ$3,0),FALSE)+$AY229/VLOOKUP(VLOOKUP($AW229,坦克个性化设定!$B$18:$E$48,4,FALSE)&amp;$AX229,坦克属性分配比例,MATCH("升星次数",坦克属性分配比例标头,0),FALSE)*VLOOKUP($AW229,$AM$3:$AS$33,MATCH(BK$3,$AM$3:$AS$3,0),FALSE),2)</f>
        <v>0</v>
      </c>
      <c r="BL229" s="654">
        <f>ROUND(VLOOKUP($AW229,$AD$3:$AJ$33,MATCH(BL$3,$AD$3:$AJ$3,0),FALSE)-$AY229/VLOOKUP(VLOOKUP($AW229,坦克个性化设定!$B$18:$E$48,4,FALSE)&amp;$AX229,坦克属性分配比例,MATCH("升星次数",坦克属性分配比例标头,0),FALSE)*VLOOKUP($AW229,$AM$3:$AS$33,MATCH(BL$3,$AM$3:$AS$3,0),FALSE),2)</f>
        <v>2.16</v>
      </c>
    </row>
    <row r="230" spans="47:64" x14ac:dyDescent="0.35">
      <c r="AU230" s="372" t="str">
        <f t="shared" si="27"/>
        <v>百夫长11</v>
      </c>
      <c r="AV230" s="654">
        <f>IF(AY229&gt;=VLOOKUP(VLOOKUP(AW229,坦克个性化设定!$B$18:$E$48,4,FALSE)&amp;AX229,坦克属性分配比例,MATCH("升星次数",坦克属性分配比例标头,0),FALSE),AV229+1,AV229)</f>
        <v>19</v>
      </c>
      <c r="AW230" s="649" t="str">
        <f t="shared" si="28"/>
        <v>百夫长</v>
      </c>
      <c r="AX230" s="650" t="str">
        <f>VLOOKUP(AW230,坦克个性化细分!$I$3:$J$33,2,FALSE)</f>
        <v>高</v>
      </c>
      <c r="AY230" s="654">
        <f t="shared" si="29"/>
        <v>11</v>
      </c>
      <c r="AZ230" s="654">
        <f ca="1">ROUND(VLOOKUP($AW230&amp;"初始",$O$3:$AA$63,MATCH(AZ$3,$O$3:$AA$3,0),FALSE)+((VLOOKUP($AW230&amp;"最终",$O$3:$AA$63,MATCH(AZ$3,$O$3:$AA$3,0),FALSE)*坦克个性化细分!$C$9-VLOOKUP($AW230&amp;"初始",$O$3:$AA$63,MATCH(AZ$3,$O$3:$AA$3,0),FALSE))-(VLOOKUP($AW230&amp;"最终",$O$3:$AA$63,MATCH(AZ$3,$O$3:$AA$3,0),FALSE)-VLOOKUP($AW230&amp;"初始",$O$3:$AA$63,MATCH(AZ$3,$O$3:$AA$3,0),FALSE))*VLOOKUP(VLOOKUP($AW230,坦克个性化设定!$B$18:$E$48,4,FALSE)&amp;$AX230,坦克属性分配比例,MATCH("部件比例",坦克属性分配比例标头,0),FALSE))*$AY230/VLOOKUP(VLOOKUP($AW230,坦克个性化设定!$B$18:$E$48,4,FALSE)&amp;$AX230,坦克属性分配比例,MATCH("升星次数",坦克属性分配比例标头,0),FALSE),0)</f>
        <v>3395</v>
      </c>
      <c r="BA230" s="654">
        <f ca="1">ROUND(VLOOKUP($AW230&amp;"初始",$O$3:$AA$63,MATCH(BA$3,$O$3:$AA$3,0),FALSE)+(VLOOKUP($AW230&amp;"最终",$O$3:$AA$63,MATCH(BA$3,$O$3:$AA$3,0),FALSE)-VLOOKUP($AW230&amp;"初始",$O$3:$AA$63,MATCH(BA$3,$O$3:$AA$3,0),FALSE))*$AY230/VLOOKUP(VLOOKUP($AW230,坦克个性化设定!$B$18:$E$48,4,FALSE)&amp;$AX230,坦克属性分配比例,MATCH("升星次数",坦克属性分配比例标头,0),FALSE)*VLOOKUP(VLOOKUP($AW230,坦克个性化设定!$B$18:$E$48,4,FALSE)&amp;$AX230,坦克属性分配比例,MATCH("升星比例",坦克属性分配比例标头,0),FALSE),0)</f>
        <v>349</v>
      </c>
      <c r="BB230" s="654">
        <f ca="1">ROUND(VLOOKUP($AW230&amp;"初始",$O$3:$AA$63,MATCH(BB$3,$O$3:$AA$3,0),FALSE)+(VLOOKUP($AW230&amp;"最终",$O$3:$AA$63,MATCH(BB$3,$O$3:$AA$3,0),FALSE)-VLOOKUP($AW230&amp;"初始",$O$3:$AA$63,MATCH(BB$3,$O$3:$AA$3,0),FALSE))*$AY230/VLOOKUP(VLOOKUP($AW230,坦克个性化设定!$B$18:$E$48,4,FALSE)&amp;$AX230,坦克属性分配比例,MATCH("升星次数",坦克属性分配比例标头,0),FALSE)*(VLOOKUP(VLOOKUP($AW230,坦克个性化设定!$B$18:$E$48,4,FALSE)&amp;$AX230,坦克属性分配比例,MATCH("升星比例",坦克属性分配比例标头,0),FALSE)+VLOOKUP(VLOOKUP($AW230,坦克个性化设定!$B$18:$E$48,4,FALSE)&amp;$AX230,坦克属性分配比例,MATCH("部件比例",坦克属性分配比例标头,0),FALSE)*$C$3),0)</f>
        <v>1002</v>
      </c>
      <c r="BC230" s="654">
        <f ca="1">ROUND(VLOOKUP($AW230&amp;"初始",$O$3:$AA$63,MATCH(BC$3,$O$3:$AA$3,0),FALSE)+(VLOOKUP($AW230&amp;"最终",$O$3:$AA$63,MATCH(BC$3,$O$3:$AA$3,0),FALSE)-VLOOKUP($AW230&amp;"初始",$O$3:$AA$63,MATCH(BC$3,$O$3:$AA$3,0),FALSE))*$AY230/VLOOKUP(VLOOKUP($AW230,坦克个性化设定!$B$18:$E$48,4,FALSE)&amp;$AX230,坦克属性分配比例,MATCH("升星次数",坦克属性分配比例标头,0),FALSE)*(VLOOKUP(VLOOKUP($AW230,坦克个性化设定!$B$18:$E$48,4,FALSE)&amp;$AX230,坦克属性分配比例,MATCH("升星比例",坦克属性分配比例标头,0),FALSE)+VLOOKUP(VLOOKUP($AW230,坦克个性化设定!$B$18:$E$48,4,FALSE)&amp;$AX230,坦克属性分配比例,MATCH("部件比例",坦克属性分配比例标头,0),FALSE)*$C$3),0)</f>
        <v>752</v>
      </c>
      <c r="BD230" s="654">
        <f ca="1">ROUND(VLOOKUP($AW230&amp;"初始",$O$3:$AA$63,MATCH(BD$3,$O$3:$AA$3,0),FALSE)+(VLOOKUP($AW230&amp;"最终",$O$3:$AA$63,MATCH(BD$3,$O$3:$AA$3,0),FALSE)-VLOOKUP($AW230&amp;"初始",$O$3:$AA$63,MATCH(BD$3,$O$3:$AA$3,0),FALSE))*$AY230/VLOOKUP(VLOOKUP($AW230,坦克个性化设定!$B$18:$E$48,4,FALSE)&amp;$AX230,坦克属性分配比例,MATCH("升星次数",坦克属性分配比例标头,0),FALSE)*VLOOKUP(VLOOKUP($AW230,坦克个性化设定!$B$18:$E$48,4,FALSE)&amp;$AX230,坦克属性分配比例,MATCH("升星比例",坦克属性分配比例标头,0),FALSE),0)</f>
        <v>954</v>
      </c>
      <c r="BE230" s="654">
        <f ca="1">ROUND(VLOOKUP($AW230&amp;"初始",$O$3:$AA$63,MATCH(BE$3,$O$3:$AA$3,0),FALSE)+(VLOOKUP($AW230&amp;"最终",$O$3:$AA$63,MATCH(BE$3,$O$3:$AA$3,0),FALSE)-VLOOKUP($AW230&amp;"初始",$O$3:$AA$63,MATCH(BE$3,$O$3:$AA$3,0),FALSE))*$AY230/VLOOKUP(VLOOKUP($AW230,坦克个性化设定!$B$18:$E$48,4,FALSE)&amp;$AX230,坦克属性分配比例,MATCH("升星次数",坦克属性分配比例标头,0),FALSE),0)</f>
        <v>292</v>
      </c>
      <c r="BF230" s="654">
        <f>ROUND(VLOOKUP($AW230,$AD$3:$AJ$33,MATCH(BF$3,$AD$3:$AJ$3,0),FALSE)+$AY230/VLOOKUP(VLOOKUP($AW230,坦克个性化设定!$B$18:$E$48,4,FALSE)&amp;$AX230,坦克属性分配比例,MATCH("升星次数",坦克属性分配比例标头,0),FALSE)*VLOOKUP($AW230,$AM$3:$AS$33,MATCH(BF$3,$AM$3:$AS$3,0),FALSE),1)</f>
        <v>54.3</v>
      </c>
      <c r="BG230" s="654">
        <f>ROUND(VLOOKUP($AW230,$AD$3:$AJ$33,MATCH(BG$3,$AD$3:$AJ$3,0),FALSE)+$AY230/VLOOKUP(VLOOKUP($AW230,坦克个性化设定!$B$18:$E$48,4,FALSE)&amp;$AX230,坦克属性分配比例,MATCH("升星次数",坦克属性分配比例标头,0),FALSE)*VLOOKUP($AW230,$AM$3:$AS$33,MATCH(BG$3,$AM$3:$AS$3,0),FALSE),1)</f>
        <v>48.8</v>
      </c>
      <c r="BH230" s="654">
        <f>ROUND(VLOOKUP($AW230,$AD$3:$AJ$33,MATCH(BH$3,$AD$3:$AJ$3,0),FALSE)+$AY230/VLOOKUP(VLOOKUP($AW230,坦克个性化设定!$B$18:$E$48,4,FALSE)&amp;$AX230,坦克属性分配比例,MATCH("升星次数",坦克属性分配比例标头,0),FALSE)*VLOOKUP($AW230,$AM$3:$AS$33,MATCH(BH$3,$AM$3:$AS$3,0),FALSE),1)</f>
        <v>15.6</v>
      </c>
      <c r="BI230" s="654">
        <f>IF(VLOOKUP(AW230,坦克个性化设定!$B$18:$BB$48,MATCH("装弹类型",坦克个性化设定!$B$18:$BB$18,0),FALSE)="弹夹换弹",0,ROUND(VLOOKUP($AW230,$AD$3:$AJ$33,MATCH("换弹时间",$AD$3:$AJ$3,0),FALSE)-$AY230/VLOOKUP(VLOOKUP($AW230,坦克个性化设定!$B$18:$E$48,4,FALSE)&amp;$AX230,坦克属性分配比例,MATCH("升星次数",坦克属性分配比例标头,0),FALSE)*VLOOKUP($AW230,$AM$3:$AS$33,MATCH("换弹时间",$AM$3:$AS$3,0),FALSE),2))</f>
        <v>3.79</v>
      </c>
      <c r="BJ230" s="654">
        <f>IF(VLOOKUP(AW230,坦克个性化设定!$B$18:$BB$48,MATCH("装弹类型",坦克个性化设定!$B$18:$BB$18,0),FALSE)="弹夹换弹",ROUND(VLOOKUP($AW230,$AD$3:$AJ$33,MATCH("换弹时间",$AD$3:$AJ$3,0),FALSE)-$AY230/VLOOKUP(VLOOKUP($AW230,坦克个性化设定!$B$18:$E$48,4,FALSE)&amp;$AX230,坦克属性分配比例,MATCH("升星次数",坦克属性分配比例标头,0),FALSE)*VLOOKUP($AW230,$AM$3:$AS$33,MATCH("换弹时间",$AM$3:$AS$3,0),FALSE),1),0)</f>
        <v>0</v>
      </c>
      <c r="BK230" s="654">
        <f>ROUND(VLOOKUP($AW230,$AD$3:$AJ$33,MATCH(BK$3,$AD$3:$AJ$3,0),FALSE)+$AY230/VLOOKUP(VLOOKUP($AW230,坦克个性化设定!$B$18:$E$48,4,FALSE)&amp;$AX230,坦克属性分配比例,MATCH("升星次数",坦克属性分配比例标头,0),FALSE)*VLOOKUP($AW230,$AM$3:$AS$33,MATCH(BK$3,$AM$3:$AS$3,0),FALSE),2)</f>
        <v>0</v>
      </c>
      <c r="BL230" s="654">
        <f>ROUND(VLOOKUP($AW230,$AD$3:$AJ$33,MATCH(BL$3,$AD$3:$AJ$3,0),FALSE)-$AY230/VLOOKUP(VLOOKUP($AW230,坦克个性化设定!$B$18:$E$48,4,FALSE)&amp;$AX230,坦克属性分配比例,MATCH("升星次数",坦克属性分配比例标头,0),FALSE)*VLOOKUP($AW230,$AM$3:$AS$33,MATCH(BL$3,$AM$3:$AS$3,0),FALSE),2)</f>
        <v>2.14</v>
      </c>
    </row>
    <row r="231" spans="47:64" x14ac:dyDescent="0.35">
      <c r="AU231" s="372" t="str">
        <f t="shared" si="27"/>
        <v>百夫长12</v>
      </c>
      <c r="AV231" s="654">
        <f>IF(AY230&gt;=VLOOKUP(VLOOKUP(AW230,坦克个性化设定!$B$18:$E$48,4,FALSE)&amp;AX230,坦克属性分配比例,MATCH("升星次数",坦克属性分配比例标头,0),FALSE),AV230+1,AV230)</f>
        <v>19</v>
      </c>
      <c r="AW231" s="649" t="str">
        <f t="shared" si="28"/>
        <v>百夫长</v>
      </c>
      <c r="AX231" s="650" t="str">
        <f>VLOOKUP(AW231,坦克个性化细分!$I$3:$J$33,2,FALSE)</f>
        <v>高</v>
      </c>
      <c r="AY231" s="654">
        <f t="shared" si="29"/>
        <v>12</v>
      </c>
      <c r="AZ231" s="654">
        <f ca="1">ROUND(VLOOKUP($AW231&amp;"初始",$O$3:$AA$63,MATCH(AZ$3,$O$3:$AA$3,0),FALSE)+((VLOOKUP($AW231&amp;"最终",$O$3:$AA$63,MATCH(AZ$3,$O$3:$AA$3,0),FALSE)*坦克个性化细分!$C$9-VLOOKUP($AW231&amp;"初始",$O$3:$AA$63,MATCH(AZ$3,$O$3:$AA$3,0),FALSE))-(VLOOKUP($AW231&amp;"最终",$O$3:$AA$63,MATCH(AZ$3,$O$3:$AA$3,0),FALSE)-VLOOKUP($AW231&amp;"初始",$O$3:$AA$63,MATCH(AZ$3,$O$3:$AA$3,0),FALSE))*VLOOKUP(VLOOKUP($AW231,坦克个性化设定!$B$18:$E$48,4,FALSE)&amp;$AX231,坦克属性分配比例,MATCH("部件比例",坦克属性分配比例标头,0),FALSE))*$AY231/VLOOKUP(VLOOKUP($AW231,坦克个性化设定!$B$18:$E$48,4,FALSE)&amp;$AX231,坦克属性分配比例,MATCH("升星次数",坦克属性分配比例标头,0),FALSE),0)</f>
        <v>3518</v>
      </c>
      <c r="BA231" s="654">
        <f ca="1">ROUND(VLOOKUP($AW231&amp;"初始",$O$3:$AA$63,MATCH(BA$3,$O$3:$AA$3,0),FALSE)+(VLOOKUP($AW231&amp;"最终",$O$3:$AA$63,MATCH(BA$3,$O$3:$AA$3,0),FALSE)-VLOOKUP($AW231&amp;"初始",$O$3:$AA$63,MATCH(BA$3,$O$3:$AA$3,0),FALSE))*$AY231/VLOOKUP(VLOOKUP($AW231,坦克个性化设定!$B$18:$E$48,4,FALSE)&amp;$AX231,坦克属性分配比例,MATCH("升星次数",坦克属性分配比例标头,0),FALSE)*VLOOKUP(VLOOKUP($AW231,坦克个性化设定!$B$18:$E$48,4,FALSE)&amp;$AX231,坦克属性分配比例,MATCH("升星比例",坦克属性分配比例标头,0),FALSE),0)</f>
        <v>356</v>
      </c>
      <c r="BB231" s="654">
        <f ca="1">ROUND(VLOOKUP($AW231&amp;"初始",$O$3:$AA$63,MATCH(BB$3,$O$3:$AA$3,0),FALSE)+(VLOOKUP($AW231&amp;"最终",$O$3:$AA$63,MATCH(BB$3,$O$3:$AA$3,0),FALSE)-VLOOKUP($AW231&amp;"初始",$O$3:$AA$63,MATCH(BB$3,$O$3:$AA$3,0),FALSE))*$AY231/VLOOKUP(VLOOKUP($AW231,坦克个性化设定!$B$18:$E$48,4,FALSE)&amp;$AX231,坦克属性分配比例,MATCH("升星次数",坦克属性分配比例标头,0),FALSE)*(VLOOKUP(VLOOKUP($AW231,坦克个性化设定!$B$18:$E$48,4,FALSE)&amp;$AX231,坦克属性分配比例,MATCH("升星比例",坦克属性分配比例标头,0),FALSE)+VLOOKUP(VLOOKUP($AW231,坦克个性化设定!$B$18:$E$48,4,FALSE)&amp;$AX231,坦克属性分配比例,MATCH("部件比例",坦克属性分配比例标头,0),FALSE)*$C$3),0)</f>
        <v>1031</v>
      </c>
      <c r="BC231" s="654">
        <f ca="1">ROUND(VLOOKUP($AW231&amp;"初始",$O$3:$AA$63,MATCH(BC$3,$O$3:$AA$3,0),FALSE)+(VLOOKUP($AW231&amp;"最终",$O$3:$AA$63,MATCH(BC$3,$O$3:$AA$3,0),FALSE)-VLOOKUP($AW231&amp;"初始",$O$3:$AA$63,MATCH(BC$3,$O$3:$AA$3,0),FALSE))*$AY231/VLOOKUP(VLOOKUP($AW231,坦克个性化设定!$B$18:$E$48,4,FALSE)&amp;$AX231,坦克属性分配比例,MATCH("升星次数",坦克属性分配比例标头,0),FALSE)*(VLOOKUP(VLOOKUP($AW231,坦克个性化设定!$B$18:$E$48,4,FALSE)&amp;$AX231,坦克属性分配比例,MATCH("升星比例",坦克属性分配比例标头,0),FALSE)+VLOOKUP(VLOOKUP($AW231,坦克个性化设定!$B$18:$E$48,4,FALSE)&amp;$AX231,坦克属性分配比例,MATCH("部件比例",坦克属性分配比例标头,0),FALSE)*$C$3),0)</f>
        <v>774</v>
      </c>
      <c r="BD231" s="654">
        <f ca="1">ROUND(VLOOKUP($AW231&amp;"初始",$O$3:$AA$63,MATCH(BD$3,$O$3:$AA$3,0),FALSE)+(VLOOKUP($AW231&amp;"最终",$O$3:$AA$63,MATCH(BD$3,$O$3:$AA$3,0),FALSE)-VLOOKUP($AW231&amp;"初始",$O$3:$AA$63,MATCH(BD$3,$O$3:$AA$3,0),FALSE))*$AY231/VLOOKUP(VLOOKUP($AW231,坦克个性化设定!$B$18:$E$48,4,FALSE)&amp;$AX231,坦克属性分配比例,MATCH("升星次数",坦克属性分配比例标头,0),FALSE)*VLOOKUP(VLOOKUP($AW231,坦克个性化设定!$B$18:$E$48,4,FALSE)&amp;$AX231,坦克属性分配比例,MATCH("升星比例",坦克属性分配比例标头,0),FALSE),0)</f>
        <v>973</v>
      </c>
      <c r="BE231" s="654">
        <f ca="1">ROUND(VLOOKUP($AW231&amp;"初始",$O$3:$AA$63,MATCH(BE$3,$O$3:$AA$3,0),FALSE)+(VLOOKUP($AW231&amp;"最终",$O$3:$AA$63,MATCH(BE$3,$O$3:$AA$3,0),FALSE)-VLOOKUP($AW231&amp;"初始",$O$3:$AA$63,MATCH(BE$3,$O$3:$AA$3,0),FALSE))*$AY231/VLOOKUP(VLOOKUP($AW231,坦克个性化设定!$B$18:$E$48,4,FALSE)&amp;$AX231,坦克属性分配比例,MATCH("升星次数",坦克属性分配比例标头,0),FALSE),0)</f>
        <v>302</v>
      </c>
      <c r="BF231" s="654">
        <f>ROUND(VLOOKUP($AW231,$AD$3:$AJ$33,MATCH(BF$3,$AD$3:$AJ$3,0),FALSE)+$AY231/VLOOKUP(VLOOKUP($AW231,坦克个性化设定!$B$18:$E$48,4,FALSE)&amp;$AX231,坦克属性分配比例,MATCH("升星次数",坦克属性分配比例标头,0),FALSE)*VLOOKUP($AW231,$AM$3:$AS$33,MATCH(BF$3,$AM$3:$AS$3,0),FALSE),1)</f>
        <v>54.9</v>
      </c>
      <c r="BG231" s="654">
        <f>ROUND(VLOOKUP($AW231,$AD$3:$AJ$33,MATCH(BG$3,$AD$3:$AJ$3,0),FALSE)+$AY231/VLOOKUP(VLOOKUP($AW231,坦克个性化设定!$B$18:$E$48,4,FALSE)&amp;$AX231,坦克属性分配比例,MATCH("升星次数",坦克属性分配比例标头,0),FALSE)*VLOOKUP($AW231,$AM$3:$AS$33,MATCH(BG$3,$AM$3:$AS$3,0),FALSE),1)</f>
        <v>49.4</v>
      </c>
      <c r="BH231" s="654">
        <f>ROUND(VLOOKUP($AW231,$AD$3:$AJ$33,MATCH(BH$3,$AD$3:$AJ$3,0),FALSE)+$AY231/VLOOKUP(VLOOKUP($AW231,坦克个性化设定!$B$18:$E$48,4,FALSE)&amp;$AX231,坦克属性分配比例,MATCH("升星次数",坦克属性分配比例标头,0),FALSE)*VLOOKUP($AW231,$AM$3:$AS$33,MATCH(BH$3,$AM$3:$AS$3,0),FALSE),1)</f>
        <v>15.9</v>
      </c>
      <c r="BI231" s="654">
        <f>IF(VLOOKUP(AW231,坦克个性化设定!$B$18:$BB$48,MATCH("装弹类型",坦克个性化设定!$B$18:$BB$18,0),FALSE)="弹夹换弹",0,ROUND(VLOOKUP($AW231,$AD$3:$AJ$33,MATCH("换弹时间",$AD$3:$AJ$3,0),FALSE)-$AY231/VLOOKUP(VLOOKUP($AW231,坦克个性化设定!$B$18:$E$48,4,FALSE)&amp;$AX231,坦克属性分配比例,MATCH("升星次数",坦克属性分配比例标头,0),FALSE)*VLOOKUP($AW231,$AM$3:$AS$33,MATCH("换弹时间",$AM$3:$AS$3,0),FALSE),2))</f>
        <v>3.73</v>
      </c>
      <c r="BJ231" s="654">
        <f>IF(VLOOKUP(AW231,坦克个性化设定!$B$18:$BB$48,MATCH("装弹类型",坦克个性化设定!$B$18:$BB$18,0),FALSE)="弹夹换弹",ROUND(VLOOKUP($AW231,$AD$3:$AJ$33,MATCH("换弹时间",$AD$3:$AJ$3,0),FALSE)-$AY231/VLOOKUP(VLOOKUP($AW231,坦克个性化设定!$B$18:$E$48,4,FALSE)&amp;$AX231,坦克属性分配比例,MATCH("升星次数",坦克属性分配比例标头,0),FALSE)*VLOOKUP($AW231,$AM$3:$AS$33,MATCH("换弹时间",$AM$3:$AS$3,0),FALSE),1),0)</f>
        <v>0</v>
      </c>
      <c r="BK231" s="654">
        <f>ROUND(VLOOKUP($AW231,$AD$3:$AJ$33,MATCH(BK$3,$AD$3:$AJ$3,0),FALSE)+$AY231/VLOOKUP(VLOOKUP($AW231,坦克个性化设定!$B$18:$E$48,4,FALSE)&amp;$AX231,坦克属性分配比例,MATCH("升星次数",坦克属性分配比例标头,0),FALSE)*VLOOKUP($AW231,$AM$3:$AS$33,MATCH(BK$3,$AM$3:$AS$3,0),FALSE),2)</f>
        <v>0</v>
      </c>
      <c r="BL231" s="654">
        <f>ROUND(VLOOKUP($AW231,$AD$3:$AJ$33,MATCH(BL$3,$AD$3:$AJ$3,0),FALSE)-$AY231/VLOOKUP(VLOOKUP($AW231,坦克个性化设定!$B$18:$E$48,4,FALSE)&amp;$AX231,坦克属性分配比例,MATCH("升星次数",坦克属性分配比例标头,0),FALSE)*VLOOKUP($AW231,$AM$3:$AS$33,MATCH(BL$3,$AM$3:$AS$3,0),FALSE),2)</f>
        <v>2.12</v>
      </c>
    </row>
    <row r="232" spans="47:64" x14ac:dyDescent="0.35">
      <c r="AU232" s="372" t="str">
        <f t="shared" si="27"/>
        <v>百夫长13</v>
      </c>
      <c r="AV232" s="654">
        <f>IF(AY231&gt;=VLOOKUP(VLOOKUP(AW231,坦克个性化设定!$B$18:$E$48,4,FALSE)&amp;AX231,坦克属性分配比例,MATCH("升星次数",坦克属性分配比例标头,0),FALSE),AV231+1,AV231)</f>
        <v>19</v>
      </c>
      <c r="AW232" s="649" t="str">
        <f t="shared" si="28"/>
        <v>百夫长</v>
      </c>
      <c r="AX232" s="650" t="str">
        <f>VLOOKUP(AW232,坦克个性化细分!$I$3:$J$33,2,FALSE)</f>
        <v>高</v>
      </c>
      <c r="AY232" s="654">
        <f t="shared" si="29"/>
        <v>13</v>
      </c>
      <c r="AZ232" s="654">
        <f ca="1">ROUND(VLOOKUP($AW232&amp;"初始",$O$3:$AA$63,MATCH(AZ$3,$O$3:$AA$3,0),FALSE)+((VLOOKUP($AW232&amp;"最终",$O$3:$AA$63,MATCH(AZ$3,$O$3:$AA$3,0),FALSE)*坦克个性化细分!$C$9-VLOOKUP($AW232&amp;"初始",$O$3:$AA$63,MATCH(AZ$3,$O$3:$AA$3,0),FALSE))-(VLOOKUP($AW232&amp;"最终",$O$3:$AA$63,MATCH(AZ$3,$O$3:$AA$3,0),FALSE)-VLOOKUP($AW232&amp;"初始",$O$3:$AA$63,MATCH(AZ$3,$O$3:$AA$3,0),FALSE))*VLOOKUP(VLOOKUP($AW232,坦克个性化设定!$B$18:$E$48,4,FALSE)&amp;$AX232,坦克属性分配比例,MATCH("部件比例",坦克属性分配比例标头,0),FALSE))*$AY232/VLOOKUP(VLOOKUP($AW232,坦克个性化设定!$B$18:$E$48,4,FALSE)&amp;$AX232,坦克属性分配比例,MATCH("升星次数",坦克属性分配比例标头,0),FALSE),0)</f>
        <v>3641</v>
      </c>
      <c r="BA232" s="654">
        <f ca="1">ROUND(VLOOKUP($AW232&amp;"初始",$O$3:$AA$63,MATCH(BA$3,$O$3:$AA$3,0),FALSE)+(VLOOKUP($AW232&amp;"最终",$O$3:$AA$63,MATCH(BA$3,$O$3:$AA$3,0),FALSE)-VLOOKUP($AW232&amp;"初始",$O$3:$AA$63,MATCH(BA$3,$O$3:$AA$3,0),FALSE))*$AY232/VLOOKUP(VLOOKUP($AW232,坦克个性化设定!$B$18:$E$48,4,FALSE)&amp;$AX232,坦克属性分配比例,MATCH("升星次数",坦克属性分配比例标头,0),FALSE)*VLOOKUP(VLOOKUP($AW232,坦克个性化设定!$B$18:$E$48,4,FALSE)&amp;$AX232,坦克属性分配比例,MATCH("升星比例",坦克属性分配比例标头,0),FALSE),0)</f>
        <v>363</v>
      </c>
      <c r="BB232" s="654">
        <f ca="1">ROUND(VLOOKUP($AW232&amp;"初始",$O$3:$AA$63,MATCH(BB$3,$O$3:$AA$3,0),FALSE)+(VLOOKUP($AW232&amp;"最终",$O$3:$AA$63,MATCH(BB$3,$O$3:$AA$3,0),FALSE)-VLOOKUP($AW232&amp;"初始",$O$3:$AA$63,MATCH(BB$3,$O$3:$AA$3,0),FALSE))*$AY232/VLOOKUP(VLOOKUP($AW232,坦克个性化设定!$B$18:$E$48,4,FALSE)&amp;$AX232,坦克属性分配比例,MATCH("升星次数",坦克属性分配比例标头,0),FALSE)*(VLOOKUP(VLOOKUP($AW232,坦克个性化设定!$B$18:$E$48,4,FALSE)&amp;$AX232,坦克属性分配比例,MATCH("升星比例",坦克属性分配比例标头,0),FALSE)+VLOOKUP(VLOOKUP($AW232,坦克个性化设定!$B$18:$E$48,4,FALSE)&amp;$AX232,坦克属性分配比例,MATCH("部件比例",坦克属性分配比例标头,0),FALSE)*$C$3),0)</f>
        <v>1061</v>
      </c>
      <c r="BC232" s="654">
        <f ca="1">ROUND(VLOOKUP($AW232&amp;"初始",$O$3:$AA$63,MATCH(BC$3,$O$3:$AA$3,0),FALSE)+(VLOOKUP($AW232&amp;"最终",$O$3:$AA$63,MATCH(BC$3,$O$3:$AA$3,0),FALSE)-VLOOKUP($AW232&amp;"初始",$O$3:$AA$63,MATCH(BC$3,$O$3:$AA$3,0),FALSE))*$AY232/VLOOKUP(VLOOKUP($AW232,坦克个性化设定!$B$18:$E$48,4,FALSE)&amp;$AX232,坦克属性分配比例,MATCH("升星次数",坦克属性分配比例标头,0),FALSE)*(VLOOKUP(VLOOKUP($AW232,坦克个性化设定!$B$18:$E$48,4,FALSE)&amp;$AX232,坦克属性分配比例,MATCH("升星比例",坦克属性分配比例标头,0),FALSE)+VLOOKUP(VLOOKUP($AW232,坦克个性化设定!$B$18:$E$48,4,FALSE)&amp;$AX232,坦克属性分配比例,MATCH("部件比例",坦克属性分配比例标头,0),FALSE)*$C$3),0)</f>
        <v>796</v>
      </c>
      <c r="BD232" s="654">
        <f ca="1">ROUND(VLOOKUP($AW232&amp;"初始",$O$3:$AA$63,MATCH(BD$3,$O$3:$AA$3,0),FALSE)+(VLOOKUP($AW232&amp;"最终",$O$3:$AA$63,MATCH(BD$3,$O$3:$AA$3,0),FALSE)-VLOOKUP($AW232&amp;"初始",$O$3:$AA$63,MATCH(BD$3,$O$3:$AA$3,0),FALSE))*$AY232/VLOOKUP(VLOOKUP($AW232,坦克个性化设定!$B$18:$E$48,4,FALSE)&amp;$AX232,坦克属性分配比例,MATCH("升星次数",坦克属性分配比例标头,0),FALSE)*VLOOKUP(VLOOKUP($AW232,坦克个性化设定!$B$18:$E$48,4,FALSE)&amp;$AX232,坦克属性分配比例,MATCH("升星比例",坦克属性分配比例标头,0),FALSE),0)</f>
        <v>992</v>
      </c>
      <c r="BE232" s="654">
        <f ca="1">ROUND(VLOOKUP($AW232&amp;"初始",$O$3:$AA$63,MATCH(BE$3,$O$3:$AA$3,0),FALSE)+(VLOOKUP($AW232&amp;"最终",$O$3:$AA$63,MATCH(BE$3,$O$3:$AA$3,0),FALSE)-VLOOKUP($AW232&amp;"初始",$O$3:$AA$63,MATCH(BE$3,$O$3:$AA$3,0),FALSE))*$AY232/VLOOKUP(VLOOKUP($AW232,坦克个性化设定!$B$18:$E$48,4,FALSE)&amp;$AX232,坦克属性分配比例,MATCH("升星次数",坦克属性分配比例标头,0),FALSE),0)</f>
        <v>312</v>
      </c>
      <c r="BF232" s="654">
        <f>ROUND(VLOOKUP($AW232,$AD$3:$AJ$33,MATCH(BF$3,$AD$3:$AJ$3,0),FALSE)+$AY232/VLOOKUP(VLOOKUP($AW232,坦克个性化设定!$B$18:$E$48,4,FALSE)&amp;$AX232,坦克属性分配比例,MATCH("升星次数",坦克属性分配比例标头,0),FALSE)*VLOOKUP($AW232,$AM$3:$AS$33,MATCH(BF$3,$AM$3:$AS$3,0),FALSE),1)</f>
        <v>55.6</v>
      </c>
      <c r="BG232" s="654">
        <f>ROUND(VLOOKUP($AW232,$AD$3:$AJ$33,MATCH(BG$3,$AD$3:$AJ$3,0),FALSE)+$AY232/VLOOKUP(VLOOKUP($AW232,坦克个性化设定!$B$18:$E$48,4,FALSE)&amp;$AX232,坦克属性分配比例,MATCH("升星次数",坦克属性分配比例标头,0),FALSE)*VLOOKUP($AW232,$AM$3:$AS$33,MATCH(BG$3,$AM$3:$AS$3,0),FALSE),1)</f>
        <v>50</v>
      </c>
      <c r="BH232" s="654">
        <f>ROUND(VLOOKUP($AW232,$AD$3:$AJ$33,MATCH(BH$3,$AD$3:$AJ$3,0),FALSE)+$AY232/VLOOKUP(VLOOKUP($AW232,坦克个性化设定!$B$18:$E$48,4,FALSE)&amp;$AX232,坦克属性分配比例,MATCH("升星次数",坦克属性分配比例标头,0),FALSE)*VLOOKUP($AW232,$AM$3:$AS$33,MATCH(BH$3,$AM$3:$AS$3,0),FALSE),1)</f>
        <v>16.100000000000001</v>
      </c>
      <c r="BI232" s="654">
        <f>IF(VLOOKUP(AW232,坦克个性化设定!$B$18:$BB$48,MATCH("装弹类型",坦克个性化设定!$B$18:$BB$18,0),FALSE)="弹夹换弹",0,ROUND(VLOOKUP($AW232,$AD$3:$AJ$33,MATCH("换弹时间",$AD$3:$AJ$3,0),FALSE)-$AY232/VLOOKUP(VLOOKUP($AW232,坦克个性化设定!$B$18:$E$48,4,FALSE)&amp;$AX232,坦克属性分配比例,MATCH("升星次数",坦克属性分配比例标头,0),FALSE)*VLOOKUP($AW232,$AM$3:$AS$33,MATCH("换弹时间",$AM$3:$AS$3,0),FALSE),2))</f>
        <v>3.66</v>
      </c>
      <c r="BJ232" s="654">
        <f>IF(VLOOKUP(AW232,坦克个性化设定!$B$18:$BB$48,MATCH("装弹类型",坦克个性化设定!$B$18:$BB$18,0),FALSE)="弹夹换弹",ROUND(VLOOKUP($AW232,$AD$3:$AJ$33,MATCH("换弹时间",$AD$3:$AJ$3,0),FALSE)-$AY232/VLOOKUP(VLOOKUP($AW232,坦克个性化设定!$B$18:$E$48,4,FALSE)&amp;$AX232,坦克属性分配比例,MATCH("升星次数",坦克属性分配比例标头,0),FALSE)*VLOOKUP($AW232,$AM$3:$AS$33,MATCH("换弹时间",$AM$3:$AS$3,0),FALSE),1),0)</f>
        <v>0</v>
      </c>
      <c r="BK232" s="654">
        <f>ROUND(VLOOKUP($AW232,$AD$3:$AJ$33,MATCH(BK$3,$AD$3:$AJ$3,0),FALSE)+$AY232/VLOOKUP(VLOOKUP($AW232,坦克个性化设定!$B$18:$E$48,4,FALSE)&amp;$AX232,坦克属性分配比例,MATCH("升星次数",坦克属性分配比例标头,0),FALSE)*VLOOKUP($AW232,$AM$3:$AS$33,MATCH(BK$3,$AM$3:$AS$3,0),FALSE),2)</f>
        <v>0</v>
      </c>
      <c r="BL232" s="654">
        <f>ROUND(VLOOKUP($AW232,$AD$3:$AJ$33,MATCH(BL$3,$AD$3:$AJ$3,0),FALSE)-$AY232/VLOOKUP(VLOOKUP($AW232,坦克个性化设定!$B$18:$E$48,4,FALSE)&amp;$AX232,坦克属性分配比例,MATCH("升星次数",坦克属性分配比例标头,0),FALSE)*VLOOKUP($AW232,$AM$3:$AS$33,MATCH(BL$3,$AM$3:$AS$3,0),FALSE),2)</f>
        <v>2.09</v>
      </c>
    </row>
    <row r="233" spans="47:64" x14ac:dyDescent="0.35">
      <c r="AU233" s="372" t="str">
        <f t="shared" si="27"/>
        <v>百夫长14</v>
      </c>
      <c r="AV233" s="654">
        <f>IF(AY232&gt;=VLOOKUP(VLOOKUP(AW232,坦克个性化设定!$B$18:$E$48,4,FALSE)&amp;AX232,坦克属性分配比例,MATCH("升星次数",坦克属性分配比例标头,0),FALSE),AV232+1,AV232)</f>
        <v>19</v>
      </c>
      <c r="AW233" s="649" t="str">
        <f t="shared" si="28"/>
        <v>百夫长</v>
      </c>
      <c r="AX233" s="650" t="str">
        <f>VLOOKUP(AW233,坦克个性化细分!$I$3:$J$33,2,FALSE)</f>
        <v>高</v>
      </c>
      <c r="AY233" s="654">
        <f t="shared" si="29"/>
        <v>14</v>
      </c>
      <c r="AZ233" s="654">
        <f ca="1">ROUND(VLOOKUP($AW233&amp;"初始",$O$3:$AA$63,MATCH(AZ$3,$O$3:$AA$3,0),FALSE)+((VLOOKUP($AW233&amp;"最终",$O$3:$AA$63,MATCH(AZ$3,$O$3:$AA$3,0),FALSE)*坦克个性化细分!$C$9-VLOOKUP($AW233&amp;"初始",$O$3:$AA$63,MATCH(AZ$3,$O$3:$AA$3,0),FALSE))-(VLOOKUP($AW233&amp;"最终",$O$3:$AA$63,MATCH(AZ$3,$O$3:$AA$3,0),FALSE)-VLOOKUP($AW233&amp;"初始",$O$3:$AA$63,MATCH(AZ$3,$O$3:$AA$3,0),FALSE))*VLOOKUP(VLOOKUP($AW233,坦克个性化设定!$B$18:$E$48,4,FALSE)&amp;$AX233,坦克属性分配比例,MATCH("部件比例",坦克属性分配比例标头,0),FALSE))*$AY233/VLOOKUP(VLOOKUP($AW233,坦克个性化设定!$B$18:$E$48,4,FALSE)&amp;$AX233,坦克属性分配比例,MATCH("升星次数",坦克属性分配比例标头,0),FALSE),0)</f>
        <v>3764</v>
      </c>
      <c r="BA233" s="654">
        <f ca="1">ROUND(VLOOKUP($AW233&amp;"初始",$O$3:$AA$63,MATCH(BA$3,$O$3:$AA$3,0),FALSE)+(VLOOKUP($AW233&amp;"最终",$O$3:$AA$63,MATCH(BA$3,$O$3:$AA$3,0),FALSE)-VLOOKUP($AW233&amp;"初始",$O$3:$AA$63,MATCH(BA$3,$O$3:$AA$3,0),FALSE))*$AY233/VLOOKUP(VLOOKUP($AW233,坦克个性化设定!$B$18:$E$48,4,FALSE)&amp;$AX233,坦克属性分配比例,MATCH("升星次数",坦克属性分配比例标头,0),FALSE)*VLOOKUP(VLOOKUP($AW233,坦克个性化设定!$B$18:$E$48,4,FALSE)&amp;$AX233,坦克属性分配比例,MATCH("升星比例",坦克属性分配比例标头,0),FALSE),0)</f>
        <v>370</v>
      </c>
      <c r="BB233" s="654">
        <f ca="1">ROUND(VLOOKUP($AW233&amp;"初始",$O$3:$AA$63,MATCH(BB$3,$O$3:$AA$3,0),FALSE)+(VLOOKUP($AW233&amp;"最终",$O$3:$AA$63,MATCH(BB$3,$O$3:$AA$3,0),FALSE)-VLOOKUP($AW233&amp;"初始",$O$3:$AA$63,MATCH(BB$3,$O$3:$AA$3,0),FALSE))*$AY233/VLOOKUP(VLOOKUP($AW233,坦克个性化设定!$B$18:$E$48,4,FALSE)&amp;$AX233,坦克属性分配比例,MATCH("升星次数",坦克属性分配比例标头,0),FALSE)*(VLOOKUP(VLOOKUP($AW233,坦克个性化设定!$B$18:$E$48,4,FALSE)&amp;$AX233,坦克属性分配比例,MATCH("升星比例",坦克属性分配比例标头,0),FALSE)+VLOOKUP(VLOOKUP($AW233,坦克个性化设定!$B$18:$E$48,4,FALSE)&amp;$AX233,坦克属性分配比例,MATCH("部件比例",坦克属性分配比例标头,0),FALSE)*$C$3),0)</f>
        <v>1090</v>
      </c>
      <c r="BC233" s="654">
        <f ca="1">ROUND(VLOOKUP($AW233&amp;"初始",$O$3:$AA$63,MATCH(BC$3,$O$3:$AA$3,0),FALSE)+(VLOOKUP($AW233&amp;"最终",$O$3:$AA$63,MATCH(BC$3,$O$3:$AA$3,0),FALSE)-VLOOKUP($AW233&amp;"初始",$O$3:$AA$63,MATCH(BC$3,$O$3:$AA$3,0),FALSE))*$AY233/VLOOKUP(VLOOKUP($AW233,坦克个性化设定!$B$18:$E$48,4,FALSE)&amp;$AX233,坦克属性分配比例,MATCH("升星次数",坦克属性分配比例标头,0),FALSE)*(VLOOKUP(VLOOKUP($AW233,坦克个性化设定!$B$18:$E$48,4,FALSE)&amp;$AX233,坦克属性分配比例,MATCH("升星比例",坦克属性分配比例标头,0),FALSE)+VLOOKUP(VLOOKUP($AW233,坦克个性化设定!$B$18:$E$48,4,FALSE)&amp;$AX233,坦克属性分配比例,MATCH("部件比例",坦克属性分配比例标头,0),FALSE)*$C$3),0)</f>
        <v>818</v>
      </c>
      <c r="BD233" s="654">
        <f ca="1">ROUND(VLOOKUP($AW233&amp;"初始",$O$3:$AA$63,MATCH(BD$3,$O$3:$AA$3,0),FALSE)+(VLOOKUP($AW233&amp;"最终",$O$3:$AA$63,MATCH(BD$3,$O$3:$AA$3,0),FALSE)-VLOOKUP($AW233&amp;"初始",$O$3:$AA$63,MATCH(BD$3,$O$3:$AA$3,0),FALSE))*$AY233/VLOOKUP(VLOOKUP($AW233,坦克个性化设定!$B$18:$E$48,4,FALSE)&amp;$AX233,坦克属性分配比例,MATCH("升星次数",坦克属性分配比例标头,0),FALSE)*VLOOKUP(VLOOKUP($AW233,坦克个性化设定!$B$18:$E$48,4,FALSE)&amp;$AX233,坦克属性分配比例,MATCH("升星比例",坦克属性分配比例标头,0),FALSE),0)</f>
        <v>1012</v>
      </c>
      <c r="BE233" s="654">
        <f ca="1">ROUND(VLOOKUP($AW233&amp;"初始",$O$3:$AA$63,MATCH(BE$3,$O$3:$AA$3,0),FALSE)+(VLOOKUP($AW233&amp;"最终",$O$3:$AA$63,MATCH(BE$3,$O$3:$AA$3,0),FALSE)-VLOOKUP($AW233&amp;"初始",$O$3:$AA$63,MATCH(BE$3,$O$3:$AA$3,0),FALSE))*$AY233/VLOOKUP(VLOOKUP($AW233,坦克个性化设定!$B$18:$E$48,4,FALSE)&amp;$AX233,坦克属性分配比例,MATCH("升星次数",坦克属性分配比例标头,0),FALSE),0)</f>
        <v>322</v>
      </c>
      <c r="BF233" s="654">
        <f>ROUND(VLOOKUP($AW233,$AD$3:$AJ$33,MATCH(BF$3,$AD$3:$AJ$3,0),FALSE)+$AY233/VLOOKUP(VLOOKUP($AW233,坦克个性化设定!$B$18:$E$48,4,FALSE)&amp;$AX233,坦克属性分配比例,MATCH("升星次数",坦克属性分配比例标头,0),FALSE)*VLOOKUP($AW233,$AM$3:$AS$33,MATCH(BF$3,$AM$3:$AS$3,0),FALSE),1)</f>
        <v>56.3</v>
      </c>
      <c r="BG233" s="654">
        <f>ROUND(VLOOKUP($AW233,$AD$3:$AJ$33,MATCH(BG$3,$AD$3:$AJ$3,0),FALSE)+$AY233/VLOOKUP(VLOOKUP($AW233,坦克个性化设定!$B$18:$E$48,4,FALSE)&amp;$AX233,坦克属性分配比例,MATCH("升星次数",坦克属性分配比例标头,0),FALSE)*VLOOKUP($AW233,$AM$3:$AS$33,MATCH(BG$3,$AM$3:$AS$3,0),FALSE),1)</f>
        <v>50.6</v>
      </c>
      <c r="BH233" s="654">
        <f>ROUND(VLOOKUP($AW233,$AD$3:$AJ$33,MATCH(BH$3,$AD$3:$AJ$3,0),FALSE)+$AY233/VLOOKUP(VLOOKUP($AW233,坦克个性化设定!$B$18:$E$48,4,FALSE)&amp;$AX233,坦克属性分配比例,MATCH("升星次数",坦克属性分配比例标头,0),FALSE)*VLOOKUP($AW233,$AM$3:$AS$33,MATCH(BH$3,$AM$3:$AS$3,0),FALSE),1)</f>
        <v>16.399999999999999</v>
      </c>
      <c r="BI233" s="654">
        <f>IF(VLOOKUP(AW233,坦克个性化设定!$B$18:$BB$48,MATCH("装弹类型",坦克个性化设定!$B$18:$BB$18,0),FALSE)="弹夹换弹",0,ROUND(VLOOKUP($AW233,$AD$3:$AJ$33,MATCH("换弹时间",$AD$3:$AJ$3,0),FALSE)-$AY233/VLOOKUP(VLOOKUP($AW233,坦克个性化设定!$B$18:$E$48,4,FALSE)&amp;$AX233,坦克属性分配比例,MATCH("升星次数",坦克属性分配比例标头,0),FALSE)*VLOOKUP($AW233,$AM$3:$AS$33,MATCH("换弹时间",$AM$3:$AS$3,0),FALSE),2))</f>
        <v>3.6</v>
      </c>
      <c r="BJ233" s="654">
        <f>IF(VLOOKUP(AW233,坦克个性化设定!$B$18:$BB$48,MATCH("装弹类型",坦克个性化设定!$B$18:$BB$18,0),FALSE)="弹夹换弹",ROUND(VLOOKUP($AW233,$AD$3:$AJ$33,MATCH("换弹时间",$AD$3:$AJ$3,0),FALSE)-$AY233/VLOOKUP(VLOOKUP($AW233,坦克个性化设定!$B$18:$E$48,4,FALSE)&amp;$AX233,坦克属性分配比例,MATCH("升星次数",坦克属性分配比例标头,0),FALSE)*VLOOKUP($AW233,$AM$3:$AS$33,MATCH("换弹时间",$AM$3:$AS$3,0),FALSE),1),0)</f>
        <v>0</v>
      </c>
      <c r="BK233" s="654">
        <f>ROUND(VLOOKUP($AW233,$AD$3:$AJ$33,MATCH(BK$3,$AD$3:$AJ$3,0),FALSE)+$AY233/VLOOKUP(VLOOKUP($AW233,坦克个性化设定!$B$18:$E$48,4,FALSE)&amp;$AX233,坦克属性分配比例,MATCH("升星次数",坦克属性分配比例标头,0),FALSE)*VLOOKUP($AW233,$AM$3:$AS$33,MATCH(BK$3,$AM$3:$AS$3,0),FALSE),2)</f>
        <v>0</v>
      </c>
      <c r="BL233" s="654">
        <f>ROUND(VLOOKUP($AW233,$AD$3:$AJ$33,MATCH(BL$3,$AD$3:$AJ$3,0),FALSE)-$AY233/VLOOKUP(VLOOKUP($AW233,坦克个性化设定!$B$18:$E$48,4,FALSE)&amp;$AX233,坦克属性分配比例,MATCH("升星次数",坦克属性分配比例标头,0),FALSE)*VLOOKUP($AW233,$AM$3:$AS$33,MATCH(BL$3,$AM$3:$AS$3,0),FALSE),2)</f>
        <v>2.0699999999999998</v>
      </c>
    </row>
    <row r="234" spans="47:64" x14ac:dyDescent="0.35">
      <c r="AU234" s="372" t="str">
        <f t="shared" si="27"/>
        <v>百夫长15</v>
      </c>
      <c r="AV234" s="654">
        <f>IF(AY233&gt;=VLOOKUP(VLOOKUP(AW233,坦克个性化设定!$B$18:$E$48,4,FALSE)&amp;AX233,坦克属性分配比例,MATCH("升星次数",坦克属性分配比例标头,0),FALSE),AV233+1,AV233)</f>
        <v>19</v>
      </c>
      <c r="AW234" s="649" t="str">
        <f t="shared" si="28"/>
        <v>百夫长</v>
      </c>
      <c r="AX234" s="650" t="str">
        <f>VLOOKUP(AW234,坦克个性化细分!$I$3:$J$33,2,FALSE)</f>
        <v>高</v>
      </c>
      <c r="AY234" s="654">
        <f t="shared" si="29"/>
        <v>15</v>
      </c>
      <c r="AZ234" s="654">
        <f ca="1">ROUND(VLOOKUP($AW234&amp;"初始",$O$3:$AA$63,MATCH(AZ$3,$O$3:$AA$3,0),FALSE)+((VLOOKUP($AW234&amp;"最终",$O$3:$AA$63,MATCH(AZ$3,$O$3:$AA$3,0),FALSE)*坦克个性化细分!$C$9-VLOOKUP($AW234&amp;"初始",$O$3:$AA$63,MATCH(AZ$3,$O$3:$AA$3,0),FALSE))-(VLOOKUP($AW234&amp;"最终",$O$3:$AA$63,MATCH(AZ$3,$O$3:$AA$3,0),FALSE)-VLOOKUP($AW234&amp;"初始",$O$3:$AA$63,MATCH(AZ$3,$O$3:$AA$3,0),FALSE))*VLOOKUP(VLOOKUP($AW234,坦克个性化设定!$B$18:$E$48,4,FALSE)&amp;$AX234,坦克属性分配比例,MATCH("部件比例",坦克属性分配比例标头,0),FALSE))*$AY234/VLOOKUP(VLOOKUP($AW234,坦克个性化设定!$B$18:$E$48,4,FALSE)&amp;$AX234,坦克属性分配比例,MATCH("升星次数",坦克属性分配比例标头,0),FALSE),0)</f>
        <v>3887</v>
      </c>
      <c r="BA234" s="654">
        <f ca="1">ROUND(VLOOKUP($AW234&amp;"初始",$O$3:$AA$63,MATCH(BA$3,$O$3:$AA$3,0),FALSE)+(VLOOKUP($AW234&amp;"最终",$O$3:$AA$63,MATCH(BA$3,$O$3:$AA$3,0),FALSE)-VLOOKUP($AW234&amp;"初始",$O$3:$AA$63,MATCH(BA$3,$O$3:$AA$3,0),FALSE))*$AY234/VLOOKUP(VLOOKUP($AW234,坦克个性化设定!$B$18:$E$48,4,FALSE)&amp;$AX234,坦克属性分配比例,MATCH("升星次数",坦克属性分配比例标头,0),FALSE)*VLOOKUP(VLOOKUP($AW234,坦克个性化设定!$B$18:$E$48,4,FALSE)&amp;$AX234,坦克属性分配比例,MATCH("升星比例",坦克属性分配比例标头,0),FALSE),0)</f>
        <v>377</v>
      </c>
      <c r="BB234" s="654">
        <f ca="1">ROUND(VLOOKUP($AW234&amp;"初始",$O$3:$AA$63,MATCH(BB$3,$O$3:$AA$3,0),FALSE)+(VLOOKUP($AW234&amp;"最终",$O$3:$AA$63,MATCH(BB$3,$O$3:$AA$3,0),FALSE)-VLOOKUP($AW234&amp;"初始",$O$3:$AA$63,MATCH(BB$3,$O$3:$AA$3,0),FALSE))*$AY234/VLOOKUP(VLOOKUP($AW234,坦克个性化设定!$B$18:$E$48,4,FALSE)&amp;$AX234,坦克属性分配比例,MATCH("升星次数",坦克属性分配比例标头,0),FALSE)*(VLOOKUP(VLOOKUP($AW234,坦克个性化设定!$B$18:$E$48,4,FALSE)&amp;$AX234,坦克属性分配比例,MATCH("升星比例",坦克属性分配比例标头,0),FALSE)+VLOOKUP(VLOOKUP($AW234,坦克个性化设定!$B$18:$E$48,4,FALSE)&amp;$AX234,坦克属性分配比例,MATCH("部件比例",坦克属性分配比例标头,0),FALSE)*$C$3),0)</f>
        <v>1120</v>
      </c>
      <c r="BC234" s="654">
        <f ca="1">ROUND(VLOOKUP($AW234&amp;"初始",$O$3:$AA$63,MATCH(BC$3,$O$3:$AA$3,0),FALSE)+(VLOOKUP($AW234&amp;"最终",$O$3:$AA$63,MATCH(BC$3,$O$3:$AA$3,0),FALSE)-VLOOKUP($AW234&amp;"初始",$O$3:$AA$63,MATCH(BC$3,$O$3:$AA$3,0),FALSE))*$AY234/VLOOKUP(VLOOKUP($AW234,坦克个性化设定!$B$18:$E$48,4,FALSE)&amp;$AX234,坦克属性分配比例,MATCH("升星次数",坦克属性分配比例标头,0),FALSE)*(VLOOKUP(VLOOKUP($AW234,坦克个性化设定!$B$18:$E$48,4,FALSE)&amp;$AX234,坦克属性分配比例,MATCH("升星比例",坦克属性分配比例标头,0),FALSE)+VLOOKUP(VLOOKUP($AW234,坦克个性化设定!$B$18:$E$48,4,FALSE)&amp;$AX234,坦克属性分配比例,MATCH("部件比例",坦克属性分配比例标头,0),FALSE)*$C$3),0)</f>
        <v>840</v>
      </c>
      <c r="BD234" s="654">
        <f ca="1">ROUND(VLOOKUP($AW234&amp;"初始",$O$3:$AA$63,MATCH(BD$3,$O$3:$AA$3,0),FALSE)+(VLOOKUP($AW234&amp;"最终",$O$3:$AA$63,MATCH(BD$3,$O$3:$AA$3,0),FALSE)-VLOOKUP($AW234&amp;"初始",$O$3:$AA$63,MATCH(BD$3,$O$3:$AA$3,0),FALSE))*$AY234/VLOOKUP(VLOOKUP($AW234,坦克个性化设定!$B$18:$E$48,4,FALSE)&amp;$AX234,坦克属性分配比例,MATCH("升星次数",坦克属性分配比例标头,0),FALSE)*VLOOKUP(VLOOKUP($AW234,坦克个性化设定!$B$18:$E$48,4,FALSE)&amp;$AX234,坦克属性分配比例,MATCH("升星比例",坦克属性分配比例标头,0),FALSE),0)</f>
        <v>1031</v>
      </c>
      <c r="BE234" s="654">
        <f ca="1">ROUND(VLOOKUP($AW234&amp;"初始",$O$3:$AA$63,MATCH(BE$3,$O$3:$AA$3,0),FALSE)+(VLOOKUP($AW234&amp;"最终",$O$3:$AA$63,MATCH(BE$3,$O$3:$AA$3,0),FALSE)-VLOOKUP($AW234&amp;"初始",$O$3:$AA$63,MATCH(BE$3,$O$3:$AA$3,0),FALSE))*$AY234/VLOOKUP(VLOOKUP($AW234,坦克个性化设定!$B$18:$E$48,4,FALSE)&amp;$AX234,坦克属性分配比例,MATCH("升星次数",坦克属性分配比例标头,0),FALSE),0)</f>
        <v>332</v>
      </c>
      <c r="BF234" s="654">
        <f>ROUND(VLOOKUP($AW234,$AD$3:$AJ$33,MATCH(BF$3,$AD$3:$AJ$3,0),FALSE)+$AY234/VLOOKUP(VLOOKUP($AW234,坦克个性化设定!$B$18:$E$48,4,FALSE)&amp;$AX234,坦克属性分配比例,MATCH("升星次数",坦克属性分配比例标头,0),FALSE)*VLOOKUP($AW234,$AM$3:$AS$33,MATCH(BF$3,$AM$3:$AS$3,0),FALSE),1)</f>
        <v>57</v>
      </c>
      <c r="BG234" s="654">
        <f>ROUND(VLOOKUP($AW234,$AD$3:$AJ$33,MATCH(BG$3,$AD$3:$AJ$3,0),FALSE)+$AY234/VLOOKUP(VLOOKUP($AW234,坦克个性化设定!$B$18:$E$48,4,FALSE)&amp;$AX234,坦克属性分配比例,MATCH("升星次数",坦克属性分配比例标头,0),FALSE)*VLOOKUP($AW234,$AM$3:$AS$33,MATCH(BG$3,$AM$3:$AS$3,0),FALSE),1)</f>
        <v>51.3</v>
      </c>
      <c r="BH234" s="654">
        <f>ROUND(VLOOKUP($AW234,$AD$3:$AJ$33,MATCH(BH$3,$AD$3:$AJ$3,0),FALSE)+$AY234/VLOOKUP(VLOOKUP($AW234,坦克个性化设定!$B$18:$E$48,4,FALSE)&amp;$AX234,坦克属性分配比例,MATCH("升星次数",坦克属性分配比例标头,0),FALSE)*VLOOKUP($AW234,$AM$3:$AS$33,MATCH(BH$3,$AM$3:$AS$3,0),FALSE),1)</f>
        <v>16.600000000000001</v>
      </c>
      <c r="BI234" s="654">
        <f>IF(VLOOKUP(AW234,坦克个性化设定!$B$18:$BB$48,MATCH("装弹类型",坦克个性化设定!$B$18:$BB$18,0),FALSE)="弹夹换弹",0,ROUND(VLOOKUP($AW234,$AD$3:$AJ$33,MATCH("换弹时间",$AD$3:$AJ$3,0),FALSE)-$AY234/VLOOKUP(VLOOKUP($AW234,坦克个性化设定!$B$18:$E$48,4,FALSE)&amp;$AX234,坦克属性分配比例,MATCH("升星次数",坦克属性分配比例标头,0),FALSE)*VLOOKUP($AW234,$AM$3:$AS$33,MATCH("换弹时间",$AM$3:$AS$3,0),FALSE),2))</f>
        <v>3.53</v>
      </c>
      <c r="BJ234" s="654">
        <f>IF(VLOOKUP(AW234,坦克个性化设定!$B$18:$BB$48,MATCH("装弹类型",坦克个性化设定!$B$18:$BB$18,0),FALSE)="弹夹换弹",ROUND(VLOOKUP($AW234,$AD$3:$AJ$33,MATCH("换弹时间",$AD$3:$AJ$3,0),FALSE)-$AY234/VLOOKUP(VLOOKUP($AW234,坦克个性化设定!$B$18:$E$48,4,FALSE)&amp;$AX234,坦克属性分配比例,MATCH("升星次数",坦克属性分配比例标头,0),FALSE)*VLOOKUP($AW234,$AM$3:$AS$33,MATCH("换弹时间",$AM$3:$AS$3,0),FALSE),1),0)</f>
        <v>0</v>
      </c>
      <c r="BK234" s="654">
        <f>ROUND(VLOOKUP($AW234,$AD$3:$AJ$33,MATCH(BK$3,$AD$3:$AJ$3,0),FALSE)+$AY234/VLOOKUP(VLOOKUP($AW234,坦克个性化设定!$B$18:$E$48,4,FALSE)&amp;$AX234,坦克属性分配比例,MATCH("升星次数",坦克属性分配比例标头,0),FALSE)*VLOOKUP($AW234,$AM$3:$AS$33,MATCH(BK$3,$AM$3:$AS$3,0),FALSE),2)</f>
        <v>0</v>
      </c>
      <c r="BL234" s="654">
        <f>ROUND(VLOOKUP($AW234,$AD$3:$AJ$33,MATCH(BL$3,$AD$3:$AJ$3,0),FALSE)-$AY234/VLOOKUP(VLOOKUP($AW234,坦克个性化设定!$B$18:$E$48,4,FALSE)&amp;$AX234,坦克属性分配比例,MATCH("升星次数",坦克属性分配比例标头,0),FALSE)*VLOOKUP($AW234,$AM$3:$AS$33,MATCH(BL$3,$AM$3:$AS$3,0),FALSE),2)</f>
        <v>2.0499999999999998</v>
      </c>
    </row>
    <row r="235" spans="47:64" x14ac:dyDescent="0.35">
      <c r="AU235" s="372" t="str">
        <f t="shared" si="27"/>
        <v>百夫长16</v>
      </c>
      <c r="AV235" s="654">
        <f>IF(AY234&gt;=VLOOKUP(VLOOKUP(AW234,坦克个性化设定!$B$18:$E$48,4,FALSE)&amp;AX234,坦克属性分配比例,MATCH("升星次数",坦克属性分配比例标头,0),FALSE),AV234+1,AV234)</f>
        <v>19</v>
      </c>
      <c r="AW235" s="649" t="str">
        <f t="shared" si="28"/>
        <v>百夫长</v>
      </c>
      <c r="AX235" s="650" t="str">
        <f>VLOOKUP(AW235,坦克个性化细分!$I$3:$J$33,2,FALSE)</f>
        <v>高</v>
      </c>
      <c r="AY235" s="654">
        <f t="shared" si="29"/>
        <v>16</v>
      </c>
      <c r="AZ235" s="654">
        <f ca="1">ROUND(VLOOKUP($AW235&amp;"初始",$O$3:$AA$63,MATCH(AZ$3,$O$3:$AA$3,0),FALSE)+((VLOOKUP($AW235&amp;"最终",$O$3:$AA$63,MATCH(AZ$3,$O$3:$AA$3,0),FALSE)*坦克个性化细分!$C$9-VLOOKUP($AW235&amp;"初始",$O$3:$AA$63,MATCH(AZ$3,$O$3:$AA$3,0),FALSE))-(VLOOKUP($AW235&amp;"最终",$O$3:$AA$63,MATCH(AZ$3,$O$3:$AA$3,0),FALSE)-VLOOKUP($AW235&amp;"初始",$O$3:$AA$63,MATCH(AZ$3,$O$3:$AA$3,0),FALSE))*VLOOKUP(VLOOKUP($AW235,坦克个性化设定!$B$18:$E$48,4,FALSE)&amp;$AX235,坦克属性分配比例,MATCH("部件比例",坦克属性分配比例标头,0),FALSE))*$AY235/VLOOKUP(VLOOKUP($AW235,坦克个性化设定!$B$18:$E$48,4,FALSE)&amp;$AX235,坦克属性分配比例,MATCH("升星次数",坦克属性分配比例标头,0),FALSE),0)</f>
        <v>4010</v>
      </c>
      <c r="BA235" s="654">
        <f ca="1">ROUND(VLOOKUP($AW235&amp;"初始",$O$3:$AA$63,MATCH(BA$3,$O$3:$AA$3,0),FALSE)+(VLOOKUP($AW235&amp;"最终",$O$3:$AA$63,MATCH(BA$3,$O$3:$AA$3,0),FALSE)-VLOOKUP($AW235&amp;"初始",$O$3:$AA$63,MATCH(BA$3,$O$3:$AA$3,0),FALSE))*$AY235/VLOOKUP(VLOOKUP($AW235,坦克个性化设定!$B$18:$E$48,4,FALSE)&amp;$AX235,坦克属性分配比例,MATCH("升星次数",坦克属性分配比例标头,0),FALSE)*VLOOKUP(VLOOKUP($AW235,坦克个性化设定!$B$18:$E$48,4,FALSE)&amp;$AX235,坦克属性分配比例,MATCH("升星比例",坦克属性分配比例标头,0),FALSE),0)</f>
        <v>384</v>
      </c>
      <c r="BB235" s="654">
        <f ca="1">ROUND(VLOOKUP($AW235&amp;"初始",$O$3:$AA$63,MATCH(BB$3,$O$3:$AA$3,0),FALSE)+(VLOOKUP($AW235&amp;"最终",$O$3:$AA$63,MATCH(BB$3,$O$3:$AA$3,0),FALSE)-VLOOKUP($AW235&amp;"初始",$O$3:$AA$63,MATCH(BB$3,$O$3:$AA$3,0),FALSE))*$AY235/VLOOKUP(VLOOKUP($AW235,坦克个性化设定!$B$18:$E$48,4,FALSE)&amp;$AX235,坦克属性分配比例,MATCH("升星次数",坦克属性分配比例标头,0),FALSE)*(VLOOKUP(VLOOKUP($AW235,坦克个性化设定!$B$18:$E$48,4,FALSE)&amp;$AX235,坦克属性分配比例,MATCH("升星比例",坦克属性分配比例标头,0),FALSE)+VLOOKUP(VLOOKUP($AW235,坦克个性化设定!$B$18:$E$48,4,FALSE)&amp;$AX235,坦克属性分配比例,MATCH("部件比例",坦克属性分配比例标头,0),FALSE)*$C$3),0)</f>
        <v>1149</v>
      </c>
      <c r="BC235" s="654">
        <f ca="1">ROUND(VLOOKUP($AW235&amp;"初始",$O$3:$AA$63,MATCH(BC$3,$O$3:$AA$3,0),FALSE)+(VLOOKUP($AW235&amp;"最终",$O$3:$AA$63,MATCH(BC$3,$O$3:$AA$3,0),FALSE)-VLOOKUP($AW235&amp;"初始",$O$3:$AA$63,MATCH(BC$3,$O$3:$AA$3,0),FALSE))*$AY235/VLOOKUP(VLOOKUP($AW235,坦克个性化设定!$B$18:$E$48,4,FALSE)&amp;$AX235,坦克属性分配比例,MATCH("升星次数",坦克属性分配比例标头,0),FALSE)*(VLOOKUP(VLOOKUP($AW235,坦克个性化设定!$B$18:$E$48,4,FALSE)&amp;$AX235,坦克属性分配比例,MATCH("升星比例",坦克属性分配比例标头,0),FALSE)+VLOOKUP(VLOOKUP($AW235,坦克个性化设定!$B$18:$E$48,4,FALSE)&amp;$AX235,坦克属性分配比例,MATCH("部件比例",坦克属性分配比例标头,0),FALSE)*$C$3),0)</f>
        <v>862</v>
      </c>
      <c r="BD235" s="654">
        <f ca="1">ROUND(VLOOKUP($AW235&amp;"初始",$O$3:$AA$63,MATCH(BD$3,$O$3:$AA$3,0),FALSE)+(VLOOKUP($AW235&amp;"最终",$O$3:$AA$63,MATCH(BD$3,$O$3:$AA$3,0),FALSE)-VLOOKUP($AW235&amp;"初始",$O$3:$AA$63,MATCH(BD$3,$O$3:$AA$3,0),FALSE))*$AY235/VLOOKUP(VLOOKUP($AW235,坦克个性化设定!$B$18:$E$48,4,FALSE)&amp;$AX235,坦克属性分配比例,MATCH("升星次数",坦克属性分配比例标头,0),FALSE)*VLOOKUP(VLOOKUP($AW235,坦克个性化设定!$B$18:$E$48,4,FALSE)&amp;$AX235,坦克属性分配比例,MATCH("升星比例",坦克属性分配比例标头,0),FALSE),0)</f>
        <v>1050</v>
      </c>
      <c r="BE235" s="654">
        <f ca="1">ROUND(VLOOKUP($AW235&amp;"初始",$O$3:$AA$63,MATCH(BE$3,$O$3:$AA$3,0),FALSE)+(VLOOKUP($AW235&amp;"最终",$O$3:$AA$63,MATCH(BE$3,$O$3:$AA$3,0),FALSE)-VLOOKUP($AW235&amp;"初始",$O$3:$AA$63,MATCH(BE$3,$O$3:$AA$3,0),FALSE))*$AY235/VLOOKUP(VLOOKUP($AW235,坦克个性化设定!$B$18:$E$48,4,FALSE)&amp;$AX235,坦克属性分配比例,MATCH("升星次数",坦克属性分配比例标头,0),FALSE),0)</f>
        <v>342</v>
      </c>
      <c r="BF235" s="654">
        <f>ROUND(VLOOKUP($AW235,$AD$3:$AJ$33,MATCH(BF$3,$AD$3:$AJ$3,0),FALSE)+$AY235/VLOOKUP(VLOOKUP($AW235,坦克个性化设定!$B$18:$E$48,4,FALSE)&amp;$AX235,坦克属性分配比例,MATCH("升星次数",坦克属性分配比例标头,0),FALSE)*VLOOKUP($AW235,$AM$3:$AS$33,MATCH(BF$3,$AM$3:$AS$3,0),FALSE),1)</f>
        <v>57.7</v>
      </c>
      <c r="BG235" s="654">
        <f>ROUND(VLOOKUP($AW235,$AD$3:$AJ$33,MATCH(BG$3,$AD$3:$AJ$3,0),FALSE)+$AY235/VLOOKUP(VLOOKUP($AW235,坦克个性化设定!$B$18:$E$48,4,FALSE)&amp;$AX235,坦克属性分配比例,MATCH("升星次数",坦克属性分配比例标头,0),FALSE)*VLOOKUP($AW235,$AM$3:$AS$33,MATCH(BG$3,$AM$3:$AS$3,0),FALSE),1)</f>
        <v>51.9</v>
      </c>
      <c r="BH235" s="654">
        <f>ROUND(VLOOKUP($AW235,$AD$3:$AJ$33,MATCH(BH$3,$AD$3:$AJ$3,0),FALSE)+$AY235/VLOOKUP(VLOOKUP($AW235,坦克个性化设定!$B$18:$E$48,4,FALSE)&amp;$AX235,坦克属性分配比例,MATCH("升星次数",坦克属性分配比例标头,0),FALSE)*VLOOKUP($AW235,$AM$3:$AS$33,MATCH(BH$3,$AM$3:$AS$3,0),FALSE),1)</f>
        <v>16.899999999999999</v>
      </c>
      <c r="BI235" s="654">
        <f>IF(VLOOKUP(AW235,坦克个性化设定!$B$18:$BB$48,MATCH("装弹类型",坦克个性化设定!$B$18:$BB$18,0),FALSE)="弹夹换弹",0,ROUND(VLOOKUP($AW235,$AD$3:$AJ$33,MATCH("换弹时间",$AD$3:$AJ$3,0),FALSE)-$AY235/VLOOKUP(VLOOKUP($AW235,坦克个性化设定!$B$18:$E$48,4,FALSE)&amp;$AX235,坦克属性分配比例,MATCH("升星次数",坦克属性分配比例标头,0),FALSE)*VLOOKUP($AW235,$AM$3:$AS$33,MATCH("换弹时间",$AM$3:$AS$3,0),FALSE),2))</f>
        <v>3.47</v>
      </c>
      <c r="BJ235" s="654">
        <f>IF(VLOOKUP(AW235,坦克个性化设定!$B$18:$BB$48,MATCH("装弹类型",坦克个性化设定!$B$18:$BB$18,0),FALSE)="弹夹换弹",ROUND(VLOOKUP($AW235,$AD$3:$AJ$33,MATCH("换弹时间",$AD$3:$AJ$3,0),FALSE)-$AY235/VLOOKUP(VLOOKUP($AW235,坦克个性化设定!$B$18:$E$48,4,FALSE)&amp;$AX235,坦克属性分配比例,MATCH("升星次数",坦克属性分配比例标头,0),FALSE)*VLOOKUP($AW235,$AM$3:$AS$33,MATCH("换弹时间",$AM$3:$AS$3,0),FALSE),1),0)</f>
        <v>0</v>
      </c>
      <c r="BK235" s="654">
        <f>ROUND(VLOOKUP($AW235,$AD$3:$AJ$33,MATCH(BK$3,$AD$3:$AJ$3,0),FALSE)+$AY235/VLOOKUP(VLOOKUP($AW235,坦克个性化设定!$B$18:$E$48,4,FALSE)&amp;$AX235,坦克属性分配比例,MATCH("升星次数",坦克属性分配比例标头,0),FALSE)*VLOOKUP($AW235,$AM$3:$AS$33,MATCH(BK$3,$AM$3:$AS$3,0),FALSE),2)</f>
        <v>0</v>
      </c>
      <c r="BL235" s="654">
        <f>ROUND(VLOOKUP($AW235,$AD$3:$AJ$33,MATCH(BL$3,$AD$3:$AJ$3,0),FALSE)-$AY235/VLOOKUP(VLOOKUP($AW235,坦克个性化设定!$B$18:$E$48,4,FALSE)&amp;$AX235,坦克属性分配比例,MATCH("升星次数",坦克属性分配比例标头,0),FALSE)*VLOOKUP($AW235,$AM$3:$AS$33,MATCH(BL$3,$AM$3:$AS$3,0),FALSE),2)</f>
        <v>2.02</v>
      </c>
    </row>
    <row r="236" spans="47:64" x14ac:dyDescent="0.35">
      <c r="AU236" s="372" t="str">
        <f t="shared" si="27"/>
        <v>百夫长17</v>
      </c>
      <c r="AV236" s="654">
        <f>IF(AY235&gt;=VLOOKUP(VLOOKUP(AW235,坦克个性化设定!$B$18:$E$48,4,FALSE)&amp;AX235,坦克属性分配比例,MATCH("升星次数",坦克属性分配比例标头,0),FALSE),AV235+1,AV235)</f>
        <v>19</v>
      </c>
      <c r="AW236" s="649" t="str">
        <f t="shared" si="28"/>
        <v>百夫长</v>
      </c>
      <c r="AX236" s="650" t="str">
        <f>VLOOKUP(AW236,坦克个性化细分!$I$3:$J$33,2,FALSE)</f>
        <v>高</v>
      </c>
      <c r="AY236" s="654">
        <f t="shared" si="29"/>
        <v>17</v>
      </c>
      <c r="AZ236" s="654">
        <f ca="1">ROUND(VLOOKUP($AW236&amp;"初始",$O$3:$AA$63,MATCH(AZ$3,$O$3:$AA$3,0),FALSE)+((VLOOKUP($AW236&amp;"最终",$O$3:$AA$63,MATCH(AZ$3,$O$3:$AA$3,0),FALSE)*坦克个性化细分!$C$9-VLOOKUP($AW236&amp;"初始",$O$3:$AA$63,MATCH(AZ$3,$O$3:$AA$3,0),FALSE))-(VLOOKUP($AW236&amp;"最终",$O$3:$AA$63,MATCH(AZ$3,$O$3:$AA$3,0),FALSE)-VLOOKUP($AW236&amp;"初始",$O$3:$AA$63,MATCH(AZ$3,$O$3:$AA$3,0),FALSE))*VLOOKUP(VLOOKUP($AW236,坦克个性化设定!$B$18:$E$48,4,FALSE)&amp;$AX236,坦克属性分配比例,MATCH("部件比例",坦克属性分配比例标头,0),FALSE))*$AY236/VLOOKUP(VLOOKUP($AW236,坦克个性化设定!$B$18:$E$48,4,FALSE)&amp;$AX236,坦克属性分配比例,MATCH("升星次数",坦克属性分配比例标头,0),FALSE),0)</f>
        <v>4133</v>
      </c>
      <c r="BA236" s="654">
        <f ca="1">ROUND(VLOOKUP($AW236&amp;"初始",$O$3:$AA$63,MATCH(BA$3,$O$3:$AA$3,0),FALSE)+(VLOOKUP($AW236&amp;"最终",$O$3:$AA$63,MATCH(BA$3,$O$3:$AA$3,0),FALSE)-VLOOKUP($AW236&amp;"初始",$O$3:$AA$63,MATCH(BA$3,$O$3:$AA$3,0),FALSE))*$AY236/VLOOKUP(VLOOKUP($AW236,坦克个性化设定!$B$18:$E$48,4,FALSE)&amp;$AX236,坦克属性分配比例,MATCH("升星次数",坦克属性分配比例标头,0),FALSE)*VLOOKUP(VLOOKUP($AW236,坦克个性化设定!$B$18:$E$48,4,FALSE)&amp;$AX236,坦克属性分配比例,MATCH("升星比例",坦克属性分配比例标头,0),FALSE),0)</f>
        <v>391</v>
      </c>
      <c r="BB236" s="654">
        <f ca="1">ROUND(VLOOKUP($AW236&amp;"初始",$O$3:$AA$63,MATCH(BB$3,$O$3:$AA$3,0),FALSE)+(VLOOKUP($AW236&amp;"最终",$O$3:$AA$63,MATCH(BB$3,$O$3:$AA$3,0),FALSE)-VLOOKUP($AW236&amp;"初始",$O$3:$AA$63,MATCH(BB$3,$O$3:$AA$3,0),FALSE))*$AY236/VLOOKUP(VLOOKUP($AW236,坦克个性化设定!$B$18:$E$48,4,FALSE)&amp;$AX236,坦克属性分配比例,MATCH("升星次数",坦克属性分配比例标头,0),FALSE)*(VLOOKUP(VLOOKUP($AW236,坦克个性化设定!$B$18:$E$48,4,FALSE)&amp;$AX236,坦克属性分配比例,MATCH("升星比例",坦克属性分配比例标头,0),FALSE)+VLOOKUP(VLOOKUP($AW236,坦克个性化设定!$B$18:$E$48,4,FALSE)&amp;$AX236,坦克属性分配比例,MATCH("部件比例",坦克属性分配比例标头,0),FALSE)*$C$3),0)</f>
        <v>1179</v>
      </c>
      <c r="BC236" s="654">
        <f ca="1">ROUND(VLOOKUP($AW236&amp;"初始",$O$3:$AA$63,MATCH(BC$3,$O$3:$AA$3,0),FALSE)+(VLOOKUP($AW236&amp;"最终",$O$3:$AA$63,MATCH(BC$3,$O$3:$AA$3,0),FALSE)-VLOOKUP($AW236&amp;"初始",$O$3:$AA$63,MATCH(BC$3,$O$3:$AA$3,0),FALSE))*$AY236/VLOOKUP(VLOOKUP($AW236,坦克个性化设定!$B$18:$E$48,4,FALSE)&amp;$AX236,坦克属性分配比例,MATCH("升星次数",坦克属性分配比例标头,0),FALSE)*(VLOOKUP(VLOOKUP($AW236,坦克个性化设定!$B$18:$E$48,4,FALSE)&amp;$AX236,坦克属性分配比例,MATCH("升星比例",坦克属性分配比例标头,0),FALSE)+VLOOKUP(VLOOKUP($AW236,坦克个性化设定!$B$18:$E$48,4,FALSE)&amp;$AX236,坦克属性分配比例,MATCH("部件比例",坦克属性分配比例标头,0),FALSE)*$C$3),0)</f>
        <v>884</v>
      </c>
      <c r="BD236" s="654">
        <f ca="1">ROUND(VLOOKUP($AW236&amp;"初始",$O$3:$AA$63,MATCH(BD$3,$O$3:$AA$3,0),FALSE)+(VLOOKUP($AW236&amp;"最终",$O$3:$AA$63,MATCH(BD$3,$O$3:$AA$3,0),FALSE)-VLOOKUP($AW236&amp;"初始",$O$3:$AA$63,MATCH(BD$3,$O$3:$AA$3,0),FALSE))*$AY236/VLOOKUP(VLOOKUP($AW236,坦克个性化设定!$B$18:$E$48,4,FALSE)&amp;$AX236,坦克属性分配比例,MATCH("升星次数",坦克属性分配比例标头,0),FALSE)*VLOOKUP(VLOOKUP($AW236,坦克个性化设定!$B$18:$E$48,4,FALSE)&amp;$AX236,坦克属性分配比例,MATCH("升星比例",坦克属性分配比例标头,0),FALSE),0)</f>
        <v>1069</v>
      </c>
      <c r="BE236" s="654">
        <f ca="1">ROUND(VLOOKUP($AW236&amp;"初始",$O$3:$AA$63,MATCH(BE$3,$O$3:$AA$3,0),FALSE)+(VLOOKUP($AW236&amp;"最终",$O$3:$AA$63,MATCH(BE$3,$O$3:$AA$3,0),FALSE)-VLOOKUP($AW236&amp;"初始",$O$3:$AA$63,MATCH(BE$3,$O$3:$AA$3,0),FALSE))*$AY236/VLOOKUP(VLOOKUP($AW236,坦克个性化设定!$B$18:$E$48,4,FALSE)&amp;$AX236,坦克属性分配比例,MATCH("升星次数",坦克属性分配比例标头,0),FALSE),0)</f>
        <v>352</v>
      </c>
      <c r="BF236" s="654">
        <f>ROUND(VLOOKUP($AW236,$AD$3:$AJ$33,MATCH(BF$3,$AD$3:$AJ$3,0),FALSE)+$AY236/VLOOKUP(VLOOKUP($AW236,坦克个性化设定!$B$18:$E$48,4,FALSE)&amp;$AX236,坦克属性分配比例,MATCH("升星次数",坦克属性分配比例标头,0),FALSE)*VLOOKUP($AW236,$AM$3:$AS$33,MATCH(BF$3,$AM$3:$AS$3,0),FALSE),1)</f>
        <v>58.4</v>
      </c>
      <c r="BG236" s="654">
        <f>ROUND(VLOOKUP($AW236,$AD$3:$AJ$33,MATCH(BG$3,$AD$3:$AJ$3,0),FALSE)+$AY236/VLOOKUP(VLOOKUP($AW236,坦克个性化设定!$B$18:$E$48,4,FALSE)&amp;$AX236,坦克属性分配比例,MATCH("升星次数",坦克属性分配比例标头,0),FALSE)*VLOOKUP($AW236,$AM$3:$AS$33,MATCH(BG$3,$AM$3:$AS$3,0),FALSE),1)</f>
        <v>52.5</v>
      </c>
      <c r="BH236" s="654">
        <f>ROUND(VLOOKUP($AW236,$AD$3:$AJ$33,MATCH(BH$3,$AD$3:$AJ$3,0),FALSE)+$AY236/VLOOKUP(VLOOKUP($AW236,坦克个性化设定!$B$18:$E$48,4,FALSE)&amp;$AX236,坦克属性分配比例,MATCH("升星次数",坦克属性分配比例标头,0),FALSE)*VLOOKUP($AW236,$AM$3:$AS$33,MATCH(BH$3,$AM$3:$AS$3,0),FALSE),1)</f>
        <v>17.100000000000001</v>
      </c>
      <c r="BI236" s="654">
        <f>IF(VLOOKUP(AW236,坦克个性化设定!$B$18:$BB$48,MATCH("装弹类型",坦克个性化设定!$B$18:$BB$18,0),FALSE)="弹夹换弹",0,ROUND(VLOOKUP($AW236,$AD$3:$AJ$33,MATCH("换弹时间",$AD$3:$AJ$3,0),FALSE)-$AY236/VLOOKUP(VLOOKUP($AW236,坦克个性化设定!$B$18:$E$48,4,FALSE)&amp;$AX236,坦克属性分配比例,MATCH("升星次数",坦克属性分配比例标头,0),FALSE)*VLOOKUP($AW236,$AM$3:$AS$33,MATCH("换弹时间",$AM$3:$AS$3,0),FALSE),2))</f>
        <v>3.4</v>
      </c>
      <c r="BJ236" s="654">
        <f>IF(VLOOKUP(AW236,坦克个性化设定!$B$18:$BB$48,MATCH("装弹类型",坦克个性化设定!$B$18:$BB$18,0),FALSE)="弹夹换弹",ROUND(VLOOKUP($AW236,$AD$3:$AJ$33,MATCH("换弹时间",$AD$3:$AJ$3,0),FALSE)-$AY236/VLOOKUP(VLOOKUP($AW236,坦克个性化设定!$B$18:$E$48,4,FALSE)&amp;$AX236,坦克属性分配比例,MATCH("升星次数",坦克属性分配比例标头,0),FALSE)*VLOOKUP($AW236,$AM$3:$AS$33,MATCH("换弹时间",$AM$3:$AS$3,0),FALSE),1),0)</f>
        <v>0</v>
      </c>
      <c r="BK236" s="654">
        <f>ROUND(VLOOKUP($AW236,$AD$3:$AJ$33,MATCH(BK$3,$AD$3:$AJ$3,0),FALSE)+$AY236/VLOOKUP(VLOOKUP($AW236,坦克个性化设定!$B$18:$E$48,4,FALSE)&amp;$AX236,坦克属性分配比例,MATCH("升星次数",坦克属性分配比例标头,0),FALSE)*VLOOKUP($AW236,$AM$3:$AS$33,MATCH(BK$3,$AM$3:$AS$3,0),FALSE),2)</f>
        <v>0</v>
      </c>
      <c r="BL236" s="654">
        <f>ROUND(VLOOKUP($AW236,$AD$3:$AJ$33,MATCH(BL$3,$AD$3:$AJ$3,0),FALSE)-$AY236/VLOOKUP(VLOOKUP($AW236,坦克个性化设定!$B$18:$E$48,4,FALSE)&amp;$AX236,坦克属性分配比例,MATCH("升星次数",坦克属性分配比例标头,0),FALSE)*VLOOKUP($AW236,$AM$3:$AS$33,MATCH(BL$3,$AM$3:$AS$3,0),FALSE),2)</f>
        <v>2</v>
      </c>
    </row>
    <row r="237" spans="47:64" x14ac:dyDescent="0.35">
      <c r="AU237" s="372" t="str">
        <f t="shared" si="27"/>
        <v>挑战者0</v>
      </c>
      <c r="AV237" s="654">
        <f>IF(AY236&gt;=VLOOKUP(VLOOKUP(AW236,坦克个性化设定!$B$18:$E$48,4,FALSE)&amp;AX236,坦克属性分配比例,MATCH("升星次数",坦克属性分配比例标头,0),FALSE),AV236+1,AV236)</f>
        <v>20</v>
      </c>
      <c r="AW237" s="649" t="str">
        <f t="shared" si="28"/>
        <v>挑战者</v>
      </c>
      <c r="AX237" s="650" t="str">
        <f>VLOOKUP(AW237,坦克个性化细分!$I$3:$J$33,2,FALSE)</f>
        <v>低</v>
      </c>
      <c r="AY237" s="654">
        <f t="shared" si="29"/>
        <v>0</v>
      </c>
      <c r="AZ237" s="654">
        <f ca="1">ROUND(VLOOKUP($AW237&amp;"初始",$O$3:$AA$63,MATCH(AZ$3,$O$3:$AA$3,0),FALSE)+((VLOOKUP($AW237&amp;"最终",$O$3:$AA$63,MATCH(AZ$3,$O$3:$AA$3,0),FALSE)*坦克个性化细分!$C$9-VLOOKUP($AW237&amp;"初始",$O$3:$AA$63,MATCH(AZ$3,$O$3:$AA$3,0),FALSE))-(VLOOKUP($AW237&amp;"最终",$O$3:$AA$63,MATCH(AZ$3,$O$3:$AA$3,0),FALSE)-VLOOKUP($AW237&amp;"初始",$O$3:$AA$63,MATCH(AZ$3,$O$3:$AA$3,0),FALSE))*VLOOKUP(VLOOKUP($AW237,坦克个性化设定!$B$18:$E$48,4,FALSE)&amp;$AX237,坦克属性分配比例,MATCH("部件比例",坦克属性分配比例标头,0),FALSE))*$AY237/VLOOKUP(VLOOKUP($AW237,坦克个性化设定!$B$18:$E$48,4,FALSE)&amp;$AX237,坦克属性分配比例,MATCH("升星次数",坦克属性分配比例标头,0),FALSE),0)</f>
        <v>2384</v>
      </c>
      <c r="BA237" s="654">
        <f ca="1">ROUND(VLOOKUP($AW237&amp;"初始",$O$3:$AA$63,MATCH(BA$3,$O$3:$AA$3,0),FALSE)+(VLOOKUP($AW237&amp;"最终",$O$3:$AA$63,MATCH(BA$3,$O$3:$AA$3,0),FALSE)-VLOOKUP($AW237&amp;"初始",$O$3:$AA$63,MATCH(BA$3,$O$3:$AA$3,0),FALSE))*$AY237/VLOOKUP(VLOOKUP($AW237,坦克个性化设定!$B$18:$E$48,4,FALSE)&amp;$AX237,坦克属性分配比例,MATCH("升星次数",坦克属性分配比例标头,0),FALSE)*VLOOKUP(VLOOKUP($AW237,坦克个性化设定!$B$18:$E$48,4,FALSE)&amp;$AX237,坦克属性分配比例,MATCH("升星比例",坦克属性分配比例标头,0),FALSE),0)</f>
        <v>329</v>
      </c>
      <c r="BB237" s="654">
        <f ca="1">ROUND(VLOOKUP($AW237&amp;"初始",$O$3:$AA$63,MATCH(BB$3,$O$3:$AA$3,0),FALSE)+(VLOOKUP($AW237&amp;"最终",$O$3:$AA$63,MATCH(BB$3,$O$3:$AA$3,0),FALSE)-VLOOKUP($AW237&amp;"初始",$O$3:$AA$63,MATCH(BB$3,$O$3:$AA$3,0),FALSE))*$AY237/VLOOKUP(VLOOKUP($AW237,坦克个性化设定!$B$18:$E$48,4,FALSE)&amp;$AX237,坦克属性分配比例,MATCH("升星次数",坦克属性分配比例标头,0),FALSE)*(VLOOKUP(VLOOKUP($AW237,坦克个性化设定!$B$18:$E$48,4,FALSE)&amp;$AX237,坦克属性分配比例,MATCH("升星比例",坦克属性分配比例标头,0),FALSE)+VLOOKUP(VLOOKUP($AW237,坦克个性化设定!$B$18:$E$48,4,FALSE)&amp;$AX237,坦克属性分配比例,MATCH("部件比例",坦克属性分配比例标头,0),FALSE)*$C$3),0)</f>
        <v>789</v>
      </c>
      <c r="BC237" s="654">
        <f ca="1">ROUND(VLOOKUP($AW237&amp;"初始",$O$3:$AA$63,MATCH(BC$3,$O$3:$AA$3,0),FALSE)+(VLOOKUP($AW237&amp;"最终",$O$3:$AA$63,MATCH(BC$3,$O$3:$AA$3,0),FALSE)-VLOOKUP($AW237&amp;"初始",$O$3:$AA$63,MATCH(BC$3,$O$3:$AA$3,0),FALSE))*$AY237/VLOOKUP(VLOOKUP($AW237,坦克个性化设定!$B$18:$E$48,4,FALSE)&amp;$AX237,坦克属性分配比例,MATCH("升星次数",坦克属性分配比例标头,0),FALSE)*(VLOOKUP(VLOOKUP($AW237,坦克个性化设定!$B$18:$E$48,4,FALSE)&amp;$AX237,坦克属性分配比例,MATCH("升星比例",坦克属性分配比例标头,0),FALSE)+VLOOKUP(VLOOKUP($AW237,坦克个性化设定!$B$18:$E$48,4,FALSE)&amp;$AX237,坦克属性分配比例,MATCH("部件比例",坦克属性分配比例标头,0),FALSE)*$C$3),0)</f>
        <v>591</v>
      </c>
      <c r="BD237" s="654">
        <f ca="1">ROUND(VLOOKUP($AW237&amp;"初始",$O$3:$AA$63,MATCH(BD$3,$O$3:$AA$3,0),FALSE)+(VLOOKUP($AW237&amp;"最终",$O$3:$AA$63,MATCH(BD$3,$O$3:$AA$3,0),FALSE)-VLOOKUP($AW237&amp;"初始",$O$3:$AA$63,MATCH(BD$3,$O$3:$AA$3,0),FALSE))*$AY237/VLOOKUP(VLOOKUP($AW237,坦克个性化设定!$B$18:$E$48,4,FALSE)&amp;$AX237,坦克属性分配比例,MATCH("升星次数",坦克属性分配比例标头,0),FALSE)*VLOOKUP(VLOOKUP($AW237,坦克个性化设定!$B$18:$E$48,4,FALSE)&amp;$AX237,坦克属性分配比例,MATCH("升星比例",坦克属性分配比例标头,0),FALSE),0)</f>
        <v>864</v>
      </c>
      <c r="BE237" s="654">
        <f ca="1">ROUND(VLOOKUP($AW237&amp;"初始",$O$3:$AA$63,MATCH(BE$3,$O$3:$AA$3,0),FALSE)+(VLOOKUP($AW237&amp;"最终",$O$3:$AA$63,MATCH(BE$3,$O$3:$AA$3,0),FALSE)-VLOOKUP($AW237&amp;"初始",$O$3:$AA$63,MATCH(BE$3,$O$3:$AA$3,0),FALSE))*$AY237/VLOOKUP(VLOOKUP($AW237,坦克个性化设定!$B$18:$E$48,4,FALSE)&amp;$AX237,坦克属性分配比例,MATCH("升星次数",坦克属性分配比例标头,0),FALSE),0)</f>
        <v>211</v>
      </c>
      <c r="BF237" s="654">
        <f>ROUND(VLOOKUP($AW237,$AD$3:$AJ$33,MATCH(BF$3,$AD$3:$AJ$3,0),FALSE)+$AY237/VLOOKUP(VLOOKUP($AW237,坦克个性化设定!$B$18:$E$48,4,FALSE)&amp;$AX237,坦克属性分配比例,MATCH("升星次数",坦克属性分配比例标头,0),FALSE)*VLOOKUP($AW237,$AM$3:$AS$33,MATCH(BF$3,$AM$3:$AS$3,0),FALSE),1)</f>
        <v>35.6</v>
      </c>
      <c r="BG237" s="654">
        <f>ROUND(VLOOKUP($AW237,$AD$3:$AJ$33,MATCH(BG$3,$AD$3:$AJ$3,0),FALSE)+$AY237/VLOOKUP(VLOOKUP($AW237,坦克个性化设定!$B$18:$E$48,4,FALSE)&amp;$AX237,坦克属性分配比例,MATCH("升星次数",坦克属性分配比例标头,0),FALSE)*VLOOKUP($AW237,$AM$3:$AS$33,MATCH(BG$3,$AM$3:$AS$3,0),FALSE),1)</f>
        <v>50</v>
      </c>
      <c r="BH237" s="654">
        <f>ROUND(VLOOKUP($AW237,$AD$3:$AJ$33,MATCH(BH$3,$AD$3:$AJ$3,0),FALSE)+$AY237/VLOOKUP(VLOOKUP($AW237,坦克个性化设定!$B$18:$E$48,4,FALSE)&amp;$AX237,坦克属性分配比例,MATCH("升星次数",坦克属性分配比例标头,0),FALSE)*VLOOKUP($AW237,$AM$3:$AS$33,MATCH(BH$3,$AM$3:$AS$3,0),FALSE),1)</f>
        <v>11.1</v>
      </c>
      <c r="BI237" s="654">
        <f>IF(VLOOKUP(AW237,坦克个性化设定!$B$18:$BB$48,MATCH("装弹类型",坦克个性化设定!$B$18:$BB$18,0),FALSE)="弹夹换弹",0,ROUND(VLOOKUP($AW237,$AD$3:$AJ$33,MATCH("换弹时间",$AD$3:$AJ$3,0),FALSE)-$AY237/VLOOKUP(VLOOKUP($AW237,坦克个性化设定!$B$18:$E$48,4,FALSE)&amp;$AX237,坦克属性分配比例,MATCH("升星次数",坦克属性分配比例标头,0),FALSE)*VLOOKUP($AW237,$AM$3:$AS$33,MATCH("换弹时间",$AM$3:$AS$3,0),FALSE),2))</f>
        <v>4.5</v>
      </c>
      <c r="BJ237" s="654">
        <f>IF(VLOOKUP(AW237,坦克个性化设定!$B$18:$BB$48,MATCH("装弹类型",坦克个性化设定!$B$18:$BB$18,0),FALSE)="弹夹换弹",ROUND(VLOOKUP($AW237,$AD$3:$AJ$33,MATCH("换弹时间",$AD$3:$AJ$3,0),FALSE)-$AY237/VLOOKUP(VLOOKUP($AW237,坦克个性化设定!$B$18:$E$48,4,FALSE)&amp;$AX237,坦克属性分配比例,MATCH("升星次数",坦克属性分配比例标头,0),FALSE)*VLOOKUP($AW237,$AM$3:$AS$33,MATCH("换弹时间",$AM$3:$AS$3,0),FALSE),1),0)</f>
        <v>0</v>
      </c>
      <c r="BK237" s="654">
        <f>ROUND(VLOOKUP($AW237,$AD$3:$AJ$33,MATCH(BK$3,$AD$3:$AJ$3,0),FALSE)+$AY237/VLOOKUP(VLOOKUP($AW237,坦克个性化设定!$B$18:$E$48,4,FALSE)&amp;$AX237,坦克属性分配比例,MATCH("升星次数",坦克属性分配比例标头,0),FALSE)*VLOOKUP($AW237,$AM$3:$AS$33,MATCH(BK$3,$AM$3:$AS$3,0),FALSE),2)</f>
        <v>0</v>
      </c>
      <c r="BL237" s="654">
        <f>ROUND(VLOOKUP($AW237,$AD$3:$AJ$33,MATCH(BL$3,$AD$3:$AJ$3,0),FALSE)-$AY237/VLOOKUP(VLOOKUP($AW237,坦克个性化设定!$B$18:$E$48,4,FALSE)&amp;$AX237,坦克属性分配比例,MATCH("升星次数",坦克属性分配比例标头,0),FALSE)*VLOOKUP($AW237,$AM$3:$AS$33,MATCH(BL$3,$AM$3:$AS$3,0),FALSE),2)</f>
        <v>2.4</v>
      </c>
    </row>
    <row r="238" spans="47:64" x14ac:dyDescent="0.35">
      <c r="AU238" s="372" t="str">
        <f t="shared" si="27"/>
        <v>挑战者1</v>
      </c>
      <c r="AV238" s="654">
        <f>IF(AY237&gt;=VLOOKUP(VLOOKUP(AW237,坦克个性化设定!$B$18:$E$48,4,FALSE)&amp;AX237,坦克属性分配比例,MATCH("升星次数",坦克属性分配比例标头,0),FALSE),AV237+1,AV237)</f>
        <v>20</v>
      </c>
      <c r="AW238" s="649" t="str">
        <f t="shared" si="28"/>
        <v>挑战者</v>
      </c>
      <c r="AX238" s="650" t="str">
        <f>VLOOKUP(AW238,坦克个性化细分!$I$3:$J$33,2,FALSE)</f>
        <v>低</v>
      </c>
      <c r="AY238" s="654">
        <f t="shared" si="29"/>
        <v>1</v>
      </c>
      <c r="AZ238" s="654">
        <f ca="1">ROUND(VLOOKUP($AW238&amp;"初始",$O$3:$AA$63,MATCH(AZ$3,$O$3:$AA$3,0),FALSE)+((VLOOKUP($AW238&amp;"最终",$O$3:$AA$63,MATCH(AZ$3,$O$3:$AA$3,0),FALSE)*坦克个性化细分!$C$9-VLOOKUP($AW238&amp;"初始",$O$3:$AA$63,MATCH(AZ$3,$O$3:$AA$3,0),FALSE))-(VLOOKUP($AW238&amp;"最终",$O$3:$AA$63,MATCH(AZ$3,$O$3:$AA$3,0),FALSE)-VLOOKUP($AW238&amp;"初始",$O$3:$AA$63,MATCH(AZ$3,$O$3:$AA$3,0),FALSE))*VLOOKUP(VLOOKUP($AW238,坦克个性化设定!$B$18:$E$48,4,FALSE)&amp;$AX238,坦克属性分配比例,MATCH("部件比例",坦克属性分配比例标头,0),FALSE))*$AY238/VLOOKUP(VLOOKUP($AW238,坦克个性化设定!$B$18:$E$48,4,FALSE)&amp;$AX238,坦克属性分配比例,MATCH("升星次数",坦克属性分配比例标头,0),FALSE),0)</f>
        <v>2474</v>
      </c>
      <c r="BA238" s="654">
        <f ca="1">ROUND(VLOOKUP($AW238&amp;"初始",$O$3:$AA$63,MATCH(BA$3,$O$3:$AA$3,0),FALSE)+(VLOOKUP($AW238&amp;"最终",$O$3:$AA$63,MATCH(BA$3,$O$3:$AA$3,0),FALSE)-VLOOKUP($AW238&amp;"初始",$O$3:$AA$63,MATCH(BA$3,$O$3:$AA$3,0),FALSE))*$AY238/VLOOKUP(VLOOKUP($AW238,坦克个性化设定!$B$18:$E$48,4,FALSE)&amp;$AX238,坦克属性分配比例,MATCH("升星次数",坦克属性分配比例标头,0),FALSE)*VLOOKUP(VLOOKUP($AW238,坦克个性化设定!$B$18:$E$48,4,FALSE)&amp;$AX238,坦克属性分配比例,MATCH("升星比例",坦克属性分配比例标头,0),FALSE),0)</f>
        <v>329</v>
      </c>
      <c r="BB238" s="654">
        <f ca="1">ROUND(VLOOKUP($AW238&amp;"初始",$O$3:$AA$63,MATCH(BB$3,$O$3:$AA$3,0),FALSE)+(VLOOKUP($AW238&amp;"最终",$O$3:$AA$63,MATCH(BB$3,$O$3:$AA$3,0),FALSE)-VLOOKUP($AW238&amp;"初始",$O$3:$AA$63,MATCH(BB$3,$O$3:$AA$3,0),FALSE))*$AY238/VLOOKUP(VLOOKUP($AW238,坦克个性化设定!$B$18:$E$48,4,FALSE)&amp;$AX238,坦克属性分配比例,MATCH("升星次数",坦克属性分配比例标头,0),FALSE)*(VLOOKUP(VLOOKUP($AW238,坦克个性化设定!$B$18:$E$48,4,FALSE)&amp;$AX238,坦克属性分配比例,MATCH("升星比例",坦克属性分配比例标头,0),FALSE)+VLOOKUP(VLOOKUP($AW238,坦克个性化设定!$B$18:$E$48,4,FALSE)&amp;$AX238,坦克属性分配比例,MATCH("部件比例",坦克属性分配比例标头,0),FALSE)*$C$3),0)</f>
        <v>809</v>
      </c>
      <c r="BC238" s="654">
        <f ca="1">ROUND(VLOOKUP($AW238&amp;"初始",$O$3:$AA$63,MATCH(BC$3,$O$3:$AA$3,0),FALSE)+(VLOOKUP($AW238&amp;"最终",$O$3:$AA$63,MATCH(BC$3,$O$3:$AA$3,0),FALSE)-VLOOKUP($AW238&amp;"初始",$O$3:$AA$63,MATCH(BC$3,$O$3:$AA$3,0),FALSE))*$AY238/VLOOKUP(VLOOKUP($AW238,坦克个性化设定!$B$18:$E$48,4,FALSE)&amp;$AX238,坦克属性分配比例,MATCH("升星次数",坦克属性分配比例标头,0),FALSE)*(VLOOKUP(VLOOKUP($AW238,坦克个性化设定!$B$18:$E$48,4,FALSE)&amp;$AX238,坦克属性分配比例,MATCH("升星比例",坦克属性分配比例标头,0),FALSE)+VLOOKUP(VLOOKUP($AW238,坦克个性化设定!$B$18:$E$48,4,FALSE)&amp;$AX238,坦克属性分配比例,MATCH("部件比例",坦克属性分配比例标头,0),FALSE)*$C$3),0)</f>
        <v>606</v>
      </c>
      <c r="BD238" s="654">
        <f ca="1">ROUND(VLOOKUP($AW238&amp;"初始",$O$3:$AA$63,MATCH(BD$3,$O$3:$AA$3,0),FALSE)+(VLOOKUP($AW238&amp;"最终",$O$3:$AA$63,MATCH(BD$3,$O$3:$AA$3,0),FALSE)-VLOOKUP($AW238&amp;"初始",$O$3:$AA$63,MATCH(BD$3,$O$3:$AA$3,0),FALSE))*$AY238/VLOOKUP(VLOOKUP($AW238,坦克个性化设定!$B$18:$E$48,4,FALSE)&amp;$AX238,坦克属性分配比例,MATCH("升星次数",坦克属性分配比例标头,0),FALSE)*VLOOKUP(VLOOKUP($AW238,坦克个性化设定!$B$18:$E$48,4,FALSE)&amp;$AX238,坦克属性分配比例,MATCH("升星比例",坦克属性分配比例标头,0),FALSE),0)</f>
        <v>864</v>
      </c>
      <c r="BE238" s="654">
        <f ca="1">ROUND(VLOOKUP($AW238&amp;"初始",$O$3:$AA$63,MATCH(BE$3,$O$3:$AA$3,0),FALSE)+(VLOOKUP($AW238&amp;"最终",$O$3:$AA$63,MATCH(BE$3,$O$3:$AA$3,0),FALSE)-VLOOKUP($AW238&amp;"初始",$O$3:$AA$63,MATCH(BE$3,$O$3:$AA$3,0),FALSE))*$AY238/VLOOKUP(VLOOKUP($AW238,坦克个性化设定!$B$18:$E$48,4,FALSE)&amp;$AX238,坦克属性分配比例,MATCH("升星次数",坦克属性分配比例标头,0),FALSE),0)</f>
        <v>220</v>
      </c>
      <c r="BF238" s="654">
        <f>ROUND(VLOOKUP($AW238,$AD$3:$AJ$33,MATCH(BF$3,$AD$3:$AJ$3,0),FALSE)+$AY238/VLOOKUP(VLOOKUP($AW238,坦克个性化设定!$B$18:$E$48,4,FALSE)&amp;$AX238,坦克属性分配比例,MATCH("升星次数",坦克属性分配比例标头,0),FALSE)*VLOOKUP($AW238,$AM$3:$AS$33,MATCH(BF$3,$AM$3:$AS$3,0),FALSE),1)</f>
        <v>36.299999999999997</v>
      </c>
      <c r="BG238" s="654">
        <f>ROUND(VLOOKUP($AW238,$AD$3:$AJ$33,MATCH(BG$3,$AD$3:$AJ$3,0),FALSE)+$AY238/VLOOKUP(VLOOKUP($AW238,坦克个性化设定!$B$18:$E$48,4,FALSE)&amp;$AX238,坦克属性分配比例,MATCH("升星次数",坦克属性分配比例标头,0),FALSE)*VLOOKUP($AW238,$AM$3:$AS$33,MATCH(BG$3,$AM$3:$AS$3,0),FALSE),1)</f>
        <v>51</v>
      </c>
      <c r="BH238" s="654">
        <f>ROUND(VLOOKUP($AW238,$AD$3:$AJ$33,MATCH(BH$3,$AD$3:$AJ$3,0),FALSE)+$AY238/VLOOKUP(VLOOKUP($AW238,坦克个性化设定!$B$18:$E$48,4,FALSE)&amp;$AX238,坦克属性分配比例,MATCH("升星次数",坦克属性分配比例标头,0),FALSE)*VLOOKUP($AW238,$AM$3:$AS$33,MATCH(BH$3,$AM$3:$AS$3,0),FALSE),1)</f>
        <v>11.4</v>
      </c>
      <c r="BI238" s="654">
        <f>IF(VLOOKUP(AW238,坦克个性化设定!$B$18:$BB$48,MATCH("装弹类型",坦克个性化设定!$B$18:$BB$18,0),FALSE)="弹夹换弹",0,ROUND(VLOOKUP($AW238,$AD$3:$AJ$33,MATCH("换弹时间",$AD$3:$AJ$3,0),FALSE)-$AY238/VLOOKUP(VLOOKUP($AW238,坦克个性化设定!$B$18:$E$48,4,FALSE)&amp;$AX238,坦克属性分配比例,MATCH("升星次数",坦克属性分配比例标头,0),FALSE)*VLOOKUP($AW238,$AM$3:$AS$33,MATCH("换弹时间",$AM$3:$AS$3,0),FALSE),2))</f>
        <v>4.41</v>
      </c>
      <c r="BJ238" s="654">
        <f>IF(VLOOKUP(AW238,坦克个性化设定!$B$18:$BB$48,MATCH("装弹类型",坦克个性化设定!$B$18:$BB$18,0),FALSE)="弹夹换弹",ROUND(VLOOKUP($AW238,$AD$3:$AJ$33,MATCH("换弹时间",$AD$3:$AJ$3,0),FALSE)-$AY238/VLOOKUP(VLOOKUP($AW238,坦克个性化设定!$B$18:$E$48,4,FALSE)&amp;$AX238,坦克属性分配比例,MATCH("升星次数",坦克属性分配比例标头,0),FALSE)*VLOOKUP($AW238,$AM$3:$AS$33,MATCH("换弹时间",$AM$3:$AS$3,0),FALSE),1),0)</f>
        <v>0</v>
      </c>
      <c r="BK238" s="654">
        <f>ROUND(VLOOKUP($AW238,$AD$3:$AJ$33,MATCH(BK$3,$AD$3:$AJ$3,0),FALSE)+$AY238/VLOOKUP(VLOOKUP($AW238,坦克个性化设定!$B$18:$E$48,4,FALSE)&amp;$AX238,坦克属性分配比例,MATCH("升星次数",坦克属性分配比例标头,0),FALSE)*VLOOKUP($AW238,$AM$3:$AS$33,MATCH(BK$3,$AM$3:$AS$3,0),FALSE),2)</f>
        <v>0</v>
      </c>
      <c r="BL238" s="654">
        <f>ROUND(VLOOKUP($AW238,$AD$3:$AJ$33,MATCH(BL$3,$AD$3:$AJ$3,0),FALSE)-$AY238/VLOOKUP(VLOOKUP($AW238,坦克个性化设定!$B$18:$E$48,4,FALSE)&amp;$AX238,坦克属性分配比例,MATCH("升星次数",坦克属性分配比例标头,0),FALSE)*VLOOKUP($AW238,$AM$3:$AS$33,MATCH(BL$3,$AM$3:$AS$3,0),FALSE),2)</f>
        <v>2.37</v>
      </c>
    </row>
    <row r="239" spans="47:64" x14ac:dyDescent="0.35">
      <c r="AU239" s="372" t="str">
        <f t="shared" si="27"/>
        <v>挑战者2</v>
      </c>
      <c r="AV239" s="654">
        <f>IF(AY238&gt;=VLOOKUP(VLOOKUP(AW238,坦克个性化设定!$B$18:$E$48,4,FALSE)&amp;AX238,坦克属性分配比例,MATCH("升星次数",坦克属性分配比例标头,0),FALSE),AV238+1,AV238)</f>
        <v>20</v>
      </c>
      <c r="AW239" s="649" t="str">
        <f t="shared" si="28"/>
        <v>挑战者</v>
      </c>
      <c r="AX239" s="650" t="str">
        <f>VLOOKUP(AW239,坦克个性化细分!$I$3:$J$33,2,FALSE)</f>
        <v>低</v>
      </c>
      <c r="AY239" s="654">
        <f t="shared" si="29"/>
        <v>2</v>
      </c>
      <c r="AZ239" s="654">
        <f ca="1">ROUND(VLOOKUP($AW239&amp;"初始",$O$3:$AA$63,MATCH(AZ$3,$O$3:$AA$3,0),FALSE)+((VLOOKUP($AW239&amp;"最终",$O$3:$AA$63,MATCH(AZ$3,$O$3:$AA$3,0),FALSE)*坦克个性化细分!$C$9-VLOOKUP($AW239&amp;"初始",$O$3:$AA$63,MATCH(AZ$3,$O$3:$AA$3,0),FALSE))-(VLOOKUP($AW239&amp;"最终",$O$3:$AA$63,MATCH(AZ$3,$O$3:$AA$3,0),FALSE)-VLOOKUP($AW239&amp;"初始",$O$3:$AA$63,MATCH(AZ$3,$O$3:$AA$3,0),FALSE))*VLOOKUP(VLOOKUP($AW239,坦克个性化设定!$B$18:$E$48,4,FALSE)&amp;$AX239,坦克属性分配比例,MATCH("部件比例",坦克属性分配比例标头,0),FALSE))*$AY239/VLOOKUP(VLOOKUP($AW239,坦克个性化设定!$B$18:$E$48,4,FALSE)&amp;$AX239,坦克属性分配比例,MATCH("升星次数",坦克属性分配比例标头,0),FALSE),0)</f>
        <v>2563</v>
      </c>
      <c r="BA239" s="654">
        <f ca="1">ROUND(VLOOKUP($AW239&amp;"初始",$O$3:$AA$63,MATCH(BA$3,$O$3:$AA$3,0),FALSE)+(VLOOKUP($AW239&amp;"最终",$O$3:$AA$63,MATCH(BA$3,$O$3:$AA$3,0),FALSE)-VLOOKUP($AW239&amp;"初始",$O$3:$AA$63,MATCH(BA$3,$O$3:$AA$3,0),FALSE))*$AY239/VLOOKUP(VLOOKUP($AW239,坦克个性化设定!$B$18:$E$48,4,FALSE)&amp;$AX239,坦克属性分配比例,MATCH("升星次数",坦克属性分配比例标头,0),FALSE)*VLOOKUP(VLOOKUP($AW239,坦克个性化设定!$B$18:$E$48,4,FALSE)&amp;$AX239,坦克属性分配比例,MATCH("升星比例",坦克属性分配比例标头,0),FALSE),0)</f>
        <v>329</v>
      </c>
      <c r="BB239" s="654">
        <f ca="1">ROUND(VLOOKUP($AW239&amp;"初始",$O$3:$AA$63,MATCH(BB$3,$O$3:$AA$3,0),FALSE)+(VLOOKUP($AW239&amp;"最终",$O$3:$AA$63,MATCH(BB$3,$O$3:$AA$3,0),FALSE)-VLOOKUP($AW239&amp;"初始",$O$3:$AA$63,MATCH(BB$3,$O$3:$AA$3,0),FALSE))*$AY239/VLOOKUP(VLOOKUP($AW239,坦克个性化设定!$B$18:$E$48,4,FALSE)&amp;$AX239,坦克属性分配比例,MATCH("升星次数",坦克属性分配比例标头,0),FALSE)*(VLOOKUP(VLOOKUP($AW239,坦克个性化设定!$B$18:$E$48,4,FALSE)&amp;$AX239,坦克属性分配比例,MATCH("升星比例",坦克属性分配比例标头,0),FALSE)+VLOOKUP(VLOOKUP($AW239,坦克个性化设定!$B$18:$E$48,4,FALSE)&amp;$AX239,坦克属性分配比例,MATCH("部件比例",坦克属性分配比例标头,0),FALSE)*$C$3),0)</f>
        <v>828</v>
      </c>
      <c r="BC239" s="654">
        <f ca="1">ROUND(VLOOKUP($AW239&amp;"初始",$O$3:$AA$63,MATCH(BC$3,$O$3:$AA$3,0),FALSE)+(VLOOKUP($AW239&amp;"最终",$O$3:$AA$63,MATCH(BC$3,$O$3:$AA$3,0),FALSE)-VLOOKUP($AW239&amp;"初始",$O$3:$AA$63,MATCH(BC$3,$O$3:$AA$3,0),FALSE))*$AY239/VLOOKUP(VLOOKUP($AW239,坦克个性化设定!$B$18:$E$48,4,FALSE)&amp;$AX239,坦克属性分配比例,MATCH("升星次数",坦克属性分配比例标头,0),FALSE)*(VLOOKUP(VLOOKUP($AW239,坦克个性化设定!$B$18:$E$48,4,FALSE)&amp;$AX239,坦克属性分配比例,MATCH("升星比例",坦克属性分配比例标头,0),FALSE)+VLOOKUP(VLOOKUP($AW239,坦克个性化设定!$B$18:$E$48,4,FALSE)&amp;$AX239,坦克属性分配比例,MATCH("部件比例",坦克属性分配比例标头,0),FALSE)*$C$3),0)</f>
        <v>621</v>
      </c>
      <c r="BD239" s="654">
        <f ca="1">ROUND(VLOOKUP($AW239&amp;"初始",$O$3:$AA$63,MATCH(BD$3,$O$3:$AA$3,0),FALSE)+(VLOOKUP($AW239&amp;"最终",$O$3:$AA$63,MATCH(BD$3,$O$3:$AA$3,0),FALSE)-VLOOKUP($AW239&amp;"初始",$O$3:$AA$63,MATCH(BD$3,$O$3:$AA$3,0),FALSE))*$AY239/VLOOKUP(VLOOKUP($AW239,坦克个性化设定!$B$18:$E$48,4,FALSE)&amp;$AX239,坦克属性分配比例,MATCH("升星次数",坦克属性分配比例标头,0),FALSE)*VLOOKUP(VLOOKUP($AW239,坦克个性化设定!$B$18:$E$48,4,FALSE)&amp;$AX239,坦克属性分配比例,MATCH("升星比例",坦克属性分配比例标头,0),FALSE),0)</f>
        <v>864</v>
      </c>
      <c r="BE239" s="654">
        <f ca="1">ROUND(VLOOKUP($AW239&amp;"初始",$O$3:$AA$63,MATCH(BE$3,$O$3:$AA$3,0),FALSE)+(VLOOKUP($AW239&amp;"最终",$O$3:$AA$63,MATCH(BE$3,$O$3:$AA$3,0),FALSE)-VLOOKUP($AW239&amp;"初始",$O$3:$AA$63,MATCH(BE$3,$O$3:$AA$3,0),FALSE))*$AY239/VLOOKUP(VLOOKUP($AW239,坦克个性化设定!$B$18:$E$48,4,FALSE)&amp;$AX239,坦克属性分配比例,MATCH("升星次数",坦克属性分配比例标头,0),FALSE),0)</f>
        <v>229</v>
      </c>
      <c r="BF239" s="654">
        <f>ROUND(VLOOKUP($AW239,$AD$3:$AJ$33,MATCH(BF$3,$AD$3:$AJ$3,0),FALSE)+$AY239/VLOOKUP(VLOOKUP($AW239,坦克个性化设定!$B$18:$E$48,4,FALSE)&amp;$AX239,坦克属性分配比例,MATCH("升星次数",坦克属性分配比例标头,0),FALSE)*VLOOKUP($AW239,$AM$3:$AS$33,MATCH(BF$3,$AM$3:$AS$3,0),FALSE),1)</f>
        <v>37.1</v>
      </c>
      <c r="BG239" s="654">
        <f>ROUND(VLOOKUP($AW239,$AD$3:$AJ$33,MATCH(BG$3,$AD$3:$AJ$3,0),FALSE)+$AY239/VLOOKUP(VLOOKUP($AW239,坦克个性化设定!$B$18:$E$48,4,FALSE)&amp;$AX239,坦克属性分配比例,MATCH("升星次数",坦克属性分配比例标头,0),FALSE)*VLOOKUP($AW239,$AM$3:$AS$33,MATCH(BG$3,$AM$3:$AS$3,0),FALSE),1)</f>
        <v>52.1</v>
      </c>
      <c r="BH239" s="654">
        <f>ROUND(VLOOKUP($AW239,$AD$3:$AJ$33,MATCH(BH$3,$AD$3:$AJ$3,0),FALSE)+$AY239/VLOOKUP(VLOOKUP($AW239,坦克个性化设定!$B$18:$E$48,4,FALSE)&amp;$AX239,坦克属性分配比例,MATCH("升星次数",坦克属性分配比例标头,0),FALSE)*VLOOKUP($AW239,$AM$3:$AS$33,MATCH(BH$3,$AM$3:$AS$3,0),FALSE),1)</f>
        <v>11.7</v>
      </c>
      <c r="BI239" s="654">
        <f>IF(VLOOKUP(AW239,坦克个性化设定!$B$18:$BB$48,MATCH("装弹类型",坦克个性化设定!$B$18:$BB$18,0),FALSE)="弹夹换弹",0,ROUND(VLOOKUP($AW239,$AD$3:$AJ$33,MATCH("换弹时间",$AD$3:$AJ$3,0),FALSE)-$AY239/VLOOKUP(VLOOKUP($AW239,坦克个性化设定!$B$18:$E$48,4,FALSE)&amp;$AX239,坦克属性分配比例,MATCH("升星次数",坦克属性分配比例标头,0),FALSE)*VLOOKUP($AW239,$AM$3:$AS$33,MATCH("换弹时间",$AM$3:$AS$3,0),FALSE),2))</f>
        <v>4.32</v>
      </c>
      <c r="BJ239" s="654">
        <f>IF(VLOOKUP(AW239,坦克个性化设定!$B$18:$BB$48,MATCH("装弹类型",坦克个性化设定!$B$18:$BB$18,0),FALSE)="弹夹换弹",ROUND(VLOOKUP($AW239,$AD$3:$AJ$33,MATCH("换弹时间",$AD$3:$AJ$3,0),FALSE)-$AY239/VLOOKUP(VLOOKUP($AW239,坦克个性化设定!$B$18:$E$48,4,FALSE)&amp;$AX239,坦克属性分配比例,MATCH("升星次数",坦克属性分配比例标头,0),FALSE)*VLOOKUP($AW239,$AM$3:$AS$33,MATCH("换弹时间",$AM$3:$AS$3,0),FALSE),1),0)</f>
        <v>0</v>
      </c>
      <c r="BK239" s="654">
        <f>ROUND(VLOOKUP($AW239,$AD$3:$AJ$33,MATCH(BK$3,$AD$3:$AJ$3,0),FALSE)+$AY239/VLOOKUP(VLOOKUP($AW239,坦克个性化设定!$B$18:$E$48,4,FALSE)&amp;$AX239,坦克属性分配比例,MATCH("升星次数",坦克属性分配比例标头,0),FALSE)*VLOOKUP($AW239,$AM$3:$AS$33,MATCH(BK$3,$AM$3:$AS$3,0),FALSE),2)</f>
        <v>0</v>
      </c>
      <c r="BL239" s="654">
        <f>ROUND(VLOOKUP($AW239,$AD$3:$AJ$33,MATCH(BL$3,$AD$3:$AJ$3,0),FALSE)-$AY239/VLOOKUP(VLOOKUP($AW239,坦克个性化设定!$B$18:$E$48,4,FALSE)&amp;$AX239,坦克属性分配比例,MATCH("升星次数",坦克属性分配比例标头,0),FALSE)*VLOOKUP($AW239,$AM$3:$AS$33,MATCH(BL$3,$AM$3:$AS$3,0),FALSE),2)</f>
        <v>2.33</v>
      </c>
    </row>
    <row r="240" spans="47:64" x14ac:dyDescent="0.35">
      <c r="AU240" s="372" t="str">
        <f t="shared" si="27"/>
        <v>挑战者3</v>
      </c>
      <c r="AV240" s="654">
        <f>IF(AY239&gt;=VLOOKUP(VLOOKUP(AW239,坦克个性化设定!$B$18:$E$48,4,FALSE)&amp;AX239,坦克属性分配比例,MATCH("升星次数",坦克属性分配比例标头,0),FALSE),AV239+1,AV239)</f>
        <v>20</v>
      </c>
      <c r="AW240" s="649" t="str">
        <f t="shared" si="28"/>
        <v>挑战者</v>
      </c>
      <c r="AX240" s="650" t="str">
        <f>VLOOKUP(AW240,坦克个性化细分!$I$3:$J$33,2,FALSE)</f>
        <v>低</v>
      </c>
      <c r="AY240" s="654">
        <f t="shared" si="29"/>
        <v>3</v>
      </c>
      <c r="AZ240" s="654">
        <f ca="1">ROUND(VLOOKUP($AW240&amp;"初始",$O$3:$AA$63,MATCH(AZ$3,$O$3:$AA$3,0),FALSE)+((VLOOKUP($AW240&amp;"最终",$O$3:$AA$63,MATCH(AZ$3,$O$3:$AA$3,0),FALSE)*坦克个性化细分!$C$9-VLOOKUP($AW240&amp;"初始",$O$3:$AA$63,MATCH(AZ$3,$O$3:$AA$3,0),FALSE))-(VLOOKUP($AW240&amp;"最终",$O$3:$AA$63,MATCH(AZ$3,$O$3:$AA$3,0),FALSE)-VLOOKUP($AW240&amp;"初始",$O$3:$AA$63,MATCH(AZ$3,$O$3:$AA$3,0),FALSE))*VLOOKUP(VLOOKUP($AW240,坦克个性化设定!$B$18:$E$48,4,FALSE)&amp;$AX240,坦克属性分配比例,MATCH("部件比例",坦克属性分配比例标头,0),FALSE))*$AY240/VLOOKUP(VLOOKUP($AW240,坦克个性化设定!$B$18:$E$48,4,FALSE)&amp;$AX240,坦克属性分配比例,MATCH("升星次数",坦克属性分配比例标头,0),FALSE),0)</f>
        <v>2653</v>
      </c>
      <c r="BA240" s="654">
        <f ca="1">ROUND(VLOOKUP($AW240&amp;"初始",$O$3:$AA$63,MATCH(BA$3,$O$3:$AA$3,0),FALSE)+(VLOOKUP($AW240&amp;"最终",$O$3:$AA$63,MATCH(BA$3,$O$3:$AA$3,0),FALSE)-VLOOKUP($AW240&amp;"初始",$O$3:$AA$63,MATCH(BA$3,$O$3:$AA$3,0),FALSE))*$AY240/VLOOKUP(VLOOKUP($AW240,坦克个性化设定!$B$18:$E$48,4,FALSE)&amp;$AX240,坦克属性分配比例,MATCH("升星次数",坦克属性分配比例标头,0),FALSE)*VLOOKUP(VLOOKUP($AW240,坦克个性化设定!$B$18:$E$48,4,FALSE)&amp;$AX240,坦克属性分配比例,MATCH("升星比例",坦克属性分配比例标头,0),FALSE),0)</f>
        <v>329</v>
      </c>
      <c r="BB240" s="654">
        <f ca="1">ROUND(VLOOKUP($AW240&amp;"初始",$O$3:$AA$63,MATCH(BB$3,$O$3:$AA$3,0),FALSE)+(VLOOKUP($AW240&amp;"最终",$O$3:$AA$63,MATCH(BB$3,$O$3:$AA$3,0),FALSE)-VLOOKUP($AW240&amp;"初始",$O$3:$AA$63,MATCH(BB$3,$O$3:$AA$3,0),FALSE))*$AY240/VLOOKUP(VLOOKUP($AW240,坦克个性化设定!$B$18:$E$48,4,FALSE)&amp;$AX240,坦克属性分配比例,MATCH("升星次数",坦克属性分配比例标头,0),FALSE)*(VLOOKUP(VLOOKUP($AW240,坦克个性化设定!$B$18:$E$48,4,FALSE)&amp;$AX240,坦克属性分配比例,MATCH("升星比例",坦克属性分配比例标头,0),FALSE)+VLOOKUP(VLOOKUP($AW240,坦克个性化设定!$B$18:$E$48,4,FALSE)&amp;$AX240,坦克属性分配比例,MATCH("部件比例",坦克属性分配比例标头,0),FALSE)*$C$3),0)</f>
        <v>848</v>
      </c>
      <c r="BC240" s="654">
        <f ca="1">ROUND(VLOOKUP($AW240&amp;"初始",$O$3:$AA$63,MATCH(BC$3,$O$3:$AA$3,0),FALSE)+(VLOOKUP($AW240&amp;"最终",$O$3:$AA$63,MATCH(BC$3,$O$3:$AA$3,0),FALSE)-VLOOKUP($AW240&amp;"初始",$O$3:$AA$63,MATCH(BC$3,$O$3:$AA$3,0),FALSE))*$AY240/VLOOKUP(VLOOKUP($AW240,坦克个性化设定!$B$18:$E$48,4,FALSE)&amp;$AX240,坦克属性分配比例,MATCH("升星次数",坦克属性分配比例标头,0),FALSE)*(VLOOKUP(VLOOKUP($AW240,坦克个性化设定!$B$18:$E$48,4,FALSE)&amp;$AX240,坦克属性分配比例,MATCH("升星比例",坦克属性分配比例标头,0),FALSE)+VLOOKUP(VLOOKUP($AW240,坦克个性化设定!$B$18:$E$48,4,FALSE)&amp;$AX240,坦克属性分配比例,MATCH("部件比例",坦克属性分配比例标头,0),FALSE)*$C$3),0)</f>
        <v>635</v>
      </c>
      <c r="BD240" s="654">
        <f ca="1">ROUND(VLOOKUP($AW240&amp;"初始",$O$3:$AA$63,MATCH(BD$3,$O$3:$AA$3,0),FALSE)+(VLOOKUP($AW240&amp;"最终",$O$3:$AA$63,MATCH(BD$3,$O$3:$AA$3,0),FALSE)-VLOOKUP($AW240&amp;"初始",$O$3:$AA$63,MATCH(BD$3,$O$3:$AA$3,0),FALSE))*$AY240/VLOOKUP(VLOOKUP($AW240,坦克个性化设定!$B$18:$E$48,4,FALSE)&amp;$AX240,坦克属性分配比例,MATCH("升星次数",坦克属性分配比例标头,0),FALSE)*VLOOKUP(VLOOKUP($AW240,坦克个性化设定!$B$18:$E$48,4,FALSE)&amp;$AX240,坦克属性分配比例,MATCH("升星比例",坦克属性分配比例标头,0),FALSE),0)</f>
        <v>864</v>
      </c>
      <c r="BE240" s="654">
        <f ca="1">ROUND(VLOOKUP($AW240&amp;"初始",$O$3:$AA$63,MATCH(BE$3,$O$3:$AA$3,0),FALSE)+(VLOOKUP($AW240&amp;"最终",$O$3:$AA$63,MATCH(BE$3,$O$3:$AA$3,0),FALSE)-VLOOKUP($AW240&amp;"初始",$O$3:$AA$63,MATCH(BE$3,$O$3:$AA$3,0),FALSE))*$AY240/VLOOKUP(VLOOKUP($AW240,坦克个性化设定!$B$18:$E$48,4,FALSE)&amp;$AX240,坦克属性分配比例,MATCH("升星次数",坦克属性分配比例标头,0),FALSE),0)</f>
        <v>238</v>
      </c>
      <c r="BF240" s="654">
        <f>ROUND(VLOOKUP($AW240,$AD$3:$AJ$33,MATCH(BF$3,$AD$3:$AJ$3,0),FALSE)+$AY240/VLOOKUP(VLOOKUP($AW240,坦克个性化设定!$B$18:$E$48,4,FALSE)&amp;$AX240,坦克属性分配比例,MATCH("升星次数",坦克属性分配比例标头,0),FALSE)*VLOOKUP($AW240,$AM$3:$AS$33,MATCH(BF$3,$AM$3:$AS$3,0),FALSE),1)</f>
        <v>37.799999999999997</v>
      </c>
      <c r="BG240" s="654">
        <f>ROUND(VLOOKUP($AW240,$AD$3:$AJ$33,MATCH(BG$3,$AD$3:$AJ$3,0),FALSE)+$AY240/VLOOKUP(VLOOKUP($AW240,坦克个性化设定!$B$18:$E$48,4,FALSE)&amp;$AX240,坦克属性分配比例,MATCH("升星次数",坦克属性分配比例标头,0),FALSE)*VLOOKUP($AW240,$AM$3:$AS$33,MATCH(BG$3,$AM$3:$AS$3,0),FALSE),1)</f>
        <v>53.1</v>
      </c>
      <c r="BH240" s="654">
        <f>ROUND(VLOOKUP($AW240,$AD$3:$AJ$33,MATCH(BH$3,$AD$3:$AJ$3,0),FALSE)+$AY240/VLOOKUP(VLOOKUP($AW240,坦克个性化设定!$B$18:$E$48,4,FALSE)&amp;$AX240,坦克属性分配比例,MATCH("升星次数",坦克属性分配比例标头,0),FALSE)*VLOOKUP($AW240,$AM$3:$AS$33,MATCH(BH$3,$AM$3:$AS$3,0),FALSE),1)</f>
        <v>12</v>
      </c>
      <c r="BI240" s="654">
        <f>IF(VLOOKUP(AW240,坦克个性化设定!$B$18:$BB$48,MATCH("装弹类型",坦克个性化设定!$B$18:$BB$18,0),FALSE)="弹夹换弹",0,ROUND(VLOOKUP($AW240,$AD$3:$AJ$33,MATCH("换弹时间",$AD$3:$AJ$3,0),FALSE)-$AY240/VLOOKUP(VLOOKUP($AW240,坦克个性化设定!$B$18:$E$48,4,FALSE)&amp;$AX240,坦克属性分配比例,MATCH("升星次数",坦克属性分配比例标头,0),FALSE)*VLOOKUP($AW240,$AM$3:$AS$33,MATCH("换弹时间",$AM$3:$AS$3,0),FALSE),2))</f>
        <v>4.2300000000000004</v>
      </c>
      <c r="BJ240" s="654">
        <f>IF(VLOOKUP(AW240,坦克个性化设定!$B$18:$BB$48,MATCH("装弹类型",坦克个性化设定!$B$18:$BB$18,0),FALSE)="弹夹换弹",ROUND(VLOOKUP($AW240,$AD$3:$AJ$33,MATCH("换弹时间",$AD$3:$AJ$3,0),FALSE)-$AY240/VLOOKUP(VLOOKUP($AW240,坦克个性化设定!$B$18:$E$48,4,FALSE)&amp;$AX240,坦克属性分配比例,MATCH("升星次数",坦克属性分配比例标头,0),FALSE)*VLOOKUP($AW240,$AM$3:$AS$33,MATCH("换弹时间",$AM$3:$AS$3,0),FALSE),1),0)</f>
        <v>0</v>
      </c>
      <c r="BK240" s="654">
        <f>ROUND(VLOOKUP($AW240,$AD$3:$AJ$33,MATCH(BK$3,$AD$3:$AJ$3,0),FALSE)+$AY240/VLOOKUP(VLOOKUP($AW240,坦克个性化设定!$B$18:$E$48,4,FALSE)&amp;$AX240,坦克属性分配比例,MATCH("升星次数",坦克属性分配比例标头,0),FALSE)*VLOOKUP($AW240,$AM$3:$AS$33,MATCH(BK$3,$AM$3:$AS$3,0),FALSE),2)</f>
        <v>0</v>
      </c>
      <c r="BL240" s="654">
        <f>ROUND(VLOOKUP($AW240,$AD$3:$AJ$33,MATCH(BL$3,$AD$3:$AJ$3,0),FALSE)-$AY240/VLOOKUP(VLOOKUP($AW240,坦克个性化设定!$B$18:$E$48,4,FALSE)&amp;$AX240,坦克属性分配比例,MATCH("升星次数",坦克属性分配比例标头,0),FALSE)*VLOOKUP($AW240,$AM$3:$AS$33,MATCH(BL$3,$AM$3:$AS$3,0),FALSE),2)</f>
        <v>2.2999999999999998</v>
      </c>
    </row>
    <row r="241" spans="47:64" x14ac:dyDescent="0.35">
      <c r="AU241" s="372" t="str">
        <f t="shared" si="27"/>
        <v>挑战者4</v>
      </c>
      <c r="AV241" s="654">
        <f>IF(AY240&gt;=VLOOKUP(VLOOKUP(AW240,坦克个性化设定!$B$18:$E$48,4,FALSE)&amp;AX240,坦克属性分配比例,MATCH("升星次数",坦克属性分配比例标头,0),FALSE),AV240+1,AV240)</f>
        <v>20</v>
      </c>
      <c r="AW241" s="649" t="str">
        <f t="shared" si="28"/>
        <v>挑战者</v>
      </c>
      <c r="AX241" s="650" t="str">
        <f>VLOOKUP(AW241,坦克个性化细分!$I$3:$J$33,2,FALSE)</f>
        <v>低</v>
      </c>
      <c r="AY241" s="654">
        <f t="shared" si="29"/>
        <v>4</v>
      </c>
      <c r="AZ241" s="654">
        <f ca="1">ROUND(VLOOKUP($AW241&amp;"初始",$O$3:$AA$63,MATCH(AZ$3,$O$3:$AA$3,0),FALSE)+((VLOOKUP($AW241&amp;"最终",$O$3:$AA$63,MATCH(AZ$3,$O$3:$AA$3,0),FALSE)*坦克个性化细分!$C$9-VLOOKUP($AW241&amp;"初始",$O$3:$AA$63,MATCH(AZ$3,$O$3:$AA$3,0),FALSE))-(VLOOKUP($AW241&amp;"最终",$O$3:$AA$63,MATCH(AZ$3,$O$3:$AA$3,0),FALSE)-VLOOKUP($AW241&amp;"初始",$O$3:$AA$63,MATCH(AZ$3,$O$3:$AA$3,0),FALSE))*VLOOKUP(VLOOKUP($AW241,坦克个性化设定!$B$18:$E$48,4,FALSE)&amp;$AX241,坦克属性分配比例,MATCH("部件比例",坦克属性分配比例标头,0),FALSE))*$AY241/VLOOKUP(VLOOKUP($AW241,坦克个性化设定!$B$18:$E$48,4,FALSE)&amp;$AX241,坦克属性分配比例,MATCH("升星次数",坦克属性分配比例标头,0),FALSE),0)</f>
        <v>2742</v>
      </c>
      <c r="BA241" s="654">
        <f ca="1">ROUND(VLOOKUP($AW241&amp;"初始",$O$3:$AA$63,MATCH(BA$3,$O$3:$AA$3,0),FALSE)+(VLOOKUP($AW241&amp;"最终",$O$3:$AA$63,MATCH(BA$3,$O$3:$AA$3,0),FALSE)-VLOOKUP($AW241&amp;"初始",$O$3:$AA$63,MATCH(BA$3,$O$3:$AA$3,0),FALSE))*$AY241/VLOOKUP(VLOOKUP($AW241,坦克个性化设定!$B$18:$E$48,4,FALSE)&amp;$AX241,坦克属性分配比例,MATCH("升星次数",坦克属性分配比例标头,0),FALSE)*VLOOKUP(VLOOKUP($AW241,坦克个性化设定!$B$18:$E$48,4,FALSE)&amp;$AX241,坦克属性分配比例,MATCH("升星比例",坦克属性分配比例标头,0),FALSE),0)</f>
        <v>329</v>
      </c>
      <c r="BB241" s="654">
        <f ca="1">ROUND(VLOOKUP($AW241&amp;"初始",$O$3:$AA$63,MATCH(BB$3,$O$3:$AA$3,0),FALSE)+(VLOOKUP($AW241&amp;"最终",$O$3:$AA$63,MATCH(BB$3,$O$3:$AA$3,0),FALSE)-VLOOKUP($AW241&amp;"初始",$O$3:$AA$63,MATCH(BB$3,$O$3:$AA$3,0),FALSE))*$AY241/VLOOKUP(VLOOKUP($AW241,坦克个性化设定!$B$18:$E$48,4,FALSE)&amp;$AX241,坦克属性分配比例,MATCH("升星次数",坦克属性分配比例标头,0),FALSE)*(VLOOKUP(VLOOKUP($AW241,坦克个性化设定!$B$18:$E$48,4,FALSE)&amp;$AX241,坦克属性分配比例,MATCH("升星比例",坦克属性分配比例标头,0),FALSE)+VLOOKUP(VLOOKUP($AW241,坦克个性化设定!$B$18:$E$48,4,FALSE)&amp;$AX241,坦克属性分配比例,MATCH("部件比例",坦克属性分配比例标头,0),FALSE)*$C$3),0)</f>
        <v>868</v>
      </c>
      <c r="BC241" s="654">
        <f ca="1">ROUND(VLOOKUP($AW241&amp;"初始",$O$3:$AA$63,MATCH(BC$3,$O$3:$AA$3,0),FALSE)+(VLOOKUP($AW241&amp;"最终",$O$3:$AA$63,MATCH(BC$3,$O$3:$AA$3,0),FALSE)-VLOOKUP($AW241&amp;"初始",$O$3:$AA$63,MATCH(BC$3,$O$3:$AA$3,0),FALSE))*$AY241/VLOOKUP(VLOOKUP($AW241,坦克个性化设定!$B$18:$E$48,4,FALSE)&amp;$AX241,坦克属性分配比例,MATCH("升星次数",坦克属性分配比例标头,0),FALSE)*(VLOOKUP(VLOOKUP($AW241,坦克个性化设定!$B$18:$E$48,4,FALSE)&amp;$AX241,坦克属性分配比例,MATCH("升星比例",坦克属性分配比例标头,0),FALSE)+VLOOKUP(VLOOKUP($AW241,坦克个性化设定!$B$18:$E$48,4,FALSE)&amp;$AX241,坦克属性分配比例,MATCH("部件比例",坦克属性分配比例标头,0),FALSE)*$C$3),0)</f>
        <v>650</v>
      </c>
      <c r="BD241" s="654">
        <f ca="1">ROUND(VLOOKUP($AW241&amp;"初始",$O$3:$AA$63,MATCH(BD$3,$O$3:$AA$3,0),FALSE)+(VLOOKUP($AW241&amp;"最终",$O$3:$AA$63,MATCH(BD$3,$O$3:$AA$3,0),FALSE)-VLOOKUP($AW241&amp;"初始",$O$3:$AA$63,MATCH(BD$3,$O$3:$AA$3,0),FALSE))*$AY241/VLOOKUP(VLOOKUP($AW241,坦克个性化设定!$B$18:$E$48,4,FALSE)&amp;$AX241,坦克属性分配比例,MATCH("升星次数",坦克属性分配比例标头,0),FALSE)*VLOOKUP(VLOOKUP($AW241,坦克个性化设定!$B$18:$E$48,4,FALSE)&amp;$AX241,坦克属性分配比例,MATCH("升星比例",坦克属性分配比例标头,0),FALSE),0)</f>
        <v>864</v>
      </c>
      <c r="BE241" s="654">
        <f ca="1">ROUND(VLOOKUP($AW241&amp;"初始",$O$3:$AA$63,MATCH(BE$3,$O$3:$AA$3,0),FALSE)+(VLOOKUP($AW241&amp;"最终",$O$3:$AA$63,MATCH(BE$3,$O$3:$AA$3,0),FALSE)-VLOOKUP($AW241&amp;"初始",$O$3:$AA$63,MATCH(BE$3,$O$3:$AA$3,0),FALSE))*$AY241/VLOOKUP(VLOOKUP($AW241,坦克个性化设定!$B$18:$E$48,4,FALSE)&amp;$AX241,坦克属性分配比例,MATCH("升星次数",坦克属性分配比例标头,0),FALSE),0)</f>
        <v>246</v>
      </c>
      <c r="BF241" s="654">
        <f>ROUND(VLOOKUP($AW241,$AD$3:$AJ$33,MATCH(BF$3,$AD$3:$AJ$3,0),FALSE)+$AY241/VLOOKUP(VLOOKUP($AW241,坦克个性化设定!$B$18:$E$48,4,FALSE)&amp;$AX241,坦克属性分配比例,MATCH("升星次数",坦克属性分配比例标头,0),FALSE)*VLOOKUP($AW241,$AM$3:$AS$33,MATCH(BF$3,$AM$3:$AS$3,0),FALSE),1)</f>
        <v>38.6</v>
      </c>
      <c r="BG241" s="654">
        <f>ROUND(VLOOKUP($AW241,$AD$3:$AJ$33,MATCH(BG$3,$AD$3:$AJ$3,0),FALSE)+$AY241/VLOOKUP(VLOOKUP($AW241,坦克个性化设定!$B$18:$E$48,4,FALSE)&amp;$AX241,坦克属性分配比例,MATCH("升星次数",坦克属性分配比例标头,0),FALSE)*VLOOKUP($AW241,$AM$3:$AS$33,MATCH(BG$3,$AM$3:$AS$3,0),FALSE),1)</f>
        <v>54.2</v>
      </c>
      <c r="BH241" s="654">
        <f>ROUND(VLOOKUP($AW241,$AD$3:$AJ$33,MATCH(BH$3,$AD$3:$AJ$3,0),FALSE)+$AY241/VLOOKUP(VLOOKUP($AW241,坦克个性化设定!$B$18:$E$48,4,FALSE)&amp;$AX241,坦克属性分配比例,MATCH("升星次数",坦克属性分配比例标头,0),FALSE)*VLOOKUP($AW241,$AM$3:$AS$33,MATCH(BH$3,$AM$3:$AS$3,0),FALSE),1)</f>
        <v>12.3</v>
      </c>
      <c r="BI241" s="654">
        <f>IF(VLOOKUP(AW241,坦克个性化设定!$B$18:$BB$48,MATCH("装弹类型",坦克个性化设定!$B$18:$BB$18,0),FALSE)="弹夹换弹",0,ROUND(VLOOKUP($AW241,$AD$3:$AJ$33,MATCH("换弹时间",$AD$3:$AJ$3,0),FALSE)-$AY241/VLOOKUP(VLOOKUP($AW241,坦克个性化设定!$B$18:$E$48,4,FALSE)&amp;$AX241,坦克属性分配比例,MATCH("升星次数",坦克属性分配比例标头,0),FALSE)*VLOOKUP($AW241,$AM$3:$AS$33,MATCH("换弹时间",$AM$3:$AS$3,0),FALSE),2))</f>
        <v>4.13</v>
      </c>
      <c r="BJ241" s="654">
        <f>IF(VLOOKUP(AW241,坦克个性化设定!$B$18:$BB$48,MATCH("装弹类型",坦克个性化设定!$B$18:$BB$18,0),FALSE)="弹夹换弹",ROUND(VLOOKUP($AW241,$AD$3:$AJ$33,MATCH("换弹时间",$AD$3:$AJ$3,0),FALSE)-$AY241/VLOOKUP(VLOOKUP($AW241,坦克个性化设定!$B$18:$E$48,4,FALSE)&amp;$AX241,坦克属性分配比例,MATCH("升星次数",坦克属性分配比例标头,0),FALSE)*VLOOKUP($AW241,$AM$3:$AS$33,MATCH("换弹时间",$AM$3:$AS$3,0),FALSE),1),0)</f>
        <v>0</v>
      </c>
      <c r="BK241" s="654">
        <f>ROUND(VLOOKUP($AW241,$AD$3:$AJ$33,MATCH(BK$3,$AD$3:$AJ$3,0),FALSE)+$AY241/VLOOKUP(VLOOKUP($AW241,坦克个性化设定!$B$18:$E$48,4,FALSE)&amp;$AX241,坦克属性分配比例,MATCH("升星次数",坦克属性分配比例标头,0),FALSE)*VLOOKUP($AW241,$AM$3:$AS$33,MATCH(BK$3,$AM$3:$AS$3,0),FALSE),2)</f>
        <v>0</v>
      </c>
      <c r="BL241" s="654">
        <f>ROUND(VLOOKUP($AW241,$AD$3:$AJ$33,MATCH(BL$3,$AD$3:$AJ$3,0),FALSE)-$AY241/VLOOKUP(VLOOKUP($AW241,坦克个性化设定!$B$18:$E$48,4,FALSE)&amp;$AX241,坦克属性分配比例,MATCH("升星次数",坦克属性分配比例标头,0),FALSE)*VLOOKUP($AW241,$AM$3:$AS$33,MATCH(BL$3,$AM$3:$AS$3,0),FALSE),2)</f>
        <v>2.27</v>
      </c>
    </row>
    <row r="242" spans="47:64" x14ac:dyDescent="0.35">
      <c r="AU242" s="372" t="str">
        <f t="shared" si="27"/>
        <v>挑战者5</v>
      </c>
      <c r="AV242" s="654">
        <f>IF(AY241&gt;=VLOOKUP(VLOOKUP(AW241,坦克个性化设定!$B$18:$E$48,4,FALSE)&amp;AX241,坦克属性分配比例,MATCH("升星次数",坦克属性分配比例标头,0),FALSE),AV241+1,AV241)</f>
        <v>20</v>
      </c>
      <c r="AW242" s="649" t="str">
        <f t="shared" si="28"/>
        <v>挑战者</v>
      </c>
      <c r="AX242" s="650" t="str">
        <f>VLOOKUP(AW242,坦克个性化细分!$I$3:$J$33,2,FALSE)</f>
        <v>低</v>
      </c>
      <c r="AY242" s="654">
        <f t="shared" si="29"/>
        <v>5</v>
      </c>
      <c r="AZ242" s="654">
        <f ca="1">ROUND(VLOOKUP($AW242&amp;"初始",$O$3:$AA$63,MATCH(AZ$3,$O$3:$AA$3,0),FALSE)+((VLOOKUP($AW242&amp;"最终",$O$3:$AA$63,MATCH(AZ$3,$O$3:$AA$3,0),FALSE)*坦克个性化细分!$C$9-VLOOKUP($AW242&amp;"初始",$O$3:$AA$63,MATCH(AZ$3,$O$3:$AA$3,0),FALSE))-(VLOOKUP($AW242&amp;"最终",$O$3:$AA$63,MATCH(AZ$3,$O$3:$AA$3,0),FALSE)-VLOOKUP($AW242&amp;"初始",$O$3:$AA$63,MATCH(AZ$3,$O$3:$AA$3,0),FALSE))*VLOOKUP(VLOOKUP($AW242,坦克个性化设定!$B$18:$E$48,4,FALSE)&amp;$AX242,坦克属性分配比例,MATCH("部件比例",坦克属性分配比例标头,0),FALSE))*$AY242/VLOOKUP(VLOOKUP($AW242,坦克个性化设定!$B$18:$E$48,4,FALSE)&amp;$AX242,坦克属性分配比例,MATCH("升星次数",坦克属性分配比例标头,0),FALSE),0)</f>
        <v>2831</v>
      </c>
      <c r="BA242" s="654">
        <f ca="1">ROUND(VLOOKUP($AW242&amp;"初始",$O$3:$AA$63,MATCH(BA$3,$O$3:$AA$3,0),FALSE)+(VLOOKUP($AW242&amp;"最终",$O$3:$AA$63,MATCH(BA$3,$O$3:$AA$3,0),FALSE)-VLOOKUP($AW242&amp;"初始",$O$3:$AA$63,MATCH(BA$3,$O$3:$AA$3,0),FALSE))*$AY242/VLOOKUP(VLOOKUP($AW242,坦克个性化设定!$B$18:$E$48,4,FALSE)&amp;$AX242,坦克属性分配比例,MATCH("升星次数",坦克属性分配比例标头,0),FALSE)*VLOOKUP(VLOOKUP($AW242,坦克个性化设定!$B$18:$E$48,4,FALSE)&amp;$AX242,坦克属性分配比例,MATCH("升星比例",坦克属性分配比例标头,0),FALSE),0)</f>
        <v>329</v>
      </c>
      <c r="BB242" s="654">
        <f ca="1">ROUND(VLOOKUP($AW242&amp;"初始",$O$3:$AA$63,MATCH(BB$3,$O$3:$AA$3,0),FALSE)+(VLOOKUP($AW242&amp;"最终",$O$3:$AA$63,MATCH(BB$3,$O$3:$AA$3,0),FALSE)-VLOOKUP($AW242&amp;"初始",$O$3:$AA$63,MATCH(BB$3,$O$3:$AA$3,0),FALSE))*$AY242/VLOOKUP(VLOOKUP($AW242,坦克个性化设定!$B$18:$E$48,4,FALSE)&amp;$AX242,坦克属性分配比例,MATCH("升星次数",坦克属性分配比例标头,0),FALSE)*(VLOOKUP(VLOOKUP($AW242,坦克个性化设定!$B$18:$E$48,4,FALSE)&amp;$AX242,坦克属性分配比例,MATCH("升星比例",坦克属性分配比例标头,0),FALSE)+VLOOKUP(VLOOKUP($AW242,坦克个性化设定!$B$18:$E$48,4,FALSE)&amp;$AX242,坦克属性分配比例,MATCH("部件比例",坦克属性分配比例标头,0),FALSE)*$C$3),0)</f>
        <v>888</v>
      </c>
      <c r="BC242" s="654">
        <f ca="1">ROUND(VLOOKUP($AW242&amp;"初始",$O$3:$AA$63,MATCH(BC$3,$O$3:$AA$3,0),FALSE)+(VLOOKUP($AW242&amp;"最终",$O$3:$AA$63,MATCH(BC$3,$O$3:$AA$3,0),FALSE)-VLOOKUP($AW242&amp;"初始",$O$3:$AA$63,MATCH(BC$3,$O$3:$AA$3,0),FALSE))*$AY242/VLOOKUP(VLOOKUP($AW242,坦克个性化设定!$B$18:$E$48,4,FALSE)&amp;$AX242,坦克属性分配比例,MATCH("升星次数",坦克属性分配比例标头,0),FALSE)*(VLOOKUP(VLOOKUP($AW242,坦克个性化设定!$B$18:$E$48,4,FALSE)&amp;$AX242,坦克属性分配比例,MATCH("升星比例",坦克属性分配比例标头,0),FALSE)+VLOOKUP(VLOOKUP($AW242,坦克个性化设定!$B$18:$E$48,4,FALSE)&amp;$AX242,坦克属性分配比例,MATCH("部件比例",坦克属性分配比例标头,0),FALSE)*$C$3),0)</f>
        <v>665</v>
      </c>
      <c r="BD242" s="654">
        <f ca="1">ROUND(VLOOKUP($AW242&amp;"初始",$O$3:$AA$63,MATCH(BD$3,$O$3:$AA$3,0),FALSE)+(VLOOKUP($AW242&amp;"最终",$O$3:$AA$63,MATCH(BD$3,$O$3:$AA$3,0),FALSE)-VLOOKUP($AW242&amp;"初始",$O$3:$AA$63,MATCH(BD$3,$O$3:$AA$3,0),FALSE))*$AY242/VLOOKUP(VLOOKUP($AW242,坦克个性化设定!$B$18:$E$48,4,FALSE)&amp;$AX242,坦克属性分配比例,MATCH("升星次数",坦克属性分配比例标头,0),FALSE)*VLOOKUP(VLOOKUP($AW242,坦克个性化设定!$B$18:$E$48,4,FALSE)&amp;$AX242,坦克属性分配比例,MATCH("升星比例",坦克属性分配比例标头,0),FALSE),0)</f>
        <v>864</v>
      </c>
      <c r="BE242" s="654">
        <f ca="1">ROUND(VLOOKUP($AW242&amp;"初始",$O$3:$AA$63,MATCH(BE$3,$O$3:$AA$3,0),FALSE)+(VLOOKUP($AW242&amp;"最终",$O$3:$AA$63,MATCH(BE$3,$O$3:$AA$3,0),FALSE)-VLOOKUP($AW242&amp;"初始",$O$3:$AA$63,MATCH(BE$3,$O$3:$AA$3,0),FALSE))*$AY242/VLOOKUP(VLOOKUP($AW242,坦克个性化设定!$B$18:$E$48,4,FALSE)&amp;$AX242,坦克属性分配比例,MATCH("升星次数",坦克属性分配比例标头,0),FALSE),0)</f>
        <v>255</v>
      </c>
      <c r="BF242" s="654">
        <f>ROUND(VLOOKUP($AW242,$AD$3:$AJ$33,MATCH(BF$3,$AD$3:$AJ$3,0),FALSE)+$AY242/VLOOKUP(VLOOKUP($AW242,坦克个性化设定!$B$18:$E$48,4,FALSE)&amp;$AX242,坦克属性分配比例,MATCH("升星次数",坦克属性分配比例标头,0),FALSE)*VLOOKUP($AW242,$AM$3:$AS$33,MATCH(BF$3,$AM$3:$AS$3,0),FALSE),1)</f>
        <v>39.299999999999997</v>
      </c>
      <c r="BG242" s="654">
        <f>ROUND(VLOOKUP($AW242,$AD$3:$AJ$33,MATCH(BG$3,$AD$3:$AJ$3,0),FALSE)+$AY242/VLOOKUP(VLOOKUP($AW242,坦克个性化设定!$B$18:$E$48,4,FALSE)&amp;$AX242,坦克属性分配比例,MATCH("升星次数",坦克属性分配比例标头,0),FALSE)*VLOOKUP($AW242,$AM$3:$AS$33,MATCH(BG$3,$AM$3:$AS$3,0),FALSE),1)</f>
        <v>55.2</v>
      </c>
      <c r="BH242" s="654">
        <f>ROUND(VLOOKUP($AW242,$AD$3:$AJ$33,MATCH(BH$3,$AD$3:$AJ$3,0),FALSE)+$AY242/VLOOKUP(VLOOKUP($AW242,坦克个性化设定!$B$18:$E$48,4,FALSE)&amp;$AX242,坦克属性分配比例,MATCH("升星次数",坦克属性分配比例标头,0),FALSE)*VLOOKUP($AW242,$AM$3:$AS$33,MATCH(BH$3,$AM$3:$AS$3,0),FALSE),1)</f>
        <v>12.6</v>
      </c>
      <c r="BI242" s="654">
        <f>IF(VLOOKUP(AW242,坦克个性化设定!$B$18:$BB$48,MATCH("装弹类型",坦克个性化设定!$B$18:$BB$18,0),FALSE)="弹夹换弹",0,ROUND(VLOOKUP($AW242,$AD$3:$AJ$33,MATCH("换弹时间",$AD$3:$AJ$3,0),FALSE)-$AY242/VLOOKUP(VLOOKUP($AW242,坦克个性化设定!$B$18:$E$48,4,FALSE)&amp;$AX242,坦克属性分配比例,MATCH("升星次数",坦克属性分配比例标头,0),FALSE)*VLOOKUP($AW242,$AM$3:$AS$33,MATCH("换弹时间",$AM$3:$AS$3,0),FALSE),2))</f>
        <v>4.04</v>
      </c>
      <c r="BJ242" s="654">
        <f>IF(VLOOKUP(AW242,坦克个性化设定!$B$18:$BB$48,MATCH("装弹类型",坦克个性化设定!$B$18:$BB$18,0),FALSE)="弹夹换弹",ROUND(VLOOKUP($AW242,$AD$3:$AJ$33,MATCH("换弹时间",$AD$3:$AJ$3,0),FALSE)-$AY242/VLOOKUP(VLOOKUP($AW242,坦克个性化设定!$B$18:$E$48,4,FALSE)&amp;$AX242,坦克属性分配比例,MATCH("升星次数",坦克属性分配比例标头,0),FALSE)*VLOOKUP($AW242,$AM$3:$AS$33,MATCH("换弹时间",$AM$3:$AS$3,0),FALSE),1),0)</f>
        <v>0</v>
      </c>
      <c r="BK242" s="654">
        <f>ROUND(VLOOKUP($AW242,$AD$3:$AJ$33,MATCH(BK$3,$AD$3:$AJ$3,0),FALSE)+$AY242/VLOOKUP(VLOOKUP($AW242,坦克个性化设定!$B$18:$E$48,4,FALSE)&amp;$AX242,坦克属性分配比例,MATCH("升星次数",坦克属性分配比例标头,0),FALSE)*VLOOKUP($AW242,$AM$3:$AS$33,MATCH(BK$3,$AM$3:$AS$3,0),FALSE),2)</f>
        <v>0</v>
      </c>
      <c r="BL242" s="654">
        <f>ROUND(VLOOKUP($AW242,$AD$3:$AJ$33,MATCH(BL$3,$AD$3:$AJ$3,0),FALSE)-$AY242/VLOOKUP(VLOOKUP($AW242,坦克个性化设定!$B$18:$E$48,4,FALSE)&amp;$AX242,坦克属性分配比例,MATCH("升星次数",坦克属性分配比例标头,0),FALSE)*VLOOKUP($AW242,$AM$3:$AS$33,MATCH(BL$3,$AM$3:$AS$3,0),FALSE),2)</f>
        <v>2.23</v>
      </c>
    </row>
    <row r="243" spans="47:64" x14ac:dyDescent="0.35">
      <c r="AU243" s="372" t="str">
        <f t="shared" si="27"/>
        <v>挑战者6</v>
      </c>
      <c r="AV243" s="654">
        <f>IF(AY242&gt;=VLOOKUP(VLOOKUP(AW242,坦克个性化设定!$B$18:$E$48,4,FALSE)&amp;AX242,坦克属性分配比例,MATCH("升星次数",坦克属性分配比例标头,0),FALSE),AV242+1,AV242)</f>
        <v>20</v>
      </c>
      <c r="AW243" s="649" t="str">
        <f t="shared" si="28"/>
        <v>挑战者</v>
      </c>
      <c r="AX243" s="650" t="str">
        <f>VLOOKUP(AW243,坦克个性化细分!$I$3:$J$33,2,FALSE)</f>
        <v>低</v>
      </c>
      <c r="AY243" s="654">
        <f t="shared" si="29"/>
        <v>6</v>
      </c>
      <c r="AZ243" s="654">
        <f ca="1">ROUND(VLOOKUP($AW243&amp;"初始",$O$3:$AA$63,MATCH(AZ$3,$O$3:$AA$3,0),FALSE)+((VLOOKUP($AW243&amp;"最终",$O$3:$AA$63,MATCH(AZ$3,$O$3:$AA$3,0),FALSE)*坦克个性化细分!$C$9-VLOOKUP($AW243&amp;"初始",$O$3:$AA$63,MATCH(AZ$3,$O$3:$AA$3,0),FALSE))-(VLOOKUP($AW243&amp;"最终",$O$3:$AA$63,MATCH(AZ$3,$O$3:$AA$3,0),FALSE)-VLOOKUP($AW243&amp;"初始",$O$3:$AA$63,MATCH(AZ$3,$O$3:$AA$3,0),FALSE))*VLOOKUP(VLOOKUP($AW243,坦克个性化设定!$B$18:$E$48,4,FALSE)&amp;$AX243,坦克属性分配比例,MATCH("部件比例",坦克属性分配比例标头,0),FALSE))*$AY243/VLOOKUP(VLOOKUP($AW243,坦克个性化设定!$B$18:$E$48,4,FALSE)&amp;$AX243,坦克属性分配比例,MATCH("升星次数",坦克属性分配比例标头,0),FALSE),0)</f>
        <v>2921</v>
      </c>
      <c r="BA243" s="654">
        <f ca="1">ROUND(VLOOKUP($AW243&amp;"初始",$O$3:$AA$63,MATCH(BA$3,$O$3:$AA$3,0),FALSE)+(VLOOKUP($AW243&amp;"最终",$O$3:$AA$63,MATCH(BA$3,$O$3:$AA$3,0),FALSE)-VLOOKUP($AW243&amp;"初始",$O$3:$AA$63,MATCH(BA$3,$O$3:$AA$3,0),FALSE))*$AY243/VLOOKUP(VLOOKUP($AW243,坦克个性化设定!$B$18:$E$48,4,FALSE)&amp;$AX243,坦克属性分配比例,MATCH("升星次数",坦克属性分配比例标头,0),FALSE)*VLOOKUP(VLOOKUP($AW243,坦克个性化设定!$B$18:$E$48,4,FALSE)&amp;$AX243,坦克属性分配比例,MATCH("升星比例",坦克属性分配比例标头,0),FALSE),0)</f>
        <v>329</v>
      </c>
      <c r="BB243" s="654">
        <f ca="1">ROUND(VLOOKUP($AW243&amp;"初始",$O$3:$AA$63,MATCH(BB$3,$O$3:$AA$3,0),FALSE)+(VLOOKUP($AW243&amp;"最终",$O$3:$AA$63,MATCH(BB$3,$O$3:$AA$3,0),FALSE)-VLOOKUP($AW243&amp;"初始",$O$3:$AA$63,MATCH(BB$3,$O$3:$AA$3,0),FALSE))*$AY243/VLOOKUP(VLOOKUP($AW243,坦克个性化设定!$B$18:$E$48,4,FALSE)&amp;$AX243,坦克属性分配比例,MATCH("升星次数",坦克属性分配比例标头,0),FALSE)*(VLOOKUP(VLOOKUP($AW243,坦克个性化设定!$B$18:$E$48,4,FALSE)&amp;$AX243,坦克属性分配比例,MATCH("升星比例",坦克属性分配比例标头,0),FALSE)+VLOOKUP(VLOOKUP($AW243,坦克个性化设定!$B$18:$E$48,4,FALSE)&amp;$AX243,坦克属性分配比例,MATCH("部件比例",坦克属性分配比例标头,0),FALSE)*$C$3),0)</f>
        <v>907</v>
      </c>
      <c r="BC243" s="654">
        <f ca="1">ROUND(VLOOKUP($AW243&amp;"初始",$O$3:$AA$63,MATCH(BC$3,$O$3:$AA$3,0),FALSE)+(VLOOKUP($AW243&amp;"最终",$O$3:$AA$63,MATCH(BC$3,$O$3:$AA$3,0),FALSE)-VLOOKUP($AW243&amp;"初始",$O$3:$AA$63,MATCH(BC$3,$O$3:$AA$3,0),FALSE))*$AY243/VLOOKUP(VLOOKUP($AW243,坦克个性化设定!$B$18:$E$48,4,FALSE)&amp;$AX243,坦克属性分配比例,MATCH("升星次数",坦克属性分配比例标头,0),FALSE)*(VLOOKUP(VLOOKUP($AW243,坦克个性化设定!$B$18:$E$48,4,FALSE)&amp;$AX243,坦克属性分配比例,MATCH("升星比例",坦克属性分配比例标头,0),FALSE)+VLOOKUP(VLOOKUP($AW243,坦克个性化设定!$B$18:$E$48,4,FALSE)&amp;$AX243,坦克属性分配比例,MATCH("部件比例",坦克属性分配比例标头,0),FALSE)*$C$3),0)</f>
        <v>680</v>
      </c>
      <c r="BD243" s="654">
        <f ca="1">ROUND(VLOOKUP($AW243&amp;"初始",$O$3:$AA$63,MATCH(BD$3,$O$3:$AA$3,0),FALSE)+(VLOOKUP($AW243&amp;"最终",$O$3:$AA$63,MATCH(BD$3,$O$3:$AA$3,0),FALSE)-VLOOKUP($AW243&amp;"初始",$O$3:$AA$63,MATCH(BD$3,$O$3:$AA$3,0),FALSE))*$AY243/VLOOKUP(VLOOKUP($AW243,坦克个性化设定!$B$18:$E$48,4,FALSE)&amp;$AX243,坦克属性分配比例,MATCH("升星次数",坦克属性分配比例标头,0),FALSE)*VLOOKUP(VLOOKUP($AW243,坦克个性化设定!$B$18:$E$48,4,FALSE)&amp;$AX243,坦克属性分配比例,MATCH("升星比例",坦克属性分配比例标头,0),FALSE),0)</f>
        <v>864</v>
      </c>
      <c r="BE243" s="654">
        <f ca="1">ROUND(VLOOKUP($AW243&amp;"初始",$O$3:$AA$63,MATCH(BE$3,$O$3:$AA$3,0),FALSE)+(VLOOKUP($AW243&amp;"最终",$O$3:$AA$63,MATCH(BE$3,$O$3:$AA$3,0),FALSE)-VLOOKUP($AW243&amp;"初始",$O$3:$AA$63,MATCH(BE$3,$O$3:$AA$3,0),FALSE))*$AY243/VLOOKUP(VLOOKUP($AW243,坦克个性化设定!$B$18:$E$48,4,FALSE)&amp;$AX243,坦克属性分配比例,MATCH("升星次数",坦克属性分配比例标头,0),FALSE),0)</f>
        <v>264</v>
      </c>
      <c r="BF243" s="654">
        <f>ROUND(VLOOKUP($AW243,$AD$3:$AJ$33,MATCH(BF$3,$AD$3:$AJ$3,0),FALSE)+$AY243/VLOOKUP(VLOOKUP($AW243,坦克个性化设定!$B$18:$E$48,4,FALSE)&amp;$AX243,坦克属性分配比例,MATCH("升星次数",坦克属性分配比例标头,0),FALSE)*VLOOKUP($AW243,$AM$3:$AS$33,MATCH(BF$3,$AM$3:$AS$3,0),FALSE),1)</f>
        <v>40.1</v>
      </c>
      <c r="BG243" s="654">
        <f>ROUND(VLOOKUP($AW243,$AD$3:$AJ$33,MATCH(BG$3,$AD$3:$AJ$3,0),FALSE)+$AY243/VLOOKUP(VLOOKUP($AW243,坦克个性化设定!$B$18:$E$48,4,FALSE)&amp;$AX243,坦克属性分配比例,MATCH("升星次数",坦克属性分配比例标头,0),FALSE)*VLOOKUP($AW243,$AM$3:$AS$33,MATCH(BG$3,$AM$3:$AS$3,0),FALSE),1)</f>
        <v>56.3</v>
      </c>
      <c r="BH243" s="654">
        <f>ROUND(VLOOKUP($AW243,$AD$3:$AJ$33,MATCH(BH$3,$AD$3:$AJ$3,0),FALSE)+$AY243/VLOOKUP(VLOOKUP($AW243,坦克个性化设定!$B$18:$E$48,4,FALSE)&amp;$AX243,坦克属性分配比例,MATCH("升星次数",坦克属性分配比例标头,0),FALSE)*VLOOKUP($AW243,$AM$3:$AS$33,MATCH(BH$3,$AM$3:$AS$3,0),FALSE),1)</f>
        <v>12.9</v>
      </c>
      <c r="BI243" s="654">
        <f>IF(VLOOKUP(AW243,坦克个性化设定!$B$18:$BB$48,MATCH("装弹类型",坦克个性化设定!$B$18:$BB$18,0),FALSE)="弹夹换弹",0,ROUND(VLOOKUP($AW243,$AD$3:$AJ$33,MATCH("换弹时间",$AD$3:$AJ$3,0),FALSE)-$AY243/VLOOKUP(VLOOKUP($AW243,坦克个性化设定!$B$18:$E$48,4,FALSE)&amp;$AX243,坦克属性分配比例,MATCH("升星次数",坦克属性分配比例标头,0),FALSE)*VLOOKUP($AW243,$AM$3:$AS$33,MATCH("换弹时间",$AM$3:$AS$3,0),FALSE),2))</f>
        <v>3.95</v>
      </c>
      <c r="BJ243" s="654">
        <f>IF(VLOOKUP(AW243,坦克个性化设定!$B$18:$BB$48,MATCH("装弹类型",坦克个性化设定!$B$18:$BB$18,0),FALSE)="弹夹换弹",ROUND(VLOOKUP($AW243,$AD$3:$AJ$33,MATCH("换弹时间",$AD$3:$AJ$3,0),FALSE)-$AY243/VLOOKUP(VLOOKUP($AW243,坦克个性化设定!$B$18:$E$48,4,FALSE)&amp;$AX243,坦克属性分配比例,MATCH("升星次数",坦克属性分配比例标头,0),FALSE)*VLOOKUP($AW243,$AM$3:$AS$33,MATCH("换弹时间",$AM$3:$AS$3,0),FALSE),1),0)</f>
        <v>0</v>
      </c>
      <c r="BK243" s="654">
        <f>ROUND(VLOOKUP($AW243,$AD$3:$AJ$33,MATCH(BK$3,$AD$3:$AJ$3,0),FALSE)+$AY243/VLOOKUP(VLOOKUP($AW243,坦克个性化设定!$B$18:$E$48,4,FALSE)&amp;$AX243,坦克属性分配比例,MATCH("升星次数",坦克属性分配比例标头,0),FALSE)*VLOOKUP($AW243,$AM$3:$AS$33,MATCH(BK$3,$AM$3:$AS$3,0),FALSE),2)</f>
        <v>0</v>
      </c>
      <c r="BL243" s="654">
        <f>ROUND(VLOOKUP($AW243,$AD$3:$AJ$33,MATCH(BL$3,$AD$3:$AJ$3,0),FALSE)-$AY243/VLOOKUP(VLOOKUP($AW243,坦克个性化设定!$B$18:$E$48,4,FALSE)&amp;$AX243,坦克属性分配比例,MATCH("升星次数",坦克属性分配比例标头,0),FALSE)*VLOOKUP($AW243,$AM$3:$AS$33,MATCH(BL$3,$AM$3:$AS$3,0),FALSE),2)</f>
        <v>2.2000000000000002</v>
      </c>
    </row>
    <row r="244" spans="47:64" x14ac:dyDescent="0.35">
      <c r="AU244" s="372" t="str">
        <f t="shared" si="27"/>
        <v>挑战者7</v>
      </c>
      <c r="AV244" s="654">
        <f>IF(AY243&gt;=VLOOKUP(VLOOKUP(AW243,坦克个性化设定!$B$18:$E$48,4,FALSE)&amp;AX243,坦克属性分配比例,MATCH("升星次数",坦克属性分配比例标头,0),FALSE),AV243+1,AV243)</f>
        <v>20</v>
      </c>
      <c r="AW244" s="649" t="str">
        <f t="shared" si="28"/>
        <v>挑战者</v>
      </c>
      <c r="AX244" s="650" t="str">
        <f>VLOOKUP(AW244,坦克个性化细分!$I$3:$J$33,2,FALSE)</f>
        <v>低</v>
      </c>
      <c r="AY244" s="654">
        <f t="shared" si="29"/>
        <v>7</v>
      </c>
      <c r="AZ244" s="654">
        <f ca="1">ROUND(VLOOKUP($AW244&amp;"初始",$O$3:$AA$63,MATCH(AZ$3,$O$3:$AA$3,0),FALSE)+((VLOOKUP($AW244&amp;"最终",$O$3:$AA$63,MATCH(AZ$3,$O$3:$AA$3,0),FALSE)*坦克个性化细分!$C$9-VLOOKUP($AW244&amp;"初始",$O$3:$AA$63,MATCH(AZ$3,$O$3:$AA$3,0),FALSE))-(VLOOKUP($AW244&amp;"最终",$O$3:$AA$63,MATCH(AZ$3,$O$3:$AA$3,0),FALSE)-VLOOKUP($AW244&amp;"初始",$O$3:$AA$63,MATCH(AZ$3,$O$3:$AA$3,0),FALSE))*VLOOKUP(VLOOKUP($AW244,坦克个性化设定!$B$18:$E$48,4,FALSE)&amp;$AX244,坦克属性分配比例,MATCH("部件比例",坦克属性分配比例标头,0),FALSE))*$AY244/VLOOKUP(VLOOKUP($AW244,坦克个性化设定!$B$18:$E$48,4,FALSE)&amp;$AX244,坦克属性分配比例,MATCH("升星次数",坦克属性分配比例标头,0),FALSE),0)</f>
        <v>3010</v>
      </c>
      <c r="BA244" s="654">
        <f ca="1">ROUND(VLOOKUP($AW244&amp;"初始",$O$3:$AA$63,MATCH(BA$3,$O$3:$AA$3,0),FALSE)+(VLOOKUP($AW244&amp;"最终",$O$3:$AA$63,MATCH(BA$3,$O$3:$AA$3,0),FALSE)-VLOOKUP($AW244&amp;"初始",$O$3:$AA$63,MATCH(BA$3,$O$3:$AA$3,0),FALSE))*$AY244/VLOOKUP(VLOOKUP($AW244,坦克个性化设定!$B$18:$E$48,4,FALSE)&amp;$AX244,坦克属性分配比例,MATCH("升星次数",坦克属性分配比例标头,0),FALSE)*VLOOKUP(VLOOKUP($AW244,坦克个性化设定!$B$18:$E$48,4,FALSE)&amp;$AX244,坦克属性分配比例,MATCH("升星比例",坦克属性分配比例标头,0),FALSE),0)</f>
        <v>329</v>
      </c>
      <c r="BB244" s="654">
        <f ca="1">ROUND(VLOOKUP($AW244&amp;"初始",$O$3:$AA$63,MATCH(BB$3,$O$3:$AA$3,0),FALSE)+(VLOOKUP($AW244&amp;"最终",$O$3:$AA$63,MATCH(BB$3,$O$3:$AA$3,0),FALSE)-VLOOKUP($AW244&amp;"初始",$O$3:$AA$63,MATCH(BB$3,$O$3:$AA$3,0),FALSE))*$AY244/VLOOKUP(VLOOKUP($AW244,坦克个性化设定!$B$18:$E$48,4,FALSE)&amp;$AX244,坦克属性分配比例,MATCH("升星次数",坦克属性分配比例标头,0),FALSE)*(VLOOKUP(VLOOKUP($AW244,坦克个性化设定!$B$18:$E$48,4,FALSE)&amp;$AX244,坦克属性分配比例,MATCH("升星比例",坦克属性分配比例标头,0),FALSE)+VLOOKUP(VLOOKUP($AW244,坦克个性化设定!$B$18:$E$48,4,FALSE)&amp;$AX244,坦克属性分配比例,MATCH("部件比例",坦克属性分配比例标头,0),FALSE)*$C$3),0)</f>
        <v>927</v>
      </c>
      <c r="BC244" s="654">
        <f ca="1">ROUND(VLOOKUP($AW244&amp;"初始",$O$3:$AA$63,MATCH(BC$3,$O$3:$AA$3,0),FALSE)+(VLOOKUP($AW244&amp;"最终",$O$3:$AA$63,MATCH(BC$3,$O$3:$AA$3,0),FALSE)-VLOOKUP($AW244&amp;"初始",$O$3:$AA$63,MATCH(BC$3,$O$3:$AA$3,0),FALSE))*$AY244/VLOOKUP(VLOOKUP($AW244,坦克个性化设定!$B$18:$E$48,4,FALSE)&amp;$AX244,坦克属性分配比例,MATCH("升星次数",坦克属性分配比例标头,0),FALSE)*(VLOOKUP(VLOOKUP($AW244,坦克个性化设定!$B$18:$E$48,4,FALSE)&amp;$AX244,坦克属性分配比例,MATCH("升星比例",坦克属性分配比例标头,0),FALSE)+VLOOKUP(VLOOKUP($AW244,坦克个性化设定!$B$18:$E$48,4,FALSE)&amp;$AX244,坦克属性分配比例,MATCH("部件比例",坦克属性分配比例标头,0),FALSE)*$C$3),0)</f>
        <v>695</v>
      </c>
      <c r="BD244" s="654">
        <f ca="1">ROUND(VLOOKUP($AW244&amp;"初始",$O$3:$AA$63,MATCH(BD$3,$O$3:$AA$3,0),FALSE)+(VLOOKUP($AW244&amp;"最终",$O$3:$AA$63,MATCH(BD$3,$O$3:$AA$3,0),FALSE)-VLOOKUP($AW244&amp;"初始",$O$3:$AA$63,MATCH(BD$3,$O$3:$AA$3,0),FALSE))*$AY244/VLOOKUP(VLOOKUP($AW244,坦克个性化设定!$B$18:$E$48,4,FALSE)&amp;$AX244,坦克属性分配比例,MATCH("升星次数",坦克属性分配比例标头,0),FALSE)*VLOOKUP(VLOOKUP($AW244,坦克个性化设定!$B$18:$E$48,4,FALSE)&amp;$AX244,坦克属性分配比例,MATCH("升星比例",坦克属性分配比例标头,0),FALSE),0)</f>
        <v>864</v>
      </c>
      <c r="BE244" s="654">
        <f ca="1">ROUND(VLOOKUP($AW244&amp;"初始",$O$3:$AA$63,MATCH(BE$3,$O$3:$AA$3,0),FALSE)+(VLOOKUP($AW244&amp;"最终",$O$3:$AA$63,MATCH(BE$3,$O$3:$AA$3,0),FALSE)-VLOOKUP($AW244&amp;"初始",$O$3:$AA$63,MATCH(BE$3,$O$3:$AA$3,0),FALSE))*$AY244/VLOOKUP(VLOOKUP($AW244,坦克个性化设定!$B$18:$E$48,4,FALSE)&amp;$AX244,坦克属性分配比例,MATCH("升星次数",坦克属性分配比例标头,0),FALSE),0)</f>
        <v>273</v>
      </c>
      <c r="BF244" s="654">
        <f>ROUND(VLOOKUP($AW244,$AD$3:$AJ$33,MATCH(BF$3,$AD$3:$AJ$3,0),FALSE)+$AY244/VLOOKUP(VLOOKUP($AW244,坦克个性化设定!$B$18:$E$48,4,FALSE)&amp;$AX244,坦克属性分配比例,MATCH("升星次数",坦克属性分配比例标头,0),FALSE)*VLOOKUP($AW244,$AM$3:$AS$33,MATCH(BF$3,$AM$3:$AS$3,0),FALSE),1)</f>
        <v>40.799999999999997</v>
      </c>
      <c r="BG244" s="654">
        <f>ROUND(VLOOKUP($AW244,$AD$3:$AJ$33,MATCH(BG$3,$AD$3:$AJ$3,0),FALSE)+$AY244/VLOOKUP(VLOOKUP($AW244,坦克个性化设定!$B$18:$E$48,4,FALSE)&amp;$AX244,坦克属性分配比例,MATCH("升星次数",坦克属性分配比例标头,0),FALSE)*VLOOKUP($AW244,$AM$3:$AS$33,MATCH(BG$3,$AM$3:$AS$3,0),FALSE),1)</f>
        <v>57.3</v>
      </c>
      <c r="BH244" s="654">
        <f>ROUND(VLOOKUP($AW244,$AD$3:$AJ$33,MATCH(BH$3,$AD$3:$AJ$3,0),FALSE)+$AY244/VLOOKUP(VLOOKUP($AW244,坦克个性化设定!$B$18:$E$48,4,FALSE)&amp;$AX244,坦克属性分配比例,MATCH("升星次数",坦克属性分配比例标头,0),FALSE)*VLOOKUP($AW244,$AM$3:$AS$33,MATCH(BH$3,$AM$3:$AS$3,0),FALSE),1)</f>
        <v>13.2</v>
      </c>
      <c r="BI244" s="654">
        <f>IF(VLOOKUP(AW244,坦克个性化设定!$B$18:$BB$48,MATCH("装弹类型",坦克个性化设定!$B$18:$BB$18,0),FALSE)="弹夹换弹",0,ROUND(VLOOKUP($AW244,$AD$3:$AJ$33,MATCH("换弹时间",$AD$3:$AJ$3,0),FALSE)-$AY244/VLOOKUP(VLOOKUP($AW244,坦克个性化设定!$B$18:$E$48,4,FALSE)&amp;$AX244,坦克属性分配比例,MATCH("升星次数",坦克属性分配比例标头,0),FALSE)*VLOOKUP($AW244,$AM$3:$AS$33,MATCH("换弹时间",$AM$3:$AS$3,0),FALSE),2))</f>
        <v>3.86</v>
      </c>
      <c r="BJ244" s="654">
        <f>IF(VLOOKUP(AW244,坦克个性化设定!$B$18:$BB$48,MATCH("装弹类型",坦克个性化设定!$B$18:$BB$18,0),FALSE)="弹夹换弹",ROUND(VLOOKUP($AW244,$AD$3:$AJ$33,MATCH("换弹时间",$AD$3:$AJ$3,0),FALSE)-$AY244/VLOOKUP(VLOOKUP($AW244,坦克个性化设定!$B$18:$E$48,4,FALSE)&amp;$AX244,坦克属性分配比例,MATCH("升星次数",坦克属性分配比例标头,0),FALSE)*VLOOKUP($AW244,$AM$3:$AS$33,MATCH("换弹时间",$AM$3:$AS$3,0),FALSE),1),0)</f>
        <v>0</v>
      </c>
      <c r="BK244" s="654">
        <f>ROUND(VLOOKUP($AW244,$AD$3:$AJ$33,MATCH(BK$3,$AD$3:$AJ$3,0),FALSE)+$AY244/VLOOKUP(VLOOKUP($AW244,坦克个性化设定!$B$18:$E$48,4,FALSE)&amp;$AX244,坦克属性分配比例,MATCH("升星次数",坦克属性分配比例标头,0),FALSE)*VLOOKUP($AW244,$AM$3:$AS$33,MATCH(BK$3,$AM$3:$AS$3,0),FALSE),2)</f>
        <v>0</v>
      </c>
      <c r="BL244" s="654">
        <f>ROUND(VLOOKUP($AW244,$AD$3:$AJ$33,MATCH(BL$3,$AD$3:$AJ$3,0),FALSE)-$AY244/VLOOKUP(VLOOKUP($AW244,坦克个性化设定!$B$18:$E$48,4,FALSE)&amp;$AX244,坦克属性分配比例,MATCH("升星次数",坦克属性分配比例标头,0),FALSE)*VLOOKUP($AW244,$AM$3:$AS$33,MATCH(BL$3,$AM$3:$AS$3,0),FALSE),2)</f>
        <v>2.17</v>
      </c>
    </row>
    <row r="245" spans="47:64" x14ac:dyDescent="0.35">
      <c r="AU245" s="372" t="str">
        <f t="shared" si="27"/>
        <v>挑战者8</v>
      </c>
      <c r="AV245" s="654">
        <f>IF(AY244&gt;=VLOOKUP(VLOOKUP(AW244,坦克个性化设定!$B$18:$E$48,4,FALSE)&amp;AX244,坦克属性分配比例,MATCH("升星次数",坦克属性分配比例标头,0),FALSE),AV244+1,AV244)</f>
        <v>20</v>
      </c>
      <c r="AW245" s="649" t="str">
        <f t="shared" si="28"/>
        <v>挑战者</v>
      </c>
      <c r="AX245" s="650" t="str">
        <f>VLOOKUP(AW245,坦克个性化细分!$I$3:$J$33,2,FALSE)</f>
        <v>低</v>
      </c>
      <c r="AY245" s="654">
        <f t="shared" si="29"/>
        <v>8</v>
      </c>
      <c r="AZ245" s="654">
        <f ca="1">ROUND(VLOOKUP($AW245&amp;"初始",$O$3:$AA$63,MATCH(AZ$3,$O$3:$AA$3,0),FALSE)+((VLOOKUP($AW245&amp;"最终",$O$3:$AA$63,MATCH(AZ$3,$O$3:$AA$3,0),FALSE)*坦克个性化细分!$C$9-VLOOKUP($AW245&amp;"初始",$O$3:$AA$63,MATCH(AZ$3,$O$3:$AA$3,0),FALSE))-(VLOOKUP($AW245&amp;"最终",$O$3:$AA$63,MATCH(AZ$3,$O$3:$AA$3,0),FALSE)-VLOOKUP($AW245&amp;"初始",$O$3:$AA$63,MATCH(AZ$3,$O$3:$AA$3,0),FALSE))*VLOOKUP(VLOOKUP($AW245,坦克个性化设定!$B$18:$E$48,4,FALSE)&amp;$AX245,坦克属性分配比例,MATCH("部件比例",坦克属性分配比例标头,0),FALSE))*$AY245/VLOOKUP(VLOOKUP($AW245,坦克个性化设定!$B$18:$E$48,4,FALSE)&amp;$AX245,坦克属性分配比例,MATCH("升星次数",坦克属性分配比例标头,0),FALSE),0)</f>
        <v>3100</v>
      </c>
      <c r="BA245" s="654">
        <f ca="1">ROUND(VLOOKUP($AW245&amp;"初始",$O$3:$AA$63,MATCH(BA$3,$O$3:$AA$3,0),FALSE)+(VLOOKUP($AW245&amp;"最终",$O$3:$AA$63,MATCH(BA$3,$O$3:$AA$3,0),FALSE)-VLOOKUP($AW245&amp;"初始",$O$3:$AA$63,MATCH(BA$3,$O$3:$AA$3,0),FALSE))*$AY245/VLOOKUP(VLOOKUP($AW245,坦克个性化设定!$B$18:$E$48,4,FALSE)&amp;$AX245,坦克属性分配比例,MATCH("升星次数",坦克属性分配比例标头,0),FALSE)*VLOOKUP(VLOOKUP($AW245,坦克个性化设定!$B$18:$E$48,4,FALSE)&amp;$AX245,坦克属性分配比例,MATCH("升星比例",坦克属性分配比例标头,0),FALSE),0)</f>
        <v>329</v>
      </c>
      <c r="BB245" s="654">
        <f ca="1">ROUND(VLOOKUP($AW245&amp;"初始",$O$3:$AA$63,MATCH(BB$3,$O$3:$AA$3,0),FALSE)+(VLOOKUP($AW245&amp;"最终",$O$3:$AA$63,MATCH(BB$3,$O$3:$AA$3,0),FALSE)-VLOOKUP($AW245&amp;"初始",$O$3:$AA$63,MATCH(BB$3,$O$3:$AA$3,0),FALSE))*$AY245/VLOOKUP(VLOOKUP($AW245,坦克个性化设定!$B$18:$E$48,4,FALSE)&amp;$AX245,坦克属性分配比例,MATCH("升星次数",坦克属性分配比例标头,0),FALSE)*(VLOOKUP(VLOOKUP($AW245,坦克个性化设定!$B$18:$E$48,4,FALSE)&amp;$AX245,坦克属性分配比例,MATCH("升星比例",坦克属性分配比例标头,0),FALSE)+VLOOKUP(VLOOKUP($AW245,坦克个性化设定!$B$18:$E$48,4,FALSE)&amp;$AX245,坦克属性分配比例,MATCH("部件比例",坦克属性分配比例标头,0),FALSE)*$C$3),0)</f>
        <v>947</v>
      </c>
      <c r="BC245" s="654">
        <f ca="1">ROUND(VLOOKUP($AW245&amp;"初始",$O$3:$AA$63,MATCH(BC$3,$O$3:$AA$3,0),FALSE)+(VLOOKUP($AW245&amp;"最终",$O$3:$AA$63,MATCH(BC$3,$O$3:$AA$3,0),FALSE)-VLOOKUP($AW245&amp;"初始",$O$3:$AA$63,MATCH(BC$3,$O$3:$AA$3,0),FALSE))*$AY245/VLOOKUP(VLOOKUP($AW245,坦克个性化设定!$B$18:$E$48,4,FALSE)&amp;$AX245,坦克属性分配比例,MATCH("升星次数",坦克属性分配比例标头,0),FALSE)*(VLOOKUP(VLOOKUP($AW245,坦克个性化设定!$B$18:$E$48,4,FALSE)&amp;$AX245,坦克属性分配比例,MATCH("升星比例",坦克属性分配比例标头,0),FALSE)+VLOOKUP(VLOOKUP($AW245,坦克个性化设定!$B$18:$E$48,4,FALSE)&amp;$AX245,坦克属性分配比例,MATCH("部件比例",坦克属性分配比例标头,0),FALSE)*$C$3),0)</f>
        <v>709</v>
      </c>
      <c r="BD245" s="654">
        <f ca="1">ROUND(VLOOKUP($AW245&amp;"初始",$O$3:$AA$63,MATCH(BD$3,$O$3:$AA$3,0),FALSE)+(VLOOKUP($AW245&amp;"最终",$O$3:$AA$63,MATCH(BD$3,$O$3:$AA$3,0),FALSE)-VLOOKUP($AW245&amp;"初始",$O$3:$AA$63,MATCH(BD$3,$O$3:$AA$3,0),FALSE))*$AY245/VLOOKUP(VLOOKUP($AW245,坦克个性化设定!$B$18:$E$48,4,FALSE)&amp;$AX245,坦克属性分配比例,MATCH("升星次数",坦克属性分配比例标头,0),FALSE)*VLOOKUP(VLOOKUP($AW245,坦克个性化设定!$B$18:$E$48,4,FALSE)&amp;$AX245,坦克属性分配比例,MATCH("升星比例",坦克属性分配比例标头,0),FALSE),0)</f>
        <v>864</v>
      </c>
      <c r="BE245" s="654">
        <f ca="1">ROUND(VLOOKUP($AW245&amp;"初始",$O$3:$AA$63,MATCH(BE$3,$O$3:$AA$3,0),FALSE)+(VLOOKUP($AW245&amp;"最终",$O$3:$AA$63,MATCH(BE$3,$O$3:$AA$3,0),FALSE)-VLOOKUP($AW245&amp;"初始",$O$3:$AA$63,MATCH(BE$3,$O$3:$AA$3,0),FALSE))*$AY245/VLOOKUP(VLOOKUP($AW245,坦克个性化设定!$B$18:$E$48,4,FALSE)&amp;$AX245,坦克属性分配比例,MATCH("升星次数",坦克属性分配比例标头,0),FALSE),0)</f>
        <v>282</v>
      </c>
      <c r="BF245" s="654">
        <f>ROUND(VLOOKUP($AW245,$AD$3:$AJ$33,MATCH(BF$3,$AD$3:$AJ$3,0),FALSE)+$AY245/VLOOKUP(VLOOKUP($AW245,坦克个性化设定!$B$18:$E$48,4,FALSE)&amp;$AX245,坦克属性分配比例,MATCH("升星次数",坦克属性分配比例标头,0),FALSE)*VLOOKUP($AW245,$AM$3:$AS$33,MATCH(BF$3,$AM$3:$AS$3,0),FALSE),1)</f>
        <v>41.5</v>
      </c>
      <c r="BG245" s="654">
        <f>ROUND(VLOOKUP($AW245,$AD$3:$AJ$33,MATCH(BG$3,$AD$3:$AJ$3,0),FALSE)+$AY245/VLOOKUP(VLOOKUP($AW245,坦克个性化设定!$B$18:$E$48,4,FALSE)&amp;$AX245,坦克属性分配比例,MATCH("升星次数",坦克属性分配比例标头,0),FALSE)*VLOOKUP($AW245,$AM$3:$AS$33,MATCH(BG$3,$AM$3:$AS$3,0),FALSE),1)</f>
        <v>58.3</v>
      </c>
      <c r="BH245" s="654">
        <f>ROUND(VLOOKUP($AW245,$AD$3:$AJ$33,MATCH(BH$3,$AD$3:$AJ$3,0),FALSE)+$AY245/VLOOKUP(VLOOKUP($AW245,坦克个性化设定!$B$18:$E$48,4,FALSE)&amp;$AX245,坦克属性分配比例,MATCH("升星次数",坦克属性分配比例标头,0),FALSE)*VLOOKUP($AW245,$AM$3:$AS$33,MATCH(BH$3,$AM$3:$AS$3,0),FALSE),1)</f>
        <v>13.5</v>
      </c>
      <c r="BI245" s="654">
        <f>IF(VLOOKUP(AW245,坦克个性化设定!$B$18:$BB$48,MATCH("装弹类型",坦克个性化设定!$B$18:$BB$18,0),FALSE)="弹夹换弹",0,ROUND(VLOOKUP($AW245,$AD$3:$AJ$33,MATCH("换弹时间",$AD$3:$AJ$3,0),FALSE)-$AY245/VLOOKUP(VLOOKUP($AW245,坦克个性化设定!$B$18:$E$48,4,FALSE)&amp;$AX245,坦克属性分配比例,MATCH("升星次数",坦克属性分配比例标头,0),FALSE)*VLOOKUP($AW245,$AM$3:$AS$33,MATCH("换弹时间",$AM$3:$AS$3,0),FALSE),2))</f>
        <v>3.77</v>
      </c>
      <c r="BJ245" s="654">
        <f>IF(VLOOKUP(AW245,坦克个性化设定!$B$18:$BB$48,MATCH("装弹类型",坦克个性化设定!$B$18:$BB$18,0),FALSE)="弹夹换弹",ROUND(VLOOKUP($AW245,$AD$3:$AJ$33,MATCH("换弹时间",$AD$3:$AJ$3,0),FALSE)-$AY245/VLOOKUP(VLOOKUP($AW245,坦克个性化设定!$B$18:$E$48,4,FALSE)&amp;$AX245,坦克属性分配比例,MATCH("升星次数",坦克属性分配比例标头,0),FALSE)*VLOOKUP($AW245,$AM$3:$AS$33,MATCH("换弹时间",$AM$3:$AS$3,0),FALSE),1),0)</f>
        <v>0</v>
      </c>
      <c r="BK245" s="654">
        <f>ROUND(VLOOKUP($AW245,$AD$3:$AJ$33,MATCH(BK$3,$AD$3:$AJ$3,0),FALSE)+$AY245/VLOOKUP(VLOOKUP($AW245,坦克个性化设定!$B$18:$E$48,4,FALSE)&amp;$AX245,坦克属性分配比例,MATCH("升星次数",坦克属性分配比例标头,0),FALSE)*VLOOKUP($AW245,$AM$3:$AS$33,MATCH(BK$3,$AM$3:$AS$3,0),FALSE),2)</f>
        <v>0</v>
      </c>
      <c r="BL245" s="654">
        <f>ROUND(VLOOKUP($AW245,$AD$3:$AJ$33,MATCH(BL$3,$AD$3:$AJ$3,0),FALSE)-$AY245/VLOOKUP(VLOOKUP($AW245,坦克个性化设定!$B$18:$E$48,4,FALSE)&amp;$AX245,坦克属性分配比例,MATCH("升星次数",坦克属性分配比例标头,0),FALSE)*VLOOKUP($AW245,$AM$3:$AS$33,MATCH(BL$3,$AM$3:$AS$3,0),FALSE),2)</f>
        <v>2.13</v>
      </c>
    </row>
    <row r="246" spans="47:64" x14ac:dyDescent="0.35">
      <c r="AU246" s="372" t="str">
        <f t="shared" si="27"/>
        <v>挑战者9</v>
      </c>
      <c r="AV246" s="654">
        <f>IF(AY245&gt;=VLOOKUP(VLOOKUP(AW245,坦克个性化设定!$B$18:$E$48,4,FALSE)&amp;AX245,坦克属性分配比例,MATCH("升星次数",坦克属性分配比例标头,0),FALSE),AV245+1,AV245)</f>
        <v>20</v>
      </c>
      <c r="AW246" s="649" t="str">
        <f t="shared" si="28"/>
        <v>挑战者</v>
      </c>
      <c r="AX246" s="650" t="str">
        <f>VLOOKUP(AW246,坦克个性化细分!$I$3:$J$33,2,FALSE)</f>
        <v>低</v>
      </c>
      <c r="AY246" s="654">
        <f t="shared" si="29"/>
        <v>9</v>
      </c>
      <c r="AZ246" s="654">
        <f ca="1">ROUND(VLOOKUP($AW246&amp;"初始",$O$3:$AA$63,MATCH(AZ$3,$O$3:$AA$3,0),FALSE)+((VLOOKUP($AW246&amp;"最终",$O$3:$AA$63,MATCH(AZ$3,$O$3:$AA$3,0),FALSE)*坦克个性化细分!$C$9-VLOOKUP($AW246&amp;"初始",$O$3:$AA$63,MATCH(AZ$3,$O$3:$AA$3,0),FALSE))-(VLOOKUP($AW246&amp;"最终",$O$3:$AA$63,MATCH(AZ$3,$O$3:$AA$3,0),FALSE)-VLOOKUP($AW246&amp;"初始",$O$3:$AA$63,MATCH(AZ$3,$O$3:$AA$3,0),FALSE))*VLOOKUP(VLOOKUP($AW246,坦克个性化设定!$B$18:$E$48,4,FALSE)&amp;$AX246,坦克属性分配比例,MATCH("部件比例",坦克属性分配比例标头,0),FALSE))*$AY246/VLOOKUP(VLOOKUP($AW246,坦克个性化设定!$B$18:$E$48,4,FALSE)&amp;$AX246,坦克属性分配比例,MATCH("升星次数",坦克属性分配比例标头,0),FALSE),0)</f>
        <v>3189</v>
      </c>
      <c r="BA246" s="654">
        <f ca="1">ROUND(VLOOKUP($AW246&amp;"初始",$O$3:$AA$63,MATCH(BA$3,$O$3:$AA$3,0),FALSE)+(VLOOKUP($AW246&amp;"最终",$O$3:$AA$63,MATCH(BA$3,$O$3:$AA$3,0),FALSE)-VLOOKUP($AW246&amp;"初始",$O$3:$AA$63,MATCH(BA$3,$O$3:$AA$3,0),FALSE))*$AY246/VLOOKUP(VLOOKUP($AW246,坦克个性化设定!$B$18:$E$48,4,FALSE)&amp;$AX246,坦克属性分配比例,MATCH("升星次数",坦克属性分配比例标头,0),FALSE)*VLOOKUP(VLOOKUP($AW246,坦克个性化设定!$B$18:$E$48,4,FALSE)&amp;$AX246,坦克属性分配比例,MATCH("升星比例",坦克属性分配比例标头,0),FALSE),0)</f>
        <v>329</v>
      </c>
      <c r="BB246" s="654">
        <f ca="1">ROUND(VLOOKUP($AW246&amp;"初始",$O$3:$AA$63,MATCH(BB$3,$O$3:$AA$3,0),FALSE)+(VLOOKUP($AW246&amp;"最终",$O$3:$AA$63,MATCH(BB$3,$O$3:$AA$3,0),FALSE)-VLOOKUP($AW246&amp;"初始",$O$3:$AA$63,MATCH(BB$3,$O$3:$AA$3,0),FALSE))*$AY246/VLOOKUP(VLOOKUP($AW246,坦克个性化设定!$B$18:$E$48,4,FALSE)&amp;$AX246,坦克属性分配比例,MATCH("升星次数",坦克属性分配比例标头,0),FALSE)*(VLOOKUP(VLOOKUP($AW246,坦克个性化设定!$B$18:$E$48,4,FALSE)&amp;$AX246,坦克属性分配比例,MATCH("升星比例",坦克属性分配比例标头,0),FALSE)+VLOOKUP(VLOOKUP($AW246,坦克个性化设定!$B$18:$E$48,4,FALSE)&amp;$AX246,坦克属性分配比例,MATCH("部件比例",坦克属性分配比例标头,0),FALSE)*$C$3),0)</f>
        <v>966</v>
      </c>
      <c r="BC246" s="654">
        <f ca="1">ROUND(VLOOKUP($AW246&amp;"初始",$O$3:$AA$63,MATCH(BC$3,$O$3:$AA$3,0),FALSE)+(VLOOKUP($AW246&amp;"最终",$O$3:$AA$63,MATCH(BC$3,$O$3:$AA$3,0),FALSE)-VLOOKUP($AW246&amp;"初始",$O$3:$AA$63,MATCH(BC$3,$O$3:$AA$3,0),FALSE))*$AY246/VLOOKUP(VLOOKUP($AW246,坦克个性化设定!$B$18:$E$48,4,FALSE)&amp;$AX246,坦克属性分配比例,MATCH("升星次数",坦克属性分配比例标头,0),FALSE)*(VLOOKUP(VLOOKUP($AW246,坦克个性化设定!$B$18:$E$48,4,FALSE)&amp;$AX246,坦克属性分配比例,MATCH("升星比例",坦克属性分配比例标头,0),FALSE)+VLOOKUP(VLOOKUP($AW246,坦克个性化设定!$B$18:$E$48,4,FALSE)&amp;$AX246,坦克属性分配比例,MATCH("部件比例",坦克属性分配比例标头,0),FALSE)*$C$3),0)</f>
        <v>724</v>
      </c>
      <c r="BD246" s="654">
        <f ca="1">ROUND(VLOOKUP($AW246&amp;"初始",$O$3:$AA$63,MATCH(BD$3,$O$3:$AA$3,0),FALSE)+(VLOOKUP($AW246&amp;"最终",$O$3:$AA$63,MATCH(BD$3,$O$3:$AA$3,0),FALSE)-VLOOKUP($AW246&amp;"初始",$O$3:$AA$63,MATCH(BD$3,$O$3:$AA$3,0),FALSE))*$AY246/VLOOKUP(VLOOKUP($AW246,坦克个性化设定!$B$18:$E$48,4,FALSE)&amp;$AX246,坦克属性分配比例,MATCH("升星次数",坦克属性分配比例标头,0),FALSE)*VLOOKUP(VLOOKUP($AW246,坦克个性化设定!$B$18:$E$48,4,FALSE)&amp;$AX246,坦克属性分配比例,MATCH("升星比例",坦克属性分配比例标头,0),FALSE),0)</f>
        <v>864</v>
      </c>
      <c r="BE246" s="654">
        <f ca="1">ROUND(VLOOKUP($AW246&amp;"初始",$O$3:$AA$63,MATCH(BE$3,$O$3:$AA$3,0),FALSE)+(VLOOKUP($AW246&amp;"最终",$O$3:$AA$63,MATCH(BE$3,$O$3:$AA$3,0),FALSE)-VLOOKUP($AW246&amp;"初始",$O$3:$AA$63,MATCH(BE$3,$O$3:$AA$3,0),FALSE))*$AY246/VLOOKUP(VLOOKUP($AW246,坦克个性化设定!$B$18:$E$48,4,FALSE)&amp;$AX246,坦克属性分配比例,MATCH("升星次数",坦克属性分配比例标头,0),FALSE),0)</f>
        <v>291</v>
      </c>
      <c r="BF246" s="654">
        <f>ROUND(VLOOKUP($AW246,$AD$3:$AJ$33,MATCH(BF$3,$AD$3:$AJ$3,0),FALSE)+$AY246/VLOOKUP(VLOOKUP($AW246,坦克个性化设定!$B$18:$E$48,4,FALSE)&amp;$AX246,坦克属性分配比例,MATCH("升星次数",坦克属性分配比例标头,0),FALSE)*VLOOKUP($AW246,$AM$3:$AS$33,MATCH(BF$3,$AM$3:$AS$3,0),FALSE),1)</f>
        <v>42.3</v>
      </c>
      <c r="BG246" s="654">
        <f>ROUND(VLOOKUP($AW246,$AD$3:$AJ$33,MATCH(BG$3,$AD$3:$AJ$3,0),FALSE)+$AY246/VLOOKUP(VLOOKUP($AW246,坦克个性化设定!$B$18:$E$48,4,FALSE)&amp;$AX246,坦克属性分配比例,MATCH("升星次数",坦克属性分配比例标头,0),FALSE)*VLOOKUP($AW246,$AM$3:$AS$33,MATCH(BG$3,$AM$3:$AS$3,0),FALSE),1)</f>
        <v>59.4</v>
      </c>
      <c r="BH246" s="654">
        <f>ROUND(VLOOKUP($AW246,$AD$3:$AJ$33,MATCH(BH$3,$AD$3:$AJ$3,0),FALSE)+$AY246/VLOOKUP(VLOOKUP($AW246,坦克个性化设定!$B$18:$E$48,4,FALSE)&amp;$AX246,坦克属性分配比例,MATCH("升星次数",坦克属性分配比例标头,0),FALSE)*VLOOKUP($AW246,$AM$3:$AS$33,MATCH(BH$3,$AM$3:$AS$3,0),FALSE),1)</f>
        <v>13.8</v>
      </c>
      <c r="BI246" s="654">
        <f>IF(VLOOKUP(AW246,坦克个性化设定!$B$18:$BB$48,MATCH("装弹类型",坦克个性化设定!$B$18:$BB$18,0),FALSE)="弹夹换弹",0,ROUND(VLOOKUP($AW246,$AD$3:$AJ$33,MATCH("换弹时间",$AD$3:$AJ$3,0),FALSE)-$AY246/VLOOKUP(VLOOKUP($AW246,坦克个性化设定!$B$18:$E$48,4,FALSE)&amp;$AX246,坦克属性分配比例,MATCH("升星次数",坦克属性分配比例标头,0),FALSE)*VLOOKUP($AW246,$AM$3:$AS$33,MATCH("换弹时间",$AM$3:$AS$3,0),FALSE),2))</f>
        <v>3.68</v>
      </c>
      <c r="BJ246" s="654">
        <f>IF(VLOOKUP(AW246,坦克个性化设定!$B$18:$BB$48,MATCH("装弹类型",坦克个性化设定!$B$18:$BB$18,0),FALSE)="弹夹换弹",ROUND(VLOOKUP($AW246,$AD$3:$AJ$33,MATCH("换弹时间",$AD$3:$AJ$3,0),FALSE)-$AY246/VLOOKUP(VLOOKUP($AW246,坦克个性化设定!$B$18:$E$48,4,FALSE)&amp;$AX246,坦克属性分配比例,MATCH("升星次数",坦克属性分配比例标头,0),FALSE)*VLOOKUP($AW246,$AM$3:$AS$33,MATCH("换弹时间",$AM$3:$AS$3,0),FALSE),1),0)</f>
        <v>0</v>
      </c>
      <c r="BK246" s="654">
        <f>ROUND(VLOOKUP($AW246,$AD$3:$AJ$33,MATCH(BK$3,$AD$3:$AJ$3,0),FALSE)+$AY246/VLOOKUP(VLOOKUP($AW246,坦克个性化设定!$B$18:$E$48,4,FALSE)&amp;$AX246,坦克属性分配比例,MATCH("升星次数",坦克属性分配比例标头,0),FALSE)*VLOOKUP($AW246,$AM$3:$AS$33,MATCH(BK$3,$AM$3:$AS$3,0),FALSE),2)</f>
        <v>0</v>
      </c>
      <c r="BL246" s="654">
        <f>ROUND(VLOOKUP($AW246,$AD$3:$AJ$33,MATCH(BL$3,$AD$3:$AJ$3,0),FALSE)-$AY246/VLOOKUP(VLOOKUP($AW246,坦克个性化设定!$B$18:$E$48,4,FALSE)&amp;$AX246,坦克属性分配比例,MATCH("升星次数",坦克属性分配比例标头,0),FALSE)*VLOOKUP($AW246,$AM$3:$AS$33,MATCH(BL$3,$AM$3:$AS$3,0),FALSE),2)</f>
        <v>2.1</v>
      </c>
    </row>
    <row r="247" spans="47:64" x14ac:dyDescent="0.35">
      <c r="AU247" s="372" t="str">
        <f t="shared" si="27"/>
        <v>挑战者10</v>
      </c>
      <c r="AV247" s="654">
        <f>IF(AY246&gt;=VLOOKUP(VLOOKUP(AW246,坦克个性化设定!$B$18:$E$48,4,FALSE)&amp;AX246,坦克属性分配比例,MATCH("升星次数",坦克属性分配比例标头,0),FALSE),AV246+1,AV246)</f>
        <v>20</v>
      </c>
      <c r="AW247" s="649" t="str">
        <f t="shared" si="28"/>
        <v>挑战者</v>
      </c>
      <c r="AX247" s="650" t="str">
        <f>VLOOKUP(AW247,坦克个性化细分!$I$3:$J$33,2,FALSE)</f>
        <v>低</v>
      </c>
      <c r="AY247" s="654">
        <f t="shared" si="29"/>
        <v>10</v>
      </c>
      <c r="AZ247" s="654">
        <f ca="1">ROUND(VLOOKUP($AW247&amp;"初始",$O$3:$AA$63,MATCH(AZ$3,$O$3:$AA$3,0),FALSE)+((VLOOKUP($AW247&amp;"最终",$O$3:$AA$63,MATCH(AZ$3,$O$3:$AA$3,0),FALSE)*坦克个性化细分!$C$9-VLOOKUP($AW247&amp;"初始",$O$3:$AA$63,MATCH(AZ$3,$O$3:$AA$3,0),FALSE))-(VLOOKUP($AW247&amp;"最终",$O$3:$AA$63,MATCH(AZ$3,$O$3:$AA$3,0),FALSE)-VLOOKUP($AW247&amp;"初始",$O$3:$AA$63,MATCH(AZ$3,$O$3:$AA$3,0),FALSE))*VLOOKUP(VLOOKUP($AW247,坦克个性化设定!$B$18:$E$48,4,FALSE)&amp;$AX247,坦克属性分配比例,MATCH("部件比例",坦克属性分配比例标头,0),FALSE))*$AY247/VLOOKUP(VLOOKUP($AW247,坦克个性化设定!$B$18:$E$48,4,FALSE)&amp;$AX247,坦克属性分配比例,MATCH("升星次数",坦克属性分配比例标头,0),FALSE),0)</f>
        <v>3278</v>
      </c>
      <c r="BA247" s="654">
        <f ca="1">ROUND(VLOOKUP($AW247&amp;"初始",$O$3:$AA$63,MATCH(BA$3,$O$3:$AA$3,0),FALSE)+(VLOOKUP($AW247&amp;"最终",$O$3:$AA$63,MATCH(BA$3,$O$3:$AA$3,0),FALSE)-VLOOKUP($AW247&amp;"初始",$O$3:$AA$63,MATCH(BA$3,$O$3:$AA$3,0),FALSE))*$AY247/VLOOKUP(VLOOKUP($AW247,坦克个性化设定!$B$18:$E$48,4,FALSE)&amp;$AX247,坦克属性分配比例,MATCH("升星次数",坦克属性分配比例标头,0),FALSE)*VLOOKUP(VLOOKUP($AW247,坦克个性化设定!$B$18:$E$48,4,FALSE)&amp;$AX247,坦克属性分配比例,MATCH("升星比例",坦克属性分配比例标头,0),FALSE),0)</f>
        <v>329</v>
      </c>
      <c r="BB247" s="654">
        <f ca="1">ROUND(VLOOKUP($AW247&amp;"初始",$O$3:$AA$63,MATCH(BB$3,$O$3:$AA$3,0),FALSE)+(VLOOKUP($AW247&amp;"最终",$O$3:$AA$63,MATCH(BB$3,$O$3:$AA$3,0),FALSE)-VLOOKUP($AW247&amp;"初始",$O$3:$AA$63,MATCH(BB$3,$O$3:$AA$3,0),FALSE))*$AY247/VLOOKUP(VLOOKUP($AW247,坦克个性化设定!$B$18:$E$48,4,FALSE)&amp;$AX247,坦克属性分配比例,MATCH("升星次数",坦克属性分配比例标头,0),FALSE)*(VLOOKUP(VLOOKUP($AW247,坦克个性化设定!$B$18:$E$48,4,FALSE)&amp;$AX247,坦克属性分配比例,MATCH("升星比例",坦克属性分配比例标头,0),FALSE)+VLOOKUP(VLOOKUP($AW247,坦克个性化设定!$B$18:$E$48,4,FALSE)&amp;$AX247,坦克属性分配比例,MATCH("部件比例",坦克属性分配比例标头,0),FALSE)*$C$3),0)</f>
        <v>986</v>
      </c>
      <c r="BC247" s="654">
        <f ca="1">ROUND(VLOOKUP($AW247&amp;"初始",$O$3:$AA$63,MATCH(BC$3,$O$3:$AA$3,0),FALSE)+(VLOOKUP($AW247&amp;"最终",$O$3:$AA$63,MATCH(BC$3,$O$3:$AA$3,0),FALSE)-VLOOKUP($AW247&amp;"初始",$O$3:$AA$63,MATCH(BC$3,$O$3:$AA$3,0),FALSE))*$AY247/VLOOKUP(VLOOKUP($AW247,坦克个性化设定!$B$18:$E$48,4,FALSE)&amp;$AX247,坦克属性分配比例,MATCH("升星次数",坦克属性分配比例标头,0),FALSE)*(VLOOKUP(VLOOKUP($AW247,坦克个性化设定!$B$18:$E$48,4,FALSE)&amp;$AX247,坦克属性分配比例,MATCH("升星比例",坦克属性分配比例标头,0),FALSE)+VLOOKUP(VLOOKUP($AW247,坦克个性化设定!$B$18:$E$48,4,FALSE)&amp;$AX247,坦克属性分配比例,MATCH("部件比例",坦克属性分配比例标头,0),FALSE)*$C$3),0)</f>
        <v>739</v>
      </c>
      <c r="BD247" s="654">
        <f ca="1">ROUND(VLOOKUP($AW247&amp;"初始",$O$3:$AA$63,MATCH(BD$3,$O$3:$AA$3,0),FALSE)+(VLOOKUP($AW247&amp;"最终",$O$3:$AA$63,MATCH(BD$3,$O$3:$AA$3,0),FALSE)-VLOOKUP($AW247&amp;"初始",$O$3:$AA$63,MATCH(BD$3,$O$3:$AA$3,0),FALSE))*$AY247/VLOOKUP(VLOOKUP($AW247,坦克个性化设定!$B$18:$E$48,4,FALSE)&amp;$AX247,坦克属性分配比例,MATCH("升星次数",坦克属性分配比例标头,0),FALSE)*VLOOKUP(VLOOKUP($AW247,坦克个性化设定!$B$18:$E$48,4,FALSE)&amp;$AX247,坦克属性分配比例,MATCH("升星比例",坦克属性分配比例标头,0),FALSE),0)</f>
        <v>864</v>
      </c>
      <c r="BE247" s="654">
        <f ca="1">ROUND(VLOOKUP($AW247&amp;"初始",$O$3:$AA$63,MATCH(BE$3,$O$3:$AA$3,0),FALSE)+(VLOOKUP($AW247&amp;"最终",$O$3:$AA$63,MATCH(BE$3,$O$3:$AA$3,0),FALSE)-VLOOKUP($AW247&amp;"初始",$O$3:$AA$63,MATCH(BE$3,$O$3:$AA$3,0),FALSE))*$AY247/VLOOKUP(VLOOKUP($AW247,坦克个性化设定!$B$18:$E$48,4,FALSE)&amp;$AX247,坦克属性分配比例,MATCH("升星次数",坦克属性分配比例标头,0),FALSE),0)</f>
        <v>299</v>
      </c>
      <c r="BF247" s="654">
        <f>ROUND(VLOOKUP($AW247,$AD$3:$AJ$33,MATCH(BF$3,$AD$3:$AJ$3,0),FALSE)+$AY247/VLOOKUP(VLOOKUP($AW247,坦克个性化设定!$B$18:$E$48,4,FALSE)&amp;$AX247,坦克属性分配比例,MATCH("升星次数",坦克属性分配比例标头,0),FALSE)*VLOOKUP($AW247,$AM$3:$AS$33,MATCH(BF$3,$AM$3:$AS$3,0),FALSE),1)</f>
        <v>43</v>
      </c>
      <c r="BG247" s="654">
        <f>ROUND(VLOOKUP($AW247,$AD$3:$AJ$33,MATCH(BG$3,$AD$3:$AJ$3,0),FALSE)+$AY247/VLOOKUP(VLOOKUP($AW247,坦克个性化设定!$B$18:$E$48,4,FALSE)&amp;$AX247,坦克属性分配比例,MATCH("升星次数",坦克属性分配比例标头,0),FALSE)*VLOOKUP($AW247,$AM$3:$AS$33,MATCH(BG$3,$AM$3:$AS$3,0),FALSE),1)</f>
        <v>60.4</v>
      </c>
      <c r="BH247" s="654">
        <f>ROUND(VLOOKUP($AW247,$AD$3:$AJ$33,MATCH(BH$3,$AD$3:$AJ$3,0),FALSE)+$AY247/VLOOKUP(VLOOKUP($AW247,坦克个性化设定!$B$18:$E$48,4,FALSE)&amp;$AX247,坦克属性分配比例,MATCH("升星次数",坦克属性分配比例标头,0),FALSE)*VLOOKUP($AW247,$AM$3:$AS$33,MATCH(BH$3,$AM$3:$AS$3,0),FALSE),1)</f>
        <v>14.1</v>
      </c>
      <c r="BI247" s="654">
        <f>IF(VLOOKUP(AW247,坦克个性化设定!$B$18:$BB$48,MATCH("装弹类型",坦克个性化设定!$B$18:$BB$18,0),FALSE)="弹夹换弹",0,ROUND(VLOOKUP($AW247,$AD$3:$AJ$33,MATCH("换弹时间",$AD$3:$AJ$3,0),FALSE)-$AY247/VLOOKUP(VLOOKUP($AW247,坦克个性化设定!$B$18:$E$48,4,FALSE)&amp;$AX247,坦克属性分配比例,MATCH("升星次数",坦克属性分配比例标头,0),FALSE)*VLOOKUP($AW247,$AM$3:$AS$33,MATCH("换弹时间",$AM$3:$AS$3,0),FALSE),2))</f>
        <v>3.59</v>
      </c>
      <c r="BJ247" s="654">
        <f>IF(VLOOKUP(AW247,坦克个性化设定!$B$18:$BB$48,MATCH("装弹类型",坦克个性化设定!$B$18:$BB$18,0),FALSE)="弹夹换弹",ROUND(VLOOKUP($AW247,$AD$3:$AJ$33,MATCH("换弹时间",$AD$3:$AJ$3,0),FALSE)-$AY247/VLOOKUP(VLOOKUP($AW247,坦克个性化设定!$B$18:$E$48,4,FALSE)&amp;$AX247,坦克属性分配比例,MATCH("升星次数",坦克属性分配比例标头,0),FALSE)*VLOOKUP($AW247,$AM$3:$AS$33,MATCH("换弹时间",$AM$3:$AS$3,0),FALSE),1),0)</f>
        <v>0</v>
      </c>
      <c r="BK247" s="654">
        <f>ROUND(VLOOKUP($AW247,$AD$3:$AJ$33,MATCH(BK$3,$AD$3:$AJ$3,0),FALSE)+$AY247/VLOOKUP(VLOOKUP($AW247,坦克个性化设定!$B$18:$E$48,4,FALSE)&amp;$AX247,坦克属性分配比例,MATCH("升星次数",坦克属性分配比例标头,0),FALSE)*VLOOKUP($AW247,$AM$3:$AS$33,MATCH(BK$3,$AM$3:$AS$3,0),FALSE),2)</f>
        <v>0</v>
      </c>
      <c r="BL247" s="654">
        <f>ROUND(VLOOKUP($AW247,$AD$3:$AJ$33,MATCH(BL$3,$AD$3:$AJ$3,0),FALSE)-$AY247/VLOOKUP(VLOOKUP($AW247,坦克个性化设定!$B$18:$E$48,4,FALSE)&amp;$AX247,坦克属性分配比例,MATCH("升星次数",坦克属性分配比例标头,0),FALSE)*VLOOKUP($AW247,$AM$3:$AS$33,MATCH(BL$3,$AM$3:$AS$3,0),FALSE),2)</f>
        <v>2.0699999999999998</v>
      </c>
    </row>
    <row r="248" spans="47:64" x14ac:dyDescent="0.35">
      <c r="AU248" s="372" t="str">
        <f t="shared" si="27"/>
        <v>挑战者11</v>
      </c>
      <c r="AV248" s="654">
        <f>IF(AY247&gt;=VLOOKUP(VLOOKUP(AW247,坦克个性化设定!$B$18:$E$48,4,FALSE)&amp;AX247,坦克属性分配比例,MATCH("升星次数",坦克属性分配比例标头,0),FALSE),AV247+1,AV247)</f>
        <v>20</v>
      </c>
      <c r="AW248" s="649" t="str">
        <f t="shared" si="28"/>
        <v>挑战者</v>
      </c>
      <c r="AX248" s="650" t="str">
        <f>VLOOKUP(AW248,坦克个性化细分!$I$3:$J$33,2,FALSE)</f>
        <v>低</v>
      </c>
      <c r="AY248" s="654">
        <f t="shared" si="29"/>
        <v>11</v>
      </c>
      <c r="AZ248" s="654">
        <f ca="1">ROUND(VLOOKUP($AW248&amp;"初始",$O$3:$AA$63,MATCH(AZ$3,$O$3:$AA$3,0),FALSE)+((VLOOKUP($AW248&amp;"最终",$O$3:$AA$63,MATCH(AZ$3,$O$3:$AA$3,0),FALSE)*坦克个性化细分!$C$9-VLOOKUP($AW248&amp;"初始",$O$3:$AA$63,MATCH(AZ$3,$O$3:$AA$3,0),FALSE))-(VLOOKUP($AW248&amp;"最终",$O$3:$AA$63,MATCH(AZ$3,$O$3:$AA$3,0),FALSE)-VLOOKUP($AW248&amp;"初始",$O$3:$AA$63,MATCH(AZ$3,$O$3:$AA$3,0),FALSE))*VLOOKUP(VLOOKUP($AW248,坦克个性化设定!$B$18:$E$48,4,FALSE)&amp;$AX248,坦克属性分配比例,MATCH("部件比例",坦克属性分配比例标头,0),FALSE))*$AY248/VLOOKUP(VLOOKUP($AW248,坦克个性化设定!$B$18:$E$48,4,FALSE)&amp;$AX248,坦克属性分配比例,MATCH("升星次数",坦克属性分配比例标头,0),FALSE),0)</f>
        <v>3368</v>
      </c>
      <c r="BA248" s="654">
        <f ca="1">ROUND(VLOOKUP($AW248&amp;"初始",$O$3:$AA$63,MATCH(BA$3,$O$3:$AA$3,0),FALSE)+(VLOOKUP($AW248&amp;"最终",$O$3:$AA$63,MATCH(BA$3,$O$3:$AA$3,0),FALSE)-VLOOKUP($AW248&amp;"初始",$O$3:$AA$63,MATCH(BA$3,$O$3:$AA$3,0),FALSE))*$AY248/VLOOKUP(VLOOKUP($AW248,坦克个性化设定!$B$18:$E$48,4,FALSE)&amp;$AX248,坦克属性分配比例,MATCH("升星次数",坦克属性分配比例标头,0),FALSE)*VLOOKUP(VLOOKUP($AW248,坦克个性化设定!$B$18:$E$48,4,FALSE)&amp;$AX248,坦克属性分配比例,MATCH("升星比例",坦克属性分配比例标头,0),FALSE),0)</f>
        <v>329</v>
      </c>
      <c r="BB248" s="654">
        <f ca="1">ROUND(VLOOKUP($AW248&amp;"初始",$O$3:$AA$63,MATCH(BB$3,$O$3:$AA$3,0),FALSE)+(VLOOKUP($AW248&amp;"最终",$O$3:$AA$63,MATCH(BB$3,$O$3:$AA$3,0),FALSE)-VLOOKUP($AW248&amp;"初始",$O$3:$AA$63,MATCH(BB$3,$O$3:$AA$3,0),FALSE))*$AY248/VLOOKUP(VLOOKUP($AW248,坦克个性化设定!$B$18:$E$48,4,FALSE)&amp;$AX248,坦克属性分配比例,MATCH("升星次数",坦克属性分配比例标头,0),FALSE)*(VLOOKUP(VLOOKUP($AW248,坦克个性化设定!$B$18:$E$48,4,FALSE)&amp;$AX248,坦克属性分配比例,MATCH("升星比例",坦克属性分配比例标头,0),FALSE)+VLOOKUP(VLOOKUP($AW248,坦克个性化设定!$B$18:$E$48,4,FALSE)&amp;$AX248,坦克属性分配比例,MATCH("部件比例",坦克属性分配比例标头,0),FALSE)*$C$3),0)</f>
        <v>1006</v>
      </c>
      <c r="BC248" s="654">
        <f ca="1">ROUND(VLOOKUP($AW248&amp;"初始",$O$3:$AA$63,MATCH(BC$3,$O$3:$AA$3,0),FALSE)+(VLOOKUP($AW248&amp;"最终",$O$3:$AA$63,MATCH(BC$3,$O$3:$AA$3,0),FALSE)-VLOOKUP($AW248&amp;"初始",$O$3:$AA$63,MATCH(BC$3,$O$3:$AA$3,0),FALSE))*$AY248/VLOOKUP(VLOOKUP($AW248,坦克个性化设定!$B$18:$E$48,4,FALSE)&amp;$AX248,坦克属性分配比例,MATCH("升星次数",坦克属性分配比例标头,0),FALSE)*(VLOOKUP(VLOOKUP($AW248,坦克个性化设定!$B$18:$E$48,4,FALSE)&amp;$AX248,坦克属性分配比例,MATCH("升星比例",坦克属性分配比例标头,0),FALSE)+VLOOKUP(VLOOKUP($AW248,坦克个性化设定!$B$18:$E$48,4,FALSE)&amp;$AX248,坦克属性分配比例,MATCH("部件比例",坦克属性分配比例标头,0),FALSE)*$C$3),0)</f>
        <v>754</v>
      </c>
      <c r="BD248" s="654">
        <f ca="1">ROUND(VLOOKUP($AW248&amp;"初始",$O$3:$AA$63,MATCH(BD$3,$O$3:$AA$3,0),FALSE)+(VLOOKUP($AW248&amp;"最终",$O$3:$AA$63,MATCH(BD$3,$O$3:$AA$3,0),FALSE)-VLOOKUP($AW248&amp;"初始",$O$3:$AA$63,MATCH(BD$3,$O$3:$AA$3,0),FALSE))*$AY248/VLOOKUP(VLOOKUP($AW248,坦克个性化设定!$B$18:$E$48,4,FALSE)&amp;$AX248,坦克属性分配比例,MATCH("升星次数",坦克属性分配比例标头,0),FALSE)*VLOOKUP(VLOOKUP($AW248,坦克个性化设定!$B$18:$E$48,4,FALSE)&amp;$AX248,坦克属性分配比例,MATCH("升星比例",坦克属性分配比例标头,0),FALSE),0)</f>
        <v>864</v>
      </c>
      <c r="BE248" s="654">
        <f ca="1">ROUND(VLOOKUP($AW248&amp;"初始",$O$3:$AA$63,MATCH(BE$3,$O$3:$AA$3,0),FALSE)+(VLOOKUP($AW248&amp;"最终",$O$3:$AA$63,MATCH(BE$3,$O$3:$AA$3,0),FALSE)-VLOOKUP($AW248&amp;"初始",$O$3:$AA$63,MATCH(BE$3,$O$3:$AA$3,0),FALSE))*$AY248/VLOOKUP(VLOOKUP($AW248,坦克个性化设定!$B$18:$E$48,4,FALSE)&amp;$AX248,坦克属性分配比例,MATCH("升星次数",坦克属性分配比例标头,0),FALSE),0)</f>
        <v>308</v>
      </c>
      <c r="BF248" s="654">
        <f>ROUND(VLOOKUP($AW248,$AD$3:$AJ$33,MATCH(BF$3,$AD$3:$AJ$3,0),FALSE)+$AY248/VLOOKUP(VLOOKUP($AW248,坦克个性化设定!$B$18:$E$48,4,FALSE)&amp;$AX248,坦克属性分配比例,MATCH("升星次数",坦克属性分配比例标头,0),FALSE)*VLOOKUP($AW248,$AM$3:$AS$33,MATCH(BF$3,$AM$3:$AS$3,0),FALSE),1)</f>
        <v>43.8</v>
      </c>
      <c r="BG248" s="654">
        <f>ROUND(VLOOKUP($AW248,$AD$3:$AJ$33,MATCH(BG$3,$AD$3:$AJ$3,0),FALSE)+$AY248/VLOOKUP(VLOOKUP($AW248,坦克个性化设定!$B$18:$E$48,4,FALSE)&amp;$AX248,坦克属性分配比例,MATCH("升星次数",坦克属性分配比例标头,0),FALSE)*VLOOKUP($AW248,$AM$3:$AS$33,MATCH(BG$3,$AM$3:$AS$3,0),FALSE),1)</f>
        <v>61.5</v>
      </c>
      <c r="BH248" s="654">
        <f>ROUND(VLOOKUP($AW248,$AD$3:$AJ$33,MATCH(BH$3,$AD$3:$AJ$3,0),FALSE)+$AY248/VLOOKUP(VLOOKUP($AW248,坦克个性化设定!$B$18:$E$48,4,FALSE)&amp;$AX248,坦克属性分配比例,MATCH("升星次数",坦克属性分配比例标头,0),FALSE)*VLOOKUP($AW248,$AM$3:$AS$33,MATCH(BH$3,$AM$3:$AS$3,0),FALSE),1)</f>
        <v>14.4</v>
      </c>
      <c r="BI248" s="654">
        <f>IF(VLOOKUP(AW248,坦克个性化设定!$B$18:$BB$48,MATCH("装弹类型",坦克个性化设定!$B$18:$BB$18,0),FALSE)="弹夹换弹",0,ROUND(VLOOKUP($AW248,$AD$3:$AJ$33,MATCH("换弹时间",$AD$3:$AJ$3,0),FALSE)-$AY248/VLOOKUP(VLOOKUP($AW248,坦克个性化设定!$B$18:$E$48,4,FALSE)&amp;$AX248,坦克属性分配比例,MATCH("升星次数",坦克属性分配比例标头,0),FALSE)*VLOOKUP($AW248,$AM$3:$AS$33,MATCH("换弹时间",$AM$3:$AS$3,0),FALSE),2))</f>
        <v>3.49</v>
      </c>
      <c r="BJ248" s="654">
        <f>IF(VLOOKUP(AW248,坦克个性化设定!$B$18:$BB$48,MATCH("装弹类型",坦克个性化设定!$B$18:$BB$18,0),FALSE)="弹夹换弹",ROUND(VLOOKUP($AW248,$AD$3:$AJ$33,MATCH("换弹时间",$AD$3:$AJ$3,0),FALSE)-$AY248/VLOOKUP(VLOOKUP($AW248,坦克个性化设定!$B$18:$E$48,4,FALSE)&amp;$AX248,坦克属性分配比例,MATCH("升星次数",坦克属性分配比例标头,0),FALSE)*VLOOKUP($AW248,$AM$3:$AS$33,MATCH("换弹时间",$AM$3:$AS$3,0),FALSE),1),0)</f>
        <v>0</v>
      </c>
      <c r="BK248" s="654">
        <f>ROUND(VLOOKUP($AW248,$AD$3:$AJ$33,MATCH(BK$3,$AD$3:$AJ$3,0),FALSE)+$AY248/VLOOKUP(VLOOKUP($AW248,坦克个性化设定!$B$18:$E$48,4,FALSE)&amp;$AX248,坦克属性分配比例,MATCH("升星次数",坦克属性分配比例标头,0),FALSE)*VLOOKUP($AW248,$AM$3:$AS$33,MATCH(BK$3,$AM$3:$AS$3,0),FALSE),2)</f>
        <v>0</v>
      </c>
      <c r="BL248" s="654">
        <f>ROUND(VLOOKUP($AW248,$AD$3:$AJ$33,MATCH(BL$3,$AD$3:$AJ$3,0),FALSE)-$AY248/VLOOKUP(VLOOKUP($AW248,坦克个性化设定!$B$18:$E$48,4,FALSE)&amp;$AX248,坦克属性分配比例,MATCH("升星次数",坦克属性分配比例标头,0),FALSE)*VLOOKUP($AW248,$AM$3:$AS$33,MATCH(BL$3,$AM$3:$AS$3,0),FALSE),2)</f>
        <v>2.0299999999999998</v>
      </c>
    </row>
    <row r="249" spans="47:64" x14ac:dyDescent="0.35">
      <c r="AU249" s="372" t="str">
        <f t="shared" si="27"/>
        <v>挑战者12</v>
      </c>
      <c r="AV249" s="654">
        <f>IF(AY248&gt;=VLOOKUP(VLOOKUP(AW248,坦克个性化设定!$B$18:$E$48,4,FALSE)&amp;AX248,坦克属性分配比例,MATCH("升星次数",坦克属性分配比例标头,0),FALSE),AV248+1,AV248)</f>
        <v>20</v>
      </c>
      <c r="AW249" s="649" t="str">
        <f t="shared" si="28"/>
        <v>挑战者</v>
      </c>
      <c r="AX249" s="650" t="str">
        <f>VLOOKUP(AW249,坦克个性化细分!$I$3:$J$33,2,FALSE)</f>
        <v>低</v>
      </c>
      <c r="AY249" s="654">
        <f t="shared" si="29"/>
        <v>12</v>
      </c>
      <c r="AZ249" s="654">
        <f ca="1">ROUND(VLOOKUP($AW249&amp;"初始",$O$3:$AA$63,MATCH(AZ$3,$O$3:$AA$3,0),FALSE)+((VLOOKUP($AW249&amp;"最终",$O$3:$AA$63,MATCH(AZ$3,$O$3:$AA$3,0),FALSE)*坦克个性化细分!$C$9-VLOOKUP($AW249&amp;"初始",$O$3:$AA$63,MATCH(AZ$3,$O$3:$AA$3,0),FALSE))-(VLOOKUP($AW249&amp;"最终",$O$3:$AA$63,MATCH(AZ$3,$O$3:$AA$3,0),FALSE)-VLOOKUP($AW249&amp;"初始",$O$3:$AA$63,MATCH(AZ$3,$O$3:$AA$3,0),FALSE))*VLOOKUP(VLOOKUP($AW249,坦克个性化设定!$B$18:$E$48,4,FALSE)&amp;$AX249,坦克属性分配比例,MATCH("部件比例",坦克属性分配比例标头,0),FALSE))*$AY249/VLOOKUP(VLOOKUP($AW249,坦克个性化设定!$B$18:$E$48,4,FALSE)&amp;$AX249,坦克属性分配比例,MATCH("升星次数",坦克属性分配比例标头,0),FALSE),0)</f>
        <v>3457</v>
      </c>
      <c r="BA249" s="654">
        <f ca="1">ROUND(VLOOKUP($AW249&amp;"初始",$O$3:$AA$63,MATCH(BA$3,$O$3:$AA$3,0),FALSE)+(VLOOKUP($AW249&amp;"最终",$O$3:$AA$63,MATCH(BA$3,$O$3:$AA$3,0),FALSE)-VLOOKUP($AW249&amp;"初始",$O$3:$AA$63,MATCH(BA$3,$O$3:$AA$3,0),FALSE))*$AY249/VLOOKUP(VLOOKUP($AW249,坦克个性化设定!$B$18:$E$48,4,FALSE)&amp;$AX249,坦克属性分配比例,MATCH("升星次数",坦克属性分配比例标头,0),FALSE)*VLOOKUP(VLOOKUP($AW249,坦克个性化设定!$B$18:$E$48,4,FALSE)&amp;$AX249,坦克属性分配比例,MATCH("升星比例",坦克属性分配比例标头,0),FALSE),0)</f>
        <v>329</v>
      </c>
      <c r="BB249" s="654">
        <f ca="1">ROUND(VLOOKUP($AW249&amp;"初始",$O$3:$AA$63,MATCH(BB$3,$O$3:$AA$3,0),FALSE)+(VLOOKUP($AW249&amp;"最终",$O$3:$AA$63,MATCH(BB$3,$O$3:$AA$3,0),FALSE)-VLOOKUP($AW249&amp;"初始",$O$3:$AA$63,MATCH(BB$3,$O$3:$AA$3,0),FALSE))*$AY249/VLOOKUP(VLOOKUP($AW249,坦克个性化设定!$B$18:$E$48,4,FALSE)&amp;$AX249,坦克属性分配比例,MATCH("升星次数",坦克属性分配比例标头,0),FALSE)*(VLOOKUP(VLOOKUP($AW249,坦克个性化设定!$B$18:$E$48,4,FALSE)&amp;$AX249,坦克属性分配比例,MATCH("升星比例",坦克属性分配比例标头,0),FALSE)+VLOOKUP(VLOOKUP($AW249,坦克个性化设定!$B$18:$E$48,4,FALSE)&amp;$AX249,坦克属性分配比例,MATCH("部件比例",坦克属性分配比例标头,0),FALSE)*$C$3),0)</f>
        <v>1025</v>
      </c>
      <c r="BC249" s="654">
        <f ca="1">ROUND(VLOOKUP($AW249&amp;"初始",$O$3:$AA$63,MATCH(BC$3,$O$3:$AA$3,0),FALSE)+(VLOOKUP($AW249&amp;"最终",$O$3:$AA$63,MATCH(BC$3,$O$3:$AA$3,0),FALSE)-VLOOKUP($AW249&amp;"初始",$O$3:$AA$63,MATCH(BC$3,$O$3:$AA$3,0),FALSE))*$AY249/VLOOKUP(VLOOKUP($AW249,坦克个性化设定!$B$18:$E$48,4,FALSE)&amp;$AX249,坦克属性分配比例,MATCH("升星次数",坦克属性分配比例标头,0),FALSE)*(VLOOKUP(VLOOKUP($AW249,坦克个性化设定!$B$18:$E$48,4,FALSE)&amp;$AX249,坦克属性分配比例,MATCH("升星比例",坦克属性分配比例标头,0),FALSE)+VLOOKUP(VLOOKUP($AW249,坦克个性化设定!$B$18:$E$48,4,FALSE)&amp;$AX249,坦克属性分配比例,MATCH("部件比例",坦克属性分配比例标头,0),FALSE)*$C$3),0)</f>
        <v>769</v>
      </c>
      <c r="BD249" s="654">
        <f ca="1">ROUND(VLOOKUP($AW249&amp;"初始",$O$3:$AA$63,MATCH(BD$3,$O$3:$AA$3,0),FALSE)+(VLOOKUP($AW249&amp;"最终",$O$3:$AA$63,MATCH(BD$3,$O$3:$AA$3,0),FALSE)-VLOOKUP($AW249&amp;"初始",$O$3:$AA$63,MATCH(BD$3,$O$3:$AA$3,0),FALSE))*$AY249/VLOOKUP(VLOOKUP($AW249,坦克个性化设定!$B$18:$E$48,4,FALSE)&amp;$AX249,坦克属性分配比例,MATCH("升星次数",坦克属性分配比例标头,0),FALSE)*VLOOKUP(VLOOKUP($AW249,坦克个性化设定!$B$18:$E$48,4,FALSE)&amp;$AX249,坦克属性分配比例,MATCH("升星比例",坦克属性分配比例标头,0),FALSE),0)</f>
        <v>864</v>
      </c>
      <c r="BE249" s="654">
        <f ca="1">ROUND(VLOOKUP($AW249&amp;"初始",$O$3:$AA$63,MATCH(BE$3,$O$3:$AA$3,0),FALSE)+(VLOOKUP($AW249&amp;"最终",$O$3:$AA$63,MATCH(BE$3,$O$3:$AA$3,0),FALSE)-VLOOKUP($AW249&amp;"初始",$O$3:$AA$63,MATCH(BE$3,$O$3:$AA$3,0),FALSE))*$AY249/VLOOKUP(VLOOKUP($AW249,坦克个性化设定!$B$18:$E$48,4,FALSE)&amp;$AX249,坦克属性分配比例,MATCH("升星次数",坦克属性分配比例标头,0),FALSE),0)</f>
        <v>317</v>
      </c>
      <c r="BF249" s="654">
        <f>ROUND(VLOOKUP($AW249,$AD$3:$AJ$33,MATCH(BF$3,$AD$3:$AJ$3,0),FALSE)+$AY249/VLOOKUP(VLOOKUP($AW249,坦克个性化设定!$B$18:$E$48,4,FALSE)&amp;$AX249,坦克属性分配比例,MATCH("升星次数",坦克属性分配比例标头,0),FALSE)*VLOOKUP($AW249,$AM$3:$AS$33,MATCH(BF$3,$AM$3:$AS$3,0),FALSE),1)</f>
        <v>44.5</v>
      </c>
      <c r="BG249" s="654">
        <f>ROUND(VLOOKUP($AW249,$AD$3:$AJ$33,MATCH(BG$3,$AD$3:$AJ$3,0),FALSE)+$AY249/VLOOKUP(VLOOKUP($AW249,坦克个性化设定!$B$18:$E$48,4,FALSE)&amp;$AX249,坦克属性分配比例,MATCH("升星次数",坦克属性分配比例标头,0),FALSE)*VLOOKUP($AW249,$AM$3:$AS$33,MATCH(BG$3,$AM$3:$AS$3,0),FALSE),1)</f>
        <v>62.5</v>
      </c>
      <c r="BH249" s="654">
        <f>ROUND(VLOOKUP($AW249,$AD$3:$AJ$33,MATCH(BH$3,$AD$3:$AJ$3,0),FALSE)+$AY249/VLOOKUP(VLOOKUP($AW249,坦克个性化设定!$B$18:$E$48,4,FALSE)&amp;$AX249,坦克属性分配比例,MATCH("升星次数",坦克属性分配比例标头,0),FALSE)*VLOOKUP($AW249,$AM$3:$AS$33,MATCH(BH$3,$AM$3:$AS$3,0),FALSE),1)</f>
        <v>14.7</v>
      </c>
      <c r="BI249" s="654">
        <f>IF(VLOOKUP(AW249,坦克个性化设定!$B$18:$BB$48,MATCH("装弹类型",坦克个性化设定!$B$18:$BB$18,0),FALSE)="弹夹换弹",0,ROUND(VLOOKUP($AW249,$AD$3:$AJ$33,MATCH("换弹时间",$AD$3:$AJ$3,0),FALSE)-$AY249/VLOOKUP(VLOOKUP($AW249,坦克个性化设定!$B$18:$E$48,4,FALSE)&amp;$AX249,坦克属性分配比例,MATCH("升星次数",坦克属性分配比例标头,0),FALSE)*VLOOKUP($AW249,$AM$3:$AS$33,MATCH("换弹时间",$AM$3:$AS$3,0),FALSE),2))</f>
        <v>3.4</v>
      </c>
      <c r="BJ249" s="654">
        <f>IF(VLOOKUP(AW249,坦克个性化设定!$B$18:$BB$48,MATCH("装弹类型",坦克个性化设定!$B$18:$BB$18,0),FALSE)="弹夹换弹",ROUND(VLOOKUP($AW249,$AD$3:$AJ$33,MATCH("换弹时间",$AD$3:$AJ$3,0),FALSE)-$AY249/VLOOKUP(VLOOKUP($AW249,坦克个性化设定!$B$18:$E$48,4,FALSE)&amp;$AX249,坦克属性分配比例,MATCH("升星次数",坦克属性分配比例标头,0),FALSE)*VLOOKUP($AW249,$AM$3:$AS$33,MATCH("换弹时间",$AM$3:$AS$3,0),FALSE),1),0)</f>
        <v>0</v>
      </c>
      <c r="BK249" s="654">
        <f>ROUND(VLOOKUP($AW249,$AD$3:$AJ$33,MATCH(BK$3,$AD$3:$AJ$3,0),FALSE)+$AY249/VLOOKUP(VLOOKUP($AW249,坦克个性化设定!$B$18:$E$48,4,FALSE)&amp;$AX249,坦克属性分配比例,MATCH("升星次数",坦克属性分配比例标头,0),FALSE)*VLOOKUP($AW249,$AM$3:$AS$33,MATCH(BK$3,$AM$3:$AS$3,0),FALSE),2)</f>
        <v>0</v>
      </c>
      <c r="BL249" s="654">
        <f>ROUND(VLOOKUP($AW249,$AD$3:$AJ$33,MATCH(BL$3,$AD$3:$AJ$3,0),FALSE)-$AY249/VLOOKUP(VLOOKUP($AW249,坦克个性化设定!$B$18:$E$48,4,FALSE)&amp;$AX249,坦克属性分配比例,MATCH("升星次数",坦克属性分配比例标头,0),FALSE)*VLOOKUP($AW249,$AM$3:$AS$33,MATCH(BL$3,$AM$3:$AS$3,0),FALSE),2)</f>
        <v>2</v>
      </c>
    </row>
    <row r="250" spans="47:64" x14ac:dyDescent="0.35">
      <c r="AU250" s="372" t="str">
        <f t="shared" si="27"/>
        <v>B-10</v>
      </c>
      <c r="AV250" s="654">
        <f>IF(AY249&gt;=VLOOKUP(VLOOKUP(AW249,坦克个性化设定!$B$18:$E$48,4,FALSE)&amp;AX249,坦克属性分配比例,MATCH("升星次数",坦克属性分配比例标头,0),FALSE),AV249+1,AV249)</f>
        <v>21</v>
      </c>
      <c r="AW250" s="649" t="str">
        <f t="shared" si="28"/>
        <v>B-1</v>
      </c>
      <c r="AX250" s="650" t="str">
        <f>VLOOKUP(AW250,坦克个性化细分!$I$3:$J$33,2,FALSE)</f>
        <v>低</v>
      </c>
      <c r="AY250" s="654">
        <f t="shared" si="29"/>
        <v>0</v>
      </c>
      <c r="AZ250" s="654">
        <f ca="1">ROUND(VLOOKUP($AW250&amp;"初始",$O$3:$AA$63,MATCH(AZ$3,$O$3:$AA$3,0),FALSE)+((VLOOKUP($AW250&amp;"最终",$O$3:$AA$63,MATCH(AZ$3,$O$3:$AA$3,0),FALSE)*坦克个性化细分!$C$9-VLOOKUP($AW250&amp;"初始",$O$3:$AA$63,MATCH(AZ$3,$O$3:$AA$3,0),FALSE))-(VLOOKUP($AW250&amp;"最终",$O$3:$AA$63,MATCH(AZ$3,$O$3:$AA$3,0),FALSE)-VLOOKUP($AW250&amp;"初始",$O$3:$AA$63,MATCH(AZ$3,$O$3:$AA$3,0),FALSE))*VLOOKUP(VLOOKUP($AW250,坦克个性化设定!$B$18:$E$48,4,FALSE)&amp;$AX250,坦克属性分配比例,MATCH("部件比例",坦克属性分配比例标头,0),FALSE))*$AY250/VLOOKUP(VLOOKUP($AW250,坦克个性化设定!$B$18:$E$48,4,FALSE)&amp;$AX250,坦克属性分配比例,MATCH("升星次数",坦克属性分配比例标头,0),FALSE),0)</f>
        <v>929</v>
      </c>
      <c r="BA250" s="654">
        <f ca="1">ROUND(VLOOKUP($AW250&amp;"初始",$O$3:$AA$63,MATCH(BA$3,$O$3:$AA$3,0),FALSE)+(VLOOKUP($AW250&amp;"最终",$O$3:$AA$63,MATCH(BA$3,$O$3:$AA$3,0),FALSE)-VLOOKUP($AW250&amp;"初始",$O$3:$AA$63,MATCH(BA$3,$O$3:$AA$3,0),FALSE))*$AY250/VLOOKUP(VLOOKUP($AW250,坦克个性化设定!$B$18:$E$48,4,FALSE)&amp;$AX250,坦克属性分配比例,MATCH("升星次数",坦克属性分配比例标头,0),FALSE)*VLOOKUP(VLOOKUP($AW250,坦克个性化设定!$B$18:$E$48,4,FALSE)&amp;$AX250,坦克属性分配比例,MATCH("升星比例",坦克属性分配比例标头,0),FALSE),0)</f>
        <v>174</v>
      </c>
      <c r="BB250" s="654">
        <f ca="1">ROUND(VLOOKUP($AW250&amp;"初始",$O$3:$AA$63,MATCH(BB$3,$O$3:$AA$3,0),FALSE)+(VLOOKUP($AW250&amp;"最终",$O$3:$AA$63,MATCH(BB$3,$O$3:$AA$3,0),FALSE)-VLOOKUP($AW250&amp;"初始",$O$3:$AA$63,MATCH(BB$3,$O$3:$AA$3,0),FALSE))*$AY250/VLOOKUP(VLOOKUP($AW250,坦克个性化设定!$B$18:$E$48,4,FALSE)&amp;$AX250,坦克属性分配比例,MATCH("升星次数",坦克属性分配比例标头,0),FALSE)*(VLOOKUP(VLOOKUP($AW250,坦克个性化设定!$B$18:$E$48,4,FALSE)&amp;$AX250,坦克属性分配比例,MATCH("升星比例",坦克属性分配比例标头,0),FALSE)+VLOOKUP(VLOOKUP($AW250,坦克个性化设定!$B$18:$E$48,4,FALSE)&amp;$AX250,坦克属性分配比例,MATCH("部件比例",坦克属性分配比例标头,0),FALSE)*$C$3),0)</f>
        <v>286</v>
      </c>
      <c r="BC250" s="654">
        <f ca="1">ROUND(VLOOKUP($AW250&amp;"初始",$O$3:$AA$63,MATCH(BC$3,$O$3:$AA$3,0),FALSE)+(VLOOKUP($AW250&amp;"最终",$O$3:$AA$63,MATCH(BC$3,$O$3:$AA$3,0),FALSE)-VLOOKUP($AW250&amp;"初始",$O$3:$AA$63,MATCH(BC$3,$O$3:$AA$3,0),FALSE))*$AY250/VLOOKUP(VLOOKUP($AW250,坦克个性化设定!$B$18:$E$48,4,FALSE)&amp;$AX250,坦克属性分配比例,MATCH("升星次数",坦克属性分配比例标头,0),FALSE)*(VLOOKUP(VLOOKUP($AW250,坦克个性化设定!$B$18:$E$48,4,FALSE)&amp;$AX250,坦克属性分配比例,MATCH("升星比例",坦克属性分配比例标头,0),FALSE)+VLOOKUP(VLOOKUP($AW250,坦克个性化设定!$B$18:$E$48,4,FALSE)&amp;$AX250,坦克属性分配比例,MATCH("部件比例",坦克属性分配比例标头,0),FALSE)*$C$3),0)</f>
        <v>229</v>
      </c>
      <c r="BD250" s="654">
        <f ca="1">ROUND(VLOOKUP($AW250&amp;"初始",$O$3:$AA$63,MATCH(BD$3,$O$3:$AA$3,0),FALSE)+(VLOOKUP($AW250&amp;"最终",$O$3:$AA$63,MATCH(BD$3,$O$3:$AA$3,0),FALSE)-VLOOKUP($AW250&amp;"初始",$O$3:$AA$63,MATCH(BD$3,$O$3:$AA$3,0),FALSE))*$AY250/VLOOKUP(VLOOKUP($AW250,坦克个性化设定!$B$18:$E$48,4,FALSE)&amp;$AX250,坦克属性分配比例,MATCH("升星次数",坦克属性分配比例标头,0),FALSE)*VLOOKUP(VLOOKUP($AW250,坦克个性化设定!$B$18:$E$48,4,FALSE)&amp;$AX250,坦克属性分配比例,MATCH("升星比例",坦克属性分配比例标头,0),FALSE),0)</f>
        <v>420</v>
      </c>
      <c r="BE250" s="654">
        <f ca="1">ROUND(VLOOKUP($AW250&amp;"初始",$O$3:$AA$63,MATCH(BE$3,$O$3:$AA$3,0),FALSE)+(VLOOKUP($AW250&amp;"最终",$O$3:$AA$63,MATCH(BE$3,$O$3:$AA$3,0),FALSE)-VLOOKUP($AW250&amp;"初始",$O$3:$AA$63,MATCH(BE$3,$O$3:$AA$3,0),FALSE))*$AY250/VLOOKUP(VLOOKUP($AW250,坦克个性化设定!$B$18:$E$48,4,FALSE)&amp;$AX250,坦克属性分配比例,MATCH("升星次数",坦克属性分配比例标头,0),FALSE),0)</f>
        <v>95</v>
      </c>
      <c r="BF250" s="654">
        <f>ROUND(VLOOKUP($AW250,$AD$3:$AJ$33,MATCH(BF$3,$AD$3:$AJ$3,0),FALSE)+$AY250/VLOOKUP(VLOOKUP($AW250,坦克个性化设定!$B$18:$E$48,4,FALSE)&amp;$AX250,坦克属性分配比例,MATCH("升星次数",坦克属性分配比例标头,0),FALSE)*VLOOKUP($AW250,$AM$3:$AS$33,MATCH(BF$3,$AM$3:$AS$3,0),FALSE),1)</f>
        <v>39.200000000000003</v>
      </c>
      <c r="BG250" s="654">
        <f>ROUND(VLOOKUP($AW250,$AD$3:$AJ$33,MATCH(BG$3,$AD$3:$AJ$3,0),FALSE)+$AY250/VLOOKUP(VLOOKUP($AW250,坦克个性化设定!$B$18:$E$48,4,FALSE)&amp;$AX250,坦克属性分配比例,MATCH("升星次数",坦克属性分配比例标头,0),FALSE)*VLOOKUP($AW250,$AM$3:$AS$33,MATCH(BG$3,$AM$3:$AS$3,0),FALSE),1)</f>
        <v>35</v>
      </c>
      <c r="BH250" s="654">
        <f>ROUND(VLOOKUP($AW250,$AD$3:$AJ$33,MATCH(BH$3,$AD$3:$AJ$3,0),FALSE)+$AY250/VLOOKUP(VLOOKUP($AW250,坦克个性化设定!$B$18:$E$48,4,FALSE)&amp;$AX250,坦克属性分配比例,MATCH("升星次数",坦克属性分配比例标头,0),FALSE)*VLOOKUP($AW250,$AM$3:$AS$33,MATCH(BH$3,$AM$3:$AS$3,0),FALSE),1)</f>
        <v>10.5</v>
      </c>
      <c r="BI250" s="654">
        <f>IF(VLOOKUP(AW250,坦克个性化设定!$B$18:$BB$48,MATCH("装弹类型",坦克个性化设定!$B$18:$BB$18,0),FALSE)="弹夹换弹",0,ROUND(VLOOKUP($AW250,$AD$3:$AJ$33,MATCH("换弹时间",$AD$3:$AJ$3,0),FALSE)-$AY250/VLOOKUP(VLOOKUP($AW250,坦克个性化设定!$B$18:$E$48,4,FALSE)&amp;$AX250,坦克属性分配比例,MATCH("升星次数",坦克属性分配比例标头,0),FALSE)*VLOOKUP($AW250,$AM$3:$AS$33,MATCH("换弹时间",$AM$3:$AS$3,0),FALSE),2))</f>
        <v>5.4</v>
      </c>
      <c r="BJ250" s="654">
        <f>IF(VLOOKUP(AW250,坦克个性化设定!$B$18:$BB$48,MATCH("装弹类型",坦克个性化设定!$B$18:$BB$18,0),FALSE)="弹夹换弹",ROUND(VLOOKUP($AW250,$AD$3:$AJ$33,MATCH("换弹时间",$AD$3:$AJ$3,0),FALSE)-$AY250/VLOOKUP(VLOOKUP($AW250,坦克个性化设定!$B$18:$E$48,4,FALSE)&amp;$AX250,坦克属性分配比例,MATCH("升星次数",坦克属性分配比例标头,0),FALSE)*VLOOKUP($AW250,$AM$3:$AS$33,MATCH("换弹时间",$AM$3:$AS$3,0),FALSE),1),0)</f>
        <v>0</v>
      </c>
      <c r="BK250" s="654">
        <f>ROUND(VLOOKUP($AW250,$AD$3:$AJ$33,MATCH(BK$3,$AD$3:$AJ$3,0),FALSE)+$AY250/VLOOKUP(VLOOKUP($AW250,坦克个性化设定!$B$18:$E$48,4,FALSE)&amp;$AX250,坦克属性分配比例,MATCH("升星次数",坦克属性分配比例标头,0),FALSE)*VLOOKUP($AW250,$AM$3:$AS$33,MATCH(BK$3,$AM$3:$AS$3,0),FALSE),2)</f>
        <v>2.8</v>
      </c>
      <c r="BL250" s="654">
        <f>ROUND(VLOOKUP($AW250,$AD$3:$AJ$33,MATCH(BL$3,$AD$3:$AJ$3,0),FALSE)-$AY250/VLOOKUP(VLOOKUP($AW250,坦克个性化设定!$B$18:$E$48,4,FALSE)&amp;$AX250,坦克属性分配比例,MATCH("升星次数",坦克属性分配比例标头,0),FALSE)*VLOOKUP($AW250,$AM$3:$AS$33,MATCH(BL$3,$AM$3:$AS$3,0),FALSE),2)</f>
        <v>2.65</v>
      </c>
    </row>
    <row r="251" spans="47:64" x14ac:dyDescent="0.35">
      <c r="AU251" s="372" t="str">
        <f t="shared" si="27"/>
        <v>B-11</v>
      </c>
      <c r="AV251" s="654">
        <f>IF(AY250&gt;=VLOOKUP(VLOOKUP(AW250,坦克个性化设定!$B$18:$E$48,4,FALSE)&amp;AX250,坦克属性分配比例,MATCH("升星次数",坦克属性分配比例标头,0),FALSE),AV250+1,AV250)</f>
        <v>21</v>
      </c>
      <c r="AW251" s="649" t="str">
        <f t="shared" si="28"/>
        <v>B-1</v>
      </c>
      <c r="AX251" s="650" t="str">
        <f>VLOOKUP(AW251,坦克个性化细分!$I$3:$J$33,2,FALSE)</f>
        <v>低</v>
      </c>
      <c r="AY251" s="654">
        <f t="shared" si="29"/>
        <v>1</v>
      </c>
      <c r="AZ251" s="654">
        <f ca="1">ROUND(VLOOKUP($AW251&amp;"初始",$O$3:$AA$63,MATCH(AZ$3,$O$3:$AA$3,0),FALSE)+((VLOOKUP($AW251&amp;"最终",$O$3:$AA$63,MATCH(AZ$3,$O$3:$AA$3,0),FALSE)*坦克个性化细分!$C$9-VLOOKUP($AW251&amp;"初始",$O$3:$AA$63,MATCH(AZ$3,$O$3:$AA$3,0),FALSE))-(VLOOKUP($AW251&amp;"最终",$O$3:$AA$63,MATCH(AZ$3,$O$3:$AA$3,0),FALSE)-VLOOKUP($AW251&amp;"初始",$O$3:$AA$63,MATCH(AZ$3,$O$3:$AA$3,0),FALSE))*VLOOKUP(VLOOKUP($AW251,坦克个性化设定!$B$18:$E$48,4,FALSE)&amp;$AX251,坦克属性分配比例,MATCH("部件比例",坦克属性分配比例标头,0),FALSE))*$AY251/VLOOKUP(VLOOKUP($AW251,坦克个性化设定!$B$18:$E$48,4,FALSE)&amp;$AX251,坦克属性分配比例,MATCH("升星次数",坦克属性分配比例标头,0),FALSE),0)</f>
        <v>1089</v>
      </c>
      <c r="BA251" s="654">
        <f ca="1">ROUND(VLOOKUP($AW251&amp;"初始",$O$3:$AA$63,MATCH(BA$3,$O$3:$AA$3,0),FALSE)+(VLOOKUP($AW251&amp;"最终",$O$3:$AA$63,MATCH(BA$3,$O$3:$AA$3,0),FALSE)-VLOOKUP($AW251&amp;"初始",$O$3:$AA$63,MATCH(BA$3,$O$3:$AA$3,0),FALSE))*$AY251/VLOOKUP(VLOOKUP($AW251,坦克个性化设定!$B$18:$E$48,4,FALSE)&amp;$AX251,坦克属性分配比例,MATCH("升星次数",坦克属性分配比例标头,0),FALSE)*VLOOKUP(VLOOKUP($AW251,坦克个性化设定!$B$18:$E$48,4,FALSE)&amp;$AX251,坦克属性分配比例,MATCH("升星比例",坦克属性分配比例标头,0),FALSE),0)</f>
        <v>185</v>
      </c>
      <c r="BB251" s="654">
        <f ca="1">ROUND(VLOOKUP($AW251&amp;"初始",$O$3:$AA$63,MATCH(BB$3,$O$3:$AA$3,0),FALSE)+(VLOOKUP($AW251&amp;"最终",$O$3:$AA$63,MATCH(BB$3,$O$3:$AA$3,0),FALSE)-VLOOKUP($AW251&amp;"初始",$O$3:$AA$63,MATCH(BB$3,$O$3:$AA$3,0),FALSE))*$AY251/VLOOKUP(VLOOKUP($AW251,坦克个性化设定!$B$18:$E$48,4,FALSE)&amp;$AX251,坦克属性分配比例,MATCH("升星次数",坦克属性分配比例标头,0),FALSE)*(VLOOKUP(VLOOKUP($AW251,坦克个性化设定!$B$18:$E$48,4,FALSE)&amp;$AX251,坦克属性分配比例,MATCH("升星比例",坦克属性分配比例标头,0),FALSE)+VLOOKUP(VLOOKUP($AW251,坦克个性化设定!$B$18:$E$48,4,FALSE)&amp;$AX251,坦克属性分配比例,MATCH("部件比例",坦克属性分配比例标头,0),FALSE)*$C$3),0)</f>
        <v>311</v>
      </c>
      <c r="BC251" s="654">
        <f ca="1">ROUND(VLOOKUP($AW251&amp;"初始",$O$3:$AA$63,MATCH(BC$3,$O$3:$AA$3,0),FALSE)+(VLOOKUP($AW251&amp;"最终",$O$3:$AA$63,MATCH(BC$3,$O$3:$AA$3,0),FALSE)-VLOOKUP($AW251&amp;"初始",$O$3:$AA$63,MATCH(BC$3,$O$3:$AA$3,0),FALSE))*$AY251/VLOOKUP(VLOOKUP($AW251,坦克个性化设定!$B$18:$E$48,4,FALSE)&amp;$AX251,坦克属性分配比例,MATCH("升星次数",坦克属性分配比例标头,0),FALSE)*(VLOOKUP(VLOOKUP($AW251,坦克个性化设定!$B$18:$E$48,4,FALSE)&amp;$AX251,坦克属性分配比例,MATCH("升星比例",坦克属性分配比例标头,0),FALSE)+VLOOKUP(VLOOKUP($AW251,坦克个性化设定!$B$18:$E$48,4,FALSE)&amp;$AX251,坦克属性分配比例,MATCH("部件比例",坦克属性分配比例标头,0),FALSE)*$C$3),0)</f>
        <v>249</v>
      </c>
      <c r="BD251" s="654">
        <f ca="1">ROUND(VLOOKUP($AW251&amp;"初始",$O$3:$AA$63,MATCH(BD$3,$O$3:$AA$3,0),FALSE)+(VLOOKUP($AW251&amp;"最终",$O$3:$AA$63,MATCH(BD$3,$O$3:$AA$3,0),FALSE)-VLOOKUP($AW251&amp;"初始",$O$3:$AA$63,MATCH(BD$3,$O$3:$AA$3,0),FALSE))*$AY251/VLOOKUP(VLOOKUP($AW251,坦克个性化设定!$B$18:$E$48,4,FALSE)&amp;$AX251,坦克属性分配比例,MATCH("升星次数",坦克属性分配比例标头,0),FALSE)*VLOOKUP(VLOOKUP($AW251,坦克个性化设定!$B$18:$E$48,4,FALSE)&amp;$AX251,坦克属性分配比例,MATCH("升星比例",坦克属性分配比例标头,0),FALSE),0)</f>
        <v>448</v>
      </c>
      <c r="BE251" s="654">
        <f ca="1">ROUND(VLOOKUP($AW251&amp;"初始",$O$3:$AA$63,MATCH(BE$3,$O$3:$AA$3,0),FALSE)+(VLOOKUP($AW251&amp;"最终",$O$3:$AA$63,MATCH(BE$3,$O$3:$AA$3,0),FALSE)-VLOOKUP($AW251&amp;"初始",$O$3:$AA$63,MATCH(BE$3,$O$3:$AA$3,0),FALSE))*$AY251/VLOOKUP(VLOOKUP($AW251,坦克个性化设定!$B$18:$E$48,4,FALSE)&amp;$AX251,坦克属性分配比例,MATCH("升星次数",坦克属性分配比例标头,0),FALSE),0)</f>
        <v>105</v>
      </c>
      <c r="BF251" s="654">
        <f>ROUND(VLOOKUP($AW251,$AD$3:$AJ$33,MATCH(BF$3,$AD$3:$AJ$3,0),FALSE)+$AY251/VLOOKUP(VLOOKUP($AW251,坦克个性化设定!$B$18:$E$48,4,FALSE)&amp;$AX251,坦克属性分配比例,MATCH("升星次数",坦克属性分配比例标头,0),FALSE)*VLOOKUP($AW251,$AM$3:$AS$33,MATCH(BF$3,$AM$3:$AS$3,0),FALSE),1)</f>
        <v>41.7</v>
      </c>
      <c r="BG251" s="654">
        <f>ROUND(VLOOKUP($AW251,$AD$3:$AJ$33,MATCH(BG$3,$AD$3:$AJ$3,0),FALSE)+$AY251/VLOOKUP(VLOOKUP($AW251,坦克个性化设定!$B$18:$E$48,4,FALSE)&amp;$AX251,坦克属性分配比例,MATCH("升星次数",坦克属性分配比例标头,0),FALSE)*VLOOKUP($AW251,$AM$3:$AS$33,MATCH(BG$3,$AM$3:$AS$3,0),FALSE),1)</f>
        <v>37.200000000000003</v>
      </c>
      <c r="BH251" s="654">
        <f>ROUND(VLOOKUP($AW251,$AD$3:$AJ$33,MATCH(BH$3,$AD$3:$AJ$3,0),FALSE)+$AY251/VLOOKUP(VLOOKUP($AW251,坦克个性化设定!$B$18:$E$48,4,FALSE)&amp;$AX251,坦克属性分配比例,MATCH("升星次数",坦克属性分配比例标头,0),FALSE)*VLOOKUP($AW251,$AM$3:$AS$33,MATCH(BH$3,$AM$3:$AS$3,0),FALSE),1)</f>
        <v>11.4</v>
      </c>
      <c r="BI251" s="654">
        <f>IF(VLOOKUP(AW251,坦克个性化设定!$B$18:$BB$48,MATCH("装弹类型",坦克个性化设定!$B$18:$BB$18,0),FALSE)="弹夹换弹",0,ROUND(VLOOKUP($AW251,$AD$3:$AJ$33,MATCH("换弹时间",$AD$3:$AJ$3,0),FALSE)-$AY251/VLOOKUP(VLOOKUP($AW251,坦克个性化设定!$B$18:$E$48,4,FALSE)&amp;$AX251,坦克属性分配比例,MATCH("升星次数",坦克属性分配比例标头,0),FALSE)*VLOOKUP($AW251,$AM$3:$AS$33,MATCH("换弹时间",$AM$3:$AS$3,0),FALSE),2))</f>
        <v>5.05</v>
      </c>
      <c r="BJ251" s="654">
        <f>IF(VLOOKUP(AW251,坦克个性化设定!$B$18:$BB$48,MATCH("装弹类型",坦克个性化设定!$B$18:$BB$18,0),FALSE)="弹夹换弹",ROUND(VLOOKUP($AW251,$AD$3:$AJ$33,MATCH("换弹时间",$AD$3:$AJ$3,0),FALSE)-$AY251/VLOOKUP(VLOOKUP($AW251,坦克个性化设定!$B$18:$E$48,4,FALSE)&amp;$AX251,坦克属性分配比例,MATCH("升星次数",坦克属性分配比例标头,0),FALSE)*VLOOKUP($AW251,$AM$3:$AS$33,MATCH("换弹时间",$AM$3:$AS$3,0),FALSE),1),0)</f>
        <v>0</v>
      </c>
      <c r="BK251" s="654">
        <f>ROUND(VLOOKUP($AW251,$AD$3:$AJ$33,MATCH(BK$3,$AD$3:$AJ$3,0),FALSE)+$AY251/VLOOKUP(VLOOKUP($AW251,坦克个性化设定!$B$18:$E$48,4,FALSE)&amp;$AX251,坦克属性分配比例,MATCH("升星次数",坦克属性分配比例标头,0),FALSE)*VLOOKUP($AW251,$AM$3:$AS$33,MATCH(BK$3,$AM$3:$AS$3,0),FALSE),2)</f>
        <v>2.8</v>
      </c>
      <c r="BL251" s="654">
        <f>ROUND(VLOOKUP($AW251,$AD$3:$AJ$33,MATCH(BL$3,$AD$3:$AJ$3,0),FALSE)-$AY251/VLOOKUP(VLOOKUP($AW251,坦克个性化设定!$B$18:$E$48,4,FALSE)&amp;$AX251,坦克属性分配比例,MATCH("升星次数",坦克属性分配比例标头,0),FALSE)*VLOOKUP($AW251,$AM$3:$AS$33,MATCH(BL$3,$AM$3:$AS$3,0),FALSE),2)</f>
        <v>2.54</v>
      </c>
    </row>
    <row r="252" spans="47:64" x14ac:dyDescent="0.35">
      <c r="AU252" s="372" t="str">
        <f t="shared" si="27"/>
        <v>B-12</v>
      </c>
      <c r="AV252" s="654">
        <f>IF(AY251&gt;=VLOOKUP(VLOOKUP(AW251,坦克个性化设定!$B$18:$E$48,4,FALSE)&amp;AX251,坦克属性分配比例,MATCH("升星次数",坦克属性分配比例标头,0),FALSE),AV251+1,AV251)</f>
        <v>21</v>
      </c>
      <c r="AW252" s="649" t="str">
        <f t="shared" si="28"/>
        <v>B-1</v>
      </c>
      <c r="AX252" s="650" t="str">
        <f>VLOOKUP(AW252,坦克个性化细分!$I$3:$J$33,2,FALSE)</f>
        <v>低</v>
      </c>
      <c r="AY252" s="654">
        <f t="shared" si="29"/>
        <v>2</v>
      </c>
      <c r="AZ252" s="654">
        <f ca="1">ROUND(VLOOKUP($AW252&amp;"初始",$O$3:$AA$63,MATCH(AZ$3,$O$3:$AA$3,0),FALSE)+((VLOOKUP($AW252&amp;"最终",$O$3:$AA$63,MATCH(AZ$3,$O$3:$AA$3,0),FALSE)*坦克个性化细分!$C$9-VLOOKUP($AW252&amp;"初始",$O$3:$AA$63,MATCH(AZ$3,$O$3:$AA$3,0),FALSE))-(VLOOKUP($AW252&amp;"最终",$O$3:$AA$63,MATCH(AZ$3,$O$3:$AA$3,0),FALSE)-VLOOKUP($AW252&amp;"初始",$O$3:$AA$63,MATCH(AZ$3,$O$3:$AA$3,0),FALSE))*VLOOKUP(VLOOKUP($AW252,坦克个性化设定!$B$18:$E$48,4,FALSE)&amp;$AX252,坦克属性分配比例,MATCH("部件比例",坦克属性分配比例标头,0),FALSE))*$AY252/VLOOKUP(VLOOKUP($AW252,坦克个性化设定!$B$18:$E$48,4,FALSE)&amp;$AX252,坦克属性分配比例,MATCH("升星次数",坦克属性分配比例标头,0),FALSE),0)</f>
        <v>1250</v>
      </c>
      <c r="BA252" s="654">
        <f ca="1">ROUND(VLOOKUP($AW252&amp;"初始",$O$3:$AA$63,MATCH(BA$3,$O$3:$AA$3,0),FALSE)+(VLOOKUP($AW252&amp;"最终",$O$3:$AA$63,MATCH(BA$3,$O$3:$AA$3,0),FALSE)-VLOOKUP($AW252&amp;"初始",$O$3:$AA$63,MATCH(BA$3,$O$3:$AA$3,0),FALSE))*$AY252/VLOOKUP(VLOOKUP($AW252,坦克个性化设定!$B$18:$E$48,4,FALSE)&amp;$AX252,坦克属性分配比例,MATCH("升星次数",坦克属性分配比例标头,0),FALSE)*VLOOKUP(VLOOKUP($AW252,坦克个性化设定!$B$18:$E$48,4,FALSE)&amp;$AX252,坦克属性分配比例,MATCH("升星比例",坦克属性分配比例标头,0),FALSE),0)</f>
        <v>197</v>
      </c>
      <c r="BB252" s="654">
        <f ca="1">ROUND(VLOOKUP($AW252&amp;"初始",$O$3:$AA$63,MATCH(BB$3,$O$3:$AA$3,0),FALSE)+(VLOOKUP($AW252&amp;"最终",$O$3:$AA$63,MATCH(BB$3,$O$3:$AA$3,0),FALSE)-VLOOKUP($AW252&amp;"初始",$O$3:$AA$63,MATCH(BB$3,$O$3:$AA$3,0),FALSE))*$AY252/VLOOKUP(VLOOKUP($AW252,坦克个性化设定!$B$18:$E$48,4,FALSE)&amp;$AX252,坦克属性分配比例,MATCH("升星次数",坦克属性分配比例标头,0),FALSE)*(VLOOKUP(VLOOKUP($AW252,坦克个性化设定!$B$18:$E$48,4,FALSE)&amp;$AX252,坦克属性分配比例,MATCH("升星比例",坦克属性分配比例标头,0),FALSE)+VLOOKUP(VLOOKUP($AW252,坦克个性化设定!$B$18:$E$48,4,FALSE)&amp;$AX252,坦克属性分配比例,MATCH("部件比例",坦克属性分配比例标头,0),FALSE)*$C$3),0)</f>
        <v>335</v>
      </c>
      <c r="BC252" s="654">
        <f ca="1">ROUND(VLOOKUP($AW252&amp;"初始",$O$3:$AA$63,MATCH(BC$3,$O$3:$AA$3,0),FALSE)+(VLOOKUP($AW252&amp;"最终",$O$3:$AA$63,MATCH(BC$3,$O$3:$AA$3,0),FALSE)-VLOOKUP($AW252&amp;"初始",$O$3:$AA$63,MATCH(BC$3,$O$3:$AA$3,0),FALSE))*$AY252/VLOOKUP(VLOOKUP($AW252,坦克个性化设定!$B$18:$E$48,4,FALSE)&amp;$AX252,坦克属性分配比例,MATCH("升星次数",坦克属性分配比例标头,0),FALSE)*(VLOOKUP(VLOOKUP($AW252,坦克个性化设定!$B$18:$E$48,4,FALSE)&amp;$AX252,坦克属性分配比例,MATCH("升星比例",坦克属性分配比例标头,0),FALSE)+VLOOKUP(VLOOKUP($AW252,坦克个性化设定!$B$18:$E$48,4,FALSE)&amp;$AX252,坦克属性分配比例,MATCH("部件比例",坦克属性分配比例标头,0),FALSE)*$C$3),0)</f>
        <v>268</v>
      </c>
      <c r="BD252" s="654">
        <f ca="1">ROUND(VLOOKUP($AW252&amp;"初始",$O$3:$AA$63,MATCH(BD$3,$O$3:$AA$3,0),FALSE)+(VLOOKUP($AW252&amp;"最终",$O$3:$AA$63,MATCH(BD$3,$O$3:$AA$3,0),FALSE)-VLOOKUP($AW252&amp;"初始",$O$3:$AA$63,MATCH(BD$3,$O$3:$AA$3,0),FALSE))*$AY252/VLOOKUP(VLOOKUP($AW252,坦克个性化设定!$B$18:$E$48,4,FALSE)&amp;$AX252,坦克属性分配比例,MATCH("升星次数",坦克属性分配比例标头,0),FALSE)*VLOOKUP(VLOOKUP($AW252,坦克个性化设定!$B$18:$E$48,4,FALSE)&amp;$AX252,坦克属性分配比例,MATCH("升星比例",坦克属性分配比例标头,0),FALSE),0)</f>
        <v>476</v>
      </c>
      <c r="BE252" s="654">
        <f ca="1">ROUND(VLOOKUP($AW252&amp;"初始",$O$3:$AA$63,MATCH(BE$3,$O$3:$AA$3,0),FALSE)+(VLOOKUP($AW252&amp;"最终",$O$3:$AA$63,MATCH(BE$3,$O$3:$AA$3,0),FALSE)-VLOOKUP($AW252&amp;"初始",$O$3:$AA$63,MATCH(BE$3,$O$3:$AA$3,0),FALSE))*$AY252/VLOOKUP(VLOOKUP($AW252,坦克个性化设定!$B$18:$E$48,4,FALSE)&amp;$AX252,坦克属性分配比例,MATCH("升星次数",坦克属性分配比例标头,0),FALSE),0)</f>
        <v>114</v>
      </c>
      <c r="BF252" s="654">
        <f>ROUND(VLOOKUP($AW252,$AD$3:$AJ$33,MATCH(BF$3,$AD$3:$AJ$3,0),FALSE)+$AY252/VLOOKUP(VLOOKUP($AW252,坦克个性化设定!$B$18:$E$48,4,FALSE)&amp;$AX252,坦克属性分配比例,MATCH("升星次数",坦克属性分配比例标头,0),FALSE)*VLOOKUP($AW252,$AM$3:$AS$33,MATCH(BF$3,$AM$3:$AS$3,0),FALSE),1)</f>
        <v>44.1</v>
      </c>
      <c r="BG252" s="654">
        <f>ROUND(VLOOKUP($AW252,$AD$3:$AJ$33,MATCH(BG$3,$AD$3:$AJ$3,0),FALSE)+$AY252/VLOOKUP(VLOOKUP($AW252,坦克个性化设定!$B$18:$E$48,4,FALSE)&amp;$AX252,坦克属性分配比例,MATCH("升星次数",坦克属性分配比例标头,0),FALSE)*VLOOKUP($AW252,$AM$3:$AS$33,MATCH(BG$3,$AM$3:$AS$3,0),FALSE),1)</f>
        <v>39.4</v>
      </c>
      <c r="BH252" s="654">
        <f>ROUND(VLOOKUP($AW252,$AD$3:$AJ$33,MATCH(BH$3,$AD$3:$AJ$3,0),FALSE)+$AY252/VLOOKUP(VLOOKUP($AW252,坦克个性化设定!$B$18:$E$48,4,FALSE)&amp;$AX252,坦克属性分配比例,MATCH("升星次数",坦克属性分配比例标头,0),FALSE)*VLOOKUP($AW252,$AM$3:$AS$33,MATCH(BH$3,$AM$3:$AS$3,0),FALSE),1)</f>
        <v>12.2</v>
      </c>
      <c r="BI252" s="654">
        <f>IF(VLOOKUP(AW252,坦克个性化设定!$B$18:$BB$48,MATCH("装弹类型",坦克个性化设定!$B$18:$BB$18,0),FALSE)="弹夹换弹",0,ROUND(VLOOKUP($AW252,$AD$3:$AJ$33,MATCH("换弹时间",$AD$3:$AJ$3,0),FALSE)-$AY252/VLOOKUP(VLOOKUP($AW252,坦克个性化设定!$B$18:$E$48,4,FALSE)&amp;$AX252,坦克属性分配比例,MATCH("升星次数",坦克属性分配比例标头,0),FALSE)*VLOOKUP($AW252,$AM$3:$AS$33,MATCH("换弹时间",$AM$3:$AS$3,0),FALSE),2))</f>
        <v>4.6900000000000004</v>
      </c>
      <c r="BJ252" s="654">
        <f>IF(VLOOKUP(AW252,坦克个性化设定!$B$18:$BB$48,MATCH("装弹类型",坦克个性化设定!$B$18:$BB$18,0),FALSE)="弹夹换弹",ROUND(VLOOKUP($AW252,$AD$3:$AJ$33,MATCH("换弹时间",$AD$3:$AJ$3,0),FALSE)-$AY252/VLOOKUP(VLOOKUP($AW252,坦克个性化设定!$B$18:$E$48,4,FALSE)&amp;$AX252,坦克属性分配比例,MATCH("升星次数",坦克属性分配比例标头,0),FALSE)*VLOOKUP($AW252,$AM$3:$AS$33,MATCH("换弹时间",$AM$3:$AS$3,0),FALSE),1),0)</f>
        <v>0</v>
      </c>
      <c r="BK252" s="654">
        <f>ROUND(VLOOKUP($AW252,$AD$3:$AJ$33,MATCH(BK$3,$AD$3:$AJ$3,0),FALSE)+$AY252/VLOOKUP(VLOOKUP($AW252,坦克个性化设定!$B$18:$E$48,4,FALSE)&amp;$AX252,坦克属性分配比例,MATCH("升星次数",坦克属性分配比例标头,0),FALSE)*VLOOKUP($AW252,$AM$3:$AS$33,MATCH(BK$3,$AM$3:$AS$3,0),FALSE),2)</f>
        <v>2.8</v>
      </c>
      <c r="BL252" s="654">
        <f>ROUND(VLOOKUP($AW252,$AD$3:$AJ$33,MATCH(BL$3,$AD$3:$AJ$3,0),FALSE)-$AY252/VLOOKUP(VLOOKUP($AW252,坦克个性化设定!$B$18:$E$48,4,FALSE)&amp;$AX252,坦克属性分配比例,MATCH("升星次数",坦克属性分配比例标头,0),FALSE)*VLOOKUP($AW252,$AM$3:$AS$33,MATCH(BL$3,$AM$3:$AS$3,0),FALSE),2)</f>
        <v>2.4300000000000002</v>
      </c>
    </row>
    <row r="253" spans="47:64" x14ac:dyDescent="0.35">
      <c r="AU253" s="372" t="str">
        <f t="shared" si="27"/>
        <v>B-13</v>
      </c>
      <c r="AV253" s="654">
        <f>IF(AY252&gt;=VLOOKUP(VLOOKUP(AW252,坦克个性化设定!$B$18:$E$48,4,FALSE)&amp;AX252,坦克属性分配比例,MATCH("升星次数",坦克属性分配比例标头,0),FALSE),AV252+1,AV252)</f>
        <v>21</v>
      </c>
      <c r="AW253" s="649" t="str">
        <f t="shared" si="28"/>
        <v>B-1</v>
      </c>
      <c r="AX253" s="650" t="str">
        <f>VLOOKUP(AW253,坦克个性化细分!$I$3:$J$33,2,FALSE)</f>
        <v>低</v>
      </c>
      <c r="AY253" s="654">
        <f t="shared" si="29"/>
        <v>3</v>
      </c>
      <c r="AZ253" s="654">
        <f ca="1">ROUND(VLOOKUP($AW253&amp;"初始",$O$3:$AA$63,MATCH(AZ$3,$O$3:$AA$3,0),FALSE)+((VLOOKUP($AW253&amp;"最终",$O$3:$AA$63,MATCH(AZ$3,$O$3:$AA$3,0),FALSE)*坦克个性化细分!$C$9-VLOOKUP($AW253&amp;"初始",$O$3:$AA$63,MATCH(AZ$3,$O$3:$AA$3,0),FALSE))-(VLOOKUP($AW253&amp;"最终",$O$3:$AA$63,MATCH(AZ$3,$O$3:$AA$3,0),FALSE)-VLOOKUP($AW253&amp;"初始",$O$3:$AA$63,MATCH(AZ$3,$O$3:$AA$3,0),FALSE))*VLOOKUP(VLOOKUP($AW253,坦克个性化设定!$B$18:$E$48,4,FALSE)&amp;$AX253,坦克属性分配比例,MATCH("部件比例",坦克属性分配比例标头,0),FALSE))*$AY253/VLOOKUP(VLOOKUP($AW253,坦克个性化设定!$B$18:$E$48,4,FALSE)&amp;$AX253,坦克属性分配比例,MATCH("升星次数",坦克属性分配比例标头,0),FALSE),0)</f>
        <v>1410</v>
      </c>
      <c r="BA253" s="654">
        <f ca="1">ROUND(VLOOKUP($AW253&amp;"初始",$O$3:$AA$63,MATCH(BA$3,$O$3:$AA$3,0),FALSE)+(VLOOKUP($AW253&amp;"最终",$O$3:$AA$63,MATCH(BA$3,$O$3:$AA$3,0),FALSE)-VLOOKUP($AW253&amp;"初始",$O$3:$AA$63,MATCH(BA$3,$O$3:$AA$3,0),FALSE))*$AY253/VLOOKUP(VLOOKUP($AW253,坦克个性化设定!$B$18:$E$48,4,FALSE)&amp;$AX253,坦克属性分配比例,MATCH("升星次数",坦克属性分配比例标头,0),FALSE)*VLOOKUP(VLOOKUP($AW253,坦克个性化设定!$B$18:$E$48,4,FALSE)&amp;$AX253,坦克属性分配比例,MATCH("升星比例",坦克属性分配比例标头,0),FALSE),0)</f>
        <v>208</v>
      </c>
      <c r="BB253" s="654">
        <f ca="1">ROUND(VLOOKUP($AW253&amp;"初始",$O$3:$AA$63,MATCH(BB$3,$O$3:$AA$3,0),FALSE)+(VLOOKUP($AW253&amp;"最终",$O$3:$AA$63,MATCH(BB$3,$O$3:$AA$3,0),FALSE)-VLOOKUP($AW253&amp;"初始",$O$3:$AA$63,MATCH(BB$3,$O$3:$AA$3,0),FALSE))*$AY253/VLOOKUP(VLOOKUP($AW253,坦克个性化设定!$B$18:$E$48,4,FALSE)&amp;$AX253,坦克属性分配比例,MATCH("升星次数",坦克属性分配比例标头,0),FALSE)*(VLOOKUP(VLOOKUP($AW253,坦克个性化设定!$B$18:$E$48,4,FALSE)&amp;$AX253,坦克属性分配比例,MATCH("升星比例",坦克属性分配比例标头,0),FALSE)+VLOOKUP(VLOOKUP($AW253,坦克个性化设定!$B$18:$E$48,4,FALSE)&amp;$AX253,坦克属性分配比例,MATCH("部件比例",坦克属性分配比例标头,0),FALSE)*$C$3),0)</f>
        <v>360</v>
      </c>
      <c r="BC253" s="654">
        <f ca="1">ROUND(VLOOKUP($AW253&amp;"初始",$O$3:$AA$63,MATCH(BC$3,$O$3:$AA$3,0),FALSE)+(VLOOKUP($AW253&amp;"最终",$O$3:$AA$63,MATCH(BC$3,$O$3:$AA$3,0),FALSE)-VLOOKUP($AW253&amp;"初始",$O$3:$AA$63,MATCH(BC$3,$O$3:$AA$3,0),FALSE))*$AY253/VLOOKUP(VLOOKUP($AW253,坦克个性化设定!$B$18:$E$48,4,FALSE)&amp;$AX253,坦克属性分配比例,MATCH("升星次数",坦克属性分配比例标头,0),FALSE)*(VLOOKUP(VLOOKUP($AW253,坦克个性化设定!$B$18:$E$48,4,FALSE)&amp;$AX253,坦克属性分配比例,MATCH("升星比例",坦克属性分配比例标头,0),FALSE)+VLOOKUP(VLOOKUP($AW253,坦克个性化设定!$B$18:$E$48,4,FALSE)&amp;$AX253,坦克属性分配比例,MATCH("部件比例",坦克属性分配比例标头,0),FALSE)*$C$3),0)</f>
        <v>288</v>
      </c>
      <c r="BD253" s="654">
        <f ca="1">ROUND(VLOOKUP($AW253&amp;"初始",$O$3:$AA$63,MATCH(BD$3,$O$3:$AA$3,0),FALSE)+(VLOOKUP($AW253&amp;"最终",$O$3:$AA$63,MATCH(BD$3,$O$3:$AA$3,0),FALSE)-VLOOKUP($AW253&amp;"初始",$O$3:$AA$63,MATCH(BD$3,$O$3:$AA$3,0),FALSE))*$AY253/VLOOKUP(VLOOKUP($AW253,坦克个性化设定!$B$18:$E$48,4,FALSE)&amp;$AX253,坦克属性分配比例,MATCH("升星次数",坦克属性分配比例标头,0),FALSE)*VLOOKUP(VLOOKUP($AW253,坦克个性化设定!$B$18:$E$48,4,FALSE)&amp;$AX253,坦克属性分配比例,MATCH("升星比例",坦克属性分配比例标头,0),FALSE),0)</f>
        <v>504</v>
      </c>
      <c r="BE253" s="654">
        <f ca="1">ROUND(VLOOKUP($AW253&amp;"初始",$O$3:$AA$63,MATCH(BE$3,$O$3:$AA$3,0),FALSE)+(VLOOKUP($AW253&amp;"最终",$O$3:$AA$63,MATCH(BE$3,$O$3:$AA$3,0),FALSE)-VLOOKUP($AW253&amp;"初始",$O$3:$AA$63,MATCH(BE$3,$O$3:$AA$3,0),FALSE))*$AY253/VLOOKUP(VLOOKUP($AW253,坦克个性化设定!$B$18:$E$48,4,FALSE)&amp;$AX253,坦克属性分配比例,MATCH("升星次数",坦克属性分配比例标头,0),FALSE),0)</f>
        <v>124</v>
      </c>
      <c r="BF253" s="654">
        <f>ROUND(VLOOKUP($AW253,$AD$3:$AJ$33,MATCH(BF$3,$AD$3:$AJ$3,0),FALSE)+$AY253/VLOOKUP(VLOOKUP($AW253,坦克个性化设定!$B$18:$E$48,4,FALSE)&amp;$AX253,坦克属性分配比例,MATCH("升星次数",坦克属性分配比例标头,0),FALSE)*VLOOKUP($AW253,$AM$3:$AS$33,MATCH(BF$3,$AM$3:$AS$3,0),FALSE),1)</f>
        <v>46.6</v>
      </c>
      <c r="BG253" s="654">
        <f>ROUND(VLOOKUP($AW253,$AD$3:$AJ$33,MATCH(BG$3,$AD$3:$AJ$3,0),FALSE)+$AY253/VLOOKUP(VLOOKUP($AW253,坦克个性化设定!$B$18:$E$48,4,FALSE)&amp;$AX253,坦克属性分配比例,MATCH("升星次数",坦克属性分配比例标头,0),FALSE)*VLOOKUP($AW253,$AM$3:$AS$33,MATCH(BG$3,$AM$3:$AS$3,0),FALSE),1)</f>
        <v>41.6</v>
      </c>
      <c r="BH253" s="654">
        <f>ROUND(VLOOKUP($AW253,$AD$3:$AJ$33,MATCH(BH$3,$AD$3:$AJ$3,0),FALSE)+$AY253/VLOOKUP(VLOOKUP($AW253,坦克个性化设定!$B$18:$E$48,4,FALSE)&amp;$AX253,坦克属性分配比例,MATCH("升星次数",坦克属性分配比例标头,0),FALSE)*VLOOKUP($AW253,$AM$3:$AS$33,MATCH(BH$3,$AM$3:$AS$3,0),FALSE),1)</f>
        <v>13.1</v>
      </c>
      <c r="BI253" s="654">
        <f>IF(VLOOKUP(AW253,坦克个性化设定!$B$18:$BB$48,MATCH("装弹类型",坦克个性化设定!$B$18:$BB$18,0),FALSE)="弹夹换弹",0,ROUND(VLOOKUP($AW253,$AD$3:$AJ$33,MATCH("换弹时间",$AD$3:$AJ$3,0),FALSE)-$AY253/VLOOKUP(VLOOKUP($AW253,坦克个性化设定!$B$18:$E$48,4,FALSE)&amp;$AX253,坦克属性分配比例,MATCH("升星次数",坦克属性分配比例标头,0),FALSE)*VLOOKUP($AW253,$AM$3:$AS$33,MATCH("换弹时间",$AM$3:$AS$3,0),FALSE),2))</f>
        <v>4.34</v>
      </c>
      <c r="BJ253" s="654">
        <f>IF(VLOOKUP(AW253,坦克个性化设定!$B$18:$BB$48,MATCH("装弹类型",坦克个性化设定!$B$18:$BB$18,0),FALSE)="弹夹换弹",ROUND(VLOOKUP($AW253,$AD$3:$AJ$33,MATCH("换弹时间",$AD$3:$AJ$3,0),FALSE)-$AY253/VLOOKUP(VLOOKUP($AW253,坦克个性化设定!$B$18:$E$48,4,FALSE)&amp;$AX253,坦克属性分配比例,MATCH("升星次数",坦克属性分配比例标头,0),FALSE)*VLOOKUP($AW253,$AM$3:$AS$33,MATCH("换弹时间",$AM$3:$AS$3,0),FALSE),1),0)</f>
        <v>0</v>
      </c>
      <c r="BK253" s="654">
        <f>ROUND(VLOOKUP($AW253,$AD$3:$AJ$33,MATCH(BK$3,$AD$3:$AJ$3,0),FALSE)+$AY253/VLOOKUP(VLOOKUP($AW253,坦克个性化设定!$B$18:$E$48,4,FALSE)&amp;$AX253,坦克属性分配比例,MATCH("升星次数",坦克属性分配比例标头,0),FALSE)*VLOOKUP($AW253,$AM$3:$AS$33,MATCH(BK$3,$AM$3:$AS$3,0),FALSE),2)</f>
        <v>2.8</v>
      </c>
      <c r="BL253" s="654">
        <f>ROUND(VLOOKUP($AW253,$AD$3:$AJ$33,MATCH(BL$3,$AD$3:$AJ$3,0),FALSE)-$AY253/VLOOKUP(VLOOKUP($AW253,坦克个性化设定!$B$18:$E$48,4,FALSE)&amp;$AX253,坦克属性分配比例,MATCH("升星次数",坦克属性分配比例标头,0),FALSE)*VLOOKUP($AW253,$AM$3:$AS$33,MATCH(BL$3,$AM$3:$AS$3,0),FALSE),2)</f>
        <v>2.3199999999999998</v>
      </c>
    </row>
    <row r="254" spans="47:64" x14ac:dyDescent="0.35">
      <c r="AU254" s="372" t="str">
        <f t="shared" ref="AU254:AU317" si="30">AW254&amp;AY254</f>
        <v>B-14</v>
      </c>
      <c r="AV254" s="654">
        <f>IF(AY253&gt;=VLOOKUP(VLOOKUP(AW253,坦克个性化设定!$B$18:$E$48,4,FALSE)&amp;AX253,坦克属性分配比例,MATCH("升星次数",坦克属性分配比例标头,0),FALSE),AV253+1,AV253)</f>
        <v>21</v>
      </c>
      <c r="AW254" s="649" t="str">
        <f t="shared" ref="AW254:AW317" si="31">VLOOKUP(AV254,$B$5:$C$35,2,FALSE)</f>
        <v>B-1</v>
      </c>
      <c r="AX254" s="650" t="str">
        <f>VLOOKUP(AW254,坦克个性化细分!$I$3:$J$33,2,FALSE)</f>
        <v>低</v>
      </c>
      <c r="AY254" s="654">
        <f t="shared" ref="AY254:AY317" si="32">IF(AW254&lt;&gt;AW253,0,AY253+1)</f>
        <v>4</v>
      </c>
      <c r="AZ254" s="654">
        <f ca="1">ROUND(VLOOKUP($AW254&amp;"初始",$O$3:$AA$63,MATCH(AZ$3,$O$3:$AA$3,0),FALSE)+((VLOOKUP($AW254&amp;"最终",$O$3:$AA$63,MATCH(AZ$3,$O$3:$AA$3,0),FALSE)*坦克个性化细分!$C$9-VLOOKUP($AW254&amp;"初始",$O$3:$AA$63,MATCH(AZ$3,$O$3:$AA$3,0),FALSE))-(VLOOKUP($AW254&amp;"最终",$O$3:$AA$63,MATCH(AZ$3,$O$3:$AA$3,0),FALSE)-VLOOKUP($AW254&amp;"初始",$O$3:$AA$63,MATCH(AZ$3,$O$3:$AA$3,0),FALSE))*VLOOKUP(VLOOKUP($AW254,坦克个性化设定!$B$18:$E$48,4,FALSE)&amp;$AX254,坦克属性分配比例,MATCH("部件比例",坦克属性分配比例标头,0),FALSE))*$AY254/VLOOKUP(VLOOKUP($AW254,坦克个性化设定!$B$18:$E$48,4,FALSE)&amp;$AX254,坦克属性分配比例,MATCH("升星次数",坦克属性分配比例标头,0),FALSE),0)</f>
        <v>1570</v>
      </c>
      <c r="BA254" s="654">
        <f ca="1">ROUND(VLOOKUP($AW254&amp;"初始",$O$3:$AA$63,MATCH(BA$3,$O$3:$AA$3,0),FALSE)+(VLOOKUP($AW254&amp;"最终",$O$3:$AA$63,MATCH(BA$3,$O$3:$AA$3,0),FALSE)-VLOOKUP($AW254&amp;"初始",$O$3:$AA$63,MATCH(BA$3,$O$3:$AA$3,0),FALSE))*$AY254/VLOOKUP(VLOOKUP($AW254,坦克个性化设定!$B$18:$E$48,4,FALSE)&amp;$AX254,坦克属性分配比例,MATCH("升星次数",坦克属性分配比例标头,0),FALSE)*VLOOKUP(VLOOKUP($AW254,坦克个性化设定!$B$18:$E$48,4,FALSE)&amp;$AX254,坦克属性分配比例,MATCH("升星比例",坦克属性分配比例标头,0),FALSE),0)</f>
        <v>220</v>
      </c>
      <c r="BB254" s="654">
        <f ca="1">ROUND(VLOOKUP($AW254&amp;"初始",$O$3:$AA$63,MATCH(BB$3,$O$3:$AA$3,0),FALSE)+(VLOOKUP($AW254&amp;"最终",$O$3:$AA$63,MATCH(BB$3,$O$3:$AA$3,0),FALSE)-VLOOKUP($AW254&amp;"初始",$O$3:$AA$63,MATCH(BB$3,$O$3:$AA$3,0),FALSE))*$AY254/VLOOKUP(VLOOKUP($AW254,坦克个性化设定!$B$18:$E$48,4,FALSE)&amp;$AX254,坦克属性分配比例,MATCH("升星次数",坦克属性分配比例标头,0),FALSE)*(VLOOKUP(VLOOKUP($AW254,坦克个性化设定!$B$18:$E$48,4,FALSE)&amp;$AX254,坦克属性分配比例,MATCH("升星比例",坦克属性分配比例标头,0),FALSE)+VLOOKUP(VLOOKUP($AW254,坦克个性化设定!$B$18:$E$48,4,FALSE)&amp;$AX254,坦克属性分配比例,MATCH("部件比例",坦克属性分配比例标头,0),FALSE)*$C$3),0)</f>
        <v>385</v>
      </c>
      <c r="BC254" s="654">
        <f ca="1">ROUND(VLOOKUP($AW254&amp;"初始",$O$3:$AA$63,MATCH(BC$3,$O$3:$AA$3,0),FALSE)+(VLOOKUP($AW254&amp;"最终",$O$3:$AA$63,MATCH(BC$3,$O$3:$AA$3,0),FALSE)-VLOOKUP($AW254&amp;"初始",$O$3:$AA$63,MATCH(BC$3,$O$3:$AA$3,0),FALSE))*$AY254/VLOOKUP(VLOOKUP($AW254,坦克个性化设定!$B$18:$E$48,4,FALSE)&amp;$AX254,坦克属性分配比例,MATCH("升星次数",坦克属性分配比例标头,0),FALSE)*(VLOOKUP(VLOOKUP($AW254,坦克个性化设定!$B$18:$E$48,4,FALSE)&amp;$AX254,坦克属性分配比例,MATCH("升星比例",坦克属性分配比例标头,0),FALSE)+VLOOKUP(VLOOKUP($AW254,坦克个性化设定!$B$18:$E$48,4,FALSE)&amp;$AX254,坦克属性分配比例,MATCH("部件比例",坦克属性分配比例标头,0),FALSE)*$C$3),0)</f>
        <v>308</v>
      </c>
      <c r="BD254" s="654">
        <f ca="1">ROUND(VLOOKUP($AW254&amp;"初始",$O$3:$AA$63,MATCH(BD$3,$O$3:$AA$3,0),FALSE)+(VLOOKUP($AW254&amp;"最终",$O$3:$AA$63,MATCH(BD$3,$O$3:$AA$3,0),FALSE)-VLOOKUP($AW254&amp;"初始",$O$3:$AA$63,MATCH(BD$3,$O$3:$AA$3,0),FALSE))*$AY254/VLOOKUP(VLOOKUP($AW254,坦克个性化设定!$B$18:$E$48,4,FALSE)&amp;$AX254,坦克属性分配比例,MATCH("升星次数",坦克属性分配比例标头,0),FALSE)*VLOOKUP(VLOOKUP($AW254,坦克个性化设定!$B$18:$E$48,4,FALSE)&amp;$AX254,坦克属性分配比例,MATCH("升星比例",坦克属性分配比例标头,0),FALSE),0)</f>
        <v>533</v>
      </c>
      <c r="BE254" s="654">
        <f ca="1">ROUND(VLOOKUP($AW254&amp;"初始",$O$3:$AA$63,MATCH(BE$3,$O$3:$AA$3,0),FALSE)+(VLOOKUP($AW254&amp;"最终",$O$3:$AA$63,MATCH(BE$3,$O$3:$AA$3,0),FALSE)-VLOOKUP($AW254&amp;"初始",$O$3:$AA$63,MATCH(BE$3,$O$3:$AA$3,0),FALSE))*$AY254/VLOOKUP(VLOOKUP($AW254,坦克个性化设定!$B$18:$E$48,4,FALSE)&amp;$AX254,坦克属性分配比例,MATCH("升星次数",坦克属性分配比例标头,0),FALSE),0)</f>
        <v>133</v>
      </c>
      <c r="BF254" s="654">
        <f>ROUND(VLOOKUP($AW254,$AD$3:$AJ$33,MATCH(BF$3,$AD$3:$AJ$3,0),FALSE)+$AY254/VLOOKUP(VLOOKUP($AW254,坦克个性化设定!$B$18:$E$48,4,FALSE)&amp;$AX254,坦克属性分配比例,MATCH("升星次数",坦克属性分配比例标头,0),FALSE)*VLOOKUP($AW254,$AM$3:$AS$33,MATCH(BF$3,$AM$3:$AS$3,0),FALSE),1)</f>
        <v>49</v>
      </c>
      <c r="BG254" s="654">
        <f>ROUND(VLOOKUP($AW254,$AD$3:$AJ$33,MATCH(BG$3,$AD$3:$AJ$3,0),FALSE)+$AY254/VLOOKUP(VLOOKUP($AW254,坦克个性化设定!$B$18:$E$48,4,FALSE)&amp;$AX254,坦克属性分配比例,MATCH("升星次数",坦克属性分配比例标头,0),FALSE)*VLOOKUP($AW254,$AM$3:$AS$33,MATCH(BG$3,$AM$3:$AS$3,0),FALSE),1)</f>
        <v>43.8</v>
      </c>
      <c r="BH254" s="654">
        <f>ROUND(VLOOKUP($AW254,$AD$3:$AJ$33,MATCH(BH$3,$AD$3:$AJ$3,0),FALSE)+$AY254/VLOOKUP(VLOOKUP($AW254,坦克个性化设定!$B$18:$E$48,4,FALSE)&amp;$AX254,坦克属性分配比例,MATCH("升星次数",坦克属性分配比例标头,0),FALSE)*VLOOKUP($AW254,$AM$3:$AS$33,MATCH(BH$3,$AM$3:$AS$3,0),FALSE),1)</f>
        <v>13.9</v>
      </c>
      <c r="BI254" s="654">
        <f>IF(VLOOKUP(AW254,坦克个性化设定!$B$18:$BB$48,MATCH("装弹类型",坦克个性化设定!$B$18:$BB$18,0),FALSE)="弹夹换弹",0,ROUND(VLOOKUP($AW254,$AD$3:$AJ$33,MATCH("换弹时间",$AD$3:$AJ$3,0),FALSE)-$AY254/VLOOKUP(VLOOKUP($AW254,坦克个性化设定!$B$18:$E$48,4,FALSE)&amp;$AX254,坦克属性分配比例,MATCH("升星次数",坦克属性分配比例标头,0),FALSE)*VLOOKUP($AW254,$AM$3:$AS$33,MATCH("换弹时间",$AM$3:$AS$3,0),FALSE),2))</f>
        <v>3.99</v>
      </c>
      <c r="BJ254" s="654">
        <f>IF(VLOOKUP(AW254,坦克个性化设定!$B$18:$BB$48,MATCH("装弹类型",坦克个性化设定!$B$18:$BB$18,0),FALSE)="弹夹换弹",ROUND(VLOOKUP($AW254,$AD$3:$AJ$33,MATCH("换弹时间",$AD$3:$AJ$3,0),FALSE)-$AY254/VLOOKUP(VLOOKUP($AW254,坦克个性化设定!$B$18:$E$48,4,FALSE)&amp;$AX254,坦克属性分配比例,MATCH("升星次数",坦克属性分配比例标头,0),FALSE)*VLOOKUP($AW254,$AM$3:$AS$33,MATCH("换弹时间",$AM$3:$AS$3,0),FALSE),1),0)</f>
        <v>0</v>
      </c>
      <c r="BK254" s="654">
        <f>ROUND(VLOOKUP($AW254,$AD$3:$AJ$33,MATCH(BK$3,$AD$3:$AJ$3,0),FALSE)+$AY254/VLOOKUP(VLOOKUP($AW254,坦克个性化设定!$B$18:$E$48,4,FALSE)&amp;$AX254,坦克属性分配比例,MATCH("升星次数",坦克属性分配比例标头,0),FALSE)*VLOOKUP($AW254,$AM$3:$AS$33,MATCH(BK$3,$AM$3:$AS$3,0),FALSE),2)</f>
        <v>2.8</v>
      </c>
      <c r="BL254" s="654">
        <f>ROUND(VLOOKUP($AW254,$AD$3:$AJ$33,MATCH(BL$3,$AD$3:$AJ$3,0),FALSE)-$AY254/VLOOKUP(VLOOKUP($AW254,坦克个性化设定!$B$18:$E$48,4,FALSE)&amp;$AX254,坦克属性分配比例,MATCH("升星次数",坦克属性分配比例标头,0),FALSE)*VLOOKUP($AW254,$AM$3:$AS$33,MATCH(BL$3,$AM$3:$AS$3,0),FALSE),2)</f>
        <v>2.21</v>
      </c>
    </row>
    <row r="255" spans="47:64" x14ac:dyDescent="0.35">
      <c r="AU255" s="372" t="str">
        <f t="shared" si="30"/>
        <v>KV-10</v>
      </c>
      <c r="AV255" s="654">
        <f>IF(AY254&gt;=VLOOKUP(VLOOKUP(AW254,坦克个性化设定!$B$18:$E$48,4,FALSE)&amp;AX254,坦克属性分配比例,MATCH("升星次数",坦克属性分配比例标头,0),FALSE),AV254+1,AV254)</f>
        <v>22</v>
      </c>
      <c r="AW255" s="649" t="str">
        <f t="shared" si="31"/>
        <v>KV-1</v>
      </c>
      <c r="AX255" s="650" t="str">
        <f>VLOOKUP(AW255,坦克个性化细分!$I$3:$J$33,2,FALSE)</f>
        <v>低</v>
      </c>
      <c r="AY255" s="654">
        <f t="shared" si="32"/>
        <v>0</v>
      </c>
      <c r="AZ255" s="654">
        <f ca="1">ROUND(VLOOKUP($AW255&amp;"初始",$O$3:$AA$63,MATCH(AZ$3,$O$3:$AA$3,0),FALSE)+((VLOOKUP($AW255&amp;"最终",$O$3:$AA$63,MATCH(AZ$3,$O$3:$AA$3,0),FALSE)*坦克个性化细分!$C$9-VLOOKUP($AW255&amp;"初始",$O$3:$AA$63,MATCH(AZ$3,$O$3:$AA$3,0),FALSE))-(VLOOKUP($AW255&amp;"最终",$O$3:$AA$63,MATCH(AZ$3,$O$3:$AA$3,0),FALSE)-VLOOKUP($AW255&amp;"初始",$O$3:$AA$63,MATCH(AZ$3,$O$3:$AA$3,0),FALSE))*VLOOKUP(VLOOKUP($AW255,坦克个性化设定!$B$18:$E$48,4,FALSE)&amp;$AX255,坦克属性分配比例,MATCH("部件比例",坦克属性分配比例标头,0),FALSE))*$AY255/VLOOKUP(VLOOKUP($AW255,坦克个性化设定!$B$18:$E$48,4,FALSE)&amp;$AX255,坦克属性分配比例,MATCH("升星次数",坦克属性分配比例标头,0),FALSE),0)</f>
        <v>1082</v>
      </c>
      <c r="BA255" s="654">
        <f ca="1">ROUND(VLOOKUP($AW255&amp;"初始",$O$3:$AA$63,MATCH(BA$3,$O$3:$AA$3,0),FALSE)+(VLOOKUP($AW255&amp;"最终",$O$3:$AA$63,MATCH(BA$3,$O$3:$AA$3,0),FALSE)-VLOOKUP($AW255&amp;"初始",$O$3:$AA$63,MATCH(BA$3,$O$3:$AA$3,0),FALSE))*$AY255/VLOOKUP(VLOOKUP($AW255,坦克个性化设定!$B$18:$E$48,4,FALSE)&amp;$AX255,坦克属性分配比例,MATCH("升星次数",坦克属性分配比例标头,0),FALSE)*VLOOKUP(VLOOKUP($AW255,坦克个性化设定!$B$18:$E$48,4,FALSE)&amp;$AX255,坦克属性分配比例,MATCH("升星比例",坦克属性分配比例标头,0),FALSE),0)</f>
        <v>143</v>
      </c>
      <c r="BB255" s="654">
        <f ca="1">ROUND(VLOOKUP($AW255&amp;"初始",$O$3:$AA$63,MATCH(BB$3,$O$3:$AA$3,0),FALSE)+(VLOOKUP($AW255&amp;"最终",$O$3:$AA$63,MATCH(BB$3,$O$3:$AA$3,0),FALSE)-VLOOKUP($AW255&amp;"初始",$O$3:$AA$63,MATCH(BB$3,$O$3:$AA$3,0),FALSE))*$AY255/VLOOKUP(VLOOKUP($AW255,坦克个性化设定!$B$18:$E$48,4,FALSE)&amp;$AX255,坦克属性分配比例,MATCH("升星次数",坦克属性分配比例标头,0),FALSE)*(VLOOKUP(VLOOKUP($AW255,坦克个性化设定!$B$18:$E$48,4,FALSE)&amp;$AX255,坦克属性分配比例,MATCH("升星比例",坦克属性分配比例标头,0),FALSE)+VLOOKUP(VLOOKUP($AW255,坦克个性化设定!$B$18:$E$48,4,FALSE)&amp;$AX255,坦克属性分配比例,MATCH("部件比例",坦克属性分配比例标头,0),FALSE)*$C$3),0)</f>
        <v>343</v>
      </c>
      <c r="BC255" s="654">
        <f ca="1">ROUND(VLOOKUP($AW255&amp;"初始",$O$3:$AA$63,MATCH(BC$3,$O$3:$AA$3,0),FALSE)+(VLOOKUP($AW255&amp;"最终",$O$3:$AA$63,MATCH(BC$3,$O$3:$AA$3,0),FALSE)-VLOOKUP($AW255&amp;"初始",$O$3:$AA$63,MATCH(BC$3,$O$3:$AA$3,0),FALSE))*$AY255/VLOOKUP(VLOOKUP($AW255,坦克个性化设定!$B$18:$E$48,4,FALSE)&amp;$AX255,坦克属性分配比例,MATCH("升星次数",坦克属性分配比例标头,0),FALSE)*(VLOOKUP(VLOOKUP($AW255,坦克个性化设定!$B$18:$E$48,4,FALSE)&amp;$AX255,坦克属性分配比例,MATCH("升星比例",坦克属性分配比例标头,0),FALSE)+VLOOKUP(VLOOKUP($AW255,坦克个性化设定!$B$18:$E$48,4,FALSE)&amp;$AX255,坦克属性分配比例,MATCH("部件比例",坦克属性分配比例标头,0),FALSE)*$C$3),0)</f>
        <v>274</v>
      </c>
      <c r="BD255" s="654">
        <f ca="1">ROUND(VLOOKUP($AW255&amp;"初始",$O$3:$AA$63,MATCH(BD$3,$O$3:$AA$3,0),FALSE)+(VLOOKUP($AW255&amp;"最终",$O$3:$AA$63,MATCH(BD$3,$O$3:$AA$3,0),FALSE)-VLOOKUP($AW255&amp;"初始",$O$3:$AA$63,MATCH(BD$3,$O$3:$AA$3,0),FALSE))*$AY255/VLOOKUP(VLOOKUP($AW255,坦克个性化设定!$B$18:$E$48,4,FALSE)&amp;$AX255,坦克属性分配比例,MATCH("升星次数",坦克属性分配比例标头,0),FALSE)*VLOOKUP(VLOOKUP($AW255,坦克个性化设定!$B$18:$E$48,4,FALSE)&amp;$AX255,坦克属性分配比例,MATCH("升星比例",坦克属性分配比例标头,0),FALSE),0)</f>
        <v>504</v>
      </c>
      <c r="BE255" s="654">
        <f ca="1">ROUND(VLOOKUP($AW255&amp;"初始",$O$3:$AA$63,MATCH(BE$3,$O$3:$AA$3,0),FALSE)+(VLOOKUP($AW255&amp;"最终",$O$3:$AA$63,MATCH(BE$3,$O$3:$AA$3,0),FALSE)-VLOOKUP($AW255&amp;"初始",$O$3:$AA$63,MATCH(BE$3,$O$3:$AA$3,0),FALSE))*$AY255/VLOOKUP(VLOOKUP($AW255,坦克个性化设定!$B$18:$E$48,4,FALSE)&amp;$AX255,坦克属性分配比例,MATCH("升星次数",坦克属性分配比例标头,0),FALSE),0)</f>
        <v>114</v>
      </c>
      <c r="BF255" s="654">
        <f>ROUND(VLOOKUP($AW255,$AD$3:$AJ$33,MATCH(BF$3,$AD$3:$AJ$3,0),FALSE)+$AY255/VLOOKUP(VLOOKUP($AW255,坦克个性化设定!$B$18:$E$48,4,FALSE)&amp;$AX255,坦克属性分配比例,MATCH("升星次数",坦克属性分配比例标头,0),FALSE)*VLOOKUP($AW255,$AM$3:$AS$33,MATCH(BF$3,$AM$3:$AS$3,0),FALSE),1)</f>
        <v>39.200000000000003</v>
      </c>
      <c r="BG255" s="654">
        <f>ROUND(VLOOKUP($AW255,$AD$3:$AJ$33,MATCH(BG$3,$AD$3:$AJ$3,0),FALSE)+$AY255/VLOOKUP(VLOOKUP($AW255,坦克个性化设定!$B$18:$E$48,4,FALSE)&amp;$AX255,坦克属性分配比例,MATCH("升星次数",坦克属性分配比例标头,0),FALSE)*VLOOKUP($AW255,$AM$3:$AS$33,MATCH(BG$3,$AM$3:$AS$3,0),FALSE),1)</f>
        <v>35</v>
      </c>
      <c r="BH255" s="654">
        <f>ROUND(VLOOKUP($AW255,$AD$3:$AJ$33,MATCH(BH$3,$AD$3:$AJ$3,0),FALSE)+$AY255/VLOOKUP(VLOOKUP($AW255,坦克个性化设定!$B$18:$E$48,4,FALSE)&amp;$AX255,坦克属性分配比例,MATCH("升星次数",坦克属性分配比例标头,0),FALSE)*VLOOKUP($AW255,$AM$3:$AS$33,MATCH(BH$3,$AM$3:$AS$3,0),FALSE),1)</f>
        <v>10.5</v>
      </c>
      <c r="BI255" s="654">
        <f>IF(VLOOKUP(AW255,坦克个性化设定!$B$18:$BB$48,MATCH("装弹类型",坦克个性化设定!$B$18:$BB$18,0),FALSE)="弹夹换弹",0,ROUND(VLOOKUP($AW255,$AD$3:$AJ$33,MATCH("换弹时间",$AD$3:$AJ$3,0),FALSE)-$AY255/VLOOKUP(VLOOKUP($AW255,坦克个性化设定!$B$18:$E$48,4,FALSE)&amp;$AX255,坦克属性分配比例,MATCH("升星次数",坦克属性分配比例标头,0),FALSE)*VLOOKUP($AW255,$AM$3:$AS$33,MATCH("换弹时间",$AM$3:$AS$3,0),FALSE),2))</f>
        <v>3.6</v>
      </c>
      <c r="BJ255" s="654">
        <f>IF(VLOOKUP(AW255,坦克个性化设定!$B$18:$BB$48,MATCH("装弹类型",坦克个性化设定!$B$18:$BB$18,0),FALSE)="弹夹换弹",ROUND(VLOOKUP($AW255,$AD$3:$AJ$33,MATCH("换弹时间",$AD$3:$AJ$3,0),FALSE)-$AY255/VLOOKUP(VLOOKUP($AW255,坦克个性化设定!$B$18:$E$48,4,FALSE)&amp;$AX255,坦克属性分配比例,MATCH("升星次数",坦克属性分配比例标头,0),FALSE)*VLOOKUP($AW255,$AM$3:$AS$33,MATCH("换弹时间",$AM$3:$AS$3,0),FALSE),1),0)</f>
        <v>0</v>
      </c>
      <c r="BK255" s="654">
        <f>ROUND(VLOOKUP($AW255,$AD$3:$AJ$33,MATCH(BK$3,$AD$3:$AJ$3,0),FALSE)+$AY255/VLOOKUP(VLOOKUP($AW255,坦克个性化设定!$B$18:$E$48,4,FALSE)&amp;$AX255,坦克属性分配比例,MATCH("升星次数",坦克属性分配比例标头,0),FALSE)*VLOOKUP($AW255,$AM$3:$AS$33,MATCH(BK$3,$AM$3:$AS$3,0),FALSE),2)</f>
        <v>1.88</v>
      </c>
      <c r="BL255" s="654">
        <f>ROUND(VLOOKUP($AW255,$AD$3:$AJ$33,MATCH(BL$3,$AD$3:$AJ$3,0),FALSE)-$AY255/VLOOKUP(VLOOKUP($AW255,坦克个性化设定!$B$18:$E$48,4,FALSE)&amp;$AX255,坦克属性分配比例,MATCH("升星次数",坦克属性分配比例标头,0),FALSE)*VLOOKUP($AW255,$AM$3:$AS$33,MATCH(BL$3,$AM$3:$AS$3,0),FALSE),2)</f>
        <v>2.08</v>
      </c>
    </row>
    <row r="256" spans="47:64" x14ac:dyDescent="0.35">
      <c r="AU256" s="372" t="str">
        <f t="shared" si="30"/>
        <v>KV-11</v>
      </c>
      <c r="AV256" s="654">
        <f>IF(AY255&gt;=VLOOKUP(VLOOKUP(AW255,坦克个性化设定!$B$18:$E$48,4,FALSE)&amp;AX255,坦克属性分配比例,MATCH("升星次数",坦克属性分配比例标头,0),FALSE),AV255+1,AV255)</f>
        <v>22</v>
      </c>
      <c r="AW256" s="649" t="str">
        <f t="shared" si="31"/>
        <v>KV-1</v>
      </c>
      <c r="AX256" s="650" t="str">
        <f>VLOOKUP(AW256,坦克个性化细分!$I$3:$J$33,2,FALSE)</f>
        <v>低</v>
      </c>
      <c r="AY256" s="654">
        <f t="shared" si="32"/>
        <v>1</v>
      </c>
      <c r="AZ256" s="654">
        <f ca="1">ROUND(VLOOKUP($AW256&amp;"初始",$O$3:$AA$63,MATCH(AZ$3,$O$3:$AA$3,0),FALSE)+((VLOOKUP($AW256&amp;"最终",$O$3:$AA$63,MATCH(AZ$3,$O$3:$AA$3,0),FALSE)*坦克个性化细分!$C$9-VLOOKUP($AW256&amp;"初始",$O$3:$AA$63,MATCH(AZ$3,$O$3:$AA$3,0),FALSE))-(VLOOKUP($AW256&amp;"最终",$O$3:$AA$63,MATCH(AZ$3,$O$3:$AA$3,0),FALSE)-VLOOKUP($AW256&amp;"初始",$O$3:$AA$63,MATCH(AZ$3,$O$3:$AA$3,0),FALSE))*VLOOKUP(VLOOKUP($AW256,坦克个性化设定!$B$18:$E$48,4,FALSE)&amp;$AX256,坦克属性分配比例,MATCH("部件比例",坦克属性分配比例标头,0),FALSE))*$AY256/VLOOKUP(VLOOKUP($AW256,坦克个性化设定!$B$18:$E$48,4,FALSE)&amp;$AX256,坦克属性分配比例,MATCH("升星次数",坦克属性分配比例标头,0),FALSE),0)</f>
        <v>1213</v>
      </c>
      <c r="BA256" s="654">
        <f ca="1">ROUND(VLOOKUP($AW256&amp;"初始",$O$3:$AA$63,MATCH(BA$3,$O$3:$AA$3,0),FALSE)+(VLOOKUP($AW256&amp;"最终",$O$3:$AA$63,MATCH(BA$3,$O$3:$AA$3,0),FALSE)-VLOOKUP($AW256&amp;"初始",$O$3:$AA$63,MATCH(BA$3,$O$3:$AA$3,0),FALSE))*$AY256/VLOOKUP(VLOOKUP($AW256,坦克个性化设定!$B$18:$E$48,4,FALSE)&amp;$AX256,坦克属性分配比例,MATCH("升星次数",坦克属性分配比例标头,0),FALSE)*VLOOKUP(VLOOKUP($AW256,坦克个性化设定!$B$18:$E$48,4,FALSE)&amp;$AX256,坦克属性分配比例,MATCH("升星比例",坦克属性分配比例标头,0),FALSE),0)</f>
        <v>149</v>
      </c>
      <c r="BB256" s="654">
        <f ca="1">ROUND(VLOOKUP($AW256&amp;"初始",$O$3:$AA$63,MATCH(BB$3,$O$3:$AA$3,0),FALSE)+(VLOOKUP($AW256&amp;"最终",$O$3:$AA$63,MATCH(BB$3,$O$3:$AA$3,0),FALSE)-VLOOKUP($AW256&amp;"初始",$O$3:$AA$63,MATCH(BB$3,$O$3:$AA$3,0),FALSE))*$AY256/VLOOKUP(VLOOKUP($AW256,坦克个性化设定!$B$18:$E$48,4,FALSE)&amp;$AX256,坦克属性分配比例,MATCH("升星次数",坦克属性分配比例标头,0),FALSE)*(VLOOKUP(VLOOKUP($AW256,坦克个性化设定!$B$18:$E$48,4,FALSE)&amp;$AX256,坦克属性分配比例,MATCH("升星比例",坦克属性分配比例标头,0),FALSE)+VLOOKUP(VLOOKUP($AW256,坦克个性化设定!$B$18:$E$48,4,FALSE)&amp;$AX256,坦克属性分配比例,MATCH("部件比例",坦克属性分配比例标头,0),FALSE)*$C$3),0)</f>
        <v>366</v>
      </c>
      <c r="BC256" s="654">
        <f ca="1">ROUND(VLOOKUP($AW256&amp;"初始",$O$3:$AA$63,MATCH(BC$3,$O$3:$AA$3,0),FALSE)+(VLOOKUP($AW256&amp;"最终",$O$3:$AA$63,MATCH(BC$3,$O$3:$AA$3,0),FALSE)-VLOOKUP($AW256&amp;"初始",$O$3:$AA$63,MATCH(BC$3,$O$3:$AA$3,0),FALSE))*$AY256/VLOOKUP(VLOOKUP($AW256,坦克个性化设定!$B$18:$E$48,4,FALSE)&amp;$AX256,坦克属性分配比例,MATCH("升星次数",坦克属性分配比例标头,0),FALSE)*(VLOOKUP(VLOOKUP($AW256,坦克个性化设定!$B$18:$E$48,4,FALSE)&amp;$AX256,坦克属性分配比例,MATCH("升星比例",坦克属性分配比例标头,0),FALSE)+VLOOKUP(VLOOKUP($AW256,坦克个性化设定!$B$18:$E$48,4,FALSE)&amp;$AX256,坦克属性分配比例,MATCH("部件比例",坦克属性分配比例标头,0),FALSE)*$C$3),0)</f>
        <v>293</v>
      </c>
      <c r="BD256" s="654">
        <f ca="1">ROUND(VLOOKUP($AW256&amp;"初始",$O$3:$AA$63,MATCH(BD$3,$O$3:$AA$3,0),FALSE)+(VLOOKUP($AW256&amp;"最终",$O$3:$AA$63,MATCH(BD$3,$O$3:$AA$3,0),FALSE)-VLOOKUP($AW256&amp;"初始",$O$3:$AA$63,MATCH(BD$3,$O$3:$AA$3,0),FALSE))*$AY256/VLOOKUP(VLOOKUP($AW256,坦克个性化设定!$B$18:$E$48,4,FALSE)&amp;$AX256,坦克属性分配比例,MATCH("升星次数",坦克属性分配比例标头,0),FALSE)*VLOOKUP(VLOOKUP($AW256,坦克个性化设定!$B$18:$E$48,4,FALSE)&amp;$AX256,坦克属性分配比例,MATCH("升星比例",坦克属性分配比例标头,0),FALSE),0)</f>
        <v>527</v>
      </c>
      <c r="BE256" s="654">
        <f ca="1">ROUND(VLOOKUP($AW256&amp;"初始",$O$3:$AA$63,MATCH(BE$3,$O$3:$AA$3,0),FALSE)+(VLOOKUP($AW256&amp;"最终",$O$3:$AA$63,MATCH(BE$3,$O$3:$AA$3,0),FALSE)-VLOOKUP($AW256&amp;"初始",$O$3:$AA$63,MATCH(BE$3,$O$3:$AA$3,0),FALSE))*$AY256/VLOOKUP(VLOOKUP($AW256,坦克个性化设定!$B$18:$E$48,4,FALSE)&amp;$AX256,坦克属性分配比例,MATCH("升星次数",坦克属性分配比例标头,0),FALSE),0)</f>
        <v>124</v>
      </c>
      <c r="BF256" s="654">
        <f>ROUND(VLOOKUP($AW256,$AD$3:$AJ$33,MATCH(BF$3,$AD$3:$AJ$3,0),FALSE)+$AY256/VLOOKUP(VLOOKUP($AW256,坦克个性化设定!$B$18:$E$48,4,FALSE)&amp;$AX256,坦克属性分配比例,MATCH("升星次数",坦克属性分配比例标头,0),FALSE)*VLOOKUP($AW256,$AM$3:$AS$33,MATCH(BF$3,$AM$3:$AS$3,0),FALSE),1)</f>
        <v>40.799999999999997</v>
      </c>
      <c r="BG256" s="654">
        <f>ROUND(VLOOKUP($AW256,$AD$3:$AJ$33,MATCH(BG$3,$AD$3:$AJ$3,0),FALSE)+$AY256/VLOOKUP(VLOOKUP($AW256,坦克个性化设定!$B$18:$E$48,4,FALSE)&amp;$AX256,坦克属性分配比例,MATCH("升星次数",坦克属性分配比例标头,0),FALSE)*VLOOKUP($AW256,$AM$3:$AS$33,MATCH(BG$3,$AM$3:$AS$3,0),FALSE),1)</f>
        <v>36.5</v>
      </c>
      <c r="BH256" s="654">
        <f>ROUND(VLOOKUP($AW256,$AD$3:$AJ$33,MATCH(BH$3,$AD$3:$AJ$3,0),FALSE)+$AY256/VLOOKUP(VLOOKUP($AW256,坦克个性化设定!$B$18:$E$48,4,FALSE)&amp;$AX256,坦克属性分配比例,MATCH("升星次数",坦克属性分配比例标头,0),FALSE)*VLOOKUP($AW256,$AM$3:$AS$33,MATCH(BH$3,$AM$3:$AS$3,0),FALSE),1)</f>
        <v>11.1</v>
      </c>
      <c r="BI256" s="654">
        <f>IF(VLOOKUP(AW256,坦克个性化设定!$B$18:$BB$48,MATCH("装弹类型",坦克个性化设定!$B$18:$BB$18,0),FALSE)="弹夹换弹",0,ROUND(VLOOKUP($AW256,$AD$3:$AJ$33,MATCH("换弹时间",$AD$3:$AJ$3,0),FALSE)-$AY256/VLOOKUP(VLOOKUP($AW256,坦克个性化设定!$B$18:$E$48,4,FALSE)&amp;$AX256,坦克属性分配比例,MATCH("升星次数",坦克属性分配比例标头,0),FALSE)*VLOOKUP($AW256,$AM$3:$AS$33,MATCH("换弹时间",$AM$3:$AS$3,0),FALSE),2))</f>
        <v>3.44</v>
      </c>
      <c r="BJ256" s="654">
        <f>IF(VLOOKUP(AW256,坦克个性化设定!$B$18:$BB$48,MATCH("装弹类型",坦克个性化设定!$B$18:$BB$18,0),FALSE)="弹夹换弹",ROUND(VLOOKUP($AW256,$AD$3:$AJ$33,MATCH("换弹时间",$AD$3:$AJ$3,0),FALSE)-$AY256/VLOOKUP(VLOOKUP($AW256,坦克个性化设定!$B$18:$E$48,4,FALSE)&amp;$AX256,坦克属性分配比例,MATCH("升星次数",坦克属性分配比例标头,0),FALSE)*VLOOKUP($AW256,$AM$3:$AS$33,MATCH("换弹时间",$AM$3:$AS$3,0),FALSE),1),0)</f>
        <v>0</v>
      </c>
      <c r="BK256" s="654">
        <f>ROUND(VLOOKUP($AW256,$AD$3:$AJ$33,MATCH(BK$3,$AD$3:$AJ$3,0),FALSE)+$AY256/VLOOKUP(VLOOKUP($AW256,坦克个性化设定!$B$18:$E$48,4,FALSE)&amp;$AX256,坦克属性分配比例,MATCH("升星次数",坦克属性分配比例标头,0),FALSE)*VLOOKUP($AW256,$AM$3:$AS$33,MATCH(BK$3,$AM$3:$AS$3,0),FALSE),2)</f>
        <v>1.88</v>
      </c>
      <c r="BL256" s="654">
        <f>ROUND(VLOOKUP($AW256,$AD$3:$AJ$33,MATCH(BL$3,$AD$3:$AJ$3,0),FALSE)-$AY256/VLOOKUP(VLOOKUP($AW256,坦克个性化设定!$B$18:$E$48,4,FALSE)&amp;$AX256,坦克属性分配比例,MATCH("升星次数",坦克属性分配比例标头,0),FALSE)*VLOOKUP($AW256,$AM$3:$AS$33,MATCH(BL$3,$AM$3:$AS$3,0),FALSE),2)</f>
        <v>2.0299999999999998</v>
      </c>
    </row>
    <row r="257" spans="47:64" x14ac:dyDescent="0.35">
      <c r="AU257" s="372" t="str">
        <f t="shared" si="30"/>
        <v>KV-12</v>
      </c>
      <c r="AV257" s="654">
        <f>IF(AY256&gt;=VLOOKUP(VLOOKUP(AW256,坦克个性化设定!$B$18:$E$48,4,FALSE)&amp;AX256,坦克属性分配比例,MATCH("升星次数",坦克属性分配比例标头,0),FALSE),AV256+1,AV256)</f>
        <v>22</v>
      </c>
      <c r="AW257" s="649" t="str">
        <f t="shared" si="31"/>
        <v>KV-1</v>
      </c>
      <c r="AX257" s="650" t="str">
        <f>VLOOKUP(AW257,坦克个性化细分!$I$3:$J$33,2,FALSE)</f>
        <v>低</v>
      </c>
      <c r="AY257" s="654">
        <f t="shared" si="32"/>
        <v>2</v>
      </c>
      <c r="AZ257" s="654">
        <f ca="1">ROUND(VLOOKUP($AW257&amp;"初始",$O$3:$AA$63,MATCH(AZ$3,$O$3:$AA$3,0),FALSE)+((VLOOKUP($AW257&amp;"最终",$O$3:$AA$63,MATCH(AZ$3,$O$3:$AA$3,0),FALSE)*坦克个性化细分!$C$9-VLOOKUP($AW257&amp;"初始",$O$3:$AA$63,MATCH(AZ$3,$O$3:$AA$3,0),FALSE))-(VLOOKUP($AW257&amp;"最终",$O$3:$AA$63,MATCH(AZ$3,$O$3:$AA$3,0),FALSE)-VLOOKUP($AW257&amp;"初始",$O$3:$AA$63,MATCH(AZ$3,$O$3:$AA$3,0),FALSE))*VLOOKUP(VLOOKUP($AW257,坦克个性化设定!$B$18:$E$48,4,FALSE)&amp;$AX257,坦克属性分配比例,MATCH("部件比例",坦克属性分配比例标头,0),FALSE))*$AY257/VLOOKUP(VLOOKUP($AW257,坦克个性化设定!$B$18:$E$48,4,FALSE)&amp;$AX257,坦克属性分配比例,MATCH("升星次数",坦克属性分配比例标头,0),FALSE),0)</f>
        <v>1344</v>
      </c>
      <c r="BA257" s="654">
        <f ca="1">ROUND(VLOOKUP($AW257&amp;"初始",$O$3:$AA$63,MATCH(BA$3,$O$3:$AA$3,0),FALSE)+(VLOOKUP($AW257&amp;"最终",$O$3:$AA$63,MATCH(BA$3,$O$3:$AA$3,0),FALSE)-VLOOKUP($AW257&amp;"初始",$O$3:$AA$63,MATCH(BA$3,$O$3:$AA$3,0),FALSE))*$AY257/VLOOKUP(VLOOKUP($AW257,坦克个性化设定!$B$18:$E$48,4,FALSE)&amp;$AX257,坦克属性分配比例,MATCH("升星次数",坦克属性分配比例标头,0),FALSE)*VLOOKUP(VLOOKUP($AW257,坦克个性化设定!$B$18:$E$48,4,FALSE)&amp;$AX257,坦克属性分配比例,MATCH("升星比例",坦克属性分配比例标头,0),FALSE),0)</f>
        <v>156</v>
      </c>
      <c r="BB257" s="654">
        <f ca="1">ROUND(VLOOKUP($AW257&amp;"初始",$O$3:$AA$63,MATCH(BB$3,$O$3:$AA$3,0),FALSE)+(VLOOKUP($AW257&amp;"最终",$O$3:$AA$63,MATCH(BB$3,$O$3:$AA$3,0),FALSE)-VLOOKUP($AW257&amp;"初始",$O$3:$AA$63,MATCH(BB$3,$O$3:$AA$3,0),FALSE))*$AY257/VLOOKUP(VLOOKUP($AW257,坦克个性化设定!$B$18:$E$48,4,FALSE)&amp;$AX257,坦克属性分配比例,MATCH("升星次数",坦克属性分配比例标头,0),FALSE)*(VLOOKUP(VLOOKUP($AW257,坦克个性化设定!$B$18:$E$48,4,FALSE)&amp;$AX257,坦克属性分配比例,MATCH("升星比例",坦克属性分配比例标头,0),FALSE)+VLOOKUP(VLOOKUP($AW257,坦克个性化设定!$B$18:$E$48,4,FALSE)&amp;$AX257,坦克属性分配比例,MATCH("部件比例",坦克属性分配比例标头,0),FALSE)*$C$3),0)</f>
        <v>390</v>
      </c>
      <c r="BC257" s="654">
        <f ca="1">ROUND(VLOOKUP($AW257&amp;"初始",$O$3:$AA$63,MATCH(BC$3,$O$3:$AA$3,0),FALSE)+(VLOOKUP($AW257&amp;"最终",$O$3:$AA$63,MATCH(BC$3,$O$3:$AA$3,0),FALSE)-VLOOKUP($AW257&amp;"初始",$O$3:$AA$63,MATCH(BC$3,$O$3:$AA$3,0),FALSE))*$AY257/VLOOKUP(VLOOKUP($AW257,坦克个性化设定!$B$18:$E$48,4,FALSE)&amp;$AX257,坦克属性分配比例,MATCH("升星次数",坦克属性分配比例标头,0),FALSE)*(VLOOKUP(VLOOKUP($AW257,坦克个性化设定!$B$18:$E$48,4,FALSE)&amp;$AX257,坦克属性分配比例,MATCH("升星比例",坦克属性分配比例标头,0),FALSE)+VLOOKUP(VLOOKUP($AW257,坦克个性化设定!$B$18:$E$48,4,FALSE)&amp;$AX257,坦克属性分配比例,MATCH("部件比例",坦克属性分配比例标头,0),FALSE)*$C$3),0)</f>
        <v>312</v>
      </c>
      <c r="BD257" s="654">
        <f ca="1">ROUND(VLOOKUP($AW257&amp;"初始",$O$3:$AA$63,MATCH(BD$3,$O$3:$AA$3,0),FALSE)+(VLOOKUP($AW257&amp;"最终",$O$3:$AA$63,MATCH(BD$3,$O$3:$AA$3,0),FALSE)-VLOOKUP($AW257&amp;"初始",$O$3:$AA$63,MATCH(BD$3,$O$3:$AA$3,0),FALSE))*$AY257/VLOOKUP(VLOOKUP($AW257,坦克个性化设定!$B$18:$E$48,4,FALSE)&amp;$AX257,坦克属性分配比例,MATCH("升星次数",坦克属性分配比例标头,0),FALSE)*VLOOKUP(VLOOKUP($AW257,坦克个性化设定!$B$18:$E$48,4,FALSE)&amp;$AX257,坦克属性分配比例,MATCH("升星比例",坦克属性分配比例标头,0),FALSE),0)</f>
        <v>551</v>
      </c>
      <c r="BE257" s="654">
        <f ca="1">ROUND(VLOOKUP($AW257&amp;"初始",$O$3:$AA$63,MATCH(BE$3,$O$3:$AA$3,0),FALSE)+(VLOOKUP($AW257&amp;"最终",$O$3:$AA$63,MATCH(BE$3,$O$3:$AA$3,0),FALSE)-VLOOKUP($AW257&amp;"初始",$O$3:$AA$63,MATCH(BE$3,$O$3:$AA$3,0),FALSE))*$AY257/VLOOKUP(VLOOKUP($AW257,坦克个性化设定!$B$18:$E$48,4,FALSE)&amp;$AX257,坦克属性分配比例,MATCH("升星次数",坦克属性分配比例标头,0),FALSE),0)</f>
        <v>133</v>
      </c>
      <c r="BF257" s="654">
        <f>ROUND(VLOOKUP($AW257,$AD$3:$AJ$33,MATCH(BF$3,$AD$3:$AJ$3,0),FALSE)+$AY257/VLOOKUP(VLOOKUP($AW257,坦克个性化设定!$B$18:$E$48,4,FALSE)&amp;$AX257,坦克属性分配比例,MATCH("升星次数",坦克属性分配比例标头,0),FALSE)*VLOOKUP($AW257,$AM$3:$AS$33,MATCH(BF$3,$AM$3:$AS$3,0),FALSE),1)</f>
        <v>42.5</v>
      </c>
      <c r="BG257" s="654">
        <f>ROUND(VLOOKUP($AW257,$AD$3:$AJ$33,MATCH(BG$3,$AD$3:$AJ$3,0),FALSE)+$AY257/VLOOKUP(VLOOKUP($AW257,坦克个性化设定!$B$18:$E$48,4,FALSE)&amp;$AX257,坦克属性分配比例,MATCH("升星次数",坦克属性分配比例标头,0),FALSE)*VLOOKUP($AW257,$AM$3:$AS$33,MATCH(BG$3,$AM$3:$AS$3,0),FALSE),1)</f>
        <v>37.9</v>
      </c>
      <c r="BH257" s="654">
        <f>ROUND(VLOOKUP($AW257,$AD$3:$AJ$33,MATCH(BH$3,$AD$3:$AJ$3,0),FALSE)+$AY257/VLOOKUP(VLOOKUP($AW257,坦克个性化设定!$B$18:$E$48,4,FALSE)&amp;$AX257,坦克属性分配比例,MATCH("升星次数",坦克属性分配比例标头,0),FALSE)*VLOOKUP($AW257,$AM$3:$AS$33,MATCH(BH$3,$AM$3:$AS$3,0),FALSE),1)</f>
        <v>11.6</v>
      </c>
      <c r="BI257" s="654">
        <f>IF(VLOOKUP(AW257,坦克个性化设定!$B$18:$BB$48,MATCH("装弹类型",坦克个性化设定!$B$18:$BB$18,0),FALSE)="弹夹换弹",0,ROUND(VLOOKUP($AW257,$AD$3:$AJ$33,MATCH("换弹时间",$AD$3:$AJ$3,0),FALSE)-$AY257/VLOOKUP(VLOOKUP($AW257,坦克个性化设定!$B$18:$E$48,4,FALSE)&amp;$AX257,坦克属性分配比例,MATCH("升星次数",坦克属性分配比例标头,0),FALSE)*VLOOKUP($AW257,$AM$3:$AS$33,MATCH("换弹时间",$AM$3:$AS$3,0),FALSE),2))</f>
        <v>3.29</v>
      </c>
      <c r="BJ257" s="654">
        <f>IF(VLOOKUP(AW257,坦克个性化设定!$B$18:$BB$48,MATCH("装弹类型",坦克个性化设定!$B$18:$BB$18,0),FALSE)="弹夹换弹",ROUND(VLOOKUP($AW257,$AD$3:$AJ$33,MATCH("换弹时间",$AD$3:$AJ$3,0),FALSE)-$AY257/VLOOKUP(VLOOKUP($AW257,坦克个性化设定!$B$18:$E$48,4,FALSE)&amp;$AX257,坦克属性分配比例,MATCH("升星次数",坦克属性分配比例标头,0),FALSE)*VLOOKUP($AW257,$AM$3:$AS$33,MATCH("换弹时间",$AM$3:$AS$3,0),FALSE),1),0)</f>
        <v>0</v>
      </c>
      <c r="BK257" s="654">
        <f>ROUND(VLOOKUP($AW257,$AD$3:$AJ$33,MATCH(BK$3,$AD$3:$AJ$3,0),FALSE)+$AY257/VLOOKUP(VLOOKUP($AW257,坦克个性化设定!$B$18:$E$48,4,FALSE)&amp;$AX257,坦克属性分配比例,MATCH("升星次数",坦克属性分配比例标头,0),FALSE)*VLOOKUP($AW257,$AM$3:$AS$33,MATCH(BK$3,$AM$3:$AS$3,0),FALSE),2)</f>
        <v>1.88</v>
      </c>
      <c r="BL257" s="654">
        <f>ROUND(VLOOKUP($AW257,$AD$3:$AJ$33,MATCH(BL$3,$AD$3:$AJ$3,0),FALSE)-$AY257/VLOOKUP(VLOOKUP($AW257,坦克个性化设定!$B$18:$E$48,4,FALSE)&amp;$AX257,坦克属性分配比例,MATCH("升星次数",坦克属性分配比例标头,0),FALSE)*VLOOKUP($AW257,$AM$3:$AS$33,MATCH(BL$3,$AM$3:$AS$3,0),FALSE),2)</f>
        <v>1.97</v>
      </c>
    </row>
    <row r="258" spans="47:64" x14ac:dyDescent="0.35">
      <c r="AU258" s="372" t="str">
        <f t="shared" si="30"/>
        <v>KV-13</v>
      </c>
      <c r="AV258" s="654">
        <f>IF(AY257&gt;=VLOOKUP(VLOOKUP(AW257,坦克个性化设定!$B$18:$E$48,4,FALSE)&amp;AX257,坦克属性分配比例,MATCH("升星次数",坦克属性分配比例标头,0),FALSE),AV257+1,AV257)</f>
        <v>22</v>
      </c>
      <c r="AW258" s="649" t="str">
        <f t="shared" si="31"/>
        <v>KV-1</v>
      </c>
      <c r="AX258" s="650" t="str">
        <f>VLOOKUP(AW258,坦克个性化细分!$I$3:$J$33,2,FALSE)</f>
        <v>低</v>
      </c>
      <c r="AY258" s="654">
        <f t="shared" si="32"/>
        <v>3</v>
      </c>
      <c r="AZ258" s="654">
        <f ca="1">ROUND(VLOOKUP($AW258&amp;"初始",$O$3:$AA$63,MATCH(AZ$3,$O$3:$AA$3,0),FALSE)+((VLOOKUP($AW258&amp;"最终",$O$3:$AA$63,MATCH(AZ$3,$O$3:$AA$3,0),FALSE)*坦克个性化细分!$C$9-VLOOKUP($AW258&amp;"初始",$O$3:$AA$63,MATCH(AZ$3,$O$3:$AA$3,0),FALSE))-(VLOOKUP($AW258&amp;"最终",$O$3:$AA$63,MATCH(AZ$3,$O$3:$AA$3,0),FALSE)-VLOOKUP($AW258&amp;"初始",$O$3:$AA$63,MATCH(AZ$3,$O$3:$AA$3,0),FALSE))*VLOOKUP(VLOOKUP($AW258,坦克个性化设定!$B$18:$E$48,4,FALSE)&amp;$AX258,坦克属性分配比例,MATCH("部件比例",坦克属性分配比例标头,0),FALSE))*$AY258/VLOOKUP(VLOOKUP($AW258,坦克个性化设定!$B$18:$E$48,4,FALSE)&amp;$AX258,坦克属性分配比例,MATCH("升星次数",坦克属性分配比例标头,0),FALSE),0)</f>
        <v>1475</v>
      </c>
      <c r="BA258" s="654">
        <f ca="1">ROUND(VLOOKUP($AW258&amp;"初始",$O$3:$AA$63,MATCH(BA$3,$O$3:$AA$3,0),FALSE)+(VLOOKUP($AW258&amp;"最终",$O$3:$AA$63,MATCH(BA$3,$O$3:$AA$3,0),FALSE)-VLOOKUP($AW258&amp;"初始",$O$3:$AA$63,MATCH(BA$3,$O$3:$AA$3,0),FALSE))*$AY258/VLOOKUP(VLOOKUP($AW258,坦克个性化设定!$B$18:$E$48,4,FALSE)&amp;$AX258,坦克属性分配比例,MATCH("升星次数",坦克属性分配比例标头,0),FALSE)*VLOOKUP(VLOOKUP($AW258,坦克个性化设定!$B$18:$E$48,4,FALSE)&amp;$AX258,坦克属性分配比例,MATCH("升星比例",坦克属性分配比例标头,0),FALSE),0)</f>
        <v>163</v>
      </c>
      <c r="BB258" s="654">
        <f ca="1">ROUND(VLOOKUP($AW258&amp;"初始",$O$3:$AA$63,MATCH(BB$3,$O$3:$AA$3,0),FALSE)+(VLOOKUP($AW258&amp;"最终",$O$3:$AA$63,MATCH(BB$3,$O$3:$AA$3,0),FALSE)-VLOOKUP($AW258&amp;"初始",$O$3:$AA$63,MATCH(BB$3,$O$3:$AA$3,0),FALSE))*$AY258/VLOOKUP(VLOOKUP($AW258,坦克个性化设定!$B$18:$E$48,4,FALSE)&amp;$AX258,坦克属性分配比例,MATCH("升星次数",坦克属性分配比例标头,0),FALSE)*(VLOOKUP(VLOOKUP($AW258,坦克个性化设定!$B$18:$E$48,4,FALSE)&amp;$AX258,坦克属性分配比例,MATCH("升星比例",坦克属性分配比例标头,0),FALSE)+VLOOKUP(VLOOKUP($AW258,坦克个性化设定!$B$18:$E$48,4,FALSE)&amp;$AX258,坦克属性分配比例,MATCH("部件比例",坦克属性分配比例标头,0),FALSE)*$C$3),0)</f>
        <v>413</v>
      </c>
      <c r="BC258" s="654">
        <f ca="1">ROUND(VLOOKUP($AW258&amp;"初始",$O$3:$AA$63,MATCH(BC$3,$O$3:$AA$3,0),FALSE)+(VLOOKUP($AW258&amp;"最终",$O$3:$AA$63,MATCH(BC$3,$O$3:$AA$3,0),FALSE)-VLOOKUP($AW258&amp;"初始",$O$3:$AA$63,MATCH(BC$3,$O$3:$AA$3,0),FALSE))*$AY258/VLOOKUP(VLOOKUP($AW258,坦克个性化设定!$B$18:$E$48,4,FALSE)&amp;$AX258,坦克属性分配比例,MATCH("升星次数",坦克属性分配比例标头,0),FALSE)*(VLOOKUP(VLOOKUP($AW258,坦克个性化设定!$B$18:$E$48,4,FALSE)&amp;$AX258,坦克属性分配比例,MATCH("升星比例",坦克属性分配比例标头,0),FALSE)+VLOOKUP(VLOOKUP($AW258,坦克个性化设定!$B$18:$E$48,4,FALSE)&amp;$AX258,坦克属性分配比例,MATCH("部件比例",坦克属性分配比例标头,0),FALSE)*$C$3),0)</f>
        <v>330</v>
      </c>
      <c r="BD258" s="654">
        <f ca="1">ROUND(VLOOKUP($AW258&amp;"初始",$O$3:$AA$63,MATCH(BD$3,$O$3:$AA$3,0),FALSE)+(VLOOKUP($AW258&amp;"最终",$O$3:$AA$63,MATCH(BD$3,$O$3:$AA$3,0),FALSE)-VLOOKUP($AW258&amp;"初始",$O$3:$AA$63,MATCH(BD$3,$O$3:$AA$3,0),FALSE))*$AY258/VLOOKUP(VLOOKUP($AW258,坦克个性化设定!$B$18:$E$48,4,FALSE)&amp;$AX258,坦克属性分配比例,MATCH("升星次数",坦克属性分配比例标头,0),FALSE)*VLOOKUP(VLOOKUP($AW258,坦克个性化设定!$B$18:$E$48,4,FALSE)&amp;$AX258,坦克属性分配比例,MATCH("升星比例",坦克属性分配比例标头,0),FALSE),0)</f>
        <v>574</v>
      </c>
      <c r="BE258" s="654">
        <f ca="1">ROUND(VLOOKUP($AW258&amp;"初始",$O$3:$AA$63,MATCH(BE$3,$O$3:$AA$3,0),FALSE)+(VLOOKUP($AW258&amp;"最终",$O$3:$AA$63,MATCH(BE$3,$O$3:$AA$3,0),FALSE)-VLOOKUP($AW258&amp;"初始",$O$3:$AA$63,MATCH(BE$3,$O$3:$AA$3,0),FALSE))*$AY258/VLOOKUP(VLOOKUP($AW258,坦克个性化设定!$B$18:$E$48,4,FALSE)&amp;$AX258,坦克属性分配比例,MATCH("升星次数",坦克属性分配比例标头,0),FALSE),0)</f>
        <v>143</v>
      </c>
      <c r="BF258" s="654">
        <f>ROUND(VLOOKUP($AW258,$AD$3:$AJ$33,MATCH(BF$3,$AD$3:$AJ$3,0),FALSE)+$AY258/VLOOKUP(VLOOKUP($AW258,坦克个性化设定!$B$18:$E$48,4,FALSE)&amp;$AX258,坦克属性分配比例,MATCH("升星次数",坦克属性分配比例标头,0),FALSE)*VLOOKUP($AW258,$AM$3:$AS$33,MATCH(BF$3,$AM$3:$AS$3,0),FALSE),1)</f>
        <v>44.1</v>
      </c>
      <c r="BG258" s="654">
        <f>ROUND(VLOOKUP($AW258,$AD$3:$AJ$33,MATCH(BG$3,$AD$3:$AJ$3,0),FALSE)+$AY258/VLOOKUP(VLOOKUP($AW258,坦克个性化设定!$B$18:$E$48,4,FALSE)&amp;$AX258,坦克属性分配比例,MATCH("升星次数",坦克属性分配比例标头,0),FALSE)*VLOOKUP($AW258,$AM$3:$AS$33,MATCH(BG$3,$AM$3:$AS$3,0),FALSE),1)</f>
        <v>39.4</v>
      </c>
      <c r="BH258" s="654">
        <f>ROUND(VLOOKUP($AW258,$AD$3:$AJ$33,MATCH(BH$3,$AD$3:$AJ$3,0),FALSE)+$AY258/VLOOKUP(VLOOKUP($AW258,坦克个性化设定!$B$18:$E$48,4,FALSE)&amp;$AX258,坦克属性分配比例,MATCH("升星次数",坦克属性分配比例标头,0),FALSE)*VLOOKUP($AW258,$AM$3:$AS$33,MATCH(BH$3,$AM$3:$AS$3,0),FALSE),1)</f>
        <v>12.2</v>
      </c>
      <c r="BI258" s="654">
        <f>IF(VLOOKUP(AW258,坦克个性化设定!$B$18:$BB$48,MATCH("装弹类型",坦克个性化设定!$B$18:$BB$18,0),FALSE)="弹夹换弹",0,ROUND(VLOOKUP($AW258,$AD$3:$AJ$33,MATCH("换弹时间",$AD$3:$AJ$3,0),FALSE)-$AY258/VLOOKUP(VLOOKUP($AW258,坦克个性化设定!$B$18:$E$48,4,FALSE)&amp;$AX258,坦克属性分配比例,MATCH("升星次数",坦克属性分配比例标头,0),FALSE)*VLOOKUP($AW258,$AM$3:$AS$33,MATCH("换弹时间",$AM$3:$AS$3,0),FALSE),2))</f>
        <v>3.13</v>
      </c>
      <c r="BJ258" s="654">
        <f>IF(VLOOKUP(AW258,坦克个性化设定!$B$18:$BB$48,MATCH("装弹类型",坦克个性化设定!$B$18:$BB$18,0),FALSE)="弹夹换弹",ROUND(VLOOKUP($AW258,$AD$3:$AJ$33,MATCH("换弹时间",$AD$3:$AJ$3,0),FALSE)-$AY258/VLOOKUP(VLOOKUP($AW258,坦克个性化设定!$B$18:$E$48,4,FALSE)&amp;$AX258,坦克属性分配比例,MATCH("升星次数",坦克属性分配比例标头,0),FALSE)*VLOOKUP($AW258,$AM$3:$AS$33,MATCH("换弹时间",$AM$3:$AS$3,0),FALSE),1),0)</f>
        <v>0</v>
      </c>
      <c r="BK258" s="654">
        <f>ROUND(VLOOKUP($AW258,$AD$3:$AJ$33,MATCH(BK$3,$AD$3:$AJ$3,0),FALSE)+$AY258/VLOOKUP(VLOOKUP($AW258,坦克个性化设定!$B$18:$E$48,4,FALSE)&amp;$AX258,坦克属性分配比例,MATCH("升星次数",坦克属性分配比例标头,0),FALSE)*VLOOKUP($AW258,$AM$3:$AS$33,MATCH(BK$3,$AM$3:$AS$3,0),FALSE),2)</f>
        <v>1.88</v>
      </c>
      <c r="BL258" s="654">
        <f>ROUND(VLOOKUP($AW258,$AD$3:$AJ$33,MATCH(BL$3,$AD$3:$AJ$3,0),FALSE)-$AY258/VLOOKUP(VLOOKUP($AW258,坦克个性化设定!$B$18:$E$48,4,FALSE)&amp;$AX258,坦克属性分配比例,MATCH("升星次数",坦克属性分配比例标头,0),FALSE)*VLOOKUP($AW258,$AM$3:$AS$33,MATCH(BL$3,$AM$3:$AS$3,0),FALSE),2)</f>
        <v>1.91</v>
      </c>
    </row>
    <row r="259" spans="47:64" x14ac:dyDescent="0.35">
      <c r="AU259" s="372" t="str">
        <f t="shared" si="30"/>
        <v>KV-14</v>
      </c>
      <c r="AV259" s="654">
        <f>IF(AY258&gt;=VLOOKUP(VLOOKUP(AW258,坦克个性化设定!$B$18:$E$48,4,FALSE)&amp;AX258,坦克属性分配比例,MATCH("升星次数",坦克属性分配比例标头,0),FALSE),AV258+1,AV258)</f>
        <v>22</v>
      </c>
      <c r="AW259" s="649" t="str">
        <f t="shared" si="31"/>
        <v>KV-1</v>
      </c>
      <c r="AX259" s="650" t="str">
        <f>VLOOKUP(AW259,坦克个性化细分!$I$3:$J$33,2,FALSE)</f>
        <v>低</v>
      </c>
      <c r="AY259" s="654">
        <f t="shared" si="32"/>
        <v>4</v>
      </c>
      <c r="AZ259" s="654">
        <f ca="1">ROUND(VLOOKUP($AW259&amp;"初始",$O$3:$AA$63,MATCH(AZ$3,$O$3:$AA$3,0),FALSE)+((VLOOKUP($AW259&amp;"最终",$O$3:$AA$63,MATCH(AZ$3,$O$3:$AA$3,0),FALSE)*坦克个性化细分!$C$9-VLOOKUP($AW259&amp;"初始",$O$3:$AA$63,MATCH(AZ$3,$O$3:$AA$3,0),FALSE))-(VLOOKUP($AW259&amp;"最终",$O$3:$AA$63,MATCH(AZ$3,$O$3:$AA$3,0),FALSE)-VLOOKUP($AW259&amp;"初始",$O$3:$AA$63,MATCH(AZ$3,$O$3:$AA$3,0),FALSE))*VLOOKUP(VLOOKUP($AW259,坦克个性化设定!$B$18:$E$48,4,FALSE)&amp;$AX259,坦克属性分配比例,MATCH("部件比例",坦克属性分配比例标头,0),FALSE))*$AY259/VLOOKUP(VLOOKUP($AW259,坦克个性化设定!$B$18:$E$48,4,FALSE)&amp;$AX259,坦克属性分配比例,MATCH("升星次数",坦克属性分配比例标头,0),FALSE),0)</f>
        <v>1606</v>
      </c>
      <c r="BA259" s="654">
        <f ca="1">ROUND(VLOOKUP($AW259&amp;"初始",$O$3:$AA$63,MATCH(BA$3,$O$3:$AA$3,0),FALSE)+(VLOOKUP($AW259&amp;"最终",$O$3:$AA$63,MATCH(BA$3,$O$3:$AA$3,0),FALSE)-VLOOKUP($AW259&amp;"初始",$O$3:$AA$63,MATCH(BA$3,$O$3:$AA$3,0),FALSE))*$AY259/VLOOKUP(VLOOKUP($AW259,坦克个性化设定!$B$18:$E$48,4,FALSE)&amp;$AX259,坦克属性分配比例,MATCH("升星次数",坦克属性分配比例标头,0),FALSE)*VLOOKUP(VLOOKUP($AW259,坦克个性化设定!$B$18:$E$48,4,FALSE)&amp;$AX259,坦克属性分配比例,MATCH("升星比例",坦克属性分配比例标头,0),FALSE),0)</f>
        <v>169</v>
      </c>
      <c r="BB259" s="654">
        <f ca="1">ROUND(VLOOKUP($AW259&amp;"初始",$O$3:$AA$63,MATCH(BB$3,$O$3:$AA$3,0),FALSE)+(VLOOKUP($AW259&amp;"最终",$O$3:$AA$63,MATCH(BB$3,$O$3:$AA$3,0),FALSE)-VLOOKUP($AW259&amp;"初始",$O$3:$AA$63,MATCH(BB$3,$O$3:$AA$3,0),FALSE))*$AY259/VLOOKUP(VLOOKUP($AW259,坦克个性化设定!$B$18:$E$48,4,FALSE)&amp;$AX259,坦克属性分配比例,MATCH("升星次数",坦克属性分配比例标头,0),FALSE)*(VLOOKUP(VLOOKUP($AW259,坦克个性化设定!$B$18:$E$48,4,FALSE)&amp;$AX259,坦克属性分配比例,MATCH("升星比例",坦克属性分配比例标头,0),FALSE)+VLOOKUP(VLOOKUP($AW259,坦克个性化设定!$B$18:$E$48,4,FALSE)&amp;$AX259,坦克属性分配比例,MATCH("部件比例",坦克属性分配比例标头,0),FALSE)*$C$3),0)</f>
        <v>437</v>
      </c>
      <c r="BC259" s="654">
        <f ca="1">ROUND(VLOOKUP($AW259&amp;"初始",$O$3:$AA$63,MATCH(BC$3,$O$3:$AA$3,0),FALSE)+(VLOOKUP($AW259&amp;"最终",$O$3:$AA$63,MATCH(BC$3,$O$3:$AA$3,0),FALSE)-VLOOKUP($AW259&amp;"初始",$O$3:$AA$63,MATCH(BC$3,$O$3:$AA$3,0),FALSE))*$AY259/VLOOKUP(VLOOKUP($AW259,坦克个性化设定!$B$18:$E$48,4,FALSE)&amp;$AX259,坦克属性分配比例,MATCH("升星次数",坦克属性分配比例标头,0),FALSE)*(VLOOKUP(VLOOKUP($AW259,坦克个性化设定!$B$18:$E$48,4,FALSE)&amp;$AX259,坦克属性分配比例,MATCH("升星比例",坦克属性分配比例标头,0),FALSE)+VLOOKUP(VLOOKUP($AW259,坦克个性化设定!$B$18:$E$48,4,FALSE)&amp;$AX259,坦克属性分配比例,MATCH("部件比例",坦克属性分配比例标头,0),FALSE)*$C$3),0)</f>
        <v>349</v>
      </c>
      <c r="BD259" s="654">
        <f ca="1">ROUND(VLOOKUP($AW259&amp;"初始",$O$3:$AA$63,MATCH(BD$3,$O$3:$AA$3,0),FALSE)+(VLOOKUP($AW259&amp;"最终",$O$3:$AA$63,MATCH(BD$3,$O$3:$AA$3,0),FALSE)-VLOOKUP($AW259&amp;"初始",$O$3:$AA$63,MATCH(BD$3,$O$3:$AA$3,0),FALSE))*$AY259/VLOOKUP(VLOOKUP($AW259,坦克个性化设定!$B$18:$E$48,4,FALSE)&amp;$AX259,坦克属性分配比例,MATCH("升星次数",坦克属性分配比例标头,0),FALSE)*VLOOKUP(VLOOKUP($AW259,坦克个性化设定!$B$18:$E$48,4,FALSE)&amp;$AX259,坦克属性分配比例,MATCH("升星比例",坦克属性分配比例标头,0),FALSE),0)</f>
        <v>597</v>
      </c>
      <c r="BE259" s="654">
        <f ca="1">ROUND(VLOOKUP($AW259&amp;"初始",$O$3:$AA$63,MATCH(BE$3,$O$3:$AA$3,0),FALSE)+(VLOOKUP($AW259&amp;"最终",$O$3:$AA$63,MATCH(BE$3,$O$3:$AA$3,0),FALSE)-VLOOKUP($AW259&amp;"初始",$O$3:$AA$63,MATCH(BE$3,$O$3:$AA$3,0),FALSE))*$AY259/VLOOKUP(VLOOKUP($AW259,坦克个性化设定!$B$18:$E$48,4,FALSE)&amp;$AX259,坦克属性分配比例,MATCH("升星次数",坦克属性分配比例标头,0),FALSE),0)</f>
        <v>152</v>
      </c>
      <c r="BF259" s="654">
        <f>ROUND(VLOOKUP($AW259,$AD$3:$AJ$33,MATCH(BF$3,$AD$3:$AJ$3,0),FALSE)+$AY259/VLOOKUP(VLOOKUP($AW259,坦克个性化设定!$B$18:$E$48,4,FALSE)&amp;$AX259,坦克属性分配比例,MATCH("升星次数",坦克属性分配比例标头,0),FALSE)*VLOOKUP($AW259,$AM$3:$AS$33,MATCH(BF$3,$AM$3:$AS$3,0),FALSE),1)</f>
        <v>45.7</v>
      </c>
      <c r="BG259" s="654">
        <f>ROUND(VLOOKUP($AW259,$AD$3:$AJ$33,MATCH(BG$3,$AD$3:$AJ$3,0),FALSE)+$AY259/VLOOKUP(VLOOKUP($AW259,坦克个性化设定!$B$18:$E$48,4,FALSE)&amp;$AX259,坦克属性分配比例,MATCH("升星次数",坦克属性分配比例标头,0),FALSE)*VLOOKUP($AW259,$AM$3:$AS$33,MATCH(BG$3,$AM$3:$AS$3,0),FALSE),1)</f>
        <v>40.799999999999997</v>
      </c>
      <c r="BH259" s="654">
        <f>ROUND(VLOOKUP($AW259,$AD$3:$AJ$33,MATCH(BH$3,$AD$3:$AJ$3,0),FALSE)+$AY259/VLOOKUP(VLOOKUP($AW259,坦克个性化设定!$B$18:$E$48,4,FALSE)&amp;$AX259,坦克属性分配比例,MATCH("升星次数",坦克属性分配比例标头,0),FALSE)*VLOOKUP($AW259,$AM$3:$AS$33,MATCH(BH$3,$AM$3:$AS$3,0),FALSE),1)</f>
        <v>12.8</v>
      </c>
      <c r="BI259" s="654">
        <f>IF(VLOOKUP(AW259,坦克个性化设定!$B$18:$BB$48,MATCH("装弹类型",坦克个性化设定!$B$18:$BB$18,0),FALSE)="弹夹换弹",0,ROUND(VLOOKUP($AW259,$AD$3:$AJ$33,MATCH("换弹时间",$AD$3:$AJ$3,0),FALSE)-$AY259/VLOOKUP(VLOOKUP($AW259,坦克个性化设定!$B$18:$E$48,4,FALSE)&amp;$AX259,坦克属性分配比例,MATCH("升星次数",坦克属性分配比例标头,0),FALSE)*VLOOKUP($AW259,$AM$3:$AS$33,MATCH("换弹时间",$AM$3:$AS$3,0),FALSE),2))</f>
        <v>2.97</v>
      </c>
      <c r="BJ259" s="654">
        <f>IF(VLOOKUP(AW259,坦克个性化设定!$B$18:$BB$48,MATCH("装弹类型",坦克个性化设定!$B$18:$BB$18,0),FALSE)="弹夹换弹",ROUND(VLOOKUP($AW259,$AD$3:$AJ$33,MATCH("换弹时间",$AD$3:$AJ$3,0),FALSE)-$AY259/VLOOKUP(VLOOKUP($AW259,坦克个性化设定!$B$18:$E$48,4,FALSE)&amp;$AX259,坦克属性分配比例,MATCH("升星次数",坦克属性分配比例标头,0),FALSE)*VLOOKUP($AW259,$AM$3:$AS$33,MATCH("换弹时间",$AM$3:$AS$3,0),FALSE),1),0)</f>
        <v>0</v>
      </c>
      <c r="BK259" s="654">
        <f>ROUND(VLOOKUP($AW259,$AD$3:$AJ$33,MATCH(BK$3,$AD$3:$AJ$3,0),FALSE)+$AY259/VLOOKUP(VLOOKUP($AW259,坦克个性化设定!$B$18:$E$48,4,FALSE)&amp;$AX259,坦克属性分配比例,MATCH("升星次数",坦克属性分配比例标头,0),FALSE)*VLOOKUP($AW259,$AM$3:$AS$33,MATCH(BK$3,$AM$3:$AS$3,0),FALSE),2)</f>
        <v>1.88</v>
      </c>
      <c r="BL259" s="654">
        <f>ROUND(VLOOKUP($AW259,$AD$3:$AJ$33,MATCH(BL$3,$AD$3:$AJ$3,0),FALSE)-$AY259/VLOOKUP(VLOOKUP($AW259,坦克个性化设定!$B$18:$E$48,4,FALSE)&amp;$AX259,坦克属性分配比例,MATCH("升星次数",坦克属性分配比例标头,0),FALSE)*VLOOKUP($AW259,$AM$3:$AS$33,MATCH(BL$3,$AM$3:$AS$3,0),FALSE),2)</f>
        <v>1.85</v>
      </c>
    </row>
    <row r="260" spans="47:64" x14ac:dyDescent="0.35">
      <c r="AU260" s="372" t="str">
        <f t="shared" si="30"/>
        <v>KV-15</v>
      </c>
      <c r="AV260" s="654">
        <f>IF(AY259&gt;=VLOOKUP(VLOOKUP(AW259,坦克个性化设定!$B$18:$E$48,4,FALSE)&amp;AX259,坦克属性分配比例,MATCH("升星次数",坦克属性分配比例标头,0),FALSE),AV259+1,AV259)</f>
        <v>22</v>
      </c>
      <c r="AW260" s="649" t="str">
        <f t="shared" si="31"/>
        <v>KV-1</v>
      </c>
      <c r="AX260" s="650" t="str">
        <f>VLOOKUP(AW260,坦克个性化细分!$I$3:$J$33,2,FALSE)</f>
        <v>低</v>
      </c>
      <c r="AY260" s="654">
        <f t="shared" si="32"/>
        <v>5</v>
      </c>
      <c r="AZ260" s="654">
        <f ca="1">ROUND(VLOOKUP($AW260&amp;"初始",$O$3:$AA$63,MATCH(AZ$3,$O$3:$AA$3,0),FALSE)+((VLOOKUP($AW260&amp;"最终",$O$3:$AA$63,MATCH(AZ$3,$O$3:$AA$3,0),FALSE)*坦克个性化细分!$C$9-VLOOKUP($AW260&amp;"初始",$O$3:$AA$63,MATCH(AZ$3,$O$3:$AA$3,0),FALSE))-(VLOOKUP($AW260&amp;"最终",$O$3:$AA$63,MATCH(AZ$3,$O$3:$AA$3,0),FALSE)-VLOOKUP($AW260&amp;"初始",$O$3:$AA$63,MATCH(AZ$3,$O$3:$AA$3,0),FALSE))*VLOOKUP(VLOOKUP($AW260,坦克个性化设定!$B$18:$E$48,4,FALSE)&amp;$AX260,坦克属性分配比例,MATCH("部件比例",坦克属性分配比例标头,0),FALSE))*$AY260/VLOOKUP(VLOOKUP($AW260,坦克个性化设定!$B$18:$E$48,4,FALSE)&amp;$AX260,坦克属性分配比例,MATCH("升星次数",坦克属性分配比例标头,0),FALSE),0)</f>
        <v>1737</v>
      </c>
      <c r="BA260" s="654">
        <f ca="1">ROUND(VLOOKUP($AW260&amp;"初始",$O$3:$AA$63,MATCH(BA$3,$O$3:$AA$3,0),FALSE)+(VLOOKUP($AW260&amp;"最终",$O$3:$AA$63,MATCH(BA$3,$O$3:$AA$3,0),FALSE)-VLOOKUP($AW260&amp;"初始",$O$3:$AA$63,MATCH(BA$3,$O$3:$AA$3,0),FALSE))*$AY260/VLOOKUP(VLOOKUP($AW260,坦克个性化设定!$B$18:$E$48,4,FALSE)&amp;$AX260,坦克属性分配比例,MATCH("升星次数",坦克属性分配比例标头,0),FALSE)*VLOOKUP(VLOOKUP($AW260,坦克个性化设定!$B$18:$E$48,4,FALSE)&amp;$AX260,坦克属性分配比例,MATCH("升星比例",坦克属性分配比例标头,0),FALSE),0)</f>
        <v>176</v>
      </c>
      <c r="BB260" s="654">
        <f ca="1">ROUND(VLOOKUP($AW260&amp;"初始",$O$3:$AA$63,MATCH(BB$3,$O$3:$AA$3,0),FALSE)+(VLOOKUP($AW260&amp;"最终",$O$3:$AA$63,MATCH(BB$3,$O$3:$AA$3,0),FALSE)-VLOOKUP($AW260&amp;"初始",$O$3:$AA$63,MATCH(BB$3,$O$3:$AA$3,0),FALSE))*$AY260/VLOOKUP(VLOOKUP($AW260,坦克个性化设定!$B$18:$E$48,4,FALSE)&amp;$AX260,坦克属性分配比例,MATCH("升星次数",坦克属性分配比例标头,0),FALSE)*(VLOOKUP(VLOOKUP($AW260,坦克个性化设定!$B$18:$E$48,4,FALSE)&amp;$AX260,坦克属性分配比例,MATCH("升星比例",坦克属性分配比例标头,0),FALSE)+VLOOKUP(VLOOKUP($AW260,坦克个性化设定!$B$18:$E$48,4,FALSE)&amp;$AX260,坦克属性分配比例,MATCH("部件比例",坦克属性分配比例标头,0),FALSE)*$C$3),0)</f>
        <v>460</v>
      </c>
      <c r="BC260" s="654">
        <f ca="1">ROUND(VLOOKUP($AW260&amp;"初始",$O$3:$AA$63,MATCH(BC$3,$O$3:$AA$3,0),FALSE)+(VLOOKUP($AW260&amp;"最终",$O$3:$AA$63,MATCH(BC$3,$O$3:$AA$3,0),FALSE)-VLOOKUP($AW260&amp;"初始",$O$3:$AA$63,MATCH(BC$3,$O$3:$AA$3,0),FALSE))*$AY260/VLOOKUP(VLOOKUP($AW260,坦克个性化设定!$B$18:$E$48,4,FALSE)&amp;$AX260,坦克属性分配比例,MATCH("升星次数",坦克属性分配比例标头,0),FALSE)*(VLOOKUP(VLOOKUP($AW260,坦克个性化设定!$B$18:$E$48,4,FALSE)&amp;$AX260,坦克属性分配比例,MATCH("升星比例",坦克属性分配比例标头,0),FALSE)+VLOOKUP(VLOOKUP($AW260,坦克个性化设定!$B$18:$E$48,4,FALSE)&amp;$AX260,坦克属性分配比例,MATCH("部件比例",坦克属性分配比例标头,0),FALSE)*$C$3),0)</f>
        <v>368</v>
      </c>
      <c r="BD260" s="654">
        <f ca="1">ROUND(VLOOKUP($AW260&amp;"初始",$O$3:$AA$63,MATCH(BD$3,$O$3:$AA$3,0),FALSE)+(VLOOKUP($AW260&amp;"最终",$O$3:$AA$63,MATCH(BD$3,$O$3:$AA$3,0),FALSE)-VLOOKUP($AW260&amp;"初始",$O$3:$AA$63,MATCH(BD$3,$O$3:$AA$3,0),FALSE))*$AY260/VLOOKUP(VLOOKUP($AW260,坦克个性化设定!$B$18:$E$48,4,FALSE)&amp;$AX260,坦克属性分配比例,MATCH("升星次数",坦克属性分配比例标头,0),FALSE)*VLOOKUP(VLOOKUP($AW260,坦克个性化设定!$B$18:$E$48,4,FALSE)&amp;$AX260,坦克属性分配比例,MATCH("升星比例",坦克属性分配比例标头,0),FALSE),0)</f>
        <v>621</v>
      </c>
      <c r="BE260" s="654">
        <f ca="1">ROUND(VLOOKUP($AW260&amp;"初始",$O$3:$AA$63,MATCH(BE$3,$O$3:$AA$3,0),FALSE)+(VLOOKUP($AW260&amp;"最终",$O$3:$AA$63,MATCH(BE$3,$O$3:$AA$3,0),FALSE)-VLOOKUP($AW260&amp;"初始",$O$3:$AA$63,MATCH(BE$3,$O$3:$AA$3,0),FALSE))*$AY260/VLOOKUP(VLOOKUP($AW260,坦克个性化设定!$B$18:$E$48,4,FALSE)&amp;$AX260,坦克属性分配比例,MATCH("升星次数",坦克属性分配比例标头,0),FALSE),0)</f>
        <v>162</v>
      </c>
      <c r="BF260" s="654">
        <f>ROUND(VLOOKUP($AW260,$AD$3:$AJ$33,MATCH(BF$3,$AD$3:$AJ$3,0),FALSE)+$AY260/VLOOKUP(VLOOKUP($AW260,坦克个性化设定!$B$18:$E$48,4,FALSE)&amp;$AX260,坦克属性分配比例,MATCH("升星次数",坦克属性分配比例标头,0),FALSE)*VLOOKUP($AW260,$AM$3:$AS$33,MATCH(BF$3,$AM$3:$AS$3,0),FALSE),1)</f>
        <v>47.4</v>
      </c>
      <c r="BG260" s="654">
        <f>ROUND(VLOOKUP($AW260,$AD$3:$AJ$33,MATCH(BG$3,$AD$3:$AJ$3,0),FALSE)+$AY260/VLOOKUP(VLOOKUP($AW260,坦克个性化设定!$B$18:$E$48,4,FALSE)&amp;$AX260,坦克属性分配比例,MATCH("升星次数",坦克属性分配比例标头,0),FALSE)*VLOOKUP($AW260,$AM$3:$AS$33,MATCH(BG$3,$AM$3:$AS$3,0),FALSE),1)</f>
        <v>42.3</v>
      </c>
      <c r="BH260" s="654">
        <f>ROUND(VLOOKUP($AW260,$AD$3:$AJ$33,MATCH(BH$3,$AD$3:$AJ$3,0),FALSE)+$AY260/VLOOKUP(VLOOKUP($AW260,坦克个性化设定!$B$18:$E$48,4,FALSE)&amp;$AX260,坦克属性分配比例,MATCH("升星次数",坦克属性分配比例标头,0),FALSE)*VLOOKUP($AW260,$AM$3:$AS$33,MATCH(BH$3,$AM$3:$AS$3,0),FALSE),1)</f>
        <v>13.4</v>
      </c>
      <c r="BI260" s="654">
        <f>IF(VLOOKUP(AW260,坦克个性化设定!$B$18:$BB$48,MATCH("装弹类型",坦克个性化设定!$B$18:$BB$18,0),FALSE)="弹夹换弹",0,ROUND(VLOOKUP($AW260,$AD$3:$AJ$33,MATCH("换弹时间",$AD$3:$AJ$3,0),FALSE)-$AY260/VLOOKUP(VLOOKUP($AW260,坦克个性化设定!$B$18:$E$48,4,FALSE)&amp;$AX260,坦克属性分配比例,MATCH("升星次数",坦克属性分配比例标头,0),FALSE)*VLOOKUP($AW260,$AM$3:$AS$33,MATCH("换弹时间",$AM$3:$AS$3,0),FALSE),2))</f>
        <v>2.82</v>
      </c>
      <c r="BJ260" s="654">
        <f>IF(VLOOKUP(AW260,坦克个性化设定!$B$18:$BB$48,MATCH("装弹类型",坦克个性化设定!$B$18:$BB$18,0),FALSE)="弹夹换弹",ROUND(VLOOKUP($AW260,$AD$3:$AJ$33,MATCH("换弹时间",$AD$3:$AJ$3,0),FALSE)-$AY260/VLOOKUP(VLOOKUP($AW260,坦克个性化设定!$B$18:$E$48,4,FALSE)&amp;$AX260,坦克属性分配比例,MATCH("升星次数",坦克属性分配比例标头,0),FALSE)*VLOOKUP($AW260,$AM$3:$AS$33,MATCH("换弹时间",$AM$3:$AS$3,0),FALSE),1),0)</f>
        <v>0</v>
      </c>
      <c r="BK260" s="654">
        <f>ROUND(VLOOKUP($AW260,$AD$3:$AJ$33,MATCH(BK$3,$AD$3:$AJ$3,0),FALSE)+$AY260/VLOOKUP(VLOOKUP($AW260,坦克个性化设定!$B$18:$E$48,4,FALSE)&amp;$AX260,坦克属性分配比例,MATCH("升星次数",坦克属性分配比例标头,0),FALSE)*VLOOKUP($AW260,$AM$3:$AS$33,MATCH(BK$3,$AM$3:$AS$3,0),FALSE),2)</f>
        <v>1.88</v>
      </c>
      <c r="BL260" s="654">
        <f>ROUND(VLOOKUP($AW260,$AD$3:$AJ$33,MATCH(BL$3,$AD$3:$AJ$3,0),FALSE)-$AY260/VLOOKUP(VLOOKUP($AW260,坦克个性化设定!$B$18:$E$48,4,FALSE)&amp;$AX260,坦克属性分配比例,MATCH("升星次数",坦克属性分配比例标头,0),FALSE)*VLOOKUP($AW260,$AM$3:$AS$33,MATCH(BL$3,$AM$3:$AS$3,0),FALSE),2)</f>
        <v>1.79</v>
      </c>
    </row>
    <row r="261" spans="47:64" x14ac:dyDescent="0.35">
      <c r="AU261" s="372" t="str">
        <f t="shared" si="30"/>
        <v>KV-16</v>
      </c>
      <c r="AV261" s="654">
        <f>IF(AY260&gt;=VLOOKUP(VLOOKUP(AW260,坦克个性化设定!$B$18:$E$48,4,FALSE)&amp;AX260,坦克属性分配比例,MATCH("升星次数",坦克属性分配比例标头,0),FALSE),AV260+1,AV260)</f>
        <v>22</v>
      </c>
      <c r="AW261" s="649" t="str">
        <f t="shared" si="31"/>
        <v>KV-1</v>
      </c>
      <c r="AX261" s="650" t="str">
        <f>VLOOKUP(AW261,坦克个性化细分!$I$3:$J$33,2,FALSE)</f>
        <v>低</v>
      </c>
      <c r="AY261" s="654">
        <f t="shared" si="32"/>
        <v>6</v>
      </c>
      <c r="AZ261" s="654">
        <f ca="1">ROUND(VLOOKUP($AW261&amp;"初始",$O$3:$AA$63,MATCH(AZ$3,$O$3:$AA$3,0),FALSE)+((VLOOKUP($AW261&amp;"最终",$O$3:$AA$63,MATCH(AZ$3,$O$3:$AA$3,0),FALSE)*坦克个性化细分!$C$9-VLOOKUP($AW261&amp;"初始",$O$3:$AA$63,MATCH(AZ$3,$O$3:$AA$3,0),FALSE))-(VLOOKUP($AW261&amp;"最终",$O$3:$AA$63,MATCH(AZ$3,$O$3:$AA$3,0),FALSE)-VLOOKUP($AW261&amp;"初始",$O$3:$AA$63,MATCH(AZ$3,$O$3:$AA$3,0),FALSE))*VLOOKUP(VLOOKUP($AW261,坦克个性化设定!$B$18:$E$48,4,FALSE)&amp;$AX261,坦克属性分配比例,MATCH("部件比例",坦克属性分配比例标头,0),FALSE))*$AY261/VLOOKUP(VLOOKUP($AW261,坦克个性化设定!$B$18:$E$48,4,FALSE)&amp;$AX261,坦克属性分配比例,MATCH("升星次数",坦克属性分配比例标头,0),FALSE),0)</f>
        <v>1869</v>
      </c>
      <c r="BA261" s="654">
        <f ca="1">ROUND(VLOOKUP($AW261&amp;"初始",$O$3:$AA$63,MATCH(BA$3,$O$3:$AA$3,0),FALSE)+(VLOOKUP($AW261&amp;"最终",$O$3:$AA$63,MATCH(BA$3,$O$3:$AA$3,0),FALSE)-VLOOKUP($AW261&amp;"初始",$O$3:$AA$63,MATCH(BA$3,$O$3:$AA$3,0),FALSE))*$AY261/VLOOKUP(VLOOKUP($AW261,坦克个性化设定!$B$18:$E$48,4,FALSE)&amp;$AX261,坦克属性分配比例,MATCH("升星次数",坦克属性分配比例标头,0),FALSE)*VLOOKUP(VLOOKUP($AW261,坦克个性化设定!$B$18:$E$48,4,FALSE)&amp;$AX261,坦克属性分配比例,MATCH("升星比例",坦克属性分配比例标头,0),FALSE),0)</f>
        <v>183</v>
      </c>
      <c r="BB261" s="654">
        <f ca="1">ROUND(VLOOKUP($AW261&amp;"初始",$O$3:$AA$63,MATCH(BB$3,$O$3:$AA$3,0),FALSE)+(VLOOKUP($AW261&amp;"最终",$O$3:$AA$63,MATCH(BB$3,$O$3:$AA$3,0),FALSE)-VLOOKUP($AW261&amp;"初始",$O$3:$AA$63,MATCH(BB$3,$O$3:$AA$3,0),FALSE))*$AY261/VLOOKUP(VLOOKUP($AW261,坦克个性化设定!$B$18:$E$48,4,FALSE)&amp;$AX261,坦克属性分配比例,MATCH("升星次数",坦克属性分配比例标头,0),FALSE)*(VLOOKUP(VLOOKUP($AW261,坦克个性化设定!$B$18:$E$48,4,FALSE)&amp;$AX261,坦克属性分配比例,MATCH("升星比例",坦克属性分配比例标头,0),FALSE)+VLOOKUP(VLOOKUP($AW261,坦克个性化设定!$B$18:$E$48,4,FALSE)&amp;$AX261,坦克属性分配比例,MATCH("部件比例",坦克属性分配比例标头,0),FALSE)*$C$3),0)</f>
        <v>484</v>
      </c>
      <c r="BC261" s="654">
        <f ca="1">ROUND(VLOOKUP($AW261&amp;"初始",$O$3:$AA$63,MATCH(BC$3,$O$3:$AA$3,0),FALSE)+(VLOOKUP($AW261&amp;"最终",$O$3:$AA$63,MATCH(BC$3,$O$3:$AA$3,0),FALSE)-VLOOKUP($AW261&amp;"初始",$O$3:$AA$63,MATCH(BC$3,$O$3:$AA$3,0),FALSE))*$AY261/VLOOKUP(VLOOKUP($AW261,坦克个性化设定!$B$18:$E$48,4,FALSE)&amp;$AX261,坦克属性分配比例,MATCH("升星次数",坦克属性分配比例标头,0),FALSE)*(VLOOKUP(VLOOKUP($AW261,坦克个性化设定!$B$18:$E$48,4,FALSE)&amp;$AX261,坦克属性分配比例,MATCH("升星比例",坦克属性分配比例标头,0),FALSE)+VLOOKUP(VLOOKUP($AW261,坦克个性化设定!$B$18:$E$48,4,FALSE)&amp;$AX261,坦克属性分配比例,MATCH("部件比例",坦克属性分配比例标头,0),FALSE)*$C$3),0)</f>
        <v>387</v>
      </c>
      <c r="BD261" s="654">
        <f ca="1">ROUND(VLOOKUP($AW261&amp;"初始",$O$3:$AA$63,MATCH(BD$3,$O$3:$AA$3,0),FALSE)+(VLOOKUP($AW261&amp;"最终",$O$3:$AA$63,MATCH(BD$3,$O$3:$AA$3,0),FALSE)-VLOOKUP($AW261&amp;"初始",$O$3:$AA$63,MATCH(BD$3,$O$3:$AA$3,0),FALSE))*$AY261/VLOOKUP(VLOOKUP($AW261,坦克个性化设定!$B$18:$E$48,4,FALSE)&amp;$AX261,坦克属性分配比例,MATCH("升星次数",坦克属性分配比例标头,0),FALSE)*VLOOKUP(VLOOKUP($AW261,坦克个性化设定!$B$18:$E$48,4,FALSE)&amp;$AX261,坦克属性分配比例,MATCH("升星比例",坦克属性分配比例标头,0),FALSE),0)</f>
        <v>644</v>
      </c>
      <c r="BE261" s="654">
        <f ca="1">ROUND(VLOOKUP($AW261&amp;"初始",$O$3:$AA$63,MATCH(BE$3,$O$3:$AA$3,0),FALSE)+(VLOOKUP($AW261&amp;"最终",$O$3:$AA$63,MATCH(BE$3,$O$3:$AA$3,0),FALSE)-VLOOKUP($AW261&amp;"初始",$O$3:$AA$63,MATCH(BE$3,$O$3:$AA$3,0),FALSE))*$AY261/VLOOKUP(VLOOKUP($AW261,坦克个性化设定!$B$18:$E$48,4,FALSE)&amp;$AX261,坦克属性分配比例,MATCH("升星次数",坦克属性分配比例标头,0),FALSE),0)</f>
        <v>171</v>
      </c>
      <c r="BF261" s="654">
        <f>ROUND(VLOOKUP($AW261,$AD$3:$AJ$33,MATCH(BF$3,$AD$3:$AJ$3,0),FALSE)+$AY261/VLOOKUP(VLOOKUP($AW261,坦克个性化设定!$B$18:$E$48,4,FALSE)&amp;$AX261,坦克属性分配比例,MATCH("升星次数",坦克属性分配比例标头,0),FALSE)*VLOOKUP($AW261,$AM$3:$AS$33,MATCH(BF$3,$AM$3:$AS$3,0),FALSE),1)</f>
        <v>49</v>
      </c>
      <c r="BG261" s="654">
        <f>ROUND(VLOOKUP($AW261,$AD$3:$AJ$33,MATCH(BG$3,$AD$3:$AJ$3,0),FALSE)+$AY261/VLOOKUP(VLOOKUP($AW261,坦克个性化设定!$B$18:$E$48,4,FALSE)&amp;$AX261,坦克属性分配比例,MATCH("升星次数",坦克属性分配比例标头,0),FALSE)*VLOOKUP($AW261,$AM$3:$AS$33,MATCH(BG$3,$AM$3:$AS$3,0),FALSE),1)</f>
        <v>43.8</v>
      </c>
      <c r="BH261" s="654">
        <f>ROUND(VLOOKUP($AW261,$AD$3:$AJ$33,MATCH(BH$3,$AD$3:$AJ$3,0),FALSE)+$AY261/VLOOKUP(VLOOKUP($AW261,坦克个性化设定!$B$18:$E$48,4,FALSE)&amp;$AX261,坦克属性分配比例,MATCH("升星次数",坦克属性分配比例标头,0),FALSE)*VLOOKUP($AW261,$AM$3:$AS$33,MATCH(BH$3,$AM$3:$AS$3,0),FALSE),1)</f>
        <v>13.9</v>
      </c>
      <c r="BI261" s="654">
        <f>IF(VLOOKUP(AW261,坦克个性化设定!$B$18:$BB$48,MATCH("装弹类型",坦克个性化设定!$B$18:$BB$18,0),FALSE)="弹夹换弹",0,ROUND(VLOOKUP($AW261,$AD$3:$AJ$33,MATCH("换弹时间",$AD$3:$AJ$3,0),FALSE)-$AY261/VLOOKUP(VLOOKUP($AW261,坦克个性化设定!$B$18:$E$48,4,FALSE)&amp;$AX261,坦克属性分配比例,MATCH("升星次数",坦克属性分配比例标头,0),FALSE)*VLOOKUP($AW261,$AM$3:$AS$33,MATCH("换弹时间",$AM$3:$AS$3,0),FALSE),2))</f>
        <v>2.66</v>
      </c>
      <c r="BJ261" s="654">
        <f>IF(VLOOKUP(AW261,坦克个性化设定!$B$18:$BB$48,MATCH("装弹类型",坦克个性化设定!$B$18:$BB$18,0),FALSE)="弹夹换弹",ROUND(VLOOKUP($AW261,$AD$3:$AJ$33,MATCH("换弹时间",$AD$3:$AJ$3,0),FALSE)-$AY261/VLOOKUP(VLOOKUP($AW261,坦克个性化设定!$B$18:$E$48,4,FALSE)&amp;$AX261,坦克属性分配比例,MATCH("升星次数",坦克属性分配比例标头,0),FALSE)*VLOOKUP($AW261,$AM$3:$AS$33,MATCH("换弹时间",$AM$3:$AS$3,0),FALSE),1),0)</f>
        <v>0</v>
      </c>
      <c r="BK261" s="654">
        <f>ROUND(VLOOKUP($AW261,$AD$3:$AJ$33,MATCH(BK$3,$AD$3:$AJ$3,0),FALSE)+$AY261/VLOOKUP(VLOOKUP($AW261,坦克个性化设定!$B$18:$E$48,4,FALSE)&amp;$AX261,坦克属性分配比例,MATCH("升星次数",坦克属性分配比例标头,0),FALSE)*VLOOKUP($AW261,$AM$3:$AS$33,MATCH(BK$3,$AM$3:$AS$3,0),FALSE),2)</f>
        <v>1.88</v>
      </c>
      <c r="BL261" s="654">
        <f>ROUND(VLOOKUP($AW261,$AD$3:$AJ$33,MATCH(BL$3,$AD$3:$AJ$3,0),FALSE)-$AY261/VLOOKUP(VLOOKUP($AW261,坦克个性化设定!$B$18:$E$48,4,FALSE)&amp;$AX261,坦克属性分配比例,MATCH("升星次数",坦克属性分配比例标头,0),FALSE)*VLOOKUP($AW261,$AM$3:$AS$33,MATCH(BL$3,$AM$3:$AS$3,0),FALSE),2)</f>
        <v>1.74</v>
      </c>
    </row>
    <row r="262" spans="47:64" x14ac:dyDescent="0.35">
      <c r="AU262" s="372" t="str">
        <f t="shared" si="30"/>
        <v>丘吉尔0</v>
      </c>
      <c r="AV262" s="654">
        <f>IF(AY261&gt;=VLOOKUP(VLOOKUP(AW261,坦克个性化设定!$B$18:$E$48,4,FALSE)&amp;AX261,坦克属性分配比例,MATCH("升星次数",坦克属性分配比例标头,0),FALSE),AV261+1,AV261)</f>
        <v>23</v>
      </c>
      <c r="AW262" s="649" t="str">
        <f t="shared" si="31"/>
        <v>丘吉尔</v>
      </c>
      <c r="AX262" s="650" t="str">
        <f>VLOOKUP(AW262,坦克个性化细分!$I$3:$J$33,2,FALSE)</f>
        <v>中</v>
      </c>
      <c r="AY262" s="654">
        <f t="shared" si="32"/>
        <v>0</v>
      </c>
      <c r="AZ262" s="654">
        <f ca="1">ROUND(VLOOKUP($AW262&amp;"初始",$O$3:$AA$63,MATCH(AZ$3,$O$3:$AA$3,0),FALSE)+((VLOOKUP($AW262&amp;"最终",$O$3:$AA$63,MATCH(AZ$3,$O$3:$AA$3,0),FALSE)*坦克个性化细分!$C$9-VLOOKUP($AW262&amp;"初始",$O$3:$AA$63,MATCH(AZ$3,$O$3:$AA$3,0),FALSE))-(VLOOKUP($AW262&amp;"最终",$O$3:$AA$63,MATCH(AZ$3,$O$3:$AA$3,0),FALSE)-VLOOKUP($AW262&amp;"初始",$O$3:$AA$63,MATCH(AZ$3,$O$3:$AA$3,0),FALSE))*VLOOKUP(VLOOKUP($AW262,坦克个性化设定!$B$18:$E$48,4,FALSE)&amp;$AX262,坦克属性分配比例,MATCH("部件比例",坦克属性分配比例标头,0),FALSE))*$AY262/VLOOKUP(VLOOKUP($AW262,坦克个性化设定!$B$18:$E$48,4,FALSE)&amp;$AX262,坦克属性分配比例,MATCH("升星次数",坦克属性分配比例标头,0),FALSE),0)</f>
        <v>1184</v>
      </c>
      <c r="BA262" s="654">
        <f ca="1">ROUND(VLOOKUP($AW262&amp;"初始",$O$3:$AA$63,MATCH(BA$3,$O$3:$AA$3,0),FALSE)+(VLOOKUP($AW262&amp;"最终",$O$3:$AA$63,MATCH(BA$3,$O$3:$AA$3,0),FALSE)-VLOOKUP($AW262&amp;"初始",$O$3:$AA$63,MATCH(BA$3,$O$3:$AA$3,0),FALSE))*$AY262/VLOOKUP(VLOOKUP($AW262,坦克个性化设定!$B$18:$E$48,4,FALSE)&amp;$AX262,坦克属性分配比例,MATCH("升星次数",坦克属性分配比例标头,0),FALSE)*VLOOKUP(VLOOKUP($AW262,坦克个性化设定!$B$18:$E$48,4,FALSE)&amp;$AX262,坦克属性分配比例,MATCH("升星比例",坦克属性分配比例标头,0),FALSE),0)</f>
        <v>238</v>
      </c>
      <c r="BB262" s="654">
        <f ca="1">ROUND(VLOOKUP($AW262&amp;"初始",$O$3:$AA$63,MATCH(BB$3,$O$3:$AA$3,0),FALSE)+(VLOOKUP($AW262&amp;"最终",$O$3:$AA$63,MATCH(BB$3,$O$3:$AA$3,0),FALSE)-VLOOKUP($AW262&amp;"初始",$O$3:$AA$63,MATCH(BB$3,$O$3:$AA$3,0),FALSE))*$AY262/VLOOKUP(VLOOKUP($AW262,坦克个性化设定!$B$18:$E$48,4,FALSE)&amp;$AX262,坦克属性分配比例,MATCH("升星次数",坦克属性分配比例标头,0),FALSE)*(VLOOKUP(VLOOKUP($AW262,坦克个性化设定!$B$18:$E$48,4,FALSE)&amp;$AX262,坦克属性分配比例,MATCH("升星比例",坦克属性分配比例标头,0),FALSE)+VLOOKUP(VLOOKUP($AW262,坦克个性化设定!$B$18:$E$48,4,FALSE)&amp;$AX262,坦克属性分配比例,MATCH("部件比例",坦克属性分配比例标头,0),FALSE)*$C$3),0)</f>
        <v>387</v>
      </c>
      <c r="BC262" s="654">
        <f ca="1">ROUND(VLOOKUP($AW262&amp;"初始",$O$3:$AA$63,MATCH(BC$3,$O$3:$AA$3,0),FALSE)+(VLOOKUP($AW262&amp;"最终",$O$3:$AA$63,MATCH(BC$3,$O$3:$AA$3,0),FALSE)-VLOOKUP($AW262&amp;"初始",$O$3:$AA$63,MATCH(BC$3,$O$3:$AA$3,0),FALSE))*$AY262/VLOOKUP(VLOOKUP($AW262,坦克个性化设定!$B$18:$E$48,4,FALSE)&amp;$AX262,坦克属性分配比例,MATCH("升星次数",坦克属性分配比例标头,0),FALSE)*(VLOOKUP(VLOOKUP($AW262,坦克个性化设定!$B$18:$E$48,4,FALSE)&amp;$AX262,坦克属性分配比例,MATCH("升星比例",坦克属性分配比例标头,0),FALSE)+VLOOKUP(VLOOKUP($AW262,坦克个性化设定!$B$18:$E$48,4,FALSE)&amp;$AX262,坦克属性分配比例,MATCH("部件比例",坦克属性分配比例标头,0),FALSE)*$C$3),0)</f>
        <v>309</v>
      </c>
      <c r="BD262" s="654">
        <f ca="1">ROUND(VLOOKUP($AW262&amp;"初始",$O$3:$AA$63,MATCH(BD$3,$O$3:$AA$3,0),FALSE)+(VLOOKUP($AW262&amp;"最终",$O$3:$AA$63,MATCH(BD$3,$O$3:$AA$3,0),FALSE)-VLOOKUP($AW262&amp;"初始",$O$3:$AA$63,MATCH(BD$3,$O$3:$AA$3,0),FALSE))*$AY262/VLOOKUP(VLOOKUP($AW262,坦克个性化设定!$B$18:$E$48,4,FALSE)&amp;$AX262,坦克属性分配比例,MATCH("升星次数",坦克属性分配比例标头,0),FALSE)*VLOOKUP(VLOOKUP($AW262,坦克个性化设定!$B$18:$E$48,4,FALSE)&amp;$AX262,坦克属性分配比例,MATCH("升星比例",坦克属性分配比例标头,0),FALSE),0)</f>
        <v>517</v>
      </c>
      <c r="BE262" s="654">
        <f ca="1">ROUND(VLOOKUP($AW262&amp;"初始",$O$3:$AA$63,MATCH(BE$3,$O$3:$AA$3,0),FALSE)+(VLOOKUP($AW262&amp;"最终",$O$3:$AA$63,MATCH(BE$3,$O$3:$AA$3,0),FALSE)-VLOOKUP($AW262&amp;"初始",$O$3:$AA$63,MATCH(BE$3,$O$3:$AA$3,0),FALSE))*$AY262/VLOOKUP(VLOOKUP($AW262,坦克个性化设定!$B$18:$E$48,4,FALSE)&amp;$AX262,坦克属性分配比例,MATCH("升星次数",坦克属性分配比例标头,0),FALSE),0)</f>
        <v>117</v>
      </c>
      <c r="BF262" s="654">
        <f>ROUND(VLOOKUP($AW262,$AD$3:$AJ$33,MATCH(BF$3,$AD$3:$AJ$3,0),FALSE)+$AY262/VLOOKUP(VLOOKUP($AW262,坦克个性化设定!$B$18:$E$48,4,FALSE)&amp;$AX262,坦克属性分配比例,MATCH("升星次数",坦克属性分配比例标头,0),FALSE)*VLOOKUP($AW262,$AM$3:$AS$33,MATCH(BF$3,$AM$3:$AS$3,0),FALSE),1)</f>
        <v>32</v>
      </c>
      <c r="BG262" s="654">
        <f>ROUND(VLOOKUP($AW262,$AD$3:$AJ$33,MATCH(BG$3,$AD$3:$AJ$3,0),FALSE)+$AY262/VLOOKUP(VLOOKUP($AW262,坦克个性化设定!$B$18:$E$48,4,FALSE)&amp;$AX262,坦克属性分配比例,MATCH("升星次数",坦克属性分配比例标头,0),FALSE)*VLOOKUP($AW262,$AM$3:$AS$33,MATCH(BG$3,$AM$3:$AS$3,0),FALSE),1)</f>
        <v>44.6</v>
      </c>
      <c r="BH262" s="654">
        <f>ROUND(VLOOKUP($AW262,$AD$3:$AJ$33,MATCH(BH$3,$AD$3:$AJ$3,0),FALSE)+$AY262/VLOOKUP(VLOOKUP($AW262,坦克个性化设定!$B$18:$E$48,4,FALSE)&amp;$AX262,坦克属性分配比例,MATCH("升星次数",坦克属性分配比例标头,0),FALSE)*VLOOKUP($AW262,$AM$3:$AS$33,MATCH(BH$3,$AM$3:$AS$3,0),FALSE),1)</f>
        <v>9.6</v>
      </c>
      <c r="BI262" s="654">
        <f>IF(VLOOKUP(AW262,坦克个性化设定!$B$18:$BB$48,MATCH("装弹类型",坦克个性化设定!$B$18:$BB$18,0),FALSE)="弹夹换弹",0,ROUND(VLOOKUP($AW262,$AD$3:$AJ$33,MATCH("换弹时间",$AD$3:$AJ$3,0),FALSE)-$AY262/VLOOKUP(VLOOKUP($AW262,坦克个性化设定!$B$18:$E$48,4,FALSE)&amp;$AX262,坦克属性分配比例,MATCH("升星次数",坦克属性分配比例标头,0),FALSE)*VLOOKUP($AW262,$AM$3:$AS$33,MATCH("换弹时间",$AM$3:$AS$3,0),FALSE),2))</f>
        <v>6</v>
      </c>
      <c r="BJ262" s="654">
        <f>IF(VLOOKUP(AW262,坦克个性化设定!$B$18:$BB$48,MATCH("装弹类型",坦克个性化设定!$B$18:$BB$18,0),FALSE)="弹夹换弹",ROUND(VLOOKUP($AW262,$AD$3:$AJ$33,MATCH("换弹时间",$AD$3:$AJ$3,0),FALSE)-$AY262/VLOOKUP(VLOOKUP($AW262,坦克个性化设定!$B$18:$E$48,4,FALSE)&amp;$AX262,坦克属性分配比例,MATCH("升星次数",坦克属性分配比例标头,0),FALSE)*VLOOKUP($AW262,$AM$3:$AS$33,MATCH("换弹时间",$AM$3:$AS$3,0),FALSE),1),0)</f>
        <v>0</v>
      </c>
      <c r="BK262" s="654">
        <f>ROUND(VLOOKUP($AW262,$AD$3:$AJ$33,MATCH(BK$3,$AD$3:$AJ$3,0),FALSE)+$AY262/VLOOKUP(VLOOKUP($AW262,坦克个性化设定!$B$18:$E$48,4,FALSE)&amp;$AX262,坦克属性分配比例,MATCH("升星次数",坦克属性分配比例标头,0),FALSE)*VLOOKUP($AW262,$AM$3:$AS$33,MATCH(BK$3,$AM$3:$AS$3,0),FALSE),2)</f>
        <v>0</v>
      </c>
      <c r="BL262" s="654">
        <f>ROUND(VLOOKUP($AW262,$AD$3:$AJ$33,MATCH(BL$3,$AD$3:$AJ$3,0),FALSE)-$AY262/VLOOKUP(VLOOKUP($AW262,坦克个性化设定!$B$18:$E$48,4,FALSE)&amp;$AX262,坦克属性分配比例,MATCH("升星次数",坦克属性分配比例标头,0),FALSE)*VLOOKUP($AW262,$AM$3:$AS$33,MATCH(BL$3,$AM$3:$AS$3,0),FALSE),2)</f>
        <v>3</v>
      </c>
    </row>
    <row r="263" spans="47:64" x14ac:dyDescent="0.35">
      <c r="AU263" s="372" t="str">
        <f t="shared" si="30"/>
        <v>丘吉尔1</v>
      </c>
      <c r="AV263" s="654">
        <f>IF(AY262&gt;=VLOOKUP(VLOOKUP(AW262,坦克个性化设定!$B$18:$E$48,4,FALSE)&amp;AX262,坦克属性分配比例,MATCH("升星次数",坦克属性分配比例标头,0),FALSE),AV262+1,AV262)</f>
        <v>23</v>
      </c>
      <c r="AW263" s="649" t="str">
        <f t="shared" si="31"/>
        <v>丘吉尔</v>
      </c>
      <c r="AX263" s="650" t="str">
        <f>VLOOKUP(AW263,坦克个性化细分!$I$3:$J$33,2,FALSE)</f>
        <v>中</v>
      </c>
      <c r="AY263" s="654">
        <f t="shared" si="32"/>
        <v>1</v>
      </c>
      <c r="AZ263" s="654">
        <f ca="1">ROUND(VLOOKUP($AW263&amp;"初始",$O$3:$AA$63,MATCH(AZ$3,$O$3:$AA$3,0),FALSE)+((VLOOKUP($AW263&amp;"最终",$O$3:$AA$63,MATCH(AZ$3,$O$3:$AA$3,0),FALSE)*坦克个性化细分!$C$9-VLOOKUP($AW263&amp;"初始",$O$3:$AA$63,MATCH(AZ$3,$O$3:$AA$3,0),FALSE))-(VLOOKUP($AW263&amp;"最终",$O$3:$AA$63,MATCH(AZ$3,$O$3:$AA$3,0),FALSE)-VLOOKUP($AW263&amp;"初始",$O$3:$AA$63,MATCH(AZ$3,$O$3:$AA$3,0),FALSE))*VLOOKUP(VLOOKUP($AW263,坦克个性化设定!$B$18:$E$48,4,FALSE)&amp;$AX263,坦克属性分配比例,MATCH("部件比例",坦克属性分配比例标头,0),FALSE))*$AY263/VLOOKUP(VLOOKUP($AW263,坦克个性化设定!$B$18:$E$48,4,FALSE)&amp;$AX263,坦克属性分配比例,MATCH("升星次数",坦克属性分配比例标头,0),FALSE),0)</f>
        <v>1316</v>
      </c>
      <c r="BA263" s="654">
        <f ca="1">ROUND(VLOOKUP($AW263&amp;"初始",$O$3:$AA$63,MATCH(BA$3,$O$3:$AA$3,0),FALSE)+(VLOOKUP($AW263&amp;"最终",$O$3:$AA$63,MATCH(BA$3,$O$3:$AA$3,0),FALSE)-VLOOKUP($AW263&amp;"初始",$O$3:$AA$63,MATCH(BA$3,$O$3:$AA$3,0),FALSE))*$AY263/VLOOKUP(VLOOKUP($AW263,坦克个性化设定!$B$18:$E$48,4,FALSE)&amp;$AX263,坦克属性分配比例,MATCH("升星次数",坦克属性分配比例标头,0),FALSE)*VLOOKUP(VLOOKUP($AW263,坦克个性化设定!$B$18:$E$48,4,FALSE)&amp;$AX263,坦克属性分配比例,MATCH("升星比例",坦克属性分配比例标头,0),FALSE),0)</f>
        <v>252</v>
      </c>
      <c r="BB263" s="654">
        <f ca="1">ROUND(VLOOKUP($AW263&amp;"初始",$O$3:$AA$63,MATCH(BB$3,$O$3:$AA$3,0),FALSE)+(VLOOKUP($AW263&amp;"最终",$O$3:$AA$63,MATCH(BB$3,$O$3:$AA$3,0),FALSE)-VLOOKUP($AW263&amp;"初始",$O$3:$AA$63,MATCH(BB$3,$O$3:$AA$3,0),FALSE))*$AY263/VLOOKUP(VLOOKUP($AW263,坦克个性化设定!$B$18:$E$48,4,FALSE)&amp;$AX263,坦克属性分配比例,MATCH("升星次数",坦克属性分配比例标头,0),FALSE)*(VLOOKUP(VLOOKUP($AW263,坦克个性化设定!$B$18:$E$48,4,FALSE)&amp;$AX263,坦克属性分配比例,MATCH("升星比例",坦克属性分配比例标头,0),FALSE)+VLOOKUP(VLOOKUP($AW263,坦克个性化设定!$B$18:$E$48,4,FALSE)&amp;$AX263,坦克属性分配比例,MATCH("部件比例",坦克属性分配比例标头,0),FALSE)*$C$3),0)</f>
        <v>416</v>
      </c>
      <c r="BC263" s="654">
        <f ca="1">ROUND(VLOOKUP($AW263&amp;"初始",$O$3:$AA$63,MATCH(BC$3,$O$3:$AA$3,0),FALSE)+(VLOOKUP($AW263&amp;"最终",$O$3:$AA$63,MATCH(BC$3,$O$3:$AA$3,0),FALSE)-VLOOKUP($AW263&amp;"初始",$O$3:$AA$63,MATCH(BC$3,$O$3:$AA$3,0),FALSE))*$AY263/VLOOKUP(VLOOKUP($AW263,坦克个性化设定!$B$18:$E$48,4,FALSE)&amp;$AX263,坦克属性分配比例,MATCH("升星次数",坦克属性分配比例标头,0),FALSE)*(VLOOKUP(VLOOKUP($AW263,坦克个性化设定!$B$18:$E$48,4,FALSE)&amp;$AX263,坦克属性分配比例,MATCH("升星比例",坦克属性分配比例标头,0),FALSE)+VLOOKUP(VLOOKUP($AW263,坦克个性化设定!$B$18:$E$48,4,FALSE)&amp;$AX263,坦克属性分配比例,MATCH("部件比例",坦克属性分配比例标头,0),FALSE)*$C$3),0)</f>
        <v>332</v>
      </c>
      <c r="BD263" s="654">
        <f ca="1">ROUND(VLOOKUP($AW263&amp;"初始",$O$3:$AA$63,MATCH(BD$3,$O$3:$AA$3,0),FALSE)+(VLOOKUP($AW263&amp;"最终",$O$3:$AA$63,MATCH(BD$3,$O$3:$AA$3,0),FALSE)-VLOOKUP($AW263&amp;"初始",$O$3:$AA$63,MATCH(BD$3,$O$3:$AA$3,0),FALSE))*$AY263/VLOOKUP(VLOOKUP($AW263,坦克个性化设定!$B$18:$E$48,4,FALSE)&amp;$AX263,坦克属性分配比例,MATCH("升星次数",坦克属性分配比例标头,0),FALSE)*VLOOKUP(VLOOKUP($AW263,坦克个性化设定!$B$18:$E$48,4,FALSE)&amp;$AX263,坦克属性分配比例,MATCH("升星比例",坦克属性分配比例标头,0),FALSE),0)</f>
        <v>547</v>
      </c>
      <c r="BE263" s="654">
        <f ca="1">ROUND(VLOOKUP($AW263&amp;"初始",$O$3:$AA$63,MATCH(BE$3,$O$3:$AA$3,0),FALSE)+(VLOOKUP($AW263&amp;"最终",$O$3:$AA$63,MATCH(BE$3,$O$3:$AA$3,0),FALSE)-VLOOKUP($AW263&amp;"初始",$O$3:$AA$63,MATCH(BE$3,$O$3:$AA$3,0),FALSE))*$AY263/VLOOKUP(VLOOKUP($AW263,坦克个性化设定!$B$18:$E$48,4,FALSE)&amp;$AX263,坦克属性分配比例,MATCH("升星次数",坦克属性分配比例标头,0),FALSE),0)</f>
        <v>127</v>
      </c>
      <c r="BF263" s="654">
        <f>ROUND(VLOOKUP($AW263,$AD$3:$AJ$33,MATCH(BF$3,$AD$3:$AJ$3,0),FALSE)+$AY263/VLOOKUP(VLOOKUP($AW263,坦克个性化设定!$B$18:$E$48,4,FALSE)&amp;$AX263,坦克属性分配比例,MATCH("升星次数",坦克属性分配比例标头,0),FALSE)*VLOOKUP($AW263,$AM$3:$AS$33,MATCH(BF$3,$AM$3:$AS$3,0),FALSE),1)</f>
        <v>32.700000000000003</v>
      </c>
      <c r="BG263" s="654">
        <f>ROUND(VLOOKUP($AW263,$AD$3:$AJ$33,MATCH(BG$3,$AD$3:$AJ$3,0),FALSE)+$AY263/VLOOKUP(VLOOKUP($AW263,坦克个性化设定!$B$18:$E$48,4,FALSE)&amp;$AX263,坦克属性分配比例,MATCH("升星次数",坦克属性分配比例标头,0),FALSE)*VLOOKUP($AW263,$AM$3:$AS$33,MATCH(BG$3,$AM$3:$AS$3,0),FALSE),1)</f>
        <v>45.6</v>
      </c>
      <c r="BH263" s="654">
        <f>ROUND(VLOOKUP($AW263,$AD$3:$AJ$33,MATCH(BH$3,$AD$3:$AJ$3,0),FALSE)+$AY263/VLOOKUP(VLOOKUP($AW263,坦克个性化设定!$B$18:$E$48,4,FALSE)&amp;$AX263,坦克属性分配比例,MATCH("升星次数",坦克属性分配比例标头,0),FALSE)*VLOOKUP($AW263,$AM$3:$AS$33,MATCH(BH$3,$AM$3:$AS$3,0),FALSE),1)</f>
        <v>9.9</v>
      </c>
      <c r="BI263" s="654">
        <f>IF(VLOOKUP(AW263,坦克个性化设定!$B$18:$BB$48,MATCH("装弹类型",坦克个性化设定!$B$18:$BB$18,0),FALSE)="弹夹换弹",0,ROUND(VLOOKUP($AW263,$AD$3:$AJ$33,MATCH("换弹时间",$AD$3:$AJ$3,0),FALSE)-$AY263/VLOOKUP(VLOOKUP($AW263,坦克个性化设定!$B$18:$E$48,4,FALSE)&amp;$AX263,坦克属性分配比例,MATCH("升星次数",坦克属性分配比例标头,0),FALSE)*VLOOKUP($AW263,$AM$3:$AS$33,MATCH("换弹时间",$AM$3:$AS$3,0),FALSE),2))</f>
        <v>5.86</v>
      </c>
      <c r="BJ263" s="654">
        <f>IF(VLOOKUP(AW263,坦克个性化设定!$B$18:$BB$48,MATCH("装弹类型",坦克个性化设定!$B$18:$BB$18,0),FALSE)="弹夹换弹",ROUND(VLOOKUP($AW263,$AD$3:$AJ$33,MATCH("换弹时间",$AD$3:$AJ$3,0),FALSE)-$AY263/VLOOKUP(VLOOKUP($AW263,坦克个性化设定!$B$18:$E$48,4,FALSE)&amp;$AX263,坦克属性分配比例,MATCH("升星次数",坦克属性分配比例标头,0),FALSE)*VLOOKUP($AW263,$AM$3:$AS$33,MATCH("换弹时间",$AM$3:$AS$3,0),FALSE),1),0)</f>
        <v>0</v>
      </c>
      <c r="BK263" s="654">
        <f>ROUND(VLOOKUP($AW263,$AD$3:$AJ$33,MATCH(BK$3,$AD$3:$AJ$3,0),FALSE)+$AY263/VLOOKUP(VLOOKUP($AW263,坦克个性化设定!$B$18:$E$48,4,FALSE)&amp;$AX263,坦克属性分配比例,MATCH("升星次数",坦克属性分配比例标头,0),FALSE)*VLOOKUP($AW263,$AM$3:$AS$33,MATCH(BK$3,$AM$3:$AS$3,0),FALSE),2)</f>
        <v>0</v>
      </c>
      <c r="BL263" s="654">
        <f>ROUND(VLOOKUP($AW263,$AD$3:$AJ$33,MATCH(BL$3,$AD$3:$AJ$3,0),FALSE)-$AY263/VLOOKUP(VLOOKUP($AW263,坦克个性化设定!$B$18:$E$48,4,FALSE)&amp;$AX263,坦克属性分配比例,MATCH("升星次数",坦克属性分配比例标头,0),FALSE)*VLOOKUP($AW263,$AM$3:$AS$33,MATCH(BL$3,$AM$3:$AS$3,0),FALSE),2)</f>
        <v>2.95</v>
      </c>
    </row>
    <row r="264" spans="47:64" x14ac:dyDescent="0.35">
      <c r="AU264" s="372" t="str">
        <f t="shared" si="30"/>
        <v>丘吉尔2</v>
      </c>
      <c r="AV264" s="654">
        <f>IF(AY263&gt;=VLOOKUP(VLOOKUP(AW263,坦克个性化设定!$B$18:$E$48,4,FALSE)&amp;AX263,坦克属性分配比例,MATCH("升星次数",坦克属性分配比例标头,0),FALSE),AV263+1,AV263)</f>
        <v>23</v>
      </c>
      <c r="AW264" s="649" t="str">
        <f t="shared" si="31"/>
        <v>丘吉尔</v>
      </c>
      <c r="AX264" s="650" t="str">
        <f>VLOOKUP(AW264,坦克个性化细分!$I$3:$J$33,2,FALSE)</f>
        <v>中</v>
      </c>
      <c r="AY264" s="654">
        <f t="shared" si="32"/>
        <v>2</v>
      </c>
      <c r="AZ264" s="654">
        <f ca="1">ROUND(VLOOKUP($AW264&amp;"初始",$O$3:$AA$63,MATCH(AZ$3,$O$3:$AA$3,0),FALSE)+((VLOOKUP($AW264&amp;"最终",$O$3:$AA$63,MATCH(AZ$3,$O$3:$AA$3,0),FALSE)*坦克个性化细分!$C$9-VLOOKUP($AW264&amp;"初始",$O$3:$AA$63,MATCH(AZ$3,$O$3:$AA$3,0),FALSE))-(VLOOKUP($AW264&amp;"最终",$O$3:$AA$63,MATCH(AZ$3,$O$3:$AA$3,0),FALSE)-VLOOKUP($AW264&amp;"初始",$O$3:$AA$63,MATCH(AZ$3,$O$3:$AA$3,0),FALSE))*VLOOKUP(VLOOKUP($AW264,坦克个性化设定!$B$18:$E$48,4,FALSE)&amp;$AX264,坦克属性分配比例,MATCH("部件比例",坦克属性分配比例标头,0),FALSE))*$AY264/VLOOKUP(VLOOKUP($AW264,坦克个性化设定!$B$18:$E$48,4,FALSE)&amp;$AX264,坦克属性分配比例,MATCH("升星次数",坦克属性分配比例标头,0),FALSE),0)</f>
        <v>1448</v>
      </c>
      <c r="BA264" s="654">
        <f ca="1">ROUND(VLOOKUP($AW264&amp;"初始",$O$3:$AA$63,MATCH(BA$3,$O$3:$AA$3,0),FALSE)+(VLOOKUP($AW264&amp;"最终",$O$3:$AA$63,MATCH(BA$3,$O$3:$AA$3,0),FALSE)-VLOOKUP($AW264&amp;"初始",$O$3:$AA$63,MATCH(BA$3,$O$3:$AA$3,0),FALSE))*$AY264/VLOOKUP(VLOOKUP($AW264,坦克个性化设定!$B$18:$E$48,4,FALSE)&amp;$AX264,坦克属性分配比例,MATCH("升星次数",坦克属性分配比例标头,0),FALSE)*VLOOKUP(VLOOKUP($AW264,坦克个性化设定!$B$18:$E$48,4,FALSE)&amp;$AX264,坦克属性分配比例,MATCH("升星比例",坦克属性分配比例标头,0),FALSE),0)</f>
        <v>266</v>
      </c>
      <c r="BB264" s="654">
        <f ca="1">ROUND(VLOOKUP($AW264&amp;"初始",$O$3:$AA$63,MATCH(BB$3,$O$3:$AA$3,0),FALSE)+(VLOOKUP($AW264&amp;"最终",$O$3:$AA$63,MATCH(BB$3,$O$3:$AA$3,0),FALSE)-VLOOKUP($AW264&amp;"初始",$O$3:$AA$63,MATCH(BB$3,$O$3:$AA$3,0),FALSE))*$AY264/VLOOKUP(VLOOKUP($AW264,坦克个性化设定!$B$18:$E$48,4,FALSE)&amp;$AX264,坦克属性分配比例,MATCH("升星次数",坦克属性分配比例标头,0),FALSE)*(VLOOKUP(VLOOKUP($AW264,坦克个性化设定!$B$18:$E$48,4,FALSE)&amp;$AX264,坦克属性分配比例,MATCH("升星比例",坦克属性分配比例标头,0),FALSE)+VLOOKUP(VLOOKUP($AW264,坦克个性化设定!$B$18:$E$48,4,FALSE)&amp;$AX264,坦克属性分配比例,MATCH("部件比例",坦克属性分配比例标头,0),FALSE)*$C$3),0)</f>
        <v>445</v>
      </c>
      <c r="BC264" s="654">
        <f ca="1">ROUND(VLOOKUP($AW264&amp;"初始",$O$3:$AA$63,MATCH(BC$3,$O$3:$AA$3,0),FALSE)+(VLOOKUP($AW264&amp;"最终",$O$3:$AA$63,MATCH(BC$3,$O$3:$AA$3,0),FALSE)-VLOOKUP($AW264&amp;"初始",$O$3:$AA$63,MATCH(BC$3,$O$3:$AA$3,0),FALSE))*$AY264/VLOOKUP(VLOOKUP($AW264,坦克个性化设定!$B$18:$E$48,4,FALSE)&amp;$AX264,坦克属性分配比例,MATCH("升星次数",坦克属性分配比例标头,0),FALSE)*(VLOOKUP(VLOOKUP($AW264,坦克个性化设定!$B$18:$E$48,4,FALSE)&amp;$AX264,坦克属性分配比例,MATCH("升星比例",坦克属性分配比例标头,0),FALSE)+VLOOKUP(VLOOKUP($AW264,坦克个性化设定!$B$18:$E$48,4,FALSE)&amp;$AX264,坦克属性分配比例,MATCH("部件比例",坦克属性分配比例标头,0),FALSE)*$C$3),0)</f>
        <v>355</v>
      </c>
      <c r="BD264" s="654">
        <f ca="1">ROUND(VLOOKUP($AW264&amp;"初始",$O$3:$AA$63,MATCH(BD$3,$O$3:$AA$3,0),FALSE)+(VLOOKUP($AW264&amp;"最终",$O$3:$AA$63,MATCH(BD$3,$O$3:$AA$3,0),FALSE)-VLOOKUP($AW264&amp;"初始",$O$3:$AA$63,MATCH(BD$3,$O$3:$AA$3,0),FALSE))*$AY264/VLOOKUP(VLOOKUP($AW264,坦克个性化设定!$B$18:$E$48,4,FALSE)&amp;$AX264,坦克属性分配比例,MATCH("升星次数",坦克属性分配比例标头,0),FALSE)*VLOOKUP(VLOOKUP($AW264,坦克个性化设定!$B$18:$E$48,4,FALSE)&amp;$AX264,坦克属性分配比例,MATCH("升星比例",坦克属性分配比例标头,0),FALSE),0)</f>
        <v>577</v>
      </c>
      <c r="BE264" s="654">
        <f ca="1">ROUND(VLOOKUP($AW264&amp;"初始",$O$3:$AA$63,MATCH(BE$3,$O$3:$AA$3,0),FALSE)+(VLOOKUP($AW264&amp;"最终",$O$3:$AA$63,MATCH(BE$3,$O$3:$AA$3,0),FALSE)-VLOOKUP($AW264&amp;"初始",$O$3:$AA$63,MATCH(BE$3,$O$3:$AA$3,0),FALSE))*$AY264/VLOOKUP(VLOOKUP($AW264,坦克个性化设定!$B$18:$E$48,4,FALSE)&amp;$AX264,坦克属性分配比例,MATCH("升星次数",坦克属性分配比例标头,0),FALSE),0)</f>
        <v>137</v>
      </c>
      <c r="BF264" s="654">
        <f>ROUND(VLOOKUP($AW264,$AD$3:$AJ$33,MATCH(BF$3,$AD$3:$AJ$3,0),FALSE)+$AY264/VLOOKUP(VLOOKUP($AW264,坦克个性化设定!$B$18:$E$48,4,FALSE)&amp;$AX264,坦克属性分配比例,MATCH("升星次数",坦克属性分配比例标头,0),FALSE)*VLOOKUP($AW264,$AM$3:$AS$33,MATCH(BF$3,$AM$3:$AS$3,0),FALSE),1)</f>
        <v>33.5</v>
      </c>
      <c r="BG264" s="654">
        <f>ROUND(VLOOKUP($AW264,$AD$3:$AJ$33,MATCH(BG$3,$AD$3:$AJ$3,0),FALSE)+$AY264/VLOOKUP(VLOOKUP($AW264,坦克个性化设定!$B$18:$E$48,4,FALSE)&amp;$AX264,坦克属性分配比例,MATCH("升星次数",坦克属性分配比例标头,0),FALSE)*VLOOKUP($AW264,$AM$3:$AS$33,MATCH(BG$3,$AM$3:$AS$3,0),FALSE),1)</f>
        <v>46.6</v>
      </c>
      <c r="BH264" s="654">
        <f>ROUND(VLOOKUP($AW264,$AD$3:$AJ$33,MATCH(BH$3,$AD$3:$AJ$3,0),FALSE)+$AY264/VLOOKUP(VLOOKUP($AW264,坦克个性化设定!$B$18:$E$48,4,FALSE)&amp;$AX264,坦克属性分配比例,MATCH("升星次数",坦克属性分配比例标头,0),FALSE)*VLOOKUP($AW264,$AM$3:$AS$33,MATCH(BH$3,$AM$3:$AS$3,0),FALSE),1)</f>
        <v>10.199999999999999</v>
      </c>
      <c r="BI264" s="654">
        <f>IF(VLOOKUP(AW264,坦克个性化设定!$B$18:$BB$48,MATCH("装弹类型",坦克个性化设定!$B$18:$BB$18,0),FALSE)="弹夹换弹",0,ROUND(VLOOKUP($AW264,$AD$3:$AJ$33,MATCH("换弹时间",$AD$3:$AJ$3,0),FALSE)-$AY264/VLOOKUP(VLOOKUP($AW264,坦克个性化设定!$B$18:$E$48,4,FALSE)&amp;$AX264,坦克属性分配比例,MATCH("升星次数",坦克属性分配比例标头,0),FALSE)*VLOOKUP($AW264,$AM$3:$AS$33,MATCH("换弹时间",$AM$3:$AS$3,0),FALSE),2))</f>
        <v>5.73</v>
      </c>
      <c r="BJ264" s="654">
        <f>IF(VLOOKUP(AW264,坦克个性化设定!$B$18:$BB$48,MATCH("装弹类型",坦克个性化设定!$B$18:$BB$18,0),FALSE)="弹夹换弹",ROUND(VLOOKUP($AW264,$AD$3:$AJ$33,MATCH("换弹时间",$AD$3:$AJ$3,0),FALSE)-$AY264/VLOOKUP(VLOOKUP($AW264,坦克个性化设定!$B$18:$E$48,4,FALSE)&amp;$AX264,坦克属性分配比例,MATCH("升星次数",坦克属性分配比例标头,0),FALSE)*VLOOKUP($AW264,$AM$3:$AS$33,MATCH("换弹时间",$AM$3:$AS$3,0),FALSE),1),0)</f>
        <v>0</v>
      </c>
      <c r="BK264" s="654">
        <f>ROUND(VLOOKUP($AW264,$AD$3:$AJ$33,MATCH(BK$3,$AD$3:$AJ$3,0),FALSE)+$AY264/VLOOKUP(VLOOKUP($AW264,坦克个性化设定!$B$18:$E$48,4,FALSE)&amp;$AX264,坦克属性分配比例,MATCH("升星次数",坦克属性分配比例标头,0),FALSE)*VLOOKUP($AW264,$AM$3:$AS$33,MATCH(BK$3,$AM$3:$AS$3,0),FALSE),2)</f>
        <v>0</v>
      </c>
      <c r="BL264" s="654">
        <f>ROUND(VLOOKUP($AW264,$AD$3:$AJ$33,MATCH(BL$3,$AD$3:$AJ$3,0),FALSE)-$AY264/VLOOKUP(VLOOKUP($AW264,坦克个性化设定!$B$18:$E$48,4,FALSE)&amp;$AX264,坦克属性分配比例,MATCH("升星次数",坦克属性分配比例标头,0),FALSE)*VLOOKUP($AW264,$AM$3:$AS$33,MATCH(BL$3,$AM$3:$AS$3,0),FALSE),2)</f>
        <v>2.91</v>
      </c>
    </row>
    <row r="265" spans="47:64" x14ac:dyDescent="0.35">
      <c r="AU265" s="372" t="str">
        <f t="shared" si="30"/>
        <v>丘吉尔3</v>
      </c>
      <c r="AV265" s="654">
        <f>IF(AY264&gt;=VLOOKUP(VLOOKUP(AW264,坦克个性化设定!$B$18:$E$48,4,FALSE)&amp;AX264,坦克属性分配比例,MATCH("升星次数",坦克属性分配比例标头,0),FALSE),AV264+1,AV264)</f>
        <v>23</v>
      </c>
      <c r="AW265" s="649" t="str">
        <f t="shared" si="31"/>
        <v>丘吉尔</v>
      </c>
      <c r="AX265" s="650" t="str">
        <f>VLOOKUP(AW265,坦克个性化细分!$I$3:$J$33,2,FALSE)</f>
        <v>中</v>
      </c>
      <c r="AY265" s="654">
        <f t="shared" si="32"/>
        <v>3</v>
      </c>
      <c r="AZ265" s="654">
        <f ca="1">ROUND(VLOOKUP($AW265&amp;"初始",$O$3:$AA$63,MATCH(AZ$3,$O$3:$AA$3,0),FALSE)+((VLOOKUP($AW265&amp;"最终",$O$3:$AA$63,MATCH(AZ$3,$O$3:$AA$3,0),FALSE)*坦克个性化细分!$C$9-VLOOKUP($AW265&amp;"初始",$O$3:$AA$63,MATCH(AZ$3,$O$3:$AA$3,0),FALSE))-(VLOOKUP($AW265&amp;"最终",$O$3:$AA$63,MATCH(AZ$3,$O$3:$AA$3,0),FALSE)-VLOOKUP($AW265&amp;"初始",$O$3:$AA$63,MATCH(AZ$3,$O$3:$AA$3,0),FALSE))*VLOOKUP(VLOOKUP($AW265,坦克个性化设定!$B$18:$E$48,4,FALSE)&amp;$AX265,坦克属性分配比例,MATCH("部件比例",坦克属性分配比例标头,0),FALSE))*$AY265/VLOOKUP(VLOOKUP($AW265,坦克个性化设定!$B$18:$E$48,4,FALSE)&amp;$AX265,坦克属性分配比例,MATCH("升星次数",坦克属性分配比例标头,0),FALSE),0)</f>
        <v>1580</v>
      </c>
      <c r="BA265" s="654">
        <f ca="1">ROUND(VLOOKUP($AW265&amp;"初始",$O$3:$AA$63,MATCH(BA$3,$O$3:$AA$3,0),FALSE)+(VLOOKUP($AW265&amp;"最终",$O$3:$AA$63,MATCH(BA$3,$O$3:$AA$3,0),FALSE)-VLOOKUP($AW265&amp;"初始",$O$3:$AA$63,MATCH(BA$3,$O$3:$AA$3,0),FALSE))*$AY265/VLOOKUP(VLOOKUP($AW265,坦克个性化设定!$B$18:$E$48,4,FALSE)&amp;$AX265,坦克属性分配比例,MATCH("升星次数",坦克属性分配比例标头,0),FALSE)*VLOOKUP(VLOOKUP($AW265,坦克个性化设定!$B$18:$E$48,4,FALSE)&amp;$AX265,坦克属性分配比例,MATCH("升星比例",坦克属性分配比例标头,0),FALSE),0)</f>
        <v>280</v>
      </c>
      <c r="BB265" s="654">
        <f ca="1">ROUND(VLOOKUP($AW265&amp;"初始",$O$3:$AA$63,MATCH(BB$3,$O$3:$AA$3,0),FALSE)+(VLOOKUP($AW265&amp;"最终",$O$3:$AA$63,MATCH(BB$3,$O$3:$AA$3,0),FALSE)-VLOOKUP($AW265&amp;"初始",$O$3:$AA$63,MATCH(BB$3,$O$3:$AA$3,0),FALSE))*$AY265/VLOOKUP(VLOOKUP($AW265,坦克个性化设定!$B$18:$E$48,4,FALSE)&amp;$AX265,坦克属性分配比例,MATCH("升星次数",坦克属性分配比例标头,0),FALSE)*(VLOOKUP(VLOOKUP($AW265,坦克个性化设定!$B$18:$E$48,4,FALSE)&amp;$AX265,坦克属性分配比例,MATCH("升星比例",坦克属性分配比例标头,0),FALSE)+VLOOKUP(VLOOKUP($AW265,坦克个性化设定!$B$18:$E$48,4,FALSE)&amp;$AX265,坦克属性分配比例,MATCH("部件比例",坦克属性分配比例标头,0),FALSE)*$C$3),0)</f>
        <v>474</v>
      </c>
      <c r="BC265" s="654">
        <f ca="1">ROUND(VLOOKUP($AW265&amp;"初始",$O$3:$AA$63,MATCH(BC$3,$O$3:$AA$3,0),FALSE)+(VLOOKUP($AW265&amp;"最终",$O$3:$AA$63,MATCH(BC$3,$O$3:$AA$3,0),FALSE)-VLOOKUP($AW265&amp;"初始",$O$3:$AA$63,MATCH(BC$3,$O$3:$AA$3,0),FALSE))*$AY265/VLOOKUP(VLOOKUP($AW265,坦克个性化设定!$B$18:$E$48,4,FALSE)&amp;$AX265,坦克属性分配比例,MATCH("升星次数",坦克属性分配比例标头,0),FALSE)*(VLOOKUP(VLOOKUP($AW265,坦克个性化设定!$B$18:$E$48,4,FALSE)&amp;$AX265,坦克属性分配比例,MATCH("升星比例",坦克属性分配比例标头,0),FALSE)+VLOOKUP(VLOOKUP($AW265,坦克个性化设定!$B$18:$E$48,4,FALSE)&amp;$AX265,坦克属性分配比例,MATCH("部件比例",坦克属性分配比例标头,0),FALSE)*$C$3),0)</f>
        <v>378</v>
      </c>
      <c r="BD265" s="654">
        <f ca="1">ROUND(VLOOKUP($AW265&amp;"初始",$O$3:$AA$63,MATCH(BD$3,$O$3:$AA$3,0),FALSE)+(VLOOKUP($AW265&amp;"最终",$O$3:$AA$63,MATCH(BD$3,$O$3:$AA$3,0),FALSE)-VLOOKUP($AW265&amp;"初始",$O$3:$AA$63,MATCH(BD$3,$O$3:$AA$3,0),FALSE))*$AY265/VLOOKUP(VLOOKUP($AW265,坦克个性化设定!$B$18:$E$48,4,FALSE)&amp;$AX265,坦克属性分配比例,MATCH("升星次数",坦克属性分配比例标头,0),FALSE)*VLOOKUP(VLOOKUP($AW265,坦克个性化设定!$B$18:$E$48,4,FALSE)&amp;$AX265,坦克属性分配比例,MATCH("升星比例",坦克属性分配比例标头,0),FALSE),0)</f>
        <v>607</v>
      </c>
      <c r="BE265" s="654">
        <f ca="1">ROUND(VLOOKUP($AW265&amp;"初始",$O$3:$AA$63,MATCH(BE$3,$O$3:$AA$3,0),FALSE)+(VLOOKUP($AW265&amp;"最终",$O$3:$AA$63,MATCH(BE$3,$O$3:$AA$3,0),FALSE)-VLOOKUP($AW265&amp;"初始",$O$3:$AA$63,MATCH(BE$3,$O$3:$AA$3,0),FALSE))*$AY265/VLOOKUP(VLOOKUP($AW265,坦克个性化设定!$B$18:$E$48,4,FALSE)&amp;$AX265,坦克属性分配比例,MATCH("升星次数",坦克属性分配比例标头,0),FALSE),0)</f>
        <v>147</v>
      </c>
      <c r="BF265" s="654">
        <f>ROUND(VLOOKUP($AW265,$AD$3:$AJ$33,MATCH(BF$3,$AD$3:$AJ$3,0),FALSE)+$AY265/VLOOKUP(VLOOKUP($AW265,坦克个性化设定!$B$18:$E$48,4,FALSE)&amp;$AX265,坦克属性分配比例,MATCH("升星次数",坦克属性分配比例标头,0),FALSE)*VLOOKUP($AW265,$AM$3:$AS$33,MATCH(BF$3,$AM$3:$AS$3,0),FALSE),1)</f>
        <v>34.200000000000003</v>
      </c>
      <c r="BG265" s="654">
        <f>ROUND(VLOOKUP($AW265,$AD$3:$AJ$33,MATCH(BG$3,$AD$3:$AJ$3,0),FALSE)+$AY265/VLOOKUP(VLOOKUP($AW265,坦克个性化设定!$B$18:$E$48,4,FALSE)&amp;$AX265,坦克属性分配比例,MATCH("升星次数",坦克属性分配比例标头,0),FALSE)*VLOOKUP($AW265,$AM$3:$AS$33,MATCH(BG$3,$AM$3:$AS$3,0),FALSE),1)</f>
        <v>47.6</v>
      </c>
      <c r="BH265" s="654">
        <f>ROUND(VLOOKUP($AW265,$AD$3:$AJ$33,MATCH(BH$3,$AD$3:$AJ$3,0),FALSE)+$AY265/VLOOKUP(VLOOKUP($AW265,坦克个性化设定!$B$18:$E$48,4,FALSE)&amp;$AX265,坦克属性分配比例,MATCH("升星次数",坦克属性分配比例标头,0),FALSE)*VLOOKUP($AW265,$AM$3:$AS$33,MATCH(BH$3,$AM$3:$AS$3,0),FALSE),1)</f>
        <v>10.5</v>
      </c>
      <c r="BI265" s="654">
        <f>IF(VLOOKUP(AW265,坦克个性化设定!$B$18:$BB$48,MATCH("装弹类型",坦克个性化设定!$B$18:$BB$18,0),FALSE)="弹夹换弹",0,ROUND(VLOOKUP($AW265,$AD$3:$AJ$33,MATCH("换弹时间",$AD$3:$AJ$3,0),FALSE)-$AY265/VLOOKUP(VLOOKUP($AW265,坦克个性化设定!$B$18:$E$48,4,FALSE)&amp;$AX265,坦克属性分配比例,MATCH("升星次数",坦克属性分配比例标头,0),FALSE)*VLOOKUP($AW265,$AM$3:$AS$33,MATCH("换弹时间",$AM$3:$AS$3,0),FALSE),2))</f>
        <v>5.59</v>
      </c>
      <c r="BJ265" s="654">
        <f>IF(VLOOKUP(AW265,坦克个性化设定!$B$18:$BB$48,MATCH("装弹类型",坦克个性化设定!$B$18:$BB$18,0),FALSE)="弹夹换弹",ROUND(VLOOKUP($AW265,$AD$3:$AJ$33,MATCH("换弹时间",$AD$3:$AJ$3,0),FALSE)-$AY265/VLOOKUP(VLOOKUP($AW265,坦克个性化设定!$B$18:$E$48,4,FALSE)&amp;$AX265,坦克属性分配比例,MATCH("升星次数",坦克属性分配比例标头,0),FALSE)*VLOOKUP($AW265,$AM$3:$AS$33,MATCH("换弹时间",$AM$3:$AS$3,0),FALSE),1),0)</f>
        <v>0</v>
      </c>
      <c r="BK265" s="654">
        <f>ROUND(VLOOKUP($AW265,$AD$3:$AJ$33,MATCH(BK$3,$AD$3:$AJ$3,0),FALSE)+$AY265/VLOOKUP(VLOOKUP($AW265,坦克个性化设定!$B$18:$E$48,4,FALSE)&amp;$AX265,坦克属性分配比例,MATCH("升星次数",坦克属性分配比例标头,0),FALSE)*VLOOKUP($AW265,$AM$3:$AS$33,MATCH(BK$3,$AM$3:$AS$3,0),FALSE),2)</f>
        <v>0</v>
      </c>
      <c r="BL265" s="654">
        <f>ROUND(VLOOKUP($AW265,$AD$3:$AJ$33,MATCH(BL$3,$AD$3:$AJ$3,0),FALSE)-$AY265/VLOOKUP(VLOOKUP($AW265,坦克个性化设定!$B$18:$E$48,4,FALSE)&amp;$AX265,坦克属性分配比例,MATCH("升星次数",坦克属性分配比例标头,0),FALSE)*VLOOKUP($AW265,$AM$3:$AS$33,MATCH(BL$3,$AM$3:$AS$3,0),FALSE),2)</f>
        <v>2.86</v>
      </c>
    </row>
    <row r="266" spans="47:64" x14ac:dyDescent="0.35">
      <c r="AU266" s="372" t="str">
        <f t="shared" si="30"/>
        <v>丘吉尔4</v>
      </c>
      <c r="AV266" s="654">
        <f>IF(AY265&gt;=VLOOKUP(VLOOKUP(AW265,坦克个性化设定!$B$18:$E$48,4,FALSE)&amp;AX265,坦克属性分配比例,MATCH("升星次数",坦克属性分配比例标头,0),FALSE),AV265+1,AV265)</f>
        <v>23</v>
      </c>
      <c r="AW266" s="649" t="str">
        <f t="shared" si="31"/>
        <v>丘吉尔</v>
      </c>
      <c r="AX266" s="650" t="str">
        <f>VLOOKUP(AW266,坦克个性化细分!$I$3:$J$33,2,FALSE)</f>
        <v>中</v>
      </c>
      <c r="AY266" s="654">
        <f t="shared" si="32"/>
        <v>4</v>
      </c>
      <c r="AZ266" s="654">
        <f ca="1">ROUND(VLOOKUP($AW266&amp;"初始",$O$3:$AA$63,MATCH(AZ$3,$O$3:$AA$3,0),FALSE)+((VLOOKUP($AW266&amp;"最终",$O$3:$AA$63,MATCH(AZ$3,$O$3:$AA$3,0),FALSE)*坦克个性化细分!$C$9-VLOOKUP($AW266&amp;"初始",$O$3:$AA$63,MATCH(AZ$3,$O$3:$AA$3,0),FALSE))-(VLOOKUP($AW266&amp;"最终",$O$3:$AA$63,MATCH(AZ$3,$O$3:$AA$3,0),FALSE)-VLOOKUP($AW266&amp;"初始",$O$3:$AA$63,MATCH(AZ$3,$O$3:$AA$3,0),FALSE))*VLOOKUP(VLOOKUP($AW266,坦克个性化设定!$B$18:$E$48,4,FALSE)&amp;$AX266,坦克属性分配比例,MATCH("部件比例",坦克属性分配比例标头,0),FALSE))*$AY266/VLOOKUP(VLOOKUP($AW266,坦克个性化设定!$B$18:$E$48,4,FALSE)&amp;$AX266,坦克属性分配比例,MATCH("升星次数",坦克属性分配比例标头,0),FALSE),0)</f>
        <v>1711</v>
      </c>
      <c r="BA266" s="654">
        <f ca="1">ROUND(VLOOKUP($AW266&amp;"初始",$O$3:$AA$63,MATCH(BA$3,$O$3:$AA$3,0),FALSE)+(VLOOKUP($AW266&amp;"最终",$O$3:$AA$63,MATCH(BA$3,$O$3:$AA$3,0),FALSE)-VLOOKUP($AW266&amp;"初始",$O$3:$AA$63,MATCH(BA$3,$O$3:$AA$3,0),FALSE))*$AY266/VLOOKUP(VLOOKUP($AW266,坦克个性化设定!$B$18:$E$48,4,FALSE)&amp;$AX266,坦克属性分配比例,MATCH("升星次数",坦克属性分配比例标头,0),FALSE)*VLOOKUP(VLOOKUP($AW266,坦克个性化设定!$B$18:$E$48,4,FALSE)&amp;$AX266,坦克属性分配比例,MATCH("升星比例",坦克属性分配比例标头,0),FALSE),0)</f>
        <v>294</v>
      </c>
      <c r="BB266" s="654">
        <f ca="1">ROUND(VLOOKUP($AW266&amp;"初始",$O$3:$AA$63,MATCH(BB$3,$O$3:$AA$3,0),FALSE)+(VLOOKUP($AW266&amp;"最终",$O$3:$AA$63,MATCH(BB$3,$O$3:$AA$3,0),FALSE)-VLOOKUP($AW266&amp;"初始",$O$3:$AA$63,MATCH(BB$3,$O$3:$AA$3,0),FALSE))*$AY266/VLOOKUP(VLOOKUP($AW266,坦克个性化设定!$B$18:$E$48,4,FALSE)&amp;$AX266,坦克属性分配比例,MATCH("升星次数",坦克属性分配比例标头,0),FALSE)*(VLOOKUP(VLOOKUP($AW266,坦克个性化设定!$B$18:$E$48,4,FALSE)&amp;$AX266,坦克属性分配比例,MATCH("升星比例",坦克属性分配比例标头,0),FALSE)+VLOOKUP(VLOOKUP($AW266,坦克个性化设定!$B$18:$E$48,4,FALSE)&amp;$AX266,坦克属性分配比例,MATCH("部件比例",坦克属性分配比例标头,0),FALSE)*$C$3),0)</f>
        <v>502</v>
      </c>
      <c r="BC266" s="654">
        <f ca="1">ROUND(VLOOKUP($AW266&amp;"初始",$O$3:$AA$63,MATCH(BC$3,$O$3:$AA$3,0),FALSE)+(VLOOKUP($AW266&amp;"最终",$O$3:$AA$63,MATCH(BC$3,$O$3:$AA$3,0),FALSE)-VLOOKUP($AW266&amp;"初始",$O$3:$AA$63,MATCH(BC$3,$O$3:$AA$3,0),FALSE))*$AY266/VLOOKUP(VLOOKUP($AW266,坦克个性化设定!$B$18:$E$48,4,FALSE)&amp;$AX266,坦克属性分配比例,MATCH("升星次数",坦克属性分配比例标头,0),FALSE)*(VLOOKUP(VLOOKUP($AW266,坦克个性化设定!$B$18:$E$48,4,FALSE)&amp;$AX266,坦克属性分配比例,MATCH("升星比例",坦克属性分配比例标头,0),FALSE)+VLOOKUP(VLOOKUP($AW266,坦克个性化设定!$B$18:$E$48,4,FALSE)&amp;$AX266,坦克属性分配比例,MATCH("部件比例",坦克属性分配比例标头,0),FALSE)*$C$3),0)</f>
        <v>402</v>
      </c>
      <c r="BD266" s="654">
        <f ca="1">ROUND(VLOOKUP($AW266&amp;"初始",$O$3:$AA$63,MATCH(BD$3,$O$3:$AA$3,0),FALSE)+(VLOOKUP($AW266&amp;"最终",$O$3:$AA$63,MATCH(BD$3,$O$3:$AA$3,0),FALSE)-VLOOKUP($AW266&amp;"初始",$O$3:$AA$63,MATCH(BD$3,$O$3:$AA$3,0),FALSE))*$AY266/VLOOKUP(VLOOKUP($AW266,坦克个性化设定!$B$18:$E$48,4,FALSE)&amp;$AX266,坦克属性分配比例,MATCH("升星次数",坦克属性分配比例标头,0),FALSE)*VLOOKUP(VLOOKUP($AW266,坦克个性化设定!$B$18:$E$48,4,FALSE)&amp;$AX266,坦克属性分配比例,MATCH("升星比例",坦克属性分配比例标头,0),FALSE),0)</f>
        <v>637</v>
      </c>
      <c r="BE266" s="654">
        <f ca="1">ROUND(VLOOKUP($AW266&amp;"初始",$O$3:$AA$63,MATCH(BE$3,$O$3:$AA$3,0),FALSE)+(VLOOKUP($AW266&amp;"最终",$O$3:$AA$63,MATCH(BE$3,$O$3:$AA$3,0),FALSE)-VLOOKUP($AW266&amp;"初始",$O$3:$AA$63,MATCH(BE$3,$O$3:$AA$3,0),FALSE))*$AY266/VLOOKUP(VLOOKUP($AW266,坦克个性化设定!$B$18:$E$48,4,FALSE)&amp;$AX266,坦克属性分配比例,MATCH("升星次数",坦克属性分配比例标头,0),FALSE),0)</f>
        <v>157</v>
      </c>
      <c r="BF266" s="654">
        <f>ROUND(VLOOKUP($AW266,$AD$3:$AJ$33,MATCH(BF$3,$AD$3:$AJ$3,0),FALSE)+$AY266/VLOOKUP(VLOOKUP($AW266,坦克个性化设定!$B$18:$E$48,4,FALSE)&amp;$AX266,坦克属性分配比例,MATCH("升星次数",坦克属性分配比例标头,0),FALSE)*VLOOKUP($AW266,$AM$3:$AS$33,MATCH(BF$3,$AM$3:$AS$3,0),FALSE),1)</f>
        <v>34.9</v>
      </c>
      <c r="BG266" s="654">
        <f>ROUND(VLOOKUP($AW266,$AD$3:$AJ$33,MATCH(BG$3,$AD$3:$AJ$3,0),FALSE)+$AY266/VLOOKUP(VLOOKUP($AW266,坦克个性化设定!$B$18:$E$48,4,FALSE)&amp;$AX266,坦克属性分配比例,MATCH("升星次数",坦克属性分配比例标头,0),FALSE)*VLOOKUP($AW266,$AM$3:$AS$33,MATCH(BG$3,$AM$3:$AS$3,0),FALSE),1)</f>
        <v>48.7</v>
      </c>
      <c r="BH266" s="654">
        <f>ROUND(VLOOKUP($AW266,$AD$3:$AJ$33,MATCH(BH$3,$AD$3:$AJ$3,0),FALSE)+$AY266/VLOOKUP(VLOOKUP($AW266,坦克个性化设定!$B$18:$E$48,4,FALSE)&amp;$AX266,坦克属性分配比例,MATCH("升星次数",坦克属性分配比例标头,0),FALSE)*VLOOKUP($AW266,$AM$3:$AS$33,MATCH(BH$3,$AM$3:$AS$3,0),FALSE),1)</f>
        <v>10.7</v>
      </c>
      <c r="BI266" s="654">
        <f>IF(VLOOKUP(AW266,坦克个性化设定!$B$18:$BB$48,MATCH("装弹类型",坦克个性化设定!$B$18:$BB$18,0),FALSE)="弹夹换弹",0,ROUND(VLOOKUP($AW266,$AD$3:$AJ$33,MATCH("换弹时间",$AD$3:$AJ$3,0),FALSE)-$AY266/VLOOKUP(VLOOKUP($AW266,坦克个性化设定!$B$18:$E$48,4,FALSE)&amp;$AX266,坦克属性分配比例,MATCH("升星次数",坦克属性分配比例标头,0),FALSE)*VLOOKUP($AW266,$AM$3:$AS$33,MATCH("换弹时间",$AM$3:$AS$3,0),FALSE),2))</f>
        <v>5.46</v>
      </c>
      <c r="BJ266" s="654">
        <f>IF(VLOOKUP(AW266,坦克个性化设定!$B$18:$BB$48,MATCH("装弹类型",坦克个性化设定!$B$18:$BB$18,0),FALSE)="弹夹换弹",ROUND(VLOOKUP($AW266,$AD$3:$AJ$33,MATCH("换弹时间",$AD$3:$AJ$3,0),FALSE)-$AY266/VLOOKUP(VLOOKUP($AW266,坦克个性化设定!$B$18:$E$48,4,FALSE)&amp;$AX266,坦克属性分配比例,MATCH("升星次数",坦克属性分配比例标头,0),FALSE)*VLOOKUP($AW266,$AM$3:$AS$33,MATCH("换弹时间",$AM$3:$AS$3,0),FALSE),1),0)</f>
        <v>0</v>
      </c>
      <c r="BK266" s="654">
        <f>ROUND(VLOOKUP($AW266,$AD$3:$AJ$33,MATCH(BK$3,$AD$3:$AJ$3,0),FALSE)+$AY266/VLOOKUP(VLOOKUP($AW266,坦克个性化设定!$B$18:$E$48,4,FALSE)&amp;$AX266,坦克属性分配比例,MATCH("升星次数",坦克属性分配比例标头,0),FALSE)*VLOOKUP($AW266,$AM$3:$AS$33,MATCH(BK$3,$AM$3:$AS$3,0),FALSE),2)</f>
        <v>0</v>
      </c>
      <c r="BL266" s="654">
        <f>ROUND(VLOOKUP($AW266,$AD$3:$AJ$33,MATCH(BL$3,$AD$3:$AJ$3,0),FALSE)-$AY266/VLOOKUP(VLOOKUP($AW266,坦克个性化设定!$B$18:$E$48,4,FALSE)&amp;$AX266,坦克属性分配比例,MATCH("升星次数",坦克属性分配比例标头,0),FALSE)*VLOOKUP($AW266,$AM$3:$AS$33,MATCH(BL$3,$AM$3:$AS$3,0),FALSE),2)</f>
        <v>2.82</v>
      </c>
    </row>
    <row r="267" spans="47:64" x14ac:dyDescent="0.35">
      <c r="AU267" s="372" t="str">
        <f t="shared" si="30"/>
        <v>丘吉尔5</v>
      </c>
      <c r="AV267" s="654">
        <f>IF(AY266&gt;=VLOOKUP(VLOOKUP(AW266,坦克个性化设定!$B$18:$E$48,4,FALSE)&amp;AX266,坦克属性分配比例,MATCH("升星次数",坦克属性分配比例标头,0),FALSE),AV266+1,AV266)</f>
        <v>23</v>
      </c>
      <c r="AW267" s="649" t="str">
        <f t="shared" si="31"/>
        <v>丘吉尔</v>
      </c>
      <c r="AX267" s="650" t="str">
        <f>VLOOKUP(AW267,坦克个性化细分!$I$3:$J$33,2,FALSE)</f>
        <v>中</v>
      </c>
      <c r="AY267" s="654">
        <f t="shared" si="32"/>
        <v>5</v>
      </c>
      <c r="AZ267" s="654">
        <f ca="1">ROUND(VLOOKUP($AW267&amp;"初始",$O$3:$AA$63,MATCH(AZ$3,$O$3:$AA$3,0),FALSE)+((VLOOKUP($AW267&amp;"最终",$O$3:$AA$63,MATCH(AZ$3,$O$3:$AA$3,0),FALSE)*坦克个性化细分!$C$9-VLOOKUP($AW267&amp;"初始",$O$3:$AA$63,MATCH(AZ$3,$O$3:$AA$3,0),FALSE))-(VLOOKUP($AW267&amp;"最终",$O$3:$AA$63,MATCH(AZ$3,$O$3:$AA$3,0),FALSE)-VLOOKUP($AW267&amp;"初始",$O$3:$AA$63,MATCH(AZ$3,$O$3:$AA$3,0),FALSE))*VLOOKUP(VLOOKUP($AW267,坦克个性化设定!$B$18:$E$48,4,FALSE)&amp;$AX267,坦克属性分配比例,MATCH("部件比例",坦克属性分配比例标头,0),FALSE))*$AY267/VLOOKUP(VLOOKUP($AW267,坦克个性化设定!$B$18:$E$48,4,FALSE)&amp;$AX267,坦克属性分配比例,MATCH("升星次数",坦克属性分配比例标头,0),FALSE),0)</f>
        <v>1843</v>
      </c>
      <c r="BA267" s="654">
        <f ca="1">ROUND(VLOOKUP($AW267&amp;"初始",$O$3:$AA$63,MATCH(BA$3,$O$3:$AA$3,0),FALSE)+(VLOOKUP($AW267&amp;"最终",$O$3:$AA$63,MATCH(BA$3,$O$3:$AA$3,0),FALSE)-VLOOKUP($AW267&amp;"初始",$O$3:$AA$63,MATCH(BA$3,$O$3:$AA$3,0),FALSE))*$AY267/VLOOKUP(VLOOKUP($AW267,坦克个性化设定!$B$18:$E$48,4,FALSE)&amp;$AX267,坦克属性分配比例,MATCH("升星次数",坦克属性分配比例标头,0),FALSE)*VLOOKUP(VLOOKUP($AW267,坦克个性化设定!$B$18:$E$48,4,FALSE)&amp;$AX267,坦克属性分配比例,MATCH("升星比例",坦克属性分配比例标头,0),FALSE),0)</f>
        <v>307</v>
      </c>
      <c r="BB267" s="654">
        <f ca="1">ROUND(VLOOKUP($AW267&amp;"初始",$O$3:$AA$63,MATCH(BB$3,$O$3:$AA$3,0),FALSE)+(VLOOKUP($AW267&amp;"最终",$O$3:$AA$63,MATCH(BB$3,$O$3:$AA$3,0),FALSE)-VLOOKUP($AW267&amp;"初始",$O$3:$AA$63,MATCH(BB$3,$O$3:$AA$3,0),FALSE))*$AY267/VLOOKUP(VLOOKUP($AW267,坦克个性化设定!$B$18:$E$48,4,FALSE)&amp;$AX267,坦克属性分配比例,MATCH("升星次数",坦克属性分配比例标头,0),FALSE)*(VLOOKUP(VLOOKUP($AW267,坦克个性化设定!$B$18:$E$48,4,FALSE)&amp;$AX267,坦克属性分配比例,MATCH("升星比例",坦克属性分配比例标头,0),FALSE)+VLOOKUP(VLOOKUP($AW267,坦克个性化设定!$B$18:$E$48,4,FALSE)&amp;$AX267,坦克属性分配比例,MATCH("部件比例",坦克属性分配比例标头,0),FALSE)*$C$3),0)</f>
        <v>531</v>
      </c>
      <c r="BC267" s="654">
        <f ca="1">ROUND(VLOOKUP($AW267&amp;"初始",$O$3:$AA$63,MATCH(BC$3,$O$3:$AA$3,0),FALSE)+(VLOOKUP($AW267&amp;"最终",$O$3:$AA$63,MATCH(BC$3,$O$3:$AA$3,0),FALSE)-VLOOKUP($AW267&amp;"初始",$O$3:$AA$63,MATCH(BC$3,$O$3:$AA$3,0),FALSE))*$AY267/VLOOKUP(VLOOKUP($AW267,坦克个性化设定!$B$18:$E$48,4,FALSE)&amp;$AX267,坦克属性分配比例,MATCH("升星次数",坦克属性分配比例标头,0),FALSE)*(VLOOKUP(VLOOKUP($AW267,坦克个性化设定!$B$18:$E$48,4,FALSE)&amp;$AX267,坦克属性分配比例,MATCH("升星比例",坦克属性分配比例标头,0),FALSE)+VLOOKUP(VLOOKUP($AW267,坦克个性化设定!$B$18:$E$48,4,FALSE)&amp;$AX267,坦克属性分配比例,MATCH("部件比例",坦克属性分配比例标头,0),FALSE)*$C$3),0)</f>
        <v>425</v>
      </c>
      <c r="BD267" s="654">
        <f ca="1">ROUND(VLOOKUP($AW267&amp;"初始",$O$3:$AA$63,MATCH(BD$3,$O$3:$AA$3,0),FALSE)+(VLOOKUP($AW267&amp;"最终",$O$3:$AA$63,MATCH(BD$3,$O$3:$AA$3,0),FALSE)-VLOOKUP($AW267&amp;"初始",$O$3:$AA$63,MATCH(BD$3,$O$3:$AA$3,0),FALSE))*$AY267/VLOOKUP(VLOOKUP($AW267,坦克个性化设定!$B$18:$E$48,4,FALSE)&amp;$AX267,坦克属性分配比例,MATCH("升星次数",坦克属性分配比例标头,0),FALSE)*VLOOKUP(VLOOKUP($AW267,坦克个性化设定!$B$18:$E$48,4,FALSE)&amp;$AX267,坦克属性分配比例,MATCH("升星比例",坦克属性分配比例标头,0),FALSE),0)</f>
        <v>667</v>
      </c>
      <c r="BE267" s="654">
        <f ca="1">ROUND(VLOOKUP($AW267&amp;"初始",$O$3:$AA$63,MATCH(BE$3,$O$3:$AA$3,0),FALSE)+(VLOOKUP($AW267&amp;"最终",$O$3:$AA$63,MATCH(BE$3,$O$3:$AA$3,0),FALSE)-VLOOKUP($AW267&amp;"初始",$O$3:$AA$63,MATCH(BE$3,$O$3:$AA$3,0),FALSE))*$AY267/VLOOKUP(VLOOKUP($AW267,坦克个性化设定!$B$18:$E$48,4,FALSE)&amp;$AX267,坦克属性分配比例,MATCH("升星次数",坦克属性分配比例标头,0),FALSE),0)</f>
        <v>167</v>
      </c>
      <c r="BF267" s="654">
        <f>ROUND(VLOOKUP($AW267,$AD$3:$AJ$33,MATCH(BF$3,$AD$3:$AJ$3,0),FALSE)+$AY267/VLOOKUP(VLOOKUP($AW267,坦克个性化设定!$B$18:$E$48,4,FALSE)&amp;$AX267,坦克属性分配比例,MATCH("升星次数",坦克属性分配比例标头,0),FALSE)*VLOOKUP($AW267,$AM$3:$AS$33,MATCH(BF$3,$AM$3:$AS$3,0),FALSE),1)</f>
        <v>35.6</v>
      </c>
      <c r="BG267" s="654">
        <f>ROUND(VLOOKUP($AW267,$AD$3:$AJ$33,MATCH(BG$3,$AD$3:$AJ$3,0),FALSE)+$AY267/VLOOKUP(VLOOKUP($AW267,坦克个性化设定!$B$18:$E$48,4,FALSE)&amp;$AX267,坦克属性分配比例,MATCH("升星次数",坦克属性分配比例标头,0),FALSE)*VLOOKUP($AW267,$AM$3:$AS$33,MATCH(BG$3,$AM$3:$AS$3,0),FALSE),1)</f>
        <v>49.7</v>
      </c>
      <c r="BH267" s="654">
        <f>ROUND(VLOOKUP($AW267,$AD$3:$AJ$33,MATCH(BH$3,$AD$3:$AJ$3,0),FALSE)+$AY267/VLOOKUP(VLOOKUP($AW267,坦克个性化设定!$B$18:$E$48,4,FALSE)&amp;$AX267,坦克属性分配比例,MATCH("升星次数",坦克属性分配比例标头,0),FALSE)*VLOOKUP($AW267,$AM$3:$AS$33,MATCH(BH$3,$AM$3:$AS$3,0),FALSE),1)</f>
        <v>11</v>
      </c>
      <c r="BI267" s="654">
        <f>IF(VLOOKUP(AW267,坦克个性化设定!$B$18:$BB$48,MATCH("装弹类型",坦克个性化设定!$B$18:$BB$18,0),FALSE)="弹夹换弹",0,ROUND(VLOOKUP($AW267,$AD$3:$AJ$33,MATCH("换弹时间",$AD$3:$AJ$3,0),FALSE)-$AY267/VLOOKUP(VLOOKUP($AW267,坦克个性化设定!$B$18:$E$48,4,FALSE)&amp;$AX267,坦克属性分配比例,MATCH("升星次数",坦克属性分配比例标头,0),FALSE)*VLOOKUP($AW267,$AM$3:$AS$33,MATCH("换弹时间",$AM$3:$AS$3,0),FALSE),2))</f>
        <v>5.32</v>
      </c>
      <c r="BJ267" s="654">
        <f>IF(VLOOKUP(AW267,坦克个性化设定!$B$18:$BB$48,MATCH("装弹类型",坦克个性化设定!$B$18:$BB$18,0),FALSE)="弹夹换弹",ROUND(VLOOKUP($AW267,$AD$3:$AJ$33,MATCH("换弹时间",$AD$3:$AJ$3,0),FALSE)-$AY267/VLOOKUP(VLOOKUP($AW267,坦克个性化设定!$B$18:$E$48,4,FALSE)&amp;$AX267,坦克属性分配比例,MATCH("升星次数",坦克属性分配比例标头,0),FALSE)*VLOOKUP($AW267,$AM$3:$AS$33,MATCH("换弹时间",$AM$3:$AS$3,0),FALSE),1),0)</f>
        <v>0</v>
      </c>
      <c r="BK267" s="654">
        <f>ROUND(VLOOKUP($AW267,$AD$3:$AJ$33,MATCH(BK$3,$AD$3:$AJ$3,0),FALSE)+$AY267/VLOOKUP(VLOOKUP($AW267,坦克个性化设定!$B$18:$E$48,4,FALSE)&amp;$AX267,坦克属性分配比例,MATCH("升星次数",坦克属性分配比例标头,0),FALSE)*VLOOKUP($AW267,$AM$3:$AS$33,MATCH(BK$3,$AM$3:$AS$3,0),FALSE),2)</f>
        <v>0</v>
      </c>
      <c r="BL267" s="654">
        <f>ROUND(VLOOKUP($AW267,$AD$3:$AJ$33,MATCH(BL$3,$AD$3:$AJ$3,0),FALSE)-$AY267/VLOOKUP(VLOOKUP($AW267,坦克个性化设定!$B$18:$E$48,4,FALSE)&amp;$AX267,坦克属性分配比例,MATCH("升星次数",坦克属性分配比例标头,0),FALSE)*VLOOKUP($AW267,$AM$3:$AS$33,MATCH(BL$3,$AM$3:$AS$3,0),FALSE),2)</f>
        <v>2.77</v>
      </c>
    </row>
    <row r="268" spans="47:64" x14ac:dyDescent="0.35">
      <c r="AU268" s="372" t="str">
        <f t="shared" si="30"/>
        <v>丘吉尔6</v>
      </c>
      <c r="AV268" s="654">
        <f>IF(AY267&gt;=VLOOKUP(VLOOKUP(AW267,坦克个性化设定!$B$18:$E$48,4,FALSE)&amp;AX267,坦克属性分配比例,MATCH("升星次数",坦克属性分配比例标头,0),FALSE),AV267+1,AV267)</f>
        <v>23</v>
      </c>
      <c r="AW268" s="649" t="str">
        <f t="shared" si="31"/>
        <v>丘吉尔</v>
      </c>
      <c r="AX268" s="650" t="str">
        <f>VLOOKUP(AW268,坦克个性化细分!$I$3:$J$33,2,FALSE)</f>
        <v>中</v>
      </c>
      <c r="AY268" s="654">
        <f t="shared" si="32"/>
        <v>6</v>
      </c>
      <c r="AZ268" s="654">
        <f ca="1">ROUND(VLOOKUP($AW268&amp;"初始",$O$3:$AA$63,MATCH(AZ$3,$O$3:$AA$3,0),FALSE)+((VLOOKUP($AW268&amp;"最终",$O$3:$AA$63,MATCH(AZ$3,$O$3:$AA$3,0),FALSE)*坦克个性化细分!$C$9-VLOOKUP($AW268&amp;"初始",$O$3:$AA$63,MATCH(AZ$3,$O$3:$AA$3,0),FALSE))-(VLOOKUP($AW268&amp;"最终",$O$3:$AA$63,MATCH(AZ$3,$O$3:$AA$3,0),FALSE)-VLOOKUP($AW268&amp;"初始",$O$3:$AA$63,MATCH(AZ$3,$O$3:$AA$3,0),FALSE))*VLOOKUP(VLOOKUP($AW268,坦克个性化设定!$B$18:$E$48,4,FALSE)&amp;$AX268,坦克属性分配比例,MATCH("部件比例",坦克属性分配比例标头,0),FALSE))*$AY268/VLOOKUP(VLOOKUP($AW268,坦克个性化设定!$B$18:$E$48,4,FALSE)&amp;$AX268,坦克属性分配比例,MATCH("升星次数",坦克属性分配比例标头,0),FALSE),0)</f>
        <v>1975</v>
      </c>
      <c r="BA268" s="654">
        <f ca="1">ROUND(VLOOKUP($AW268&amp;"初始",$O$3:$AA$63,MATCH(BA$3,$O$3:$AA$3,0),FALSE)+(VLOOKUP($AW268&amp;"最终",$O$3:$AA$63,MATCH(BA$3,$O$3:$AA$3,0),FALSE)-VLOOKUP($AW268&amp;"初始",$O$3:$AA$63,MATCH(BA$3,$O$3:$AA$3,0),FALSE))*$AY268/VLOOKUP(VLOOKUP($AW268,坦克个性化设定!$B$18:$E$48,4,FALSE)&amp;$AX268,坦克属性分配比例,MATCH("升星次数",坦克属性分配比例标头,0),FALSE)*VLOOKUP(VLOOKUP($AW268,坦克个性化设定!$B$18:$E$48,4,FALSE)&amp;$AX268,坦克属性分配比例,MATCH("升星比例",坦克属性分配比例标头,0),FALSE),0)</f>
        <v>321</v>
      </c>
      <c r="BB268" s="654">
        <f ca="1">ROUND(VLOOKUP($AW268&amp;"初始",$O$3:$AA$63,MATCH(BB$3,$O$3:$AA$3,0),FALSE)+(VLOOKUP($AW268&amp;"最终",$O$3:$AA$63,MATCH(BB$3,$O$3:$AA$3,0),FALSE)-VLOOKUP($AW268&amp;"初始",$O$3:$AA$63,MATCH(BB$3,$O$3:$AA$3,0),FALSE))*$AY268/VLOOKUP(VLOOKUP($AW268,坦克个性化设定!$B$18:$E$48,4,FALSE)&amp;$AX268,坦克属性分配比例,MATCH("升星次数",坦克属性分配比例标头,0),FALSE)*(VLOOKUP(VLOOKUP($AW268,坦克个性化设定!$B$18:$E$48,4,FALSE)&amp;$AX268,坦克属性分配比例,MATCH("升星比例",坦克属性分配比例标头,0),FALSE)+VLOOKUP(VLOOKUP($AW268,坦克个性化设定!$B$18:$E$48,4,FALSE)&amp;$AX268,坦克属性分配比例,MATCH("部件比例",坦克属性分配比例标头,0),FALSE)*$C$3),0)</f>
        <v>560</v>
      </c>
      <c r="BC268" s="654">
        <f ca="1">ROUND(VLOOKUP($AW268&amp;"初始",$O$3:$AA$63,MATCH(BC$3,$O$3:$AA$3,0),FALSE)+(VLOOKUP($AW268&amp;"最终",$O$3:$AA$63,MATCH(BC$3,$O$3:$AA$3,0),FALSE)-VLOOKUP($AW268&amp;"初始",$O$3:$AA$63,MATCH(BC$3,$O$3:$AA$3,0),FALSE))*$AY268/VLOOKUP(VLOOKUP($AW268,坦克个性化设定!$B$18:$E$48,4,FALSE)&amp;$AX268,坦克属性分配比例,MATCH("升星次数",坦克属性分配比例标头,0),FALSE)*(VLOOKUP(VLOOKUP($AW268,坦克个性化设定!$B$18:$E$48,4,FALSE)&amp;$AX268,坦克属性分配比例,MATCH("升星比例",坦克属性分配比例标头,0),FALSE)+VLOOKUP(VLOOKUP($AW268,坦克个性化设定!$B$18:$E$48,4,FALSE)&amp;$AX268,坦克属性分配比例,MATCH("部件比例",坦克属性分配比例标头,0),FALSE)*$C$3),0)</f>
        <v>448</v>
      </c>
      <c r="BD268" s="654">
        <f ca="1">ROUND(VLOOKUP($AW268&amp;"初始",$O$3:$AA$63,MATCH(BD$3,$O$3:$AA$3,0),FALSE)+(VLOOKUP($AW268&amp;"最终",$O$3:$AA$63,MATCH(BD$3,$O$3:$AA$3,0),FALSE)-VLOOKUP($AW268&amp;"初始",$O$3:$AA$63,MATCH(BD$3,$O$3:$AA$3,0),FALSE))*$AY268/VLOOKUP(VLOOKUP($AW268,坦克个性化设定!$B$18:$E$48,4,FALSE)&amp;$AX268,坦克属性分配比例,MATCH("升星次数",坦克属性分配比例标头,0),FALSE)*VLOOKUP(VLOOKUP($AW268,坦克个性化设定!$B$18:$E$48,4,FALSE)&amp;$AX268,坦克属性分配比例,MATCH("升星比例",坦克属性分配比例标头,0),FALSE),0)</f>
        <v>698</v>
      </c>
      <c r="BE268" s="654">
        <f ca="1">ROUND(VLOOKUP($AW268&amp;"初始",$O$3:$AA$63,MATCH(BE$3,$O$3:$AA$3,0),FALSE)+(VLOOKUP($AW268&amp;"最终",$O$3:$AA$63,MATCH(BE$3,$O$3:$AA$3,0),FALSE)-VLOOKUP($AW268&amp;"初始",$O$3:$AA$63,MATCH(BE$3,$O$3:$AA$3,0),FALSE))*$AY268/VLOOKUP(VLOOKUP($AW268,坦克个性化设定!$B$18:$E$48,4,FALSE)&amp;$AX268,坦克属性分配比例,MATCH("升星次数",坦克属性分配比例标头,0),FALSE),0)</f>
        <v>177</v>
      </c>
      <c r="BF268" s="654">
        <f>ROUND(VLOOKUP($AW268,$AD$3:$AJ$33,MATCH(BF$3,$AD$3:$AJ$3,0),FALSE)+$AY268/VLOOKUP(VLOOKUP($AW268,坦克个性化设定!$B$18:$E$48,4,FALSE)&amp;$AX268,坦克属性分配比例,MATCH("升星次数",坦克属性分配比例标头,0),FALSE)*VLOOKUP($AW268,$AM$3:$AS$33,MATCH(BF$3,$AM$3:$AS$3,0),FALSE),1)</f>
        <v>36.4</v>
      </c>
      <c r="BG268" s="654">
        <f>ROUND(VLOOKUP($AW268,$AD$3:$AJ$33,MATCH(BG$3,$AD$3:$AJ$3,0),FALSE)+$AY268/VLOOKUP(VLOOKUP($AW268,坦克个性化设定!$B$18:$E$48,4,FALSE)&amp;$AX268,坦克属性分配比例,MATCH("升星次数",坦克属性分配比例标头,0),FALSE)*VLOOKUP($AW268,$AM$3:$AS$33,MATCH(BG$3,$AM$3:$AS$3,0),FALSE),1)</f>
        <v>50.7</v>
      </c>
      <c r="BH268" s="654">
        <f>ROUND(VLOOKUP($AW268,$AD$3:$AJ$33,MATCH(BH$3,$AD$3:$AJ$3,0),FALSE)+$AY268/VLOOKUP(VLOOKUP($AW268,坦克个性化设定!$B$18:$E$48,4,FALSE)&amp;$AX268,坦克属性分配比例,MATCH("升星次数",坦克属性分配比例标头,0),FALSE)*VLOOKUP($AW268,$AM$3:$AS$33,MATCH(BH$3,$AM$3:$AS$3,0),FALSE),1)</f>
        <v>11.3</v>
      </c>
      <c r="BI268" s="654">
        <f>IF(VLOOKUP(AW268,坦克个性化设定!$B$18:$BB$48,MATCH("装弹类型",坦克个性化设定!$B$18:$BB$18,0),FALSE)="弹夹换弹",0,ROUND(VLOOKUP($AW268,$AD$3:$AJ$33,MATCH("换弹时间",$AD$3:$AJ$3,0),FALSE)-$AY268/VLOOKUP(VLOOKUP($AW268,坦克个性化设定!$B$18:$E$48,4,FALSE)&amp;$AX268,坦克属性分配比例,MATCH("升星次数",坦克属性分配比例标头,0),FALSE)*VLOOKUP($AW268,$AM$3:$AS$33,MATCH("换弹时间",$AM$3:$AS$3,0),FALSE),2))</f>
        <v>5.19</v>
      </c>
      <c r="BJ268" s="654">
        <f>IF(VLOOKUP(AW268,坦克个性化设定!$B$18:$BB$48,MATCH("装弹类型",坦克个性化设定!$B$18:$BB$18,0),FALSE)="弹夹换弹",ROUND(VLOOKUP($AW268,$AD$3:$AJ$33,MATCH("换弹时间",$AD$3:$AJ$3,0),FALSE)-$AY268/VLOOKUP(VLOOKUP($AW268,坦克个性化设定!$B$18:$E$48,4,FALSE)&amp;$AX268,坦克属性分配比例,MATCH("升星次数",坦克属性分配比例标头,0),FALSE)*VLOOKUP($AW268,$AM$3:$AS$33,MATCH("换弹时间",$AM$3:$AS$3,0),FALSE),1),0)</f>
        <v>0</v>
      </c>
      <c r="BK268" s="654">
        <f>ROUND(VLOOKUP($AW268,$AD$3:$AJ$33,MATCH(BK$3,$AD$3:$AJ$3,0),FALSE)+$AY268/VLOOKUP(VLOOKUP($AW268,坦克个性化设定!$B$18:$E$48,4,FALSE)&amp;$AX268,坦克属性分配比例,MATCH("升星次数",坦克属性分配比例标头,0),FALSE)*VLOOKUP($AW268,$AM$3:$AS$33,MATCH(BK$3,$AM$3:$AS$3,0),FALSE),2)</f>
        <v>0</v>
      </c>
      <c r="BL268" s="654">
        <f>ROUND(VLOOKUP($AW268,$AD$3:$AJ$33,MATCH(BL$3,$AD$3:$AJ$3,0),FALSE)-$AY268/VLOOKUP(VLOOKUP($AW268,坦克个性化设定!$B$18:$E$48,4,FALSE)&amp;$AX268,坦克属性分配比例,MATCH("升星次数",坦克属性分配比例标头,0),FALSE)*VLOOKUP($AW268,$AM$3:$AS$33,MATCH(BL$3,$AM$3:$AS$3,0),FALSE),2)</f>
        <v>2.73</v>
      </c>
    </row>
    <row r="269" spans="47:64" x14ac:dyDescent="0.35">
      <c r="AU269" s="372" t="str">
        <f t="shared" si="30"/>
        <v>丘吉尔7</v>
      </c>
      <c r="AV269" s="654">
        <f>IF(AY268&gt;=VLOOKUP(VLOOKUP(AW268,坦克个性化设定!$B$18:$E$48,4,FALSE)&amp;AX268,坦克属性分配比例,MATCH("升星次数",坦克属性分配比例标头,0),FALSE),AV268+1,AV268)</f>
        <v>23</v>
      </c>
      <c r="AW269" s="649" t="str">
        <f t="shared" si="31"/>
        <v>丘吉尔</v>
      </c>
      <c r="AX269" s="650" t="str">
        <f>VLOOKUP(AW269,坦克个性化细分!$I$3:$J$33,2,FALSE)</f>
        <v>中</v>
      </c>
      <c r="AY269" s="654">
        <f t="shared" si="32"/>
        <v>7</v>
      </c>
      <c r="AZ269" s="654">
        <f ca="1">ROUND(VLOOKUP($AW269&amp;"初始",$O$3:$AA$63,MATCH(AZ$3,$O$3:$AA$3,0),FALSE)+((VLOOKUP($AW269&amp;"最终",$O$3:$AA$63,MATCH(AZ$3,$O$3:$AA$3,0),FALSE)*坦克个性化细分!$C$9-VLOOKUP($AW269&amp;"初始",$O$3:$AA$63,MATCH(AZ$3,$O$3:$AA$3,0),FALSE))-(VLOOKUP($AW269&amp;"最终",$O$3:$AA$63,MATCH(AZ$3,$O$3:$AA$3,0),FALSE)-VLOOKUP($AW269&amp;"初始",$O$3:$AA$63,MATCH(AZ$3,$O$3:$AA$3,0),FALSE))*VLOOKUP(VLOOKUP($AW269,坦克个性化设定!$B$18:$E$48,4,FALSE)&amp;$AX269,坦克属性分配比例,MATCH("部件比例",坦克属性分配比例标头,0),FALSE))*$AY269/VLOOKUP(VLOOKUP($AW269,坦克个性化设定!$B$18:$E$48,4,FALSE)&amp;$AX269,坦克属性分配比例,MATCH("升星次数",坦克属性分配比例标头,0),FALSE),0)</f>
        <v>2107</v>
      </c>
      <c r="BA269" s="654">
        <f ca="1">ROUND(VLOOKUP($AW269&amp;"初始",$O$3:$AA$63,MATCH(BA$3,$O$3:$AA$3,0),FALSE)+(VLOOKUP($AW269&amp;"最终",$O$3:$AA$63,MATCH(BA$3,$O$3:$AA$3,0),FALSE)-VLOOKUP($AW269&amp;"初始",$O$3:$AA$63,MATCH(BA$3,$O$3:$AA$3,0),FALSE))*$AY269/VLOOKUP(VLOOKUP($AW269,坦克个性化设定!$B$18:$E$48,4,FALSE)&amp;$AX269,坦克属性分配比例,MATCH("升星次数",坦克属性分配比例标头,0),FALSE)*VLOOKUP(VLOOKUP($AW269,坦克个性化设定!$B$18:$E$48,4,FALSE)&amp;$AX269,坦克属性分配比例,MATCH("升星比例",坦克属性分配比例标头,0),FALSE),0)</f>
        <v>335</v>
      </c>
      <c r="BB269" s="654">
        <f ca="1">ROUND(VLOOKUP($AW269&amp;"初始",$O$3:$AA$63,MATCH(BB$3,$O$3:$AA$3,0),FALSE)+(VLOOKUP($AW269&amp;"最终",$O$3:$AA$63,MATCH(BB$3,$O$3:$AA$3,0),FALSE)-VLOOKUP($AW269&amp;"初始",$O$3:$AA$63,MATCH(BB$3,$O$3:$AA$3,0),FALSE))*$AY269/VLOOKUP(VLOOKUP($AW269,坦克个性化设定!$B$18:$E$48,4,FALSE)&amp;$AX269,坦克属性分配比例,MATCH("升星次数",坦克属性分配比例标头,0),FALSE)*(VLOOKUP(VLOOKUP($AW269,坦克个性化设定!$B$18:$E$48,4,FALSE)&amp;$AX269,坦克属性分配比例,MATCH("升星比例",坦克属性分配比例标头,0),FALSE)+VLOOKUP(VLOOKUP($AW269,坦克个性化设定!$B$18:$E$48,4,FALSE)&amp;$AX269,坦克属性分配比例,MATCH("部件比例",坦克属性分配比例标头,0),FALSE)*$C$3),0)</f>
        <v>589</v>
      </c>
      <c r="BC269" s="654">
        <f ca="1">ROUND(VLOOKUP($AW269&amp;"初始",$O$3:$AA$63,MATCH(BC$3,$O$3:$AA$3,0),FALSE)+(VLOOKUP($AW269&amp;"最终",$O$3:$AA$63,MATCH(BC$3,$O$3:$AA$3,0),FALSE)-VLOOKUP($AW269&amp;"初始",$O$3:$AA$63,MATCH(BC$3,$O$3:$AA$3,0),FALSE))*$AY269/VLOOKUP(VLOOKUP($AW269,坦克个性化设定!$B$18:$E$48,4,FALSE)&amp;$AX269,坦克属性分配比例,MATCH("升星次数",坦克属性分配比例标头,0),FALSE)*(VLOOKUP(VLOOKUP($AW269,坦克个性化设定!$B$18:$E$48,4,FALSE)&amp;$AX269,坦克属性分配比例,MATCH("升星比例",坦克属性分配比例标头,0),FALSE)+VLOOKUP(VLOOKUP($AW269,坦克个性化设定!$B$18:$E$48,4,FALSE)&amp;$AX269,坦克属性分配比例,MATCH("部件比例",坦克属性分配比例标头,0),FALSE)*$C$3),0)</f>
        <v>471</v>
      </c>
      <c r="BD269" s="654">
        <f ca="1">ROUND(VLOOKUP($AW269&amp;"初始",$O$3:$AA$63,MATCH(BD$3,$O$3:$AA$3,0),FALSE)+(VLOOKUP($AW269&amp;"最终",$O$3:$AA$63,MATCH(BD$3,$O$3:$AA$3,0),FALSE)-VLOOKUP($AW269&amp;"初始",$O$3:$AA$63,MATCH(BD$3,$O$3:$AA$3,0),FALSE))*$AY269/VLOOKUP(VLOOKUP($AW269,坦克个性化设定!$B$18:$E$48,4,FALSE)&amp;$AX269,坦克属性分配比例,MATCH("升星次数",坦克属性分配比例标头,0),FALSE)*VLOOKUP(VLOOKUP($AW269,坦克个性化设定!$B$18:$E$48,4,FALSE)&amp;$AX269,坦克属性分配比例,MATCH("升星比例",坦克属性分配比例标头,0),FALSE),0)</f>
        <v>728</v>
      </c>
      <c r="BE269" s="654">
        <f ca="1">ROUND(VLOOKUP($AW269&amp;"初始",$O$3:$AA$63,MATCH(BE$3,$O$3:$AA$3,0),FALSE)+(VLOOKUP($AW269&amp;"最终",$O$3:$AA$63,MATCH(BE$3,$O$3:$AA$3,0),FALSE)-VLOOKUP($AW269&amp;"初始",$O$3:$AA$63,MATCH(BE$3,$O$3:$AA$3,0),FALSE))*$AY269/VLOOKUP(VLOOKUP($AW269,坦克个性化设定!$B$18:$E$48,4,FALSE)&amp;$AX269,坦克属性分配比例,MATCH("升星次数",坦克属性分配比例标头,0),FALSE),0)</f>
        <v>187</v>
      </c>
      <c r="BF269" s="654">
        <f>ROUND(VLOOKUP($AW269,$AD$3:$AJ$33,MATCH(BF$3,$AD$3:$AJ$3,0),FALSE)+$AY269/VLOOKUP(VLOOKUP($AW269,坦克个性化设定!$B$18:$E$48,4,FALSE)&amp;$AX269,坦克属性分配比例,MATCH("升星次数",坦克属性分配比例标头,0),FALSE)*VLOOKUP($AW269,$AM$3:$AS$33,MATCH(BF$3,$AM$3:$AS$3,0),FALSE),1)</f>
        <v>37.1</v>
      </c>
      <c r="BG269" s="654">
        <f>ROUND(VLOOKUP($AW269,$AD$3:$AJ$33,MATCH(BG$3,$AD$3:$AJ$3,0),FALSE)+$AY269/VLOOKUP(VLOOKUP($AW269,坦克个性化设定!$B$18:$E$48,4,FALSE)&amp;$AX269,坦克属性分配比例,MATCH("升星次数",坦克属性分配比例标头,0),FALSE)*VLOOKUP($AW269,$AM$3:$AS$33,MATCH(BG$3,$AM$3:$AS$3,0),FALSE),1)</f>
        <v>51.7</v>
      </c>
      <c r="BH269" s="654">
        <f>ROUND(VLOOKUP($AW269,$AD$3:$AJ$33,MATCH(BH$3,$AD$3:$AJ$3,0),FALSE)+$AY269/VLOOKUP(VLOOKUP($AW269,坦克个性化设定!$B$18:$E$48,4,FALSE)&amp;$AX269,坦克属性分配比例,MATCH("升星次数",坦克属性分配比例标头,0),FALSE)*VLOOKUP($AW269,$AM$3:$AS$33,MATCH(BH$3,$AM$3:$AS$3,0),FALSE),1)</f>
        <v>11.6</v>
      </c>
      <c r="BI269" s="654">
        <f>IF(VLOOKUP(AW269,坦克个性化设定!$B$18:$BB$48,MATCH("装弹类型",坦克个性化设定!$B$18:$BB$18,0),FALSE)="弹夹换弹",0,ROUND(VLOOKUP($AW269,$AD$3:$AJ$33,MATCH("换弹时间",$AD$3:$AJ$3,0),FALSE)-$AY269/VLOOKUP(VLOOKUP($AW269,坦克个性化设定!$B$18:$E$48,4,FALSE)&amp;$AX269,坦克属性分配比例,MATCH("升星次数",坦克属性分配比例标头,0),FALSE)*VLOOKUP($AW269,$AM$3:$AS$33,MATCH("换弹时间",$AM$3:$AS$3,0),FALSE),2))</f>
        <v>5.05</v>
      </c>
      <c r="BJ269" s="654">
        <f>IF(VLOOKUP(AW269,坦克个性化设定!$B$18:$BB$48,MATCH("装弹类型",坦克个性化设定!$B$18:$BB$18,0),FALSE)="弹夹换弹",ROUND(VLOOKUP($AW269,$AD$3:$AJ$33,MATCH("换弹时间",$AD$3:$AJ$3,0),FALSE)-$AY269/VLOOKUP(VLOOKUP($AW269,坦克个性化设定!$B$18:$E$48,4,FALSE)&amp;$AX269,坦克属性分配比例,MATCH("升星次数",坦克属性分配比例标头,0),FALSE)*VLOOKUP($AW269,$AM$3:$AS$33,MATCH("换弹时间",$AM$3:$AS$3,0),FALSE),1),0)</f>
        <v>0</v>
      </c>
      <c r="BK269" s="654">
        <f>ROUND(VLOOKUP($AW269,$AD$3:$AJ$33,MATCH(BK$3,$AD$3:$AJ$3,0),FALSE)+$AY269/VLOOKUP(VLOOKUP($AW269,坦克个性化设定!$B$18:$E$48,4,FALSE)&amp;$AX269,坦克属性分配比例,MATCH("升星次数",坦克属性分配比例标头,0),FALSE)*VLOOKUP($AW269,$AM$3:$AS$33,MATCH(BK$3,$AM$3:$AS$3,0),FALSE),2)</f>
        <v>0</v>
      </c>
      <c r="BL269" s="654">
        <f>ROUND(VLOOKUP($AW269,$AD$3:$AJ$33,MATCH(BL$3,$AD$3:$AJ$3,0),FALSE)-$AY269/VLOOKUP(VLOOKUP($AW269,坦克个性化设定!$B$18:$E$48,4,FALSE)&amp;$AX269,坦克属性分配比例,MATCH("升星次数",坦克属性分配比例标头,0),FALSE)*VLOOKUP($AW269,$AM$3:$AS$33,MATCH(BL$3,$AM$3:$AS$3,0),FALSE),2)</f>
        <v>2.68</v>
      </c>
    </row>
    <row r="270" spans="47:64" x14ac:dyDescent="0.35">
      <c r="AU270" s="372" t="str">
        <f t="shared" si="30"/>
        <v>丘吉尔8</v>
      </c>
      <c r="AV270" s="654">
        <f>IF(AY269&gt;=VLOOKUP(VLOOKUP(AW269,坦克个性化设定!$B$18:$E$48,4,FALSE)&amp;AX269,坦克属性分配比例,MATCH("升星次数",坦克属性分配比例标头,0),FALSE),AV269+1,AV269)</f>
        <v>23</v>
      </c>
      <c r="AW270" s="649" t="str">
        <f t="shared" si="31"/>
        <v>丘吉尔</v>
      </c>
      <c r="AX270" s="650" t="str">
        <f>VLOOKUP(AW270,坦克个性化细分!$I$3:$J$33,2,FALSE)</f>
        <v>中</v>
      </c>
      <c r="AY270" s="654">
        <f t="shared" si="32"/>
        <v>8</v>
      </c>
      <c r="AZ270" s="654">
        <f ca="1">ROUND(VLOOKUP($AW270&amp;"初始",$O$3:$AA$63,MATCH(AZ$3,$O$3:$AA$3,0),FALSE)+((VLOOKUP($AW270&amp;"最终",$O$3:$AA$63,MATCH(AZ$3,$O$3:$AA$3,0),FALSE)*坦克个性化细分!$C$9-VLOOKUP($AW270&amp;"初始",$O$3:$AA$63,MATCH(AZ$3,$O$3:$AA$3,0),FALSE))-(VLOOKUP($AW270&amp;"最终",$O$3:$AA$63,MATCH(AZ$3,$O$3:$AA$3,0),FALSE)-VLOOKUP($AW270&amp;"初始",$O$3:$AA$63,MATCH(AZ$3,$O$3:$AA$3,0),FALSE))*VLOOKUP(VLOOKUP($AW270,坦克个性化设定!$B$18:$E$48,4,FALSE)&amp;$AX270,坦克属性分配比例,MATCH("部件比例",坦克属性分配比例标头,0),FALSE))*$AY270/VLOOKUP(VLOOKUP($AW270,坦克个性化设定!$B$18:$E$48,4,FALSE)&amp;$AX270,坦克属性分配比例,MATCH("升星次数",坦克属性分配比例标头,0),FALSE),0)</f>
        <v>2239</v>
      </c>
      <c r="BA270" s="654">
        <f ca="1">ROUND(VLOOKUP($AW270&amp;"初始",$O$3:$AA$63,MATCH(BA$3,$O$3:$AA$3,0),FALSE)+(VLOOKUP($AW270&amp;"最终",$O$3:$AA$63,MATCH(BA$3,$O$3:$AA$3,0),FALSE)-VLOOKUP($AW270&amp;"初始",$O$3:$AA$63,MATCH(BA$3,$O$3:$AA$3,0),FALSE))*$AY270/VLOOKUP(VLOOKUP($AW270,坦克个性化设定!$B$18:$E$48,4,FALSE)&amp;$AX270,坦克属性分配比例,MATCH("升星次数",坦克属性分配比例标头,0),FALSE)*VLOOKUP(VLOOKUP($AW270,坦克个性化设定!$B$18:$E$48,4,FALSE)&amp;$AX270,坦克属性分配比例,MATCH("升星比例",坦克属性分配比例标头,0),FALSE),0)</f>
        <v>349</v>
      </c>
      <c r="BB270" s="654">
        <f ca="1">ROUND(VLOOKUP($AW270&amp;"初始",$O$3:$AA$63,MATCH(BB$3,$O$3:$AA$3,0),FALSE)+(VLOOKUP($AW270&amp;"最终",$O$3:$AA$63,MATCH(BB$3,$O$3:$AA$3,0),FALSE)-VLOOKUP($AW270&amp;"初始",$O$3:$AA$63,MATCH(BB$3,$O$3:$AA$3,0),FALSE))*$AY270/VLOOKUP(VLOOKUP($AW270,坦克个性化设定!$B$18:$E$48,4,FALSE)&amp;$AX270,坦克属性分配比例,MATCH("升星次数",坦克属性分配比例标头,0),FALSE)*(VLOOKUP(VLOOKUP($AW270,坦克个性化设定!$B$18:$E$48,4,FALSE)&amp;$AX270,坦克属性分配比例,MATCH("升星比例",坦克属性分配比例标头,0),FALSE)+VLOOKUP(VLOOKUP($AW270,坦克个性化设定!$B$18:$E$48,4,FALSE)&amp;$AX270,坦克属性分配比例,MATCH("部件比例",坦克属性分配比例标头,0),FALSE)*$C$3),0)</f>
        <v>618</v>
      </c>
      <c r="BC270" s="654">
        <f ca="1">ROUND(VLOOKUP($AW270&amp;"初始",$O$3:$AA$63,MATCH(BC$3,$O$3:$AA$3,0),FALSE)+(VLOOKUP($AW270&amp;"最终",$O$3:$AA$63,MATCH(BC$3,$O$3:$AA$3,0),FALSE)-VLOOKUP($AW270&amp;"初始",$O$3:$AA$63,MATCH(BC$3,$O$3:$AA$3,0),FALSE))*$AY270/VLOOKUP(VLOOKUP($AW270,坦克个性化设定!$B$18:$E$48,4,FALSE)&amp;$AX270,坦克属性分配比例,MATCH("升星次数",坦克属性分配比例标头,0),FALSE)*(VLOOKUP(VLOOKUP($AW270,坦克个性化设定!$B$18:$E$48,4,FALSE)&amp;$AX270,坦克属性分配比例,MATCH("升星比例",坦克属性分配比例标头,0),FALSE)+VLOOKUP(VLOOKUP($AW270,坦克个性化设定!$B$18:$E$48,4,FALSE)&amp;$AX270,坦克属性分配比例,MATCH("部件比例",坦克属性分配比例标头,0),FALSE)*$C$3),0)</f>
        <v>494</v>
      </c>
      <c r="BD270" s="654">
        <f ca="1">ROUND(VLOOKUP($AW270&amp;"初始",$O$3:$AA$63,MATCH(BD$3,$O$3:$AA$3,0),FALSE)+(VLOOKUP($AW270&amp;"最终",$O$3:$AA$63,MATCH(BD$3,$O$3:$AA$3,0),FALSE)-VLOOKUP($AW270&amp;"初始",$O$3:$AA$63,MATCH(BD$3,$O$3:$AA$3,0),FALSE))*$AY270/VLOOKUP(VLOOKUP($AW270,坦克个性化设定!$B$18:$E$48,4,FALSE)&amp;$AX270,坦克属性分配比例,MATCH("升星次数",坦克属性分配比例标头,0),FALSE)*VLOOKUP(VLOOKUP($AW270,坦克个性化设定!$B$18:$E$48,4,FALSE)&amp;$AX270,坦克属性分配比例,MATCH("升星比例",坦克属性分配比例标头,0),FALSE),0)</f>
        <v>758</v>
      </c>
      <c r="BE270" s="654">
        <f ca="1">ROUND(VLOOKUP($AW270&amp;"初始",$O$3:$AA$63,MATCH(BE$3,$O$3:$AA$3,0),FALSE)+(VLOOKUP($AW270&amp;"最终",$O$3:$AA$63,MATCH(BE$3,$O$3:$AA$3,0),FALSE)-VLOOKUP($AW270&amp;"初始",$O$3:$AA$63,MATCH(BE$3,$O$3:$AA$3,0),FALSE))*$AY270/VLOOKUP(VLOOKUP($AW270,坦克个性化设定!$B$18:$E$48,4,FALSE)&amp;$AX270,坦克属性分配比例,MATCH("升星次数",坦克属性分配比例标头,0),FALSE),0)</f>
        <v>197</v>
      </c>
      <c r="BF270" s="654">
        <f>ROUND(VLOOKUP($AW270,$AD$3:$AJ$33,MATCH(BF$3,$AD$3:$AJ$3,0),FALSE)+$AY270/VLOOKUP(VLOOKUP($AW270,坦克个性化设定!$B$18:$E$48,4,FALSE)&amp;$AX270,坦克属性分配比例,MATCH("升星次数",坦克属性分配比例标头,0),FALSE)*VLOOKUP($AW270,$AM$3:$AS$33,MATCH(BF$3,$AM$3:$AS$3,0),FALSE),1)</f>
        <v>37.799999999999997</v>
      </c>
      <c r="BG270" s="654">
        <f>ROUND(VLOOKUP($AW270,$AD$3:$AJ$33,MATCH(BG$3,$AD$3:$AJ$3,0),FALSE)+$AY270/VLOOKUP(VLOOKUP($AW270,坦克个性化设定!$B$18:$E$48,4,FALSE)&amp;$AX270,坦克属性分配比例,MATCH("升星次数",坦克属性分配比例标头,0),FALSE)*VLOOKUP($AW270,$AM$3:$AS$33,MATCH(BG$3,$AM$3:$AS$3,0),FALSE),1)</f>
        <v>52.7</v>
      </c>
      <c r="BH270" s="654">
        <f>ROUND(VLOOKUP($AW270,$AD$3:$AJ$33,MATCH(BH$3,$AD$3:$AJ$3,0),FALSE)+$AY270/VLOOKUP(VLOOKUP($AW270,坦克个性化设定!$B$18:$E$48,4,FALSE)&amp;$AX270,坦克属性分配比例,MATCH("升星次数",坦克属性分配比例标头,0),FALSE)*VLOOKUP($AW270,$AM$3:$AS$33,MATCH(BH$3,$AM$3:$AS$3,0),FALSE),1)</f>
        <v>11.9</v>
      </c>
      <c r="BI270" s="654">
        <f>IF(VLOOKUP(AW270,坦克个性化设定!$B$18:$BB$48,MATCH("装弹类型",坦克个性化设定!$B$18:$BB$18,0),FALSE)="弹夹换弹",0,ROUND(VLOOKUP($AW270,$AD$3:$AJ$33,MATCH("换弹时间",$AD$3:$AJ$3,0),FALSE)-$AY270/VLOOKUP(VLOOKUP($AW270,坦克个性化设定!$B$18:$E$48,4,FALSE)&amp;$AX270,坦克属性分配比例,MATCH("升星次数",坦克属性分配比例标头,0),FALSE)*VLOOKUP($AW270,$AM$3:$AS$33,MATCH("换弹时间",$AM$3:$AS$3,0),FALSE),2))</f>
        <v>4.92</v>
      </c>
      <c r="BJ270" s="654">
        <f>IF(VLOOKUP(AW270,坦克个性化设定!$B$18:$BB$48,MATCH("装弹类型",坦克个性化设定!$B$18:$BB$18,0),FALSE)="弹夹换弹",ROUND(VLOOKUP($AW270,$AD$3:$AJ$33,MATCH("换弹时间",$AD$3:$AJ$3,0),FALSE)-$AY270/VLOOKUP(VLOOKUP($AW270,坦克个性化设定!$B$18:$E$48,4,FALSE)&amp;$AX270,坦克属性分配比例,MATCH("升星次数",坦克属性分配比例标头,0),FALSE)*VLOOKUP($AW270,$AM$3:$AS$33,MATCH("换弹时间",$AM$3:$AS$3,0),FALSE),1),0)</f>
        <v>0</v>
      </c>
      <c r="BK270" s="654">
        <f>ROUND(VLOOKUP($AW270,$AD$3:$AJ$33,MATCH(BK$3,$AD$3:$AJ$3,0),FALSE)+$AY270/VLOOKUP(VLOOKUP($AW270,坦克个性化设定!$B$18:$E$48,4,FALSE)&amp;$AX270,坦克属性分配比例,MATCH("升星次数",坦克属性分配比例标头,0),FALSE)*VLOOKUP($AW270,$AM$3:$AS$33,MATCH(BK$3,$AM$3:$AS$3,0),FALSE),2)</f>
        <v>0</v>
      </c>
      <c r="BL270" s="654">
        <f>ROUND(VLOOKUP($AW270,$AD$3:$AJ$33,MATCH(BL$3,$AD$3:$AJ$3,0),FALSE)-$AY270/VLOOKUP(VLOOKUP($AW270,坦克个性化设定!$B$18:$E$48,4,FALSE)&amp;$AX270,坦克属性分配比例,MATCH("升星次数",坦克属性分配比例标头,0),FALSE)*VLOOKUP($AW270,$AM$3:$AS$33,MATCH(BL$3,$AM$3:$AS$3,0),FALSE),2)</f>
        <v>2.64</v>
      </c>
    </row>
    <row r="271" spans="47:64" x14ac:dyDescent="0.35">
      <c r="AU271" s="372" t="str">
        <f t="shared" si="30"/>
        <v>丘吉尔9</v>
      </c>
      <c r="AV271" s="654">
        <f>IF(AY270&gt;=VLOOKUP(VLOOKUP(AW270,坦克个性化设定!$B$18:$E$48,4,FALSE)&amp;AX270,坦克属性分配比例,MATCH("升星次数",坦克属性分配比例标头,0),FALSE),AV270+1,AV270)</f>
        <v>23</v>
      </c>
      <c r="AW271" s="649" t="str">
        <f t="shared" si="31"/>
        <v>丘吉尔</v>
      </c>
      <c r="AX271" s="650" t="str">
        <f>VLOOKUP(AW271,坦克个性化细分!$I$3:$J$33,2,FALSE)</f>
        <v>中</v>
      </c>
      <c r="AY271" s="654">
        <f t="shared" si="32"/>
        <v>9</v>
      </c>
      <c r="AZ271" s="654">
        <f ca="1">ROUND(VLOOKUP($AW271&amp;"初始",$O$3:$AA$63,MATCH(AZ$3,$O$3:$AA$3,0),FALSE)+((VLOOKUP($AW271&amp;"最终",$O$3:$AA$63,MATCH(AZ$3,$O$3:$AA$3,0),FALSE)*坦克个性化细分!$C$9-VLOOKUP($AW271&amp;"初始",$O$3:$AA$63,MATCH(AZ$3,$O$3:$AA$3,0),FALSE))-(VLOOKUP($AW271&amp;"最终",$O$3:$AA$63,MATCH(AZ$3,$O$3:$AA$3,0),FALSE)-VLOOKUP($AW271&amp;"初始",$O$3:$AA$63,MATCH(AZ$3,$O$3:$AA$3,0),FALSE))*VLOOKUP(VLOOKUP($AW271,坦克个性化设定!$B$18:$E$48,4,FALSE)&amp;$AX271,坦克属性分配比例,MATCH("部件比例",坦克属性分配比例标头,0),FALSE))*$AY271/VLOOKUP(VLOOKUP($AW271,坦克个性化设定!$B$18:$E$48,4,FALSE)&amp;$AX271,坦克属性分配比例,MATCH("升星次数",坦克属性分配比例标头,0),FALSE),0)</f>
        <v>2370</v>
      </c>
      <c r="BA271" s="654">
        <f ca="1">ROUND(VLOOKUP($AW271&amp;"初始",$O$3:$AA$63,MATCH(BA$3,$O$3:$AA$3,0),FALSE)+(VLOOKUP($AW271&amp;"最终",$O$3:$AA$63,MATCH(BA$3,$O$3:$AA$3,0),FALSE)-VLOOKUP($AW271&amp;"初始",$O$3:$AA$63,MATCH(BA$3,$O$3:$AA$3,0),FALSE))*$AY271/VLOOKUP(VLOOKUP($AW271,坦克个性化设定!$B$18:$E$48,4,FALSE)&amp;$AX271,坦克属性分配比例,MATCH("升星次数",坦克属性分配比例标头,0),FALSE)*VLOOKUP(VLOOKUP($AW271,坦克个性化设定!$B$18:$E$48,4,FALSE)&amp;$AX271,坦克属性分配比例,MATCH("升星比例",坦克属性分配比例标头,0),FALSE),0)</f>
        <v>363</v>
      </c>
      <c r="BB271" s="654">
        <f ca="1">ROUND(VLOOKUP($AW271&amp;"初始",$O$3:$AA$63,MATCH(BB$3,$O$3:$AA$3,0),FALSE)+(VLOOKUP($AW271&amp;"最终",$O$3:$AA$63,MATCH(BB$3,$O$3:$AA$3,0),FALSE)-VLOOKUP($AW271&amp;"初始",$O$3:$AA$63,MATCH(BB$3,$O$3:$AA$3,0),FALSE))*$AY271/VLOOKUP(VLOOKUP($AW271,坦克个性化设定!$B$18:$E$48,4,FALSE)&amp;$AX271,坦克属性分配比例,MATCH("升星次数",坦克属性分配比例标头,0),FALSE)*(VLOOKUP(VLOOKUP($AW271,坦克个性化设定!$B$18:$E$48,4,FALSE)&amp;$AX271,坦克属性分配比例,MATCH("升星比例",坦克属性分配比例标头,0),FALSE)+VLOOKUP(VLOOKUP($AW271,坦克个性化设定!$B$18:$E$48,4,FALSE)&amp;$AX271,坦克属性分配比例,MATCH("部件比例",坦克属性分配比例标头,0),FALSE)*$C$3),0)</f>
        <v>647</v>
      </c>
      <c r="BC271" s="654">
        <f ca="1">ROUND(VLOOKUP($AW271&amp;"初始",$O$3:$AA$63,MATCH(BC$3,$O$3:$AA$3,0),FALSE)+(VLOOKUP($AW271&amp;"最终",$O$3:$AA$63,MATCH(BC$3,$O$3:$AA$3,0),FALSE)-VLOOKUP($AW271&amp;"初始",$O$3:$AA$63,MATCH(BC$3,$O$3:$AA$3,0),FALSE))*$AY271/VLOOKUP(VLOOKUP($AW271,坦克个性化设定!$B$18:$E$48,4,FALSE)&amp;$AX271,坦克属性分配比例,MATCH("升星次数",坦克属性分配比例标头,0),FALSE)*(VLOOKUP(VLOOKUP($AW271,坦克个性化设定!$B$18:$E$48,4,FALSE)&amp;$AX271,坦克属性分配比例,MATCH("升星比例",坦克属性分配比例标头,0),FALSE)+VLOOKUP(VLOOKUP($AW271,坦克个性化设定!$B$18:$E$48,4,FALSE)&amp;$AX271,坦克属性分配比例,MATCH("部件比例",坦克属性分配比例标头,0),FALSE)*$C$3),0)</f>
        <v>517</v>
      </c>
      <c r="BD271" s="654">
        <f ca="1">ROUND(VLOOKUP($AW271&amp;"初始",$O$3:$AA$63,MATCH(BD$3,$O$3:$AA$3,0),FALSE)+(VLOOKUP($AW271&amp;"最终",$O$3:$AA$63,MATCH(BD$3,$O$3:$AA$3,0),FALSE)-VLOOKUP($AW271&amp;"初始",$O$3:$AA$63,MATCH(BD$3,$O$3:$AA$3,0),FALSE))*$AY271/VLOOKUP(VLOOKUP($AW271,坦克个性化设定!$B$18:$E$48,4,FALSE)&amp;$AX271,坦克属性分配比例,MATCH("升星次数",坦克属性分配比例标头,0),FALSE)*VLOOKUP(VLOOKUP($AW271,坦克个性化设定!$B$18:$E$48,4,FALSE)&amp;$AX271,坦克属性分配比例,MATCH("升星比例",坦克属性分配比例标头,0),FALSE),0)</f>
        <v>788</v>
      </c>
      <c r="BE271" s="654">
        <f ca="1">ROUND(VLOOKUP($AW271&amp;"初始",$O$3:$AA$63,MATCH(BE$3,$O$3:$AA$3,0),FALSE)+(VLOOKUP($AW271&amp;"最终",$O$3:$AA$63,MATCH(BE$3,$O$3:$AA$3,0),FALSE)-VLOOKUP($AW271&amp;"初始",$O$3:$AA$63,MATCH(BE$3,$O$3:$AA$3,0),FALSE))*$AY271/VLOOKUP(VLOOKUP($AW271,坦克个性化设定!$B$18:$E$48,4,FALSE)&amp;$AX271,坦克属性分配比例,MATCH("升星次数",坦克属性分配比例标头,0),FALSE),0)</f>
        <v>207</v>
      </c>
      <c r="BF271" s="654">
        <f>ROUND(VLOOKUP($AW271,$AD$3:$AJ$33,MATCH(BF$3,$AD$3:$AJ$3,0),FALSE)+$AY271/VLOOKUP(VLOOKUP($AW271,坦克个性化设定!$B$18:$E$48,4,FALSE)&amp;$AX271,坦克属性分配比例,MATCH("升星次数",坦克属性分配比例标头,0),FALSE)*VLOOKUP($AW271,$AM$3:$AS$33,MATCH(BF$3,$AM$3:$AS$3,0),FALSE),1)</f>
        <v>38.5</v>
      </c>
      <c r="BG271" s="654">
        <f>ROUND(VLOOKUP($AW271,$AD$3:$AJ$33,MATCH(BG$3,$AD$3:$AJ$3,0),FALSE)+$AY271/VLOOKUP(VLOOKUP($AW271,坦克个性化设定!$B$18:$E$48,4,FALSE)&amp;$AX271,坦克属性分配比例,MATCH("升星次数",坦克属性分配比例标头,0),FALSE)*VLOOKUP($AW271,$AM$3:$AS$33,MATCH(BG$3,$AM$3:$AS$3,0),FALSE),1)</f>
        <v>53.7</v>
      </c>
      <c r="BH271" s="654">
        <f>ROUND(VLOOKUP($AW271,$AD$3:$AJ$33,MATCH(BH$3,$AD$3:$AJ$3,0),FALSE)+$AY271/VLOOKUP(VLOOKUP($AW271,坦克个性化设定!$B$18:$E$48,4,FALSE)&amp;$AX271,坦克属性分配比例,MATCH("升星次数",坦克属性分配比例标头,0),FALSE)*VLOOKUP($AW271,$AM$3:$AS$33,MATCH(BH$3,$AM$3:$AS$3,0),FALSE),1)</f>
        <v>12.2</v>
      </c>
      <c r="BI271" s="654">
        <f>IF(VLOOKUP(AW271,坦克个性化设定!$B$18:$BB$48,MATCH("装弹类型",坦克个性化设定!$B$18:$BB$18,0),FALSE)="弹夹换弹",0,ROUND(VLOOKUP($AW271,$AD$3:$AJ$33,MATCH("换弹时间",$AD$3:$AJ$3,0),FALSE)-$AY271/VLOOKUP(VLOOKUP($AW271,坦克个性化设定!$B$18:$E$48,4,FALSE)&amp;$AX271,坦克属性分配比例,MATCH("升星次数",坦克属性分配比例标头,0),FALSE)*VLOOKUP($AW271,$AM$3:$AS$33,MATCH("换弹时间",$AM$3:$AS$3,0),FALSE),2))</f>
        <v>4.78</v>
      </c>
      <c r="BJ271" s="654">
        <f>IF(VLOOKUP(AW271,坦克个性化设定!$B$18:$BB$48,MATCH("装弹类型",坦克个性化设定!$B$18:$BB$18,0),FALSE)="弹夹换弹",ROUND(VLOOKUP($AW271,$AD$3:$AJ$33,MATCH("换弹时间",$AD$3:$AJ$3,0),FALSE)-$AY271/VLOOKUP(VLOOKUP($AW271,坦克个性化设定!$B$18:$E$48,4,FALSE)&amp;$AX271,坦克属性分配比例,MATCH("升星次数",坦克属性分配比例标头,0),FALSE)*VLOOKUP($AW271,$AM$3:$AS$33,MATCH("换弹时间",$AM$3:$AS$3,0),FALSE),1),0)</f>
        <v>0</v>
      </c>
      <c r="BK271" s="654">
        <f>ROUND(VLOOKUP($AW271,$AD$3:$AJ$33,MATCH(BK$3,$AD$3:$AJ$3,0),FALSE)+$AY271/VLOOKUP(VLOOKUP($AW271,坦克个性化设定!$B$18:$E$48,4,FALSE)&amp;$AX271,坦克属性分配比例,MATCH("升星次数",坦克属性分配比例标头,0),FALSE)*VLOOKUP($AW271,$AM$3:$AS$33,MATCH(BK$3,$AM$3:$AS$3,0),FALSE),2)</f>
        <v>0</v>
      </c>
      <c r="BL271" s="654">
        <f>ROUND(VLOOKUP($AW271,$AD$3:$AJ$33,MATCH(BL$3,$AD$3:$AJ$3,0),FALSE)-$AY271/VLOOKUP(VLOOKUP($AW271,坦克个性化设定!$B$18:$E$48,4,FALSE)&amp;$AX271,坦克属性分配比例,MATCH("升星次数",坦克属性分配比例标头,0),FALSE)*VLOOKUP($AW271,$AM$3:$AS$33,MATCH(BL$3,$AM$3:$AS$3,0),FALSE),2)</f>
        <v>2.59</v>
      </c>
    </row>
    <row r="272" spans="47:64" x14ac:dyDescent="0.35">
      <c r="AU272" s="372" t="str">
        <f t="shared" si="30"/>
        <v>丘吉尔10</v>
      </c>
      <c r="AV272" s="654">
        <f>IF(AY271&gt;=VLOOKUP(VLOOKUP(AW271,坦克个性化设定!$B$18:$E$48,4,FALSE)&amp;AX271,坦克属性分配比例,MATCH("升星次数",坦克属性分配比例标头,0),FALSE),AV271+1,AV271)</f>
        <v>23</v>
      </c>
      <c r="AW272" s="649" t="str">
        <f t="shared" si="31"/>
        <v>丘吉尔</v>
      </c>
      <c r="AX272" s="650" t="str">
        <f>VLOOKUP(AW272,坦克个性化细分!$I$3:$J$33,2,FALSE)</f>
        <v>中</v>
      </c>
      <c r="AY272" s="654">
        <f t="shared" si="32"/>
        <v>10</v>
      </c>
      <c r="AZ272" s="654">
        <f ca="1">ROUND(VLOOKUP($AW272&amp;"初始",$O$3:$AA$63,MATCH(AZ$3,$O$3:$AA$3,0),FALSE)+((VLOOKUP($AW272&amp;"最终",$O$3:$AA$63,MATCH(AZ$3,$O$3:$AA$3,0),FALSE)*坦克个性化细分!$C$9-VLOOKUP($AW272&amp;"初始",$O$3:$AA$63,MATCH(AZ$3,$O$3:$AA$3,0),FALSE))-(VLOOKUP($AW272&amp;"最终",$O$3:$AA$63,MATCH(AZ$3,$O$3:$AA$3,0),FALSE)-VLOOKUP($AW272&amp;"初始",$O$3:$AA$63,MATCH(AZ$3,$O$3:$AA$3,0),FALSE))*VLOOKUP(VLOOKUP($AW272,坦克个性化设定!$B$18:$E$48,4,FALSE)&amp;$AX272,坦克属性分配比例,MATCH("部件比例",坦克属性分配比例标头,0),FALSE))*$AY272/VLOOKUP(VLOOKUP($AW272,坦克个性化设定!$B$18:$E$48,4,FALSE)&amp;$AX272,坦克属性分配比例,MATCH("升星次数",坦克属性分配比例标头,0),FALSE),0)</f>
        <v>2502</v>
      </c>
      <c r="BA272" s="654">
        <f ca="1">ROUND(VLOOKUP($AW272&amp;"初始",$O$3:$AA$63,MATCH(BA$3,$O$3:$AA$3,0),FALSE)+(VLOOKUP($AW272&amp;"最终",$O$3:$AA$63,MATCH(BA$3,$O$3:$AA$3,0),FALSE)-VLOOKUP($AW272&amp;"初始",$O$3:$AA$63,MATCH(BA$3,$O$3:$AA$3,0),FALSE))*$AY272/VLOOKUP(VLOOKUP($AW272,坦克个性化设定!$B$18:$E$48,4,FALSE)&amp;$AX272,坦克属性分配比例,MATCH("升星次数",坦克属性分配比例标头,0),FALSE)*VLOOKUP(VLOOKUP($AW272,坦克个性化设定!$B$18:$E$48,4,FALSE)&amp;$AX272,坦克属性分配比例,MATCH("升星比例",坦克属性分配比例标头,0),FALSE),0)</f>
        <v>377</v>
      </c>
      <c r="BB272" s="654">
        <f ca="1">ROUND(VLOOKUP($AW272&amp;"初始",$O$3:$AA$63,MATCH(BB$3,$O$3:$AA$3,0),FALSE)+(VLOOKUP($AW272&amp;"最终",$O$3:$AA$63,MATCH(BB$3,$O$3:$AA$3,0),FALSE)-VLOOKUP($AW272&amp;"初始",$O$3:$AA$63,MATCH(BB$3,$O$3:$AA$3,0),FALSE))*$AY272/VLOOKUP(VLOOKUP($AW272,坦克个性化设定!$B$18:$E$48,4,FALSE)&amp;$AX272,坦克属性分配比例,MATCH("升星次数",坦克属性分配比例标头,0),FALSE)*(VLOOKUP(VLOOKUP($AW272,坦克个性化设定!$B$18:$E$48,4,FALSE)&amp;$AX272,坦克属性分配比例,MATCH("升星比例",坦克属性分配比例标头,0),FALSE)+VLOOKUP(VLOOKUP($AW272,坦克个性化设定!$B$18:$E$48,4,FALSE)&amp;$AX272,坦克属性分配比例,MATCH("部件比例",坦克属性分配比例标头,0),FALSE)*$C$3),0)</f>
        <v>676</v>
      </c>
      <c r="BC272" s="654">
        <f ca="1">ROUND(VLOOKUP($AW272&amp;"初始",$O$3:$AA$63,MATCH(BC$3,$O$3:$AA$3,0),FALSE)+(VLOOKUP($AW272&amp;"最终",$O$3:$AA$63,MATCH(BC$3,$O$3:$AA$3,0),FALSE)-VLOOKUP($AW272&amp;"初始",$O$3:$AA$63,MATCH(BC$3,$O$3:$AA$3,0),FALSE))*$AY272/VLOOKUP(VLOOKUP($AW272,坦克个性化设定!$B$18:$E$48,4,FALSE)&amp;$AX272,坦克属性分配比例,MATCH("升星次数",坦克属性分配比例标头,0),FALSE)*(VLOOKUP(VLOOKUP($AW272,坦克个性化设定!$B$18:$E$48,4,FALSE)&amp;$AX272,坦克属性分配比例,MATCH("升星比例",坦克属性分配比例标头,0),FALSE)+VLOOKUP(VLOOKUP($AW272,坦克个性化设定!$B$18:$E$48,4,FALSE)&amp;$AX272,坦克属性分配比例,MATCH("部件比例",坦克属性分配比例标头,0),FALSE)*$C$3),0)</f>
        <v>540</v>
      </c>
      <c r="BD272" s="654">
        <f ca="1">ROUND(VLOOKUP($AW272&amp;"初始",$O$3:$AA$63,MATCH(BD$3,$O$3:$AA$3,0),FALSE)+(VLOOKUP($AW272&amp;"最终",$O$3:$AA$63,MATCH(BD$3,$O$3:$AA$3,0),FALSE)-VLOOKUP($AW272&amp;"初始",$O$3:$AA$63,MATCH(BD$3,$O$3:$AA$3,0),FALSE))*$AY272/VLOOKUP(VLOOKUP($AW272,坦克个性化设定!$B$18:$E$48,4,FALSE)&amp;$AX272,坦克属性分配比例,MATCH("升星次数",坦克属性分配比例标头,0),FALSE)*VLOOKUP(VLOOKUP($AW272,坦克个性化设定!$B$18:$E$48,4,FALSE)&amp;$AX272,坦克属性分配比例,MATCH("升星比例",坦克属性分配比例标头,0),FALSE),0)</f>
        <v>818</v>
      </c>
      <c r="BE272" s="654">
        <f ca="1">ROUND(VLOOKUP($AW272&amp;"初始",$O$3:$AA$63,MATCH(BE$3,$O$3:$AA$3,0),FALSE)+(VLOOKUP($AW272&amp;"最终",$O$3:$AA$63,MATCH(BE$3,$O$3:$AA$3,0),FALSE)-VLOOKUP($AW272&amp;"初始",$O$3:$AA$63,MATCH(BE$3,$O$3:$AA$3,0),FALSE))*$AY272/VLOOKUP(VLOOKUP($AW272,坦克个性化设定!$B$18:$E$48,4,FALSE)&amp;$AX272,坦克属性分配比例,MATCH("升星次数",坦克属性分配比例标头,0),FALSE),0)</f>
        <v>217</v>
      </c>
      <c r="BF272" s="654">
        <f>ROUND(VLOOKUP($AW272,$AD$3:$AJ$33,MATCH(BF$3,$AD$3:$AJ$3,0),FALSE)+$AY272/VLOOKUP(VLOOKUP($AW272,坦克个性化设定!$B$18:$E$48,4,FALSE)&amp;$AX272,坦克属性分配比例,MATCH("升星次数",坦克属性分配比例标头,0),FALSE)*VLOOKUP($AW272,$AM$3:$AS$33,MATCH(BF$3,$AM$3:$AS$3,0),FALSE),1)</f>
        <v>39.299999999999997</v>
      </c>
      <c r="BG272" s="654">
        <f>ROUND(VLOOKUP($AW272,$AD$3:$AJ$33,MATCH(BG$3,$AD$3:$AJ$3,0),FALSE)+$AY272/VLOOKUP(VLOOKUP($AW272,坦克个性化设定!$B$18:$E$48,4,FALSE)&amp;$AX272,坦克属性分配比例,MATCH("升星次数",坦克属性分配比例标头,0),FALSE)*VLOOKUP($AW272,$AM$3:$AS$33,MATCH(BG$3,$AM$3:$AS$3,0),FALSE),1)</f>
        <v>54.7</v>
      </c>
      <c r="BH272" s="654">
        <f>ROUND(VLOOKUP($AW272,$AD$3:$AJ$33,MATCH(BH$3,$AD$3:$AJ$3,0),FALSE)+$AY272/VLOOKUP(VLOOKUP($AW272,坦克个性化设定!$B$18:$E$48,4,FALSE)&amp;$AX272,坦克属性分配比例,MATCH("升星次数",坦克属性分配比例标头,0),FALSE)*VLOOKUP($AW272,$AM$3:$AS$33,MATCH(BH$3,$AM$3:$AS$3,0),FALSE),1)</f>
        <v>12.5</v>
      </c>
      <c r="BI272" s="654">
        <f>IF(VLOOKUP(AW272,坦克个性化设定!$B$18:$BB$48,MATCH("装弹类型",坦克个性化设定!$B$18:$BB$18,0),FALSE)="弹夹换弹",0,ROUND(VLOOKUP($AW272,$AD$3:$AJ$33,MATCH("换弹时间",$AD$3:$AJ$3,0),FALSE)-$AY272/VLOOKUP(VLOOKUP($AW272,坦克个性化设定!$B$18:$E$48,4,FALSE)&amp;$AX272,坦克属性分配比例,MATCH("升星次数",坦克属性分配比例标头,0),FALSE)*VLOOKUP($AW272,$AM$3:$AS$33,MATCH("换弹时间",$AM$3:$AS$3,0),FALSE),2))</f>
        <v>4.6500000000000004</v>
      </c>
      <c r="BJ272" s="654">
        <f>IF(VLOOKUP(AW272,坦克个性化设定!$B$18:$BB$48,MATCH("装弹类型",坦克个性化设定!$B$18:$BB$18,0),FALSE)="弹夹换弹",ROUND(VLOOKUP($AW272,$AD$3:$AJ$33,MATCH("换弹时间",$AD$3:$AJ$3,0),FALSE)-$AY272/VLOOKUP(VLOOKUP($AW272,坦克个性化设定!$B$18:$E$48,4,FALSE)&amp;$AX272,坦克属性分配比例,MATCH("升星次数",坦克属性分配比例标头,0),FALSE)*VLOOKUP($AW272,$AM$3:$AS$33,MATCH("换弹时间",$AM$3:$AS$3,0),FALSE),1),0)</f>
        <v>0</v>
      </c>
      <c r="BK272" s="654">
        <f>ROUND(VLOOKUP($AW272,$AD$3:$AJ$33,MATCH(BK$3,$AD$3:$AJ$3,0),FALSE)+$AY272/VLOOKUP(VLOOKUP($AW272,坦克个性化设定!$B$18:$E$48,4,FALSE)&amp;$AX272,坦克属性分配比例,MATCH("升星次数",坦克属性分配比例标头,0),FALSE)*VLOOKUP($AW272,$AM$3:$AS$33,MATCH(BK$3,$AM$3:$AS$3,0),FALSE),2)</f>
        <v>0</v>
      </c>
      <c r="BL272" s="654">
        <f>ROUND(VLOOKUP($AW272,$AD$3:$AJ$33,MATCH(BL$3,$AD$3:$AJ$3,0),FALSE)-$AY272/VLOOKUP(VLOOKUP($AW272,坦克个性化设定!$B$18:$E$48,4,FALSE)&amp;$AX272,坦克属性分配比例,MATCH("升星次数",坦克属性分配比例标头,0),FALSE)*VLOOKUP($AW272,$AM$3:$AS$33,MATCH(BL$3,$AM$3:$AS$3,0),FALSE),2)</f>
        <v>2.5499999999999998</v>
      </c>
    </row>
    <row r="273" spans="47:64" x14ac:dyDescent="0.35">
      <c r="AU273" s="372" t="str">
        <f t="shared" si="30"/>
        <v>丘吉尔11</v>
      </c>
      <c r="AV273" s="654">
        <f>IF(AY272&gt;=VLOOKUP(VLOOKUP(AW272,坦克个性化设定!$B$18:$E$48,4,FALSE)&amp;AX272,坦克属性分配比例,MATCH("升星次数",坦克属性分配比例标头,0),FALSE),AV272+1,AV272)</f>
        <v>23</v>
      </c>
      <c r="AW273" s="649" t="str">
        <f t="shared" si="31"/>
        <v>丘吉尔</v>
      </c>
      <c r="AX273" s="650" t="str">
        <f>VLOOKUP(AW273,坦克个性化细分!$I$3:$J$33,2,FALSE)</f>
        <v>中</v>
      </c>
      <c r="AY273" s="654">
        <f t="shared" si="32"/>
        <v>11</v>
      </c>
      <c r="AZ273" s="654">
        <f ca="1">ROUND(VLOOKUP($AW273&amp;"初始",$O$3:$AA$63,MATCH(AZ$3,$O$3:$AA$3,0),FALSE)+((VLOOKUP($AW273&amp;"最终",$O$3:$AA$63,MATCH(AZ$3,$O$3:$AA$3,0),FALSE)*坦克个性化细分!$C$9-VLOOKUP($AW273&amp;"初始",$O$3:$AA$63,MATCH(AZ$3,$O$3:$AA$3,0),FALSE))-(VLOOKUP($AW273&amp;"最终",$O$3:$AA$63,MATCH(AZ$3,$O$3:$AA$3,0),FALSE)-VLOOKUP($AW273&amp;"初始",$O$3:$AA$63,MATCH(AZ$3,$O$3:$AA$3,0),FALSE))*VLOOKUP(VLOOKUP($AW273,坦克个性化设定!$B$18:$E$48,4,FALSE)&amp;$AX273,坦克属性分配比例,MATCH("部件比例",坦克属性分配比例标头,0),FALSE))*$AY273/VLOOKUP(VLOOKUP($AW273,坦克个性化设定!$B$18:$E$48,4,FALSE)&amp;$AX273,坦克属性分配比例,MATCH("升星次数",坦克属性分配比例标头,0),FALSE),0)</f>
        <v>2634</v>
      </c>
      <c r="BA273" s="654">
        <f ca="1">ROUND(VLOOKUP($AW273&amp;"初始",$O$3:$AA$63,MATCH(BA$3,$O$3:$AA$3,0),FALSE)+(VLOOKUP($AW273&amp;"最终",$O$3:$AA$63,MATCH(BA$3,$O$3:$AA$3,0),FALSE)-VLOOKUP($AW273&amp;"初始",$O$3:$AA$63,MATCH(BA$3,$O$3:$AA$3,0),FALSE))*$AY273/VLOOKUP(VLOOKUP($AW273,坦克个性化设定!$B$18:$E$48,4,FALSE)&amp;$AX273,坦克属性分配比例,MATCH("升星次数",坦克属性分配比例标头,0),FALSE)*VLOOKUP(VLOOKUP($AW273,坦克个性化设定!$B$18:$E$48,4,FALSE)&amp;$AX273,坦克属性分配比例,MATCH("升星比例",坦克属性分配比例标头,0),FALSE),0)</f>
        <v>391</v>
      </c>
      <c r="BB273" s="654">
        <f ca="1">ROUND(VLOOKUP($AW273&amp;"初始",$O$3:$AA$63,MATCH(BB$3,$O$3:$AA$3,0),FALSE)+(VLOOKUP($AW273&amp;"最终",$O$3:$AA$63,MATCH(BB$3,$O$3:$AA$3,0),FALSE)-VLOOKUP($AW273&amp;"初始",$O$3:$AA$63,MATCH(BB$3,$O$3:$AA$3,0),FALSE))*$AY273/VLOOKUP(VLOOKUP($AW273,坦克个性化设定!$B$18:$E$48,4,FALSE)&amp;$AX273,坦克属性分配比例,MATCH("升星次数",坦克属性分配比例标头,0),FALSE)*(VLOOKUP(VLOOKUP($AW273,坦克个性化设定!$B$18:$E$48,4,FALSE)&amp;$AX273,坦克属性分配比例,MATCH("升星比例",坦克属性分配比例标头,0),FALSE)+VLOOKUP(VLOOKUP($AW273,坦克个性化设定!$B$18:$E$48,4,FALSE)&amp;$AX273,坦克属性分配比例,MATCH("部件比例",坦克属性分配比例标头,0),FALSE)*$C$3),0)</f>
        <v>704</v>
      </c>
      <c r="BC273" s="654">
        <f ca="1">ROUND(VLOOKUP($AW273&amp;"初始",$O$3:$AA$63,MATCH(BC$3,$O$3:$AA$3,0),FALSE)+(VLOOKUP($AW273&amp;"最终",$O$3:$AA$63,MATCH(BC$3,$O$3:$AA$3,0),FALSE)-VLOOKUP($AW273&amp;"初始",$O$3:$AA$63,MATCH(BC$3,$O$3:$AA$3,0),FALSE))*$AY273/VLOOKUP(VLOOKUP($AW273,坦克个性化设定!$B$18:$E$48,4,FALSE)&amp;$AX273,坦克属性分配比例,MATCH("升星次数",坦克属性分配比例标头,0),FALSE)*(VLOOKUP(VLOOKUP($AW273,坦克个性化设定!$B$18:$E$48,4,FALSE)&amp;$AX273,坦克属性分配比例,MATCH("升星比例",坦克属性分配比例标头,0),FALSE)+VLOOKUP(VLOOKUP($AW273,坦克个性化设定!$B$18:$E$48,4,FALSE)&amp;$AX273,坦克属性分配比例,MATCH("部件比例",坦克属性分配比例标头,0),FALSE)*$C$3),0)</f>
        <v>564</v>
      </c>
      <c r="BD273" s="654">
        <f ca="1">ROUND(VLOOKUP($AW273&amp;"初始",$O$3:$AA$63,MATCH(BD$3,$O$3:$AA$3,0),FALSE)+(VLOOKUP($AW273&amp;"最终",$O$3:$AA$63,MATCH(BD$3,$O$3:$AA$3,0),FALSE)-VLOOKUP($AW273&amp;"初始",$O$3:$AA$63,MATCH(BD$3,$O$3:$AA$3,0),FALSE))*$AY273/VLOOKUP(VLOOKUP($AW273,坦克个性化设定!$B$18:$E$48,4,FALSE)&amp;$AX273,坦克属性分配比例,MATCH("升星次数",坦克属性分配比例标头,0),FALSE)*VLOOKUP(VLOOKUP($AW273,坦克个性化设定!$B$18:$E$48,4,FALSE)&amp;$AX273,坦克属性分配比例,MATCH("升星比例",坦克属性分配比例标头,0),FALSE),0)</f>
        <v>848</v>
      </c>
      <c r="BE273" s="654">
        <f ca="1">ROUND(VLOOKUP($AW273&amp;"初始",$O$3:$AA$63,MATCH(BE$3,$O$3:$AA$3,0),FALSE)+(VLOOKUP($AW273&amp;"最终",$O$3:$AA$63,MATCH(BE$3,$O$3:$AA$3,0),FALSE)-VLOOKUP($AW273&amp;"初始",$O$3:$AA$63,MATCH(BE$3,$O$3:$AA$3,0),FALSE))*$AY273/VLOOKUP(VLOOKUP($AW273,坦克个性化设定!$B$18:$E$48,4,FALSE)&amp;$AX273,坦克属性分配比例,MATCH("升星次数",坦克属性分配比例标头,0),FALSE),0)</f>
        <v>227</v>
      </c>
      <c r="BF273" s="654">
        <f>ROUND(VLOOKUP($AW273,$AD$3:$AJ$33,MATCH(BF$3,$AD$3:$AJ$3,0),FALSE)+$AY273/VLOOKUP(VLOOKUP($AW273,坦克个性化设定!$B$18:$E$48,4,FALSE)&amp;$AX273,坦克属性分配比例,MATCH("升星次数",坦克属性分配比例标头,0),FALSE)*VLOOKUP($AW273,$AM$3:$AS$33,MATCH(BF$3,$AM$3:$AS$3,0),FALSE),1)</f>
        <v>40</v>
      </c>
      <c r="BG273" s="654">
        <f>ROUND(VLOOKUP($AW273,$AD$3:$AJ$33,MATCH(BG$3,$AD$3:$AJ$3,0),FALSE)+$AY273/VLOOKUP(VLOOKUP($AW273,坦克个性化设定!$B$18:$E$48,4,FALSE)&amp;$AX273,坦克属性分配比例,MATCH("升星次数",坦克属性分配比例标头,0),FALSE)*VLOOKUP($AW273,$AM$3:$AS$33,MATCH(BG$3,$AM$3:$AS$3,0),FALSE),1)</f>
        <v>55.8</v>
      </c>
      <c r="BH273" s="654">
        <f>ROUND(VLOOKUP($AW273,$AD$3:$AJ$33,MATCH(BH$3,$AD$3:$AJ$3,0),FALSE)+$AY273/VLOOKUP(VLOOKUP($AW273,坦克个性化设定!$B$18:$E$48,4,FALSE)&amp;$AX273,坦克属性分配比例,MATCH("升星次数",坦克属性分配比例标头,0),FALSE)*VLOOKUP($AW273,$AM$3:$AS$33,MATCH(BH$3,$AM$3:$AS$3,0),FALSE),1)</f>
        <v>12.7</v>
      </c>
      <c r="BI273" s="654">
        <f>IF(VLOOKUP(AW273,坦克个性化设定!$B$18:$BB$48,MATCH("装弹类型",坦克个性化设定!$B$18:$BB$18,0),FALSE)="弹夹换弹",0,ROUND(VLOOKUP($AW273,$AD$3:$AJ$33,MATCH("换弹时间",$AD$3:$AJ$3,0),FALSE)-$AY273/VLOOKUP(VLOOKUP($AW273,坦克个性化设定!$B$18:$E$48,4,FALSE)&amp;$AX273,坦克属性分配比例,MATCH("升星次数",坦克属性分配比例标头,0),FALSE)*VLOOKUP($AW273,$AM$3:$AS$33,MATCH("换弹时间",$AM$3:$AS$3,0),FALSE),2))</f>
        <v>4.51</v>
      </c>
      <c r="BJ273" s="654">
        <f>IF(VLOOKUP(AW273,坦克个性化设定!$B$18:$BB$48,MATCH("装弹类型",坦克个性化设定!$B$18:$BB$18,0),FALSE)="弹夹换弹",ROUND(VLOOKUP($AW273,$AD$3:$AJ$33,MATCH("换弹时间",$AD$3:$AJ$3,0),FALSE)-$AY273/VLOOKUP(VLOOKUP($AW273,坦克个性化设定!$B$18:$E$48,4,FALSE)&amp;$AX273,坦克属性分配比例,MATCH("升星次数",坦克属性分配比例标头,0),FALSE)*VLOOKUP($AW273,$AM$3:$AS$33,MATCH("换弹时间",$AM$3:$AS$3,0),FALSE),1),0)</f>
        <v>0</v>
      </c>
      <c r="BK273" s="654">
        <f>ROUND(VLOOKUP($AW273,$AD$3:$AJ$33,MATCH(BK$3,$AD$3:$AJ$3,0),FALSE)+$AY273/VLOOKUP(VLOOKUP($AW273,坦克个性化设定!$B$18:$E$48,4,FALSE)&amp;$AX273,坦克属性分配比例,MATCH("升星次数",坦克属性分配比例标头,0),FALSE)*VLOOKUP($AW273,$AM$3:$AS$33,MATCH(BK$3,$AM$3:$AS$3,0),FALSE),2)</f>
        <v>0</v>
      </c>
      <c r="BL273" s="654">
        <f>ROUND(VLOOKUP($AW273,$AD$3:$AJ$33,MATCH(BL$3,$AD$3:$AJ$3,0),FALSE)-$AY273/VLOOKUP(VLOOKUP($AW273,坦克个性化设定!$B$18:$E$48,4,FALSE)&amp;$AX273,坦克属性分配比例,MATCH("升星次数",坦克属性分配比例标头,0),FALSE)*VLOOKUP($AW273,$AM$3:$AS$33,MATCH(BL$3,$AM$3:$AS$3,0),FALSE),2)</f>
        <v>2.5</v>
      </c>
    </row>
    <row r="274" spans="47:64" x14ac:dyDescent="0.35">
      <c r="AU274" s="372" t="str">
        <f t="shared" si="30"/>
        <v>黑豹0</v>
      </c>
      <c r="AV274" s="654">
        <f>IF(AY273&gt;=VLOOKUP(VLOOKUP(AW273,坦克个性化设定!$B$18:$E$48,4,FALSE)&amp;AX273,坦克属性分配比例,MATCH("升星次数",坦克属性分配比例标头,0),FALSE),AV273+1,AV273)</f>
        <v>24</v>
      </c>
      <c r="AW274" s="649" t="str">
        <f t="shared" si="31"/>
        <v>黑豹</v>
      </c>
      <c r="AX274" s="650" t="str">
        <f>VLOOKUP(AW274,坦克个性化细分!$I$3:$J$33,2,FALSE)</f>
        <v>低</v>
      </c>
      <c r="AY274" s="654">
        <f t="shared" si="32"/>
        <v>0</v>
      </c>
      <c r="AZ274" s="654">
        <f ca="1">ROUND(VLOOKUP($AW274&amp;"初始",$O$3:$AA$63,MATCH(AZ$3,$O$3:$AA$3,0),FALSE)+((VLOOKUP($AW274&amp;"最终",$O$3:$AA$63,MATCH(AZ$3,$O$3:$AA$3,0),FALSE)*坦克个性化细分!$C$9-VLOOKUP($AW274&amp;"初始",$O$3:$AA$63,MATCH(AZ$3,$O$3:$AA$3,0),FALSE))-(VLOOKUP($AW274&amp;"最终",$O$3:$AA$63,MATCH(AZ$3,$O$3:$AA$3,0),FALSE)-VLOOKUP($AW274&amp;"初始",$O$3:$AA$63,MATCH(AZ$3,$O$3:$AA$3,0),FALSE))*VLOOKUP(VLOOKUP($AW274,坦克个性化设定!$B$18:$E$48,4,FALSE)&amp;$AX274,坦克属性分配比例,MATCH("部件比例",坦克属性分配比例标头,0),FALSE))*$AY274/VLOOKUP(VLOOKUP($AW274,坦克个性化设定!$B$18:$E$48,4,FALSE)&amp;$AX274,坦克属性分配比例,MATCH("升星次数",坦克属性分配比例标头,0),FALSE),0)</f>
        <v>1419</v>
      </c>
      <c r="BA274" s="654">
        <f ca="1">ROUND(VLOOKUP($AW274&amp;"初始",$O$3:$AA$63,MATCH(BA$3,$O$3:$AA$3,0),FALSE)+(VLOOKUP($AW274&amp;"最终",$O$3:$AA$63,MATCH(BA$3,$O$3:$AA$3,0),FALSE)-VLOOKUP($AW274&amp;"初始",$O$3:$AA$63,MATCH(BA$3,$O$3:$AA$3,0),FALSE))*$AY274/VLOOKUP(VLOOKUP($AW274,坦克个性化设定!$B$18:$E$48,4,FALSE)&amp;$AX274,坦克属性分配比例,MATCH("升星次数",坦克属性分配比例标头,0),FALSE)*VLOOKUP(VLOOKUP($AW274,坦克个性化设定!$B$18:$E$48,4,FALSE)&amp;$AX274,坦克属性分配比例,MATCH("升星比例",坦克属性分配比例标头,0),FALSE),0)</f>
        <v>296</v>
      </c>
      <c r="BB274" s="654">
        <f ca="1">ROUND(VLOOKUP($AW274&amp;"初始",$O$3:$AA$63,MATCH(BB$3,$O$3:$AA$3,0),FALSE)+(VLOOKUP($AW274&amp;"最终",$O$3:$AA$63,MATCH(BB$3,$O$3:$AA$3,0),FALSE)-VLOOKUP($AW274&amp;"初始",$O$3:$AA$63,MATCH(BB$3,$O$3:$AA$3,0),FALSE))*$AY274/VLOOKUP(VLOOKUP($AW274,坦克个性化设定!$B$18:$E$48,4,FALSE)&amp;$AX274,坦克属性分配比例,MATCH("升星次数",坦克属性分配比例标头,0),FALSE)*(VLOOKUP(VLOOKUP($AW274,坦克个性化设定!$B$18:$E$48,4,FALSE)&amp;$AX274,坦克属性分配比例,MATCH("升星比例",坦克属性分配比例标头,0),FALSE)+VLOOKUP(VLOOKUP($AW274,坦克个性化设定!$B$18:$E$48,4,FALSE)&amp;$AX274,坦克属性分配比例,MATCH("部件比例",坦克属性分配比例标头,0),FALSE)*$C$3),0)</f>
        <v>471</v>
      </c>
      <c r="BC274" s="654">
        <f ca="1">ROUND(VLOOKUP($AW274&amp;"初始",$O$3:$AA$63,MATCH(BC$3,$O$3:$AA$3,0),FALSE)+(VLOOKUP($AW274&amp;"最终",$O$3:$AA$63,MATCH(BC$3,$O$3:$AA$3,0),FALSE)-VLOOKUP($AW274&amp;"初始",$O$3:$AA$63,MATCH(BC$3,$O$3:$AA$3,0),FALSE))*$AY274/VLOOKUP(VLOOKUP($AW274,坦克个性化设定!$B$18:$E$48,4,FALSE)&amp;$AX274,坦克属性分配比例,MATCH("升星次数",坦克属性分配比例标头,0),FALSE)*(VLOOKUP(VLOOKUP($AW274,坦克个性化设定!$B$18:$E$48,4,FALSE)&amp;$AX274,坦克属性分配比例,MATCH("升星比例",坦克属性分配比例标头,0),FALSE)+VLOOKUP(VLOOKUP($AW274,坦克个性化设定!$B$18:$E$48,4,FALSE)&amp;$AX274,坦克属性分配比例,MATCH("部件比例",坦克属性分配比例标头,0),FALSE)*$C$3),0)</f>
        <v>377</v>
      </c>
      <c r="BD274" s="654">
        <f ca="1">ROUND(VLOOKUP($AW274&amp;"初始",$O$3:$AA$63,MATCH(BD$3,$O$3:$AA$3,0),FALSE)+(VLOOKUP($AW274&amp;"最终",$O$3:$AA$63,MATCH(BD$3,$O$3:$AA$3,0),FALSE)-VLOOKUP($AW274&amp;"初始",$O$3:$AA$63,MATCH(BD$3,$O$3:$AA$3,0),FALSE))*$AY274/VLOOKUP(VLOOKUP($AW274,坦克个性化设定!$B$18:$E$48,4,FALSE)&amp;$AX274,坦克属性分配比例,MATCH("升星次数",坦克属性分配比例标头,0),FALSE)*VLOOKUP(VLOOKUP($AW274,坦克个性化设定!$B$18:$E$48,4,FALSE)&amp;$AX274,坦克属性分配比例,MATCH("升星比例",坦克属性分配比例标头,0),FALSE),0)</f>
        <v>630</v>
      </c>
      <c r="BE274" s="654">
        <f ca="1">ROUND(VLOOKUP($AW274&amp;"初始",$O$3:$AA$63,MATCH(BE$3,$O$3:$AA$3,0),FALSE)+(VLOOKUP($AW274&amp;"最终",$O$3:$AA$63,MATCH(BE$3,$O$3:$AA$3,0),FALSE)-VLOOKUP($AW274&amp;"初始",$O$3:$AA$63,MATCH(BE$3,$O$3:$AA$3,0),FALSE))*$AY274/VLOOKUP(VLOOKUP($AW274,坦克个性化设定!$B$18:$E$48,4,FALSE)&amp;$AX274,坦克属性分配比例,MATCH("升星次数",坦克属性分配比例标头,0),FALSE),0)</f>
        <v>143</v>
      </c>
      <c r="BF274" s="654">
        <f>ROUND(VLOOKUP($AW274,$AD$3:$AJ$33,MATCH(BF$3,$AD$3:$AJ$3,0),FALSE)+$AY274/VLOOKUP(VLOOKUP($AW274,坦克个性化设定!$B$18:$E$48,4,FALSE)&amp;$AX274,坦克属性分配比例,MATCH("升星次数",坦克属性分配比例标头,0),FALSE)*VLOOKUP($AW274,$AM$3:$AS$33,MATCH(BF$3,$AM$3:$AS$3,0),FALSE),1)</f>
        <v>31.3</v>
      </c>
      <c r="BG274" s="654">
        <f>ROUND(VLOOKUP($AW274,$AD$3:$AJ$33,MATCH(BG$3,$AD$3:$AJ$3,0),FALSE)+$AY274/VLOOKUP(VLOOKUP($AW274,坦克个性化设定!$B$18:$E$48,4,FALSE)&amp;$AX274,坦克属性分配比例,MATCH("升星次数",坦克属性分配比例标头,0),FALSE)*VLOOKUP($AW274,$AM$3:$AS$33,MATCH(BG$3,$AM$3:$AS$3,0),FALSE),1)</f>
        <v>43.8</v>
      </c>
      <c r="BH274" s="654">
        <f>ROUND(VLOOKUP($AW274,$AD$3:$AJ$33,MATCH(BH$3,$AD$3:$AJ$3,0),FALSE)+$AY274/VLOOKUP(VLOOKUP($AW274,坦克个性化设定!$B$18:$E$48,4,FALSE)&amp;$AX274,坦克属性分配比例,MATCH("升星次数",坦克属性分配比例标头,0),FALSE)*VLOOKUP($AW274,$AM$3:$AS$33,MATCH(BH$3,$AM$3:$AS$3,0),FALSE),1)</f>
        <v>9.5</v>
      </c>
      <c r="BI274" s="654">
        <f>IF(VLOOKUP(AW274,坦克个性化设定!$B$18:$BB$48,MATCH("装弹类型",坦克个性化设定!$B$18:$BB$18,0),FALSE)="弹夹换弹",0,ROUND(VLOOKUP($AW274,$AD$3:$AJ$33,MATCH("换弹时间",$AD$3:$AJ$3,0),FALSE)-$AY274/VLOOKUP(VLOOKUP($AW274,坦克个性化设定!$B$18:$E$48,4,FALSE)&amp;$AX274,坦克属性分配比例,MATCH("升星次数",坦克属性分配比例标头,0),FALSE)*VLOOKUP($AW274,$AM$3:$AS$33,MATCH("换弹时间",$AM$3:$AS$3,0),FALSE),2))</f>
        <v>6</v>
      </c>
      <c r="BJ274" s="654">
        <f>IF(VLOOKUP(AW274,坦克个性化设定!$B$18:$BB$48,MATCH("装弹类型",坦克个性化设定!$B$18:$BB$18,0),FALSE)="弹夹换弹",ROUND(VLOOKUP($AW274,$AD$3:$AJ$33,MATCH("换弹时间",$AD$3:$AJ$3,0),FALSE)-$AY274/VLOOKUP(VLOOKUP($AW274,坦克个性化设定!$B$18:$E$48,4,FALSE)&amp;$AX274,坦克属性分配比例,MATCH("升星次数",坦克属性分配比例标头,0),FALSE)*VLOOKUP($AW274,$AM$3:$AS$33,MATCH("换弹时间",$AM$3:$AS$3,0),FALSE),1),0)</f>
        <v>0</v>
      </c>
      <c r="BK274" s="654">
        <f>ROUND(VLOOKUP($AW274,$AD$3:$AJ$33,MATCH(BK$3,$AD$3:$AJ$3,0),FALSE)+$AY274/VLOOKUP(VLOOKUP($AW274,坦克个性化设定!$B$18:$E$48,4,FALSE)&amp;$AX274,坦克属性分配比例,MATCH("升星次数",坦克属性分配比例标头,0),FALSE)*VLOOKUP($AW274,$AM$3:$AS$33,MATCH(BK$3,$AM$3:$AS$3,0),FALSE),2)</f>
        <v>0</v>
      </c>
      <c r="BL274" s="654">
        <f>ROUND(VLOOKUP($AW274,$AD$3:$AJ$33,MATCH(BL$3,$AD$3:$AJ$3,0),FALSE)-$AY274/VLOOKUP(VLOOKUP($AW274,坦克个性化设定!$B$18:$E$48,4,FALSE)&amp;$AX274,坦克属性分配比例,MATCH("升星次数",坦克属性分配比例标头,0),FALSE)*VLOOKUP($AW274,$AM$3:$AS$33,MATCH(BL$3,$AM$3:$AS$3,0),FALSE),2)</f>
        <v>3</v>
      </c>
    </row>
    <row r="275" spans="47:64" x14ac:dyDescent="0.35">
      <c r="AU275" s="372" t="str">
        <f t="shared" si="30"/>
        <v>黑豹1</v>
      </c>
      <c r="AV275" s="654">
        <f>IF(AY274&gt;=VLOOKUP(VLOOKUP(AW274,坦克个性化设定!$B$18:$E$48,4,FALSE)&amp;AX274,坦克属性分配比例,MATCH("升星次数",坦克属性分配比例标头,0),FALSE),AV274+1,AV274)</f>
        <v>24</v>
      </c>
      <c r="AW275" s="649" t="str">
        <f t="shared" si="31"/>
        <v>黑豹</v>
      </c>
      <c r="AX275" s="650" t="str">
        <f>VLOOKUP(AW275,坦克个性化细分!$I$3:$J$33,2,FALSE)</f>
        <v>低</v>
      </c>
      <c r="AY275" s="654">
        <f t="shared" si="32"/>
        <v>1</v>
      </c>
      <c r="AZ275" s="654">
        <f ca="1">ROUND(VLOOKUP($AW275&amp;"初始",$O$3:$AA$63,MATCH(AZ$3,$O$3:$AA$3,0),FALSE)+((VLOOKUP($AW275&amp;"最终",$O$3:$AA$63,MATCH(AZ$3,$O$3:$AA$3,0),FALSE)*坦克个性化细分!$C$9-VLOOKUP($AW275&amp;"初始",$O$3:$AA$63,MATCH(AZ$3,$O$3:$AA$3,0),FALSE))-(VLOOKUP($AW275&amp;"最终",$O$3:$AA$63,MATCH(AZ$3,$O$3:$AA$3,0),FALSE)-VLOOKUP($AW275&amp;"初始",$O$3:$AA$63,MATCH(AZ$3,$O$3:$AA$3,0),FALSE))*VLOOKUP(VLOOKUP($AW275,坦克个性化设定!$B$18:$E$48,4,FALSE)&amp;$AX275,坦克属性分配比例,MATCH("部件比例",坦克属性分配比例标头,0),FALSE))*$AY275/VLOOKUP(VLOOKUP($AW275,坦克个性化设定!$B$18:$E$48,4,FALSE)&amp;$AX275,坦克属性分配比例,MATCH("升星次数",坦克属性分配比例标头,0),FALSE),0)</f>
        <v>1541</v>
      </c>
      <c r="BA275" s="654">
        <f ca="1">ROUND(VLOOKUP($AW275&amp;"初始",$O$3:$AA$63,MATCH(BA$3,$O$3:$AA$3,0),FALSE)+(VLOOKUP($AW275&amp;"最终",$O$3:$AA$63,MATCH(BA$3,$O$3:$AA$3,0),FALSE)-VLOOKUP($AW275&amp;"初始",$O$3:$AA$63,MATCH(BA$3,$O$3:$AA$3,0),FALSE))*$AY275/VLOOKUP(VLOOKUP($AW275,坦克个性化设定!$B$18:$E$48,4,FALSE)&amp;$AX275,坦克属性分配比例,MATCH("升星次数",坦克属性分配比例标头,0),FALSE)*VLOOKUP(VLOOKUP($AW275,坦克个性化设定!$B$18:$E$48,4,FALSE)&amp;$AX275,坦克属性分配比例,MATCH("升星比例",坦克属性分配比例标头,0),FALSE),0)</f>
        <v>304</v>
      </c>
      <c r="BB275" s="654">
        <f ca="1">ROUND(VLOOKUP($AW275&amp;"初始",$O$3:$AA$63,MATCH(BB$3,$O$3:$AA$3,0),FALSE)+(VLOOKUP($AW275&amp;"最终",$O$3:$AA$63,MATCH(BB$3,$O$3:$AA$3,0),FALSE)-VLOOKUP($AW275&amp;"初始",$O$3:$AA$63,MATCH(BB$3,$O$3:$AA$3,0),FALSE))*$AY275/VLOOKUP(VLOOKUP($AW275,坦克个性化设定!$B$18:$E$48,4,FALSE)&amp;$AX275,坦克属性分配比例,MATCH("升星次数",坦克属性分配比例标头,0),FALSE)*(VLOOKUP(VLOOKUP($AW275,坦克个性化设定!$B$18:$E$48,4,FALSE)&amp;$AX275,坦克属性分配比例,MATCH("升星比例",坦克属性分配比例标头,0),FALSE)+VLOOKUP(VLOOKUP($AW275,坦克个性化设定!$B$18:$E$48,4,FALSE)&amp;$AX275,坦克属性分配比例,MATCH("部件比例",坦克属性分配比例标头,0),FALSE)*$C$3),0)</f>
        <v>495</v>
      </c>
      <c r="BC275" s="654">
        <f ca="1">ROUND(VLOOKUP($AW275&amp;"初始",$O$3:$AA$63,MATCH(BC$3,$O$3:$AA$3,0),FALSE)+(VLOOKUP($AW275&amp;"最终",$O$3:$AA$63,MATCH(BC$3,$O$3:$AA$3,0),FALSE)-VLOOKUP($AW275&amp;"初始",$O$3:$AA$63,MATCH(BC$3,$O$3:$AA$3,0),FALSE))*$AY275/VLOOKUP(VLOOKUP($AW275,坦克个性化设定!$B$18:$E$48,4,FALSE)&amp;$AX275,坦克属性分配比例,MATCH("升星次数",坦克属性分配比例标头,0),FALSE)*(VLOOKUP(VLOOKUP($AW275,坦克个性化设定!$B$18:$E$48,4,FALSE)&amp;$AX275,坦克属性分配比例,MATCH("升星比例",坦克属性分配比例标头,0),FALSE)+VLOOKUP(VLOOKUP($AW275,坦克个性化设定!$B$18:$E$48,4,FALSE)&amp;$AX275,坦克属性分配比例,MATCH("部件比例",坦克属性分配比例标头,0),FALSE)*$C$3),0)</f>
        <v>396</v>
      </c>
      <c r="BD275" s="654">
        <f ca="1">ROUND(VLOOKUP($AW275&amp;"初始",$O$3:$AA$63,MATCH(BD$3,$O$3:$AA$3,0),FALSE)+(VLOOKUP($AW275&amp;"最终",$O$3:$AA$63,MATCH(BD$3,$O$3:$AA$3,0),FALSE)-VLOOKUP($AW275&amp;"初始",$O$3:$AA$63,MATCH(BD$3,$O$3:$AA$3,0),FALSE))*$AY275/VLOOKUP(VLOOKUP($AW275,坦克个性化设定!$B$18:$E$48,4,FALSE)&amp;$AX275,坦克属性分配比例,MATCH("升星次数",坦克属性分配比例标头,0),FALSE)*VLOOKUP(VLOOKUP($AW275,坦克个性化设定!$B$18:$E$48,4,FALSE)&amp;$AX275,坦克属性分配比例,MATCH("升星比例",坦克属性分配比例标头,0),FALSE),0)</f>
        <v>648</v>
      </c>
      <c r="BE275" s="654">
        <f ca="1">ROUND(VLOOKUP($AW275&amp;"初始",$O$3:$AA$63,MATCH(BE$3,$O$3:$AA$3,0),FALSE)+(VLOOKUP($AW275&amp;"最终",$O$3:$AA$63,MATCH(BE$3,$O$3:$AA$3,0),FALSE)-VLOOKUP($AW275&amp;"初始",$O$3:$AA$63,MATCH(BE$3,$O$3:$AA$3,0),FALSE))*$AY275/VLOOKUP(VLOOKUP($AW275,坦克个性化设定!$B$18:$E$48,4,FALSE)&amp;$AX275,坦克属性分配比例,MATCH("升星次数",坦克属性分配比例标头,0),FALSE),0)</f>
        <v>153</v>
      </c>
      <c r="BF275" s="654">
        <f>ROUND(VLOOKUP($AW275,$AD$3:$AJ$33,MATCH(BF$3,$AD$3:$AJ$3,0),FALSE)+$AY275/VLOOKUP(VLOOKUP($AW275,坦克个性化设定!$B$18:$E$48,4,FALSE)&amp;$AX275,坦克属性分配比例,MATCH("升星次数",坦克属性分配比例标头,0),FALSE)*VLOOKUP($AW275,$AM$3:$AS$33,MATCH(BF$3,$AM$3:$AS$3,0),FALSE),1)</f>
        <v>32.299999999999997</v>
      </c>
      <c r="BG275" s="654">
        <f>ROUND(VLOOKUP($AW275,$AD$3:$AJ$33,MATCH(BG$3,$AD$3:$AJ$3,0),FALSE)+$AY275/VLOOKUP(VLOOKUP($AW275,坦克个性化设定!$B$18:$E$48,4,FALSE)&amp;$AX275,坦克属性分配比例,MATCH("升星次数",坦克属性分配比例标头,0),FALSE)*VLOOKUP($AW275,$AM$3:$AS$33,MATCH(BG$3,$AM$3:$AS$3,0),FALSE),1)</f>
        <v>45.2</v>
      </c>
      <c r="BH275" s="654">
        <f>ROUND(VLOOKUP($AW275,$AD$3:$AJ$33,MATCH(BH$3,$AD$3:$AJ$3,0),FALSE)+$AY275/VLOOKUP(VLOOKUP($AW275,坦克个性化设定!$B$18:$E$48,4,FALSE)&amp;$AX275,坦克属性分配比例,MATCH("升星次数",坦克属性分配比例标头,0),FALSE)*VLOOKUP($AW275,$AM$3:$AS$33,MATCH(BH$3,$AM$3:$AS$3,0),FALSE),1)</f>
        <v>9.9</v>
      </c>
      <c r="BI275" s="654">
        <f>IF(VLOOKUP(AW275,坦克个性化设定!$B$18:$BB$48,MATCH("装弹类型",坦克个性化设定!$B$18:$BB$18,0),FALSE)="弹夹换弹",0,ROUND(VLOOKUP($AW275,$AD$3:$AJ$33,MATCH("换弹时间",$AD$3:$AJ$3,0),FALSE)-$AY275/VLOOKUP(VLOOKUP($AW275,坦克个性化设定!$B$18:$E$48,4,FALSE)&amp;$AX275,坦克属性分配比例,MATCH("升星次数",坦克属性分配比例标头,0),FALSE)*VLOOKUP($AW275,$AM$3:$AS$33,MATCH("换弹时间",$AM$3:$AS$3,0),FALSE),2))</f>
        <v>5.81</v>
      </c>
      <c r="BJ275" s="654">
        <f>IF(VLOOKUP(AW275,坦克个性化设定!$B$18:$BB$48,MATCH("装弹类型",坦克个性化设定!$B$18:$BB$18,0),FALSE)="弹夹换弹",ROUND(VLOOKUP($AW275,$AD$3:$AJ$33,MATCH("换弹时间",$AD$3:$AJ$3,0),FALSE)-$AY275/VLOOKUP(VLOOKUP($AW275,坦克个性化设定!$B$18:$E$48,4,FALSE)&amp;$AX275,坦克属性分配比例,MATCH("升星次数",坦克属性分配比例标头,0),FALSE)*VLOOKUP($AW275,$AM$3:$AS$33,MATCH("换弹时间",$AM$3:$AS$3,0),FALSE),1),0)</f>
        <v>0</v>
      </c>
      <c r="BK275" s="654">
        <f>ROUND(VLOOKUP($AW275,$AD$3:$AJ$33,MATCH(BK$3,$AD$3:$AJ$3,0),FALSE)+$AY275/VLOOKUP(VLOOKUP($AW275,坦克个性化设定!$B$18:$E$48,4,FALSE)&amp;$AX275,坦克属性分配比例,MATCH("升星次数",坦克属性分配比例标头,0),FALSE)*VLOOKUP($AW275,$AM$3:$AS$33,MATCH(BK$3,$AM$3:$AS$3,0),FALSE),2)</f>
        <v>0</v>
      </c>
      <c r="BL275" s="654">
        <f>ROUND(VLOOKUP($AW275,$AD$3:$AJ$33,MATCH(BL$3,$AD$3:$AJ$3,0),FALSE)-$AY275/VLOOKUP(VLOOKUP($AW275,坦克个性化设定!$B$18:$E$48,4,FALSE)&amp;$AX275,坦克属性分配比例,MATCH("升星次数",坦克属性分配比例标头,0),FALSE)*VLOOKUP($AW275,$AM$3:$AS$33,MATCH(BL$3,$AM$3:$AS$3,0),FALSE),2)</f>
        <v>2.94</v>
      </c>
    </row>
    <row r="276" spans="47:64" x14ac:dyDescent="0.35">
      <c r="AU276" s="372" t="str">
        <f t="shared" si="30"/>
        <v>黑豹2</v>
      </c>
      <c r="AV276" s="654">
        <f>IF(AY275&gt;=VLOOKUP(VLOOKUP(AW275,坦克个性化设定!$B$18:$E$48,4,FALSE)&amp;AX275,坦克属性分配比例,MATCH("升星次数",坦克属性分配比例标头,0),FALSE),AV275+1,AV275)</f>
        <v>24</v>
      </c>
      <c r="AW276" s="649" t="str">
        <f t="shared" si="31"/>
        <v>黑豹</v>
      </c>
      <c r="AX276" s="650" t="str">
        <f>VLOOKUP(AW276,坦克个性化细分!$I$3:$J$33,2,FALSE)</f>
        <v>低</v>
      </c>
      <c r="AY276" s="654">
        <f t="shared" si="32"/>
        <v>2</v>
      </c>
      <c r="AZ276" s="654">
        <f ca="1">ROUND(VLOOKUP($AW276&amp;"初始",$O$3:$AA$63,MATCH(AZ$3,$O$3:$AA$3,0),FALSE)+((VLOOKUP($AW276&amp;"最终",$O$3:$AA$63,MATCH(AZ$3,$O$3:$AA$3,0),FALSE)*坦克个性化细分!$C$9-VLOOKUP($AW276&amp;"初始",$O$3:$AA$63,MATCH(AZ$3,$O$3:$AA$3,0),FALSE))-(VLOOKUP($AW276&amp;"最终",$O$3:$AA$63,MATCH(AZ$3,$O$3:$AA$3,0),FALSE)-VLOOKUP($AW276&amp;"初始",$O$3:$AA$63,MATCH(AZ$3,$O$3:$AA$3,0),FALSE))*VLOOKUP(VLOOKUP($AW276,坦克个性化设定!$B$18:$E$48,4,FALSE)&amp;$AX276,坦克属性分配比例,MATCH("部件比例",坦克属性分配比例标头,0),FALSE))*$AY276/VLOOKUP(VLOOKUP($AW276,坦克个性化设定!$B$18:$E$48,4,FALSE)&amp;$AX276,坦克属性分配比例,MATCH("升星次数",坦克属性分配比例标头,0),FALSE),0)</f>
        <v>1664</v>
      </c>
      <c r="BA276" s="654">
        <f ca="1">ROUND(VLOOKUP($AW276&amp;"初始",$O$3:$AA$63,MATCH(BA$3,$O$3:$AA$3,0),FALSE)+(VLOOKUP($AW276&amp;"最终",$O$3:$AA$63,MATCH(BA$3,$O$3:$AA$3,0),FALSE)-VLOOKUP($AW276&amp;"初始",$O$3:$AA$63,MATCH(BA$3,$O$3:$AA$3,0),FALSE))*$AY276/VLOOKUP(VLOOKUP($AW276,坦克个性化设定!$B$18:$E$48,4,FALSE)&amp;$AX276,坦克属性分配比例,MATCH("升星次数",坦克属性分配比例标头,0),FALSE)*VLOOKUP(VLOOKUP($AW276,坦克个性化设定!$B$18:$E$48,4,FALSE)&amp;$AX276,坦克属性分配比例,MATCH("升星比例",坦克属性分配比例标头,0),FALSE),0)</f>
        <v>313</v>
      </c>
      <c r="BB276" s="654">
        <f ca="1">ROUND(VLOOKUP($AW276&amp;"初始",$O$3:$AA$63,MATCH(BB$3,$O$3:$AA$3,0),FALSE)+(VLOOKUP($AW276&amp;"最终",$O$3:$AA$63,MATCH(BB$3,$O$3:$AA$3,0),FALSE)-VLOOKUP($AW276&amp;"初始",$O$3:$AA$63,MATCH(BB$3,$O$3:$AA$3,0),FALSE))*$AY276/VLOOKUP(VLOOKUP($AW276,坦克个性化设定!$B$18:$E$48,4,FALSE)&amp;$AX276,坦克属性分配比例,MATCH("升星次数",坦克属性分配比例标头,0),FALSE)*(VLOOKUP(VLOOKUP($AW276,坦克个性化设定!$B$18:$E$48,4,FALSE)&amp;$AX276,坦克属性分配比例,MATCH("升星比例",坦克属性分配比例标头,0),FALSE)+VLOOKUP(VLOOKUP($AW276,坦克个性化设定!$B$18:$E$48,4,FALSE)&amp;$AX276,坦克属性分配比例,MATCH("部件比例",坦克属性分配比例标头,0),FALSE)*$C$3),0)</f>
        <v>520</v>
      </c>
      <c r="BC276" s="654">
        <f ca="1">ROUND(VLOOKUP($AW276&amp;"初始",$O$3:$AA$63,MATCH(BC$3,$O$3:$AA$3,0),FALSE)+(VLOOKUP($AW276&amp;"最终",$O$3:$AA$63,MATCH(BC$3,$O$3:$AA$3,0),FALSE)-VLOOKUP($AW276&amp;"初始",$O$3:$AA$63,MATCH(BC$3,$O$3:$AA$3,0),FALSE))*$AY276/VLOOKUP(VLOOKUP($AW276,坦克个性化设定!$B$18:$E$48,4,FALSE)&amp;$AX276,坦克属性分配比例,MATCH("升星次数",坦克属性分配比例标头,0),FALSE)*(VLOOKUP(VLOOKUP($AW276,坦克个性化设定!$B$18:$E$48,4,FALSE)&amp;$AX276,坦克属性分配比例,MATCH("升星比例",坦克属性分配比例标头,0),FALSE)+VLOOKUP(VLOOKUP($AW276,坦克个性化设定!$B$18:$E$48,4,FALSE)&amp;$AX276,坦克属性分配比例,MATCH("部件比例",坦克属性分配比例标头,0),FALSE)*$C$3),0)</f>
        <v>416</v>
      </c>
      <c r="BD276" s="654">
        <f ca="1">ROUND(VLOOKUP($AW276&amp;"初始",$O$3:$AA$63,MATCH(BD$3,$O$3:$AA$3,0),FALSE)+(VLOOKUP($AW276&amp;"最终",$O$3:$AA$63,MATCH(BD$3,$O$3:$AA$3,0),FALSE)-VLOOKUP($AW276&amp;"初始",$O$3:$AA$63,MATCH(BD$3,$O$3:$AA$3,0),FALSE))*$AY276/VLOOKUP(VLOOKUP($AW276,坦克个性化设定!$B$18:$E$48,4,FALSE)&amp;$AX276,坦克属性分配比例,MATCH("升星次数",坦克属性分配比例标头,0),FALSE)*VLOOKUP(VLOOKUP($AW276,坦克个性化设定!$B$18:$E$48,4,FALSE)&amp;$AX276,坦克属性分配比例,MATCH("升星比例",坦克属性分配比例标头,0),FALSE),0)</f>
        <v>666</v>
      </c>
      <c r="BE276" s="654">
        <f ca="1">ROUND(VLOOKUP($AW276&amp;"初始",$O$3:$AA$63,MATCH(BE$3,$O$3:$AA$3,0),FALSE)+(VLOOKUP($AW276&amp;"最终",$O$3:$AA$63,MATCH(BE$3,$O$3:$AA$3,0),FALSE)-VLOOKUP($AW276&amp;"初始",$O$3:$AA$63,MATCH(BE$3,$O$3:$AA$3,0),FALSE))*$AY276/VLOOKUP(VLOOKUP($AW276,坦克个性化设定!$B$18:$E$48,4,FALSE)&amp;$AX276,坦克属性分配比例,MATCH("升星次数",坦克属性分配比例标头,0),FALSE),0)</f>
        <v>162</v>
      </c>
      <c r="BF276" s="654">
        <f>ROUND(VLOOKUP($AW276,$AD$3:$AJ$33,MATCH(BF$3,$AD$3:$AJ$3,0),FALSE)+$AY276/VLOOKUP(VLOOKUP($AW276,坦克个性化设定!$B$18:$E$48,4,FALSE)&amp;$AX276,坦克属性分配比例,MATCH("升星次数",坦克属性分配比例标头,0),FALSE)*VLOOKUP($AW276,$AM$3:$AS$33,MATCH(BF$3,$AM$3:$AS$3,0),FALSE),1)</f>
        <v>33.299999999999997</v>
      </c>
      <c r="BG276" s="654">
        <f>ROUND(VLOOKUP($AW276,$AD$3:$AJ$33,MATCH(BG$3,$AD$3:$AJ$3,0),FALSE)+$AY276/VLOOKUP(VLOOKUP($AW276,坦克个性化设定!$B$18:$E$48,4,FALSE)&amp;$AX276,坦克属性分配比例,MATCH("升星次数",坦克属性分配比例标头,0),FALSE)*VLOOKUP($AW276,$AM$3:$AS$33,MATCH(BG$3,$AM$3:$AS$3,0),FALSE),1)</f>
        <v>46.5</v>
      </c>
      <c r="BH276" s="654">
        <f>ROUND(VLOOKUP($AW276,$AD$3:$AJ$33,MATCH(BH$3,$AD$3:$AJ$3,0),FALSE)+$AY276/VLOOKUP(VLOOKUP($AW276,坦克个性化设定!$B$18:$E$48,4,FALSE)&amp;$AX276,坦克属性分配比例,MATCH("升星次数",坦克属性分配比例标头,0),FALSE)*VLOOKUP($AW276,$AM$3:$AS$33,MATCH(BH$3,$AM$3:$AS$3,0),FALSE),1)</f>
        <v>10.3</v>
      </c>
      <c r="BI276" s="654">
        <f>IF(VLOOKUP(AW276,坦克个性化设定!$B$18:$BB$48,MATCH("装弹类型",坦克个性化设定!$B$18:$BB$18,0),FALSE)="弹夹换弹",0,ROUND(VLOOKUP($AW276,$AD$3:$AJ$33,MATCH("换弹时间",$AD$3:$AJ$3,0),FALSE)-$AY276/VLOOKUP(VLOOKUP($AW276,坦克个性化设定!$B$18:$E$48,4,FALSE)&amp;$AX276,坦克属性分配比例,MATCH("升星次数",坦克属性分配比例标头,0),FALSE)*VLOOKUP($AW276,$AM$3:$AS$33,MATCH("换弹时间",$AM$3:$AS$3,0),FALSE),2))</f>
        <v>5.63</v>
      </c>
      <c r="BJ276" s="654">
        <f>IF(VLOOKUP(AW276,坦克个性化设定!$B$18:$BB$48,MATCH("装弹类型",坦克个性化设定!$B$18:$BB$18,0),FALSE)="弹夹换弹",ROUND(VLOOKUP($AW276,$AD$3:$AJ$33,MATCH("换弹时间",$AD$3:$AJ$3,0),FALSE)-$AY276/VLOOKUP(VLOOKUP($AW276,坦克个性化设定!$B$18:$E$48,4,FALSE)&amp;$AX276,坦克属性分配比例,MATCH("升星次数",坦克属性分配比例标头,0),FALSE)*VLOOKUP($AW276,$AM$3:$AS$33,MATCH("换弹时间",$AM$3:$AS$3,0),FALSE),1),0)</f>
        <v>0</v>
      </c>
      <c r="BK276" s="654">
        <f>ROUND(VLOOKUP($AW276,$AD$3:$AJ$33,MATCH(BK$3,$AD$3:$AJ$3,0),FALSE)+$AY276/VLOOKUP(VLOOKUP($AW276,坦克个性化设定!$B$18:$E$48,4,FALSE)&amp;$AX276,坦克属性分配比例,MATCH("升星次数",坦克属性分配比例标头,0),FALSE)*VLOOKUP($AW276,$AM$3:$AS$33,MATCH(BK$3,$AM$3:$AS$3,0),FALSE),2)</f>
        <v>0</v>
      </c>
      <c r="BL276" s="654">
        <f>ROUND(VLOOKUP($AW276,$AD$3:$AJ$33,MATCH(BL$3,$AD$3:$AJ$3,0),FALSE)-$AY276/VLOOKUP(VLOOKUP($AW276,坦克个性化设定!$B$18:$E$48,4,FALSE)&amp;$AX276,坦克属性分配比例,MATCH("升星次数",坦克属性分配比例标头,0),FALSE)*VLOOKUP($AW276,$AM$3:$AS$33,MATCH(BL$3,$AM$3:$AS$3,0),FALSE),2)</f>
        <v>2.88</v>
      </c>
    </row>
    <row r="277" spans="47:64" x14ac:dyDescent="0.35">
      <c r="AU277" s="372" t="str">
        <f t="shared" si="30"/>
        <v>黑豹3</v>
      </c>
      <c r="AV277" s="654">
        <f>IF(AY276&gt;=VLOOKUP(VLOOKUP(AW276,坦克个性化设定!$B$18:$E$48,4,FALSE)&amp;AX276,坦克属性分配比例,MATCH("升星次数",坦克属性分配比例标头,0),FALSE),AV276+1,AV276)</f>
        <v>24</v>
      </c>
      <c r="AW277" s="649" t="str">
        <f t="shared" si="31"/>
        <v>黑豹</v>
      </c>
      <c r="AX277" s="650" t="str">
        <f>VLOOKUP(AW277,坦克个性化细分!$I$3:$J$33,2,FALSE)</f>
        <v>低</v>
      </c>
      <c r="AY277" s="654">
        <f t="shared" si="32"/>
        <v>3</v>
      </c>
      <c r="AZ277" s="654">
        <f ca="1">ROUND(VLOOKUP($AW277&amp;"初始",$O$3:$AA$63,MATCH(AZ$3,$O$3:$AA$3,0),FALSE)+((VLOOKUP($AW277&amp;"最终",$O$3:$AA$63,MATCH(AZ$3,$O$3:$AA$3,0),FALSE)*坦克个性化细分!$C$9-VLOOKUP($AW277&amp;"初始",$O$3:$AA$63,MATCH(AZ$3,$O$3:$AA$3,0),FALSE))-(VLOOKUP($AW277&amp;"最终",$O$3:$AA$63,MATCH(AZ$3,$O$3:$AA$3,0),FALSE)-VLOOKUP($AW277&amp;"初始",$O$3:$AA$63,MATCH(AZ$3,$O$3:$AA$3,0),FALSE))*VLOOKUP(VLOOKUP($AW277,坦克个性化设定!$B$18:$E$48,4,FALSE)&amp;$AX277,坦克属性分配比例,MATCH("部件比例",坦克属性分配比例标头,0),FALSE))*$AY277/VLOOKUP(VLOOKUP($AW277,坦克个性化设定!$B$18:$E$48,4,FALSE)&amp;$AX277,坦克属性分配比例,MATCH("升星次数",坦克属性分配比例标头,0),FALSE),0)</f>
        <v>1786</v>
      </c>
      <c r="BA277" s="654">
        <f ca="1">ROUND(VLOOKUP($AW277&amp;"初始",$O$3:$AA$63,MATCH(BA$3,$O$3:$AA$3,0),FALSE)+(VLOOKUP($AW277&amp;"最终",$O$3:$AA$63,MATCH(BA$3,$O$3:$AA$3,0),FALSE)-VLOOKUP($AW277&amp;"初始",$O$3:$AA$63,MATCH(BA$3,$O$3:$AA$3,0),FALSE))*$AY277/VLOOKUP(VLOOKUP($AW277,坦克个性化设定!$B$18:$E$48,4,FALSE)&amp;$AX277,坦克属性分配比例,MATCH("升星次数",坦克属性分配比例标头,0),FALSE)*VLOOKUP(VLOOKUP($AW277,坦克个性化设定!$B$18:$E$48,4,FALSE)&amp;$AX277,坦克属性分配比例,MATCH("升星比例",坦克属性分配比例标头,0),FALSE),0)</f>
        <v>321</v>
      </c>
      <c r="BB277" s="654">
        <f ca="1">ROUND(VLOOKUP($AW277&amp;"初始",$O$3:$AA$63,MATCH(BB$3,$O$3:$AA$3,0),FALSE)+(VLOOKUP($AW277&amp;"最终",$O$3:$AA$63,MATCH(BB$3,$O$3:$AA$3,0),FALSE)-VLOOKUP($AW277&amp;"初始",$O$3:$AA$63,MATCH(BB$3,$O$3:$AA$3,0),FALSE))*$AY277/VLOOKUP(VLOOKUP($AW277,坦克个性化设定!$B$18:$E$48,4,FALSE)&amp;$AX277,坦克属性分配比例,MATCH("升星次数",坦克属性分配比例标头,0),FALSE)*(VLOOKUP(VLOOKUP($AW277,坦克个性化设定!$B$18:$E$48,4,FALSE)&amp;$AX277,坦克属性分配比例,MATCH("升星比例",坦克属性分配比例标头,0),FALSE)+VLOOKUP(VLOOKUP($AW277,坦克个性化设定!$B$18:$E$48,4,FALSE)&amp;$AX277,坦克属性分配比例,MATCH("部件比例",坦克属性分配比例标头,0),FALSE)*$C$3),0)</f>
        <v>544</v>
      </c>
      <c r="BC277" s="654">
        <f ca="1">ROUND(VLOOKUP($AW277&amp;"初始",$O$3:$AA$63,MATCH(BC$3,$O$3:$AA$3,0),FALSE)+(VLOOKUP($AW277&amp;"最终",$O$3:$AA$63,MATCH(BC$3,$O$3:$AA$3,0),FALSE)-VLOOKUP($AW277&amp;"初始",$O$3:$AA$63,MATCH(BC$3,$O$3:$AA$3,0),FALSE))*$AY277/VLOOKUP(VLOOKUP($AW277,坦克个性化设定!$B$18:$E$48,4,FALSE)&amp;$AX277,坦克属性分配比例,MATCH("升星次数",坦克属性分配比例标头,0),FALSE)*(VLOOKUP(VLOOKUP($AW277,坦克个性化设定!$B$18:$E$48,4,FALSE)&amp;$AX277,坦克属性分配比例,MATCH("升星比例",坦克属性分配比例标头,0),FALSE)+VLOOKUP(VLOOKUP($AW277,坦克个性化设定!$B$18:$E$48,4,FALSE)&amp;$AX277,坦克属性分配比例,MATCH("部件比例",坦克属性分配比例标头,0),FALSE)*$C$3),0)</f>
        <v>435</v>
      </c>
      <c r="BD277" s="654">
        <f ca="1">ROUND(VLOOKUP($AW277&amp;"初始",$O$3:$AA$63,MATCH(BD$3,$O$3:$AA$3,0),FALSE)+(VLOOKUP($AW277&amp;"最终",$O$3:$AA$63,MATCH(BD$3,$O$3:$AA$3,0),FALSE)-VLOOKUP($AW277&amp;"初始",$O$3:$AA$63,MATCH(BD$3,$O$3:$AA$3,0),FALSE))*$AY277/VLOOKUP(VLOOKUP($AW277,坦克个性化设定!$B$18:$E$48,4,FALSE)&amp;$AX277,坦克属性分配比例,MATCH("升星次数",坦克属性分配比例标头,0),FALSE)*VLOOKUP(VLOOKUP($AW277,坦克个性化设定!$B$18:$E$48,4,FALSE)&amp;$AX277,坦克属性分配比例,MATCH("升星比例",坦克属性分配比例标头,0),FALSE),0)</f>
        <v>685</v>
      </c>
      <c r="BE277" s="654">
        <f ca="1">ROUND(VLOOKUP($AW277&amp;"初始",$O$3:$AA$63,MATCH(BE$3,$O$3:$AA$3,0),FALSE)+(VLOOKUP($AW277&amp;"最终",$O$3:$AA$63,MATCH(BE$3,$O$3:$AA$3,0),FALSE)-VLOOKUP($AW277&amp;"初始",$O$3:$AA$63,MATCH(BE$3,$O$3:$AA$3,0),FALSE))*$AY277/VLOOKUP(VLOOKUP($AW277,坦克个性化设定!$B$18:$E$48,4,FALSE)&amp;$AX277,坦克属性分配比例,MATCH("升星次数",坦克属性分配比例标头,0),FALSE),0)</f>
        <v>172</v>
      </c>
      <c r="BF277" s="654">
        <f>ROUND(VLOOKUP($AW277,$AD$3:$AJ$33,MATCH(BF$3,$AD$3:$AJ$3,0),FALSE)+$AY277/VLOOKUP(VLOOKUP($AW277,坦克个性化设定!$B$18:$E$48,4,FALSE)&amp;$AX277,坦克属性分配比例,MATCH("升星次数",坦克属性分配比例标头,0),FALSE)*VLOOKUP($AW277,$AM$3:$AS$33,MATCH(BF$3,$AM$3:$AS$3,0),FALSE),1)</f>
        <v>34.200000000000003</v>
      </c>
      <c r="BG277" s="654">
        <f>ROUND(VLOOKUP($AW277,$AD$3:$AJ$33,MATCH(BG$3,$AD$3:$AJ$3,0),FALSE)+$AY277/VLOOKUP(VLOOKUP($AW277,坦克个性化设定!$B$18:$E$48,4,FALSE)&amp;$AX277,坦克属性分配比例,MATCH("升星次数",坦克属性分配比例标头,0),FALSE)*VLOOKUP($AW277,$AM$3:$AS$33,MATCH(BG$3,$AM$3:$AS$3,0),FALSE),1)</f>
        <v>47.9</v>
      </c>
      <c r="BH277" s="654">
        <f>ROUND(VLOOKUP($AW277,$AD$3:$AJ$33,MATCH(BH$3,$AD$3:$AJ$3,0),FALSE)+$AY277/VLOOKUP(VLOOKUP($AW277,坦克个性化设定!$B$18:$E$48,4,FALSE)&amp;$AX277,坦克属性分配比例,MATCH("升星次数",坦克属性分配比例标头,0),FALSE)*VLOOKUP($AW277,$AM$3:$AS$33,MATCH(BH$3,$AM$3:$AS$3,0),FALSE),1)</f>
        <v>10.7</v>
      </c>
      <c r="BI277" s="654">
        <f>IF(VLOOKUP(AW277,坦克个性化设定!$B$18:$BB$48,MATCH("装弹类型",坦克个性化设定!$B$18:$BB$18,0),FALSE)="弹夹换弹",0,ROUND(VLOOKUP($AW277,$AD$3:$AJ$33,MATCH("换弹时间",$AD$3:$AJ$3,0),FALSE)-$AY277/VLOOKUP(VLOOKUP($AW277,坦克个性化设定!$B$18:$E$48,4,FALSE)&amp;$AX277,坦克属性分配比例,MATCH("升星次数",坦克属性分配比例标头,0),FALSE)*VLOOKUP($AW277,$AM$3:$AS$33,MATCH("换弹时间",$AM$3:$AS$3,0),FALSE),2))</f>
        <v>5.44</v>
      </c>
      <c r="BJ277" s="654">
        <f>IF(VLOOKUP(AW277,坦克个性化设定!$B$18:$BB$48,MATCH("装弹类型",坦克个性化设定!$B$18:$BB$18,0),FALSE)="弹夹换弹",ROUND(VLOOKUP($AW277,$AD$3:$AJ$33,MATCH("换弹时间",$AD$3:$AJ$3,0),FALSE)-$AY277/VLOOKUP(VLOOKUP($AW277,坦克个性化设定!$B$18:$E$48,4,FALSE)&amp;$AX277,坦克属性分配比例,MATCH("升星次数",坦克属性分配比例标头,0),FALSE)*VLOOKUP($AW277,$AM$3:$AS$33,MATCH("换弹时间",$AM$3:$AS$3,0),FALSE),1),0)</f>
        <v>0</v>
      </c>
      <c r="BK277" s="654">
        <f>ROUND(VLOOKUP($AW277,$AD$3:$AJ$33,MATCH(BK$3,$AD$3:$AJ$3,0),FALSE)+$AY277/VLOOKUP(VLOOKUP($AW277,坦克个性化设定!$B$18:$E$48,4,FALSE)&amp;$AX277,坦克属性分配比例,MATCH("升星次数",坦克属性分配比例标头,0),FALSE)*VLOOKUP($AW277,$AM$3:$AS$33,MATCH(BK$3,$AM$3:$AS$3,0),FALSE),2)</f>
        <v>0</v>
      </c>
      <c r="BL277" s="654">
        <f>ROUND(VLOOKUP($AW277,$AD$3:$AJ$33,MATCH(BL$3,$AD$3:$AJ$3,0),FALSE)-$AY277/VLOOKUP(VLOOKUP($AW277,坦克个性化设定!$B$18:$E$48,4,FALSE)&amp;$AX277,坦克属性分配比例,MATCH("升星次数",坦克属性分配比例标头,0),FALSE)*VLOOKUP($AW277,$AM$3:$AS$33,MATCH(BL$3,$AM$3:$AS$3,0),FALSE),2)</f>
        <v>2.81</v>
      </c>
    </row>
    <row r="278" spans="47:64" x14ac:dyDescent="0.35">
      <c r="AU278" s="372" t="str">
        <f t="shared" si="30"/>
        <v>黑豹4</v>
      </c>
      <c r="AV278" s="654">
        <f>IF(AY277&gt;=VLOOKUP(VLOOKUP(AW277,坦克个性化设定!$B$18:$E$48,4,FALSE)&amp;AX277,坦克属性分配比例,MATCH("升星次数",坦克属性分配比例标头,0),FALSE),AV277+1,AV277)</f>
        <v>24</v>
      </c>
      <c r="AW278" s="649" t="str">
        <f t="shared" si="31"/>
        <v>黑豹</v>
      </c>
      <c r="AX278" s="650" t="str">
        <f>VLOOKUP(AW278,坦克个性化细分!$I$3:$J$33,2,FALSE)</f>
        <v>低</v>
      </c>
      <c r="AY278" s="654">
        <f t="shared" si="32"/>
        <v>4</v>
      </c>
      <c r="AZ278" s="654">
        <f ca="1">ROUND(VLOOKUP($AW278&amp;"初始",$O$3:$AA$63,MATCH(AZ$3,$O$3:$AA$3,0),FALSE)+((VLOOKUP($AW278&amp;"最终",$O$3:$AA$63,MATCH(AZ$3,$O$3:$AA$3,0),FALSE)*坦克个性化细分!$C$9-VLOOKUP($AW278&amp;"初始",$O$3:$AA$63,MATCH(AZ$3,$O$3:$AA$3,0),FALSE))-(VLOOKUP($AW278&amp;"最终",$O$3:$AA$63,MATCH(AZ$3,$O$3:$AA$3,0),FALSE)-VLOOKUP($AW278&amp;"初始",$O$3:$AA$63,MATCH(AZ$3,$O$3:$AA$3,0),FALSE))*VLOOKUP(VLOOKUP($AW278,坦克个性化设定!$B$18:$E$48,4,FALSE)&amp;$AX278,坦克属性分配比例,MATCH("部件比例",坦克属性分配比例标头,0),FALSE))*$AY278/VLOOKUP(VLOOKUP($AW278,坦克个性化设定!$B$18:$E$48,4,FALSE)&amp;$AX278,坦克属性分配比例,MATCH("升星次数",坦克属性分配比例标头,0),FALSE),0)</f>
        <v>1909</v>
      </c>
      <c r="BA278" s="654">
        <f ca="1">ROUND(VLOOKUP($AW278&amp;"初始",$O$3:$AA$63,MATCH(BA$3,$O$3:$AA$3,0),FALSE)+(VLOOKUP($AW278&amp;"最终",$O$3:$AA$63,MATCH(BA$3,$O$3:$AA$3,0),FALSE)-VLOOKUP($AW278&amp;"初始",$O$3:$AA$63,MATCH(BA$3,$O$3:$AA$3,0),FALSE))*$AY278/VLOOKUP(VLOOKUP($AW278,坦克个性化设定!$B$18:$E$48,4,FALSE)&amp;$AX278,坦克属性分配比例,MATCH("升星次数",坦克属性分配比例标头,0),FALSE)*VLOOKUP(VLOOKUP($AW278,坦克个性化设定!$B$18:$E$48,4,FALSE)&amp;$AX278,坦克属性分配比例,MATCH("升星比例",坦克属性分配比例标头,0),FALSE),0)</f>
        <v>330</v>
      </c>
      <c r="BB278" s="654">
        <f ca="1">ROUND(VLOOKUP($AW278&amp;"初始",$O$3:$AA$63,MATCH(BB$3,$O$3:$AA$3,0),FALSE)+(VLOOKUP($AW278&amp;"最终",$O$3:$AA$63,MATCH(BB$3,$O$3:$AA$3,0),FALSE)-VLOOKUP($AW278&amp;"初始",$O$3:$AA$63,MATCH(BB$3,$O$3:$AA$3,0),FALSE))*$AY278/VLOOKUP(VLOOKUP($AW278,坦克个性化设定!$B$18:$E$48,4,FALSE)&amp;$AX278,坦克属性分配比例,MATCH("升星次数",坦克属性分配比例标头,0),FALSE)*(VLOOKUP(VLOOKUP($AW278,坦克个性化设定!$B$18:$E$48,4,FALSE)&amp;$AX278,坦克属性分配比例,MATCH("升星比例",坦克属性分配比例标头,0),FALSE)+VLOOKUP(VLOOKUP($AW278,坦克个性化设定!$B$18:$E$48,4,FALSE)&amp;$AX278,坦克属性分配比例,MATCH("部件比例",坦克属性分配比例标头,0),FALSE)*$C$3),0)</f>
        <v>568</v>
      </c>
      <c r="BC278" s="654">
        <f ca="1">ROUND(VLOOKUP($AW278&amp;"初始",$O$3:$AA$63,MATCH(BC$3,$O$3:$AA$3,0),FALSE)+(VLOOKUP($AW278&amp;"最终",$O$3:$AA$63,MATCH(BC$3,$O$3:$AA$3,0),FALSE)-VLOOKUP($AW278&amp;"初始",$O$3:$AA$63,MATCH(BC$3,$O$3:$AA$3,0),FALSE))*$AY278/VLOOKUP(VLOOKUP($AW278,坦克个性化设定!$B$18:$E$48,4,FALSE)&amp;$AX278,坦克属性分配比例,MATCH("升星次数",坦克属性分配比例标头,0),FALSE)*(VLOOKUP(VLOOKUP($AW278,坦克个性化设定!$B$18:$E$48,4,FALSE)&amp;$AX278,坦克属性分配比例,MATCH("升星比例",坦克属性分配比例标头,0),FALSE)+VLOOKUP(VLOOKUP($AW278,坦克个性化设定!$B$18:$E$48,4,FALSE)&amp;$AX278,坦克属性分配比例,MATCH("部件比例",坦克属性分配比例标头,0),FALSE)*$C$3),0)</f>
        <v>455</v>
      </c>
      <c r="BD278" s="654">
        <f ca="1">ROUND(VLOOKUP($AW278&amp;"初始",$O$3:$AA$63,MATCH(BD$3,$O$3:$AA$3,0),FALSE)+(VLOOKUP($AW278&amp;"最终",$O$3:$AA$63,MATCH(BD$3,$O$3:$AA$3,0),FALSE)-VLOOKUP($AW278&amp;"初始",$O$3:$AA$63,MATCH(BD$3,$O$3:$AA$3,0),FALSE))*$AY278/VLOOKUP(VLOOKUP($AW278,坦克个性化设定!$B$18:$E$48,4,FALSE)&amp;$AX278,坦克属性分配比例,MATCH("升星次数",坦克属性分配比例标头,0),FALSE)*VLOOKUP(VLOOKUP($AW278,坦克个性化设定!$B$18:$E$48,4,FALSE)&amp;$AX278,坦克属性分配比例,MATCH("升星比例",坦克属性分配比例标头,0),FALSE),0)</f>
        <v>703</v>
      </c>
      <c r="BE278" s="654">
        <f ca="1">ROUND(VLOOKUP($AW278&amp;"初始",$O$3:$AA$63,MATCH(BE$3,$O$3:$AA$3,0),FALSE)+(VLOOKUP($AW278&amp;"最终",$O$3:$AA$63,MATCH(BE$3,$O$3:$AA$3,0),FALSE)-VLOOKUP($AW278&amp;"初始",$O$3:$AA$63,MATCH(BE$3,$O$3:$AA$3,0),FALSE))*$AY278/VLOOKUP(VLOOKUP($AW278,坦克个性化设定!$B$18:$E$48,4,FALSE)&amp;$AX278,坦克属性分配比例,MATCH("升星次数",坦克属性分配比例标头,0),FALSE),0)</f>
        <v>181</v>
      </c>
      <c r="BF278" s="654">
        <f>ROUND(VLOOKUP($AW278,$AD$3:$AJ$33,MATCH(BF$3,$AD$3:$AJ$3,0),FALSE)+$AY278/VLOOKUP(VLOOKUP($AW278,坦克个性化设定!$B$18:$E$48,4,FALSE)&amp;$AX278,坦克属性分配比例,MATCH("升星次数",坦克属性分配比例标头,0),FALSE)*VLOOKUP($AW278,$AM$3:$AS$33,MATCH(BF$3,$AM$3:$AS$3,0),FALSE),1)</f>
        <v>35.200000000000003</v>
      </c>
      <c r="BG278" s="654">
        <f>ROUND(VLOOKUP($AW278,$AD$3:$AJ$33,MATCH(BG$3,$AD$3:$AJ$3,0),FALSE)+$AY278/VLOOKUP(VLOOKUP($AW278,坦克个性化设定!$B$18:$E$48,4,FALSE)&amp;$AX278,坦克属性分配比例,MATCH("升星次数",坦克属性分配比例标头,0),FALSE)*VLOOKUP($AW278,$AM$3:$AS$33,MATCH(BG$3,$AM$3:$AS$3,0),FALSE),1)</f>
        <v>49.3</v>
      </c>
      <c r="BH278" s="654">
        <f>ROUND(VLOOKUP($AW278,$AD$3:$AJ$33,MATCH(BH$3,$AD$3:$AJ$3,0),FALSE)+$AY278/VLOOKUP(VLOOKUP($AW278,坦克个性化设定!$B$18:$E$48,4,FALSE)&amp;$AX278,坦克属性分配比例,MATCH("升星次数",坦克属性分配比例标头,0),FALSE)*VLOOKUP($AW278,$AM$3:$AS$33,MATCH(BH$3,$AM$3:$AS$3,0),FALSE),1)</f>
        <v>11.1</v>
      </c>
      <c r="BI278" s="654">
        <f>IF(VLOOKUP(AW278,坦克个性化设定!$B$18:$BB$48,MATCH("装弹类型",坦克个性化设定!$B$18:$BB$18,0),FALSE)="弹夹换弹",0,ROUND(VLOOKUP($AW278,$AD$3:$AJ$33,MATCH("换弹时间",$AD$3:$AJ$3,0),FALSE)-$AY278/VLOOKUP(VLOOKUP($AW278,坦克个性化设定!$B$18:$E$48,4,FALSE)&amp;$AX278,坦克属性分配比例,MATCH("升星次数",坦克属性分配比例标头,0),FALSE)*VLOOKUP($AW278,$AM$3:$AS$33,MATCH("换弹时间",$AM$3:$AS$3,0),FALSE),2))</f>
        <v>5.26</v>
      </c>
      <c r="BJ278" s="654">
        <f>IF(VLOOKUP(AW278,坦克个性化设定!$B$18:$BB$48,MATCH("装弹类型",坦克个性化设定!$B$18:$BB$18,0),FALSE)="弹夹换弹",ROUND(VLOOKUP($AW278,$AD$3:$AJ$33,MATCH("换弹时间",$AD$3:$AJ$3,0),FALSE)-$AY278/VLOOKUP(VLOOKUP($AW278,坦克个性化设定!$B$18:$E$48,4,FALSE)&amp;$AX278,坦克属性分配比例,MATCH("升星次数",坦克属性分配比例标头,0),FALSE)*VLOOKUP($AW278,$AM$3:$AS$33,MATCH("换弹时间",$AM$3:$AS$3,0),FALSE),1),0)</f>
        <v>0</v>
      </c>
      <c r="BK278" s="654">
        <f>ROUND(VLOOKUP($AW278,$AD$3:$AJ$33,MATCH(BK$3,$AD$3:$AJ$3,0),FALSE)+$AY278/VLOOKUP(VLOOKUP($AW278,坦克个性化设定!$B$18:$E$48,4,FALSE)&amp;$AX278,坦克属性分配比例,MATCH("升星次数",坦克属性分配比例标头,0),FALSE)*VLOOKUP($AW278,$AM$3:$AS$33,MATCH(BK$3,$AM$3:$AS$3,0),FALSE),2)</f>
        <v>0</v>
      </c>
      <c r="BL278" s="654">
        <f>ROUND(VLOOKUP($AW278,$AD$3:$AJ$33,MATCH(BL$3,$AD$3:$AJ$3,0),FALSE)-$AY278/VLOOKUP(VLOOKUP($AW278,坦克个性化设定!$B$18:$E$48,4,FALSE)&amp;$AX278,坦克属性分配比例,MATCH("升星次数",坦克属性分配比例标头,0),FALSE)*VLOOKUP($AW278,$AM$3:$AS$33,MATCH(BL$3,$AM$3:$AS$3,0),FALSE),2)</f>
        <v>2.75</v>
      </c>
    </row>
    <row r="279" spans="47:64" x14ac:dyDescent="0.35">
      <c r="AU279" s="372" t="str">
        <f t="shared" si="30"/>
        <v>黑豹5</v>
      </c>
      <c r="AV279" s="654">
        <f>IF(AY278&gt;=VLOOKUP(VLOOKUP(AW278,坦克个性化设定!$B$18:$E$48,4,FALSE)&amp;AX278,坦克属性分配比例,MATCH("升星次数",坦克属性分配比例标头,0),FALSE),AV278+1,AV278)</f>
        <v>24</v>
      </c>
      <c r="AW279" s="649" t="str">
        <f t="shared" si="31"/>
        <v>黑豹</v>
      </c>
      <c r="AX279" s="650" t="str">
        <f>VLOOKUP(AW279,坦克个性化细分!$I$3:$J$33,2,FALSE)</f>
        <v>低</v>
      </c>
      <c r="AY279" s="654">
        <f t="shared" si="32"/>
        <v>5</v>
      </c>
      <c r="AZ279" s="654">
        <f ca="1">ROUND(VLOOKUP($AW279&amp;"初始",$O$3:$AA$63,MATCH(AZ$3,$O$3:$AA$3,0),FALSE)+((VLOOKUP($AW279&amp;"最终",$O$3:$AA$63,MATCH(AZ$3,$O$3:$AA$3,0),FALSE)*坦克个性化细分!$C$9-VLOOKUP($AW279&amp;"初始",$O$3:$AA$63,MATCH(AZ$3,$O$3:$AA$3,0),FALSE))-(VLOOKUP($AW279&amp;"最终",$O$3:$AA$63,MATCH(AZ$3,$O$3:$AA$3,0),FALSE)-VLOOKUP($AW279&amp;"初始",$O$3:$AA$63,MATCH(AZ$3,$O$3:$AA$3,0),FALSE))*VLOOKUP(VLOOKUP($AW279,坦克个性化设定!$B$18:$E$48,4,FALSE)&amp;$AX279,坦克属性分配比例,MATCH("部件比例",坦克属性分配比例标头,0),FALSE))*$AY279/VLOOKUP(VLOOKUP($AW279,坦克个性化设定!$B$18:$E$48,4,FALSE)&amp;$AX279,坦克属性分配比例,MATCH("升星次数",坦克属性分配比例标头,0),FALSE),0)</f>
        <v>2031</v>
      </c>
      <c r="BA279" s="654">
        <f ca="1">ROUND(VLOOKUP($AW279&amp;"初始",$O$3:$AA$63,MATCH(BA$3,$O$3:$AA$3,0),FALSE)+(VLOOKUP($AW279&amp;"最终",$O$3:$AA$63,MATCH(BA$3,$O$3:$AA$3,0),FALSE)-VLOOKUP($AW279&amp;"初始",$O$3:$AA$63,MATCH(BA$3,$O$3:$AA$3,0),FALSE))*$AY279/VLOOKUP(VLOOKUP($AW279,坦克个性化设定!$B$18:$E$48,4,FALSE)&amp;$AX279,坦克属性分配比例,MATCH("升星次数",坦克属性分配比例标头,0),FALSE)*VLOOKUP(VLOOKUP($AW279,坦克个性化设定!$B$18:$E$48,4,FALSE)&amp;$AX279,坦克属性分配比例,MATCH("升星比例",坦克属性分配比例标头,0),FALSE),0)</f>
        <v>338</v>
      </c>
      <c r="BB279" s="654">
        <f ca="1">ROUND(VLOOKUP($AW279&amp;"初始",$O$3:$AA$63,MATCH(BB$3,$O$3:$AA$3,0),FALSE)+(VLOOKUP($AW279&amp;"最终",$O$3:$AA$63,MATCH(BB$3,$O$3:$AA$3,0),FALSE)-VLOOKUP($AW279&amp;"初始",$O$3:$AA$63,MATCH(BB$3,$O$3:$AA$3,0),FALSE))*$AY279/VLOOKUP(VLOOKUP($AW279,坦克个性化设定!$B$18:$E$48,4,FALSE)&amp;$AX279,坦克属性分配比例,MATCH("升星次数",坦克属性分配比例标头,0),FALSE)*(VLOOKUP(VLOOKUP($AW279,坦克个性化设定!$B$18:$E$48,4,FALSE)&amp;$AX279,坦克属性分配比例,MATCH("升星比例",坦克属性分配比例标头,0),FALSE)+VLOOKUP(VLOOKUP($AW279,坦克个性化设定!$B$18:$E$48,4,FALSE)&amp;$AX279,坦克属性分配比例,MATCH("部件比例",坦克属性分配比例标头,0),FALSE)*$C$3),0)</f>
        <v>593</v>
      </c>
      <c r="BC279" s="654">
        <f ca="1">ROUND(VLOOKUP($AW279&amp;"初始",$O$3:$AA$63,MATCH(BC$3,$O$3:$AA$3,0),FALSE)+(VLOOKUP($AW279&amp;"最终",$O$3:$AA$63,MATCH(BC$3,$O$3:$AA$3,0),FALSE)-VLOOKUP($AW279&amp;"初始",$O$3:$AA$63,MATCH(BC$3,$O$3:$AA$3,0),FALSE))*$AY279/VLOOKUP(VLOOKUP($AW279,坦克个性化设定!$B$18:$E$48,4,FALSE)&amp;$AX279,坦克属性分配比例,MATCH("升星次数",坦克属性分配比例标头,0),FALSE)*(VLOOKUP(VLOOKUP($AW279,坦克个性化设定!$B$18:$E$48,4,FALSE)&amp;$AX279,坦克属性分配比例,MATCH("升星比例",坦克属性分配比例标头,0),FALSE)+VLOOKUP(VLOOKUP($AW279,坦克个性化设定!$B$18:$E$48,4,FALSE)&amp;$AX279,坦克属性分配比例,MATCH("部件比例",坦克属性分配比例标头,0),FALSE)*$C$3),0)</f>
        <v>474</v>
      </c>
      <c r="BD279" s="654">
        <f ca="1">ROUND(VLOOKUP($AW279&amp;"初始",$O$3:$AA$63,MATCH(BD$3,$O$3:$AA$3,0),FALSE)+(VLOOKUP($AW279&amp;"最终",$O$3:$AA$63,MATCH(BD$3,$O$3:$AA$3,0),FALSE)-VLOOKUP($AW279&amp;"初始",$O$3:$AA$63,MATCH(BD$3,$O$3:$AA$3,0),FALSE))*$AY279/VLOOKUP(VLOOKUP($AW279,坦克个性化设定!$B$18:$E$48,4,FALSE)&amp;$AX279,坦克属性分配比例,MATCH("升星次数",坦克属性分配比例标头,0),FALSE)*VLOOKUP(VLOOKUP($AW279,坦克个性化设定!$B$18:$E$48,4,FALSE)&amp;$AX279,坦克属性分配比例,MATCH("升星比例",坦克属性分配比例标头,0),FALSE),0)</f>
        <v>721</v>
      </c>
      <c r="BE279" s="654">
        <f ca="1">ROUND(VLOOKUP($AW279&amp;"初始",$O$3:$AA$63,MATCH(BE$3,$O$3:$AA$3,0),FALSE)+(VLOOKUP($AW279&amp;"最终",$O$3:$AA$63,MATCH(BE$3,$O$3:$AA$3,0),FALSE)-VLOOKUP($AW279&amp;"初始",$O$3:$AA$63,MATCH(BE$3,$O$3:$AA$3,0),FALSE))*$AY279/VLOOKUP(VLOOKUP($AW279,坦克个性化设定!$B$18:$E$48,4,FALSE)&amp;$AX279,坦克属性分配比例,MATCH("升星次数",坦克属性分配比例标头,0),FALSE),0)</f>
        <v>191</v>
      </c>
      <c r="BF279" s="654">
        <f>ROUND(VLOOKUP($AW279,$AD$3:$AJ$33,MATCH(BF$3,$AD$3:$AJ$3,0),FALSE)+$AY279/VLOOKUP(VLOOKUP($AW279,坦克个性化设定!$B$18:$E$48,4,FALSE)&amp;$AX279,坦克属性分配比例,MATCH("升星次数",坦克属性分配比例标头,0),FALSE)*VLOOKUP($AW279,$AM$3:$AS$33,MATCH(BF$3,$AM$3:$AS$3,0),FALSE),1)</f>
        <v>36.200000000000003</v>
      </c>
      <c r="BG279" s="654">
        <f>ROUND(VLOOKUP($AW279,$AD$3:$AJ$33,MATCH(BG$3,$AD$3:$AJ$3,0),FALSE)+$AY279/VLOOKUP(VLOOKUP($AW279,坦克个性化设定!$B$18:$E$48,4,FALSE)&amp;$AX279,坦克属性分配比例,MATCH("升星次数",坦克属性分配比例标头,0),FALSE)*VLOOKUP($AW279,$AM$3:$AS$33,MATCH(BG$3,$AM$3:$AS$3,0),FALSE),1)</f>
        <v>50.6</v>
      </c>
      <c r="BH279" s="654">
        <f>ROUND(VLOOKUP($AW279,$AD$3:$AJ$33,MATCH(BH$3,$AD$3:$AJ$3,0),FALSE)+$AY279/VLOOKUP(VLOOKUP($AW279,坦克个性化设定!$B$18:$E$48,4,FALSE)&amp;$AX279,坦克属性分配比例,MATCH("升星次数",坦克属性分配比例标头,0),FALSE)*VLOOKUP($AW279,$AM$3:$AS$33,MATCH(BH$3,$AM$3:$AS$3,0),FALSE),1)</f>
        <v>11.4</v>
      </c>
      <c r="BI279" s="654">
        <f>IF(VLOOKUP(AW279,坦克个性化设定!$B$18:$BB$48,MATCH("装弹类型",坦克个性化设定!$B$18:$BB$18,0),FALSE)="弹夹换弹",0,ROUND(VLOOKUP($AW279,$AD$3:$AJ$33,MATCH("换弹时间",$AD$3:$AJ$3,0),FALSE)-$AY279/VLOOKUP(VLOOKUP($AW279,坦克个性化设定!$B$18:$E$48,4,FALSE)&amp;$AX279,坦克属性分配比例,MATCH("升星次数",坦克属性分配比例标头,0),FALSE)*VLOOKUP($AW279,$AM$3:$AS$33,MATCH("换弹时间",$AM$3:$AS$3,0),FALSE),2))</f>
        <v>5.07</v>
      </c>
      <c r="BJ279" s="654">
        <f>IF(VLOOKUP(AW279,坦克个性化设定!$B$18:$BB$48,MATCH("装弹类型",坦克个性化设定!$B$18:$BB$18,0),FALSE)="弹夹换弹",ROUND(VLOOKUP($AW279,$AD$3:$AJ$33,MATCH("换弹时间",$AD$3:$AJ$3,0),FALSE)-$AY279/VLOOKUP(VLOOKUP($AW279,坦克个性化设定!$B$18:$E$48,4,FALSE)&amp;$AX279,坦克属性分配比例,MATCH("升星次数",坦克属性分配比例标头,0),FALSE)*VLOOKUP($AW279,$AM$3:$AS$33,MATCH("换弹时间",$AM$3:$AS$3,0),FALSE),1),0)</f>
        <v>0</v>
      </c>
      <c r="BK279" s="654">
        <f>ROUND(VLOOKUP($AW279,$AD$3:$AJ$33,MATCH(BK$3,$AD$3:$AJ$3,0),FALSE)+$AY279/VLOOKUP(VLOOKUP($AW279,坦克个性化设定!$B$18:$E$48,4,FALSE)&amp;$AX279,坦克属性分配比例,MATCH("升星次数",坦克属性分配比例标头,0),FALSE)*VLOOKUP($AW279,$AM$3:$AS$33,MATCH(BK$3,$AM$3:$AS$3,0),FALSE),2)</f>
        <v>0</v>
      </c>
      <c r="BL279" s="654">
        <f>ROUND(VLOOKUP($AW279,$AD$3:$AJ$33,MATCH(BL$3,$AD$3:$AJ$3,0),FALSE)-$AY279/VLOOKUP(VLOOKUP($AW279,坦克个性化设定!$B$18:$E$48,4,FALSE)&amp;$AX279,坦克属性分配比例,MATCH("升星次数",坦克属性分配比例标头,0),FALSE)*VLOOKUP($AW279,$AM$3:$AS$33,MATCH(BL$3,$AM$3:$AS$3,0),FALSE),2)</f>
        <v>2.69</v>
      </c>
    </row>
    <row r="280" spans="47:64" x14ac:dyDescent="0.35">
      <c r="AU280" s="372" t="str">
        <f t="shared" si="30"/>
        <v>黑豹6</v>
      </c>
      <c r="AV280" s="654">
        <f>IF(AY279&gt;=VLOOKUP(VLOOKUP(AW279,坦克个性化设定!$B$18:$E$48,4,FALSE)&amp;AX279,坦克属性分配比例,MATCH("升星次数",坦克属性分配比例标头,0),FALSE),AV279+1,AV279)</f>
        <v>24</v>
      </c>
      <c r="AW280" s="649" t="str">
        <f t="shared" si="31"/>
        <v>黑豹</v>
      </c>
      <c r="AX280" s="650" t="str">
        <f>VLOOKUP(AW280,坦克个性化细分!$I$3:$J$33,2,FALSE)</f>
        <v>低</v>
      </c>
      <c r="AY280" s="654">
        <f t="shared" si="32"/>
        <v>6</v>
      </c>
      <c r="AZ280" s="654">
        <f ca="1">ROUND(VLOOKUP($AW280&amp;"初始",$O$3:$AA$63,MATCH(AZ$3,$O$3:$AA$3,0),FALSE)+((VLOOKUP($AW280&amp;"最终",$O$3:$AA$63,MATCH(AZ$3,$O$3:$AA$3,0),FALSE)*坦克个性化细分!$C$9-VLOOKUP($AW280&amp;"初始",$O$3:$AA$63,MATCH(AZ$3,$O$3:$AA$3,0),FALSE))-(VLOOKUP($AW280&amp;"最终",$O$3:$AA$63,MATCH(AZ$3,$O$3:$AA$3,0),FALSE)-VLOOKUP($AW280&amp;"初始",$O$3:$AA$63,MATCH(AZ$3,$O$3:$AA$3,0),FALSE))*VLOOKUP(VLOOKUP($AW280,坦克个性化设定!$B$18:$E$48,4,FALSE)&amp;$AX280,坦克属性分配比例,MATCH("部件比例",坦克属性分配比例标头,0),FALSE))*$AY280/VLOOKUP(VLOOKUP($AW280,坦克个性化设定!$B$18:$E$48,4,FALSE)&amp;$AX280,坦克属性分配比例,MATCH("升星次数",坦克属性分配比例标头,0),FALSE),0)</f>
        <v>2154</v>
      </c>
      <c r="BA280" s="654">
        <f ca="1">ROUND(VLOOKUP($AW280&amp;"初始",$O$3:$AA$63,MATCH(BA$3,$O$3:$AA$3,0),FALSE)+(VLOOKUP($AW280&amp;"最终",$O$3:$AA$63,MATCH(BA$3,$O$3:$AA$3,0),FALSE)-VLOOKUP($AW280&amp;"初始",$O$3:$AA$63,MATCH(BA$3,$O$3:$AA$3,0),FALSE))*$AY280/VLOOKUP(VLOOKUP($AW280,坦克个性化设定!$B$18:$E$48,4,FALSE)&amp;$AX280,坦克属性分配比例,MATCH("升星次数",坦克属性分配比例标头,0),FALSE)*VLOOKUP(VLOOKUP($AW280,坦克个性化设定!$B$18:$E$48,4,FALSE)&amp;$AX280,坦克属性分配比例,MATCH("升星比例",坦克属性分配比例标头,0),FALSE),0)</f>
        <v>347</v>
      </c>
      <c r="BB280" s="654">
        <f ca="1">ROUND(VLOOKUP($AW280&amp;"初始",$O$3:$AA$63,MATCH(BB$3,$O$3:$AA$3,0),FALSE)+(VLOOKUP($AW280&amp;"最终",$O$3:$AA$63,MATCH(BB$3,$O$3:$AA$3,0),FALSE)-VLOOKUP($AW280&amp;"初始",$O$3:$AA$63,MATCH(BB$3,$O$3:$AA$3,0),FALSE))*$AY280/VLOOKUP(VLOOKUP($AW280,坦克个性化设定!$B$18:$E$48,4,FALSE)&amp;$AX280,坦克属性分配比例,MATCH("升星次数",坦克属性分配比例标头,0),FALSE)*(VLOOKUP(VLOOKUP($AW280,坦克个性化设定!$B$18:$E$48,4,FALSE)&amp;$AX280,坦克属性分配比例,MATCH("升星比例",坦克属性分配比例标头,0),FALSE)+VLOOKUP(VLOOKUP($AW280,坦克个性化设定!$B$18:$E$48,4,FALSE)&amp;$AX280,坦克属性分配比例,MATCH("部件比例",坦克属性分配比例标头,0),FALSE)*$C$3),0)</f>
        <v>617</v>
      </c>
      <c r="BC280" s="654">
        <f ca="1">ROUND(VLOOKUP($AW280&amp;"初始",$O$3:$AA$63,MATCH(BC$3,$O$3:$AA$3,0),FALSE)+(VLOOKUP($AW280&amp;"最终",$O$3:$AA$63,MATCH(BC$3,$O$3:$AA$3,0),FALSE)-VLOOKUP($AW280&amp;"初始",$O$3:$AA$63,MATCH(BC$3,$O$3:$AA$3,0),FALSE))*$AY280/VLOOKUP(VLOOKUP($AW280,坦克个性化设定!$B$18:$E$48,4,FALSE)&amp;$AX280,坦克属性分配比例,MATCH("升星次数",坦克属性分配比例标头,0),FALSE)*(VLOOKUP(VLOOKUP($AW280,坦克个性化设定!$B$18:$E$48,4,FALSE)&amp;$AX280,坦克属性分配比例,MATCH("升星比例",坦克属性分配比例标头,0),FALSE)+VLOOKUP(VLOOKUP($AW280,坦克个性化设定!$B$18:$E$48,4,FALSE)&amp;$AX280,坦克属性分配比例,MATCH("部件比例",坦克属性分配比例标头,0),FALSE)*$C$3),0)</f>
        <v>494</v>
      </c>
      <c r="BD280" s="654">
        <f ca="1">ROUND(VLOOKUP($AW280&amp;"初始",$O$3:$AA$63,MATCH(BD$3,$O$3:$AA$3,0),FALSE)+(VLOOKUP($AW280&amp;"最终",$O$3:$AA$63,MATCH(BD$3,$O$3:$AA$3,0),FALSE)-VLOOKUP($AW280&amp;"初始",$O$3:$AA$63,MATCH(BD$3,$O$3:$AA$3,0),FALSE))*$AY280/VLOOKUP(VLOOKUP($AW280,坦克个性化设定!$B$18:$E$48,4,FALSE)&amp;$AX280,坦克属性分配比例,MATCH("升星次数",坦克属性分配比例标头,0),FALSE)*VLOOKUP(VLOOKUP($AW280,坦克个性化设定!$B$18:$E$48,4,FALSE)&amp;$AX280,坦克属性分配比例,MATCH("升星比例",坦克属性分配比例标头,0),FALSE),0)</f>
        <v>739</v>
      </c>
      <c r="BE280" s="654">
        <f ca="1">ROUND(VLOOKUP($AW280&amp;"初始",$O$3:$AA$63,MATCH(BE$3,$O$3:$AA$3,0),FALSE)+(VLOOKUP($AW280&amp;"最终",$O$3:$AA$63,MATCH(BE$3,$O$3:$AA$3,0),FALSE)-VLOOKUP($AW280&amp;"初始",$O$3:$AA$63,MATCH(BE$3,$O$3:$AA$3,0),FALSE))*$AY280/VLOOKUP(VLOOKUP($AW280,坦克个性化设定!$B$18:$E$48,4,FALSE)&amp;$AX280,坦克属性分配比例,MATCH("升星次数",坦克属性分配比例标头,0),FALSE),0)</f>
        <v>200</v>
      </c>
      <c r="BF280" s="654">
        <f>ROUND(VLOOKUP($AW280,$AD$3:$AJ$33,MATCH(BF$3,$AD$3:$AJ$3,0),FALSE)+$AY280/VLOOKUP(VLOOKUP($AW280,坦克个性化设定!$B$18:$E$48,4,FALSE)&amp;$AX280,坦克属性分配比例,MATCH("升星次数",坦克属性分配比例标头,0),FALSE)*VLOOKUP($AW280,$AM$3:$AS$33,MATCH(BF$3,$AM$3:$AS$3,0),FALSE),1)</f>
        <v>37.200000000000003</v>
      </c>
      <c r="BG280" s="654">
        <f>ROUND(VLOOKUP($AW280,$AD$3:$AJ$33,MATCH(BG$3,$AD$3:$AJ$3,0),FALSE)+$AY280/VLOOKUP(VLOOKUP($AW280,坦克个性化设定!$B$18:$E$48,4,FALSE)&amp;$AX280,坦克属性分配比例,MATCH("升星次数",坦克属性分配比例标头,0),FALSE)*VLOOKUP($AW280,$AM$3:$AS$33,MATCH(BG$3,$AM$3:$AS$3,0),FALSE),1)</f>
        <v>52</v>
      </c>
      <c r="BH280" s="654">
        <f>ROUND(VLOOKUP($AW280,$AD$3:$AJ$33,MATCH(BH$3,$AD$3:$AJ$3,0),FALSE)+$AY280/VLOOKUP(VLOOKUP($AW280,坦克个性化设定!$B$18:$E$48,4,FALSE)&amp;$AX280,坦克属性分配比例,MATCH("升星次数",坦克属性分配比例标头,0),FALSE)*VLOOKUP($AW280,$AM$3:$AS$33,MATCH(BH$3,$AM$3:$AS$3,0),FALSE),1)</f>
        <v>11.8</v>
      </c>
      <c r="BI280" s="654">
        <f>IF(VLOOKUP(AW280,坦克个性化设定!$B$18:$BB$48,MATCH("装弹类型",坦克个性化设定!$B$18:$BB$18,0),FALSE)="弹夹换弹",0,ROUND(VLOOKUP($AW280,$AD$3:$AJ$33,MATCH("换弹时间",$AD$3:$AJ$3,0),FALSE)-$AY280/VLOOKUP(VLOOKUP($AW280,坦克个性化设定!$B$18:$E$48,4,FALSE)&amp;$AX280,坦克属性分配比例,MATCH("升星次数",坦克属性分配比例标头,0),FALSE)*VLOOKUP($AW280,$AM$3:$AS$33,MATCH("换弹时间",$AM$3:$AS$3,0),FALSE),2))</f>
        <v>4.88</v>
      </c>
      <c r="BJ280" s="654">
        <f>IF(VLOOKUP(AW280,坦克个性化设定!$B$18:$BB$48,MATCH("装弹类型",坦克个性化设定!$B$18:$BB$18,0),FALSE)="弹夹换弹",ROUND(VLOOKUP($AW280,$AD$3:$AJ$33,MATCH("换弹时间",$AD$3:$AJ$3,0),FALSE)-$AY280/VLOOKUP(VLOOKUP($AW280,坦克个性化设定!$B$18:$E$48,4,FALSE)&amp;$AX280,坦克属性分配比例,MATCH("升星次数",坦克属性分配比例标头,0),FALSE)*VLOOKUP($AW280,$AM$3:$AS$33,MATCH("换弹时间",$AM$3:$AS$3,0),FALSE),1),0)</f>
        <v>0</v>
      </c>
      <c r="BK280" s="654">
        <f>ROUND(VLOOKUP($AW280,$AD$3:$AJ$33,MATCH(BK$3,$AD$3:$AJ$3,0),FALSE)+$AY280/VLOOKUP(VLOOKUP($AW280,坦克个性化设定!$B$18:$E$48,4,FALSE)&amp;$AX280,坦克属性分配比例,MATCH("升星次数",坦克属性分配比例标头,0),FALSE)*VLOOKUP($AW280,$AM$3:$AS$33,MATCH(BK$3,$AM$3:$AS$3,0),FALSE),2)</f>
        <v>0</v>
      </c>
      <c r="BL280" s="654">
        <f>ROUND(VLOOKUP($AW280,$AD$3:$AJ$33,MATCH(BL$3,$AD$3:$AJ$3,0),FALSE)-$AY280/VLOOKUP(VLOOKUP($AW280,坦克个性化设定!$B$18:$E$48,4,FALSE)&amp;$AX280,坦克属性分配比例,MATCH("升星次数",坦克属性分配比例标头,0),FALSE)*VLOOKUP($AW280,$AM$3:$AS$33,MATCH(BL$3,$AM$3:$AS$3,0),FALSE),2)</f>
        <v>2.63</v>
      </c>
    </row>
    <row r="281" spans="47:64" x14ac:dyDescent="0.35">
      <c r="AU281" s="372" t="str">
        <f t="shared" si="30"/>
        <v>黑豹7</v>
      </c>
      <c r="AV281" s="654">
        <f>IF(AY280&gt;=VLOOKUP(VLOOKUP(AW280,坦克个性化设定!$B$18:$E$48,4,FALSE)&amp;AX280,坦克属性分配比例,MATCH("升星次数",坦克属性分配比例标头,0),FALSE),AV280+1,AV280)</f>
        <v>24</v>
      </c>
      <c r="AW281" s="649" t="str">
        <f t="shared" si="31"/>
        <v>黑豹</v>
      </c>
      <c r="AX281" s="650" t="str">
        <f>VLOOKUP(AW281,坦克个性化细分!$I$3:$J$33,2,FALSE)</f>
        <v>低</v>
      </c>
      <c r="AY281" s="654">
        <f t="shared" si="32"/>
        <v>7</v>
      </c>
      <c r="AZ281" s="654">
        <f ca="1">ROUND(VLOOKUP($AW281&amp;"初始",$O$3:$AA$63,MATCH(AZ$3,$O$3:$AA$3,0),FALSE)+((VLOOKUP($AW281&amp;"最终",$O$3:$AA$63,MATCH(AZ$3,$O$3:$AA$3,0),FALSE)*坦克个性化细分!$C$9-VLOOKUP($AW281&amp;"初始",$O$3:$AA$63,MATCH(AZ$3,$O$3:$AA$3,0),FALSE))-(VLOOKUP($AW281&amp;"最终",$O$3:$AA$63,MATCH(AZ$3,$O$3:$AA$3,0),FALSE)-VLOOKUP($AW281&amp;"初始",$O$3:$AA$63,MATCH(AZ$3,$O$3:$AA$3,0),FALSE))*VLOOKUP(VLOOKUP($AW281,坦克个性化设定!$B$18:$E$48,4,FALSE)&amp;$AX281,坦克属性分配比例,MATCH("部件比例",坦克属性分配比例标头,0),FALSE))*$AY281/VLOOKUP(VLOOKUP($AW281,坦克个性化设定!$B$18:$E$48,4,FALSE)&amp;$AX281,坦克属性分配比例,MATCH("升星次数",坦克属性分配比例标头,0),FALSE),0)</f>
        <v>2276</v>
      </c>
      <c r="BA281" s="654">
        <f ca="1">ROUND(VLOOKUP($AW281&amp;"初始",$O$3:$AA$63,MATCH(BA$3,$O$3:$AA$3,0),FALSE)+(VLOOKUP($AW281&amp;"最终",$O$3:$AA$63,MATCH(BA$3,$O$3:$AA$3,0),FALSE)-VLOOKUP($AW281&amp;"初始",$O$3:$AA$63,MATCH(BA$3,$O$3:$AA$3,0),FALSE))*$AY281/VLOOKUP(VLOOKUP($AW281,坦克个性化设定!$B$18:$E$48,4,FALSE)&amp;$AX281,坦克属性分配比例,MATCH("升星次数",坦克属性分配比例标头,0),FALSE)*VLOOKUP(VLOOKUP($AW281,坦克个性化设定!$B$18:$E$48,4,FALSE)&amp;$AX281,坦克属性分配比例,MATCH("升星比例",坦克属性分配比例标头,0),FALSE),0)</f>
        <v>355</v>
      </c>
      <c r="BB281" s="654">
        <f ca="1">ROUND(VLOOKUP($AW281&amp;"初始",$O$3:$AA$63,MATCH(BB$3,$O$3:$AA$3,0),FALSE)+(VLOOKUP($AW281&amp;"最终",$O$3:$AA$63,MATCH(BB$3,$O$3:$AA$3,0),FALSE)-VLOOKUP($AW281&amp;"初始",$O$3:$AA$63,MATCH(BB$3,$O$3:$AA$3,0),FALSE))*$AY281/VLOOKUP(VLOOKUP($AW281,坦克个性化设定!$B$18:$E$48,4,FALSE)&amp;$AX281,坦克属性分配比例,MATCH("升星次数",坦克属性分配比例标头,0),FALSE)*(VLOOKUP(VLOOKUP($AW281,坦克个性化设定!$B$18:$E$48,4,FALSE)&amp;$AX281,坦克属性分配比例,MATCH("升星比例",坦克属性分配比例标头,0),FALSE)+VLOOKUP(VLOOKUP($AW281,坦克个性化设定!$B$18:$E$48,4,FALSE)&amp;$AX281,坦克属性分配比例,MATCH("部件比例",坦克属性分配比例标头,0),FALSE)*$C$3),0)</f>
        <v>642</v>
      </c>
      <c r="BC281" s="654">
        <f ca="1">ROUND(VLOOKUP($AW281&amp;"初始",$O$3:$AA$63,MATCH(BC$3,$O$3:$AA$3,0),FALSE)+(VLOOKUP($AW281&amp;"最终",$O$3:$AA$63,MATCH(BC$3,$O$3:$AA$3,0),FALSE)-VLOOKUP($AW281&amp;"初始",$O$3:$AA$63,MATCH(BC$3,$O$3:$AA$3,0),FALSE))*$AY281/VLOOKUP(VLOOKUP($AW281,坦克个性化设定!$B$18:$E$48,4,FALSE)&amp;$AX281,坦克属性分配比例,MATCH("升星次数",坦克属性分配比例标头,0),FALSE)*(VLOOKUP(VLOOKUP($AW281,坦克个性化设定!$B$18:$E$48,4,FALSE)&amp;$AX281,坦克属性分配比例,MATCH("升星比例",坦克属性分配比例标头,0),FALSE)+VLOOKUP(VLOOKUP($AW281,坦克个性化设定!$B$18:$E$48,4,FALSE)&amp;$AX281,坦克属性分配比例,MATCH("部件比例",坦克属性分配比例标头,0),FALSE)*$C$3),0)</f>
        <v>513</v>
      </c>
      <c r="BD281" s="654">
        <f ca="1">ROUND(VLOOKUP($AW281&amp;"初始",$O$3:$AA$63,MATCH(BD$3,$O$3:$AA$3,0),FALSE)+(VLOOKUP($AW281&amp;"最终",$O$3:$AA$63,MATCH(BD$3,$O$3:$AA$3,0),FALSE)-VLOOKUP($AW281&amp;"初始",$O$3:$AA$63,MATCH(BD$3,$O$3:$AA$3,0),FALSE))*$AY281/VLOOKUP(VLOOKUP($AW281,坦克个性化设定!$B$18:$E$48,4,FALSE)&amp;$AX281,坦克属性分配比例,MATCH("升星次数",坦克属性分配比例标头,0),FALSE)*VLOOKUP(VLOOKUP($AW281,坦克个性化设定!$B$18:$E$48,4,FALSE)&amp;$AX281,坦克属性分配比例,MATCH("升星比例",坦克属性分配比例标头,0),FALSE),0)</f>
        <v>758</v>
      </c>
      <c r="BE281" s="654">
        <f ca="1">ROUND(VLOOKUP($AW281&amp;"初始",$O$3:$AA$63,MATCH(BE$3,$O$3:$AA$3,0),FALSE)+(VLOOKUP($AW281&amp;"最终",$O$3:$AA$63,MATCH(BE$3,$O$3:$AA$3,0),FALSE)-VLOOKUP($AW281&amp;"初始",$O$3:$AA$63,MATCH(BE$3,$O$3:$AA$3,0),FALSE))*$AY281/VLOOKUP(VLOOKUP($AW281,坦克个性化设定!$B$18:$E$48,4,FALSE)&amp;$AX281,坦克属性分配比例,MATCH("升星次数",坦克属性分配比例标头,0),FALSE),0)</f>
        <v>210</v>
      </c>
      <c r="BF281" s="654">
        <f>ROUND(VLOOKUP($AW281,$AD$3:$AJ$33,MATCH(BF$3,$AD$3:$AJ$3,0),FALSE)+$AY281/VLOOKUP(VLOOKUP($AW281,坦克个性化设定!$B$18:$E$48,4,FALSE)&amp;$AX281,坦克属性分配比例,MATCH("升星次数",坦克属性分配比例标头,0),FALSE)*VLOOKUP($AW281,$AM$3:$AS$33,MATCH(BF$3,$AM$3:$AS$3,0),FALSE),1)</f>
        <v>38.1</v>
      </c>
      <c r="BG281" s="654">
        <f>ROUND(VLOOKUP($AW281,$AD$3:$AJ$33,MATCH(BG$3,$AD$3:$AJ$3,0),FALSE)+$AY281/VLOOKUP(VLOOKUP($AW281,坦克个性化设定!$B$18:$E$48,4,FALSE)&amp;$AX281,坦克属性分配比例,MATCH("升星次数",坦克属性分配比例标头,0),FALSE)*VLOOKUP($AW281,$AM$3:$AS$33,MATCH(BG$3,$AM$3:$AS$3,0),FALSE),1)</f>
        <v>53.4</v>
      </c>
      <c r="BH281" s="654">
        <f>ROUND(VLOOKUP($AW281,$AD$3:$AJ$33,MATCH(BH$3,$AD$3:$AJ$3,0),FALSE)+$AY281/VLOOKUP(VLOOKUP($AW281,坦克个性化设定!$B$18:$E$48,4,FALSE)&amp;$AX281,坦克属性分配比例,MATCH("升星次数",坦克属性分配比例标头,0),FALSE)*VLOOKUP($AW281,$AM$3:$AS$33,MATCH(BH$3,$AM$3:$AS$3,0),FALSE),1)</f>
        <v>12.2</v>
      </c>
      <c r="BI281" s="654">
        <f>IF(VLOOKUP(AW281,坦克个性化设定!$B$18:$BB$48,MATCH("装弹类型",坦克个性化设定!$B$18:$BB$18,0),FALSE)="弹夹换弹",0,ROUND(VLOOKUP($AW281,$AD$3:$AJ$33,MATCH("换弹时间",$AD$3:$AJ$3,0),FALSE)-$AY281/VLOOKUP(VLOOKUP($AW281,坦克个性化设定!$B$18:$E$48,4,FALSE)&amp;$AX281,坦克属性分配比例,MATCH("升星次数",坦克属性分配比例标头,0),FALSE)*VLOOKUP($AW281,$AM$3:$AS$33,MATCH("换弹时间",$AM$3:$AS$3,0),FALSE),2))</f>
        <v>4.7</v>
      </c>
      <c r="BJ281" s="654">
        <f>IF(VLOOKUP(AW281,坦克个性化设定!$B$18:$BB$48,MATCH("装弹类型",坦克个性化设定!$B$18:$BB$18,0),FALSE)="弹夹换弹",ROUND(VLOOKUP($AW281,$AD$3:$AJ$33,MATCH("换弹时间",$AD$3:$AJ$3,0),FALSE)-$AY281/VLOOKUP(VLOOKUP($AW281,坦克个性化设定!$B$18:$E$48,4,FALSE)&amp;$AX281,坦克属性分配比例,MATCH("升星次数",坦克属性分配比例标头,0),FALSE)*VLOOKUP($AW281,$AM$3:$AS$33,MATCH("换弹时间",$AM$3:$AS$3,0),FALSE),1),0)</f>
        <v>0</v>
      </c>
      <c r="BK281" s="654">
        <f>ROUND(VLOOKUP($AW281,$AD$3:$AJ$33,MATCH(BK$3,$AD$3:$AJ$3,0),FALSE)+$AY281/VLOOKUP(VLOOKUP($AW281,坦克个性化设定!$B$18:$E$48,4,FALSE)&amp;$AX281,坦克属性分配比例,MATCH("升星次数",坦克属性分配比例标头,0),FALSE)*VLOOKUP($AW281,$AM$3:$AS$33,MATCH(BK$3,$AM$3:$AS$3,0),FALSE),2)</f>
        <v>0</v>
      </c>
      <c r="BL281" s="654">
        <f>ROUND(VLOOKUP($AW281,$AD$3:$AJ$33,MATCH(BL$3,$AD$3:$AJ$3,0),FALSE)-$AY281/VLOOKUP(VLOOKUP($AW281,坦克个性化设定!$B$18:$E$48,4,FALSE)&amp;$AX281,坦克属性分配比例,MATCH("升星次数",坦克属性分配比例标头,0),FALSE)*VLOOKUP($AW281,$AM$3:$AS$33,MATCH(BL$3,$AM$3:$AS$3,0),FALSE),2)</f>
        <v>2.56</v>
      </c>
    </row>
    <row r="282" spans="47:64" x14ac:dyDescent="0.35">
      <c r="AU282" s="372" t="str">
        <f t="shared" si="30"/>
        <v>黑豹8</v>
      </c>
      <c r="AV282" s="654">
        <f>IF(AY281&gt;=VLOOKUP(VLOOKUP(AW281,坦克个性化设定!$B$18:$E$48,4,FALSE)&amp;AX281,坦克属性分配比例,MATCH("升星次数",坦克属性分配比例标头,0),FALSE),AV281+1,AV281)</f>
        <v>24</v>
      </c>
      <c r="AW282" s="649" t="str">
        <f t="shared" si="31"/>
        <v>黑豹</v>
      </c>
      <c r="AX282" s="650" t="str">
        <f>VLOOKUP(AW282,坦克个性化细分!$I$3:$J$33,2,FALSE)</f>
        <v>低</v>
      </c>
      <c r="AY282" s="654">
        <f t="shared" si="32"/>
        <v>8</v>
      </c>
      <c r="AZ282" s="654">
        <f ca="1">ROUND(VLOOKUP($AW282&amp;"初始",$O$3:$AA$63,MATCH(AZ$3,$O$3:$AA$3,0),FALSE)+((VLOOKUP($AW282&amp;"最终",$O$3:$AA$63,MATCH(AZ$3,$O$3:$AA$3,0),FALSE)*坦克个性化细分!$C$9-VLOOKUP($AW282&amp;"初始",$O$3:$AA$63,MATCH(AZ$3,$O$3:$AA$3,0),FALSE))-(VLOOKUP($AW282&amp;"最终",$O$3:$AA$63,MATCH(AZ$3,$O$3:$AA$3,0),FALSE)-VLOOKUP($AW282&amp;"初始",$O$3:$AA$63,MATCH(AZ$3,$O$3:$AA$3,0),FALSE))*VLOOKUP(VLOOKUP($AW282,坦克个性化设定!$B$18:$E$48,4,FALSE)&amp;$AX282,坦克属性分配比例,MATCH("部件比例",坦克属性分配比例标头,0),FALSE))*$AY282/VLOOKUP(VLOOKUP($AW282,坦克个性化设定!$B$18:$E$48,4,FALSE)&amp;$AX282,坦克属性分配比例,MATCH("升星次数",坦克属性分配比例标头,0),FALSE),0)</f>
        <v>2399</v>
      </c>
      <c r="BA282" s="654">
        <f ca="1">ROUND(VLOOKUP($AW282&amp;"初始",$O$3:$AA$63,MATCH(BA$3,$O$3:$AA$3,0),FALSE)+(VLOOKUP($AW282&amp;"最终",$O$3:$AA$63,MATCH(BA$3,$O$3:$AA$3,0),FALSE)-VLOOKUP($AW282&amp;"初始",$O$3:$AA$63,MATCH(BA$3,$O$3:$AA$3,0),FALSE))*$AY282/VLOOKUP(VLOOKUP($AW282,坦克个性化设定!$B$18:$E$48,4,FALSE)&amp;$AX282,坦克属性分配比例,MATCH("升星次数",坦克属性分配比例标头,0),FALSE)*VLOOKUP(VLOOKUP($AW282,坦克个性化设定!$B$18:$E$48,4,FALSE)&amp;$AX282,坦克属性分配比例,MATCH("升星比例",坦克属性分配比例标头,0),FALSE),0)</f>
        <v>364</v>
      </c>
      <c r="BB282" s="654">
        <f ca="1">ROUND(VLOOKUP($AW282&amp;"初始",$O$3:$AA$63,MATCH(BB$3,$O$3:$AA$3,0),FALSE)+(VLOOKUP($AW282&amp;"最终",$O$3:$AA$63,MATCH(BB$3,$O$3:$AA$3,0),FALSE)-VLOOKUP($AW282&amp;"初始",$O$3:$AA$63,MATCH(BB$3,$O$3:$AA$3,0),FALSE))*$AY282/VLOOKUP(VLOOKUP($AW282,坦克个性化设定!$B$18:$E$48,4,FALSE)&amp;$AX282,坦克属性分配比例,MATCH("升星次数",坦克属性分配比例标头,0),FALSE)*(VLOOKUP(VLOOKUP($AW282,坦克个性化设定!$B$18:$E$48,4,FALSE)&amp;$AX282,坦克属性分配比例,MATCH("升星比例",坦克属性分配比例标头,0),FALSE)+VLOOKUP(VLOOKUP($AW282,坦克个性化设定!$B$18:$E$48,4,FALSE)&amp;$AX282,坦克属性分配比例,MATCH("部件比例",坦克属性分配比例标头,0),FALSE)*$C$3),0)</f>
        <v>666</v>
      </c>
      <c r="BC282" s="654">
        <f ca="1">ROUND(VLOOKUP($AW282&amp;"初始",$O$3:$AA$63,MATCH(BC$3,$O$3:$AA$3,0),FALSE)+(VLOOKUP($AW282&amp;"最终",$O$3:$AA$63,MATCH(BC$3,$O$3:$AA$3,0),FALSE)-VLOOKUP($AW282&amp;"初始",$O$3:$AA$63,MATCH(BC$3,$O$3:$AA$3,0),FALSE))*$AY282/VLOOKUP(VLOOKUP($AW282,坦克个性化设定!$B$18:$E$48,4,FALSE)&amp;$AX282,坦克属性分配比例,MATCH("升星次数",坦克属性分配比例标头,0),FALSE)*(VLOOKUP(VLOOKUP($AW282,坦克个性化设定!$B$18:$E$48,4,FALSE)&amp;$AX282,坦克属性分配比例,MATCH("升星比例",坦克属性分配比例标头,0),FALSE)+VLOOKUP(VLOOKUP($AW282,坦克个性化设定!$B$18:$E$48,4,FALSE)&amp;$AX282,坦克属性分配比例,MATCH("部件比例",坦克属性分配比例标头,0),FALSE)*$C$3),0)</f>
        <v>532</v>
      </c>
      <c r="BD282" s="654">
        <f ca="1">ROUND(VLOOKUP($AW282&amp;"初始",$O$3:$AA$63,MATCH(BD$3,$O$3:$AA$3,0),FALSE)+(VLOOKUP($AW282&amp;"最终",$O$3:$AA$63,MATCH(BD$3,$O$3:$AA$3,0),FALSE)-VLOOKUP($AW282&amp;"初始",$O$3:$AA$63,MATCH(BD$3,$O$3:$AA$3,0),FALSE))*$AY282/VLOOKUP(VLOOKUP($AW282,坦克个性化设定!$B$18:$E$48,4,FALSE)&amp;$AX282,坦克属性分配比例,MATCH("升星次数",坦克属性分配比例标头,0),FALSE)*VLOOKUP(VLOOKUP($AW282,坦克个性化设定!$B$18:$E$48,4,FALSE)&amp;$AX282,坦克属性分配比例,MATCH("升星比例",坦克属性分配比例标头,0),FALSE),0)</f>
        <v>776</v>
      </c>
      <c r="BE282" s="654">
        <f ca="1">ROUND(VLOOKUP($AW282&amp;"初始",$O$3:$AA$63,MATCH(BE$3,$O$3:$AA$3,0),FALSE)+(VLOOKUP($AW282&amp;"最终",$O$3:$AA$63,MATCH(BE$3,$O$3:$AA$3,0),FALSE)-VLOOKUP($AW282&amp;"初始",$O$3:$AA$63,MATCH(BE$3,$O$3:$AA$3,0),FALSE))*$AY282/VLOOKUP(VLOOKUP($AW282,坦克个性化设定!$B$18:$E$48,4,FALSE)&amp;$AX282,坦克属性分配比例,MATCH("升星次数",坦克属性分配比例标头,0),FALSE),0)</f>
        <v>219</v>
      </c>
      <c r="BF282" s="654">
        <f>ROUND(VLOOKUP($AW282,$AD$3:$AJ$33,MATCH(BF$3,$AD$3:$AJ$3,0),FALSE)+$AY282/VLOOKUP(VLOOKUP($AW282,坦克个性化设定!$B$18:$E$48,4,FALSE)&amp;$AX282,坦克属性分配比例,MATCH("升星次数",坦克属性分配比例标头,0),FALSE)*VLOOKUP($AW282,$AM$3:$AS$33,MATCH(BF$3,$AM$3:$AS$3,0),FALSE),1)</f>
        <v>39.1</v>
      </c>
      <c r="BG282" s="654">
        <f>ROUND(VLOOKUP($AW282,$AD$3:$AJ$33,MATCH(BG$3,$AD$3:$AJ$3,0),FALSE)+$AY282/VLOOKUP(VLOOKUP($AW282,坦克个性化设定!$B$18:$E$48,4,FALSE)&amp;$AX282,坦克属性分配比例,MATCH("升星次数",坦克属性分配比例标头,0),FALSE)*VLOOKUP($AW282,$AM$3:$AS$33,MATCH(BG$3,$AM$3:$AS$3,0),FALSE),1)</f>
        <v>54.8</v>
      </c>
      <c r="BH282" s="654">
        <f>ROUND(VLOOKUP($AW282,$AD$3:$AJ$33,MATCH(BH$3,$AD$3:$AJ$3,0),FALSE)+$AY282/VLOOKUP(VLOOKUP($AW282,坦克个性化设定!$B$18:$E$48,4,FALSE)&amp;$AX282,坦克属性分配比例,MATCH("升星次数",坦克属性分配比例标头,0),FALSE)*VLOOKUP($AW282,$AM$3:$AS$33,MATCH(BH$3,$AM$3:$AS$3,0),FALSE),1)</f>
        <v>12.6</v>
      </c>
      <c r="BI282" s="654">
        <f>IF(VLOOKUP(AW282,坦克个性化设定!$B$18:$BB$48,MATCH("装弹类型",坦克个性化设定!$B$18:$BB$18,0),FALSE)="弹夹换弹",0,ROUND(VLOOKUP($AW282,$AD$3:$AJ$33,MATCH("换弹时间",$AD$3:$AJ$3,0),FALSE)-$AY282/VLOOKUP(VLOOKUP($AW282,坦克个性化设定!$B$18:$E$48,4,FALSE)&amp;$AX282,坦克属性分配比例,MATCH("升星次数",坦克属性分配比例标头,0),FALSE)*VLOOKUP($AW282,$AM$3:$AS$33,MATCH("换弹时间",$AM$3:$AS$3,0),FALSE),2))</f>
        <v>4.51</v>
      </c>
      <c r="BJ282" s="654">
        <f>IF(VLOOKUP(AW282,坦克个性化设定!$B$18:$BB$48,MATCH("装弹类型",坦克个性化设定!$B$18:$BB$18,0),FALSE)="弹夹换弹",ROUND(VLOOKUP($AW282,$AD$3:$AJ$33,MATCH("换弹时间",$AD$3:$AJ$3,0),FALSE)-$AY282/VLOOKUP(VLOOKUP($AW282,坦克个性化设定!$B$18:$E$48,4,FALSE)&amp;$AX282,坦克属性分配比例,MATCH("升星次数",坦克属性分配比例标头,0),FALSE)*VLOOKUP($AW282,$AM$3:$AS$33,MATCH("换弹时间",$AM$3:$AS$3,0),FALSE),1),0)</f>
        <v>0</v>
      </c>
      <c r="BK282" s="654">
        <f>ROUND(VLOOKUP($AW282,$AD$3:$AJ$33,MATCH(BK$3,$AD$3:$AJ$3,0),FALSE)+$AY282/VLOOKUP(VLOOKUP($AW282,坦克个性化设定!$B$18:$E$48,4,FALSE)&amp;$AX282,坦克属性分配比例,MATCH("升星次数",坦克属性分配比例标头,0),FALSE)*VLOOKUP($AW282,$AM$3:$AS$33,MATCH(BK$3,$AM$3:$AS$3,0),FALSE),2)</f>
        <v>0</v>
      </c>
      <c r="BL282" s="654">
        <f>ROUND(VLOOKUP($AW282,$AD$3:$AJ$33,MATCH(BL$3,$AD$3:$AJ$3,0),FALSE)-$AY282/VLOOKUP(VLOOKUP($AW282,坦克个性化设定!$B$18:$E$48,4,FALSE)&amp;$AX282,坦克属性分配比例,MATCH("升星次数",坦克属性分配比例标头,0),FALSE)*VLOOKUP($AW282,$AM$3:$AS$33,MATCH(BL$3,$AM$3:$AS$3,0),FALSE),2)</f>
        <v>2.5</v>
      </c>
    </row>
    <row r="283" spans="47:64" x14ac:dyDescent="0.35">
      <c r="AU283" s="372" t="str">
        <f t="shared" si="30"/>
        <v>虎式0</v>
      </c>
      <c r="AV283" s="654">
        <f>IF(AY282&gt;=VLOOKUP(VLOOKUP(AW282,坦克个性化设定!$B$18:$E$48,4,FALSE)&amp;AX282,坦克属性分配比例,MATCH("升星次数",坦克属性分配比例标头,0),FALSE),AV282+1,AV282)</f>
        <v>25</v>
      </c>
      <c r="AW283" s="649" t="str">
        <f t="shared" si="31"/>
        <v>虎式</v>
      </c>
      <c r="AX283" s="650" t="str">
        <f>VLOOKUP(AW283,坦克个性化细分!$I$3:$J$33,2,FALSE)</f>
        <v>中</v>
      </c>
      <c r="AY283" s="654">
        <f t="shared" si="32"/>
        <v>0</v>
      </c>
      <c r="AZ283" s="654">
        <f ca="1">ROUND(VLOOKUP($AW283&amp;"初始",$O$3:$AA$63,MATCH(AZ$3,$O$3:$AA$3,0),FALSE)+((VLOOKUP($AW283&amp;"最终",$O$3:$AA$63,MATCH(AZ$3,$O$3:$AA$3,0),FALSE)*坦克个性化细分!$C$9-VLOOKUP($AW283&amp;"初始",$O$3:$AA$63,MATCH(AZ$3,$O$3:$AA$3,0),FALSE))-(VLOOKUP($AW283&amp;"最终",$O$3:$AA$63,MATCH(AZ$3,$O$3:$AA$3,0),FALSE)-VLOOKUP($AW283&amp;"初始",$O$3:$AA$63,MATCH(AZ$3,$O$3:$AA$3,0),FALSE))*VLOOKUP(VLOOKUP($AW283,坦克个性化设定!$B$18:$E$48,4,FALSE)&amp;$AX283,坦克属性分配比例,MATCH("部件比例",坦克属性分配比例标头,0),FALSE))*$AY283/VLOOKUP(VLOOKUP($AW283,坦克个性化设定!$B$18:$E$48,4,FALSE)&amp;$AX283,坦克属性分配比例,MATCH("升星次数",坦克属性分配比例标头,0),FALSE),0)</f>
        <v>1404</v>
      </c>
      <c r="BA283" s="654">
        <f ca="1">ROUND(VLOOKUP($AW283&amp;"初始",$O$3:$AA$63,MATCH(BA$3,$O$3:$AA$3,0),FALSE)+(VLOOKUP($AW283&amp;"最终",$O$3:$AA$63,MATCH(BA$3,$O$3:$AA$3,0),FALSE)-VLOOKUP($AW283&amp;"初始",$O$3:$AA$63,MATCH(BA$3,$O$3:$AA$3,0),FALSE))*$AY283/VLOOKUP(VLOOKUP($AW283,坦克个性化设定!$B$18:$E$48,4,FALSE)&amp;$AX283,坦克属性分配比例,MATCH("升星次数",坦克属性分配比例标头,0),FALSE)*VLOOKUP(VLOOKUP($AW283,坦克个性化设定!$B$18:$E$48,4,FALSE)&amp;$AX283,坦克属性分配比例,MATCH("升星比例",坦克属性分配比例标头,0),FALSE),0)</f>
        <v>317</v>
      </c>
      <c r="BB283" s="654">
        <f ca="1">ROUND(VLOOKUP($AW283&amp;"初始",$O$3:$AA$63,MATCH(BB$3,$O$3:$AA$3,0),FALSE)+(VLOOKUP($AW283&amp;"最终",$O$3:$AA$63,MATCH(BB$3,$O$3:$AA$3,0),FALSE)-VLOOKUP($AW283&amp;"初始",$O$3:$AA$63,MATCH(BB$3,$O$3:$AA$3,0),FALSE))*$AY283/VLOOKUP(VLOOKUP($AW283,坦克个性化设定!$B$18:$E$48,4,FALSE)&amp;$AX283,坦克属性分配比例,MATCH("升星次数",坦克属性分配比例标头,0),FALSE)*(VLOOKUP(VLOOKUP($AW283,坦克个性化设定!$B$18:$E$48,4,FALSE)&amp;$AX283,坦克属性分配比例,MATCH("升星比例",坦克属性分配比例标头,0),FALSE)+VLOOKUP(VLOOKUP($AW283,坦克个性化设定!$B$18:$E$48,4,FALSE)&amp;$AX283,坦克属性分配比例,MATCH("部件比例",坦克属性分配比例标头,0),FALSE)*$C$3),0)</f>
        <v>486</v>
      </c>
      <c r="BC283" s="654">
        <f ca="1">ROUND(VLOOKUP($AW283&amp;"初始",$O$3:$AA$63,MATCH(BC$3,$O$3:$AA$3,0),FALSE)+(VLOOKUP($AW283&amp;"最终",$O$3:$AA$63,MATCH(BC$3,$O$3:$AA$3,0),FALSE)-VLOOKUP($AW283&amp;"初始",$O$3:$AA$63,MATCH(BC$3,$O$3:$AA$3,0),FALSE))*$AY283/VLOOKUP(VLOOKUP($AW283,坦克个性化设定!$B$18:$E$48,4,FALSE)&amp;$AX283,坦克属性分配比例,MATCH("升星次数",坦克属性分配比例标头,0),FALSE)*(VLOOKUP(VLOOKUP($AW283,坦克个性化设定!$B$18:$E$48,4,FALSE)&amp;$AX283,坦克属性分配比例,MATCH("升星比例",坦克属性分配比例标头,0),FALSE)+VLOOKUP(VLOOKUP($AW283,坦克个性化设定!$B$18:$E$48,4,FALSE)&amp;$AX283,坦克属性分配比例,MATCH("部件比例",坦克属性分配比例标头,0),FALSE)*$C$3),0)</f>
        <v>388</v>
      </c>
      <c r="BD283" s="654">
        <f ca="1">ROUND(VLOOKUP($AW283&amp;"初始",$O$3:$AA$63,MATCH(BD$3,$O$3:$AA$3,0),FALSE)+(VLOOKUP($AW283&amp;"最终",$O$3:$AA$63,MATCH(BD$3,$O$3:$AA$3,0),FALSE)-VLOOKUP($AW283&amp;"初始",$O$3:$AA$63,MATCH(BD$3,$O$3:$AA$3,0),FALSE))*$AY283/VLOOKUP(VLOOKUP($AW283,坦克个性化设定!$B$18:$E$48,4,FALSE)&amp;$AX283,坦克属性分配比例,MATCH("升星次数",坦克属性分配比例标头,0),FALSE)*VLOOKUP(VLOOKUP($AW283,坦克个性化设定!$B$18:$E$48,4,FALSE)&amp;$AX283,坦克属性分配比例,MATCH("升星比例",坦克属性分配比例标头,0),FALSE),0)</f>
        <v>649</v>
      </c>
      <c r="BE283" s="654">
        <f ca="1">ROUND(VLOOKUP($AW283&amp;"初始",$O$3:$AA$63,MATCH(BE$3,$O$3:$AA$3,0),FALSE)+(VLOOKUP($AW283&amp;"最终",$O$3:$AA$63,MATCH(BE$3,$O$3:$AA$3,0),FALSE)-VLOOKUP($AW283&amp;"初始",$O$3:$AA$63,MATCH(BE$3,$O$3:$AA$3,0),FALSE))*$AY283/VLOOKUP(VLOOKUP($AW283,坦克个性化设定!$B$18:$E$48,4,FALSE)&amp;$AX283,坦克属性分配比例,MATCH("升星次数",坦克属性分配比例标头,0),FALSE),0)</f>
        <v>147</v>
      </c>
      <c r="BF283" s="654">
        <f>ROUND(VLOOKUP($AW283,$AD$3:$AJ$33,MATCH(BF$3,$AD$3:$AJ$3,0),FALSE)+$AY283/VLOOKUP(VLOOKUP($AW283,坦克个性化设定!$B$18:$E$48,4,FALSE)&amp;$AX283,坦克属性分配比例,MATCH("升星次数",坦克属性分配比例标头,0),FALSE)*VLOOKUP($AW283,$AM$3:$AS$33,MATCH(BF$3,$AM$3:$AS$3,0),FALSE),1)</f>
        <v>32</v>
      </c>
      <c r="BG283" s="654">
        <f>ROUND(VLOOKUP($AW283,$AD$3:$AJ$33,MATCH(BG$3,$AD$3:$AJ$3,0),FALSE)+$AY283/VLOOKUP(VLOOKUP($AW283,坦克个性化设定!$B$18:$E$48,4,FALSE)&amp;$AX283,坦克属性分配比例,MATCH("升星次数",坦克属性分配比例标头,0),FALSE)*VLOOKUP($AW283,$AM$3:$AS$33,MATCH(BG$3,$AM$3:$AS$3,0),FALSE),1)</f>
        <v>44.6</v>
      </c>
      <c r="BH283" s="654">
        <f>ROUND(VLOOKUP($AW283,$AD$3:$AJ$33,MATCH(BH$3,$AD$3:$AJ$3,0),FALSE)+$AY283/VLOOKUP(VLOOKUP($AW283,坦克个性化设定!$B$18:$E$48,4,FALSE)&amp;$AX283,坦克属性分配比例,MATCH("升星次数",坦克属性分配比例标头,0),FALSE)*VLOOKUP($AW283,$AM$3:$AS$33,MATCH(BH$3,$AM$3:$AS$3,0),FALSE),1)</f>
        <v>9.6</v>
      </c>
      <c r="BI283" s="654">
        <f>IF(VLOOKUP(AW283,坦克个性化设定!$B$18:$BB$48,MATCH("装弹类型",坦克个性化设定!$B$18:$BB$18,0),FALSE)="弹夹换弹",0,ROUND(VLOOKUP($AW283,$AD$3:$AJ$33,MATCH("换弹时间",$AD$3:$AJ$3,0),FALSE)-$AY283/VLOOKUP(VLOOKUP($AW283,坦克个性化设定!$B$18:$E$48,4,FALSE)&amp;$AX283,坦克属性分配比例,MATCH("升星次数",坦克属性分配比例标头,0),FALSE)*VLOOKUP($AW283,$AM$3:$AS$33,MATCH("换弹时间",$AM$3:$AS$3,0),FALSE),2))</f>
        <v>6</v>
      </c>
      <c r="BJ283" s="654">
        <f>IF(VLOOKUP(AW283,坦克个性化设定!$B$18:$BB$48,MATCH("装弹类型",坦克个性化设定!$B$18:$BB$18,0),FALSE)="弹夹换弹",ROUND(VLOOKUP($AW283,$AD$3:$AJ$33,MATCH("换弹时间",$AD$3:$AJ$3,0),FALSE)-$AY283/VLOOKUP(VLOOKUP($AW283,坦克个性化设定!$B$18:$E$48,4,FALSE)&amp;$AX283,坦克属性分配比例,MATCH("升星次数",坦克属性分配比例标头,0),FALSE)*VLOOKUP($AW283,$AM$3:$AS$33,MATCH("换弹时间",$AM$3:$AS$3,0),FALSE),1),0)</f>
        <v>0</v>
      </c>
      <c r="BK283" s="654">
        <f>ROUND(VLOOKUP($AW283,$AD$3:$AJ$33,MATCH(BK$3,$AD$3:$AJ$3,0),FALSE)+$AY283/VLOOKUP(VLOOKUP($AW283,坦克个性化设定!$B$18:$E$48,4,FALSE)&amp;$AX283,坦克属性分配比例,MATCH("升星次数",坦克属性分配比例标头,0),FALSE)*VLOOKUP($AW283,$AM$3:$AS$33,MATCH(BK$3,$AM$3:$AS$3,0),FALSE),2)</f>
        <v>0</v>
      </c>
      <c r="BL283" s="654">
        <f>ROUND(VLOOKUP($AW283,$AD$3:$AJ$33,MATCH(BL$3,$AD$3:$AJ$3,0),FALSE)-$AY283/VLOOKUP(VLOOKUP($AW283,坦克个性化设定!$B$18:$E$48,4,FALSE)&amp;$AX283,坦克属性分配比例,MATCH("升星次数",坦克属性分配比例标头,0),FALSE)*VLOOKUP($AW283,$AM$3:$AS$33,MATCH(BL$3,$AM$3:$AS$3,0),FALSE),2)</f>
        <v>3</v>
      </c>
    </row>
    <row r="284" spans="47:64" x14ac:dyDescent="0.35">
      <c r="AU284" s="372" t="str">
        <f t="shared" si="30"/>
        <v>虎式1</v>
      </c>
      <c r="AV284" s="654">
        <f>IF(AY283&gt;=VLOOKUP(VLOOKUP(AW283,坦克个性化设定!$B$18:$E$48,4,FALSE)&amp;AX283,坦克属性分配比例,MATCH("升星次数",坦克属性分配比例标头,0),FALSE),AV283+1,AV283)</f>
        <v>25</v>
      </c>
      <c r="AW284" s="649" t="str">
        <f t="shared" si="31"/>
        <v>虎式</v>
      </c>
      <c r="AX284" s="650" t="str">
        <f>VLOOKUP(AW284,坦克个性化细分!$I$3:$J$33,2,FALSE)</f>
        <v>中</v>
      </c>
      <c r="AY284" s="654">
        <f t="shared" si="32"/>
        <v>1</v>
      </c>
      <c r="AZ284" s="654">
        <f ca="1">ROUND(VLOOKUP($AW284&amp;"初始",$O$3:$AA$63,MATCH(AZ$3,$O$3:$AA$3,0),FALSE)+((VLOOKUP($AW284&amp;"最终",$O$3:$AA$63,MATCH(AZ$3,$O$3:$AA$3,0),FALSE)*坦克个性化细分!$C$9-VLOOKUP($AW284&amp;"初始",$O$3:$AA$63,MATCH(AZ$3,$O$3:$AA$3,0),FALSE))-(VLOOKUP($AW284&amp;"最终",$O$3:$AA$63,MATCH(AZ$3,$O$3:$AA$3,0),FALSE)-VLOOKUP($AW284&amp;"初始",$O$3:$AA$63,MATCH(AZ$3,$O$3:$AA$3,0),FALSE))*VLOOKUP(VLOOKUP($AW284,坦克个性化设定!$B$18:$E$48,4,FALSE)&amp;$AX284,坦克属性分配比例,MATCH("部件比例",坦克属性分配比例标头,0),FALSE))*$AY284/VLOOKUP(VLOOKUP($AW284,坦克个性化设定!$B$18:$E$48,4,FALSE)&amp;$AX284,坦克属性分配比例,MATCH("升星次数",坦克属性分配比例标头,0),FALSE),0)</f>
        <v>1517</v>
      </c>
      <c r="BA284" s="654">
        <f ca="1">ROUND(VLOOKUP($AW284&amp;"初始",$O$3:$AA$63,MATCH(BA$3,$O$3:$AA$3,0),FALSE)+(VLOOKUP($AW284&amp;"最终",$O$3:$AA$63,MATCH(BA$3,$O$3:$AA$3,0),FALSE)-VLOOKUP($AW284&amp;"初始",$O$3:$AA$63,MATCH(BA$3,$O$3:$AA$3,0),FALSE))*$AY284/VLOOKUP(VLOOKUP($AW284,坦克个性化设定!$B$18:$E$48,4,FALSE)&amp;$AX284,坦克属性分配比例,MATCH("升星次数",坦克属性分配比例标头,0),FALSE)*VLOOKUP(VLOOKUP($AW284,坦克个性化设定!$B$18:$E$48,4,FALSE)&amp;$AX284,坦克属性分配比例,MATCH("升星比例",坦克属性分配比例标头,0),FALSE),0)</f>
        <v>330</v>
      </c>
      <c r="BB284" s="654">
        <f ca="1">ROUND(VLOOKUP($AW284&amp;"初始",$O$3:$AA$63,MATCH(BB$3,$O$3:$AA$3,0),FALSE)+(VLOOKUP($AW284&amp;"最终",$O$3:$AA$63,MATCH(BB$3,$O$3:$AA$3,0),FALSE)-VLOOKUP($AW284&amp;"初始",$O$3:$AA$63,MATCH(BB$3,$O$3:$AA$3,0),FALSE))*$AY284/VLOOKUP(VLOOKUP($AW284,坦克个性化设定!$B$18:$E$48,4,FALSE)&amp;$AX284,坦克属性分配比例,MATCH("升星次数",坦克属性分配比例标头,0),FALSE)*(VLOOKUP(VLOOKUP($AW284,坦克个性化设定!$B$18:$E$48,4,FALSE)&amp;$AX284,坦克属性分配比例,MATCH("升星比例",坦克属性分配比例标头,0),FALSE)+VLOOKUP(VLOOKUP($AW284,坦克个性化设定!$B$18:$E$48,4,FALSE)&amp;$AX284,坦克属性分配比例,MATCH("部件比例",坦克属性分配比例标头,0),FALSE)*$C$3),0)</f>
        <v>513</v>
      </c>
      <c r="BC284" s="654">
        <f ca="1">ROUND(VLOOKUP($AW284&amp;"初始",$O$3:$AA$63,MATCH(BC$3,$O$3:$AA$3,0),FALSE)+(VLOOKUP($AW284&amp;"最终",$O$3:$AA$63,MATCH(BC$3,$O$3:$AA$3,0),FALSE)-VLOOKUP($AW284&amp;"初始",$O$3:$AA$63,MATCH(BC$3,$O$3:$AA$3,0),FALSE))*$AY284/VLOOKUP(VLOOKUP($AW284,坦克个性化设定!$B$18:$E$48,4,FALSE)&amp;$AX284,坦克属性分配比例,MATCH("升星次数",坦克属性分配比例标头,0),FALSE)*(VLOOKUP(VLOOKUP($AW284,坦克个性化设定!$B$18:$E$48,4,FALSE)&amp;$AX284,坦克属性分配比例,MATCH("升星比例",坦克属性分配比例标头,0),FALSE)+VLOOKUP(VLOOKUP($AW284,坦克个性化设定!$B$18:$E$48,4,FALSE)&amp;$AX284,坦克属性分配比例,MATCH("部件比例",坦克属性分配比例标头,0),FALSE)*$C$3),0)</f>
        <v>410</v>
      </c>
      <c r="BD284" s="654">
        <f ca="1">ROUND(VLOOKUP($AW284&amp;"初始",$O$3:$AA$63,MATCH(BD$3,$O$3:$AA$3,0),FALSE)+(VLOOKUP($AW284&amp;"最终",$O$3:$AA$63,MATCH(BD$3,$O$3:$AA$3,0),FALSE)-VLOOKUP($AW284&amp;"初始",$O$3:$AA$63,MATCH(BD$3,$O$3:$AA$3,0),FALSE))*$AY284/VLOOKUP(VLOOKUP($AW284,坦克个性化设定!$B$18:$E$48,4,FALSE)&amp;$AX284,坦克属性分配比例,MATCH("升星次数",坦克属性分配比例标头,0),FALSE)*VLOOKUP(VLOOKUP($AW284,坦克个性化设定!$B$18:$E$48,4,FALSE)&amp;$AX284,坦克属性分配比例,MATCH("升星比例",坦克属性分配比例标头,0),FALSE),0)</f>
        <v>675</v>
      </c>
      <c r="BE284" s="654">
        <f ca="1">ROUND(VLOOKUP($AW284&amp;"初始",$O$3:$AA$63,MATCH(BE$3,$O$3:$AA$3,0),FALSE)+(VLOOKUP($AW284&amp;"最终",$O$3:$AA$63,MATCH(BE$3,$O$3:$AA$3,0),FALSE)-VLOOKUP($AW284&amp;"初始",$O$3:$AA$63,MATCH(BE$3,$O$3:$AA$3,0),FALSE))*$AY284/VLOOKUP(VLOOKUP($AW284,坦克个性化设定!$B$18:$E$48,4,FALSE)&amp;$AX284,坦克属性分配比例,MATCH("升星次数",坦克属性分配比例标头,0),FALSE),0)</f>
        <v>157</v>
      </c>
      <c r="BF284" s="654">
        <f>ROUND(VLOOKUP($AW284,$AD$3:$AJ$33,MATCH(BF$3,$AD$3:$AJ$3,0),FALSE)+$AY284/VLOOKUP(VLOOKUP($AW284,坦克个性化设定!$B$18:$E$48,4,FALSE)&amp;$AX284,坦克属性分配比例,MATCH("升星次数",坦克属性分配比例标头,0),FALSE)*VLOOKUP($AW284,$AM$3:$AS$33,MATCH(BF$3,$AM$3:$AS$3,0),FALSE),1)</f>
        <v>32.6</v>
      </c>
      <c r="BG284" s="654">
        <f>ROUND(VLOOKUP($AW284,$AD$3:$AJ$33,MATCH(BG$3,$AD$3:$AJ$3,0),FALSE)+$AY284/VLOOKUP(VLOOKUP($AW284,坦克个性化设定!$B$18:$E$48,4,FALSE)&amp;$AX284,坦克属性分配比例,MATCH("升星次数",坦克属性分配比例标头,0),FALSE)*VLOOKUP($AW284,$AM$3:$AS$33,MATCH(BG$3,$AM$3:$AS$3,0),FALSE),1)</f>
        <v>45.4</v>
      </c>
      <c r="BH284" s="654">
        <f>ROUND(VLOOKUP($AW284,$AD$3:$AJ$33,MATCH(BH$3,$AD$3:$AJ$3,0),FALSE)+$AY284/VLOOKUP(VLOOKUP($AW284,坦克个性化设定!$B$18:$E$48,4,FALSE)&amp;$AX284,坦克属性分配比例,MATCH("升星次数",坦克属性分配比例标头,0),FALSE)*VLOOKUP($AW284,$AM$3:$AS$33,MATCH(BH$3,$AM$3:$AS$3,0),FALSE),1)</f>
        <v>9.8000000000000007</v>
      </c>
      <c r="BI284" s="654">
        <f>IF(VLOOKUP(AW284,坦克个性化设定!$B$18:$BB$48,MATCH("装弹类型",坦克个性化设定!$B$18:$BB$18,0),FALSE)="弹夹换弹",0,ROUND(VLOOKUP($AW284,$AD$3:$AJ$33,MATCH("换弹时间",$AD$3:$AJ$3,0),FALSE)-$AY284/VLOOKUP(VLOOKUP($AW284,坦克个性化设定!$B$18:$E$48,4,FALSE)&amp;$AX284,坦克属性分配比例,MATCH("升星次数",坦克属性分配比例标头,0),FALSE)*VLOOKUP($AW284,$AM$3:$AS$33,MATCH("换弹时间",$AM$3:$AS$3,0),FALSE),2))</f>
        <v>5.89</v>
      </c>
      <c r="BJ284" s="654">
        <f>IF(VLOOKUP(AW284,坦克个性化设定!$B$18:$BB$48,MATCH("装弹类型",坦克个性化设定!$B$18:$BB$18,0),FALSE)="弹夹换弹",ROUND(VLOOKUP($AW284,$AD$3:$AJ$33,MATCH("换弹时间",$AD$3:$AJ$3,0),FALSE)-$AY284/VLOOKUP(VLOOKUP($AW284,坦克个性化设定!$B$18:$E$48,4,FALSE)&amp;$AX284,坦克属性分配比例,MATCH("升星次数",坦克属性分配比例标头,0),FALSE)*VLOOKUP($AW284,$AM$3:$AS$33,MATCH("换弹时间",$AM$3:$AS$3,0),FALSE),1),0)</f>
        <v>0</v>
      </c>
      <c r="BK284" s="654">
        <f>ROUND(VLOOKUP($AW284,$AD$3:$AJ$33,MATCH(BK$3,$AD$3:$AJ$3,0),FALSE)+$AY284/VLOOKUP(VLOOKUP($AW284,坦克个性化设定!$B$18:$E$48,4,FALSE)&amp;$AX284,坦克属性分配比例,MATCH("升星次数",坦克属性分配比例标头,0),FALSE)*VLOOKUP($AW284,$AM$3:$AS$33,MATCH(BK$3,$AM$3:$AS$3,0),FALSE),2)</f>
        <v>0</v>
      </c>
      <c r="BL284" s="654">
        <f>ROUND(VLOOKUP($AW284,$AD$3:$AJ$33,MATCH(BL$3,$AD$3:$AJ$3,0),FALSE)-$AY284/VLOOKUP(VLOOKUP($AW284,坦克个性化设定!$B$18:$E$48,4,FALSE)&amp;$AX284,坦克属性分配比例,MATCH("升星次数",坦克属性分配比例标头,0),FALSE)*VLOOKUP($AW284,$AM$3:$AS$33,MATCH(BL$3,$AM$3:$AS$3,0),FALSE),2)</f>
        <v>2.96</v>
      </c>
    </row>
    <row r="285" spans="47:64" x14ac:dyDescent="0.35">
      <c r="AU285" s="372" t="str">
        <f t="shared" si="30"/>
        <v>虎式2</v>
      </c>
      <c r="AV285" s="654">
        <f>IF(AY284&gt;=VLOOKUP(VLOOKUP(AW284,坦克个性化设定!$B$18:$E$48,4,FALSE)&amp;AX284,坦克属性分配比例,MATCH("升星次数",坦克属性分配比例标头,0),FALSE),AV284+1,AV284)</f>
        <v>25</v>
      </c>
      <c r="AW285" s="649" t="str">
        <f t="shared" si="31"/>
        <v>虎式</v>
      </c>
      <c r="AX285" s="650" t="str">
        <f>VLOOKUP(AW285,坦克个性化细分!$I$3:$J$33,2,FALSE)</f>
        <v>中</v>
      </c>
      <c r="AY285" s="654">
        <f t="shared" si="32"/>
        <v>2</v>
      </c>
      <c r="AZ285" s="654">
        <f ca="1">ROUND(VLOOKUP($AW285&amp;"初始",$O$3:$AA$63,MATCH(AZ$3,$O$3:$AA$3,0),FALSE)+((VLOOKUP($AW285&amp;"最终",$O$3:$AA$63,MATCH(AZ$3,$O$3:$AA$3,0),FALSE)*坦克个性化细分!$C$9-VLOOKUP($AW285&amp;"初始",$O$3:$AA$63,MATCH(AZ$3,$O$3:$AA$3,0),FALSE))-(VLOOKUP($AW285&amp;"最终",$O$3:$AA$63,MATCH(AZ$3,$O$3:$AA$3,0),FALSE)-VLOOKUP($AW285&amp;"初始",$O$3:$AA$63,MATCH(AZ$3,$O$3:$AA$3,0),FALSE))*VLOOKUP(VLOOKUP($AW285,坦克个性化设定!$B$18:$E$48,4,FALSE)&amp;$AX285,坦克属性分配比例,MATCH("部件比例",坦克属性分配比例标头,0),FALSE))*$AY285/VLOOKUP(VLOOKUP($AW285,坦克个性化设定!$B$18:$E$48,4,FALSE)&amp;$AX285,坦克属性分配比例,MATCH("升星次数",坦克属性分配比例标头,0),FALSE),0)</f>
        <v>1631</v>
      </c>
      <c r="BA285" s="654">
        <f ca="1">ROUND(VLOOKUP($AW285&amp;"初始",$O$3:$AA$63,MATCH(BA$3,$O$3:$AA$3,0),FALSE)+(VLOOKUP($AW285&amp;"最终",$O$3:$AA$63,MATCH(BA$3,$O$3:$AA$3,0),FALSE)-VLOOKUP($AW285&amp;"初始",$O$3:$AA$63,MATCH(BA$3,$O$3:$AA$3,0),FALSE))*$AY285/VLOOKUP(VLOOKUP($AW285,坦克个性化设定!$B$18:$E$48,4,FALSE)&amp;$AX285,坦克属性分配比例,MATCH("升星次数",坦克属性分配比例标头,0),FALSE)*VLOOKUP(VLOOKUP($AW285,坦克个性化设定!$B$18:$E$48,4,FALSE)&amp;$AX285,坦克属性分配比例,MATCH("升星比例",坦克属性分配比例标头,0),FALSE),0)</f>
        <v>342</v>
      </c>
      <c r="BB285" s="654">
        <f ca="1">ROUND(VLOOKUP($AW285&amp;"初始",$O$3:$AA$63,MATCH(BB$3,$O$3:$AA$3,0),FALSE)+(VLOOKUP($AW285&amp;"最终",$O$3:$AA$63,MATCH(BB$3,$O$3:$AA$3,0),FALSE)-VLOOKUP($AW285&amp;"初始",$O$3:$AA$63,MATCH(BB$3,$O$3:$AA$3,0),FALSE))*$AY285/VLOOKUP(VLOOKUP($AW285,坦克个性化设定!$B$18:$E$48,4,FALSE)&amp;$AX285,坦克属性分配比例,MATCH("升星次数",坦克属性分配比例标头,0),FALSE)*(VLOOKUP(VLOOKUP($AW285,坦克个性化设定!$B$18:$E$48,4,FALSE)&amp;$AX285,坦克属性分配比例,MATCH("升星比例",坦克属性分配比例标头,0),FALSE)+VLOOKUP(VLOOKUP($AW285,坦克个性化设定!$B$18:$E$48,4,FALSE)&amp;$AX285,坦克属性分配比例,MATCH("部件比例",坦克属性分配比例标头,0),FALSE)*$C$3),0)</f>
        <v>541</v>
      </c>
      <c r="BC285" s="654">
        <f ca="1">ROUND(VLOOKUP($AW285&amp;"初始",$O$3:$AA$63,MATCH(BC$3,$O$3:$AA$3,0),FALSE)+(VLOOKUP($AW285&amp;"最终",$O$3:$AA$63,MATCH(BC$3,$O$3:$AA$3,0),FALSE)-VLOOKUP($AW285&amp;"初始",$O$3:$AA$63,MATCH(BC$3,$O$3:$AA$3,0),FALSE))*$AY285/VLOOKUP(VLOOKUP($AW285,坦克个性化设定!$B$18:$E$48,4,FALSE)&amp;$AX285,坦克属性分配比例,MATCH("升星次数",坦克属性分配比例标头,0),FALSE)*(VLOOKUP(VLOOKUP($AW285,坦克个性化设定!$B$18:$E$48,4,FALSE)&amp;$AX285,坦克属性分配比例,MATCH("升星比例",坦克属性分配比例标头,0),FALSE)+VLOOKUP(VLOOKUP($AW285,坦克个性化设定!$B$18:$E$48,4,FALSE)&amp;$AX285,坦克属性分配比例,MATCH("部件比例",坦克属性分配比例标头,0),FALSE)*$C$3),0)</f>
        <v>432</v>
      </c>
      <c r="BD285" s="654">
        <f ca="1">ROUND(VLOOKUP($AW285&amp;"初始",$O$3:$AA$63,MATCH(BD$3,$O$3:$AA$3,0),FALSE)+(VLOOKUP($AW285&amp;"最终",$O$3:$AA$63,MATCH(BD$3,$O$3:$AA$3,0),FALSE)-VLOOKUP($AW285&amp;"初始",$O$3:$AA$63,MATCH(BD$3,$O$3:$AA$3,0),FALSE))*$AY285/VLOOKUP(VLOOKUP($AW285,坦克个性化设定!$B$18:$E$48,4,FALSE)&amp;$AX285,坦克属性分配比例,MATCH("升星次数",坦克属性分配比例标头,0),FALSE)*VLOOKUP(VLOOKUP($AW285,坦克个性化设定!$B$18:$E$48,4,FALSE)&amp;$AX285,坦克属性分配比例,MATCH("升星比例",坦克属性分配比例标头,0),FALSE),0)</f>
        <v>700</v>
      </c>
      <c r="BE285" s="654">
        <f ca="1">ROUND(VLOOKUP($AW285&amp;"初始",$O$3:$AA$63,MATCH(BE$3,$O$3:$AA$3,0),FALSE)+(VLOOKUP($AW285&amp;"最终",$O$3:$AA$63,MATCH(BE$3,$O$3:$AA$3,0),FALSE)-VLOOKUP($AW285&amp;"初始",$O$3:$AA$63,MATCH(BE$3,$O$3:$AA$3,0),FALSE))*$AY285/VLOOKUP(VLOOKUP($AW285,坦克个性化设定!$B$18:$E$48,4,FALSE)&amp;$AX285,坦克属性分配比例,MATCH("升星次数",坦克属性分配比例标头,0),FALSE),0)</f>
        <v>167</v>
      </c>
      <c r="BF285" s="654">
        <f>ROUND(VLOOKUP($AW285,$AD$3:$AJ$33,MATCH(BF$3,$AD$3:$AJ$3,0),FALSE)+$AY285/VLOOKUP(VLOOKUP($AW285,坦克个性化设定!$B$18:$E$48,4,FALSE)&amp;$AX285,坦克属性分配比例,MATCH("升星次数",坦克属性分配比例标头,0),FALSE)*VLOOKUP($AW285,$AM$3:$AS$33,MATCH(BF$3,$AM$3:$AS$3,0),FALSE),1)</f>
        <v>33.1</v>
      </c>
      <c r="BG285" s="654">
        <f>ROUND(VLOOKUP($AW285,$AD$3:$AJ$33,MATCH(BG$3,$AD$3:$AJ$3,0),FALSE)+$AY285/VLOOKUP(VLOOKUP($AW285,坦克个性化设定!$B$18:$E$48,4,FALSE)&amp;$AX285,坦克属性分配比例,MATCH("升星次数",坦克属性分配比例标头,0),FALSE)*VLOOKUP($AW285,$AM$3:$AS$33,MATCH(BG$3,$AM$3:$AS$3,0),FALSE),1)</f>
        <v>46.2</v>
      </c>
      <c r="BH285" s="654">
        <f>ROUND(VLOOKUP($AW285,$AD$3:$AJ$33,MATCH(BH$3,$AD$3:$AJ$3,0),FALSE)+$AY285/VLOOKUP(VLOOKUP($AW285,坦克个性化设定!$B$18:$E$48,4,FALSE)&amp;$AX285,坦克属性分配比例,MATCH("升星次数",坦克属性分配比例标头,0),FALSE)*VLOOKUP($AW285,$AM$3:$AS$33,MATCH(BH$3,$AM$3:$AS$3,0),FALSE),1)</f>
        <v>10</v>
      </c>
      <c r="BI285" s="654">
        <f>IF(VLOOKUP(AW285,坦克个性化设定!$B$18:$BB$48,MATCH("装弹类型",坦克个性化设定!$B$18:$BB$18,0),FALSE)="弹夹换弹",0,ROUND(VLOOKUP($AW285,$AD$3:$AJ$33,MATCH("换弹时间",$AD$3:$AJ$3,0),FALSE)-$AY285/VLOOKUP(VLOOKUP($AW285,坦克个性化设定!$B$18:$E$48,4,FALSE)&amp;$AX285,坦克属性分配比例,MATCH("升星次数",坦克属性分配比例标头,0),FALSE)*VLOOKUP($AW285,$AM$3:$AS$33,MATCH("换弹时间",$AM$3:$AS$3,0),FALSE),2))</f>
        <v>5.79</v>
      </c>
      <c r="BJ285" s="654">
        <f>IF(VLOOKUP(AW285,坦克个性化设定!$B$18:$BB$48,MATCH("装弹类型",坦克个性化设定!$B$18:$BB$18,0),FALSE)="弹夹换弹",ROUND(VLOOKUP($AW285,$AD$3:$AJ$33,MATCH("换弹时间",$AD$3:$AJ$3,0),FALSE)-$AY285/VLOOKUP(VLOOKUP($AW285,坦克个性化设定!$B$18:$E$48,4,FALSE)&amp;$AX285,坦克属性分配比例,MATCH("升星次数",坦克属性分配比例标头,0),FALSE)*VLOOKUP($AW285,$AM$3:$AS$33,MATCH("换弹时间",$AM$3:$AS$3,0),FALSE),1),0)</f>
        <v>0</v>
      </c>
      <c r="BK285" s="654">
        <f>ROUND(VLOOKUP($AW285,$AD$3:$AJ$33,MATCH(BK$3,$AD$3:$AJ$3,0),FALSE)+$AY285/VLOOKUP(VLOOKUP($AW285,坦克个性化设定!$B$18:$E$48,4,FALSE)&amp;$AX285,坦克属性分配比例,MATCH("升星次数",坦克属性分配比例标头,0),FALSE)*VLOOKUP($AW285,$AM$3:$AS$33,MATCH(BK$3,$AM$3:$AS$3,0),FALSE),2)</f>
        <v>0</v>
      </c>
      <c r="BL285" s="654">
        <f>ROUND(VLOOKUP($AW285,$AD$3:$AJ$33,MATCH(BL$3,$AD$3:$AJ$3,0),FALSE)-$AY285/VLOOKUP(VLOOKUP($AW285,坦克个性化设定!$B$18:$E$48,4,FALSE)&amp;$AX285,坦克属性分配比例,MATCH("升星次数",坦克属性分配比例标头,0),FALSE)*VLOOKUP($AW285,$AM$3:$AS$33,MATCH(BL$3,$AM$3:$AS$3,0),FALSE),2)</f>
        <v>2.93</v>
      </c>
    </row>
    <row r="286" spans="47:64" x14ac:dyDescent="0.35">
      <c r="AU286" s="372" t="str">
        <f t="shared" si="30"/>
        <v>虎式3</v>
      </c>
      <c r="AV286" s="654">
        <f>IF(AY285&gt;=VLOOKUP(VLOOKUP(AW285,坦克个性化设定!$B$18:$E$48,4,FALSE)&amp;AX285,坦克属性分配比例,MATCH("升星次数",坦克属性分配比例标头,0),FALSE),AV285+1,AV285)</f>
        <v>25</v>
      </c>
      <c r="AW286" s="649" t="str">
        <f t="shared" si="31"/>
        <v>虎式</v>
      </c>
      <c r="AX286" s="650" t="str">
        <f>VLOOKUP(AW286,坦克个性化细分!$I$3:$J$33,2,FALSE)</f>
        <v>中</v>
      </c>
      <c r="AY286" s="654">
        <f t="shared" si="32"/>
        <v>3</v>
      </c>
      <c r="AZ286" s="654">
        <f ca="1">ROUND(VLOOKUP($AW286&amp;"初始",$O$3:$AA$63,MATCH(AZ$3,$O$3:$AA$3,0),FALSE)+((VLOOKUP($AW286&amp;"最终",$O$3:$AA$63,MATCH(AZ$3,$O$3:$AA$3,0),FALSE)*坦克个性化细分!$C$9-VLOOKUP($AW286&amp;"初始",$O$3:$AA$63,MATCH(AZ$3,$O$3:$AA$3,0),FALSE))-(VLOOKUP($AW286&amp;"最终",$O$3:$AA$63,MATCH(AZ$3,$O$3:$AA$3,0),FALSE)-VLOOKUP($AW286&amp;"初始",$O$3:$AA$63,MATCH(AZ$3,$O$3:$AA$3,0),FALSE))*VLOOKUP(VLOOKUP($AW286,坦克个性化设定!$B$18:$E$48,4,FALSE)&amp;$AX286,坦克属性分配比例,MATCH("部件比例",坦克属性分配比例标头,0),FALSE))*$AY286/VLOOKUP(VLOOKUP($AW286,坦克个性化设定!$B$18:$E$48,4,FALSE)&amp;$AX286,坦克属性分配比例,MATCH("升星次数",坦克属性分配比例标头,0),FALSE),0)</f>
        <v>1745</v>
      </c>
      <c r="BA286" s="654">
        <f ca="1">ROUND(VLOOKUP($AW286&amp;"初始",$O$3:$AA$63,MATCH(BA$3,$O$3:$AA$3,0),FALSE)+(VLOOKUP($AW286&amp;"最终",$O$3:$AA$63,MATCH(BA$3,$O$3:$AA$3,0),FALSE)-VLOOKUP($AW286&amp;"初始",$O$3:$AA$63,MATCH(BA$3,$O$3:$AA$3,0),FALSE))*$AY286/VLOOKUP(VLOOKUP($AW286,坦克个性化设定!$B$18:$E$48,4,FALSE)&amp;$AX286,坦克属性分配比例,MATCH("升星次数",坦克属性分配比例标头,0),FALSE)*VLOOKUP(VLOOKUP($AW286,坦克个性化设定!$B$18:$E$48,4,FALSE)&amp;$AX286,坦克属性分配比例,MATCH("升星比例",坦克属性分配比例标头,0),FALSE),0)</f>
        <v>355</v>
      </c>
      <c r="BB286" s="654">
        <f ca="1">ROUND(VLOOKUP($AW286&amp;"初始",$O$3:$AA$63,MATCH(BB$3,$O$3:$AA$3,0),FALSE)+(VLOOKUP($AW286&amp;"最终",$O$3:$AA$63,MATCH(BB$3,$O$3:$AA$3,0),FALSE)-VLOOKUP($AW286&amp;"初始",$O$3:$AA$63,MATCH(BB$3,$O$3:$AA$3,0),FALSE))*$AY286/VLOOKUP(VLOOKUP($AW286,坦克个性化设定!$B$18:$E$48,4,FALSE)&amp;$AX286,坦克属性分配比例,MATCH("升星次数",坦克属性分配比例标头,0),FALSE)*(VLOOKUP(VLOOKUP($AW286,坦克个性化设定!$B$18:$E$48,4,FALSE)&amp;$AX286,坦克属性分配比例,MATCH("升星比例",坦克属性分配比例标头,0),FALSE)+VLOOKUP(VLOOKUP($AW286,坦克个性化设定!$B$18:$E$48,4,FALSE)&amp;$AX286,坦克属性分配比例,MATCH("部件比例",坦克属性分配比例标头,0),FALSE)*$C$3),0)</f>
        <v>568</v>
      </c>
      <c r="BC286" s="654">
        <f ca="1">ROUND(VLOOKUP($AW286&amp;"初始",$O$3:$AA$63,MATCH(BC$3,$O$3:$AA$3,0),FALSE)+(VLOOKUP($AW286&amp;"最终",$O$3:$AA$63,MATCH(BC$3,$O$3:$AA$3,0),FALSE)-VLOOKUP($AW286&amp;"初始",$O$3:$AA$63,MATCH(BC$3,$O$3:$AA$3,0),FALSE))*$AY286/VLOOKUP(VLOOKUP($AW286,坦克个性化设定!$B$18:$E$48,4,FALSE)&amp;$AX286,坦克属性分配比例,MATCH("升星次数",坦克属性分配比例标头,0),FALSE)*(VLOOKUP(VLOOKUP($AW286,坦克个性化设定!$B$18:$E$48,4,FALSE)&amp;$AX286,坦克属性分配比例,MATCH("升星比例",坦克属性分配比例标头,0),FALSE)+VLOOKUP(VLOOKUP($AW286,坦克个性化设定!$B$18:$E$48,4,FALSE)&amp;$AX286,坦克属性分配比例,MATCH("部件比例",坦克属性分配比例标头,0),FALSE)*$C$3),0)</f>
        <v>454</v>
      </c>
      <c r="BD286" s="654">
        <f ca="1">ROUND(VLOOKUP($AW286&amp;"初始",$O$3:$AA$63,MATCH(BD$3,$O$3:$AA$3,0),FALSE)+(VLOOKUP($AW286&amp;"最终",$O$3:$AA$63,MATCH(BD$3,$O$3:$AA$3,0),FALSE)-VLOOKUP($AW286&amp;"初始",$O$3:$AA$63,MATCH(BD$3,$O$3:$AA$3,0),FALSE))*$AY286/VLOOKUP(VLOOKUP($AW286,坦克个性化设定!$B$18:$E$48,4,FALSE)&amp;$AX286,坦克属性分配比例,MATCH("升星次数",坦克属性分配比例标头,0),FALSE)*VLOOKUP(VLOOKUP($AW286,坦克个性化设定!$B$18:$E$48,4,FALSE)&amp;$AX286,坦克属性分配比例,MATCH("升星比例",坦克属性分配比例标头,0),FALSE),0)</f>
        <v>726</v>
      </c>
      <c r="BE286" s="654">
        <f ca="1">ROUND(VLOOKUP($AW286&amp;"初始",$O$3:$AA$63,MATCH(BE$3,$O$3:$AA$3,0),FALSE)+(VLOOKUP($AW286&amp;"最终",$O$3:$AA$63,MATCH(BE$3,$O$3:$AA$3,0),FALSE)-VLOOKUP($AW286&amp;"初始",$O$3:$AA$63,MATCH(BE$3,$O$3:$AA$3,0),FALSE))*$AY286/VLOOKUP(VLOOKUP($AW286,坦克个性化设定!$B$18:$E$48,4,FALSE)&amp;$AX286,坦克属性分配比例,MATCH("升星次数",坦克属性分配比例标头,0),FALSE),0)</f>
        <v>177</v>
      </c>
      <c r="BF286" s="654">
        <f>ROUND(VLOOKUP($AW286,$AD$3:$AJ$33,MATCH(BF$3,$AD$3:$AJ$3,0),FALSE)+$AY286/VLOOKUP(VLOOKUP($AW286,坦克个性化设定!$B$18:$E$48,4,FALSE)&amp;$AX286,坦克属性分配比例,MATCH("升星次数",坦克属性分配比例标头,0),FALSE)*VLOOKUP($AW286,$AM$3:$AS$33,MATCH(BF$3,$AM$3:$AS$3,0),FALSE),1)</f>
        <v>33.700000000000003</v>
      </c>
      <c r="BG286" s="654">
        <f>ROUND(VLOOKUP($AW286,$AD$3:$AJ$33,MATCH(BG$3,$AD$3:$AJ$3,0),FALSE)+$AY286/VLOOKUP(VLOOKUP($AW286,坦克个性化设定!$B$18:$E$48,4,FALSE)&amp;$AX286,坦克属性分配比例,MATCH("升星次数",坦克属性分配比例标头,0),FALSE)*VLOOKUP($AW286,$AM$3:$AS$33,MATCH(BG$3,$AM$3:$AS$3,0),FALSE),1)</f>
        <v>47</v>
      </c>
      <c r="BH286" s="654">
        <f>ROUND(VLOOKUP($AW286,$AD$3:$AJ$33,MATCH(BH$3,$AD$3:$AJ$3,0),FALSE)+$AY286/VLOOKUP(VLOOKUP($AW286,坦克个性化设定!$B$18:$E$48,4,FALSE)&amp;$AX286,坦克属性分配比例,MATCH("升星次数",坦克属性分配比例标头,0),FALSE)*VLOOKUP($AW286,$AM$3:$AS$33,MATCH(BH$3,$AM$3:$AS$3,0),FALSE),1)</f>
        <v>10.3</v>
      </c>
      <c r="BI286" s="654">
        <f>IF(VLOOKUP(AW286,坦克个性化设定!$B$18:$BB$48,MATCH("装弹类型",坦克个性化设定!$B$18:$BB$18,0),FALSE)="弹夹换弹",0,ROUND(VLOOKUP($AW286,$AD$3:$AJ$33,MATCH("换弹时间",$AD$3:$AJ$3,0),FALSE)-$AY286/VLOOKUP(VLOOKUP($AW286,坦克个性化设定!$B$18:$E$48,4,FALSE)&amp;$AX286,坦克属性分配比例,MATCH("升星次数",坦克属性分配比例标头,0),FALSE)*VLOOKUP($AW286,$AM$3:$AS$33,MATCH("换弹时间",$AM$3:$AS$3,0),FALSE),2))</f>
        <v>5.68</v>
      </c>
      <c r="BJ286" s="654">
        <f>IF(VLOOKUP(AW286,坦克个性化设定!$B$18:$BB$48,MATCH("装弹类型",坦克个性化设定!$B$18:$BB$18,0),FALSE)="弹夹换弹",ROUND(VLOOKUP($AW286,$AD$3:$AJ$33,MATCH("换弹时间",$AD$3:$AJ$3,0),FALSE)-$AY286/VLOOKUP(VLOOKUP($AW286,坦克个性化设定!$B$18:$E$48,4,FALSE)&amp;$AX286,坦克属性分配比例,MATCH("升星次数",坦克属性分配比例标头,0),FALSE)*VLOOKUP($AW286,$AM$3:$AS$33,MATCH("换弹时间",$AM$3:$AS$3,0),FALSE),1),0)</f>
        <v>0</v>
      </c>
      <c r="BK286" s="654">
        <f>ROUND(VLOOKUP($AW286,$AD$3:$AJ$33,MATCH(BK$3,$AD$3:$AJ$3,0),FALSE)+$AY286/VLOOKUP(VLOOKUP($AW286,坦克个性化设定!$B$18:$E$48,4,FALSE)&amp;$AX286,坦克属性分配比例,MATCH("升星次数",坦克属性分配比例标头,0),FALSE)*VLOOKUP($AW286,$AM$3:$AS$33,MATCH(BK$3,$AM$3:$AS$3,0),FALSE),2)</f>
        <v>0</v>
      </c>
      <c r="BL286" s="654">
        <f>ROUND(VLOOKUP($AW286,$AD$3:$AJ$33,MATCH(BL$3,$AD$3:$AJ$3,0),FALSE)-$AY286/VLOOKUP(VLOOKUP($AW286,坦克个性化设定!$B$18:$E$48,4,FALSE)&amp;$AX286,坦克属性分配比例,MATCH("升星次数",坦克属性分配比例标头,0),FALSE)*VLOOKUP($AW286,$AM$3:$AS$33,MATCH(BL$3,$AM$3:$AS$3,0),FALSE),2)</f>
        <v>2.89</v>
      </c>
    </row>
    <row r="287" spans="47:64" x14ac:dyDescent="0.35">
      <c r="AU287" s="372" t="str">
        <f t="shared" si="30"/>
        <v>虎式4</v>
      </c>
      <c r="AV287" s="654">
        <f>IF(AY286&gt;=VLOOKUP(VLOOKUP(AW286,坦克个性化设定!$B$18:$E$48,4,FALSE)&amp;AX286,坦克属性分配比例,MATCH("升星次数",坦克属性分配比例标头,0),FALSE),AV286+1,AV286)</f>
        <v>25</v>
      </c>
      <c r="AW287" s="649" t="str">
        <f t="shared" si="31"/>
        <v>虎式</v>
      </c>
      <c r="AX287" s="650" t="str">
        <f>VLOOKUP(AW287,坦克个性化细分!$I$3:$J$33,2,FALSE)</f>
        <v>中</v>
      </c>
      <c r="AY287" s="654">
        <f t="shared" si="32"/>
        <v>4</v>
      </c>
      <c r="AZ287" s="654">
        <f ca="1">ROUND(VLOOKUP($AW287&amp;"初始",$O$3:$AA$63,MATCH(AZ$3,$O$3:$AA$3,0),FALSE)+((VLOOKUP($AW287&amp;"最终",$O$3:$AA$63,MATCH(AZ$3,$O$3:$AA$3,0),FALSE)*坦克个性化细分!$C$9-VLOOKUP($AW287&amp;"初始",$O$3:$AA$63,MATCH(AZ$3,$O$3:$AA$3,0),FALSE))-(VLOOKUP($AW287&amp;"最终",$O$3:$AA$63,MATCH(AZ$3,$O$3:$AA$3,0),FALSE)-VLOOKUP($AW287&amp;"初始",$O$3:$AA$63,MATCH(AZ$3,$O$3:$AA$3,0),FALSE))*VLOOKUP(VLOOKUP($AW287,坦克个性化设定!$B$18:$E$48,4,FALSE)&amp;$AX287,坦克属性分配比例,MATCH("部件比例",坦克属性分配比例标头,0),FALSE))*$AY287/VLOOKUP(VLOOKUP($AW287,坦克个性化设定!$B$18:$E$48,4,FALSE)&amp;$AX287,坦克属性分配比例,MATCH("升星次数",坦克属性分配比例标头,0),FALSE),0)</f>
        <v>1859</v>
      </c>
      <c r="BA287" s="654">
        <f ca="1">ROUND(VLOOKUP($AW287&amp;"初始",$O$3:$AA$63,MATCH(BA$3,$O$3:$AA$3,0),FALSE)+(VLOOKUP($AW287&amp;"最终",$O$3:$AA$63,MATCH(BA$3,$O$3:$AA$3,0),FALSE)-VLOOKUP($AW287&amp;"初始",$O$3:$AA$63,MATCH(BA$3,$O$3:$AA$3,0),FALSE))*$AY287/VLOOKUP(VLOOKUP($AW287,坦克个性化设定!$B$18:$E$48,4,FALSE)&amp;$AX287,坦克属性分配比例,MATCH("升星次数",坦克属性分配比例标头,0),FALSE)*VLOOKUP(VLOOKUP($AW287,坦克个性化设定!$B$18:$E$48,4,FALSE)&amp;$AX287,坦克属性分配比例,MATCH("升星比例",坦克属性分配比例标头,0),FALSE),0)</f>
        <v>367</v>
      </c>
      <c r="BB287" s="654">
        <f ca="1">ROUND(VLOOKUP($AW287&amp;"初始",$O$3:$AA$63,MATCH(BB$3,$O$3:$AA$3,0),FALSE)+(VLOOKUP($AW287&amp;"最终",$O$3:$AA$63,MATCH(BB$3,$O$3:$AA$3,0),FALSE)-VLOOKUP($AW287&amp;"初始",$O$3:$AA$63,MATCH(BB$3,$O$3:$AA$3,0),FALSE))*$AY287/VLOOKUP(VLOOKUP($AW287,坦克个性化设定!$B$18:$E$48,4,FALSE)&amp;$AX287,坦克属性分配比例,MATCH("升星次数",坦克属性分配比例标头,0),FALSE)*(VLOOKUP(VLOOKUP($AW287,坦克个性化设定!$B$18:$E$48,4,FALSE)&amp;$AX287,坦克属性分配比例,MATCH("升星比例",坦克属性分配比例标头,0),FALSE)+VLOOKUP(VLOOKUP($AW287,坦克个性化设定!$B$18:$E$48,4,FALSE)&amp;$AX287,坦克属性分配比例,MATCH("部件比例",坦克属性分配比例标头,0),FALSE)*$C$3),0)</f>
        <v>596</v>
      </c>
      <c r="BC287" s="654">
        <f ca="1">ROUND(VLOOKUP($AW287&amp;"初始",$O$3:$AA$63,MATCH(BC$3,$O$3:$AA$3,0),FALSE)+(VLOOKUP($AW287&amp;"最终",$O$3:$AA$63,MATCH(BC$3,$O$3:$AA$3,0),FALSE)-VLOOKUP($AW287&amp;"初始",$O$3:$AA$63,MATCH(BC$3,$O$3:$AA$3,0),FALSE))*$AY287/VLOOKUP(VLOOKUP($AW287,坦克个性化设定!$B$18:$E$48,4,FALSE)&amp;$AX287,坦克属性分配比例,MATCH("升星次数",坦克属性分配比例标头,0),FALSE)*(VLOOKUP(VLOOKUP($AW287,坦克个性化设定!$B$18:$E$48,4,FALSE)&amp;$AX287,坦克属性分配比例,MATCH("升星比例",坦克属性分配比例标头,0),FALSE)+VLOOKUP(VLOOKUP($AW287,坦克个性化设定!$B$18:$E$48,4,FALSE)&amp;$AX287,坦克属性分配比例,MATCH("部件比例",坦克属性分配比例标头,0),FALSE)*$C$3),0)</f>
        <v>476</v>
      </c>
      <c r="BD287" s="654">
        <f ca="1">ROUND(VLOOKUP($AW287&amp;"初始",$O$3:$AA$63,MATCH(BD$3,$O$3:$AA$3,0),FALSE)+(VLOOKUP($AW287&amp;"最终",$O$3:$AA$63,MATCH(BD$3,$O$3:$AA$3,0),FALSE)-VLOOKUP($AW287&amp;"初始",$O$3:$AA$63,MATCH(BD$3,$O$3:$AA$3,0),FALSE))*$AY287/VLOOKUP(VLOOKUP($AW287,坦克个性化设定!$B$18:$E$48,4,FALSE)&amp;$AX287,坦克属性分配比例,MATCH("升星次数",坦克属性分配比例标头,0),FALSE)*VLOOKUP(VLOOKUP($AW287,坦克个性化设定!$B$18:$E$48,4,FALSE)&amp;$AX287,坦克属性分配比例,MATCH("升星比例",坦克属性分配比例标头,0),FALSE),0)</f>
        <v>751</v>
      </c>
      <c r="BE287" s="654">
        <f ca="1">ROUND(VLOOKUP($AW287&amp;"初始",$O$3:$AA$63,MATCH(BE$3,$O$3:$AA$3,0),FALSE)+(VLOOKUP($AW287&amp;"最终",$O$3:$AA$63,MATCH(BE$3,$O$3:$AA$3,0),FALSE)-VLOOKUP($AW287&amp;"初始",$O$3:$AA$63,MATCH(BE$3,$O$3:$AA$3,0),FALSE))*$AY287/VLOOKUP(VLOOKUP($AW287,坦克个性化设定!$B$18:$E$48,4,FALSE)&amp;$AX287,坦克属性分配比例,MATCH("升星次数",坦克属性分配比例标头,0),FALSE),0)</f>
        <v>187</v>
      </c>
      <c r="BF287" s="654">
        <f>ROUND(VLOOKUP($AW287,$AD$3:$AJ$33,MATCH(BF$3,$AD$3:$AJ$3,0),FALSE)+$AY287/VLOOKUP(VLOOKUP($AW287,坦克个性化设定!$B$18:$E$48,4,FALSE)&amp;$AX287,坦克属性分配比例,MATCH("升星次数",坦克属性分配比例标头,0),FALSE)*VLOOKUP($AW287,$AM$3:$AS$33,MATCH(BF$3,$AM$3:$AS$3,0),FALSE),1)</f>
        <v>34.299999999999997</v>
      </c>
      <c r="BG287" s="654">
        <f>ROUND(VLOOKUP($AW287,$AD$3:$AJ$33,MATCH(BG$3,$AD$3:$AJ$3,0),FALSE)+$AY287/VLOOKUP(VLOOKUP($AW287,坦克个性化设定!$B$18:$E$48,4,FALSE)&amp;$AX287,坦克属性分配比例,MATCH("升星次数",坦克属性分配比例标头,0),FALSE)*VLOOKUP($AW287,$AM$3:$AS$33,MATCH(BG$3,$AM$3:$AS$3,0),FALSE),1)</f>
        <v>47.8</v>
      </c>
      <c r="BH287" s="654">
        <f>ROUND(VLOOKUP($AW287,$AD$3:$AJ$33,MATCH(BH$3,$AD$3:$AJ$3,0),FALSE)+$AY287/VLOOKUP(VLOOKUP($AW287,坦克个性化设定!$B$18:$E$48,4,FALSE)&amp;$AX287,坦克属性分配比例,MATCH("升星次数",坦克属性分配比例标头,0),FALSE)*VLOOKUP($AW287,$AM$3:$AS$33,MATCH(BH$3,$AM$3:$AS$3,0),FALSE),1)</f>
        <v>10.5</v>
      </c>
      <c r="BI287" s="654">
        <f>IF(VLOOKUP(AW287,坦克个性化设定!$B$18:$BB$48,MATCH("装弹类型",坦克个性化设定!$B$18:$BB$18,0),FALSE)="弹夹换弹",0,ROUND(VLOOKUP($AW287,$AD$3:$AJ$33,MATCH("换弹时间",$AD$3:$AJ$3,0),FALSE)-$AY287/VLOOKUP(VLOOKUP($AW287,坦克个性化设定!$B$18:$E$48,4,FALSE)&amp;$AX287,坦克属性分配比例,MATCH("升星次数",坦克属性分配比例标头,0),FALSE)*VLOOKUP($AW287,$AM$3:$AS$33,MATCH("换弹时间",$AM$3:$AS$3,0),FALSE),2))</f>
        <v>5.57</v>
      </c>
      <c r="BJ287" s="654">
        <f>IF(VLOOKUP(AW287,坦克个性化设定!$B$18:$BB$48,MATCH("装弹类型",坦克个性化设定!$B$18:$BB$18,0),FALSE)="弹夹换弹",ROUND(VLOOKUP($AW287,$AD$3:$AJ$33,MATCH("换弹时间",$AD$3:$AJ$3,0),FALSE)-$AY287/VLOOKUP(VLOOKUP($AW287,坦克个性化设定!$B$18:$E$48,4,FALSE)&amp;$AX287,坦克属性分配比例,MATCH("升星次数",坦克属性分配比例标头,0),FALSE)*VLOOKUP($AW287,$AM$3:$AS$33,MATCH("换弹时间",$AM$3:$AS$3,0),FALSE),1),0)</f>
        <v>0</v>
      </c>
      <c r="BK287" s="654">
        <f>ROUND(VLOOKUP($AW287,$AD$3:$AJ$33,MATCH(BK$3,$AD$3:$AJ$3,0),FALSE)+$AY287/VLOOKUP(VLOOKUP($AW287,坦克个性化设定!$B$18:$E$48,4,FALSE)&amp;$AX287,坦克属性分配比例,MATCH("升星次数",坦克属性分配比例标头,0),FALSE)*VLOOKUP($AW287,$AM$3:$AS$33,MATCH(BK$3,$AM$3:$AS$3,0),FALSE),2)</f>
        <v>0</v>
      </c>
      <c r="BL287" s="654">
        <f>ROUND(VLOOKUP($AW287,$AD$3:$AJ$33,MATCH(BL$3,$AD$3:$AJ$3,0),FALSE)-$AY287/VLOOKUP(VLOOKUP($AW287,坦克个性化设定!$B$18:$E$48,4,FALSE)&amp;$AX287,坦克属性分配比例,MATCH("升星次数",坦克属性分配比例标头,0),FALSE)*VLOOKUP($AW287,$AM$3:$AS$33,MATCH(BL$3,$AM$3:$AS$3,0),FALSE),2)</f>
        <v>2.86</v>
      </c>
    </row>
    <row r="288" spans="47:64" x14ac:dyDescent="0.35">
      <c r="AU288" s="372" t="str">
        <f t="shared" si="30"/>
        <v>虎式5</v>
      </c>
      <c r="AV288" s="654">
        <f>IF(AY287&gt;=VLOOKUP(VLOOKUP(AW287,坦克个性化设定!$B$18:$E$48,4,FALSE)&amp;AX287,坦克属性分配比例,MATCH("升星次数",坦克属性分配比例标头,0),FALSE),AV287+1,AV287)</f>
        <v>25</v>
      </c>
      <c r="AW288" s="649" t="str">
        <f t="shared" si="31"/>
        <v>虎式</v>
      </c>
      <c r="AX288" s="650" t="str">
        <f>VLOOKUP(AW288,坦克个性化细分!$I$3:$J$33,2,FALSE)</f>
        <v>中</v>
      </c>
      <c r="AY288" s="654">
        <f t="shared" si="32"/>
        <v>5</v>
      </c>
      <c r="AZ288" s="654">
        <f ca="1">ROUND(VLOOKUP($AW288&amp;"初始",$O$3:$AA$63,MATCH(AZ$3,$O$3:$AA$3,0),FALSE)+((VLOOKUP($AW288&amp;"最终",$O$3:$AA$63,MATCH(AZ$3,$O$3:$AA$3,0),FALSE)*坦克个性化细分!$C$9-VLOOKUP($AW288&amp;"初始",$O$3:$AA$63,MATCH(AZ$3,$O$3:$AA$3,0),FALSE))-(VLOOKUP($AW288&amp;"最终",$O$3:$AA$63,MATCH(AZ$3,$O$3:$AA$3,0),FALSE)-VLOOKUP($AW288&amp;"初始",$O$3:$AA$63,MATCH(AZ$3,$O$3:$AA$3,0),FALSE))*VLOOKUP(VLOOKUP($AW288,坦克个性化设定!$B$18:$E$48,4,FALSE)&amp;$AX288,坦克属性分配比例,MATCH("部件比例",坦克属性分配比例标头,0),FALSE))*$AY288/VLOOKUP(VLOOKUP($AW288,坦克个性化设定!$B$18:$E$48,4,FALSE)&amp;$AX288,坦克属性分配比例,MATCH("升星次数",坦克属性分配比例标头,0),FALSE),0)</f>
        <v>1973</v>
      </c>
      <c r="BA288" s="654">
        <f ca="1">ROUND(VLOOKUP($AW288&amp;"初始",$O$3:$AA$63,MATCH(BA$3,$O$3:$AA$3,0),FALSE)+(VLOOKUP($AW288&amp;"最终",$O$3:$AA$63,MATCH(BA$3,$O$3:$AA$3,0),FALSE)-VLOOKUP($AW288&amp;"初始",$O$3:$AA$63,MATCH(BA$3,$O$3:$AA$3,0),FALSE))*$AY288/VLOOKUP(VLOOKUP($AW288,坦克个性化设定!$B$18:$E$48,4,FALSE)&amp;$AX288,坦克属性分配比例,MATCH("升星次数",坦克属性分配比例标头,0),FALSE)*VLOOKUP(VLOOKUP($AW288,坦克个性化设定!$B$18:$E$48,4,FALSE)&amp;$AX288,坦克属性分配比例,MATCH("升星比例",坦克属性分配比例标头,0),FALSE),0)</f>
        <v>379</v>
      </c>
      <c r="BB288" s="654">
        <f ca="1">ROUND(VLOOKUP($AW288&amp;"初始",$O$3:$AA$63,MATCH(BB$3,$O$3:$AA$3,0),FALSE)+(VLOOKUP($AW288&amp;"最终",$O$3:$AA$63,MATCH(BB$3,$O$3:$AA$3,0),FALSE)-VLOOKUP($AW288&amp;"初始",$O$3:$AA$63,MATCH(BB$3,$O$3:$AA$3,0),FALSE))*$AY288/VLOOKUP(VLOOKUP($AW288,坦克个性化设定!$B$18:$E$48,4,FALSE)&amp;$AX288,坦克属性分配比例,MATCH("升星次数",坦克属性分配比例标头,0),FALSE)*(VLOOKUP(VLOOKUP($AW288,坦克个性化设定!$B$18:$E$48,4,FALSE)&amp;$AX288,坦克属性分配比例,MATCH("升星比例",坦克属性分配比例标头,0),FALSE)+VLOOKUP(VLOOKUP($AW288,坦克个性化设定!$B$18:$E$48,4,FALSE)&amp;$AX288,坦克属性分配比例,MATCH("部件比例",坦克属性分配比例标头,0),FALSE)*$C$3),0)</f>
        <v>623</v>
      </c>
      <c r="BC288" s="654">
        <f ca="1">ROUND(VLOOKUP($AW288&amp;"初始",$O$3:$AA$63,MATCH(BC$3,$O$3:$AA$3,0),FALSE)+(VLOOKUP($AW288&amp;"最终",$O$3:$AA$63,MATCH(BC$3,$O$3:$AA$3,0),FALSE)-VLOOKUP($AW288&amp;"初始",$O$3:$AA$63,MATCH(BC$3,$O$3:$AA$3,0),FALSE))*$AY288/VLOOKUP(VLOOKUP($AW288,坦克个性化设定!$B$18:$E$48,4,FALSE)&amp;$AX288,坦克属性分配比例,MATCH("升星次数",坦克属性分配比例标头,0),FALSE)*(VLOOKUP(VLOOKUP($AW288,坦克个性化设定!$B$18:$E$48,4,FALSE)&amp;$AX288,坦克属性分配比例,MATCH("升星比例",坦克属性分配比例标头,0),FALSE)+VLOOKUP(VLOOKUP($AW288,坦克个性化设定!$B$18:$E$48,4,FALSE)&amp;$AX288,坦克属性分配比例,MATCH("部件比例",坦克属性分配比例标头,0),FALSE)*$C$3),0)</f>
        <v>498</v>
      </c>
      <c r="BD288" s="654">
        <f ca="1">ROUND(VLOOKUP($AW288&amp;"初始",$O$3:$AA$63,MATCH(BD$3,$O$3:$AA$3,0),FALSE)+(VLOOKUP($AW288&amp;"最终",$O$3:$AA$63,MATCH(BD$3,$O$3:$AA$3,0),FALSE)-VLOOKUP($AW288&amp;"初始",$O$3:$AA$63,MATCH(BD$3,$O$3:$AA$3,0),FALSE))*$AY288/VLOOKUP(VLOOKUP($AW288,坦克个性化设定!$B$18:$E$48,4,FALSE)&amp;$AX288,坦克属性分配比例,MATCH("升星次数",坦克属性分配比例标头,0),FALSE)*VLOOKUP(VLOOKUP($AW288,坦克个性化设定!$B$18:$E$48,4,FALSE)&amp;$AX288,坦克属性分配比例,MATCH("升星比例",坦克属性分配比例标头,0),FALSE),0)</f>
        <v>777</v>
      </c>
      <c r="BE288" s="654">
        <f ca="1">ROUND(VLOOKUP($AW288&amp;"初始",$O$3:$AA$63,MATCH(BE$3,$O$3:$AA$3,0),FALSE)+(VLOOKUP($AW288&amp;"最终",$O$3:$AA$63,MATCH(BE$3,$O$3:$AA$3,0),FALSE)-VLOOKUP($AW288&amp;"初始",$O$3:$AA$63,MATCH(BE$3,$O$3:$AA$3,0),FALSE))*$AY288/VLOOKUP(VLOOKUP($AW288,坦克个性化设定!$B$18:$E$48,4,FALSE)&amp;$AX288,坦克属性分配比例,MATCH("升星次数",坦克属性分配比例标头,0),FALSE),0)</f>
        <v>197</v>
      </c>
      <c r="BF288" s="654">
        <f>ROUND(VLOOKUP($AW288,$AD$3:$AJ$33,MATCH(BF$3,$AD$3:$AJ$3,0),FALSE)+$AY288/VLOOKUP(VLOOKUP($AW288,坦克个性化设定!$B$18:$E$48,4,FALSE)&amp;$AX288,坦克属性分配比例,MATCH("升星次数",坦克属性分配比例标头,0),FALSE)*VLOOKUP($AW288,$AM$3:$AS$33,MATCH(BF$3,$AM$3:$AS$3,0),FALSE),1)</f>
        <v>34.9</v>
      </c>
      <c r="BG288" s="654">
        <f>ROUND(VLOOKUP($AW288,$AD$3:$AJ$33,MATCH(BG$3,$AD$3:$AJ$3,0),FALSE)+$AY288/VLOOKUP(VLOOKUP($AW288,坦克个性化设定!$B$18:$E$48,4,FALSE)&amp;$AX288,坦克属性分配比例,MATCH("升星次数",坦克属性分配比例标头,0),FALSE)*VLOOKUP($AW288,$AM$3:$AS$33,MATCH(BG$3,$AM$3:$AS$3,0),FALSE),1)</f>
        <v>48.6</v>
      </c>
      <c r="BH288" s="654">
        <f>ROUND(VLOOKUP($AW288,$AD$3:$AJ$33,MATCH(BH$3,$AD$3:$AJ$3,0),FALSE)+$AY288/VLOOKUP(VLOOKUP($AW288,坦克个性化设定!$B$18:$E$48,4,FALSE)&amp;$AX288,坦克属性分配比例,MATCH("升星次数",坦克属性分配比例标头,0),FALSE)*VLOOKUP($AW288,$AM$3:$AS$33,MATCH(BH$3,$AM$3:$AS$3,0),FALSE),1)</f>
        <v>10.7</v>
      </c>
      <c r="BI288" s="654">
        <f>IF(VLOOKUP(AW288,坦克个性化设定!$B$18:$BB$48,MATCH("装弹类型",坦克个性化设定!$B$18:$BB$18,0),FALSE)="弹夹换弹",0,ROUND(VLOOKUP($AW288,$AD$3:$AJ$33,MATCH("换弹时间",$AD$3:$AJ$3,0),FALSE)-$AY288/VLOOKUP(VLOOKUP($AW288,坦克个性化设定!$B$18:$E$48,4,FALSE)&amp;$AX288,坦克属性分配比例,MATCH("升星次数",坦克属性分配比例标头,0),FALSE)*VLOOKUP($AW288,$AM$3:$AS$33,MATCH("换弹时间",$AM$3:$AS$3,0),FALSE),2))</f>
        <v>5.47</v>
      </c>
      <c r="BJ288" s="654">
        <f>IF(VLOOKUP(AW288,坦克个性化设定!$B$18:$BB$48,MATCH("装弹类型",坦克个性化设定!$B$18:$BB$18,0),FALSE)="弹夹换弹",ROUND(VLOOKUP($AW288,$AD$3:$AJ$33,MATCH("换弹时间",$AD$3:$AJ$3,0),FALSE)-$AY288/VLOOKUP(VLOOKUP($AW288,坦克个性化设定!$B$18:$E$48,4,FALSE)&amp;$AX288,坦克属性分配比例,MATCH("升星次数",坦克属性分配比例标头,0),FALSE)*VLOOKUP($AW288,$AM$3:$AS$33,MATCH("换弹时间",$AM$3:$AS$3,0),FALSE),1),0)</f>
        <v>0</v>
      </c>
      <c r="BK288" s="654">
        <f>ROUND(VLOOKUP($AW288,$AD$3:$AJ$33,MATCH(BK$3,$AD$3:$AJ$3,0),FALSE)+$AY288/VLOOKUP(VLOOKUP($AW288,坦克个性化设定!$B$18:$E$48,4,FALSE)&amp;$AX288,坦克属性分配比例,MATCH("升星次数",坦克属性分配比例标头,0),FALSE)*VLOOKUP($AW288,$AM$3:$AS$33,MATCH(BK$3,$AM$3:$AS$3,0),FALSE),2)</f>
        <v>0</v>
      </c>
      <c r="BL288" s="654">
        <f>ROUND(VLOOKUP($AW288,$AD$3:$AJ$33,MATCH(BL$3,$AD$3:$AJ$3,0),FALSE)-$AY288/VLOOKUP(VLOOKUP($AW288,坦克个性化设定!$B$18:$E$48,4,FALSE)&amp;$AX288,坦克属性分配比例,MATCH("升星次数",坦克属性分配比例标头,0),FALSE)*VLOOKUP($AW288,$AM$3:$AS$33,MATCH(BL$3,$AM$3:$AS$3,0),FALSE),2)</f>
        <v>2.82</v>
      </c>
    </row>
    <row r="289" spans="47:64" x14ac:dyDescent="0.35">
      <c r="AU289" s="372" t="str">
        <f t="shared" si="30"/>
        <v>虎式6</v>
      </c>
      <c r="AV289" s="654">
        <f>IF(AY288&gt;=VLOOKUP(VLOOKUP(AW288,坦克个性化设定!$B$18:$E$48,4,FALSE)&amp;AX288,坦克属性分配比例,MATCH("升星次数",坦克属性分配比例标头,0),FALSE),AV288+1,AV288)</f>
        <v>25</v>
      </c>
      <c r="AW289" s="649" t="str">
        <f t="shared" si="31"/>
        <v>虎式</v>
      </c>
      <c r="AX289" s="650" t="str">
        <f>VLOOKUP(AW289,坦克个性化细分!$I$3:$J$33,2,FALSE)</f>
        <v>中</v>
      </c>
      <c r="AY289" s="654">
        <f t="shared" si="32"/>
        <v>6</v>
      </c>
      <c r="AZ289" s="654">
        <f ca="1">ROUND(VLOOKUP($AW289&amp;"初始",$O$3:$AA$63,MATCH(AZ$3,$O$3:$AA$3,0),FALSE)+((VLOOKUP($AW289&amp;"最终",$O$3:$AA$63,MATCH(AZ$3,$O$3:$AA$3,0),FALSE)*坦克个性化细分!$C$9-VLOOKUP($AW289&amp;"初始",$O$3:$AA$63,MATCH(AZ$3,$O$3:$AA$3,0),FALSE))-(VLOOKUP($AW289&amp;"最终",$O$3:$AA$63,MATCH(AZ$3,$O$3:$AA$3,0),FALSE)-VLOOKUP($AW289&amp;"初始",$O$3:$AA$63,MATCH(AZ$3,$O$3:$AA$3,0),FALSE))*VLOOKUP(VLOOKUP($AW289,坦克个性化设定!$B$18:$E$48,4,FALSE)&amp;$AX289,坦克属性分配比例,MATCH("部件比例",坦克属性分配比例标头,0),FALSE))*$AY289/VLOOKUP(VLOOKUP($AW289,坦克个性化设定!$B$18:$E$48,4,FALSE)&amp;$AX289,坦克属性分配比例,MATCH("升星次数",坦克属性分配比例标头,0),FALSE),0)</f>
        <v>2087</v>
      </c>
      <c r="BA289" s="654">
        <f ca="1">ROUND(VLOOKUP($AW289&amp;"初始",$O$3:$AA$63,MATCH(BA$3,$O$3:$AA$3,0),FALSE)+(VLOOKUP($AW289&amp;"最终",$O$3:$AA$63,MATCH(BA$3,$O$3:$AA$3,0),FALSE)-VLOOKUP($AW289&amp;"初始",$O$3:$AA$63,MATCH(BA$3,$O$3:$AA$3,0),FALSE))*$AY289/VLOOKUP(VLOOKUP($AW289,坦克个性化设定!$B$18:$E$48,4,FALSE)&amp;$AX289,坦克属性分配比例,MATCH("升星次数",坦克属性分配比例标头,0),FALSE)*VLOOKUP(VLOOKUP($AW289,坦克个性化设定!$B$18:$E$48,4,FALSE)&amp;$AX289,坦克属性分配比例,MATCH("升星比例",坦克属性分配比例标头,0),FALSE),0)</f>
        <v>392</v>
      </c>
      <c r="BB289" s="654">
        <f ca="1">ROUND(VLOOKUP($AW289&amp;"初始",$O$3:$AA$63,MATCH(BB$3,$O$3:$AA$3,0),FALSE)+(VLOOKUP($AW289&amp;"最终",$O$3:$AA$63,MATCH(BB$3,$O$3:$AA$3,0),FALSE)-VLOOKUP($AW289&amp;"初始",$O$3:$AA$63,MATCH(BB$3,$O$3:$AA$3,0),FALSE))*$AY289/VLOOKUP(VLOOKUP($AW289,坦克个性化设定!$B$18:$E$48,4,FALSE)&amp;$AX289,坦克属性分配比例,MATCH("升星次数",坦克属性分配比例标头,0),FALSE)*(VLOOKUP(VLOOKUP($AW289,坦克个性化设定!$B$18:$E$48,4,FALSE)&amp;$AX289,坦克属性分配比例,MATCH("升星比例",坦克属性分配比例标头,0),FALSE)+VLOOKUP(VLOOKUP($AW289,坦克个性化设定!$B$18:$E$48,4,FALSE)&amp;$AX289,坦克属性分配比例,MATCH("部件比例",坦克属性分配比例标头,0),FALSE)*$C$3),0)</f>
        <v>651</v>
      </c>
      <c r="BC289" s="654">
        <f ca="1">ROUND(VLOOKUP($AW289&amp;"初始",$O$3:$AA$63,MATCH(BC$3,$O$3:$AA$3,0),FALSE)+(VLOOKUP($AW289&amp;"最终",$O$3:$AA$63,MATCH(BC$3,$O$3:$AA$3,0),FALSE)-VLOOKUP($AW289&amp;"初始",$O$3:$AA$63,MATCH(BC$3,$O$3:$AA$3,0),FALSE))*$AY289/VLOOKUP(VLOOKUP($AW289,坦克个性化设定!$B$18:$E$48,4,FALSE)&amp;$AX289,坦克属性分配比例,MATCH("升星次数",坦克属性分配比例标头,0),FALSE)*(VLOOKUP(VLOOKUP($AW289,坦克个性化设定!$B$18:$E$48,4,FALSE)&amp;$AX289,坦克属性分配比例,MATCH("升星比例",坦克属性分配比例标头,0),FALSE)+VLOOKUP(VLOOKUP($AW289,坦克个性化设定!$B$18:$E$48,4,FALSE)&amp;$AX289,坦克属性分配比例,MATCH("部件比例",坦克属性分配比例标头,0),FALSE)*$C$3),0)</f>
        <v>520</v>
      </c>
      <c r="BD289" s="654">
        <f ca="1">ROUND(VLOOKUP($AW289&amp;"初始",$O$3:$AA$63,MATCH(BD$3,$O$3:$AA$3,0),FALSE)+(VLOOKUP($AW289&amp;"最终",$O$3:$AA$63,MATCH(BD$3,$O$3:$AA$3,0),FALSE)-VLOOKUP($AW289&amp;"初始",$O$3:$AA$63,MATCH(BD$3,$O$3:$AA$3,0),FALSE))*$AY289/VLOOKUP(VLOOKUP($AW289,坦克个性化设定!$B$18:$E$48,4,FALSE)&amp;$AX289,坦克属性分配比例,MATCH("升星次数",坦克属性分配比例标头,0),FALSE)*VLOOKUP(VLOOKUP($AW289,坦克个性化设定!$B$18:$E$48,4,FALSE)&amp;$AX289,坦克属性分配比例,MATCH("升星比例",坦克属性分配比例标头,0),FALSE),0)</f>
        <v>802</v>
      </c>
      <c r="BE289" s="654">
        <f ca="1">ROUND(VLOOKUP($AW289&amp;"初始",$O$3:$AA$63,MATCH(BE$3,$O$3:$AA$3,0),FALSE)+(VLOOKUP($AW289&amp;"最终",$O$3:$AA$63,MATCH(BE$3,$O$3:$AA$3,0),FALSE)-VLOOKUP($AW289&amp;"初始",$O$3:$AA$63,MATCH(BE$3,$O$3:$AA$3,0),FALSE))*$AY289/VLOOKUP(VLOOKUP($AW289,坦克个性化设定!$B$18:$E$48,4,FALSE)&amp;$AX289,坦克属性分配比例,MATCH("升星次数",坦克属性分配比例标头,0),FALSE),0)</f>
        <v>207</v>
      </c>
      <c r="BF289" s="654">
        <f>ROUND(VLOOKUP($AW289,$AD$3:$AJ$33,MATCH(BF$3,$AD$3:$AJ$3,0),FALSE)+$AY289/VLOOKUP(VLOOKUP($AW289,坦克个性化设定!$B$18:$E$48,4,FALSE)&amp;$AX289,坦克属性分配比例,MATCH("升星次数",坦克属性分配比例标头,0),FALSE)*VLOOKUP($AW289,$AM$3:$AS$33,MATCH(BF$3,$AM$3:$AS$3,0),FALSE),1)</f>
        <v>35.4</v>
      </c>
      <c r="BG289" s="654">
        <f>ROUND(VLOOKUP($AW289,$AD$3:$AJ$33,MATCH(BG$3,$AD$3:$AJ$3,0),FALSE)+$AY289/VLOOKUP(VLOOKUP($AW289,坦克个性化设定!$B$18:$E$48,4,FALSE)&amp;$AX289,坦克属性分配比例,MATCH("升星次数",坦克属性分配比例标头,0),FALSE)*VLOOKUP($AW289,$AM$3:$AS$33,MATCH(BG$3,$AM$3:$AS$3,0),FALSE),1)</f>
        <v>49.4</v>
      </c>
      <c r="BH289" s="654">
        <f>ROUND(VLOOKUP($AW289,$AD$3:$AJ$33,MATCH(BH$3,$AD$3:$AJ$3,0),FALSE)+$AY289/VLOOKUP(VLOOKUP($AW289,坦克个性化设定!$B$18:$E$48,4,FALSE)&amp;$AX289,坦克属性分配比例,MATCH("升星次数",坦克属性分配比例标头,0),FALSE)*VLOOKUP($AW289,$AM$3:$AS$33,MATCH(BH$3,$AM$3:$AS$3,0),FALSE),1)</f>
        <v>10.9</v>
      </c>
      <c r="BI289" s="654">
        <f>IF(VLOOKUP(AW289,坦克个性化设定!$B$18:$BB$48,MATCH("装弹类型",坦克个性化设定!$B$18:$BB$18,0),FALSE)="弹夹换弹",0,ROUND(VLOOKUP($AW289,$AD$3:$AJ$33,MATCH("换弹时间",$AD$3:$AJ$3,0),FALSE)-$AY289/VLOOKUP(VLOOKUP($AW289,坦克个性化设定!$B$18:$E$48,4,FALSE)&amp;$AX289,坦克属性分配比例,MATCH("升星次数",坦克属性分配比例标头,0),FALSE)*VLOOKUP($AW289,$AM$3:$AS$33,MATCH("换弹时间",$AM$3:$AS$3,0),FALSE),2))</f>
        <v>5.36</v>
      </c>
      <c r="BJ289" s="654">
        <f>IF(VLOOKUP(AW289,坦克个性化设定!$B$18:$BB$48,MATCH("装弹类型",坦克个性化设定!$B$18:$BB$18,0),FALSE)="弹夹换弹",ROUND(VLOOKUP($AW289,$AD$3:$AJ$33,MATCH("换弹时间",$AD$3:$AJ$3,0),FALSE)-$AY289/VLOOKUP(VLOOKUP($AW289,坦克个性化设定!$B$18:$E$48,4,FALSE)&amp;$AX289,坦克属性分配比例,MATCH("升星次数",坦克属性分配比例标头,0),FALSE)*VLOOKUP($AW289,$AM$3:$AS$33,MATCH("换弹时间",$AM$3:$AS$3,0),FALSE),1),0)</f>
        <v>0</v>
      </c>
      <c r="BK289" s="654">
        <f>ROUND(VLOOKUP($AW289,$AD$3:$AJ$33,MATCH(BK$3,$AD$3:$AJ$3,0),FALSE)+$AY289/VLOOKUP(VLOOKUP($AW289,坦克个性化设定!$B$18:$E$48,4,FALSE)&amp;$AX289,坦克属性分配比例,MATCH("升星次数",坦克属性分配比例标头,0),FALSE)*VLOOKUP($AW289,$AM$3:$AS$33,MATCH(BK$3,$AM$3:$AS$3,0),FALSE),2)</f>
        <v>0</v>
      </c>
      <c r="BL289" s="654">
        <f>ROUND(VLOOKUP($AW289,$AD$3:$AJ$33,MATCH(BL$3,$AD$3:$AJ$3,0),FALSE)-$AY289/VLOOKUP(VLOOKUP($AW289,坦克个性化设定!$B$18:$E$48,4,FALSE)&amp;$AX289,坦克属性分配比例,MATCH("升星次数",坦克属性分配比例标头,0),FALSE)*VLOOKUP($AW289,$AM$3:$AS$33,MATCH(BL$3,$AM$3:$AS$3,0),FALSE),2)</f>
        <v>2.79</v>
      </c>
    </row>
    <row r="290" spans="47:64" x14ac:dyDescent="0.35">
      <c r="AU290" s="372" t="str">
        <f t="shared" si="30"/>
        <v>虎式7</v>
      </c>
      <c r="AV290" s="654">
        <f>IF(AY289&gt;=VLOOKUP(VLOOKUP(AW289,坦克个性化设定!$B$18:$E$48,4,FALSE)&amp;AX289,坦克属性分配比例,MATCH("升星次数",坦克属性分配比例标头,0),FALSE),AV289+1,AV289)</f>
        <v>25</v>
      </c>
      <c r="AW290" s="649" t="str">
        <f t="shared" si="31"/>
        <v>虎式</v>
      </c>
      <c r="AX290" s="650" t="str">
        <f>VLOOKUP(AW290,坦克个性化细分!$I$3:$J$33,2,FALSE)</f>
        <v>中</v>
      </c>
      <c r="AY290" s="654">
        <f t="shared" si="32"/>
        <v>7</v>
      </c>
      <c r="AZ290" s="654">
        <f ca="1">ROUND(VLOOKUP($AW290&amp;"初始",$O$3:$AA$63,MATCH(AZ$3,$O$3:$AA$3,0),FALSE)+((VLOOKUP($AW290&amp;"最终",$O$3:$AA$63,MATCH(AZ$3,$O$3:$AA$3,0),FALSE)*坦克个性化细分!$C$9-VLOOKUP($AW290&amp;"初始",$O$3:$AA$63,MATCH(AZ$3,$O$3:$AA$3,0),FALSE))-(VLOOKUP($AW290&amp;"最终",$O$3:$AA$63,MATCH(AZ$3,$O$3:$AA$3,0),FALSE)-VLOOKUP($AW290&amp;"初始",$O$3:$AA$63,MATCH(AZ$3,$O$3:$AA$3,0),FALSE))*VLOOKUP(VLOOKUP($AW290,坦克个性化设定!$B$18:$E$48,4,FALSE)&amp;$AX290,坦克属性分配比例,MATCH("部件比例",坦克属性分配比例标头,0),FALSE))*$AY290/VLOOKUP(VLOOKUP($AW290,坦克个性化设定!$B$18:$E$48,4,FALSE)&amp;$AX290,坦克属性分配比例,MATCH("升星次数",坦克属性分配比例标头,0),FALSE),0)</f>
        <v>2201</v>
      </c>
      <c r="BA290" s="654">
        <f ca="1">ROUND(VLOOKUP($AW290&amp;"初始",$O$3:$AA$63,MATCH(BA$3,$O$3:$AA$3,0),FALSE)+(VLOOKUP($AW290&amp;"最终",$O$3:$AA$63,MATCH(BA$3,$O$3:$AA$3,0),FALSE)-VLOOKUP($AW290&amp;"初始",$O$3:$AA$63,MATCH(BA$3,$O$3:$AA$3,0),FALSE))*$AY290/VLOOKUP(VLOOKUP($AW290,坦克个性化设定!$B$18:$E$48,4,FALSE)&amp;$AX290,坦克属性分配比例,MATCH("升星次数",坦克属性分配比例标头,0),FALSE)*VLOOKUP(VLOOKUP($AW290,坦克个性化设定!$B$18:$E$48,4,FALSE)&amp;$AX290,坦克属性分配比例,MATCH("升星比例",坦克属性分配比例标头,0),FALSE),0)</f>
        <v>404</v>
      </c>
      <c r="BB290" s="654">
        <f ca="1">ROUND(VLOOKUP($AW290&amp;"初始",$O$3:$AA$63,MATCH(BB$3,$O$3:$AA$3,0),FALSE)+(VLOOKUP($AW290&amp;"最终",$O$3:$AA$63,MATCH(BB$3,$O$3:$AA$3,0),FALSE)-VLOOKUP($AW290&amp;"初始",$O$3:$AA$63,MATCH(BB$3,$O$3:$AA$3,0),FALSE))*$AY290/VLOOKUP(VLOOKUP($AW290,坦克个性化设定!$B$18:$E$48,4,FALSE)&amp;$AX290,坦克属性分配比例,MATCH("升星次数",坦克属性分配比例标头,0),FALSE)*(VLOOKUP(VLOOKUP($AW290,坦克个性化设定!$B$18:$E$48,4,FALSE)&amp;$AX290,坦克属性分配比例,MATCH("升星比例",坦克属性分配比例标头,0),FALSE)+VLOOKUP(VLOOKUP($AW290,坦克个性化设定!$B$18:$E$48,4,FALSE)&amp;$AX290,坦克属性分配比例,MATCH("部件比例",坦克属性分配比例标头,0),FALSE)*$C$3),0)</f>
        <v>678</v>
      </c>
      <c r="BC290" s="654">
        <f ca="1">ROUND(VLOOKUP($AW290&amp;"初始",$O$3:$AA$63,MATCH(BC$3,$O$3:$AA$3,0),FALSE)+(VLOOKUP($AW290&amp;"最终",$O$3:$AA$63,MATCH(BC$3,$O$3:$AA$3,0),FALSE)-VLOOKUP($AW290&amp;"初始",$O$3:$AA$63,MATCH(BC$3,$O$3:$AA$3,0),FALSE))*$AY290/VLOOKUP(VLOOKUP($AW290,坦克个性化设定!$B$18:$E$48,4,FALSE)&amp;$AX290,坦克属性分配比例,MATCH("升星次数",坦克属性分配比例标头,0),FALSE)*(VLOOKUP(VLOOKUP($AW290,坦克个性化设定!$B$18:$E$48,4,FALSE)&amp;$AX290,坦克属性分配比例,MATCH("升星比例",坦克属性分配比例标头,0),FALSE)+VLOOKUP(VLOOKUP($AW290,坦克个性化设定!$B$18:$E$48,4,FALSE)&amp;$AX290,坦克属性分配比例,MATCH("部件比例",坦克属性分配比例标头,0),FALSE)*$C$3),0)</f>
        <v>542</v>
      </c>
      <c r="BD290" s="654">
        <f ca="1">ROUND(VLOOKUP($AW290&amp;"初始",$O$3:$AA$63,MATCH(BD$3,$O$3:$AA$3,0),FALSE)+(VLOOKUP($AW290&amp;"最终",$O$3:$AA$63,MATCH(BD$3,$O$3:$AA$3,0),FALSE)-VLOOKUP($AW290&amp;"初始",$O$3:$AA$63,MATCH(BD$3,$O$3:$AA$3,0),FALSE))*$AY290/VLOOKUP(VLOOKUP($AW290,坦克个性化设定!$B$18:$E$48,4,FALSE)&amp;$AX290,坦克属性分配比例,MATCH("升星次数",坦克属性分配比例标头,0),FALSE)*VLOOKUP(VLOOKUP($AW290,坦克个性化设定!$B$18:$E$48,4,FALSE)&amp;$AX290,坦克属性分配比例,MATCH("升星比例",坦克属性分配比例标头,0),FALSE),0)</f>
        <v>828</v>
      </c>
      <c r="BE290" s="654">
        <f ca="1">ROUND(VLOOKUP($AW290&amp;"初始",$O$3:$AA$63,MATCH(BE$3,$O$3:$AA$3,0),FALSE)+(VLOOKUP($AW290&amp;"最终",$O$3:$AA$63,MATCH(BE$3,$O$3:$AA$3,0),FALSE)-VLOOKUP($AW290&amp;"初始",$O$3:$AA$63,MATCH(BE$3,$O$3:$AA$3,0),FALSE))*$AY290/VLOOKUP(VLOOKUP($AW290,坦克个性化设定!$B$18:$E$48,4,FALSE)&amp;$AX290,坦克属性分配比例,MATCH("升星次数",坦克属性分配比例标头,0),FALSE),0)</f>
        <v>217</v>
      </c>
      <c r="BF290" s="654">
        <f>ROUND(VLOOKUP($AW290,$AD$3:$AJ$33,MATCH(BF$3,$AD$3:$AJ$3,0),FALSE)+$AY290/VLOOKUP(VLOOKUP($AW290,坦克个性化设定!$B$18:$E$48,4,FALSE)&amp;$AX290,坦克属性分配比例,MATCH("升星次数",坦克属性分配比例标头,0),FALSE)*VLOOKUP($AW290,$AM$3:$AS$33,MATCH(BF$3,$AM$3:$AS$3,0),FALSE),1)</f>
        <v>36</v>
      </c>
      <c r="BG290" s="654">
        <f>ROUND(VLOOKUP($AW290,$AD$3:$AJ$33,MATCH(BG$3,$AD$3:$AJ$3,0),FALSE)+$AY290/VLOOKUP(VLOOKUP($AW290,坦克个性化设定!$B$18:$E$48,4,FALSE)&amp;$AX290,坦克属性分配比例,MATCH("升星次数",坦克属性分配比例标头,0),FALSE)*VLOOKUP($AW290,$AM$3:$AS$33,MATCH(BG$3,$AM$3:$AS$3,0),FALSE),1)</f>
        <v>50.2</v>
      </c>
      <c r="BH290" s="654">
        <f>ROUND(VLOOKUP($AW290,$AD$3:$AJ$33,MATCH(BH$3,$AD$3:$AJ$3,0),FALSE)+$AY290/VLOOKUP(VLOOKUP($AW290,坦克个性化设定!$B$18:$E$48,4,FALSE)&amp;$AX290,坦克属性分配比例,MATCH("升星次数",坦克属性分配比例标头,0),FALSE)*VLOOKUP($AW290,$AM$3:$AS$33,MATCH(BH$3,$AM$3:$AS$3,0),FALSE),1)</f>
        <v>11.2</v>
      </c>
      <c r="BI290" s="654">
        <f>IF(VLOOKUP(AW290,坦克个性化设定!$B$18:$BB$48,MATCH("装弹类型",坦克个性化设定!$B$18:$BB$18,0),FALSE)="弹夹换弹",0,ROUND(VLOOKUP($AW290,$AD$3:$AJ$33,MATCH("换弹时间",$AD$3:$AJ$3,0),FALSE)-$AY290/VLOOKUP(VLOOKUP($AW290,坦克个性化设定!$B$18:$E$48,4,FALSE)&amp;$AX290,坦克属性分配比例,MATCH("升星次数",坦克属性分配比例标头,0),FALSE)*VLOOKUP($AW290,$AM$3:$AS$33,MATCH("换弹时间",$AM$3:$AS$3,0),FALSE),2))</f>
        <v>5.26</v>
      </c>
      <c r="BJ290" s="654">
        <f>IF(VLOOKUP(AW290,坦克个性化设定!$B$18:$BB$48,MATCH("装弹类型",坦克个性化设定!$B$18:$BB$18,0),FALSE)="弹夹换弹",ROUND(VLOOKUP($AW290,$AD$3:$AJ$33,MATCH("换弹时间",$AD$3:$AJ$3,0),FALSE)-$AY290/VLOOKUP(VLOOKUP($AW290,坦克个性化设定!$B$18:$E$48,4,FALSE)&amp;$AX290,坦克属性分配比例,MATCH("升星次数",坦克属性分配比例标头,0),FALSE)*VLOOKUP($AW290,$AM$3:$AS$33,MATCH("换弹时间",$AM$3:$AS$3,0),FALSE),1),0)</f>
        <v>0</v>
      </c>
      <c r="BK290" s="654">
        <f>ROUND(VLOOKUP($AW290,$AD$3:$AJ$33,MATCH(BK$3,$AD$3:$AJ$3,0),FALSE)+$AY290/VLOOKUP(VLOOKUP($AW290,坦克个性化设定!$B$18:$E$48,4,FALSE)&amp;$AX290,坦克属性分配比例,MATCH("升星次数",坦克属性分配比例标头,0),FALSE)*VLOOKUP($AW290,$AM$3:$AS$33,MATCH(BK$3,$AM$3:$AS$3,0),FALSE),2)</f>
        <v>0</v>
      </c>
      <c r="BL290" s="654">
        <f>ROUND(VLOOKUP($AW290,$AD$3:$AJ$33,MATCH(BL$3,$AD$3:$AJ$3,0),FALSE)-$AY290/VLOOKUP(VLOOKUP($AW290,坦克个性化设定!$B$18:$E$48,4,FALSE)&amp;$AX290,坦克属性分配比例,MATCH("升星次数",坦克属性分配比例标头,0),FALSE)*VLOOKUP($AW290,$AM$3:$AS$33,MATCH(BL$3,$AM$3:$AS$3,0),FALSE),2)</f>
        <v>2.75</v>
      </c>
    </row>
    <row r="291" spans="47:64" x14ac:dyDescent="0.35">
      <c r="AU291" s="372" t="str">
        <f t="shared" si="30"/>
        <v>虎式8</v>
      </c>
      <c r="AV291" s="654">
        <f>IF(AY290&gt;=VLOOKUP(VLOOKUP(AW290,坦克个性化设定!$B$18:$E$48,4,FALSE)&amp;AX290,坦克属性分配比例,MATCH("升星次数",坦克属性分配比例标头,0),FALSE),AV290+1,AV290)</f>
        <v>25</v>
      </c>
      <c r="AW291" s="649" t="str">
        <f t="shared" si="31"/>
        <v>虎式</v>
      </c>
      <c r="AX291" s="650" t="str">
        <f>VLOOKUP(AW291,坦克个性化细分!$I$3:$J$33,2,FALSE)</f>
        <v>中</v>
      </c>
      <c r="AY291" s="654">
        <f t="shared" si="32"/>
        <v>8</v>
      </c>
      <c r="AZ291" s="654">
        <f ca="1">ROUND(VLOOKUP($AW291&amp;"初始",$O$3:$AA$63,MATCH(AZ$3,$O$3:$AA$3,0),FALSE)+((VLOOKUP($AW291&amp;"最终",$O$3:$AA$63,MATCH(AZ$3,$O$3:$AA$3,0),FALSE)*坦克个性化细分!$C$9-VLOOKUP($AW291&amp;"初始",$O$3:$AA$63,MATCH(AZ$3,$O$3:$AA$3,0),FALSE))-(VLOOKUP($AW291&amp;"最终",$O$3:$AA$63,MATCH(AZ$3,$O$3:$AA$3,0),FALSE)-VLOOKUP($AW291&amp;"初始",$O$3:$AA$63,MATCH(AZ$3,$O$3:$AA$3,0),FALSE))*VLOOKUP(VLOOKUP($AW291,坦克个性化设定!$B$18:$E$48,4,FALSE)&amp;$AX291,坦克属性分配比例,MATCH("部件比例",坦克属性分配比例标头,0),FALSE))*$AY291/VLOOKUP(VLOOKUP($AW291,坦克个性化设定!$B$18:$E$48,4,FALSE)&amp;$AX291,坦克属性分配比例,MATCH("升星次数",坦克属性分配比例标头,0),FALSE),0)</f>
        <v>2315</v>
      </c>
      <c r="BA291" s="654">
        <f ca="1">ROUND(VLOOKUP($AW291&amp;"初始",$O$3:$AA$63,MATCH(BA$3,$O$3:$AA$3,0),FALSE)+(VLOOKUP($AW291&amp;"最终",$O$3:$AA$63,MATCH(BA$3,$O$3:$AA$3,0),FALSE)-VLOOKUP($AW291&amp;"初始",$O$3:$AA$63,MATCH(BA$3,$O$3:$AA$3,0),FALSE))*$AY291/VLOOKUP(VLOOKUP($AW291,坦克个性化设定!$B$18:$E$48,4,FALSE)&amp;$AX291,坦克属性分配比例,MATCH("升星次数",坦克属性分配比例标头,0),FALSE)*VLOOKUP(VLOOKUP($AW291,坦克个性化设定!$B$18:$E$48,4,FALSE)&amp;$AX291,坦克属性分配比例,MATCH("升星比例",坦克属性分配比例标头,0),FALSE),0)</f>
        <v>417</v>
      </c>
      <c r="BB291" s="654">
        <f ca="1">ROUND(VLOOKUP($AW291&amp;"初始",$O$3:$AA$63,MATCH(BB$3,$O$3:$AA$3,0),FALSE)+(VLOOKUP($AW291&amp;"最终",$O$3:$AA$63,MATCH(BB$3,$O$3:$AA$3,0),FALSE)-VLOOKUP($AW291&amp;"初始",$O$3:$AA$63,MATCH(BB$3,$O$3:$AA$3,0),FALSE))*$AY291/VLOOKUP(VLOOKUP($AW291,坦克个性化设定!$B$18:$E$48,4,FALSE)&amp;$AX291,坦克属性分配比例,MATCH("升星次数",坦克属性分配比例标头,0),FALSE)*(VLOOKUP(VLOOKUP($AW291,坦克个性化设定!$B$18:$E$48,4,FALSE)&amp;$AX291,坦克属性分配比例,MATCH("升星比例",坦克属性分配比例标头,0),FALSE)+VLOOKUP(VLOOKUP($AW291,坦克个性化设定!$B$18:$E$48,4,FALSE)&amp;$AX291,坦克属性分配比例,MATCH("部件比例",坦克属性分配比例标头,0),FALSE)*$C$3),0)</f>
        <v>706</v>
      </c>
      <c r="BC291" s="654">
        <f ca="1">ROUND(VLOOKUP($AW291&amp;"初始",$O$3:$AA$63,MATCH(BC$3,$O$3:$AA$3,0),FALSE)+(VLOOKUP($AW291&amp;"最终",$O$3:$AA$63,MATCH(BC$3,$O$3:$AA$3,0),FALSE)-VLOOKUP($AW291&amp;"初始",$O$3:$AA$63,MATCH(BC$3,$O$3:$AA$3,0),FALSE))*$AY291/VLOOKUP(VLOOKUP($AW291,坦克个性化设定!$B$18:$E$48,4,FALSE)&amp;$AX291,坦克属性分配比例,MATCH("升星次数",坦克属性分配比例标头,0),FALSE)*(VLOOKUP(VLOOKUP($AW291,坦克个性化设定!$B$18:$E$48,4,FALSE)&amp;$AX291,坦克属性分配比例,MATCH("升星比例",坦克属性分配比例标头,0),FALSE)+VLOOKUP(VLOOKUP($AW291,坦克个性化设定!$B$18:$E$48,4,FALSE)&amp;$AX291,坦克属性分配比例,MATCH("部件比例",坦克属性分配比例标头,0),FALSE)*$C$3),0)</f>
        <v>564</v>
      </c>
      <c r="BD291" s="654">
        <f ca="1">ROUND(VLOOKUP($AW291&amp;"初始",$O$3:$AA$63,MATCH(BD$3,$O$3:$AA$3,0),FALSE)+(VLOOKUP($AW291&amp;"最终",$O$3:$AA$63,MATCH(BD$3,$O$3:$AA$3,0),FALSE)-VLOOKUP($AW291&amp;"初始",$O$3:$AA$63,MATCH(BD$3,$O$3:$AA$3,0),FALSE))*$AY291/VLOOKUP(VLOOKUP($AW291,坦克个性化设定!$B$18:$E$48,4,FALSE)&amp;$AX291,坦克属性分配比例,MATCH("升星次数",坦克属性分配比例标头,0),FALSE)*VLOOKUP(VLOOKUP($AW291,坦克个性化设定!$B$18:$E$48,4,FALSE)&amp;$AX291,坦克属性分配比例,MATCH("升星比例",坦克属性分配比例标头,0),FALSE),0)</f>
        <v>853</v>
      </c>
      <c r="BE291" s="654">
        <f ca="1">ROUND(VLOOKUP($AW291&amp;"初始",$O$3:$AA$63,MATCH(BE$3,$O$3:$AA$3,0),FALSE)+(VLOOKUP($AW291&amp;"最终",$O$3:$AA$63,MATCH(BE$3,$O$3:$AA$3,0),FALSE)-VLOOKUP($AW291&amp;"初始",$O$3:$AA$63,MATCH(BE$3,$O$3:$AA$3,0),FALSE))*$AY291/VLOOKUP(VLOOKUP($AW291,坦克个性化设定!$B$18:$E$48,4,FALSE)&amp;$AX291,坦克属性分配比例,MATCH("升星次数",坦克属性分配比例标头,0),FALSE),0)</f>
        <v>227</v>
      </c>
      <c r="BF291" s="654">
        <f>ROUND(VLOOKUP($AW291,$AD$3:$AJ$33,MATCH(BF$3,$AD$3:$AJ$3,0),FALSE)+$AY291/VLOOKUP(VLOOKUP($AW291,坦克个性化设定!$B$18:$E$48,4,FALSE)&amp;$AX291,坦克属性分配比例,MATCH("升星次数",坦克属性分配比例标头,0),FALSE)*VLOOKUP($AW291,$AM$3:$AS$33,MATCH(BF$3,$AM$3:$AS$3,0),FALSE),1)</f>
        <v>36.6</v>
      </c>
      <c r="BG291" s="654">
        <f>ROUND(VLOOKUP($AW291,$AD$3:$AJ$33,MATCH(BG$3,$AD$3:$AJ$3,0),FALSE)+$AY291/VLOOKUP(VLOOKUP($AW291,坦克个性化设定!$B$18:$E$48,4,FALSE)&amp;$AX291,坦克属性分配比例,MATCH("升星次数",坦克属性分配比例标头,0),FALSE)*VLOOKUP($AW291,$AM$3:$AS$33,MATCH(BG$3,$AM$3:$AS$3,0),FALSE),1)</f>
        <v>51</v>
      </c>
      <c r="BH291" s="654">
        <f>ROUND(VLOOKUP($AW291,$AD$3:$AJ$33,MATCH(BH$3,$AD$3:$AJ$3,0),FALSE)+$AY291/VLOOKUP(VLOOKUP($AW291,坦克个性化设定!$B$18:$E$48,4,FALSE)&amp;$AX291,坦克属性分配比例,MATCH("升星次数",坦克属性分配比例标头,0),FALSE)*VLOOKUP($AW291,$AM$3:$AS$33,MATCH(BH$3,$AM$3:$AS$3,0),FALSE),1)</f>
        <v>11.4</v>
      </c>
      <c r="BI291" s="654">
        <f>IF(VLOOKUP(AW291,坦克个性化设定!$B$18:$BB$48,MATCH("装弹类型",坦克个性化设定!$B$18:$BB$18,0),FALSE)="弹夹换弹",0,ROUND(VLOOKUP($AW291,$AD$3:$AJ$33,MATCH("换弹时间",$AD$3:$AJ$3,0),FALSE)-$AY291/VLOOKUP(VLOOKUP($AW291,坦克个性化设定!$B$18:$E$48,4,FALSE)&amp;$AX291,坦克属性分配比例,MATCH("升星次数",坦克属性分配比例标头,0),FALSE)*VLOOKUP($AW291,$AM$3:$AS$33,MATCH("换弹时间",$AM$3:$AS$3,0),FALSE),2))</f>
        <v>5.15</v>
      </c>
      <c r="BJ291" s="654">
        <f>IF(VLOOKUP(AW291,坦克个性化设定!$B$18:$BB$48,MATCH("装弹类型",坦克个性化设定!$B$18:$BB$18,0),FALSE)="弹夹换弹",ROUND(VLOOKUP($AW291,$AD$3:$AJ$33,MATCH("换弹时间",$AD$3:$AJ$3,0),FALSE)-$AY291/VLOOKUP(VLOOKUP($AW291,坦克个性化设定!$B$18:$E$48,4,FALSE)&amp;$AX291,坦克属性分配比例,MATCH("升星次数",坦克属性分配比例标头,0),FALSE)*VLOOKUP($AW291,$AM$3:$AS$33,MATCH("换弹时间",$AM$3:$AS$3,0),FALSE),1),0)</f>
        <v>0</v>
      </c>
      <c r="BK291" s="654">
        <f>ROUND(VLOOKUP($AW291,$AD$3:$AJ$33,MATCH(BK$3,$AD$3:$AJ$3,0),FALSE)+$AY291/VLOOKUP(VLOOKUP($AW291,坦克个性化设定!$B$18:$E$48,4,FALSE)&amp;$AX291,坦克属性分配比例,MATCH("升星次数",坦克属性分配比例标头,0),FALSE)*VLOOKUP($AW291,$AM$3:$AS$33,MATCH(BK$3,$AM$3:$AS$3,0),FALSE),2)</f>
        <v>0</v>
      </c>
      <c r="BL291" s="654">
        <f>ROUND(VLOOKUP($AW291,$AD$3:$AJ$33,MATCH(BL$3,$AD$3:$AJ$3,0),FALSE)-$AY291/VLOOKUP(VLOOKUP($AW291,坦克个性化设定!$B$18:$E$48,4,FALSE)&amp;$AX291,坦克属性分配比例,MATCH("升星次数",坦克属性分配比例标头,0),FALSE)*VLOOKUP($AW291,$AM$3:$AS$33,MATCH(BL$3,$AM$3:$AS$3,0),FALSE),2)</f>
        <v>2.71</v>
      </c>
    </row>
    <row r="292" spans="47:64" x14ac:dyDescent="0.35">
      <c r="AU292" s="372" t="str">
        <f t="shared" si="30"/>
        <v>虎式9</v>
      </c>
      <c r="AV292" s="654">
        <f>IF(AY291&gt;=VLOOKUP(VLOOKUP(AW291,坦克个性化设定!$B$18:$E$48,4,FALSE)&amp;AX291,坦克属性分配比例,MATCH("升星次数",坦克属性分配比例标头,0),FALSE),AV291+1,AV291)</f>
        <v>25</v>
      </c>
      <c r="AW292" s="649" t="str">
        <f t="shared" si="31"/>
        <v>虎式</v>
      </c>
      <c r="AX292" s="650" t="str">
        <f>VLOOKUP(AW292,坦克个性化细分!$I$3:$J$33,2,FALSE)</f>
        <v>中</v>
      </c>
      <c r="AY292" s="654">
        <f t="shared" si="32"/>
        <v>9</v>
      </c>
      <c r="AZ292" s="654">
        <f ca="1">ROUND(VLOOKUP($AW292&amp;"初始",$O$3:$AA$63,MATCH(AZ$3,$O$3:$AA$3,0),FALSE)+((VLOOKUP($AW292&amp;"最终",$O$3:$AA$63,MATCH(AZ$3,$O$3:$AA$3,0),FALSE)*坦克个性化细分!$C$9-VLOOKUP($AW292&amp;"初始",$O$3:$AA$63,MATCH(AZ$3,$O$3:$AA$3,0),FALSE))-(VLOOKUP($AW292&amp;"最终",$O$3:$AA$63,MATCH(AZ$3,$O$3:$AA$3,0),FALSE)-VLOOKUP($AW292&amp;"初始",$O$3:$AA$63,MATCH(AZ$3,$O$3:$AA$3,0),FALSE))*VLOOKUP(VLOOKUP($AW292,坦克个性化设定!$B$18:$E$48,4,FALSE)&amp;$AX292,坦克属性分配比例,MATCH("部件比例",坦克属性分配比例标头,0),FALSE))*$AY292/VLOOKUP(VLOOKUP($AW292,坦克个性化设定!$B$18:$E$48,4,FALSE)&amp;$AX292,坦克属性分配比例,MATCH("升星次数",坦克属性分配比例标头,0),FALSE),0)</f>
        <v>2429</v>
      </c>
      <c r="BA292" s="654">
        <f ca="1">ROUND(VLOOKUP($AW292&amp;"初始",$O$3:$AA$63,MATCH(BA$3,$O$3:$AA$3,0),FALSE)+(VLOOKUP($AW292&amp;"最终",$O$3:$AA$63,MATCH(BA$3,$O$3:$AA$3,0),FALSE)-VLOOKUP($AW292&amp;"初始",$O$3:$AA$63,MATCH(BA$3,$O$3:$AA$3,0),FALSE))*$AY292/VLOOKUP(VLOOKUP($AW292,坦克个性化设定!$B$18:$E$48,4,FALSE)&amp;$AX292,坦克属性分配比例,MATCH("升星次数",坦克属性分配比例标头,0),FALSE)*VLOOKUP(VLOOKUP($AW292,坦克个性化设定!$B$18:$E$48,4,FALSE)&amp;$AX292,坦克属性分配比例,MATCH("升星比例",坦克属性分配比例标头,0),FALSE),0)</f>
        <v>429</v>
      </c>
      <c r="BB292" s="654">
        <f ca="1">ROUND(VLOOKUP($AW292&amp;"初始",$O$3:$AA$63,MATCH(BB$3,$O$3:$AA$3,0),FALSE)+(VLOOKUP($AW292&amp;"最终",$O$3:$AA$63,MATCH(BB$3,$O$3:$AA$3,0),FALSE)-VLOOKUP($AW292&amp;"初始",$O$3:$AA$63,MATCH(BB$3,$O$3:$AA$3,0),FALSE))*$AY292/VLOOKUP(VLOOKUP($AW292,坦克个性化设定!$B$18:$E$48,4,FALSE)&amp;$AX292,坦克属性分配比例,MATCH("升星次数",坦克属性分配比例标头,0),FALSE)*(VLOOKUP(VLOOKUP($AW292,坦克个性化设定!$B$18:$E$48,4,FALSE)&amp;$AX292,坦克属性分配比例,MATCH("升星比例",坦克属性分配比例标头,0),FALSE)+VLOOKUP(VLOOKUP($AW292,坦克个性化设定!$B$18:$E$48,4,FALSE)&amp;$AX292,坦克属性分配比例,MATCH("部件比例",坦克属性分配比例标头,0),FALSE)*$C$3),0)</f>
        <v>733</v>
      </c>
      <c r="BC292" s="654">
        <f ca="1">ROUND(VLOOKUP($AW292&amp;"初始",$O$3:$AA$63,MATCH(BC$3,$O$3:$AA$3,0),FALSE)+(VLOOKUP($AW292&amp;"最终",$O$3:$AA$63,MATCH(BC$3,$O$3:$AA$3,0),FALSE)-VLOOKUP($AW292&amp;"初始",$O$3:$AA$63,MATCH(BC$3,$O$3:$AA$3,0),FALSE))*$AY292/VLOOKUP(VLOOKUP($AW292,坦克个性化设定!$B$18:$E$48,4,FALSE)&amp;$AX292,坦克属性分配比例,MATCH("升星次数",坦克属性分配比例标头,0),FALSE)*(VLOOKUP(VLOOKUP($AW292,坦克个性化设定!$B$18:$E$48,4,FALSE)&amp;$AX292,坦克属性分配比例,MATCH("升星比例",坦克属性分配比例标头,0),FALSE)+VLOOKUP(VLOOKUP($AW292,坦克个性化设定!$B$18:$E$48,4,FALSE)&amp;$AX292,坦克属性分配比例,MATCH("部件比例",坦克属性分配比例标头,0),FALSE)*$C$3),0)</f>
        <v>586</v>
      </c>
      <c r="BD292" s="654">
        <f ca="1">ROUND(VLOOKUP($AW292&amp;"初始",$O$3:$AA$63,MATCH(BD$3,$O$3:$AA$3,0),FALSE)+(VLOOKUP($AW292&amp;"最终",$O$3:$AA$63,MATCH(BD$3,$O$3:$AA$3,0),FALSE)-VLOOKUP($AW292&amp;"初始",$O$3:$AA$63,MATCH(BD$3,$O$3:$AA$3,0),FALSE))*$AY292/VLOOKUP(VLOOKUP($AW292,坦克个性化设定!$B$18:$E$48,4,FALSE)&amp;$AX292,坦克属性分配比例,MATCH("升星次数",坦克属性分配比例标头,0),FALSE)*VLOOKUP(VLOOKUP($AW292,坦克个性化设定!$B$18:$E$48,4,FALSE)&amp;$AX292,坦克属性分配比例,MATCH("升星比例",坦克属性分配比例标头,0),FALSE),0)</f>
        <v>879</v>
      </c>
      <c r="BE292" s="654">
        <f ca="1">ROUND(VLOOKUP($AW292&amp;"初始",$O$3:$AA$63,MATCH(BE$3,$O$3:$AA$3,0),FALSE)+(VLOOKUP($AW292&amp;"最终",$O$3:$AA$63,MATCH(BE$3,$O$3:$AA$3,0),FALSE)-VLOOKUP($AW292&amp;"初始",$O$3:$AA$63,MATCH(BE$3,$O$3:$AA$3,0),FALSE))*$AY292/VLOOKUP(VLOOKUP($AW292,坦克个性化设定!$B$18:$E$48,4,FALSE)&amp;$AX292,坦克属性分配比例,MATCH("升星次数",坦克属性分配比例标头,0),FALSE),0)</f>
        <v>237</v>
      </c>
      <c r="BF292" s="654">
        <f>ROUND(VLOOKUP($AW292,$AD$3:$AJ$33,MATCH(BF$3,$AD$3:$AJ$3,0),FALSE)+$AY292/VLOOKUP(VLOOKUP($AW292,坦克个性化设定!$B$18:$E$48,4,FALSE)&amp;$AX292,坦克属性分配比例,MATCH("升星次数",坦克属性分配比例标头,0),FALSE)*VLOOKUP($AW292,$AM$3:$AS$33,MATCH(BF$3,$AM$3:$AS$3,0),FALSE),1)</f>
        <v>37.1</v>
      </c>
      <c r="BG292" s="654">
        <f>ROUND(VLOOKUP($AW292,$AD$3:$AJ$33,MATCH(BG$3,$AD$3:$AJ$3,0),FALSE)+$AY292/VLOOKUP(VLOOKUP($AW292,坦克个性化设定!$B$18:$E$48,4,FALSE)&amp;$AX292,坦克属性分配比例,MATCH("升星次数",坦克属性分配比例标头,0),FALSE)*VLOOKUP($AW292,$AM$3:$AS$33,MATCH(BG$3,$AM$3:$AS$3,0),FALSE),1)</f>
        <v>51.8</v>
      </c>
      <c r="BH292" s="654">
        <f>ROUND(VLOOKUP($AW292,$AD$3:$AJ$33,MATCH(BH$3,$AD$3:$AJ$3,0),FALSE)+$AY292/VLOOKUP(VLOOKUP($AW292,坦克个性化设定!$B$18:$E$48,4,FALSE)&amp;$AX292,坦克属性分配比例,MATCH("升星次数",坦克属性分配比例标头,0),FALSE)*VLOOKUP($AW292,$AM$3:$AS$33,MATCH(BH$3,$AM$3:$AS$3,0),FALSE),1)</f>
        <v>11.6</v>
      </c>
      <c r="BI292" s="654">
        <f>IF(VLOOKUP(AW292,坦克个性化设定!$B$18:$BB$48,MATCH("装弹类型",坦克个性化设定!$B$18:$BB$18,0),FALSE)="弹夹换弹",0,ROUND(VLOOKUP($AW292,$AD$3:$AJ$33,MATCH("换弹时间",$AD$3:$AJ$3,0),FALSE)-$AY292/VLOOKUP(VLOOKUP($AW292,坦克个性化设定!$B$18:$E$48,4,FALSE)&amp;$AX292,坦克属性分配比例,MATCH("升星次数",坦克属性分配比例标头,0),FALSE)*VLOOKUP($AW292,$AM$3:$AS$33,MATCH("换弹时间",$AM$3:$AS$3,0),FALSE),2))</f>
        <v>5.04</v>
      </c>
      <c r="BJ292" s="654">
        <f>IF(VLOOKUP(AW292,坦克个性化设定!$B$18:$BB$48,MATCH("装弹类型",坦克个性化设定!$B$18:$BB$18,0),FALSE)="弹夹换弹",ROUND(VLOOKUP($AW292,$AD$3:$AJ$33,MATCH("换弹时间",$AD$3:$AJ$3,0),FALSE)-$AY292/VLOOKUP(VLOOKUP($AW292,坦克个性化设定!$B$18:$E$48,4,FALSE)&amp;$AX292,坦克属性分配比例,MATCH("升星次数",坦克属性分配比例标头,0),FALSE)*VLOOKUP($AW292,$AM$3:$AS$33,MATCH("换弹时间",$AM$3:$AS$3,0),FALSE),1),0)</f>
        <v>0</v>
      </c>
      <c r="BK292" s="654">
        <f>ROUND(VLOOKUP($AW292,$AD$3:$AJ$33,MATCH(BK$3,$AD$3:$AJ$3,0),FALSE)+$AY292/VLOOKUP(VLOOKUP($AW292,坦克个性化设定!$B$18:$E$48,4,FALSE)&amp;$AX292,坦克属性分配比例,MATCH("升星次数",坦克属性分配比例标头,0),FALSE)*VLOOKUP($AW292,$AM$3:$AS$33,MATCH(BK$3,$AM$3:$AS$3,0),FALSE),2)</f>
        <v>0</v>
      </c>
      <c r="BL292" s="654">
        <f>ROUND(VLOOKUP($AW292,$AD$3:$AJ$33,MATCH(BL$3,$AD$3:$AJ$3,0),FALSE)-$AY292/VLOOKUP(VLOOKUP($AW292,坦克个性化设定!$B$18:$E$48,4,FALSE)&amp;$AX292,坦克属性分配比例,MATCH("升星次数",坦克属性分配比例标头,0),FALSE)*VLOOKUP($AW292,$AM$3:$AS$33,MATCH(BL$3,$AM$3:$AS$3,0),FALSE),2)</f>
        <v>2.68</v>
      </c>
    </row>
    <row r="293" spans="47:64" x14ac:dyDescent="0.35">
      <c r="AU293" s="372" t="str">
        <f t="shared" si="30"/>
        <v>虎式10</v>
      </c>
      <c r="AV293" s="654">
        <f>IF(AY292&gt;=VLOOKUP(VLOOKUP(AW292,坦克个性化设定!$B$18:$E$48,4,FALSE)&amp;AX292,坦克属性分配比例,MATCH("升星次数",坦克属性分配比例标头,0),FALSE),AV292+1,AV292)</f>
        <v>25</v>
      </c>
      <c r="AW293" s="649" t="str">
        <f t="shared" si="31"/>
        <v>虎式</v>
      </c>
      <c r="AX293" s="650" t="str">
        <f>VLOOKUP(AW293,坦克个性化细分!$I$3:$J$33,2,FALSE)</f>
        <v>中</v>
      </c>
      <c r="AY293" s="654">
        <f t="shared" si="32"/>
        <v>10</v>
      </c>
      <c r="AZ293" s="654">
        <f ca="1">ROUND(VLOOKUP($AW293&amp;"初始",$O$3:$AA$63,MATCH(AZ$3,$O$3:$AA$3,0),FALSE)+((VLOOKUP($AW293&amp;"最终",$O$3:$AA$63,MATCH(AZ$3,$O$3:$AA$3,0),FALSE)*坦克个性化细分!$C$9-VLOOKUP($AW293&amp;"初始",$O$3:$AA$63,MATCH(AZ$3,$O$3:$AA$3,0),FALSE))-(VLOOKUP($AW293&amp;"最终",$O$3:$AA$63,MATCH(AZ$3,$O$3:$AA$3,0),FALSE)-VLOOKUP($AW293&amp;"初始",$O$3:$AA$63,MATCH(AZ$3,$O$3:$AA$3,0),FALSE))*VLOOKUP(VLOOKUP($AW293,坦克个性化设定!$B$18:$E$48,4,FALSE)&amp;$AX293,坦克属性分配比例,MATCH("部件比例",坦克属性分配比例标头,0),FALSE))*$AY293/VLOOKUP(VLOOKUP($AW293,坦克个性化设定!$B$18:$E$48,4,FALSE)&amp;$AX293,坦克属性分配比例,MATCH("升星次数",坦克属性分配比例标头,0),FALSE),0)</f>
        <v>2543</v>
      </c>
      <c r="BA293" s="654">
        <f ca="1">ROUND(VLOOKUP($AW293&amp;"初始",$O$3:$AA$63,MATCH(BA$3,$O$3:$AA$3,0),FALSE)+(VLOOKUP($AW293&amp;"最终",$O$3:$AA$63,MATCH(BA$3,$O$3:$AA$3,0),FALSE)-VLOOKUP($AW293&amp;"初始",$O$3:$AA$63,MATCH(BA$3,$O$3:$AA$3,0),FALSE))*$AY293/VLOOKUP(VLOOKUP($AW293,坦克个性化设定!$B$18:$E$48,4,FALSE)&amp;$AX293,坦克属性分配比例,MATCH("升星次数",坦克属性分配比例标头,0),FALSE)*VLOOKUP(VLOOKUP($AW293,坦克个性化设定!$B$18:$E$48,4,FALSE)&amp;$AX293,坦克属性分配比例,MATCH("升星比例",坦克属性分配比例标头,0),FALSE),0)</f>
        <v>442</v>
      </c>
      <c r="BB293" s="654">
        <f ca="1">ROUND(VLOOKUP($AW293&amp;"初始",$O$3:$AA$63,MATCH(BB$3,$O$3:$AA$3,0),FALSE)+(VLOOKUP($AW293&amp;"最终",$O$3:$AA$63,MATCH(BB$3,$O$3:$AA$3,0),FALSE)-VLOOKUP($AW293&amp;"初始",$O$3:$AA$63,MATCH(BB$3,$O$3:$AA$3,0),FALSE))*$AY293/VLOOKUP(VLOOKUP($AW293,坦克个性化设定!$B$18:$E$48,4,FALSE)&amp;$AX293,坦克属性分配比例,MATCH("升星次数",坦克属性分配比例标头,0),FALSE)*(VLOOKUP(VLOOKUP($AW293,坦克个性化设定!$B$18:$E$48,4,FALSE)&amp;$AX293,坦克属性分配比例,MATCH("升星比例",坦克属性分配比例标头,0),FALSE)+VLOOKUP(VLOOKUP($AW293,坦克个性化设定!$B$18:$E$48,4,FALSE)&amp;$AX293,坦克属性分配比例,MATCH("部件比例",坦克属性分配比例标头,0),FALSE)*$C$3),0)</f>
        <v>761</v>
      </c>
      <c r="BC293" s="654">
        <f ca="1">ROUND(VLOOKUP($AW293&amp;"初始",$O$3:$AA$63,MATCH(BC$3,$O$3:$AA$3,0),FALSE)+(VLOOKUP($AW293&amp;"最终",$O$3:$AA$63,MATCH(BC$3,$O$3:$AA$3,0),FALSE)-VLOOKUP($AW293&amp;"初始",$O$3:$AA$63,MATCH(BC$3,$O$3:$AA$3,0),FALSE))*$AY293/VLOOKUP(VLOOKUP($AW293,坦克个性化设定!$B$18:$E$48,4,FALSE)&amp;$AX293,坦克属性分配比例,MATCH("升星次数",坦克属性分配比例标头,0),FALSE)*(VLOOKUP(VLOOKUP($AW293,坦克个性化设定!$B$18:$E$48,4,FALSE)&amp;$AX293,坦克属性分配比例,MATCH("升星比例",坦克属性分配比例标头,0),FALSE)+VLOOKUP(VLOOKUP($AW293,坦克个性化设定!$B$18:$E$48,4,FALSE)&amp;$AX293,坦克属性分配比例,MATCH("部件比例",坦克属性分配比例标头,0),FALSE)*$C$3),0)</f>
        <v>608</v>
      </c>
      <c r="BD293" s="654">
        <f ca="1">ROUND(VLOOKUP($AW293&amp;"初始",$O$3:$AA$63,MATCH(BD$3,$O$3:$AA$3,0),FALSE)+(VLOOKUP($AW293&amp;"最终",$O$3:$AA$63,MATCH(BD$3,$O$3:$AA$3,0),FALSE)-VLOOKUP($AW293&amp;"初始",$O$3:$AA$63,MATCH(BD$3,$O$3:$AA$3,0),FALSE))*$AY293/VLOOKUP(VLOOKUP($AW293,坦克个性化设定!$B$18:$E$48,4,FALSE)&amp;$AX293,坦克属性分配比例,MATCH("升星次数",坦克属性分配比例标头,0),FALSE)*VLOOKUP(VLOOKUP($AW293,坦克个性化设定!$B$18:$E$48,4,FALSE)&amp;$AX293,坦克属性分配比例,MATCH("升星比例",坦克属性分配比例标头,0),FALSE),0)</f>
        <v>904</v>
      </c>
      <c r="BE293" s="654">
        <f ca="1">ROUND(VLOOKUP($AW293&amp;"初始",$O$3:$AA$63,MATCH(BE$3,$O$3:$AA$3,0),FALSE)+(VLOOKUP($AW293&amp;"最终",$O$3:$AA$63,MATCH(BE$3,$O$3:$AA$3,0),FALSE)-VLOOKUP($AW293&amp;"初始",$O$3:$AA$63,MATCH(BE$3,$O$3:$AA$3,0),FALSE))*$AY293/VLOOKUP(VLOOKUP($AW293,坦克个性化设定!$B$18:$E$48,4,FALSE)&amp;$AX293,坦克属性分配比例,MATCH("升星次数",坦克属性分配比例标头,0),FALSE),0)</f>
        <v>247</v>
      </c>
      <c r="BF293" s="654">
        <f>ROUND(VLOOKUP($AW293,$AD$3:$AJ$33,MATCH(BF$3,$AD$3:$AJ$3,0),FALSE)+$AY293/VLOOKUP(VLOOKUP($AW293,坦克个性化设定!$B$18:$E$48,4,FALSE)&amp;$AX293,坦克属性分配比例,MATCH("升星次数",坦克属性分配比例标头,0),FALSE)*VLOOKUP($AW293,$AM$3:$AS$33,MATCH(BF$3,$AM$3:$AS$3,0),FALSE),1)</f>
        <v>37.700000000000003</v>
      </c>
      <c r="BG293" s="654">
        <f>ROUND(VLOOKUP($AW293,$AD$3:$AJ$33,MATCH(BG$3,$AD$3:$AJ$3,0),FALSE)+$AY293/VLOOKUP(VLOOKUP($AW293,坦克个性化设定!$B$18:$E$48,4,FALSE)&amp;$AX293,坦克属性分配比例,MATCH("升星次数",坦克属性分配比例标头,0),FALSE)*VLOOKUP($AW293,$AM$3:$AS$33,MATCH(BG$3,$AM$3:$AS$3,0),FALSE),1)</f>
        <v>52.6</v>
      </c>
      <c r="BH293" s="654">
        <f>ROUND(VLOOKUP($AW293,$AD$3:$AJ$33,MATCH(BH$3,$AD$3:$AJ$3,0),FALSE)+$AY293/VLOOKUP(VLOOKUP($AW293,坦克个性化设定!$B$18:$E$48,4,FALSE)&amp;$AX293,坦克属性分配比例,MATCH("升星次数",坦克属性分配比例标头,0),FALSE)*VLOOKUP($AW293,$AM$3:$AS$33,MATCH(BH$3,$AM$3:$AS$3,0),FALSE),1)</f>
        <v>11.8</v>
      </c>
      <c r="BI293" s="654">
        <f>IF(VLOOKUP(AW293,坦克个性化设定!$B$18:$BB$48,MATCH("装弹类型",坦克个性化设定!$B$18:$BB$18,0),FALSE)="弹夹换弹",0,ROUND(VLOOKUP($AW293,$AD$3:$AJ$33,MATCH("换弹时间",$AD$3:$AJ$3,0),FALSE)-$AY293/VLOOKUP(VLOOKUP($AW293,坦克个性化设定!$B$18:$E$48,4,FALSE)&amp;$AX293,坦克属性分配比例,MATCH("升星次数",坦克属性分配比例标头,0),FALSE)*VLOOKUP($AW293,$AM$3:$AS$33,MATCH("换弹时间",$AM$3:$AS$3,0),FALSE),2))</f>
        <v>4.9400000000000004</v>
      </c>
      <c r="BJ293" s="654">
        <f>IF(VLOOKUP(AW293,坦克个性化设定!$B$18:$BB$48,MATCH("装弹类型",坦克个性化设定!$B$18:$BB$18,0),FALSE)="弹夹换弹",ROUND(VLOOKUP($AW293,$AD$3:$AJ$33,MATCH("换弹时间",$AD$3:$AJ$3,0),FALSE)-$AY293/VLOOKUP(VLOOKUP($AW293,坦克个性化设定!$B$18:$E$48,4,FALSE)&amp;$AX293,坦克属性分配比例,MATCH("升星次数",坦克属性分配比例标头,0),FALSE)*VLOOKUP($AW293,$AM$3:$AS$33,MATCH("换弹时间",$AM$3:$AS$3,0),FALSE),1),0)</f>
        <v>0</v>
      </c>
      <c r="BK293" s="654">
        <f>ROUND(VLOOKUP($AW293,$AD$3:$AJ$33,MATCH(BK$3,$AD$3:$AJ$3,0),FALSE)+$AY293/VLOOKUP(VLOOKUP($AW293,坦克个性化设定!$B$18:$E$48,4,FALSE)&amp;$AX293,坦克属性分配比例,MATCH("升星次数",坦克属性分配比例标头,0),FALSE)*VLOOKUP($AW293,$AM$3:$AS$33,MATCH(BK$3,$AM$3:$AS$3,0),FALSE),2)</f>
        <v>0</v>
      </c>
      <c r="BL293" s="654">
        <f>ROUND(VLOOKUP($AW293,$AD$3:$AJ$33,MATCH(BL$3,$AD$3:$AJ$3,0),FALSE)-$AY293/VLOOKUP(VLOOKUP($AW293,坦克个性化设定!$B$18:$E$48,4,FALSE)&amp;$AX293,坦克属性分配比例,MATCH("升星次数",坦克属性分配比例标头,0),FALSE)*VLOOKUP($AW293,$AM$3:$AS$33,MATCH(BL$3,$AM$3:$AS$3,0),FALSE),2)</f>
        <v>2.64</v>
      </c>
    </row>
    <row r="294" spans="47:64" x14ac:dyDescent="0.35">
      <c r="AU294" s="372" t="str">
        <f t="shared" si="30"/>
        <v>虎式11</v>
      </c>
      <c r="AV294" s="654">
        <f>IF(AY293&gt;=VLOOKUP(VLOOKUP(AW293,坦克个性化设定!$B$18:$E$48,4,FALSE)&amp;AX293,坦克属性分配比例,MATCH("升星次数",坦克属性分配比例标头,0),FALSE),AV293+1,AV293)</f>
        <v>25</v>
      </c>
      <c r="AW294" s="649" t="str">
        <f t="shared" si="31"/>
        <v>虎式</v>
      </c>
      <c r="AX294" s="650" t="str">
        <f>VLOOKUP(AW294,坦克个性化细分!$I$3:$J$33,2,FALSE)</f>
        <v>中</v>
      </c>
      <c r="AY294" s="654">
        <f t="shared" si="32"/>
        <v>11</v>
      </c>
      <c r="AZ294" s="654">
        <f ca="1">ROUND(VLOOKUP($AW294&amp;"初始",$O$3:$AA$63,MATCH(AZ$3,$O$3:$AA$3,0),FALSE)+((VLOOKUP($AW294&amp;"最终",$O$3:$AA$63,MATCH(AZ$3,$O$3:$AA$3,0),FALSE)*坦克个性化细分!$C$9-VLOOKUP($AW294&amp;"初始",$O$3:$AA$63,MATCH(AZ$3,$O$3:$AA$3,0),FALSE))-(VLOOKUP($AW294&amp;"最终",$O$3:$AA$63,MATCH(AZ$3,$O$3:$AA$3,0),FALSE)-VLOOKUP($AW294&amp;"初始",$O$3:$AA$63,MATCH(AZ$3,$O$3:$AA$3,0),FALSE))*VLOOKUP(VLOOKUP($AW294,坦克个性化设定!$B$18:$E$48,4,FALSE)&amp;$AX294,坦克属性分配比例,MATCH("部件比例",坦克属性分配比例标头,0),FALSE))*$AY294/VLOOKUP(VLOOKUP($AW294,坦克个性化设定!$B$18:$E$48,4,FALSE)&amp;$AX294,坦克属性分配比例,MATCH("升星次数",坦克属性分配比例标头,0),FALSE),0)</f>
        <v>2657</v>
      </c>
      <c r="BA294" s="654">
        <f ca="1">ROUND(VLOOKUP($AW294&amp;"初始",$O$3:$AA$63,MATCH(BA$3,$O$3:$AA$3,0),FALSE)+(VLOOKUP($AW294&amp;"最终",$O$3:$AA$63,MATCH(BA$3,$O$3:$AA$3,0),FALSE)-VLOOKUP($AW294&amp;"初始",$O$3:$AA$63,MATCH(BA$3,$O$3:$AA$3,0),FALSE))*$AY294/VLOOKUP(VLOOKUP($AW294,坦克个性化设定!$B$18:$E$48,4,FALSE)&amp;$AX294,坦克属性分配比例,MATCH("升星次数",坦克属性分配比例标头,0),FALSE)*VLOOKUP(VLOOKUP($AW294,坦克个性化设定!$B$18:$E$48,4,FALSE)&amp;$AX294,坦克属性分配比例,MATCH("升星比例",坦克属性分配比例标头,0),FALSE),0)</f>
        <v>454</v>
      </c>
      <c r="BB294" s="654">
        <f ca="1">ROUND(VLOOKUP($AW294&amp;"初始",$O$3:$AA$63,MATCH(BB$3,$O$3:$AA$3,0),FALSE)+(VLOOKUP($AW294&amp;"最终",$O$3:$AA$63,MATCH(BB$3,$O$3:$AA$3,0),FALSE)-VLOOKUP($AW294&amp;"初始",$O$3:$AA$63,MATCH(BB$3,$O$3:$AA$3,0),FALSE))*$AY294/VLOOKUP(VLOOKUP($AW294,坦克个性化设定!$B$18:$E$48,4,FALSE)&amp;$AX294,坦克属性分配比例,MATCH("升星次数",坦克属性分配比例标头,0),FALSE)*(VLOOKUP(VLOOKUP($AW294,坦克个性化设定!$B$18:$E$48,4,FALSE)&amp;$AX294,坦克属性分配比例,MATCH("升星比例",坦克属性分配比例标头,0),FALSE)+VLOOKUP(VLOOKUP($AW294,坦克个性化设定!$B$18:$E$48,4,FALSE)&amp;$AX294,坦克属性分配比例,MATCH("部件比例",坦克属性分配比例标头,0),FALSE)*$C$3),0)</f>
        <v>788</v>
      </c>
      <c r="BC294" s="654">
        <f ca="1">ROUND(VLOOKUP($AW294&amp;"初始",$O$3:$AA$63,MATCH(BC$3,$O$3:$AA$3,0),FALSE)+(VLOOKUP($AW294&amp;"最终",$O$3:$AA$63,MATCH(BC$3,$O$3:$AA$3,0),FALSE)-VLOOKUP($AW294&amp;"初始",$O$3:$AA$63,MATCH(BC$3,$O$3:$AA$3,0),FALSE))*$AY294/VLOOKUP(VLOOKUP($AW294,坦克个性化设定!$B$18:$E$48,4,FALSE)&amp;$AX294,坦克属性分配比例,MATCH("升星次数",坦克属性分配比例标头,0),FALSE)*(VLOOKUP(VLOOKUP($AW294,坦克个性化设定!$B$18:$E$48,4,FALSE)&amp;$AX294,坦克属性分配比例,MATCH("升星比例",坦克属性分配比例标头,0),FALSE)+VLOOKUP(VLOOKUP($AW294,坦克个性化设定!$B$18:$E$48,4,FALSE)&amp;$AX294,坦克属性分配比例,MATCH("部件比例",坦克属性分配比例标头,0),FALSE)*$C$3),0)</f>
        <v>630</v>
      </c>
      <c r="BD294" s="654">
        <f ca="1">ROUND(VLOOKUP($AW294&amp;"初始",$O$3:$AA$63,MATCH(BD$3,$O$3:$AA$3,0),FALSE)+(VLOOKUP($AW294&amp;"最终",$O$3:$AA$63,MATCH(BD$3,$O$3:$AA$3,0),FALSE)-VLOOKUP($AW294&amp;"初始",$O$3:$AA$63,MATCH(BD$3,$O$3:$AA$3,0),FALSE))*$AY294/VLOOKUP(VLOOKUP($AW294,坦克个性化设定!$B$18:$E$48,4,FALSE)&amp;$AX294,坦克属性分配比例,MATCH("升星次数",坦克属性分配比例标头,0),FALSE)*VLOOKUP(VLOOKUP($AW294,坦克个性化设定!$B$18:$E$48,4,FALSE)&amp;$AX294,坦克属性分配比例,MATCH("升星比例",坦克属性分配比例标头,0),FALSE),0)</f>
        <v>930</v>
      </c>
      <c r="BE294" s="654">
        <f ca="1">ROUND(VLOOKUP($AW294&amp;"初始",$O$3:$AA$63,MATCH(BE$3,$O$3:$AA$3,0),FALSE)+(VLOOKUP($AW294&amp;"最终",$O$3:$AA$63,MATCH(BE$3,$O$3:$AA$3,0),FALSE)-VLOOKUP($AW294&amp;"初始",$O$3:$AA$63,MATCH(BE$3,$O$3:$AA$3,0),FALSE))*$AY294/VLOOKUP(VLOOKUP($AW294,坦克个性化设定!$B$18:$E$48,4,FALSE)&amp;$AX294,坦克属性分配比例,MATCH("升星次数",坦克属性分配比例标头,0),FALSE),0)</f>
        <v>257</v>
      </c>
      <c r="BF294" s="654">
        <f>ROUND(VLOOKUP($AW294,$AD$3:$AJ$33,MATCH(BF$3,$AD$3:$AJ$3,0),FALSE)+$AY294/VLOOKUP(VLOOKUP($AW294,坦克个性化设定!$B$18:$E$48,4,FALSE)&amp;$AX294,坦克属性分配比例,MATCH("升星次数",坦克属性分配比例标头,0),FALSE)*VLOOKUP($AW294,$AM$3:$AS$33,MATCH(BF$3,$AM$3:$AS$3,0),FALSE),1)</f>
        <v>38.299999999999997</v>
      </c>
      <c r="BG294" s="654">
        <f>ROUND(VLOOKUP($AW294,$AD$3:$AJ$33,MATCH(BG$3,$AD$3:$AJ$3,0),FALSE)+$AY294/VLOOKUP(VLOOKUP($AW294,坦克个性化设定!$B$18:$E$48,4,FALSE)&amp;$AX294,坦克属性分配比例,MATCH("升星次数",坦克属性分配比例标头,0),FALSE)*VLOOKUP($AW294,$AM$3:$AS$33,MATCH(BG$3,$AM$3:$AS$3,0),FALSE),1)</f>
        <v>53.4</v>
      </c>
      <c r="BH294" s="654">
        <f>ROUND(VLOOKUP($AW294,$AD$3:$AJ$33,MATCH(BH$3,$AD$3:$AJ$3,0),FALSE)+$AY294/VLOOKUP(VLOOKUP($AW294,坦克个性化设定!$B$18:$E$48,4,FALSE)&amp;$AX294,坦克属性分配比例,MATCH("升星次数",坦克属性分配比例标头,0),FALSE)*VLOOKUP($AW294,$AM$3:$AS$33,MATCH(BH$3,$AM$3:$AS$3,0),FALSE),1)</f>
        <v>12.1</v>
      </c>
      <c r="BI294" s="654">
        <f>IF(VLOOKUP(AW294,坦克个性化设定!$B$18:$BB$48,MATCH("装弹类型",坦克个性化设定!$B$18:$BB$18,0),FALSE)="弹夹换弹",0,ROUND(VLOOKUP($AW294,$AD$3:$AJ$33,MATCH("换弹时间",$AD$3:$AJ$3,0),FALSE)-$AY294/VLOOKUP(VLOOKUP($AW294,坦克个性化设定!$B$18:$E$48,4,FALSE)&amp;$AX294,坦克属性分配比例,MATCH("升星次数",坦克属性分配比例标头,0),FALSE)*VLOOKUP($AW294,$AM$3:$AS$33,MATCH("换弹时间",$AM$3:$AS$3,0),FALSE),2))</f>
        <v>4.83</v>
      </c>
      <c r="BJ294" s="654">
        <f>IF(VLOOKUP(AW294,坦克个性化设定!$B$18:$BB$48,MATCH("装弹类型",坦克个性化设定!$B$18:$BB$18,0),FALSE)="弹夹换弹",ROUND(VLOOKUP($AW294,$AD$3:$AJ$33,MATCH("换弹时间",$AD$3:$AJ$3,0),FALSE)-$AY294/VLOOKUP(VLOOKUP($AW294,坦克个性化设定!$B$18:$E$48,4,FALSE)&amp;$AX294,坦克属性分配比例,MATCH("升星次数",坦克属性分配比例标头,0),FALSE)*VLOOKUP($AW294,$AM$3:$AS$33,MATCH("换弹时间",$AM$3:$AS$3,0),FALSE),1),0)</f>
        <v>0</v>
      </c>
      <c r="BK294" s="654">
        <f>ROUND(VLOOKUP($AW294,$AD$3:$AJ$33,MATCH(BK$3,$AD$3:$AJ$3,0),FALSE)+$AY294/VLOOKUP(VLOOKUP($AW294,坦克个性化设定!$B$18:$E$48,4,FALSE)&amp;$AX294,坦克属性分配比例,MATCH("升星次数",坦克属性分配比例标头,0),FALSE)*VLOOKUP($AW294,$AM$3:$AS$33,MATCH(BK$3,$AM$3:$AS$3,0),FALSE),2)</f>
        <v>0</v>
      </c>
      <c r="BL294" s="654">
        <f>ROUND(VLOOKUP($AW294,$AD$3:$AJ$33,MATCH(BL$3,$AD$3:$AJ$3,0),FALSE)-$AY294/VLOOKUP(VLOOKUP($AW294,坦克个性化设定!$B$18:$E$48,4,FALSE)&amp;$AX294,坦克属性分配比例,MATCH("升星次数",坦克属性分配比例标头,0),FALSE)*VLOOKUP($AW294,$AM$3:$AS$33,MATCH(BL$3,$AM$3:$AS$3,0),FALSE),2)</f>
        <v>2.61</v>
      </c>
    </row>
    <row r="295" spans="47:64" x14ac:dyDescent="0.35">
      <c r="AU295" s="372" t="str">
        <f t="shared" si="30"/>
        <v>虎式12</v>
      </c>
      <c r="AV295" s="654">
        <f>IF(AY294&gt;=VLOOKUP(VLOOKUP(AW294,坦克个性化设定!$B$18:$E$48,4,FALSE)&amp;AX294,坦克属性分配比例,MATCH("升星次数",坦克属性分配比例标头,0),FALSE),AV294+1,AV294)</f>
        <v>25</v>
      </c>
      <c r="AW295" s="649" t="str">
        <f t="shared" si="31"/>
        <v>虎式</v>
      </c>
      <c r="AX295" s="650" t="str">
        <f>VLOOKUP(AW295,坦克个性化细分!$I$3:$J$33,2,FALSE)</f>
        <v>中</v>
      </c>
      <c r="AY295" s="654">
        <f t="shared" si="32"/>
        <v>12</v>
      </c>
      <c r="AZ295" s="654">
        <f ca="1">ROUND(VLOOKUP($AW295&amp;"初始",$O$3:$AA$63,MATCH(AZ$3,$O$3:$AA$3,0),FALSE)+((VLOOKUP($AW295&amp;"最终",$O$3:$AA$63,MATCH(AZ$3,$O$3:$AA$3,0),FALSE)*坦克个性化细分!$C$9-VLOOKUP($AW295&amp;"初始",$O$3:$AA$63,MATCH(AZ$3,$O$3:$AA$3,0),FALSE))-(VLOOKUP($AW295&amp;"最终",$O$3:$AA$63,MATCH(AZ$3,$O$3:$AA$3,0),FALSE)-VLOOKUP($AW295&amp;"初始",$O$3:$AA$63,MATCH(AZ$3,$O$3:$AA$3,0),FALSE))*VLOOKUP(VLOOKUP($AW295,坦克个性化设定!$B$18:$E$48,4,FALSE)&amp;$AX295,坦克属性分配比例,MATCH("部件比例",坦克属性分配比例标头,0),FALSE))*$AY295/VLOOKUP(VLOOKUP($AW295,坦克个性化设定!$B$18:$E$48,4,FALSE)&amp;$AX295,坦克属性分配比例,MATCH("升星次数",坦克属性分配比例标头,0),FALSE),0)</f>
        <v>2770</v>
      </c>
      <c r="BA295" s="654">
        <f ca="1">ROUND(VLOOKUP($AW295&amp;"初始",$O$3:$AA$63,MATCH(BA$3,$O$3:$AA$3,0),FALSE)+(VLOOKUP($AW295&amp;"最终",$O$3:$AA$63,MATCH(BA$3,$O$3:$AA$3,0),FALSE)-VLOOKUP($AW295&amp;"初始",$O$3:$AA$63,MATCH(BA$3,$O$3:$AA$3,0),FALSE))*$AY295/VLOOKUP(VLOOKUP($AW295,坦克个性化设定!$B$18:$E$48,4,FALSE)&amp;$AX295,坦克属性分配比例,MATCH("升星次数",坦克属性分配比例标头,0),FALSE)*VLOOKUP(VLOOKUP($AW295,坦克个性化设定!$B$18:$E$48,4,FALSE)&amp;$AX295,坦克属性分配比例,MATCH("升星比例",坦克属性分配比例标头,0),FALSE),0)</f>
        <v>467</v>
      </c>
      <c r="BB295" s="654">
        <f ca="1">ROUND(VLOOKUP($AW295&amp;"初始",$O$3:$AA$63,MATCH(BB$3,$O$3:$AA$3,0),FALSE)+(VLOOKUP($AW295&amp;"最终",$O$3:$AA$63,MATCH(BB$3,$O$3:$AA$3,0),FALSE)-VLOOKUP($AW295&amp;"初始",$O$3:$AA$63,MATCH(BB$3,$O$3:$AA$3,0),FALSE))*$AY295/VLOOKUP(VLOOKUP($AW295,坦克个性化设定!$B$18:$E$48,4,FALSE)&amp;$AX295,坦克属性分配比例,MATCH("升星次数",坦克属性分配比例标头,0),FALSE)*(VLOOKUP(VLOOKUP($AW295,坦克个性化设定!$B$18:$E$48,4,FALSE)&amp;$AX295,坦克属性分配比例,MATCH("升星比例",坦克属性分配比例标头,0),FALSE)+VLOOKUP(VLOOKUP($AW295,坦克个性化设定!$B$18:$E$48,4,FALSE)&amp;$AX295,坦克属性分配比例,MATCH("部件比例",坦克属性分配比例标头,0),FALSE)*$C$3),0)</f>
        <v>816</v>
      </c>
      <c r="BC295" s="654">
        <f ca="1">ROUND(VLOOKUP($AW295&amp;"初始",$O$3:$AA$63,MATCH(BC$3,$O$3:$AA$3,0),FALSE)+(VLOOKUP($AW295&amp;"最终",$O$3:$AA$63,MATCH(BC$3,$O$3:$AA$3,0),FALSE)-VLOOKUP($AW295&amp;"初始",$O$3:$AA$63,MATCH(BC$3,$O$3:$AA$3,0),FALSE))*$AY295/VLOOKUP(VLOOKUP($AW295,坦克个性化设定!$B$18:$E$48,4,FALSE)&amp;$AX295,坦克属性分配比例,MATCH("升星次数",坦克属性分配比例标头,0),FALSE)*(VLOOKUP(VLOOKUP($AW295,坦克个性化设定!$B$18:$E$48,4,FALSE)&amp;$AX295,坦克属性分配比例,MATCH("升星比例",坦克属性分配比例标头,0),FALSE)+VLOOKUP(VLOOKUP($AW295,坦克个性化设定!$B$18:$E$48,4,FALSE)&amp;$AX295,坦克属性分配比例,MATCH("部件比例",坦克属性分配比例标头,0),FALSE)*$C$3),0)</f>
        <v>652</v>
      </c>
      <c r="BD295" s="654">
        <f ca="1">ROUND(VLOOKUP($AW295&amp;"初始",$O$3:$AA$63,MATCH(BD$3,$O$3:$AA$3,0),FALSE)+(VLOOKUP($AW295&amp;"最终",$O$3:$AA$63,MATCH(BD$3,$O$3:$AA$3,0),FALSE)-VLOOKUP($AW295&amp;"初始",$O$3:$AA$63,MATCH(BD$3,$O$3:$AA$3,0),FALSE))*$AY295/VLOOKUP(VLOOKUP($AW295,坦克个性化设定!$B$18:$E$48,4,FALSE)&amp;$AX295,坦克属性分配比例,MATCH("升星次数",坦克属性分配比例标头,0),FALSE)*VLOOKUP(VLOOKUP($AW295,坦克个性化设定!$B$18:$E$48,4,FALSE)&amp;$AX295,坦克属性分配比例,MATCH("升星比例",坦克属性分配比例标头,0),FALSE),0)</f>
        <v>955</v>
      </c>
      <c r="BE295" s="654">
        <f ca="1">ROUND(VLOOKUP($AW295&amp;"初始",$O$3:$AA$63,MATCH(BE$3,$O$3:$AA$3,0),FALSE)+(VLOOKUP($AW295&amp;"最终",$O$3:$AA$63,MATCH(BE$3,$O$3:$AA$3,0),FALSE)-VLOOKUP($AW295&amp;"初始",$O$3:$AA$63,MATCH(BE$3,$O$3:$AA$3,0),FALSE))*$AY295/VLOOKUP(VLOOKUP($AW295,坦克个性化设定!$B$18:$E$48,4,FALSE)&amp;$AX295,坦克属性分配比例,MATCH("升星次数",坦克属性分配比例标头,0),FALSE),0)</f>
        <v>267</v>
      </c>
      <c r="BF295" s="654">
        <f>ROUND(VLOOKUP($AW295,$AD$3:$AJ$33,MATCH(BF$3,$AD$3:$AJ$3,0),FALSE)+$AY295/VLOOKUP(VLOOKUP($AW295,坦克个性化设定!$B$18:$E$48,4,FALSE)&amp;$AX295,坦克属性分配比例,MATCH("升星次数",坦克属性分配比例标头,0),FALSE)*VLOOKUP($AW295,$AM$3:$AS$33,MATCH(BF$3,$AM$3:$AS$3,0),FALSE),1)</f>
        <v>38.9</v>
      </c>
      <c r="BG295" s="654">
        <f>ROUND(VLOOKUP($AW295,$AD$3:$AJ$33,MATCH(BG$3,$AD$3:$AJ$3,0),FALSE)+$AY295/VLOOKUP(VLOOKUP($AW295,坦克个性化设定!$B$18:$E$48,4,FALSE)&amp;$AX295,坦克属性分配比例,MATCH("升星次数",坦克属性分配比例标头,0),FALSE)*VLOOKUP($AW295,$AM$3:$AS$33,MATCH(BG$3,$AM$3:$AS$3,0),FALSE),1)</f>
        <v>54.2</v>
      </c>
      <c r="BH295" s="654">
        <f>ROUND(VLOOKUP($AW295,$AD$3:$AJ$33,MATCH(BH$3,$AD$3:$AJ$3,0),FALSE)+$AY295/VLOOKUP(VLOOKUP($AW295,坦克个性化设定!$B$18:$E$48,4,FALSE)&amp;$AX295,坦克属性分配比例,MATCH("升星次数",坦克属性分配比例标头,0),FALSE)*VLOOKUP($AW295,$AM$3:$AS$33,MATCH(BH$3,$AM$3:$AS$3,0),FALSE),1)</f>
        <v>12.3</v>
      </c>
      <c r="BI295" s="654">
        <f>IF(VLOOKUP(AW295,坦克个性化设定!$B$18:$BB$48,MATCH("装弹类型",坦克个性化设定!$B$18:$BB$18,0),FALSE)="弹夹换弹",0,ROUND(VLOOKUP($AW295,$AD$3:$AJ$33,MATCH("换弹时间",$AD$3:$AJ$3,0),FALSE)-$AY295/VLOOKUP(VLOOKUP($AW295,坦克个性化设定!$B$18:$E$48,4,FALSE)&amp;$AX295,坦克属性分配比例,MATCH("升星次数",坦克属性分配比例标头,0),FALSE)*VLOOKUP($AW295,$AM$3:$AS$33,MATCH("换弹时间",$AM$3:$AS$3,0),FALSE),2))</f>
        <v>4.72</v>
      </c>
      <c r="BJ295" s="654">
        <f>IF(VLOOKUP(AW295,坦克个性化设定!$B$18:$BB$48,MATCH("装弹类型",坦克个性化设定!$B$18:$BB$18,0),FALSE)="弹夹换弹",ROUND(VLOOKUP($AW295,$AD$3:$AJ$33,MATCH("换弹时间",$AD$3:$AJ$3,0),FALSE)-$AY295/VLOOKUP(VLOOKUP($AW295,坦克个性化设定!$B$18:$E$48,4,FALSE)&amp;$AX295,坦克属性分配比例,MATCH("升星次数",坦克属性分配比例标头,0),FALSE)*VLOOKUP($AW295,$AM$3:$AS$33,MATCH("换弹时间",$AM$3:$AS$3,0),FALSE),1),0)</f>
        <v>0</v>
      </c>
      <c r="BK295" s="654">
        <f>ROUND(VLOOKUP($AW295,$AD$3:$AJ$33,MATCH(BK$3,$AD$3:$AJ$3,0),FALSE)+$AY295/VLOOKUP(VLOOKUP($AW295,坦克个性化设定!$B$18:$E$48,4,FALSE)&amp;$AX295,坦克属性分配比例,MATCH("升星次数",坦克属性分配比例标头,0),FALSE)*VLOOKUP($AW295,$AM$3:$AS$33,MATCH(BK$3,$AM$3:$AS$3,0),FALSE),2)</f>
        <v>0</v>
      </c>
      <c r="BL295" s="654">
        <f>ROUND(VLOOKUP($AW295,$AD$3:$AJ$33,MATCH(BL$3,$AD$3:$AJ$3,0),FALSE)-$AY295/VLOOKUP(VLOOKUP($AW295,坦克个性化设定!$B$18:$E$48,4,FALSE)&amp;$AX295,坦克属性分配比例,MATCH("升星次数",坦克属性分配比例标头,0),FALSE)*VLOOKUP($AW295,$AM$3:$AS$33,MATCH(BL$3,$AM$3:$AS$3,0),FALSE),2)</f>
        <v>2.57</v>
      </c>
    </row>
    <row r="296" spans="47:64" x14ac:dyDescent="0.35">
      <c r="AU296" s="372" t="str">
        <f t="shared" si="30"/>
        <v>虎式13</v>
      </c>
      <c r="AV296" s="654">
        <f>IF(AY295&gt;=VLOOKUP(VLOOKUP(AW295,坦克个性化设定!$B$18:$E$48,4,FALSE)&amp;AX295,坦克属性分配比例,MATCH("升星次数",坦克属性分配比例标头,0),FALSE),AV295+1,AV295)</f>
        <v>25</v>
      </c>
      <c r="AW296" s="649" t="str">
        <f t="shared" si="31"/>
        <v>虎式</v>
      </c>
      <c r="AX296" s="650" t="str">
        <f>VLOOKUP(AW296,坦克个性化细分!$I$3:$J$33,2,FALSE)</f>
        <v>中</v>
      </c>
      <c r="AY296" s="654">
        <f t="shared" si="32"/>
        <v>13</v>
      </c>
      <c r="AZ296" s="654">
        <f ca="1">ROUND(VLOOKUP($AW296&amp;"初始",$O$3:$AA$63,MATCH(AZ$3,$O$3:$AA$3,0),FALSE)+((VLOOKUP($AW296&amp;"最终",$O$3:$AA$63,MATCH(AZ$3,$O$3:$AA$3,0),FALSE)*坦克个性化细分!$C$9-VLOOKUP($AW296&amp;"初始",$O$3:$AA$63,MATCH(AZ$3,$O$3:$AA$3,0),FALSE))-(VLOOKUP($AW296&amp;"最终",$O$3:$AA$63,MATCH(AZ$3,$O$3:$AA$3,0),FALSE)-VLOOKUP($AW296&amp;"初始",$O$3:$AA$63,MATCH(AZ$3,$O$3:$AA$3,0),FALSE))*VLOOKUP(VLOOKUP($AW296,坦克个性化设定!$B$18:$E$48,4,FALSE)&amp;$AX296,坦克属性分配比例,MATCH("部件比例",坦克属性分配比例标头,0),FALSE))*$AY296/VLOOKUP(VLOOKUP($AW296,坦克个性化设定!$B$18:$E$48,4,FALSE)&amp;$AX296,坦克属性分配比例,MATCH("升星次数",坦克属性分配比例标头,0),FALSE),0)</f>
        <v>2884</v>
      </c>
      <c r="BA296" s="654">
        <f ca="1">ROUND(VLOOKUP($AW296&amp;"初始",$O$3:$AA$63,MATCH(BA$3,$O$3:$AA$3,0),FALSE)+(VLOOKUP($AW296&amp;"最终",$O$3:$AA$63,MATCH(BA$3,$O$3:$AA$3,0),FALSE)-VLOOKUP($AW296&amp;"初始",$O$3:$AA$63,MATCH(BA$3,$O$3:$AA$3,0),FALSE))*$AY296/VLOOKUP(VLOOKUP($AW296,坦克个性化设定!$B$18:$E$48,4,FALSE)&amp;$AX296,坦克属性分配比例,MATCH("升星次数",坦克属性分配比例标头,0),FALSE)*VLOOKUP(VLOOKUP($AW296,坦克个性化设定!$B$18:$E$48,4,FALSE)&amp;$AX296,坦克属性分配比例,MATCH("升星比例",坦克属性分配比例标头,0),FALSE),0)</f>
        <v>479</v>
      </c>
      <c r="BB296" s="654">
        <f ca="1">ROUND(VLOOKUP($AW296&amp;"初始",$O$3:$AA$63,MATCH(BB$3,$O$3:$AA$3,0),FALSE)+(VLOOKUP($AW296&amp;"最终",$O$3:$AA$63,MATCH(BB$3,$O$3:$AA$3,0),FALSE)-VLOOKUP($AW296&amp;"初始",$O$3:$AA$63,MATCH(BB$3,$O$3:$AA$3,0),FALSE))*$AY296/VLOOKUP(VLOOKUP($AW296,坦克个性化设定!$B$18:$E$48,4,FALSE)&amp;$AX296,坦克属性分配比例,MATCH("升星次数",坦克属性分配比例标头,0),FALSE)*(VLOOKUP(VLOOKUP($AW296,坦克个性化设定!$B$18:$E$48,4,FALSE)&amp;$AX296,坦克属性分配比例,MATCH("升星比例",坦克属性分配比例标头,0),FALSE)+VLOOKUP(VLOOKUP($AW296,坦克个性化设定!$B$18:$E$48,4,FALSE)&amp;$AX296,坦克属性分配比例,MATCH("部件比例",坦克属性分配比例标头,0),FALSE)*$C$3),0)</f>
        <v>843</v>
      </c>
      <c r="BC296" s="654">
        <f ca="1">ROUND(VLOOKUP($AW296&amp;"初始",$O$3:$AA$63,MATCH(BC$3,$O$3:$AA$3,0),FALSE)+(VLOOKUP($AW296&amp;"最终",$O$3:$AA$63,MATCH(BC$3,$O$3:$AA$3,0),FALSE)-VLOOKUP($AW296&amp;"初始",$O$3:$AA$63,MATCH(BC$3,$O$3:$AA$3,0),FALSE))*$AY296/VLOOKUP(VLOOKUP($AW296,坦克个性化设定!$B$18:$E$48,4,FALSE)&amp;$AX296,坦克属性分配比例,MATCH("升星次数",坦克属性分配比例标头,0),FALSE)*(VLOOKUP(VLOOKUP($AW296,坦克个性化设定!$B$18:$E$48,4,FALSE)&amp;$AX296,坦克属性分配比例,MATCH("升星比例",坦克属性分配比例标头,0),FALSE)+VLOOKUP(VLOOKUP($AW296,坦克个性化设定!$B$18:$E$48,4,FALSE)&amp;$AX296,坦克属性分配比例,MATCH("部件比例",坦克属性分配比例标头,0),FALSE)*$C$3),0)</f>
        <v>674</v>
      </c>
      <c r="BD296" s="654">
        <f ca="1">ROUND(VLOOKUP($AW296&amp;"初始",$O$3:$AA$63,MATCH(BD$3,$O$3:$AA$3,0),FALSE)+(VLOOKUP($AW296&amp;"最终",$O$3:$AA$63,MATCH(BD$3,$O$3:$AA$3,0),FALSE)-VLOOKUP($AW296&amp;"初始",$O$3:$AA$63,MATCH(BD$3,$O$3:$AA$3,0),FALSE))*$AY296/VLOOKUP(VLOOKUP($AW296,坦克个性化设定!$B$18:$E$48,4,FALSE)&amp;$AX296,坦克属性分配比例,MATCH("升星次数",坦克属性分配比例标头,0),FALSE)*VLOOKUP(VLOOKUP($AW296,坦克个性化设定!$B$18:$E$48,4,FALSE)&amp;$AX296,坦克属性分配比例,MATCH("升星比例",坦克属性分配比例标头,0),FALSE),0)</f>
        <v>981</v>
      </c>
      <c r="BE296" s="654">
        <f ca="1">ROUND(VLOOKUP($AW296&amp;"初始",$O$3:$AA$63,MATCH(BE$3,$O$3:$AA$3,0),FALSE)+(VLOOKUP($AW296&amp;"最终",$O$3:$AA$63,MATCH(BE$3,$O$3:$AA$3,0),FALSE)-VLOOKUP($AW296&amp;"初始",$O$3:$AA$63,MATCH(BE$3,$O$3:$AA$3,0),FALSE))*$AY296/VLOOKUP(VLOOKUP($AW296,坦克个性化设定!$B$18:$E$48,4,FALSE)&amp;$AX296,坦克属性分配比例,MATCH("升星次数",坦克属性分配比例标头,0),FALSE),0)</f>
        <v>277</v>
      </c>
      <c r="BF296" s="654">
        <f>ROUND(VLOOKUP($AW296,$AD$3:$AJ$33,MATCH(BF$3,$AD$3:$AJ$3,0),FALSE)+$AY296/VLOOKUP(VLOOKUP($AW296,坦克个性化设定!$B$18:$E$48,4,FALSE)&amp;$AX296,坦克属性分配比例,MATCH("升星次数",坦克属性分配比例标头,0),FALSE)*VLOOKUP($AW296,$AM$3:$AS$33,MATCH(BF$3,$AM$3:$AS$3,0),FALSE),1)</f>
        <v>39.4</v>
      </c>
      <c r="BG296" s="654">
        <f>ROUND(VLOOKUP($AW296,$AD$3:$AJ$33,MATCH(BG$3,$AD$3:$AJ$3,0),FALSE)+$AY296/VLOOKUP(VLOOKUP($AW296,坦克个性化设定!$B$18:$E$48,4,FALSE)&amp;$AX296,坦克属性分配比例,MATCH("升星次数",坦克属性分配比例标头,0),FALSE)*VLOOKUP($AW296,$AM$3:$AS$33,MATCH(BG$3,$AM$3:$AS$3,0),FALSE),1)</f>
        <v>55</v>
      </c>
      <c r="BH296" s="654">
        <f>ROUND(VLOOKUP($AW296,$AD$3:$AJ$33,MATCH(BH$3,$AD$3:$AJ$3,0),FALSE)+$AY296/VLOOKUP(VLOOKUP($AW296,坦克个性化设定!$B$18:$E$48,4,FALSE)&amp;$AX296,坦克属性分配比例,MATCH("升星次数",坦克属性分配比例标头,0),FALSE)*VLOOKUP($AW296,$AM$3:$AS$33,MATCH(BH$3,$AM$3:$AS$3,0),FALSE),1)</f>
        <v>12.5</v>
      </c>
      <c r="BI296" s="654">
        <f>IF(VLOOKUP(AW296,坦克个性化设定!$B$18:$BB$48,MATCH("装弹类型",坦克个性化设定!$B$18:$BB$18,0),FALSE)="弹夹换弹",0,ROUND(VLOOKUP($AW296,$AD$3:$AJ$33,MATCH("换弹时间",$AD$3:$AJ$3,0),FALSE)-$AY296/VLOOKUP(VLOOKUP($AW296,坦克个性化设定!$B$18:$E$48,4,FALSE)&amp;$AX296,坦克属性分配比例,MATCH("升星次数",坦克属性分配比例标头,0),FALSE)*VLOOKUP($AW296,$AM$3:$AS$33,MATCH("换弹时间",$AM$3:$AS$3,0),FALSE),2))</f>
        <v>4.62</v>
      </c>
      <c r="BJ296" s="654">
        <f>IF(VLOOKUP(AW296,坦克个性化设定!$B$18:$BB$48,MATCH("装弹类型",坦克个性化设定!$B$18:$BB$18,0),FALSE)="弹夹换弹",ROUND(VLOOKUP($AW296,$AD$3:$AJ$33,MATCH("换弹时间",$AD$3:$AJ$3,0),FALSE)-$AY296/VLOOKUP(VLOOKUP($AW296,坦克个性化设定!$B$18:$E$48,4,FALSE)&amp;$AX296,坦克属性分配比例,MATCH("升星次数",坦克属性分配比例标头,0),FALSE)*VLOOKUP($AW296,$AM$3:$AS$33,MATCH("换弹时间",$AM$3:$AS$3,0),FALSE),1),0)</f>
        <v>0</v>
      </c>
      <c r="BK296" s="654">
        <f>ROUND(VLOOKUP($AW296,$AD$3:$AJ$33,MATCH(BK$3,$AD$3:$AJ$3,0),FALSE)+$AY296/VLOOKUP(VLOOKUP($AW296,坦克个性化设定!$B$18:$E$48,4,FALSE)&amp;$AX296,坦克属性分配比例,MATCH("升星次数",坦克属性分配比例标头,0),FALSE)*VLOOKUP($AW296,$AM$3:$AS$33,MATCH(BK$3,$AM$3:$AS$3,0),FALSE),2)</f>
        <v>0</v>
      </c>
      <c r="BL296" s="654">
        <f>ROUND(VLOOKUP($AW296,$AD$3:$AJ$33,MATCH(BL$3,$AD$3:$AJ$3,0),FALSE)-$AY296/VLOOKUP(VLOOKUP($AW296,坦克个性化设定!$B$18:$E$48,4,FALSE)&amp;$AX296,坦克属性分配比例,MATCH("升星次数",坦克属性分配比例标头,0),FALSE)*VLOOKUP($AW296,$AM$3:$AS$33,MATCH(BL$3,$AM$3:$AS$3,0),FALSE),2)</f>
        <v>2.54</v>
      </c>
    </row>
    <row r="297" spans="47:64" x14ac:dyDescent="0.35">
      <c r="AU297" s="372" t="str">
        <f t="shared" si="30"/>
        <v>虎式14</v>
      </c>
      <c r="AV297" s="654">
        <f>IF(AY296&gt;=VLOOKUP(VLOOKUP(AW296,坦克个性化设定!$B$18:$E$48,4,FALSE)&amp;AX296,坦克属性分配比例,MATCH("升星次数",坦克属性分配比例标头,0),FALSE),AV296+1,AV296)</f>
        <v>25</v>
      </c>
      <c r="AW297" s="649" t="str">
        <f t="shared" si="31"/>
        <v>虎式</v>
      </c>
      <c r="AX297" s="650" t="str">
        <f>VLOOKUP(AW297,坦克个性化细分!$I$3:$J$33,2,FALSE)</f>
        <v>中</v>
      </c>
      <c r="AY297" s="654">
        <f t="shared" si="32"/>
        <v>14</v>
      </c>
      <c r="AZ297" s="654">
        <f ca="1">ROUND(VLOOKUP($AW297&amp;"初始",$O$3:$AA$63,MATCH(AZ$3,$O$3:$AA$3,0),FALSE)+((VLOOKUP($AW297&amp;"最终",$O$3:$AA$63,MATCH(AZ$3,$O$3:$AA$3,0),FALSE)*坦克个性化细分!$C$9-VLOOKUP($AW297&amp;"初始",$O$3:$AA$63,MATCH(AZ$3,$O$3:$AA$3,0),FALSE))-(VLOOKUP($AW297&amp;"最终",$O$3:$AA$63,MATCH(AZ$3,$O$3:$AA$3,0),FALSE)-VLOOKUP($AW297&amp;"初始",$O$3:$AA$63,MATCH(AZ$3,$O$3:$AA$3,0),FALSE))*VLOOKUP(VLOOKUP($AW297,坦克个性化设定!$B$18:$E$48,4,FALSE)&amp;$AX297,坦克属性分配比例,MATCH("部件比例",坦克属性分配比例标头,0),FALSE))*$AY297/VLOOKUP(VLOOKUP($AW297,坦克个性化设定!$B$18:$E$48,4,FALSE)&amp;$AX297,坦克属性分配比例,MATCH("升星次数",坦克属性分配比例标头,0),FALSE),0)</f>
        <v>2998</v>
      </c>
      <c r="BA297" s="654">
        <f ca="1">ROUND(VLOOKUP($AW297&amp;"初始",$O$3:$AA$63,MATCH(BA$3,$O$3:$AA$3,0),FALSE)+(VLOOKUP($AW297&amp;"最终",$O$3:$AA$63,MATCH(BA$3,$O$3:$AA$3,0),FALSE)-VLOOKUP($AW297&amp;"初始",$O$3:$AA$63,MATCH(BA$3,$O$3:$AA$3,0),FALSE))*$AY297/VLOOKUP(VLOOKUP($AW297,坦克个性化设定!$B$18:$E$48,4,FALSE)&amp;$AX297,坦克属性分配比例,MATCH("升星次数",坦克属性分配比例标头,0),FALSE)*VLOOKUP(VLOOKUP($AW297,坦克个性化设定!$B$18:$E$48,4,FALSE)&amp;$AX297,坦克属性分配比例,MATCH("升星比例",坦克属性分配比例标头,0),FALSE),0)</f>
        <v>492</v>
      </c>
      <c r="BB297" s="654">
        <f ca="1">ROUND(VLOOKUP($AW297&amp;"初始",$O$3:$AA$63,MATCH(BB$3,$O$3:$AA$3,0),FALSE)+(VLOOKUP($AW297&amp;"最终",$O$3:$AA$63,MATCH(BB$3,$O$3:$AA$3,0),FALSE)-VLOOKUP($AW297&amp;"初始",$O$3:$AA$63,MATCH(BB$3,$O$3:$AA$3,0),FALSE))*$AY297/VLOOKUP(VLOOKUP($AW297,坦克个性化设定!$B$18:$E$48,4,FALSE)&amp;$AX297,坦克属性分配比例,MATCH("升星次数",坦克属性分配比例标头,0),FALSE)*(VLOOKUP(VLOOKUP($AW297,坦克个性化设定!$B$18:$E$48,4,FALSE)&amp;$AX297,坦克属性分配比例,MATCH("升星比例",坦克属性分配比例标头,0),FALSE)+VLOOKUP(VLOOKUP($AW297,坦克个性化设定!$B$18:$E$48,4,FALSE)&amp;$AX297,坦克属性分配比例,MATCH("部件比例",坦克属性分配比例标头,0),FALSE)*$C$3),0)</f>
        <v>871</v>
      </c>
      <c r="BC297" s="654">
        <f ca="1">ROUND(VLOOKUP($AW297&amp;"初始",$O$3:$AA$63,MATCH(BC$3,$O$3:$AA$3,0),FALSE)+(VLOOKUP($AW297&amp;"最终",$O$3:$AA$63,MATCH(BC$3,$O$3:$AA$3,0),FALSE)-VLOOKUP($AW297&amp;"初始",$O$3:$AA$63,MATCH(BC$3,$O$3:$AA$3,0),FALSE))*$AY297/VLOOKUP(VLOOKUP($AW297,坦克个性化设定!$B$18:$E$48,4,FALSE)&amp;$AX297,坦克属性分配比例,MATCH("升星次数",坦克属性分配比例标头,0),FALSE)*(VLOOKUP(VLOOKUP($AW297,坦克个性化设定!$B$18:$E$48,4,FALSE)&amp;$AX297,坦克属性分配比例,MATCH("升星比例",坦克属性分配比例标头,0),FALSE)+VLOOKUP(VLOOKUP($AW297,坦克个性化设定!$B$18:$E$48,4,FALSE)&amp;$AX297,坦克属性分配比例,MATCH("部件比例",坦克属性分配比例标头,0),FALSE)*$C$3),0)</f>
        <v>696</v>
      </c>
      <c r="BD297" s="654">
        <f ca="1">ROUND(VLOOKUP($AW297&amp;"初始",$O$3:$AA$63,MATCH(BD$3,$O$3:$AA$3,0),FALSE)+(VLOOKUP($AW297&amp;"最终",$O$3:$AA$63,MATCH(BD$3,$O$3:$AA$3,0),FALSE)-VLOOKUP($AW297&amp;"初始",$O$3:$AA$63,MATCH(BD$3,$O$3:$AA$3,0),FALSE))*$AY297/VLOOKUP(VLOOKUP($AW297,坦克个性化设定!$B$18:$E$48,4,FALSE)&amp;$AX297,坦克属性分配比例,MATCH("升星次数",坦克属性分配比例标头,0),FALSE)*VLOOKUP(VLOOKUP($AW297,坦克个性化设定!$B$18:$E$48,4,FALSE)&amp;$AX297,坦克属性分配比例,MATCH("升星比例",坦克属性分配比例标头,0),FALSE),0)</f>
        <v>1006</v>
      </c>
      <c r="BE297" s="654">
        <f ca="1">ROUND(VLOOKUP($AW297&amp;"初始",$O$3:$AA$63,MATCH(BE$3,$O$3:$AA$3,0),FALSE)+(VLOOKUP($AW297&amp;"最终",$O$3:$AA$63,MATCH(BE$3,$O$3:$AA$3,0),FALSE)-VLOOKUP($AW297&amp;"初始",$O$3:$AA$63,MATCH(BE$3,$O$3:$AA$3,0),FALSE))*$AY297/VLOOKUP(VLOOKUP($AW297,坦克个性化设定!$B$18:$E$48,4,FALSE)&amp;$AX297,坦克属性分配比例,MATCH("升星次数",坦克属性分配比例标头,0),FALSE),0)</f>
        <v>287</v>
      </c>
      <c r="BF297" s="654">
        <f>ROUND(VLOOKUP($AW297,$AD$3:$AJ$33,MATCH(BF$3,$AD$3:$AJ$3,0),FALSE)+$AY297/VLOOKUP(VLOOKUP($AW297,坦克个性化设定!$B$18:$E$48,4,FALSE)&amp;$AX297,坦克属性分配比例,MATCH("升星次数",坦克属性分配比例标头,0),FALSE)*VLOOKUP($AW297,$AM$3:$AS$33,MATCH(BF$3,$AM$3:$AS$3,0),FALSE),1)</f>
        <v>40</v>
      </c>
      <c r="BG297" s="654">
        <f>ROUND(VLOOKUP($AW297,$AD$3:$AJ$33,MATCH(BG$3,$AD$3:$AJ$3,0),FALSE)+$AY297/VLOOKUP(VLOOKUP($AW297,坦克个性化设定!$B$18:$E$48,4,FALSE)&amp;$AX297,坦克属性分配比例,MATCH("升星次数",坦克属性分配比例标头,0),FALSE)*VLOOKUP($AW297,$AM$3:$AS$33,MATCH(BG$3,$AM$3:$AS$3,0),FALSE),1)</f>
        <v>55.8</v>
      </c>
      <c r="BH297" s="654">
        <f>ROUND(VLOOKUP($AW297,$AD$3:$AJ$33,MATCH(BH$3,$AD$3:$AJ$3,0),FALSE)+$AY297/VLOOKUP(VLOOKUP($AW297,坦克个性化设定!$B$18:$E$48,4,FALSE)&amp;$AX297,坦克属性分配比例,MATCH("升星次数",坦克属性分配比例标头,0),FALSE)*VLOOKUP($AW297,$AM$3:$AS$33,MATCH(BH$3,$AM$3:$AS$3,0),FALSE),1)</f>
        <v>12.7</v>
      </c>
      <c r="BI297" s="654">
        <f>IF(VLOOKUP(AW297,坦克个性化设定!$B$18:$BB$48,MATCH("装弹类型",坦克个性化设定!$B$18:$BB$18,0),FALSE)="弹夹换弹",0,ROUND(VLOOKUP($AW297,$AD$3:$AJ$33,MATCH("换弹时间",$AD$3:$AJ$3,0),FALSE)-$AY297/VLOOKUP(VLOOKUP($AW297,坦克个性化设定!$B$18:$E$48,4,FALSE)&amp;$AX297,坦克属性分配比例,MATCH("升星次数",坦克属性分配比例标头,0),FALSE)*VLOOKUP($AW297,$AM$3:$AS$33,MATCH("换弹时间",$AM$3:$AS$3,0),FALSE),2))</f>
        <v>4.51</v>
      </c>
      <c r="BJ297" s="654">
        <f>IF(VLOOKUP(AW297,坦克个性化设定!$B$18:$BB$48,MATCH("装弹类型",坦克个性化设定!$B$18:$BB$18,0),FALSE)="弹夹换弹",ROUND(VLOOKUP($AW297,$AD$3:$AJ$33,MATCH("换弹时间",$AD$3:$AJ$3,0),FALSE)-$AY297/VLOOKUP(VLOOKUP($AW297,坦克个性化设定!$B$18:$E$48,4,FALSE)&amp;$AX297,坦克属性分配比例,MATCH("升星次数",坦克属性分配比例标头,0),FALSE)*VLOOKUP($AW297,$AM$3:$AS$33,MATCH("换弹时间",$AM$3:$AS$3,0),FALSE),1),0)</f>
        <v>0</v>
      </c>
      <c r="BK297" s="654">
        <f>ROUND(VLOOKUP($AW297,$AD$3:$AJ$33,MATCH(BK$3,$AD$3:$AJ$3,0),FALSE)+$AY297/VLOOKUP(VLOOKUP($AW297,坦克个性化设定!$B$18:$E$48,4,FALSE)&amp;$AX297,坦克属性分配比例,MATCH("升星次数",坦克属性分配比例标头,0),FALSE)*VLOOKUP($AW297,$AM$3:$AS$33,MATCH(BK$3,$AM$3:$AS$3,0),FALSE),2)</f>
        <v>0</v>
      </c>
      <c r="BL297" s="654">
        <f>ROUND(VLOOKUP($AW297,$AD$3:$AJ$33,MATCH(BL$3,$AD$3:$AJ$3,0),FALSE)-$AY297/VLOOKUP(VLOOKUP($AW297,坦克个性化设定!$B$18:$E$48,4,FALSE)&amp;$AX297,坦克属性分配比例,MATCH("升星次数",坦克属性分配比例标头,0),FALSE)*VLOOKUP($AW297,$AM$3:$AS$33,MATCH(BL$3,$AM$3:$AS$3,0),FALSE),2)</f>
        <v>2.5</v>
      </c>
    </row>
    <row r="298" spans="47:64" x14ac:dyDescent="0.35">
      <c r="AU298" s="372" t="str">
        <f t="shared" si="30"/>
        <v>KV-20</v>
      </c>
      <c r="AV298" s="654">
        <f>IF(AY297&gt;=VLOOKUP(VLOOKUP(AW297,坦克个性化设定!$B$18:$E$48,4,FALSE)&amp;AX297,坦克属性分配比例,MATCH("升星次数",坦克属性分配比例标头,0),FALSE),AV297+1,AV297)</f>
        <v>26</v>
      </c>
      <c r="AW298" s="649" t="str">
        <f t="shared" si="31"/>
        <v>KV-2</v>
      </c>
      <c r="AX298" s="650" t="str">
        <f>VLOOKUP(AW298,坦克个性化细分!$I$3:$J$33,2,FALSE)</f>
        <v>高</v>
      </c>
      <c r="AY298" s="654">
        <f t="shared" si="32"/>
        <v>0</v>
      </c>
      <c r="AZ298" s="654">
        <f ca="1">ROUND(VLOOKUP($AW298&amp;"初始",$O$3:$AA$63,MATCH(AZ$3,$O$3:$AA$3,0),FALSE)+((VLOOKUP($AW298&amp;"最终",$O$3:$AA$63,MATCH(AZ$3,$O$3:$AA$3,0),FALSE)*坦克个性化细分!$C$9-VLOOKUP($AW298&amp;"初始",$O$3:$AA$63,MATCH(AZ$3,$O$3:$AA$3,0),FALSE))-(VLOOKUP($AW298&amp;"最终",$O$3:$AA$63,MATCH(AZ$3,$O$3:$AA$3,0),FALSE)-VLOOKUP($AW298&amp;"初始",$O$3:$AA$63,MATCH(AZ$3,$O$3:$AA$3,0),FALSE))*VLOOKUP(VLOOKUP($AW298,坦克个性化设定!$B$18:$E$48,4,FALSE)&amp;$AX298,坦克属性分配比例,MATCH("部件比例",坦克属性分配比例标头,0),FALSE))*$AY298/VLOOKUP(VLOOKUP($AW298,坦克个性化设定!$B$18:$E$48,4,FALSE)&amp;$AX298,坦克属性分配比例,MATCH("升星次数",坦克属性分配比例标头,0),FALSE),0)</f>
        <v>1499</v>
      </c>
      <c r="BA298" s="654">
        <f ca="1">ROUND(VLOOKUP($AW298&amp;"初始",$O$3:$AA$63,MATCH(BA$3,$O$3:$AA$3,0),FALSE)+(VLOOKUP($AW298&amp;"最终",$O$3:$AA$63,MATCH(BA$3,$O$3:$AA$3,0),FALSE)-VLOOKUP($AW298&amp;"初始",$O$3:$AA$63,MATCH(BA$3,$O$3:$AA$3,0),FALSE))*$AY298/VLOOKUP(VLOOKUP($AW298,坦克个性化设定!$B$18:$E$48,4,FALSE)&amp;$AX298,坦克属性分配比例,MATCH("升星次数",坦克属性分配比例标头,0),FALSE)*VLOOKUP(VLOOKUP($AW298,坦克个性化设定!$B$18:$E$48,4,FALSE)&amp;$AX298,坦克属性分配比例,MATCH("升星比例",坦克属性分配比例标头,0),FALSE),0)</f>
        <v>226</v>
      </c>
      <c r="BB298" s="654">
        <f ca="1">ROUND(VLOOKUP($AW298&amp;"初始",$O$3:$AA$63,MATCH(BB$3,$O$3:$AA$3,0),FALSE)+(VLOOKUP($AW298&amp;"最终",$O$3:$AA$63,MATCH(BB$3,$O$3:$AA$3,0),FALSE)-VLOOKUP($AW298&amp;"初始",$O$3:$AA$63,MATCH(BB$3,$O$3:$AA$3,0),FALSE))*$AY298/VLOOKUP(VLOOKUP($AW298,坦克个性化设定!$B$18:$E$48,4,FALSE)&amp;$AX298,坦克属性分配比例,MATCH("升星次数",坦克属性分配比例标头,0),FALSE)*(VLOOKUP(VLOOKUP($AW298,坦克个性化设定!$B$18:$E$48,4,FALSE)&amp;$AX298,坦克属性分配比例,MATCH("升星比例",坦克属性分配比例标头,0),FALSE)+VLOOKUP(VLOOKUP($AW298,坦克个性化设定!$B$18:$E$48,4,FALSE)&amp;$AX298,坦克属性分配比例,MATCH("部件比例",坦克属性分配比例标头,0),FALSE)*$C$3),0)</f>
        <v>463</v>
      </c>
      <c r="BC298" s="654">
        <f ca="1">ROUND(VLOOKUP($AW298&amp;"初始",$O$3:$AA$63,MATCH(BC$3,$O$3:$AA$3,0),FALSE)+(VLOOKUP($AW298&amp;"最终",$O$3:$AA$63,MATCH(BC$3,$O$3:$AA$3,0),FALSE)-VLOOKUP($AW298&amp;"初始",$O$3:$AA$63,MATCH(BC$3,$O$3:$AA$3,0),FALSE))*$AY298/VLOOKUP(VLOOKUP($AW298,坦克个性化设定!$B$18:$E$48,4,FALSE)&amp;$AX298,坦克属性分配比例,MATCH("升星次数",坦克属性分配比例标头,0),FALSE)*(VLOOKUP(VLOOKUP($AW298,坦克个性化设定!$B$18:$E$48,4,FALSE)&amp;$AX298,坦克属性分配比例,MATCH("升星比例",坦克属性分配比例标头,0),FALSE)+VLOOKUP(VLOOKUP($AW298,坦克个性化设定!$B$18:$E$48,4,FALSE)&amp;$AX298,坦克属性分配比例,MATCH("部件比例",坦克属性分配比例标头,0),FALSE)*$C$3),0)</f>
        <v>370</v>
      </c>
      <c r="BD298" s="654">
        <f ca="1">ROUND(VLOOKUP($AW298&amp;"初始",$O$3:$AA$63,MATCH(BD$3,$O$3:$AA$3,0),FALSE)+(VLOOKUP($AW298&amp;"最终",$O$3:$AA$63,MATCH(BD$3,$O$3:$AA$3,0),FALSE)-VLOOKUP($AW298&amp;"初始",$O$3:$AA$63,MATCH(BD$3,$O$3:$AA$3,0),FALSE))*$AY298/VLOOKUP(VLOOKUP($AW298,坦克个性化设定!$B$18:$E$48,4,FALSE)&amp;$AX298,坦克属性分配比例,MATCH("升星次数",坦克属性分配比例标头,0),FALSE)*VLOOKUP(VLOOKUP($AW298,坦克个性化设定!$B$18:$E$48,4,FALSE)&amp;$AX298,坦克属性分配比例,MATCH("升星比例",坦克属性分配比例标头,0),FALSE),0)</f>
        <v>680</v>
      </c>
      <c r="BE298" s="654">
        <f ca="1">ROUND(VLOOKUP($AW298&amp;"初始",$O$3:$AA$63,MATCH(BE$3,$O$3:$AA$3,0),FALSE)+(VLOOKUP($AW298&amp;"最终",$O$3:$AA$63,MATCH(BE$3,$O$3:$AA$3,0),FALSE)-VLOOKUP($AW298&amp;"初始",$O$3:$AA$63,MATCH(BE$3,$O$3:$AA$3,0),FALSE))*$AY298/VLOOKUP(VLOOKUP($AW298,坦克个性化设定!$B$18:$E$48,4,FALSE)&amp;$AX298,坦克属性分配比例,MATCH("升星次数",坦克属性分配比例标头,0),FALSE),0)</f>
        <v>154</v>
      </c>
      <c r="BF298" s="654">
        <f>ROUND(VLOOKUP($AW298,$AD$3:$AJ$33,MATCH(BF$3,$AD$3:$AJ$3,0),FALSE)+$AY298/VLOOKUP(VLOOKUP($AW298,坦克个性化设定!$B$18:$E$48,4,FALSE)&amp;$AX298,坦克属性分配比例,MATCH("升星次数",坦克属性分配比例标头,0),FALSE)*VLOOKUP($AW298,$AM$3:$AS$33,MATCH(BF$3,$AM$3:$AS$3,0),FALSE),1)</f>
        <v>41.1</v>
      </c>
      <c r="BG298" s="654">
        <f>ROUND(VLOOKUP($AW298,$AD$3:$AJ$33,MATCH(BG$3,$AD$3:$AJ$3,0),FALSE)+$AY298/VLOOKUP(VLOOKUP($AW298,坦克个性化设定!$B$18:$E$48,4,FALSE)&amp;$AX298,坦克属性分配比例,MATCH("升星次数",坦克属性分配比例标头,0),FALSE)*VLOOKUP($AW298,$AM$3:$AS$33,MATCH(BG$3,$AM$3:$AS$3,0),FALSE),1)</f>
        <v>36.799999999999997</v>
      </c>
      <c r="BH298" s="654">
        <f>ROUND(VLOOKUP($AW298,$AD$3:$AJ$33,MATCH(BH$3,$AD$3:$AJ$3,0),FALSE)+$AY298/VLOOKUP(VLOOKUP($AW298,坦克个性化设定!$B$18:$E$48,4,FALSE)&amp;$AX298,坦克属性分配比例,MATCH("升星次数",坦克属性分配比例标头,0),FALSE)*VLOOKUP($AW298,$AM$3:$AS$33,MATCH(BH$3,$AM$3:$AS$3,0),FALSE),1)</f>
        <v>11</v>
      </c>
      <c r="BI298" s="654">
        <f>IF(VLOOKUP(AW298,坦克个性化设定!$B$18:$BB$48,MATCH("装弹类型",坦克个性化设定!$B$18:$BB$18,0),FALSE)="弹夹换弹",0,ROUND(VLOOKUP($AW298,$AD$3:$AJ$33,MATCH("换弹时间",$AD$3:$AJ$3,0),FALSE)-$AY298/VLOOKUP(VLOOKUP($AW298,坦克个性化设定!$B$18:$E$48,4,FALSE)&amp;$AX298,坦克属性分配比例,MATCH("升星次数",坦克属性分配比例标头,0),FALSE)*VLOOKUP($AW298,$AM$3:$AS$33,MATCH("换弹时间",$AM$3:$AS$3,0),FALSE),2))</f>
        <v>4.05</v>
      </c>
      <c r="BJ298" s="654">
        <f>IF(VLOOKUP(AW298,坦克个性化设定!$B$18:$BB$48,MATCH("装弹类型",坦克个性化设定!$B$18:$BB$18,0),FALSE)="弹夹换弹",ROUND(VLOOKUP($AW298,$AD$3:$AJ$33,MATCH("换弹时间",$AD$3:$AJ$3,0),FALSE)-$AY298/VLOOKUP(VLOOKUP($AW298,坦克个性化设定!$B$18:$E$48,4,FALSE)&amp;$AX298,坦克属性分配比例,MATCH("升星次数",坦克属性分配比例标头,0),FALSE)*VLOOKUP($AW298,$AM$3:$AS$33,MATCH("换弹时间",$AM$3:$AS$3,0),FALSE),1),0)</f>
        <v>0</v>
      </c>
      <c r="BK298" s="654">
        <f>ROUND(VLOOKUP($AW298,$AD$3:$AJ$33,MATCH(BK$3,$AD$3:$AJ$3,0),FALSE)+$AY298/VLOOKUP(VLOOKUP($AW298,坦克个性化设定!$B$18:$E$48,4,FALSE)&amp;$AX298,坦克属性分配比例,MATCH("升星次数",坦克属性分配比例标头,0),FALSE)*VLOOKUP($AW298,$AM$3:$AS$33,MATCH(BK$3,$AM$3:$AS$3,0),FALSE),2)</f>
        <v>2</v>
      </c>
      <c r="BL298" s="654">
        <f>ROUND(VLOOKUP($AW298,$AD$3:$AJ$33,MATCH(BL$3,$AD$3:$AJ$3,0),FALSE)-$AY298/VLOOKUP(VLOOKUP($AW298,坦克个性化设定!$B$18:$E$48,4,FALSE)&amp;$AX298,坦克属性分配比例,MATCH("升星次数",坦克属性分配比例标头,0),FALSE)*VLOOKUP($AW298,$AM$3:$AS$33,MATCH(BL$3,$AM$3:$AS$3,0),FALSE),2)</f>
        <v>2.25</v>
      </c>
    </row>
    <row r="299" spans="47:64" x14ac:dyDescent="0.35">
      <c r="AU299" s="372" t="str">
        <f t="shared" si="30"/>
        <v>KV-21</v>
      </c>
      <c r="AV299" s="654">
        <f>IF(AY298&gt;=VLOOKUP(VLOOKUP(AW298,坦克个性化设定!$B$18:$E$48,4,FALSE)&amp;AX298,坦克属性分配比例,MATCH("升星次数",坦克属性分配比例标头,0),FALSE),AV298+1,AV298)</f>
        <v>26</v>
      </c>
      <c r="AW299" s="649" t="str">
        <f t="shared" si="31"/>
        <v>KV-2</v>
      </c>
      <c r="AX299" s="650" t="str">
        <f>VLOOKUP(AW299,坦克个性化细分!$I$3:$J$33,2,FALSE)</f>
        <v>高</v>
      </c>
      <c r="AY299" s="654">
        <f t="shared" si="32"/>
        <v>1</v>
      </c>
      <c r="AZ299" s="654">
        <f ca="1">ROUND(VLOOKUP($AW299&amp;"初始",$O$3:$AA$63,MATCH(AZ$3,$O$3:$AA$3,0),FALSE)+((VLOOKUP($AW299&amp;"最终",$O$3:$AA$63,MATCH(AZ$3,$O$3:$AA$3,0),FALSE)*坦克个性化细分!$C$9-VLOOKUP($AW299&amp;"初始",$O$3:$AA$63,MATCH(AZ$3,$O$3:$AA$3,0),FALSE))-(VLOOKUP($AW299&amp;"最终",$O$3:$AA$63,MATCH(AZ$3,$O$3:$AA$3,0),FALSE)-VLOOKUP($AW299&amp;"初始",$O$3:$AA$63,MATCH(AZ$3,$O$3:$AA$3,0),FALSE))*VLOOKUP(VLOOKUP($AW299,坦克个性化设定!$B$18:$E$48,4,FALSE)&amp;$AX299,坦克属性分配比例,MATCH("部件比例",坦克属性分配比例标头,0),FALSE))*$AY299/VLOOKUP(VLOOKUP($AW299,坦克个性化设定!$B$18:$E$48,4,FALSE)&amp;$AX299,坦克属性分配比例,MATCH("升星次数",坦克属性分配比例标头,0),FALSE),0)</f>
        <v>1626</v>
      </c>
      <c r="BA299" s="654">
        <f ca="1">ROUND(VLOOKUP($AW299&amp;"初始",$O$3:$AA$63,MATCH(BA$3,$O$3:$AA$3,0),FALSE)+(VLOOKUP($AW299&amp;"最终",$O$3:$AA$63,MATCH(BA$3,$O$3:$AA$3,0),FALSE)-VLOOKUP($AW299&amp;"初始",$O$3:$AA$63,MATCH(BA$3,$O$3:$AA$3,0),FALSE))*$AY299/VLOOKUP(VLOOKUP($AW299,坦克个性化设定!$B$18:$E$48,4,FALSE)&amp;$AX299,坦克属性分配比例,MATCH("升星次数",坦克属性分配比例标头,0),FALSE)*VLOOKUP(VLOOKUP($AW299,坦克个性化设定!$B$18:$E$48,4,FALSE)&amp;$AX299,坦克属性分配比例,MATCH("升星比例",坦克属性分配比例标头,0),FALSE),0)</f>
        <v>236</v>
      </c>
      <c r="BB299" s="654">
        <f ca="1">ROUND(VLOOKUP($AW299&amp;"初始",$O$3:$AA$63,MATCH(BB$3,$O$3:$AA$3,0),FALSE)+(VLOOKUP($AW299&amp;"最终",$O$3:$AA$63,MATCH(BB$3,$O$3:$AA$3,0),FALSE)-VLOOKUP($AW299&amp;"初始",$O$3:$AA$63,MATCH(BB$3,$O$3:$AA$3,0),FALSE))*$AY299/VLOOKUP(VLOOKUP($AW299,坦克个性化设定!$B$18:$E$48,4,FALSE)&amp;$AX299,坦克属性分配比例,MATCH("升星次数",坦克属性分配比例标头,0),FALSE)*(VLOOKUP(VLOOKUP($AW299,坦克个性化设定!$B$18:$E$48,4,FALSE)&amp;$AX299,坦克属性分配比例,MATCH("升星比例",坦克属性分配比例标头,0),FALSE)+VLOOKUP(VLOOKUP($AW299,坦克个性化设定!$B$18:$E$48,4,FALSE)&amp;$AX299,坦克属性分配比例,MATCH("部件比例",坦克属性分配比例标头,0),FALSE)*$C$3),0)</f>
        <v>490</v>
      </c>
      <c r="BC299" s="654">
        <f ca="1">ROUND(VLOOKUP($AW299&amp;"初始",$O$3:$AA$63,MATCH(BC$3,$O$3:$AA$3,0),FALSE)+(VLOOKUP($AW299&amp;"最终",$O$3:$AA$63,MATCH(BC$3,$O$3:$AA$3,0),FALSE)-VLOOKUP($AW299&amp;"初始",$O$3:$AA$63,MATCH(BC$3,$O$3:$AA$3,0),FALSE))*$AY299/VLOOKUP(VLOOKUP($AW299,坦克个性化设定!$B$18:$E$48,4,FALSE)&amp;$AX299,坦克属性分配比例,MATCH("升星次数",坦克属性分配比例标头,0),FALSE)*(VLOOKUP(VLOOKUP($AW299,坦克个性化设定!$B$18:$E$48,4,FALSE)&amp;$AX299,坦克属性分配比例,MATCH("升星比例",坦克属性分配比例标头,0),FALSE)+VLOOKUP(VLOOKUP($AW299,坦克个性化设定!$B$18:$E$48,4,FALSE)&amp;$AX299,坦克属性分配比例,MATCH("部件比例",坦克属性分配比例标头,0),FALSE)*$C$3),0)</f>
        <v>392</v>
      </c>
      <c r="BD299" s="654">
        <f ca="1">ROUND(VLOOKUP($AW299&amp;"初始",$O$3:$AA$63,MATCH(BD$3,$O$3:$AA$3,0),FALSE)+(VLOOKUP($AW299&amp;"最终",$O$3:$AA$63,MATCH(BD$3,$O$3:$AA$3,0),FALSE)-VLOOKUP($AW299&amp;"初始",$O$3:$AA$63,MATCH(BD$3,$O$3:$AA$3,0),FALSE))*$AY299/VLOOKUP(VLOOKUP($AW299,坦克个性化设定!$B$18:$E$48,4,FALSE)&amp;$AX299,坦克属性分配比例,MATCH("升星次数",坦克属性分配比例标头,0),FALSE)*VLOOKUP(VLOOKUP($AW299,坦克个性化设定!$B$18:$E$48,4,FALSE)&amp;$AX299,坦克属性分配比例,MATCH("升星比例",坦克属性分配比例标头,0),FALSE),0)</f>
        <v>708</v>
      </c>
      <c r="BE299" s="654">
        <f ca="1">ROUND(VLOOKUP($AW299&amp;"初始",$O$3:$AA$63,MATCH(BE$3,$O$3:$AA$3,0),FALSE)+(VLOOKUP($AW299&amp;"最终",$O$3:$AA$63,MATCH(BE$3,$O$3:$AA$3,0),FALSE)-VLOOKUP($AW299&amp;"初始",$O$3:$AA$63,MATCH(BE$3,$O$3:$AA$3,0),FALSE))*$AY299/VLOOKUP(VLOOKUP($AW299,坦克个性化设定!$B$18:$E$48,4,FALSE)&amp;$AX299,坦克属性分配比例,MATCH("升星次数",坦克属性分配比例标头,0),FALSE),0)</f>
        <v>165</v>
      </c>
      <c r="BF299" s="654">
        <f>ROUND(VLOOKUP($AW299,$AD$3:$AJ$33,MATCH(BF$3,$AD$3:$AJ$3,0),FALSE)+$AY299/VLOOKUP(VLOOKUP($AW299,坦克个性化设定!$B$18:$E$48,4,FALSE)&amp;$AX299,坦克属性分配比例,MATCH("升星次数",坦克属性分配比例标头,0),FALSE)*VLOOKUP($AW299,$AM$3:$AS$33,MATCH(BF$3,$AM$3:$AS$3,0),FALSE),1)</f>
        <v>41.8</v>
      </c>
      <c r="BG299" s="654">
        <f>ROUND(VLOOKUP($AW299,$AD$3:$AJ$33,MATCH(BG$3,$AD$3:$AJ$3,0),FALSE)+$AY299/VLOOKUP(VLOOKUP($AW299,坦克个性化设定!$B$18:$E$48,4,FALSE)&amp;$AX299,坦克属性分配比例,MATCH("升星次数",坦克属性分配比例标头,0),FALSE)*VLOOKUP($AW299,$AM$3:$AS$33,MATCH(BG$3,$AM$3:$AS$3,0),FALSE),1)</f>
        <v>37.5</v>
      </c>
      <c r="BH299" s="654">
        <f>ROUND(VLOOKUP($AW299,$AD$3:$AJ$33,MATCH(BH$3,$AD$3:$AJ$3,0),FALSE)+$AY299/VLOOKUP(VLOOKUP($AW299,坦克个性化设定!$B$18:$E$48,4,FALSE)&amp;$AX299,坦克属性分配比例,MATCH("升星次数",坦克属性分配比例标头,0),FALSE)*VLOOKUP($AW299,$AM$3:$AS$33,MATCH(BH$3,$AM$3:$AS$3,0),FALSE),1)</f>
        <v>11.3</v>
      </c>
      <c r="BI299" s="654">
        <f>IF(VLOOKUP(AW299,坦克个性化设定!$B$18:$BB$48,MATCH("装弹类型",坦克个性化设定!$B$18:$BB$18,0),FALSE)="弹夹换弹",0,ROUND(VLOOKUP($AW299,$AD$3:$AJ$33,MATCH("换弹时间",$AD$3:$AJ$3,0),FALSE)-$AY299/VLOOKUP(VLOOKUP($AW299,坦克个性化设定!$B$18:$E$48,4,FALSE)&amp;$AX299,坦克属性分配比例,MATCH("升星次数",坦克属性分配比例标头,0),FALSE)*VLOOKUP($AW299,$AM$3:$AS$33,MATCH("换弹时间",$AM$3:$AS$3,0),FALSE),2))</f>
        <v>3.98</v>
      </c>
      <c r="BJ299" s="654">
        <f>IF(VLOOKUP(AW299,坦克个性化设定!$B$18:$BB$48,MATCH("装弹类型",坦克个性化设定!$B$18:$BB$18,0),FALSE)="弹夹换弹",ROUND(VLOOKUP($AW299,$AD$3:$AJ$33,MATCH("换弹时间",$AD$3:$AJ$3,0),FALSE)-$AY299/VLOOKUP(VLOOKUP($AW299,坦克个性化设定!$B$18:$E$48,4,FALSE)&amp;$AX299,坦克属性分配比例,MATCH("升星次数",坦克属性分配比例标头,0),FALSE)*VLOOKUP($AW299,$AM$3:$AS$33,MATCH("换弹时间",$AM$3:$AS$3,0),FALSE),1),0)</f>
        <v>0</v>
      </c>
      <c r="BK299" s="654">
        <f>ROUND(VLOOKUP($AW299,$AD$3:$AJ$33,MATCH(BK$3,$AD$3:$AJ$3,0),FALSE)+$AY299/VLOOKUP(VLOOKUP($AW299,坦克个性化设定!$B$18:$E$48,4,FALSE)&amp;$AX299,坦克属性分配比例,MATCH("升星次数",坦克属性分配比例标头,0),FALSE)*VLOOKUP($AW299,$AM$3:$AS$33,MATCH(BK$3,$AM$3:$AS$3,0),FALSE),2)</f>
        <v>2</v>
      </c>
      <c r="BL299" s="654">
        <f>ROUND(VLOOKUP($AW299,$AD$3:$AJ$33,MATCH(BL$3,$AD$3:$AJ$3,0),FALSE)-$AY299/VLOOKUP(VLOOKUP($AW299,坦克个性化设定!$B$18:$E$48,4,FALSE)&amp;$AX299,坦克属性分配比例,MATCH("升星次数",坦克属性分配比例标头,0),FALSE)*VLOOKUP($AW299,$AM$3:$AS$33,MATCH(BL$3,$AM$3:$AS$3,0),FALSE),2)</f>
        <v>2.2200000000000002</v>
      </c>
    </row>
    <row r="300" spans="47:64" x14ac:dyDescent="0.35">
      <c r="AU300" s="372" t="str">
        <f t="shared" si="30"/>
        <v>KV-22</v>
      </c>
      <c r="AV300" s="654">
        <f>IF(AY299&gt;=VLOOKUP(VLOOKUP(AW299,坦克个性化设定!$B$18:$E$48,4,FALSE)&amp;AX299,坦克属性分配比例,MATCH("升星次数",坦克属性分配比例标头,0),FALSE),AV299+1,AV299)</f>
        <v>26</v>
      </c>
      <c r="AW300" s="649" t="str">
        <f t="shared" si="31"/>
        <v>KV-2</v>
      </c>
      <c r="AX300" s="650" t="str">
        <f>VLOOKUP(AW300,坦克个性化细分!$I$3:$J$33,2,FALSE)</f>
        <v>高</v>
      </c>
      <c r="AY300" s="654">
        <f t="shared" si="32"/>
        <v>2</v>
      </c>
      <c r="AZ300" s="654">
        <f ca="1">ROUND(VLOOKUP($AW300&amp;"初始",$O$3:$AA$63,MATCH(AZ$3,$O$3:$AA$3,0),FALSE)+((VLOOKUP($AW300&amp;"最终",$O$3:$AA$63,MATCH(AZ$3,$O$3:$AA$3,0),FALSE)*坦克个性化细分!$C$9-VLOOKUP($AW300&amp;"初始",$O$3:$AA$63,MATCH(AZ$3,$O$3:$AA$3,0),FALSE))-(VLOOKUP($AW300&amp;"最终",$O$3:$AA$63,MATCH(AZ$3,$O$3:$AA$3,0),FALSE)-VLOOKUP($AW300&amp;"初始",$O$3:$AA$63,MATCH(AZ$3,$O$3:$AA$3,0),FALSE))*VLOOKUP(VLOOKUP($AW300,坦克个性化设定!$B$18:$E$48,4,FALSE)&amp;$AX300,坦克属性分配比例,MATCH("部件比例",坦克属性分配比例标头,0),FALSE))*$AY300/VLOOKUP(VLOOKUP($AW300,坦克个性化设定!$B$18:$E$48,4,FALSE)&amp;$AX300,坦克属性分配比例,MATCH("升星次数",坦克属性分配比例标头,0),FALSE),0)</f>
        <v>1752</v>
      </c>
      <c r="BA300" s="654">
        <f ca="1">ROUND(VLOOKUP($AW300&amp;"初始",$O$3:$AA$63,MATCH(BA$3,$O$3:$AA$3,0),FALSE)+(VLOOKUP($AW300&amp;"最终",$O$3:$AA$63,MATCH(BA$3,$O$3:$AA$3,0),FALSE)-VLOOKUP($AW300&amp;"初始",$O$3:$AA$63,MATCH(BA$3,$O$3:$AA$3,0),FALSE))*$AY300/VLOOKUP(VLOOKUP($AW300,坦克个性化设定!$B$18:$E$48,4,FALSE)&amp;$AX300,坦克属性分配比例,MATCH("升星次数",坦克属性分配比例标头,0),FALSE)*VLOOKUP(VLOOKUP($AW300,坦克个性化设定!$B$18:$E$48,4,FALSE)&amp;$AX300,坦克属性分配比例,MATCH("升星比例",坦克属性分配比例标头,0),FALSE),0)</f>
        <v>245</v>
      </c>
      <c r="BB300" s="654">
        <f ca="1">ROUND(VLOOKUP($AW300&amp;"初始",$O$3:$AA$63,MATCH(BB$3,$O$3:$AA$3,0),FALSE)+(VLOOKUP($AW300&amp;"最终",$O$3:$AA$63,MATCH(BB$3,$O$3:$AA$3,0),FALSE)-VLOOKUP($AW300&amp;"初始",$O$3:$AA$63,MATCH(BB$3,$O$3:$AA$3,0),FALSE))*$AY300/VLOOKUP(VLOOKUP($AW300,坦克个性化设定!$B$18:$E$48,4,FALSE)&amp;$AX300,坦克属性分配比例,MATCH("升星次数",坦克属性分配比例标头,0),FALSE)*(VLOOKUP(VLOOKUP($AW300,坦克个性化设定!$B$18:$E$48,4,FALSE)&amp;$AX300,坦克属性分配比例,MATCH("升星比例",坦克属性分配比例标头,0),FALSE)+VLOOKUP(VLOOKUP($AW300,坦克个性化设定!$B$18:$E$48,4,FALSE)&amp;$AX300,坦克属性分配比例,MATCH("部件比例",坦克属性分配比例标头,0),FALSE)*$C$3),0)</f>
        <v>518</v>
      </c>
      <c r="BC300" s="654">
        <f ca="1">ROUND(VLOOKUP($AW300&amp;"初始",$O$3:$AA$63,MATCH(BC$3,$O$3:$AA$3,0),FALSE)+(VLOOKUP($AW300&amp;"最终",$O$3:$AA$63,MATCH(BC$3,$O$3:$AA$3,0),FALSE)-VLOOKUP($AW300&amp;"初始",$O$3:$AA$63,MATCH(BC$3,$O$3:$AA$3,0),FALSE))*$AY300/VLOOKUP(VLOOKUP($AW300,坦克个性化设定!$B$18:$E$48,4,FALSE)&amp;$AX300,坦克属性分配比例,MATCH("升星次数",坦克属性分配比例标头,0),FALSE)*(VLOOKUP(VLOOKUP($AW300,坦克个性化设定!$B$18:$E$48,4,FALSE)&amp;$AX300,坦克属性分配比例,MATCH("升星比例",坦克属性分配比例标头,0),FALSE)+VLOOKUP(VLOOKUP($AW300,坦克个性化设定!$B$18:$E$48,4,FALSE)&amp;$AX300,坦克属性分配比例,MATCH("部件比例",坦克属性分配比例标头,0),FALSE)*$C$3),0)</f>
        <v>414</v>
      </c>
      <c r="BD300" s="654">
        <f ca="1">ROUND(VLOOKUP($AW300&amp;"初始",$O$3:$AA$63,MATCH(BD$3,$O$3:$AA$3,0),FALSE)+(VLOOKUP($AW300&amp;"最终",$O$3:$AA$63,MATCH(BD$3,$O$3:$AA$3,0),FALSE)-VLOOKUP($AW300&amp;"初始",$O$3:$AA$63,MATCH(BD$3,$O$3:$AA$3,0),FALSE))*$AY300/VLOOKUP(VLOOKUP($AW300,坦克个性化设定!$B$18:$E$48,4,FALSE)&amp;$AX300,坦克属性分配比例,MATCH("升星次数",坦克属性分配比例标头,0),FALSE)*VLOOKUP(VLOOKUP($AW300,坦克个性化设定!$B$18:$E$48,4,FALSE)&amp;$AX300,坦克属性分配比例,MATCH("升星比例",坦克属性分配比例标头,0),FALSE),0)</f>
        <v>737</v>
      </c>
      <c r="BE300" s="654">
        <f ca="1">ROUND(VLOOKUP($AW300&amp;"初始",$O$3:$AA$63,MATCH(BE$3,$O$3:$AA$3,0),FALSE)+(VLOOKUP($AW300&amp;"最终",$O$3:$AA$63,MATCH(BE$3,$O$3:$AA$3,0),FALSE)-VLOOKUP($AW300&amp;"初始",$O$3:$AA$63,MATCH(BE$3,$O$3:$AA$3,0),FALSE))*$AY300/VLOOKUP(VLOOKUP($AW300,坦克个性化设定!$B$18:$E$48,4,FALSE)&amp;$AX300,坦克属性分配比例,MATCH("升星次数",坦克属性分配比例标头,0),FALSE),0)</f>
        <v>176</v>
      </c>
      <c r="BF300" s="654">
        <f>ROUND(VLOOKUP($AW300,$AD$3:$AJ$33,MATCH(BF$3,$AD$3:$AJ$3,0),FALSE)+$AY300/VLOOKUP(VLOOKUP($AW300,坦克个性化设定!$B$18:$E$48,4,FALSE)&amp;$AX300,坦克属性分配比例,MATCH("升星次数",坦克属性分配比例标头,0),FALSE)*VLOOKUP($AW300,$AM$3:$AS$33,MATCH(BF$3,$AM$3:$AS$3,0),FALSE),1)</f>
        <v>42.6</v>
      </c>
      <c r="BG300" s="654">
        <f>ROUND(VLOOKUP($AW300,$AD$3:$AJ$33,MATCH(BG$3,$AD$3:$AJ$3,0),FALSE)+$AY300/VLOOKUP(VLOOKUP($AW300,坦克个性化设定!$B$18:$E$48,4,FALSE)&amp;$AX300,坦克属性分配比例,MATCH("升星次数",坦克属性分配比例标头,0),FALSE)*VLOOKUP($AW300,$AM$3:$AS$33,MATCH(BG$3,$AM$3:$AS$3,0),FALSE),1)</f>
        <v>38.1</v>
      </c>
      <c r="BH300" s="654">
        <f>ROUND(VLOOKUP($AW300,$AD$3:$AJ$33,MATCH(BH$3,$AD$3:$AJ$3,0),FALSE)+$AY300/VLOOKUP(VLOOKUP($AW300,坦克个性化设定!$B$18:$E$48,4,FALSE)&amp;$AX300,坦克属性分配比例,MATCH("升星次数",坦克属性分配比例标头,0),FALSE)*VLOOKUP($AW300,$AM$3:$AS$33,MATCH(BH$3,$AM$3:$AS$3,0),FALSE),1)</f>
        <v>11.5</v>
      </c>
      <c r="BI300" s="654">
        <f>IF(VLOOKUP(AW300,坦克个性化设定!$B$18:$BB$48,MATCH("装弹类型",坦克个性化设定!$B$18:$BB$18,0),FALSE)="弹夹换弹",0,ROUND(VLOOKUP($AW300,$AD$3:$AJ$33,MATCH("换弹时间",$AD$3:$AJ$3,0),FALSE)-$AY300/VLOOKUP(VLOOKUP($AW300,坦克个性化设定!$B$18:$E$48,4,FALSE)&amp;$AX300,坦克属性分配比例,MATCH("升星次数",坦克属性分配比例标头,0),FALSE)*VLOOKUP($AW300,$AM$3:$AS$33,MATCH("换弹时间",$AM$3:$AS$3,0),FALSE),2))</f>
        <v>3.9</v>
      </c>
      <c r="BJ300" s="654">
        <f>IF(VLOOKUP(AW300,坦克个性化设定!$B$18:$BB$48,MATCH("装弹类型",坦克个性化设定!$B$18:$BB$18,0),FALSE)="弹夹换弹",ROUND(VLOOKUP($AW300,$AD$3:$AJ$33,MATCH("换弹时间",$AD$3:$AJ$3,0),FALSE)-$AY300/VLOOKUP(VLOOKUP($AW300,坦克个性化设定!$B$18:$E$48,4,FALSE)&amp;$AX300,坦克属性分配比例,MATCH("升星次数",坦克属性分配比例标头,0),FALSE)*VLOOKUP($AW300,$AM$3:$AS$33,MATCH("换弹时间",$AM$3:$AS$3,0),FALSE),1),0)</f>
        <v>0</v>
      </c>
      <c r="BK300" s="654">
        <f>ROUND(VLOOKUP($AW300,$AD$3:$AJ$33,MATCH(BK$3,$AD$3:$AJ$3,0),FALSE)+$AY300/VLOOKUP(VLOOKUP($AW300,坦克个性化设定!$B$18:$E$48,4,FALSE)&amp;$AX300,坦克属性分配比例,MATCH("升星次数",坦克属性分配比例标头,0),FALSE)*VLOOKUP($AW300,$AM$3:$AS$33,MATCH(BK$3,$AM$3:$AS$3,0),FALSE),2)</f>
        <v>2</v>
      </c>
      <c r="BL300" s="654">
        <f>ROUND(VLOOKUP($AW300,$AD$3:$AJ$33,MATCH(BL$3,$AD$3:$AJ$3,0),FALSE)-$AY300/VLOOKUP(VLOOKUP($AW300,坦克个性化设定!$B$18:$E$48,4,FALSE)&amp;$AX300,坦克属性分配比例,MATCH("升星次数",坦克属性分配比例标头,0),FALSE)*VLOOKUP($AW300,$AM$3:$AS$33,MATCH(BL$3,$AM$3:$AS$3,0),FALSE),2)</f>
        <v>2.2000000000000002</v>
      </c>
    </row>
    <row r="301" spans="47:64" x14ac:dyDescent="0.35">
      <c r="AU301" s="372" t="str">
        <f t="shared" si="30"/>
        <v>KV-23</v>
      </c>
      <c r="AV301" s="654">
        <f>IF(AY300&gt;=VLOOKUP(VLOOKUP(AW300,坦克个性化设定!$B$18:$E$48,4,FALSE)&amp;AX300,坦克属性分配比例,MATCH("升星次数",坦克属性分配比例标头,0),FALSE),AV300+1,AV300)</f>
        <v>26</v>
      </c>
      <c r="AW301" s="649" t="str">
        <f t="shared" si="31"/>
        <v>KV-2</v>
      </c>
      <c r="AX301" s="650" t="str">
        <f>VLOOKUP(AW301,坦克个性化细分!$I$3:$J$33,2,FALSE)</f>
        <v>高</v>
      </c>
      <c r="AY301" s="654">
        <f t="shared" si="32"/>
        <v>3</v>
      </c>
      <c r="AZ301" s="654">
        <f ca="1">ROUND(VLOOKUP($AW301&amp;"初始",$O$3:$AA$63,MATCH(AZ$3,$O$3:$AA$3,0),FALSE)+((VLOOKUP($AW301&amp;"最终",$O$3:$AA$63,MATCH(AZ$3,$O$3:$AA$3,0),FALSE)*坦克个性化细分!$C$9-VLOOKUP($AW301&amp;"初始",$O$3:$AA$63,MATCH(AZ$3,$O$3:$AA$3,0),FALSE))-(VLOOKUP($AW301&amp;"最终",$O$3:$AA$63,MATCH(AZ$3,$O$3:$AA$3,0),FALSE)-VLOOKUP($AW301&amp;"初始",$O$3:$AA$63,MATCH(AZ$3,$O$3:$AA$3,0),FALSE))*VLOOKUP(VLOOKUP($AW301,坦克个性化设定!$B$18:$E$48,4,FALSE)&amp;$AX301,坦克属性分配比例,MATCH("部件比例",坦克属性分配比例标头,0),FALSE))*$AY301/VLOOKUP(VLOOKUP($AW301,坦克个性化设定!$B$18:$E$48,4,FALSE)&amp;$AX301,坦克属性分配比例,MATCH("升星次数",坦克属性分配比例标头,0),FALSE),0)</f>
        <v>1879</v>
      </c>
      <c r="BA301" s="654">
        <f ca="1">ROUND(VLOOKUP($AW301&amp;"初始",$O$3:$AA$63,MATCH(BA$3,$O$3:$AA$3,0),FALSE)+(VLOOKUP($AW301&amp;"最终",$O$3:$AA$63,MATCH(BA$3,$O$3:$AA$3,0),FALSE)-VLOOKUP($AW301&amp;"初始",$O$3:$AA$63,MATCH(BA$3,$O$3:$AA$3,0),FALSE))*$AY301/VLOOKUP(VLOOKUP($AW301,坦克个性化设定!$B$18:$E$48,4,FALSE)&amp;$AX301,坦克属性分配比例,MATCH("升星次数",坦克属性分配比例标头,0),FALSE)*VLOOKUP(VLOOKUP($AW301,坦克个性化设定!$B$18:$E$48,4,FALSE)&amp;$AX301,坦克属性分配比例,MATCH("升星比例",坦克属性分配比例标头,0),FALSE),0)</f>
        <v>254</v>
      </c>
      <c r="BB301" s="654">
        <f ca="1">ROUND(VLOOKUP($AW301&amp;"初始",$O$3:$AA$63,MATCH(BB$3,$O$3:$AA$3,0),FALSE)+(VLOOKUP($AW301&amp;"最终",$O$3:$AA$63,MATCH(BB$3,$O$3:$AA$3,0),FALSE)-VLOOKUP($AW301&amp;"初始",$O$3:$AA$63,MATCH(BB$3,$O$3:$AA$3,0),FALSE))*$AY301/VLOOKUP(VLOOKUP($AW301,坦克个性化设定!$B$18:$E$48,4,FALSE)&amp;$AX301,坦克属性分配比例,MATCH("升星次数",坦克属性分配比例标头,0),FALSE)*(VLOOKUP(VLOOKUP($AW301,坦克个性化设定!$B$18:$E$48,4,FALSE)&amp;$AX301,坦克属性分配比例,MATCH("升星比例",坦克属性分配比例标头,0),FALSE)+VLOOKUP(VLOOKUP($AW301,坦克个性化设定!$B$18:$E$48,4,FALSE)&amp;$AX301,坦克属性分配比例,MATCH("部件比例",坦克属性分配比例标头,0),FALSE)*$C$3),0)</f>
        <v>545</v>
      </c>
      <c r="BC301" s="654">
        <f ca="1">ROUND(VLOOKUP($AW301&amp;"初始",$O$3:$AA$63,MATCH(BC$3,$O$3:$AA$3,0),FALSE)+(VLOOKUP($AW301&amp;"最终",$O$3:$AA$63,MATCH(BC$3,$O$3:$AA$3,0),FALSE)-VLOOKUP($AW301&amp;"初始",$O$3:$AA$63,MATCH(BC$3,$O$3:$AA$3,0),FALSE))*$AY301/VLOOKUP(VLOOKUP($AW301,坦克个性化设定!$B$18:$E$48,4,FALSE)&amp;$AX301,坦克属性分配比例,MATCH("升星次数",坦克属性分配比例标头,0),FALSE)*(VLOOKUP(VLOOKUP($AW301,坦克个性化设定!$B$18:$E$48,4,FALSE)&amp;$AX301,坦克属性分配比例,MATCH("升星比例",坦克属性分配比例标头,0),FALSE)+VLOOKUP(VLOOKUP($AW301,坦克个性化设定!$B$18:$E$48,4,FALSE)&amp;$AX301,坦克属性分配比例,MATCH("部件比例",坦克属性分配比例标头,0),FALSE)*$C$3),0)</f>
        <v>436</v>
      </c>
      <c r="BD301" s="654">
        <f ca="1">ROUND(VLOOKUP($AW301&amp;"初始",$O$3:$AA$63,MATCH(BD$3,$O$3:$AA$3,0),FALSE)+(VLOOKUP($AW301&amp;"最终",$O$3:$AA$63,MATCH(BD$3,$O$3:$AA$3,0),FALSE)-VLOOKUP($AW301&amp;"初始",$O$3:$AA$63,MATCH(BD$3,$O$3:$AA$3,0),FALSE))*$AY301/VLOOKUP(VLOOKUP($AW301,坦克个性化设定!$B$18:$E$48,4,FALSE)&amp;$AX301,坦克属性分配比例,MATCH("升星次数",坦克属性分配比例标头,0),FALSE)*VLOOKUP(VLOOKUP($AW301,坦克个性化设定!$B$18:$E$48,4,FALSE)&amp;$AX301,坦克属性分配比例,MATCH("升星比例",坦克属性分配比例标头,0),FALSE),0)</f>
        <v>765</v>
      </c>
      <c r="BE301" s="654">
        <f ca="1">ROUND(VLOOKUP($AW301&amp;"初始",$O$3:$AA$63,MATCH(BE$3,$O$3:$AA$3,0),FALSE)+(VLOOKUP($AW301&amp;"最终",$O$3:$AA$63,MATCH(BE$3,$O$3:$AA$3,0),FALSE)-VLOOKUP($AW301&amp;"初始",$O$3:$AA$63,MATCH(BE$3,$O$3:$AA$3,0),FALSE))*$AY301/VLOOKUP(VLOOKUP($AW301,坦克个性化设定!$B$18:$E$48,4,FALSE)&amp;$AX301,坦克属性分配比例,MATCH("升星次数",坦克属性分配比例标头,0),FALSE),0)</f>
        <v>187</v>
      </c>
      <c r="BF301" s="654">
        <f>ROUND(VLOOKUP($AW301,$AD$3:$AJ$33,MATCH(BF$3,$AD$3:$AJ$3,0),FALSE)+$AY301/VLOOKUP(VLOOKUP($AW301,坦克个性化设定!$B$18:$E$48,4,FALSE)&amp;$AX301,坦克属性分配比例,MATCH("升星次数",坦克属性分配比例标头,0),FALSE)*VLOOKUP($AW301,$AM$3:$AS$33,MATCH(BF$3,$AM$3:$AS$3,0),FALSE),1)</f>
        <v>43.3</v>
      </c>
      <c r="BG301" s="654">
        <f>ROUND(VLOOKUP($AW301,$AD$3:$AJ$33,MATCH(BG$3,$AD$3:$AJ$3,0),FALSE)+$AY301/VLOOKUP(VLOOKUP($AW301,坦克个性化设定!$B$18:$E$48,4,FALSE)&amp;$AX301,坦克属性分配比例,MATCH("升星次数",坦克属性分配比例标头,0),FALSE)*VLOOKUP($AW301,$AM$3:$AS$33,MATCH(BG$3,$AM$3:$AS$3,0),FALSE),1)</f>
        <v>38.799999999999997</v>
      </c>
      <c r="BH301" s="654">
        <f>ROUND(VLOOKUP($AW301,$AD$3:$AJ$33,MATCH(BH$3,$AD$3:$AJ$3,0),FALSE)+$AY301/VLOOKUP(VLOOKUP($AW301,坦克个性化设定!$B$18:$E$48,4,FALSE)&amp;$AX301,坦克属性分配比例,MATCH("升星次数",坦克属性分配比例标头,0),FALSE)*VLOOKUP($AW301,$AM$3:$AS$33,MATCH(BH$3,$AM$3:$AS$3,0),FALSE),1)</f>
        <v>11.8</v>
      </c>
      <c r="BI301" s="654">
        <f>IF(VLOOKUP(AW301,坦克个性化设定!$B$18:$BB$48,MATCH("装弹类型",坦克个性化设定!$B$18:$BB$18,0),FALSE)="弹夹换弹",0,ROUND(VLOOKUP($AW301,$AD$3:$AJ$33,MATCH("换弹时间",$AD$3:$AJ$3,0),FALSE)-$AY301/VLOOKUP(VLOOKUP($AW301,坦克个性化设定!$B$18:$E$48,4,FALSE)&amp;$AX301,坦克属性分配比例,MATCH("升星次数",坦克属性分配比例标头,0),FALSE)*VLOOKUP($AW301,$AM$3:$AS$33,MATCH("换弹时间",$AM$3:$AS$3,0),FALSE),2))</f>
        <v>3.83</v>
      </c>
      <c r="BJ301" s="654">
        <f>IF(VLOOKUP(AW301,坦克个性化设定!$B$18:$BB$48,MATCH("装弹类型",坦克个性化设定!$B$18:$BB$18,0),FALSE)="弹夹换弹",ROUND(VLOOKUP($AW301,$AD$3:$AJ$33,MATCH("换弹时间",$AD$3:$AJ$3,0),FALSE)-$AY301/VLOOKUP(VLOOKUP($AW301,坦克个性化设定!$B$18:$E$48,4,FALSE)&amp;$AX301,坦克属性分配比例,MATCH("升星次数",坦克属性分配比例标头,0),FALSE)*VLOOKUP($AW301,$AM$3:$AS$33,MATCH("换弹时间",$AM$3:$AS$3,0),FALSE),1),0)</f>
        <v>0</v>
      </c>
      <c r="BK301" s="654">
        <f>ROUND(VLOOKUP($AW301,$AD$3:$AJ$33,MATCH(BK$3,$AD$3:$AJ$3,0),FALSE)+$AY301/VLOOKUP(VLOOKUP($AW301,坦克个性化设定!$B$18:$E$48,4,FALSE)&amp;$AX301,坦克属性分配比例,MATCH("升星次数",坦克属性分配比例标头,0),FALSE)*VLOOKUP($AW301,$AM$3:$AS$33,MATCH(BK$3,$AM$3:$AS$3,0),FALSE),2)</f>
        <v>2</v>
      </c>
      <c r="BL301" s="654">
        <f>ROUND(VLOOKUP($AW301,$AD$3:$AJ$33,MATCH(BL$3,$AD$3:$AJ$3,0),FALSE)-$AY301/VLOOKUP(VLOOKUP($AW301,坦克个性化设定!$B$18:$E$48,4,FALSE)&amp;$AX301,坦克属性分配比例,MATCH("升星次数",坦克属性分配比例标头,0),FALSE)*VLOOKUP($AW301,$AM$3:$AS$33,MATCH(BL$3,$AM$3:$AS$3,0),FALSE),2)</f>
        <v>2.17</v>
      </c>
    </row>
    <row r="302" spans="47:64" x14ac:dyDescent="0.35">
      <c r="AU302" s="372" t="str">
        <f t="shared" si="30"/>
        <v>KV-24</v>
      </c>
      <c r="AV302" s="654">
        <f>IF(AY301&gt;=VLOOKUP(VLOOKUP(AW301,坦克个性化设定!$B$18:$E$48,4,FALSE)&amp;AX301,坦克属性分配比例,MATCH("升星次数",坦克属性分配比例标头,0),FALSE),AV301+1,AV301)</f>
        <v>26</v>
      </c>
      <c r="AW302" s="649" t="str">
        <f t="shared" si="31"/>
        <v>KV-2</v>
      </c>
      <c r="AX302" s="650" t="str">
        <f>VLOOKUP(AW302,坦克个性化细分!$I$3:$J$33,2,FALSE)</f>
        <v>高</v>
      </c>
      <c r="AY302" s="654">
        <f t="shared" si="32"/>
        <v>4</v>
      </c>
      <c r="AZ302" s="654">
        <f ca="1">ROUND(VLOOKUP($AW302&amp;"初始",$O$3:$AA$63,MATCH(AZ$3,$O$3:$AA$3,0),FALSE)+((VLOOKUP($AW302&amp;"最终",$O$3:$AA$63,MATCH(AZ$3,$O$3:$AA$3,0),FALSE)*坦克个性化细分!$C$9-VLOOKUP($AW302&amp;"初始",$O$3:$AA$63,MATCH(AZ$3,$O$3:$AA$3,0),FALSE))-(VLOOKUP($AW302&amp;"最终",$O$3:$AA$63,MATCH(AZ$3,$O$3:$AA$3,0),FALSE)-VLOOKUP($AW302&amp;"初始",$O$3:$AA$63,MATCH(AZ$3,$O$3:$AA$3,0),FALSE))*VLOOKUP(VLOOKUP($AW302,坦克个性化设定!$B$18:$E$48,4,FALSE)&amp;$AX302,坦克属性分配比例,MATCH("部件比例",坦克属性分配比例标头,0),FALSE))*$AY302/VLOOKUP(VLOOKUP($AW302,坦克个性化设定!$B$18:$E$48,4,FALSE)&amp;$AX302,坦克属性分配比例,MATCH("升星次数",坦克属性分配比例标头,0),FALSE),0)</f>
        <v>2005</v>
      </c>
      <c r="BA302" s="654">
        <f ca="1">ROUND(VLOOKUP($AW302&amp;"初始",$O$3:$AA$63,MATCH(BA$3,$O$3:$AA$3,0),FALSE)+(VLOOKUP($AW302&amp;"最终",$O$3:$AA$63,MATCH(BA$3,$O$3:$AA$3,0),FALSE)-VLOOKUP($AW302&amp;"初始",$O$3:$AA$63,MATCH(BA$3,$O$3:$AA$3,0),FALSE))*$AY302/VLOOKUP(VLOOKUP($AW302,坦克个性化设定!$B$18:$E$48,4,FALSE)&amp;$AX302,坦克属性分配比例,MATCH("升星次数",坦克属性分配比例标头,0),FALSE)*VLOOKUP(VLOOKUP($AW302,坦克个性化设定!$B$18:$E$48,4,FALSE)&amp;$AX302,坦克属性分配比例,MATCH("升星比例",坦克属性分配比例标头,0),FALSE),0)</f>
        <v>264</v>
      </c>
      <c r="BB302" s="654">
        <f ca="1">ROUND(VLOOKUP($AW302&amp;"初始",$O$3:$AA$63,MATCH(BB$3,$O$3:$AA$3,0),FALSE)+(VLOOKUP($AW302&amp;"最终",$O$3:$AA$63,MATCH(BB$3,$O$3:$AA$3,0),FALSE)-VLOOKUP($AW302&amp;"初始",$O$3:$AA$63,MATCH(BB$3,$O$3:$AA$3,0),FALSE))*$AY302/VLOOKUP(VLOOKUP($AW302,坦克个性化设定!$B$18:$E$48,4,FALSE)&amp;$AX302,坦克属性分配比例,MATCH("升星次数",坦克属性分配比例标头,0),FALSE)*(VLOOKUP(VLOOKUP($AW302,坦克个性化设定!$B$18:$E$48,4,FALSE)&amp;$AX302,坦克属性分配比例,MATCH("升星比例",坦克属性分配比例标头,0),FALSE)+VLOOKUP(VLOOKUP($AW302,坦克个性化设定!$B$18:$E$48,4,FALSE)&amp;$AX302,坦克属性分配比例,MATCH("部件比例",坦克属性分配比例标头,0),FALSE)*$C$3),0)</f>
        <v>572</v>
      </c>
      <c r="BC302" s="654">
        <f ca="1">ROUND(VLOOKUP($AW302&amp;"初始",$O$3:$AA$63,MATCH(BC$3,$O$3:$AA$3,0),FALSE)+(VLOOKUP($AW302&amp;"最终",$O$3:$AA$63,MATCH(BC$3,$O$3:$AA$3,0),FALSE)-VLOOKUP($AW302&amp;"初始",$O$3:$AA$63,MATCH(BC$3,$O$3:$AA$3,0),FALSE))*$AY302/VLOOKUP(VLOOKUP($AW302,坦克个性化设定!$B$18:$E$48,4,FALSE)&amp;$AX302,坦克属性分配比例,MATCH("升星次数",坦克属性分配比例标头,0),FALSE)*(VLOOKUP(VLOOKUP($AW302,坦克个性化设定!$B$18:$E$48,4,FALSE)&amp;$AX302,坦克属性分配比例,MATCH("升星比例",坦克属性分配比例标头,0),FALSE)+VLOOKUP(VLOOKUP($AW302,坦克个性化设定!$B$18:$E$48,4,FALSE)&amp;$AX302,坦克属性分配比例,MATCH("部件比例",坦克属性分配比例标头,0),FALSE)*$C$3),0)</f>
        <v>457</v>
      </c>
      <c r="BD302" s="654">
        <f ca="1">ROUND(VLOOKUP($AW302&amp;"初始",$O$3:$AA$63,MATCH(BD$3,$O$3:$AA$3,0),FALSE)+(VLOOKUP($AW302&amp;"最终",$O$3:$AA$63,MATCH(BD$3,$O$3:$AA$3,0),FALSE)-VLOOKUP($AW302&amp;"初始",$O$3:$AA$63,MATCH(BD$3,$O$3:$AA$3,0),FALSE))*$AY302/VLOOKUP(VLOOKUP($AW302,坦克个性化设定!$B$18:$E$48,4,FALSE)&amp;$AX302,坦克属性分配比例,MATCH("升星次数",坦克属性分配比例标头,0),FALSE)*VLOOKUP(VLOOKUP($AW302,坦克个性化设定!$B$18:$E$48,4,FALSE)&amp;$AX302,坦克属性分配比例,MATCH("升星比例",坦克属性分配比例标头,0),FALSE),0)</f>
        <v>793</v>
      </c>
      <c r="BE302" s="654">
        <f ca="1">ROUND(VLOOKUP($AW302&amp;"初始",$O$3:$AA$63,MATCH(BE$3,$O$3:$AA$3,0),FALSE)+(VLOOKUP($AW302&amp;"最终",$O$3:$AA$63,MATCH(BE$3,$O$3:$AA$3,0),FALSE)-VLOOKUP($AW302&amp;"初始",$O$3:$AA$63,MATCH(BE$3,$O$3:$AA$3,0),FALSE))*$AY302/VLOOKUP(VLOOKUP($AW302,坦克个性化设定!$B$18:$E$48,4,FALSE)&amp;$AX302,坦克属性分配比例,MATCH("升星次数",坦克属性分配比例标头,0),FALSE),0)</f>
        <v>197</v>
      </c>
      <c r="BF302" s="654">
        <f>ROUND(VLOOKUP($AW302,$AD$3:$AJ$33,MATCH(BF$3,$AD$3:$AJ$3,0),FALSE)+$AY302/VLOOKUP(VLOOKUP($AW302,坦克个性化设定!$B$18:$E$48,4,FALSE)&amp;$AX302,坦克属性分配比例,MATCH("升星次数",坦克属性分配比例标头,0),FALSE)*VLOOKUP($AW302,$AM$3:$AS$33,MATCH(BF$3,$AM$3:$AS$3,0),FALSE),1)</f>
        <v>44</v>
      </c>
      <c r="BG302" s="654">
        <f>ROUND(VLOOKUP($AW302,$AD$3:$AJ$33,MATCH(BG$3,$AD$3:$AJ$3,0),FALSE)+$AY302/VLOOKUP(VLOOKUP($AW302,坦克个性化设定!$B$18:$E$48,4,FALSE)&amp;$AX302,坦克属性分配比例,MATCH("升星次数",坦克属性分配比例标头,0),FALSE)*VLOOKUP($AW302,$AM$3:$AS$33,MATCH(BG$3,$AM$3:$AS$3,0),FALSE),1)</f>
        <v>39.4</v>
      </c>
      <c r="BH302" s="654">
        <f>ROUND(VLOOKUP($AW302,$AD$3:$AJ$33,MATCH(BH$3,$AD$3:$AJ$3,0),FALSE)+$AY302/VLOOKUP(VLOOKUP($AW302,坦克个性化设定!$B$18:$E$48,4,FALSE)&amp;$AX302,坦克属性分配比例,MATCH("升星次数",坦克属性分配比例标头,0),FALSE)*VLOOKUP($AW302,$AM$3:$AS$33,MATCH(BH$3,$AM$3:$AS$3,0),FALSE),1)</f>
        <v>12</v>
      </c>
      <c r="BI302" s="654">
        <f>IF(VLOOKUP(AW302,坦克个性化设定!$B$18:$BB$48,MATCH("装弹类型",坦克个性化设定!$B$18:$BB$18,0),FALSE)="弹夹换弹",0,ROUND(VLOOKUP($AW302,$AD$3:$AJ$33,MATCH("换弹时间",$AD$3:$AJ$3,0),FALSE)-$AY302/VLOOKUP(VLOOKUP($AW302,坦克个性化设定!$B$18:$E$48,4,FALSE)&amp;$AX302,坦克属性分配比例,MATCH("升星次数",坦克属性分配比例标头,0),FALSE)*VLOOKUP($AW302,$AM$3:$AS$33,MATCH("换弹时间",$AM$3:$AS$3,0),FALSE),2))</f>
        <v>3.76</v>
      </c>
      <c r="BJ302" s="654">
        <f>IF(VLOOKUP(AW302,坦克个性化设定!$B$18:$BB$48,MATCH("装弹类型",坦克个性化设定!$B$18:$BB$18,0),FALSE)="弹夹换弹",ROUND(VLOOKUP($AW302,$AD$3:$AJ$33,MATCH("换弹时间",$AD$3:$AJ$3,0),FALSE)-$AY302/VLOOKUP(VLOOKUP($AW302,坦克个性化设定!$B$18:$E$48,4,FALSE)&amp;$AX302,坦克属性分配比例,MATCH("升星次数",坦克属性分配比例标头,0),FALSE)*VLOOKUP($AW302,$AM$3:$AS$33,MATCH("换弹时间",$AM$3:$AS$3,0),FALSE),1),0)</f>
        <v>0</v>
      </c>
      <c r="BK302" s="654">
        <f>ROUND(VLOOKUP($AW302,$AD$3:$AJ$33,MATCH(BK$3,$AD$3:$AJ$3,0),FALSE)+$AY302/VLOOKUP(VLOOKUP($AW302,坦克个性化设定!$B$18:$E$48,4,FALSE)&amp;$AX302,坦克属性分配比例,MATCH("升星次数",坦克属性分配比例标头,0),FALSE)*VLOOKUP($AW302,$AM$3:$AS$33,MATCH(BK$3,$AM$3:$AS$3,0),FALSE),2)</f>
        <v>2</v>
      </c>
      <c r="BL302" s="654">
        <f>ROUND(VLOOKUP($AW302,$AD$3:$AJ$33,MATCH(BL$3,$AD$3:$AJ$3,0),FALSE)-$AY302/VLOOKUP(VLOOKUP($AW302,坦克个性化设定!$B$18:$E$48,4,FALSE)&amp;$AX302,坦克属性分配比例,MATCH("升星次数",坦克属性分配比例标头,0),FALSE)*VLOOKUP($AW302,$AM$3:$AS$33,MATCH(BL$3,$AM$3:$AS$3,0),FALSE),2)</f>
        <v>2.14</v>
      </c>
    </row>
    <row r="303" spans="47:64" x14ac:dyDescent="0.35">
      <c r="AU303" s="372" t="str">
        <f t="shared" si="30"/>
        <v>KV-25</v>
      </c>
      <c r="AV303" s="654">
        <f>IF(AY302&gt;=VLOOKUP(VLOOKUP(AW302,坦克个性化设定!$B$18:$E$48,4,FALSE)&amp;AX302,坦克属性分配比例,MATCH("升星次数",坦克属性分配比例标头,0),FALSE),AV302+1,AV302)</f>
        <v>26</v>
      </c>
      <c r="AW303" s="649" t="str">
        <f t="shared" si="31"/>
        <v>KV-2</v>
      </c>
      <c r="AX303" s="650" t="str">
        <f>VLOOKUP(AW303,坦克个性化细分!$I$3:$J$33,2,FALSE)</f>
        <v>高</v>
      </c>
      <c r="AY303" s="654">
        <f t="shared" si="32"/>
        <v>5</v>
      </c>
      <c r="AZ303" s="654">
        <f ca="1">ROUND(VLOOKUP($AW303&amp;"初始",$O$3:$AA$63,MATCH(AZ$3,$O$3:$AA$3,0),FALSE)+((VLOOKUP($AW303&amp;"最终",$O$3:$AA$63,MATCH(AZ$3,$O$3:$AA$3,0),FALSE)*坦克个性化细分!$C$9-VLOOKUP($AW303&amp;"初始",$O$3:$AA$63,MATCH(AZ$3,$O$3:$AA$3,0),FALSE))-(VLOOKUP($AW303&amp;"最终",$O$3:$AA$63,MATCH(AZ$3,$O$3:$AA$3,0),FALSE)-VLOOKUP($AW303&amp;"初始",$O$3:$AA$63,MATCH(AZ$3,$O$3:$AA$3,0),FALSE))*VLOOKUP(VLOOKUP($AW303,坦克个性化设定!$B$18:$E$48,4,FALSE)&amp;$AX303,坦克属性分配比例,MATCH("部件比例",坦克属性分配比例标头,0),FALSE))*$AY303/VLOOKUP(VLOOKUP($AW303,坦克个性化设定!$B$18:$E$48,4,FALSE)&amp;$AX303,坦克属性分配比例,MATCH("升星次数",坦克属性分配比例标头,0),FALSE),0)</f>
        <v>2131</v>
      </c>
      <c r="BA303" s="654">
        <f ca="1">ROUND(VLOOKUP($AW303&amp;"初始",$O$3:$AA$63,MATCH(BA$3,$O$3:$AA$3,0),FALSE)+(VLOOKUP($AW303&amp;"最终",$O$3:$AA$63,MATCH(BA$3,$O$3:$AA$3,0),FALSE)-VLOOKUP($AW303&amp;"初始",$O$3:$AA$63,MATCH(BA$3,$O$3:$AA$3,0),FALSE))*$AY303/VLOOKUP(VLOOKUP($AW303,坦克个性化设定!$B$18:$E$48,4,FALSE)&amp;$AX303,坦克属性分配比例,MATCH("升星次数",坦克属性分配比例标头,0),FALSE)*VLOOKUP(VLOOKUP($AW303,坦克个性化设定!$B$18:$E$48,4,FALSE)&amp;$AX303,坦克属性分配比例,MATCH("升星比例",坦克属性分配比例标头,0),FALSE),0)</f>
        <v>273</v>
      </c>
      <c r="BB303" s="654">
        <f ca="1">ROUND(VLOOKUP($AW303&amp;"初始",$O$3:$AA$63,MATCH(BB$3,$O$3:$AA$3,0),FALSE)+(VLOOKUP($AW303&amp;"最终",$O$3:$AA$63,MATCH(BB$3,$O$3:$AA$3,0),FALSE)-VLOOKUP($AW303&amp;"初始",$O$3:$AA$63,MATCH(BB$3,$O$3:$AA$3,0),FALSE))*$AY303/VLOOKUP(VLOOKUP($AW303,坦克个性化设定!$B$18:$E$48,4,FALSE)&amp;$AX303,坦克属性分配比例,MATCH("升星次数",坦克属性分配比例标头,0),FALSE)*(VLOOKUP(VLOOKUP($AW303,坦克个性化设定!$B$18:$E$48,4,FALSE)&amp;$AX303,坦克属性分配比例,MATCH("升星比例",坦克属性分配比例标头,0),FALSE)+VLOOKUP(VLOOKUP($AW303,坦克个性化设定!$B$18:$E$48,4,FALSE)&amp;$AX303,坦克属性分配比例,MATCH("部件比例",坦克属性分配比例标头,0),FALSE)*$C$3),0)</f>
        <v>600</v>
      </c>
      <c r="BC303" s="654">
        <f ca="1">ROUND(VLOOKUP($AW303&amp;"初始",$O$3:$AA$63,MATCH(BC$3,$O$3:$AA$3,0),FALSE)+(VLOOKUP($AW303&amp;"最终",$O$3:$AA$63,MATCH(BC$3,$O$3:$AA$3,0),FALSE)-VLOOKUP($AW303&amp;"初始",$O$3:$AA$63,MATCH(BC$3,$O$3:$AA$3,0),FALSE))*$AY303/VLOOKUP(VLOOKUP($AW303,坦克个性化设定!$B$18:$E$48,4,FALSE)&amp;$AX303,坦克属性分配比例,MATCH("升星次数",坦克属性分配比例标头,0),FALSE)*(VLOOKUP(VLOOKUP($AW303,坦克个性化设定!$B$18:$E$48,4,FALSE)&amp;$AX303,坦克属性分配比例,MATCH("升星比例",坦克属性分配比例标头,0),FALSE)+VLOOKUP(VLOOKUP($AW303,坦克个性化设定!$B$18:$E$48,4,FALSE)&amp;$AX303,坦克属性分配比例,MATCH("部件比例",坦克属性分配比例标头,0),FALSE)*$C$3),0)</f>
        <v>479</v>
      </c>
      <c r="BD303" s="654">
        <f ca="1">ROUND(VLOOKUP($AW303&amp;"初始",$O$3:$AA$63,MATCH(BD$3,$O$3:$AA$3,0),FALSE)+(VLOOKUP($AW303&amp;"最终",$O$3:$AA$63,MATCH(BD$3,$O$3:$AA$3,0),FALSE)-VLOOKUP($AW303&amp;"初始",$O$3:$AA$63,MATCH(BD$3,$O$3:$AA$3,0),FALSE))*$AY303/VLOOKUP(VLOOKUP($AW303,坦克个性化设定!$B$18:$E$48,4,FALSE)&amp;$AX303,坦克属性分配比例,MATCH("升星次数",坦克属性分配比例标头,0),FALSE)*VLOOKUP(VLOOKUP($AW303,坦克个性化设定!$B$18:$E$48,4,FALSE)&amp;$AX303,坦克属性分配比例,MATCH("升星比例",坦克属性分配比例标头,0),FALSE),0)</f>
        <v>822</v>
      </c>
      <c r="BE303" s="654">
        <f ca="1">ROUND(VLOOKUP($AW303&amp;"初始",$O$3:$AA$63,MATCH(BE$3,$O$3:$AA$3,0),FALSE)+(VLOOKUP($AW303&amp;"最终",$O$3:$AA$63,MATCH(BE$3,$O$3:$AA$3,0),FALSE)-VLOOKUP($AW303&amp;"初始",$O$3:$AA$63,MATCH(BE$3,$O$3:$AA$3,0),FALSE))*$AY303/VLOOKUP(VLOOKUP($AW303,坦克个性化设定!$B$18:$E$48,4,FALSE)&amp;$AX303,坦克属性分配比例,MATCH("升星次数",坦克属性分配比例标头,0),FALSE),0)</f>
        <v>208</v>
      </c>
      <c r="BF303" s="654">
        <f>ROUND(VLOOKUP($AW303,$AD$3:$AJ$33,MATCH(BF$3,$AD$3:$AJ$3,0),FALSE)+$AY303/VLOOKUP(VLOOKUP($AW303,坦克个性化设定!$B$18:$E$48,4,FALSE)&amp;$AX303,坦克属性分配比例,MATCH("升星次数",坦克属性分配比例标头,0),FALSE)*VLOOKUP($AW303,$AM$3:$AS$33,MATCH(BF$3,$AM$3:$AS$3,0),FALSE),1)</f>
        <v>44.8</v>
      </c>
      <c r="BG303" s="654">
        <f>ROUND(VLOOKUP($AW303,$AD$3:$AJ$33,MATCH(BG$3,$AD$3:$AJ$3,0),FALSE)+$AY303/VLOOKUP(VLOOKUP($AW303,坦克个性化设定!$B$18:$E$48,4,FALSE)&amp;$AX303,坦克属性分配比例,MATCH("升星次数",坦克属性分配比例标头,0),FALSE)*VLOOKUP($AW303,$AM$3:$AS$33,MATCH(BG$3,$AM$3:$AS$3,0),FALSE),1)</f>
        <v>40.1</v>
      </c>
      <c r="BH303" s="654">
        <f>ROUND(VLOOKUP($AW303,$AD$3:$AJ$33,MATCH(BH$3,$AD$3:$AJ$3,0),FALSE)+$AY303/VLOOKUP(VLOOKUP($AW303,坦克个性化设定!$B$18:$E$48,4,FALSE)&amp;$AX303,坦克属性分配比例,MATCH("升星次数",坦克属性分配比例标头,0),FALSE)*VLOOKUP($AW303,$AM$3:$AS$33,MATCH(BH$3,$AM$3:$AS$3,0),FALSE),1)</f>
        <v>12.3</v>
      </c>
      <c r="BI303" s="654">
        <f>IF(VLOOKUP(AW303,坦克个性化设定!$B$18:$BB$48,MATCH("装弹类型",坦克个性化设定!$B$18:$BB$18,0),FALSE)="弹夹换弹",0,ROUND(VLOOKUP($AW303,$AD$3:$AJ$33,MATCH("换弹时间",$AD$3:$AJ$3,0),FALSE)-$AY303/VLOOKUP(VLOOKUP($AW303,坦克个性化设定!$B$18:$E$48,4,FALSE)&amp;$AX303,坦克属性分配比例,MATCH("升星次数",坦克属性分配比例标头,0),FALSE)*VLOOKUP($AW303,$AM$3:$AS$33,MATCH("换弹时间",$AM$3:$AS$3,0),FALSE),2))</f>
        <v>3.68</v>
      </c>
      <c r="BJ303" s="654">
        <f>IF(VLOOKUP(AW303,坦克个性化设定!$B$18:$BB$48,MATCH("装弹类型",坦克个性化设定!$B$18:$BB$18,0),FALSE)="弹夹换弹",ROUND(VLOOKUP($AW303,$AD$3:$AJ$33,MATCH("换弹时间",$AD$3:$AJ$3,0),FALSE)-$AY303/VLOOKUP(VLOOKUP($AW303,坦克个性化设定!$B$18:$E$48,4,FALSE)&amp;$AX303,坦克属性分配比例,MATCH("升星次数",坦克属性分配比例标头,0),FALSE)*VLOOKUP($AW303,$AM$3:$AS$33,MATCH("换弹时间",$AM$3:$AS$3,0),FALSE),1),0)</f>
        <v>0</v>
      </c>
      <c r="BK303" s="654">
        <f>ROUND(VLOOKUP($AW303,$AD$3:$AJ$33,MATCH(BK$3,$AD$3:$AJ$3,0),FALSE)+$AY303/VLOOKUP(VLOOKUP($AW303,坦克个性化设定!$B$18:$E$48,4,FALSE)&amp;$AX303,坦克属性分配比例,MATCH("升星次数",坦克属性分配比例标头,0),FALSE)*VLOOKUP($AW303,$AM$3:$AS$33,MATCH(BK$3,$AM$3:$AS$3,0),FALSE),2)</f>
        <v>2</v>
      </c>
      <c r="BL303" s="654">
        <f>ROUND(VLOOKUP($AW303,$AD$3:$AJ$33,MATCH(BL$3,$AD$3:$AJ$3,0),FALSE)-$AY303/VLOOKUP(VLOOKUP($AW303,坦克个性化设定!$B$18:$E$48,4,FALSE)&amp;$AX303,坦克属性分配比例,MATCH("升星次数",坦克属性分配比例标头,0),FALSE)*VLOOKUP($AW303,$AM$3:$AS$33,MATCH(BL$3,$AM$3:$AS$3,0),FALSE),2)</f>
        <v>2.12</v>
      </c>
    </row>
    <row r="304" spans="47:64" x14ac:dyDescent="0.35">
      <c r="AU304" s="372" t="str">
        <f t="shared" si="30"/>
        <v>KV-26</v>
      </c>
      <c r="AV304" s="654">
        <f>IF(AY303&gt;=VLOOKUP(VLOOKUP(AW303,坦克个性化设定!$B$18:$E$48,4,FALSE)&amp;AX303,坦克属性分配比例,MATCH("升星次数",坦克属性分配比例标头,0),FALSE),AV303+1,AV303)</f>
        <v>26</v>
      </c>
      <c r="AW304" s="649" t="str">
        <f t="shared" si="31"/>
        <v>KV-2</v>
      </c>
      <c r="AX304" s="650" t="str">
        <f>VLOOKUP(AW304,坦克个性化细分!$I$3:$J$33,2,FALSE)</f>
        <v>高</v>
      </c>
      <c r="AY304" s="654">
        <f t="shared" si="32"/>
        <v>6</v>
      </c>
      <c r="AZ304" s="654">
        <f ca="1">ROUND(VLOOKUP($AW304&amp;"初始",$O$3:$AA$63,MATCH(AZ$3,$O$3:$AA$3,0),FALSE)+((VLOOKUP($AW304&amp;"最终",$O$3:$AA$63,MATCH(AZ$3,$O$3:$AA$3,0),FALSE)*坦克个性化细分!$C$9-VLOOKUP($AW304&amp;"初始",$O$3:$AA$63,MATCH(AZ$3,$O$3:$AA$3,0),FALSE))-(VLOOKUP($AW304&amp;"最终",$O$3:$AA$63,MATCH(AZ$3,$O$3:$AA$3,0),FALSE)-VLOOKUP($AW304&amp;"初始",$O$3:$AA$63,MATCH(AZ$3,$O$3:$AA$3,0),FALSE))*VLOOKUP(VLOOKUP($AW304,坦克个性化设定!$B$18:$E$48,4,FALSE)&amp;$AX304,坦克属性分配比例,MATCH("部件比例",坦克属性分配比例标头,0),FALSE))*$AY304/VLOOKUP(VLOOKUP($AW304,坦克个性化设定!$B$18:$E$48,4,FALSE)&amp;$AX304,坦克属性分配比例,MATCH("升星次数",坦克属性分配比例标头,0),FALSE),0)</f>
        <v>2258</v>
      </c>
      <c r="BA304" s="654">
        <f ca="1">ROUND(VLOOKUP($AW304&amp;"初始",$O$3:$AA$63,MATCH(BA$3,$O$3:$AA$3,0),FALSE)+(VLOOKUP($AW304&amp;"最终",$O$3:$AA$63,MATCH(BA$3,$O$3:$AA$3,0),FALSE)-VLOOKUP($AW304&amp;"初始",$O$3:$AA$63,MATCH(BA$3,$O$3:$AA$3,0),FALSE))*$AY304/VLOOKUP(VLOOKUP($AW304,坦克个性化设定!$B$18:$E$48,4,FALSE)&amp;$AX304,坦克属性分配比例,MATCH("升星次数",坦克属性分配比例标头,0),FALSE)*VLOOKUP(VLOOKUP($AW304,坦克个性化设定!$B$18:$E$48,4,FALSE)&amp;$AX304,坦克属性分配比例,MATCH("升星比例",坦克属性分配比例标头,0),FALSE),0)</f>
        <v>283</v>
      </c>
      <c r="BB304" s="654">
        <f ca="1">ROUND(VLOOKUP($AW304&amp;"初始",$O$3:$AA$63,MATCH(BB$3,$O$3:$AA$3,0),FALSE)+(VLOOKUP($AW304&amp;"最终",$O$3:$AA$63,MATCH(BB$3,$O$3:$AA$3,0),FALSE)-VLOOKUP($AW304&amp;"初始",$O$3:$AA$63,MATCH(BB$3,$O$3:$AA$3,0),FALSE))*$AY304/VLOOKUP(VLOOKUP($AW304,坦克个性化设定!$B$18:$E$48,4,FALSE)&amp;$AX304,坦克属性分配比例,MATCH("升星次数",坦克属性分配比例标头,0),FALSE)*(VLOOKUP(VLOOKUP($AW304,坦克个性化设定!$B$18:$E$48,4,FALSE)&amp;$AX304,坦克属性分配比例,MATCH("升星比例",坦克属性分配比例标头,0),FALSE)+VLOOKUP(VLOOKUP($AW304,坦克个性化设定!$B$18:$E$48,4,FALSE)&amp;$AX304,坦克属性分配比例,MATCH("部件比例",坦克属性分配比例标头,0),FALSE)*$C$3),0)</f>
        <v>627</v>
      </c>
      <c r="BC304" s="654">
        <f ca="1">ROUND(VLOOKUP($AW304&amp;"初始",$O$3:$AA$63,MATCH(BC$3,$O$3:$AA$3,0),FALSE)+(VLOOKUP($AW304&amp;"最终",$O$3:$AA$63,MATCH(BC$3,$O$3:$AA$3,0),FALSE)-VLOOKUP($AW304&amp;"初始",$O$3:$AA$63,MATCH(BC$3,$O$3:$AA$3,0),FALSE))*$AY304/VLOOKUP(VLOOKUP($AW304,坦克个性化设定!$B$18:$E$48,4,FALSE)&amp;$AX304,坦克属性分配比例,MATCH("升星次数",坦克属性分配比例标头,0),FALSE)*(VLOOKUP(VLOOKUP($AW304,坦克个性化设定!$B$18:$E$48,4,FALSE)&amp;$AX304,坦克属性分配比例,MATCH("升星比例",坦克属性分配比例标头,0),FALSE)+VLOOKUP(VLOOKUP($AW304,坦克个性化设定!$B$18:$E$48,4,FALSE)&amp;$AX304,坦克属性分配比例,MATCH("部件比例",坦克属性分配比例标头,0),FALSE)*$C$3),0)</f>
        <v>501</v>
      </c>
      <c r="BD304" s="654">
        <f ca="1">ROUND(VLOOKUP($AW304&amp;"初始",$O$3:$AA$63,MATCH(BD$3,$O$3:$AA$3,0),FALSE)+(VLOOKUP($AW304&amp;"最终",$O$3:$AA$63,MATCH(BD$3,$O$3:$AA$3,0),FALSE)-VLOOKUP($AW304&amp;"初始",$O$3:$AA$63,MATCH(BD$3,$O$3:$AA$3,0),FALSE))*$AY304/VLOOKUP(VLOOKUP($AW304,坦克个性化设定!$B$18:$E$48,4,FALSE)&amp;$AX304,坦克属性分配比例,MATCH("升星次数",坦克属性分配比例标头,0),FALSE)*VLOOKUP(VLOOKUP($AW304,坦克个性化设定!$B$18:$E$48,4,FALSE)&amp;$AX304,坦克属性分配比例,MATCH("升星比例",坦克属性分配比例标头,0),FALSE),0)</f>
        <v>850</v>
      </c>
      <c r="BE304" s="654">
        <f ca="1">ROUND(VLOOKUP($AW304&amp;"初始",$O$3:$AA$63,MATCH(BE$3,$O$3:$AA$3,0),FALSE)+(VLOOKUP($AW304&amp;"最终",$O$3:$AA$63,MATCH(BE$3,$O$3:$AA$3,0),FALSE)-VLOOKUP($AW304&amp;"初始",$O$3:$AA$63,MATCH(BE$3,$O$3:$AA$3,0),FALSE))*$AY304/VLOOKUP(VLOOKUP($AW304,坦克个性化设定!$B$18:$E$48,4,FALSE)&amp;$AX304,坦克属性分配比例,MATCH("升星次数",坦克属性分配比例标头,0),FALSE),0)</f>
        <v>219</v>
      </c>
      <c r="BF304" s="654">
        <f>ROUND(VLOOKUP($AW304,$AD$3:$AJ$33,MATCH(BF$3,$AD$3:$AJ$3,0),FALSE)+$AY304/VLOOKUP(VLOOKUP($AW304,坦克个性化设定!$B$18:$E$48,4,FALSE)&amp;$AX304,坦克属性分配比例,MATCH("升星次数",坦克属性分配比例标头,0),FALSE)*VLOOKUP($AW304,$AM$3:$AS$33,MATCH(BF$3,$AM$3:$AS$3,0),FALSE),1)</f>
        <v>45.5</v>
      </c>
      <c r="BG304" s="654">
        <f>ROUND(VLOOKUP($AW304,$AD$3:$AJ$33,MATCH(BG$3,$AD$3:$AJ$3,0),FALSE)+$AY304/VLOOKUP(VLOOKUP($AW304,坦克个性化设定!$B$18:$E$48,4,FALSE)&amp;$AX304,坦克属性分配比例,MATCH("升星次数",坦克属性分配比例标头,0),FALSE)*VLOOKUP($AW304,$AM$3:$AS$33,MATCH(BG$3,$AM$3:$AS$3,0),FALSE),1)</f>
        <v>40.700000000000003</v>
      </c>
      <c r="BH304" s="654">
        <f>ROUND(VLOOKUP($AW304,$AD$3:$AJ$33,MATCH(BH$3,$AD$3:$AJ$3,0),FALSE)+$AY304/VLOOKUP(VLOOKUP($AW304,坦克个性化设定!$B$18:$E$48,4,FALSE)&amp;$AX304,坦克属性分配比例,MATCH("升星次数",坦克属性分配比例标头,0),FALSE)*VLOOKUP($AW304,$AM$3:$AS$33,MATCH(BH$3,$AM$3:$AS$3,0),FALSE),1)</f>
        <v>12.5</v>
      </c>
      <c r="BI304" s="654">
        <f>IF(VLOOKUP(AW304,坦克个性化设定!$B$18:$BB$48,MATCH("装弹类型",坦克个性化设定!$B$18:$BB$18,0),FALSE)="弹夹换弹",0,ROUND(VLOOKUP($AW304,$AD$3:$AJ$33,MATCH("换弹时间",$AD$3:$AJ$3,0),FALSE)-$AY304/VLOOKUP(VLOOKUP($AW304,坦克个性化设定!$B$18:$E$48,4,FALSE)&amp;$AX304,坦克属性分配比例,MATCH("升星次数",坦克属性分配比例标头,0),FALSE)*VLOOKUP($AW304,$AM$3:$AS$33,MATCH("换弹时间",$AM$3:$AS$3,0),FALSE),2))</f>
        <v>3.61</v>
      </c>
      <c r="BJ304" s="654">
        <f>IF(VLOOKUP(AW304,坦克个性化设定!$B$18:$BB$48,MATCH("装弹类型",坦克个性化设定!$B$18:$BB$18,0),FALSE)="弹夹换弹",ROUND(VLOOKUP($AW304,$AD$3:$AJ$33,MATCH("换弹时间",$AD$3:$AJ$3,0),FALSE)-$AY304/VLOOKUP(VLOOKUP($AW304,坦克个性化设定!$B$18:$E$48,4,FALSE)&amp;$AX304,坦克属性分配比例,MATCH("升星次数",坦克属性分配比例标头,0),FALSE)*VLOOKUP($AW304,$AM$3:$AS$33,MATCH("换弹时间",$AM$3:$AS$3,0),FALSE),1),0)</f>
        <v>0</v>
      </c>
      <c r="BK304" s="654">
        <f>ROUND(VLOOKUP($AW304,$AD$3:$AJ$33,MATCH(BK$3,$AD$3:$AJ$3,0),FALSE)+$AY304/VLOOKUP(VLOOKUP($AW304,坦克个性化设定!$B$18:$E$48,4,FALSE)&amp;$AX304,坦克属性分配比例,MATCH("升星次数",坦克属性分配比例标头,0),FALSE)*VLOOKUP($AW304,$AM$3:$AS$33,MATCH(BK$3,$AM$3:$AS$3,0),FALSE),2)</f>
        <v>2</v>
      </c>
      <c r="BL304" s="654">
        <f>ROUND(VLOOKUP($AW304,$AD$3:$AJ$33,MATCH(BL$3,$AD$3:$AJ$3,0),FALSE)-$AY304/VLOOKUP(VLOOKUP($AW304,坦克个性化设定!$B$18:$E$48,4,FALSE)&amp;$AX304,坦克属性分配比例,MATCH("升星次数",坦克属性分配比例标头,0),FALSE)*VLOOKUP($AW304,$AM$3:$AS$33,MATCH(BL$3,$AM$3:$AS$3,0),FALSE),2)</f>
        <v>2.09</v>
      </c>
    </row>
    <row r="305" spans="47:64" x14ac:dyDescent="0.35">
      <c r="AU305" s="372" t="str">
        <f t="shared" si="30"/>
        <v>KV-27</v>
      </c>
      <c r="AV305" s="654">
        <f>IF(AY304&gt;=VLOOKUP(VLOOKUP(AW304,坦克个性化设定!$B$18:$E$48,4,FALSE)&amp;AX304,坦克属性分配比例,MATCH("升星次数",坦克属性分配比例标头,0),FALSE),AV304+1,AV304)</f>
        <v>26</v>
      </c>
      <c r="AW305" s="649" t="str">
        <f t="shared" si="31"/>
        <v>KV-2</v>
      </c>
      <c r="AX305" s="650" t="str">
        <f>VLOOKUP(AW305,坦克个性化细分!$I$3:$J$33,2,FALSE)</f>
        <v>高</v>
      </c>
      <c r="AY305" s="654">
        <f t="shared" si="32"/>
        <v>7</v>
      </c>
      <c r="AZ305" s="654">
        <f ca="1">ROUND(VLOOKUP($AW305&amp;"初始",$O$3:$AA$63,MATCH(AZ$3,$O$3:$AA$3,0),FALSE)+((VLOOKUP($AW305&amp;"最终",$O$3:$AA$63,MATCH(AZ$3,$O$3:$AA$3,0),FALSE)*坦克个性化细分!$C$9-VLOOKUP($AW305&amp;"初始",$O$3:$AA$63,MATCH(AZ$3,$O$3:$AA$3,0),FALSE))-(VLOOKUP($AW305&amp;"最终",$O$3:$AA$63,MATCH(AZ$3,$O$3:$AA$3,0),FALSE)-VLOOKUP($AW305&amp;"初始",$O$3:$AA$63,MATCH(AZ$3,$O$3:$AA$3,0),FALSE))*VLOOKUP(VLOOKUP($AW305,坦克个性化设定!$B$18:$E$48,4,FALSE)&amp;$AX305,坦克属性分配比例,MATCH("部件比例",坦克属性分配比例标头,0),FALSE))*$AY305/VLOOKUP(VLOOKUP($AW305,坦克个性化设定!$B$18:$E$48,4,FALSE)&amp;$AX305,坦克属性分配比例,MATCH("升星次数",坦克属性分配比例标头,0),FALSE),0)</f>
        <v>2384</v>
      </c>
      <c r="BA305" s="654">
        <f ca="1">ROUND(VLOOKUP($AW305&amp;"初始",$O$3:$AA$63,MATCH(BA$3,$O$3:$AA$3,0),FALSE)+(VLOOKUP($AW305&amp;"最终",$O$3:$AA$63,MATCH(BA$3,$O$3:$AA$3,0),FALSE)-VLOOKUP($AW305&amp;"初始",$O$3:$AA$63,MATCH(BA$3,$O$3:$AA$3,0),FALSE))*$AY305/VLOOKUP(VLOOKUP($AW305,坦克个性化设定!$B$18:$E$48,4,FALSE)&amp;$AX305,坦克属性分配比例,MATCH("升星次数",坦克属性分配比例标头,0),FALSE)*VLOOKUP(VLOOKUP($AW305,坦克个性化设定!$B$18:$E$48,4,FALSE)&amp;$AX305,坦克属性分配比例,MATCH("升星比例",坦克属性分配比例标头,0),FALSE),0)</f>
        <v>292</v>
      </c>
      <c r="BB305" s="654">
        <f ca="1">ROUND(VLOOKUP($AW305&amp;"初始",$O$3:$AA$63,MATCH(BB$3,$O$3:$AA$3,0),FALSE)+(VLOOKUP($AW305&amp;"最终",$O$3:$AA$63,MATCH(BB$3,$O$3:$AA$3,0),FALSE)-VLOOKUP($AW305&amp;"初始",$O$3:$AA$63,MATCH(BB$3,$O$3:$AA$3,0),FALSE))*$AY305/VLOOKUP(VLOOKUP($AW305,坦克个性化设定!$B$18:$E$48,4,FALSE)&amp;$AX305,坦克属性分配比例,MATCH("升星次数",坦克属性分配比例标头,0),FALSE)*(VLOOKUP(VLOOKUP($AW305,坦克个性化设定!$B$18:$E$48,4,FALSE)&amp;$AX305,坦克属性分配比例,MATCH("升星比例",坦克属性分配比例标头,0),FALSE)+VLOOKUP(VLOOKUP($AW305,坦克个性化设定!$B$18:$E$48,4,FALSE)&amp;$AX305,坦克属性分配比例,MATCH("部件比例",坦克属性分配比例标头,0),FALSE)*$C$3),0)</f>
        <v>654</v>
      </c>
      <c r="BC305" s="654">
        <f ca="1">ROUND(VLOOKUP($AW305&amp;"初始",$O$3:$AA$63,MATCH(BC$3,$O$3:$AA$3,0),FALSE)+(VLOOKUP($AW305&amp;"最终",$O$3:$AA$63,MATCH(BC$3,$O$3:$AA$3,0),FALSE)-VLOOKUP($AW305&amp;"初始",$O$3:$AA$63,MATCH(BC$3,$O$3:$AA$3,0),FALSE))*$AY305/VLOOKUP(VLOOKUP($AW305,坦克个性化设定!$B$18:$E$48,4,FALSE)&amp;$AX305,坦克属性分配比例,MATCH("升星次数",坦克属性分配比例标头,0),FALSE)*(VLOOKUP(VLOOKUP($AW305,坦克个性化设定!$B$18:$E$48,4,FALSE)&amp;$AX305,坦克属性分配比例,MATCH("升星比例",坦克属性分配比例标头,0),FALSE)+VLOOKUP(VLOOKUP($AW305,坦克个性化设定!$B$18:$E$48,4,FALSE)&amp;$AX305,坦克属性分配比例,MATCH("部件比例",坦克属性分配比例标头,0),FALSE)*$C$3),0)</f>
        <v>523</v>
      </c>
      <c r="BD305" s="654">
        <f ca="1">ROUND(VLOOKUP($AW305&amp;"初始",$O$3:$AA$63,MATCH(BD$3,$O$3:$AA$3,0),FALSE)+(VLOOKUP($AW305&amp;"最终",$O$3:$AA$63,MATCH(BD$3,$O$3:$AA$3,0),FALSE)-VLOOKUP($AW305&amp;"初始",$O$3:$AA$63,MATCH(BD$3,$O$3:$AA$3,0),FALSE))*$AY305/VLOOKUP(VLOOKUP($AW305,坦克个性化设定!$B$18:$E$48,4,FALSE)&amp;$AX305,坦克属性分配比例,MATCH("升星次数",坦克属性分配比例标头,0),FALSE)*VLOOKUP(VLOOKUP($AW305,坦克个性化设定!$B$18:$E$48,4,FALSE)&amp;$AX305,坦克属性分配比例,MATCH("升星比例",坦克属性分配比例标头,0),FALSE),0)</f>
        <v>879</v>
      </c>
      <c r="BE305" s="654">
        <f ca="1">ROUND(VLOOKUP($AW305&amp;"初始",$O$3:$AA$63,MATCH(BE$3,$O$3:$AA$3,0),FALSE)+(VLOOKUP($AW305&amp;"最终",$O$3:$AA$63,MATCH(BE$3,$O$3:$AA$3,0),FALSE)-VLOOKUP($AW305&amp;"初始",$O$3:$AA$63,MATCH(BE$3,$O$3:$AA$3,0),FALSE))*$AY305/VLOOKUP(VLOOKUP($AW305,坦克个性化设定!$B$18:$E$48,4,FALSE)&amp;$AX305,坦克属性分配比例,MATCH("升星次数",坦克属性分配比例标头,0),FALSE),0)</f>
        <v>230</v>
      </c>
      <c r="BF305" s="654">
        <f>ROUND(VLOOKUP($AW305,$AD$3:$AJ$33,MATCH(BF$3,$AD$3:$AJ$3,0),FALSE)+$AY305/VLOOKUP(VLOOKUP($AW305,坦克个性化设定!$B$18:$E$48,4,FALSE)&amp;$AX305,坦克属性分配比例,MATCH("升星次数",坦克属性分配比例标头,0),FALSE)*VLOOKUP($AW305,$AM$3:$AS$33,MATCH(BF$3,$AM$3:$AS$3,0),FALSE),1)</f>
        <v>46.2</v>
      </c>
      <c r="BG305" s="654">
        <f>ROUND(VLOOKUP($AW305,$AD$3:$AJ$33,MATCH(BG$3,$AD$3:$AJ$3,0),FALSE)+$AY305/VLOOKUP(VLOOKUP($AW305,坦克个性化设定!$B$18:$E$48,4,FALSE)&amp;$AX305,坦克属性分配比例,MATCH("升星次数",坦克属性分配比例标头,0),FALSE)*VLOOKUP($AW305,$AM$3:$AS$33,MATCH(BG$3,$AM$3:$AS$3,0),FALSE),1)</f>
        <v>41.4</v>
      </c>
      <c r="BH305" s="654">
        <f>ROUND(VLOOKUP($AW305,$AD$3:$AJ$33,MATCH(BH$3,$AD$3:$AJ$3,0),FALSE)+$AY305/VLOOKUP(VLOOKUP($AW305,坦克个性化设定!$B$18:$E$48,4,FALSE)&amp;$AX305,坦克属性分配比例,MATCH("升星次数",坦克属性分配比例标头,0),FALSE)*VLOOKUP($AW305,$AM$3:$AS$33,MATCH(BH$3,$AM$3:$AS$3,0),FALSE),1)</f>
        <v>12.8</v>
      </c>
      <c r="BI305" s="654">
        <f>IF(VLOOKUP(AW305,坦克个性化设定!$B$18:$BB$48,MATCH("装弹类型",坦克个性化设定!$B$18:$BB$18,0),FALSE)="弹夹换弹",0,ROUND(VLOOKUP($AW305,$AD$3:$AJ$33,MATCH("换弹时间",$AD$3:$AJ$3,0),FALSE)-$AY305/VLOOKUP(VLOOKUP($AW305,坦克个性化设定!$B$18:$E$48,4,FALSE)&amp;$AX305,坦克属性分配比例,MATCH("升星次数",坦克属性分配比例标头,0),FALSE)*VLOOKUP($AW305,$AM$3:$AS$33,MATCH("换弹时间",$AM$3:$AS$3,0),FALSE),2))</f>
        <v>3.54</v>
      </c>
      <c r="BJ305" s="654">
        <f>IF(VLOOKUP(AW305,坦克个性化设定!$B$18:$BB$48,MATCH("装弹类型",坦克个性化设定!$B$18:$BB$18,0),FALSE)="弹夹换弹",ROUND(VLOOKUP($AW305,$AD$3:$AJ$33,MATCH("换弹时间",$AD$3:$AJ$3,0),FALSE)-$AY305/VLOOKUP(VLOOKUP($AW305,坦克个性化设定!$B$18:$E$48,4,FALSE)&amp;$AX305,坦克属性分配比例,MATCH("升星次数",坦克属性分配比例标头,0),FALSE)*VLOOKUP($AW305,$AM$3:$AS$33,MATCH("换弹时间",$AM$3:$AS$3,0),FALSE),1),0)</f>
        <v>0</v>
      </c>
      <c r="BK305" s="654">
        <f>ROUND(VLOOKUP($AW305,$AD$3:$AJ$33,MATCH(BK$3,$AD$3:$AJ$3,0),FALSE)+$AY305/VLOOKUP(VLOOKUP($AW305,坦克个性化设定!$B$18:$E$48,4,FALSE)&amp;$AX305,坦克属性分配比例,MATCH("升星次数",坦克属性分配比例标头,0),FALSE)*VLOOKUP($AW305,$AM$3:$AS$33,MATCH(BK$3,$AM$3:$AS$3,0),FALSE),2)</f>
        <v>2</v>
      </c>
      <c r="BL305" s="654">
        <f>ROUND(VLOOKUP($AW305,$AD$3:$AJ$33,MATCH(BL$3,$AD$3:$AJ$3,0),FALSE)-$AY305/VLOOKUP(VLOOKUP($AW305,坦克个性化设定!$B$18:$E$48,4,FALSE)&amp;$AX305,坦克属性分配比例,MATCH("升星次数",坦克属性分配比例标头,0),FALSE)*VLOOKUP($AW305,$AM$3:$AS$33,MATCH(BL$3,$AM$3:$AS$3,0),FALSE),2)</f>
        <v>2.06</v>
      </c>
    </row>
    <row r="306" spans="47:64" x14ac:dyDescent="0.35">
      <c r="AU306" s="372" t="str">
        <f t="shared" si="30"/>
        <v>KV-28</v>
      </c>
      <c r="AV306" s="654">
        <f>IF(AY305&gt;=VLOOKUP(VLOOKUP(AW305,坦克个性化设定!$B$18:$E$48,4,FALSE)&amp;AX305,坦克属性分配比例,MATCH("升星次数",坦克属性分配比例标头,0),FALSE),AV305+1,AV305)</f>
        <v>26</v>
      </c>
      <c r="AW306" s="649" t="str">
        <f t="shared" si="31"/>
        <v>KV-2</v>
      </c>
      <c r="AX306" s="650" t="str">
        <f>VLOOKUP(AW306,坦克个性化细分!$I$3:$J$33,2,FALSE)</f>
        <v>高</v>
      </c>
      <c r="AY306" s="654">
        <f t="shared" si="32"/>
        <v>8</v>
      </c>
      <c r="AZ306" s="654">
        <f ca="1">ROUND(VLOOKUP($AW306&amp;"初始",$O$3:$AA$63,MATCH(AZ$3,$O$3:$AA$3,0),FALSE)+((VLOOKUP($AW306&amp;"最终",$O$3:$AA$63,MATCH(AZ$3,$O$3:$AA$3,0),FALSE)*坦克个性化细分!$C$9-VLOOKUP($AW306&amp;"初始",$O$3:$AA$63,MATCH(AZ$3,$O$3:$AA$3,0),FALSE))-(VLOOKUP($AW306&amp;"最终",$O$3:$AA$63,MATCH(AZ$3,$O$3:$AA$3,0),FALSE)-VLOOKUP($AW306&amp;"初始",$O$3:$AA$63,MATCH(AZ$3,$O$3:$AA$3,0),FALSE))*VLOOKUP(VLOOKUP($AW306,坦克个性化设定!$B$18:$E$48,4,FALSE)&amp;$AX306,坦克属性分配比例,MATCH("部件比例",坦克属性分配比例标头,0),FALSE))*$AY306/VLOOKUP(VLOOKUP($AW306,坦克个性化设定!$B$18:$E$48,4,FALSE)&amp;$AX306,坦克属性分配比例,MATCH("升星次数",坦克属性分配比例标头,0),FALSE),0)</f>
        <v>2510</v>
      </c>
      <c r="BA306" s="654">
        <f ca="1">ROUND(VLOOKUP($AW306&amp;"初始",$O$3:$AA$63,MATCH(BA$3,$O$3:$AA$3,0),FALSE)+(VLOOKUP($AW306&amp;"最终",$O$3:$AA$63,MATCH(BA$3,$O$3:$AA$3,0),FALSE)-VLOOKUP($AW306&amp;"初始",$O$3:$AA$63,MATCH(BA$3,$O$3:$AA$3,0),FALSE))*$AY306/VLOOKUP(VLOOKUP($AW306,坦克个性化设定!$B$18:$E$48,4,FALSE)&amp;$AX306,坦克属性分配比例,MATCH("升星次数",坦克属性分配比例标头,0),FALSE)*VLOOKUP(VLOOKUP($AW306,坦克个性化设定!$B$18:$E$48,4,FALSE)&amp;$AX306,坦克属性分配比例,MATCH("升星比例",坦克属性分配比例标头,0),FALSE),0)</f>
        <v>302</v>
      </c>
      <c r="BB306" s="654">
        <f ca="1">ROUND(VLOOKUP($AW306&amp;"初始",$O$3:$AA$63,MATCH(BB$3,$O$3:$AA$3,0),FALSE)+(VLOOKUP($AW306&amp;"最终",$O$3:$AA$63,MATCH(BB$3,$O$3:$AA$3,0),FALSE)-VLOOKUP($AW306&amp;"初始",$O$3:$AA$63,MATCH(BB$3,$O$3:$AA$3,0),FALSE))*$AY306/VLOOKUP(VLOOKUP($AW306,坦克个性化设定!$B$18:$E$48,4,FALSE)&amp;$AX306,坦克属性分配比例,MATCH("升星次数",坦克属性分配比例标头,0),FALSE)*(VLOOKUP(VLOOKUP($AW306,坦克个性化设定!$B$18:$E$48,4,FALSE)&amp;$AX306,坦克属性分配比例,MATCH("升星比例",坦克属性分配比例标头,0),FALSE)+VLOOKUP(VLOOKUP($AW306,坦克个性化设定!$B$18:$E$48,4,FALSE)&amp;$AX306,坦克属性分配比例,MATCH("部件比例",坦克属性分配比例标头,0),FALSE)*$C$3),0)</f>
        <v>681</v>
      </c>
      <c r="BC306" s="654">
        <f ca="1">ROUND(VLOOKUP($AW306&amp;"初始",$O$3:$AA$63,MATCH(BC$3,$O$3:$AA$3,0),FALSE)+(VLOOKUP($AW306&amp;"最终",$O$3:$AA$63,MATCH(BC$3,$O$3:$AA$3,0),FALSE)-VLOOKUP($AW306&amp;"初始",$O$3:$AA$63,MATCH(BC$3,$O$3:$AA$3,0),FALSE))*$AY306/VLOOKUP(VLOOKUP($AW306,坦克个性化设定!$B$18:$E$48,4,FALSE)&amp;$AX306,坦克属性分配比例,MATCH("升星次数",坦克属性分配比例标头,0),FALSE)*(VLOOKUP(VLOOKUP($AW306,坦克个性化设定!$B$18:$E$48,4,FALSE)&amp;$AX306,坦克属性分配比例,MATCH("升星比例",坦克属性分配比例标头,0),FALSE)+VLOOKUP(VLOOKUP($AW306,坦克个性化设定!$B$18:$E$48,4,FALSE)&amp;$AX306,坦克属性分配比例,MATCH("部件比例",坦克属性分配比例标头,0),FALSE)*$C$3),0)</f>
        <v>545</v>
      </c>
      <c r="BD306" s="654">
        <f ca="1">ROUND(VLOOKUP($AW306&amp;"初始",$O$3:$AA$63,MATCH(BD$3,$O$3:$AA$3,0),FALSE)+(VLOOKUP($AW306&amp;"最终",$O$3:$AA$63,MATCH(BD$3,$O$3:$AA$3,0),FALSE)-VLOOKUP($AW306&amp;"初始",$O$3:$AA$63,MATCH(BD$3,$O$3:$AA$3,0),FALSE))*$AY306/VLOOKUP(VLOOKUP($AW306,坦克个性化设定!$B$18:$E$48,4,FALSE)&amp;$AX306,坦克属性分配比例,MATCH("升星次数",坦克属性分配比例标头,0),FALSE)*VLOOKUP(VLOOKUP($AW306,坦克个性化设定!$B$18:$E$48,4,FALSE)&amp;$AX306,坦克属性分配比例,MATCH("升星比例",坦克属性分配比例标头,0),FALSE),0)</f>
        <v>907</v>
      </c>
      <c r="BE306" s="654">
        <f ca="1">ROUND(VLOOKUP($AW306&amp;"初始",$O$3:$AA$63,MATCH(BE$3,$O$3:$AA$3,0),FALSE)+(VLOOKUP($AW306&amp;"最终",$O$3:$AA$63,MATCH(BE$3,$O$3:$AA$3,0),FALSE)-VLOOKUP($AW306&amp;"初始",$O$3:$AA$63,MATCH(BE$3,$O$3:$AA$3,0),FALSE))*$AY306/VLOOKUP(VLOOKUP($AW306,坦克个性化设定!$B$18:$E$48,4,FALSE)&amp;$AX306,坦克属性分配比例,MATCH("升星次数",坦克属性分配比例标头,0),FALSE),0)</f>
        <v>241</v>
      </c>
      <c r="BF306" s="654">
        <f>ROUND(VLOOKUP($AW306,$AD$3:$AJ$33,MATCH(BF$3,$AD$3:$AJ$3,0),FALSE)+$AY306/VLOOKUP(VLOOKUP($AW306,坦克个性化设定!$B$18:$E$48,4,FALSE)&amp;$AX306,坦克属性分配比例,MATCH("升星次数",坦克属性分配比例标头,0),FALSE)*VLOOKUP($AW306,$AM$3:$AS$33,MATCH(BF$3,$AM$3:$AS$3,0),FALSE),1)</f>
        <v>47</v>
      </c>
      <c r="BG306" s="654">
        <f>ROUND(VLOOKUP($AW306,$AD$3:$AJ$33,MATCH(BG$3,$AD$3:$AJ$3,0),FALSE)+$AY306/VLOOKUP(VLOOKUP($AW306,坦克个性化设定!$B$18:$E$48,4,FALSE)&amp;$AX306,坦克属性分配比例,MATCH("升星次数",坦克属性分配比例标头,0),FALSE)*VLOOKUP($AW306,$AM$3:$AS$33,MATCH(BG$3,$AM$3:$AS$3,0),FALSE),1)</f>
        <v>42.1</v>
      </c>
      <c r="BH306" s="654">
        <f>ROUND(VLOOKUP($AW306,$AD$3:$AJ$33,MATCH(BH$3,$AD$3:$AJ$3,0),FALSE)+$AY306/VLOOKUP(VLOOKUP($AW306,坦克个性化设定!$B$18:$E$48,4,FALSE)&amp;$AX306,坦克属性分配比例,MATCH("升星次数",坦克属性分配比例标头,0),FALSE)*VLOOKUP($AW306,$AM$3:$AS$33,MATCH(BH$3,$AM$3:$AS$3,0),FALSE),1)</f>
        <v>13.1</v>
      </c>
      <c r="BI306" s="654">
        <f>IF(VLOOKUP(AW306,坦克个性化设定!$B$18:$BB$48,MATCH("装弹类型",坦克个性化设定!$B$18:$BB$18,0),FALSE)="弹夹换弹",0,ROUND(VLOOKUP($AW306,$AD$3:$AJ$33,MATCH("换弹时间",$AD$3:$AJ$3,0),FALSE)-$AY306/VLOOKUP(VLOOKUP($AW306,坦克个性化设定!$B$18:$E$48,4,FALSE)&amp;$AX306,坦克属性分配比例,MATCH("升星次数",坦克属性分配比例标头,0),FALSE)*VLOOKUP($AW306,$AM$3:$AS$33,MATCH("换弹时间",$AM$3:$AS$3,0),FALSE),2))</f>
        <v>3.46</v>
      </c>
      <c r="BJ306" s="654">
        <f>IF(VLOOKUP(AW306,坦克个性化设定!$B$18:$BB$48,MATCH("装弹类型",坦克个性化设定!$B$18:$BB$18,0),FALSE)="弹夹换弹",ROUND(VLOOKUP($AW306,$AD$3:$AJ$33,MATCH("换弹时间",$AD$3:$AJ$3,0),FALSE)-$AY306/VLOOKUP(VLOOKUP($AW306,坦克个性化设定!$B$18:$E$48,4,FALSE)&amp;$AX306,坦克属性分配比例,MATCH("升星次数",坦克属性分配比例标头,0),FALSE)*VLOOKUP($AW306,$AM$3:$AS$33,MATCH("换弹时间",$AM$3:$AS$3,0),FALSE),1),0)</f>
        <v>0</v>
      </c>
      <c r="BK306" s="654">
        <f>ROUND(VLOOKUP($AW306,$AD$3:$AJ$33,MATCH(BK$3,$AD$3:$AJ$3,0),FALSE)+$AY306/VLOOKUP(VLOOKUP($AW306,坦克个性化设定!$B$18:$E$48,4,FALSE)&amp;$AX306,坦克属性分配比例,MATCH("升星次数",坦克属性分配比例标头,0),FALSE)*VLOOKUP($AW306,$AM$3:$AS$33,MATCH(BK$3,$AM$3:$AS$3,0),FALSE),2)</f>
        <v>2</v>
      </c>
      <c r="BL306" s="654">
        <f>ROUND(VLOOKUP($AW306,$AD$3:$AJ$33,MATCH(BL$3,$AD$3:$AJ$3,0),FALSE)-$AY306/VLOOKUP(VLOOKUP($AW306,坦克个性化设定!$B$18:$E$48,4,FALSE)&amp;$AX306,坦克属性分配比例,MATCH("升星次数",坦克属性分配比例标头,0),FALSE)*VLOOKUP($AW306,$AM$3:$AS$33,MATCH(BL$3,$AM$3:$AS$3,0),FALSE),2)</f>
        <v>2.04</v>
      </c>
    </row>
    <row r="307" spans="47:64" x14ac:dyDescent="0.35">
      <c r="AU307" s="372" t="str">
        <f t="shared" si="30"/>
        <v>KV-29</v>
      </c>
      <c r="AV307" s="654">
        <f>IF(AY306&gt;=VLOOKUP(VLOOKUP(AW306,坦克个性化设定!$B$18:$E$48,4,FALSE)&amp;AX306,坦克属性分配比例,MATCH("升星次数",坦克属性分配比例标头,0),FALSE),AV306+1,AV306)</f>
        <v>26</v>
      </c>
      <c r="AW307" s="649" t="str">
        <f t="shared" si="31"/>
        <v>KV-2</v>
      </c>
      <c r="AX307" s="650" t="str">
        <f>VLOOKUP(AW307,坦克个性化细分!$I$3:$J$33,2,FALSE)</f>
        <v>高</v>
      </c>
      <c r="AY307" s="654">
        <f t="shared" si="32"/>
        <v>9</v>
      </c>
      <c r="AZ307" s="654">
        <f ca="1">ROUND(VLOOKUP($AW307&amp;"初始",$O$3:$AA$63,MATCH(AZ$3,$O$3:$AA$3,0),FALSE)+((VLOOKUP($AW307&amp;"最终",$O$3:$AA$63,MATCH(AZ$3,$O$3:$AA$3,0),FALSE)*坦克个性化细分!$C$9-VLOOKUP($AW307&amp;"初始",$O$3:$AA$63,MATCH(AZ$3,$O$3:$AA$3,0),FALSE))-(VLOOKUP($AW307&amp;"最终",$O$3:$AA$63,MATCH(AZ$3,$O$3:$AA$3,0),FALSE)-VLOOKUP($AW307&amp;"初始",$O$3:$AA$63,MATCH(AZ$3,$O$3:$AA$3,0),FALSE))*VLOOKUP(VLOOKUP($AW307,坦克个性化设定!$B$18:$E$48,4,FALSE)&amp;$AX307,坦克属性分配比例,MATCH("部件比例",坦克属性分配比例标头,0),FALSE))*$AY307/VLOOKUP(VLOOKUP($AW307,坦克个性化设定!$B$18:$E$48,4,FALSE)&amp;$AX307,坦克属性分配比例,MATCH("升星次数",坦克属性分配比例标头,0),FALSE),0)</f>
        <v>2637</v>
      </c>
      <c r="BA307" s="654">
        <f ca="1">ROUND(VLOOKUP($AW307&amp;"初始",$O$3:$AA$63,MATCH(BA$3,$O$3:$AA$3,0),FALSE)+(VLOOKUP($AW307&amp;"最终",$O$3:$AA$63,MATCH(BA$3,$O$3:$AA$3,0),FALSE)-VLOOKUP($AW307&amp;"初始",$O$3:$AA$63,MATCH(BA$3,$O$3:$AA$3,0),FALSE))*$AY307/VLOOKUP(VLOOKUP($AW307,坦克个性化设定!$B$18:$E$48,4,FALSE)&amp;$AX307,坦克属性分配比例,MATCH("升星次数",坦克属性分配比例标头,0),FALSE)*VLOOKUP(VLOOKUP($AW307,坦克个性化设定!$B$18:$E$48,4,FALSE)&amp;$AX307,坦克属性分配比例,MATCH("升星比例",坦克属性分配比例标头,0),FALSE),0)</f>
        <v>311</v>
      </c>
      <c r="BB307" s="654">
        <f ca="1">ROUND(VLOOKUP($AW307&amp;"初始",$O$3:$AA$63,MATCH(BB$3,$O$3:$AA$3,0),FALSE)+(VLOOKUP($AW307&amp;"最终",$O$3:$AA$63,MATCH(BB$3,$O$3:$AA$3,0),FALSE)-VLOOKUP($AW307&amp;"初始",$O$3:$AA$63,MATCH(BB$3,$O$3:$AA$3,0),FALSE))*$AY307/VLOOKUP(VLOOKUP($AW307,坦克个性化设定!$B$18:$E$48,4,FALSE)&amp;$AX307,坦克属性分配比例,MATCH("升星次数",坦克属性分配比例标头,0),FALSE)*(VLOOKUP(VLOOKUP($AW307,坦克个性化设定!$B$18:$E$48,4,FALSE)&amp;$AX307,坦克属性分配比例,MATCH("升星比例",坦克属性分配比例标头,0),FALSE)+VLOOKUP(VLOOKUP($AW307,坦克个性化设定!$B$18:$E$48,4,FALSE)&amp;$AX307,坦克属性分配比例,MATCH("部件比例",坦克属性分配比例标头,0),FALSE)*$C$3),0)</f>
        <v>709</v>
      </c>
      <c r="BC307" s="654">
        <f ca="1">ROUND(VLOOKUP($AW307&amp;"初始",$O$3:$AA$63,MATCH(BC$3,$O$3:$AA$3,0),FALSE)+(VLOOKUP($AW307&amp;"最终",$O$3:$AA$63,MATCH(BC$3,$O$3:$AA$3,0),FALSE)-VLOOKUP($AW307&amp;"初始",$O$3:$AA$63,MATCH(BC$3,$O$3:$AA$3,0),FALSE))*$AY307/VLOOKUP(VLOOKUP($AW307,坦克个性化设定!$B$18:$E$48,4,FALSE)&amp;$AX307,坦克属性分配比例,MATCH("升星次数",坦克属性分配比例标头,0),FALSE)*(VLOOKUP(VLOOKUP($AW307,坦克个性化设定!$B$18:$E$48,4,FALSE)&amp;$AX307,坦克属性分配比例,MATCH("升星比例",坦克属性分配比例标头,0),FALSE)+VLOOKUP(VLOOKUP($AW307,坦克个性化设定!$B$18:$E$48,4,FALSE)&amp;$AX307,坦克属性分配比例,MATCH("部件比例",坦克属性分配比例标头,0),FALSE)*$C$3),0)</f>
        <v>567</v>
      </c>
      <c r="BD307" s="654">
        <f ca="1">ROUND(VLOOKUP($AW307&amp;"初始",$O$3:$AA$63,MATCH(BD$3,$O$3:$AA$3,0),FALSE)+(VLOOKUP($AW307&amp;"最终",$O$3:$AA$63,MATCH(BD$3,$O$3:$AA$3,0),FALSE)-VLOOKUP($AW307&amp;"初始",$O$3:$AA$63,MATCH(BD$3,$O$3:$AA$3,0),FALSE))*$AY307/VLOOKUP(VLOOKUP($AW307,坦克个性化设定!$B$18:$E$48,4,FALSE)&amp;$AX307,坦克属性分配比例,MATCH("升星次数",坦克属性分配比例标头,0),FALSE)*VLOOKUP(VLOOKUP($AW307,坦克个性化设定!$B$18:$E$48,4,FALSE)&amp;$AX307,坦克属性分配比例,MATCH("升星比例",坦克属性分配比例标头,0),FALSE),0)</f>
        <v>935</v>
      </c>
      <c r="BE307" s="654">
        <f ca="1">ROUND(VLOOKUP($AW307&amp;"初始",$O$3:$AA$63,MATCH(BE$3,$O$3:$AA$3,0),FALSE)+(VLOOKUP($AW307&amp;"最终",$O$3:$AA$63,MATCH(BE$3,$O$3:$AA$3,0),FALSE)-VLOOKUP($AW307&amp;"初始",$O$3:$AA$63,MATCH(BE$3,$O$3:$AA$3,0),FALSE))*$AY307/VLOOKUP(VLOOKUP($AW307,坦克个性化设定!$B$18:$E$48,4,FALSE)&amp;$AX307,坦克属性分配比例,MATCH("升星次数",坦克属性分配比例标头,0),FALSE),0)</f>
        <v>252</v>
      </c>
      <c r="BF307" s="654">
        <f>ROUND(VLOOKUP($AW307,$AD$3:$AJ$33,MATCH(BF$3,$AD$3:$AJ$3,0),FALSE)+$AY307/VLOOKUP(VLOOKUP($AW307,坦克个性化设定!$B$18:$E$48,4,FALSE)&amp;$AX307,坦克属性分配比例,MATCH("升星次数",坦克属性分配比例标头,0),FALSE)*VLOOKUP($AW307,$AM$3:$AS$33,MATCH(BF$3,$AM$3:$AS$3,0),FALSE),1)</f>
        <v>47.7</v>
      </c>
      <c r="BG307" s="654">
        <f>ROUND(VLOOKUP($AW307,$AD$3:$AJ$33,MATCH(BG$3,$AD$3:$AJ$3,0),FALSE)+$AY307/VLOOKUP(VLOOKUP($AW307,坦克个性化设定!$B$18:$E$48,4,FALSE)&amp;$AX307,坦克属性分配比例,MATCH("升星次数",坦克属性分配比例标头,0),FALSE)*VLOOKUP($AW307,$AM$3:$AS$33,MATCH(BG$3,$AM$3:$AS$3,0),FALSE),1)</f>
        <v>42.7</v>
      </c>
      <c r="BH307" s="654">
        <f>ROUND(VLOOKUP($AW307,$AD$3:$AJ$33,MATCH(BH$3,$AD$3:$AJ$3,0),FALSE)+$AY307/VLOOKUP(VLOOKUP($AW307,坦克个性化设定!$B$18:$E$48,4,FALSE)&amp;$AX307,坦克属性分配比例,MATCH("升星次数",坦克属性分配比例标头,0),FALSE)*VLOOKUP($AW307,$AM$3:$AS$33,MATCH(BH$3,$AM$3:$AS$3,0),FALSE),1)</f>
        <v>13.3</v>
      </c>
      <c r="BI307" s="654">
        <f>IF(VLOOKUP(AW307,坦克个性化设定!$B$18:$BB$48,MATCH("装弹类型",坦克个性化设定!$B$18:$BB$18,0),FALSE)="弹夹换弹",0,ROUND(VLOOKUP($AW307,$AD$3:$AJ$33,MATCH("换弹时间",$AD$3:$AJ$3,0),FALSE)-$AY307/VLOOKUP(VLOOKUP($AW307,坦克个性化设定!$B$18:$E$48,4,FALSE)&amp;$AX307,坦克属性分配比例,MATCH("升星次数",坦克属性分配比例标头,0),FALSE)*VLOOKUP($AW307,$AM$3:$AS$33,MATCH("换弹时间",$AM$3:$AS$3,0),FALSE),2))</f>
        <v>3.39</v>
      </c>
      <c r="BJ307" s="654">
        <f>IF(VLOOKUP(AW307,坦克个性化设定!$B$18:$BB$48,MATCH("装弹类型",坦克个性化设定!$B$18:$BB$18,0),FALSE)="弹夹换弹",ROUND(VLOOKUP($AW307,$AD$3:$AJ$33,MATCH("换弹时间",$AD$3:$AJ$3,0),FALSE)-$AY307/VLOOKUP(VLOOKUP($AW307,坦克个性化设定!$B$18:$E$48,4,FALSE)&amp;$AX307,坦克属性分配比例,MATCH("升星次数",坦克属性分配比例标头,0),FALSE)*VLOOKUP($AW307,$AM$3:$AS$33,MATCH("换弹时间",$AM$3:$AS$3,0),FALSE),1),0)</f>
        <v>0</v>
      </c>
      <c r="BK307" s="654">
        <f>ROUND(VLOOKUP($AW307,$AD$3:$AJ$33,MATCH(BK$3,$AD$3:$AJ$3,0),FALSE)+$AY307/VLOOKUP(VLOOKUP($AW307,坦克个性化设定!$B$18:$E$48,4,FALSE)&amp;$AX307,坦克属性分配比例,MATCH("升星次数",坦克属性分配比例标头,0),FALSE)*VLOOKUP($AW307,$AM$3:$AS$33,MATCH(BK$3,$AM$3:$AS$3,0),FALSE),2)</f>
        <v>2</v>
      </c>
      <c r="BL307" s="654">
        <f>ROUND(VLOOKUP($AW307,$AD$3:$AJ$33,MATCH(BL$3,$AD$3:$AJ$3,0),FALSE)-$AY307/VLOOKUP(VLOOKUP($AW307,坦克个性化设定!$B$18:$E$48,4,FALSE)&amp;$AX307,坦克属性分配比例,MATCH("升星次数",坦克属性分配比例标头,0),FALSE)*VLOOKUP($AW307,$AM$3:$AS$33,MATCH(BL$3,$AM$3:$AS$3,0),FALSE),2)</f>
        <v>2.0099999999999998</v>
      </c>
    </row>
    <row r="308" spans="47:64" x14ac:dyDescent="0.35">
      <c r="AU308" s="372" t="str">
        <f t="shared" si="30"/>
        <v>KV-210</v>
      </c>
      <c r="AV308" s="654">
        <f>IF(AY307&gt;=VLOOKUP(VLOOKUP(AW307,坦克个性化设定!$B$18:$E$48,4,FALSE)&amp;AX307,坦克属性分配比例,MATCH("升星次数",坦克属性分配比例标头,0),FALSE),AV307+1,AV307)</f>
        <v>26</v>
      </c>
      <c r="AW308" s="649" t="str">
        <f t="shared" si="31"/>
        <v>KV-2</v>
      </c>
      <c r="AX308" s="650" t="str">
        <f>VLOOKUP(AW308,坦克个性化细分!$I$3:$J$33,2,FALSE)</f>
        <v>高</v>
      </c>
      <c r="AY308" s="654">
        <f t="shared" si="32"/>
        <v>10</v>
      </c>
      <c r="AZ308" s="654">
        <f ca="1">ROUND(VLOOKUP($AW308&amp;"初始",$O$3:$AA$63,MATCH(AZ$3,$O$3:$AA$3,0),FALSE)+((VLOOKUP($AW308&amp;"最终",$O$3:$AA$63,MATCH(AZ$3,$O$3:$AA$3,0),FALSE)*坦克个性化细分!$C$9-VLOOKUP($AW308&amp;"初始",$O$3:$AA$63,MATCH(AZ$3,$O$3:$AA$3,0),FALSE))-(VLOOKUP($AW308&amp;"最终",$O$3:$AA$63,MATCH(AZ$3,$O$3:$AA$3,0),FALSE)-VLOOKUP($AW308&amp;"初始",$O$3:$AA$63,MATCH(AZ$3,$O$3:$AA$3,0),FALSE))*VLOOKUP(VLOOKUP($AW308,坦克个性化设定!$B$18:$E$48,4,FALSE)&amp;$AX308,坦克属性分配比例,MATCH("部件比例",坦克属性分配比例标头,0),FALSE))*$AY308/VLOOKUP(VLOOKUP($AW308,坦克个性化设定!$B$18:$E$48,4,FALSE)&amp;$AX308,坦克属性分配比例,MATCH("升星次数",坦克属性分配比例标头,0),FALSE),0)</f>
        <v>2763</v>
      </c>
      <c r="BA308" s="654">
        <f ca="1">ROUND(VLOOKUP($AW308&amp;"初始",$O$3:$AA$63,MATCH(BA$3,$O$3:$AA$3,0),FALSE)+(VLOOKUP($AW308&amp;"最终",$O$3:$AA$63,MATCH(BA$3,$O$3:$AA$3,0),FALSE)-VLOOKUP($AW308&amp;"初始",$O$3:$AA$63,MATCH(BA$3,$O$3:$AA$3,0),FALSE))*$AY308/VLOOKUP(VLOOKUP($AW308,坦克个性化设定!$B$18:$E$48,4,FALSE)&amp;$AX308,坦克属性分配比例,MATCH("升星次数",坦克属性分配比例标头,0),FALSE)*VLOOKUP(VLOOKUP($AW308,坦克个性化设定!$B$18:$E$48,4,FALSE)&amp;$AX308,坦克属性分配比例,MATCH("升星比例",坦克属性分配比例标头,0),FALSE),0)</f>
        <v>320</v>
      </c>
      <c r="BB308" s="654">
        <f ca="1">ROUND(VLOOKUP($AW308&amp;"初始",$O$3:$AA$63,MATCH(BB$3,$O$3:$AA$3,0),FALSE)+(VLOOKUP($AW308&amp;"最终",$O$3:$AA$63,MATCH(BB$3,$O$3:$AA$3,0),FALSE)-VLOOKUP($AW308&amp;"初始",$O$3:$AA$63,MATCH(BB$3,$O$3:$AA$3,0),FALSE))*$AY308/VLOOKUP(VLOOKUP($AW308,坦克个性化设定!$B$18:$E$48,4,FALSE)&amp;$AX308,坦克属性分配比例,MATCH("升星次数",坦克属性分配比例标头,0),FALSE)*(VLOOKUP(VLOOKUP($AW308,坦克个性化设定!$B$18:$E$48,4,FALSE)&amp;$AX308,坦克属性分配比例,MATCH("升星比例",坦克属性分配比例标头,0),FALSE)+VLOOKUP(VLOOKUP($AW308,坦克个性化设定!$B$18:$E$48,4,FALSE)&amp;$AX308,坦克属性分配比例,MATCH("部件比例",坦克属性分配比例标头,0),FALSE)*$C$3),0)</f>
        <v>736</v>
      </c>
      <c r="BC308" s="654">
        <f ca="1">ROUND(VLOOKUP($AW308&amp;"初始",$O$3:$AA$63,MATCH(BC$3,$O$3:$AA$3,0),FALSE)+(VLOOKUP($AW308&amp;"最终",$O$3:$AA$63,MATCH(BC$3,$O$3:$AA$3,0),FALSE)-VLOOKUP($AW308&amp;"初始",$O$3:$AA$63,MATCH(BC$3,$O$3:$AA$3,0),FALSE))*$AY308/VLOOKUP(VLOOKUP($AW308,坦克个性化设定!$B$18:$E$48,4,FALSE)&amp;$AX308,坦克属性分配比例,MATCH("升星次数",坦克属性分配比例标头,0),FALSE)*(VLOOKUP(VLOOKUP($AW308,坦克个性化设定!$B$18:$E$48,4,FALSE)&amp;$AX308,坦克属性分配比例,MATCH("升星比例",坦克属性分配比例标头,0),FALSE)+VLOOKUP(VLOOKUP($AW308,坦克个性化设定!$B$18:$E$48,4,FALSE)&amp;$AX308,坦克属性分配比例,MATCH("部件比例",坦克属性分配比例标头,0),FALSE)*$C$3),0)</f>
        <v>589</v>
      </c>
      <c r="BD308" s="654">
        <f ca="1">ROUND(VLOOKUP($AW308&amp;"初始",$O$3:$AA$63,MATCH(BD$3,$O$3:$AA$3,0),FALSE)+(VLOOKUP($AW308&amp;"最终",$O$3:$AA$63,MATCH(BD$3,$O$3:$AA$3,0),FALSE)-VLOOKUP($AW308&amp;"初始",$O$3:$AA$63,MATCH(BD$3,$O$3:$AA$3,0),FALSE))*$AY308/VLOOKUP(VLOOKUP($AW308,坦克个性化设定!$B$18:$E$48,4,FALSE)&amp;$AX308,坦克属性分配比例,MATCH("升星次数",坦克属性分配比例标头,0),FALSE)*VLOOKUP(VLOOKUP($AW308,坦克个性化设定!$B$18:$E$48,4,FALSE)&amp;$AX308,坦克属性分配比例,MATCH("升星比例",坦克属性分配比例标头,0),FALSE),0)</f>
        <v>964</v>
      </c>
      <c r="BE308" s="654">
        <f ca="1">ROUND(VLOOKUP($AW308&amp;"初始",$O$3:$AA$63,MATCH(BE$3,$O$3:$AA$3,0),FALSE)+(VLOOKUP($AW308&amp;"最终",$O$3:$AA$63,MATCH(BE$3,$O$3:$AA$3,0),FALSE)-VLOOKUP($AW308&amp;"初始",$O$3:$AA$63,MATCH(BE$3,$O$3:$AA$3,0),FALSE))*$AY308/VLOOKUP(VLOOKUP($AW308,坦克个性化设定!$B$18:$E$48,4,FALSE)&amp;$AX308,坦克属性分配比例,MATCH("升星次数",坦克属性分配比例标头,0),FALSE),0)</f>
        <v>263</v>
      </c>
      <c r="BF308" s="654">
        <f>ROUND(VLOOKUP($AW308,$AD$3:$AJ$33,MATCH(BF$3,$AD$3:$AJ$3,0),FALSE)+$AY308/VLOOKUP(VLOOKUP($AW308,坦克个性化设定!$B$18:$E$48,4,FALSE)&amp;$AX308,坦克属性分配比例,MATCH("升星次数",坦克属性分配比例标头,0),FALSE)*VLOOKUP($AW308,$AM$3:$AS$33,MATCH(BF$3,$AM$3:$AS$3,0),FALSE),1)</f>
        <v>48.4</v>
      </c>
      <c r="BG308" s="654">
        <f>ROUND(VLOOKUP($AW308,$AD$3:$AJ$33,MATCH(BG$3,$AD$3:$AJ$3,0),FALSE)+$AY308/VLOOKUP(VLOOKUP($AW308,坦克个性化设定!$B$18:$E$48,4,FALSE)&amp;$AX308,坦克属性分配比例,MATCH("升星次数",坦克属性分配比例标头,0),FALSE)*VLOOKUP($AW308,$AM$3:$AS$33,MATCH(BG$3,$AM$3:$AS$3,0),FALSE),1)</f>
        <v>43.4</v>
      </c>
      <c r="BH308" s="654">
        <f>ROUND(VLOOKUP($AW308,$AD$3:$AJ$33,MATCH(BH$3,$AD$3:$AJ$3,0),FALSE)+$AY308/VLOOKUP(VLOOKUP($AW308,坦克个性化设定!$B$18:$E$48,4,FALSE)&amp;$AX308,坦克属性分配比例,MATCH("升星次数",坦克属性分配比例标头,0),FALSE)*VLOOKUP($AW308,$AM$3:$AS$33,MATCH(BH$3,$AM$3:$AS$3,0),FALSE),1)</f>
        <v>13.6</v>
      </c>
      <c r="BI308" s="654">
        <f>IF(VLOOKUP(AW308,坦克个性化设定!$B$18:$BB$48,MATCH("装弹类型",坦克个性化设定!$B$18:$BB$18,0),FALSE)="弹夹换弹",0,ROUND(VLOOKUP($AW308,$AD$3:$AJ$33,MATCH("换弹时间",$AD$3:$AJ$3,0),FALSE)-$AY308/VLOOKUP(VLOOKUP($AW308,坦克个性化设定!$B$18:$E$48,4,FALSE)&amp;$AX308,坦克属性分配比例,MATCH("升星次数",坦克属性分配比例标头,0),FALSE)*VLOOKUP($AW308,$AM$3:$AS$33,MATCH("换弹时间",$AM$3:$AS$3,0),FALSE),2))</f>
        <v>3.32</v>
      </c>
      <c r="BJ308" s="654">
        <f>IF(VLOOKUP(AW308,坦克个性化设定!$B$18:$BB$48,MATCH("装弹类型",坦克个性化设定!$B$18:$BB$18,0),FALSE)="弹夹换弹",ROUND(VLOOKUP($AW308,$AD$3:$AJ$33,MATCH("换弹时间",$AD$3:$AJ$3,0),FALSE)-$AY308/VLOOKUP(VLOOKUP($AW308,坦克个性化设定!$B$18:$E$48,4,FALSE)&amp;$AX308,坦克属性分配比例,MATCH("升星次数",坦克属性分配比例标头,0),FALSE)*VLOOKUP($AW308,$AM$3:$AS$33,MATCH("换弹时间",$AM$3:$AS$3,0),FALSE),1),0)</f>
        <v>0</v>
      </c>
      <c r="BK308" s="654">
        <f>ROUND(VLOOKUP($AW308,$AD$3:$AJ$33,MATCH(BK$3,$AD$3:$AJ$3,0),FALSE)+$AY308/VLOOKUP(VLOOKUP($AW308,坦克个性化设定!$B$18:$E$48,4,FALSE)&amp;$AX308,坦克属性分配比例,MATCH("升星次数",坦克属性分配比例标头,0),FALSE)*VLOOKUP($AW308,$AM$3:$AS$33,MATCH(BK$3,$AM$3:$AS$3,0),FALSE),2)</f>
        <v>2</v>
      </c>
      <c r="BL308" s="654">
        <f>ROUND(VLOOKUP($AW308,$AD$3:$AJ$33,MATCH(BL$3,$AD$3:$AJ$3,0),FALSE)-$AY308/VLOOKUP(VLOOKUP($AW308,坦克个性化设定!$B$18:$E$48,4,FALSE)&amp;$AX308,坦克属性分配比例,MATCH("升星次数",坦克属性分配比例标头,0),FALSE)*VLOOKUP($AW308,$AM$3:$AS$33,MATCH(BL$3,$AM$3:$AS$3,0),FALSE),2)</f>
        <v>1.98</v>
      </c>
    </row>
    <row r="309" spans="47:64" x14ac:dyDescent="0.35">
      <c r="AU309" s="372" t="str">
        <f t="shared" si="30"/>
        <v>KV-211</v>
      </c>
      <c r="AV309" s="654">
        <f>IF(AY308&gt;=VLOOKUP(VLOOKUP(AW308,坦克个性化设定!$B$18:$E$48,4,FALSE)&amp;AX308,坦克属性分配比例,MATCH("升星次数",坦克属性分配比例标头,0),FALSE),AV308+1,AV308)</f>
        <v>26</v>
      </c>
      <c r="AW309" s="649" t="str">
        <f t="shared" si="31"/>
        <v>KV-2</v>
      </c>
      <c r="AX309" s="650" t="str">
        <f>VLOOKUP(AW309,坦克个性化细分!$I$3:$J$33,2,FALSE)</f>
        <v>高</v>
      </c>
      <c r="AY309" s="654">
        <f t="shared" si="32"/>
        <v>11</v>
      </c>
      <c r="AZ309" s="654">
        <f ca="1">ROUND(VLOOKUP($AW309&amp;"初始",$O$3:$AA$63,MATCH(AZ$3,$O$3:$AA$3,0),FALSE)+((VLOOKUP($AW309&amp;"最终",$O$3:$AA$63,MATCH(AZ$3,$O$3:$AA$3,0),FALSE)*坦克个性化细分!$C$9-VLOOKUP($AW309&amp;"初始",$O$3:$AA$63,MATCH(AZ$3,$O$3:$AA$3,0),FALSE))-(VLOOKUP($AW309&amp;"最终",$O$3:$AA$63,MATCH(AZ$3,$O$3:$AA$3,0),FALSE)-VLOOKUP($AW309&amp;"初始",$O$3:$AA$63,MATCH(AZ$3,$O$3:$AA$3,0),FALSE))*VLOOKUP(VLOOKUP($AW309,坦克个性化设定!$B$18:$E$48,4,FALSE)&amp;$AX309,坦克属性分配比例,MATCH("部件比例",坦克属性分配比例标头,0),FALSE))*$AY309/VLOOKUP(VLOOKUP($AW309,坦克个性化设定!$B$18:$E$48,4,FALSE)&amp;$AX309,坦克属性分配比例,MATCH("升星次数",坦克属性分配比例标头,0),FALSE),0)</f>
        <v>2890</v>
      </c>
      <c r="BA309" s="654">
        <f ca="1">ROUND(VLOOKUP($AW309&amp;"初始",$O$3:$AA$63,MATCH(BA$3,$O$3:$AA$3,0),FALSE)+(VLOOKUP($AW309&amp;"最终",$O$3:$AA$63,MATCH(BA$3,$O$3:$AA$3,0),FALSE)-VLOOKUP($AW309&amp;"初始",$O$3:$AA$63,MATCH(BA$3,$O$3:$AA$3,0),FALSE))*$AY309/VLOOKUP(VLOOKUP($AW309,坦克个性化设定!$B$18:$E$48,4,FALSE)&amp;$AX309,坦克属性分配比例,MATCH("升星次数",坦克属性分配比例标头,0),FALSE)*VLOOKUP(VLOOKUP($AW309,坦克个性化设定!$B$18:$E$48,4,FALSE)&amp;$AX309,坦克属性分配比例,MATCH("升星比例",坦克属性分配比例标头,0),FALSE),0)</f>
        <v>330</v>
      </c>
      <c r="BB309" s="654">
        <f ca="1">ROUND(VLOOKUP($AW309&amp;"初始",$O$3:$AA$63,MATCH(BB$3,$O$3:$AA$3,0),FALSE)+(VLOOKUP($AW309&amp;"最终",$O$3:$AA$63,MATCH(BB$3,$O$3:$AA$3,0),FALSE)-VLOOKUP($AW309&amp;"初始",$O$3:$AA$63,MATCH(BB$3,$O$3:$AA$3,0),FALSE))*$AY309/VLOOKUP(VLOOKUP($AW309,坦克个性化设定!$B$18:$E$48,4,FALSE)&amp;$AX309,坦克属性分配比例,MATCH("升星次数",坦克属性分配比例标头,0),FALSE)*(VLOOKUP(VLOOKUP($AW309,坦克个性化设定!$B$18:$E$48,4,FALSE)&amp;$AX309,坦克属性分配比例,MATCH("升星比例",坦克属性分配比例标头,0),FALSE)+VLOOKUP(VLOOKUP($AW309,坦克个性化设定!$B$18:$E$48,4,FALSE)&amp;$AX309,坦克属性分配比例,MATCH("部件比例",坦克属性分配比例标头,0),FALSE)*$C$3),0)</f>
        <v>763</v>
      </c>
      <c r="BC309" s="654">
        <f ca="1">ROUND(VLOOKUP($AW309&amp;"初始",$O$3:$AA$63,MATCH(BC$3,$O$3:$AA$3,0),FALSE)+(VLOOKUP($AW309&amp;"最终",$O$3:$AA$63,MATCH(BC$3,$O$3:$AA$3,0),FALSE)-VLOOKUP($AW309&amp;"初始",$O$3:$AA$63,MATCH(BC$3,$O$3:$AA$3,0),FALSE))*$AY309/VLOOKUP(VLOOKUP($AW309,坦克个性化设定!$B$18:$E$48,4,FALSE)&amp;$AX309,坦克属性分配比例,MATCH("升星次数",坦克属性分配比例标头,0),FALSE)*(VLOOKUP(VLOOKUP($AW309,坦克个性化设定!$B$18:$E$48,4,FALSE)&amp;$AX309,坦克属性分配比例,MATCH("升星比例",坦克属性分配比例标头,0),FALSE)+VLOOKUP(VLOOKUP($AW309,坦克个性化设定!$B$18:$E$48,4,FALSE)&amp;$AX309,坦克属性分配比例,MATCH("部件比例",坦克属性分配比例标头,0),FALSE)*$C$3),0)</f>
        <v>611</v>
      </c>
      <c r="BD309" s="654">
        <f ca="1">ROUND(VLOOKUP($AW309&amp;"初始",$O$3:$AA$63,MATCH(BD$3,$O$3:$AA$3,0),FALSE)+(VLOOKUP($AW309&amp;"最终",$O$3:$AA$63,MATCH(BD$3,$O$3:$AA$3,0),FALSE)-VLOOKUP($AW309&amp;"初始",$O$3:$AA$63,MATCH(BD$3,$O$3:$AA$3,0),FALSE))*$AY309/VLOOKUP(VLOOKUP($AW309,坦克个性化设定!$B$18:$E$48,4,FALSE)&amp;$AX309,坦克属性分配比例,MATCH("升星次数",坦克属性分配比例标头,0),FALSE)*VLOOKUP(VLOOKUP($AW309,坦克个性化设定!$B$18:$E$48,4,FALSE)&amp;$AX309,坦克属性分配比例,MATCH("升星比例",坦克属性分配比例标头,0),FALSE),0)</f>
        <v>992</v>
      </c>
      <c r="BE309" s="654">
        <f ca="1">ROUND(VLOOKUP($AW309&amp;"初始",$O$3:$AA$63,MATCH(BE$3,$O$3:$AA$3,0),FALSE)+(VLOOKUP($AW309&amp;"最终",$O$3:$AA$63,MATCH(BE$3,$O$3:$AA$3,0),FALSE)-VLOOKUP($AW309&amp;"初始",$O$3:$AA$63,MATCH(BE$3,$O$3:$AA$3,0),FALSE))*$AY309/VLOOKUP(VLOOKUP($AW309,坦克个性化设定!$B$18:$E$48,4,FALSE)&amp;$AX309,坦克属性分配比例,MATCH("升星次数",坦克属性分配比例标头,0),FALSE),0)</f>
        <v>273</v>
      </c>
      <c r="BF309" s="654">
        <f>ROUND(VLOOKUP($AW309,$AD$3:$AJ$33,MATCH(BF$3,$AD$3:$AJ$3,0),FALSE)+$AY309/VLOOKUP(VLOOKUP($AW309,坦克个性化设定!$B$18:$E$48,4,FALSE)&amp;$AX309,坦克属性分配比例,MATCH("升星次数",坦克属性分配比例标头,0),FALSE)*VLOOKUP($AW309,$AM$3:$AS$33,MATCH(BF$3,$AM$3:$AS$3,0),FALSE),1)</f>
        <v>49.2</v>
      </c>
      <c r="BG309" s="654">
        <f>ROUND(VLOOKUP($AW309,$AD$3:$AJ$33,MATCH(BG$3,$AD$3:$AJ$3,0),FALSE)+$AY309/VLOOKUP(VLOOKUP($AW309,坦克个性化设定!$B$18:$E$48,4,FALSE)&amp;$AX309,坦克属性分配比例,MATCH("升星次数",坦克属性分配比例标头,0),FALSE)*VLOOKUP($AW309,$AM$3:$AS$33,MATCH(BG$3,$AM$3:$AS$3,0),FALSE),1)</f>
        <v>44</v>
      </c>
      <c r="BH309" s="654">
        <f>ROUND(VLOOKUP($AW309,$AD$3:$AJ$33,MATCH(BH$3,$AD$3:$AJ$3,0),FALSE)+$AY309/VLOOKUP(VLOOKUP($AW309,坦克个性化设定!$B$18:$E$48,4,FALSE)&amp;$AX309,坦克属性分配比例,MATCH("升星次数",坦克属性分配比例标头,0),FALSE)*VLOOKUP($AW309,$AM$3:$AS$33,MATCH(BH$3,$AM$3:$AS$3,0),FALSE),1)</f>
        <v>13.8</v>
      </c>
      <c r="BI309" s="654">
        <f>IF(VLOOKUP(AW309,坦克个性化设定!$B$18:$BB$48,MATCH("装弹类型",坦克个性化设定!$B$18:$BB$18,0),FALSE)="弹夹换弹",0,ROUND(VLOOKUP($AW309,$AD$3:$AJ$33,MATCH("换弹时间",$AD$3:$AJ$3,0),FALSE)-$AY309/VLOOKUP(VLOOKUP($AW309,坦克个性化设定!$B$18:$E$48,4,FALSE)&amp;$AX309,坦克属性分配比例,MATCH("升星次数",坦克属性分配比例标头,0),FALSE)*VLOOKUP($AW309,$AM$3:$AS$33,MATCH("换弹时间",$AM$3:$AS$3,0),FALSE),2))</f>
        <v>3.24</v>
      </c>
      <c r="BJ309" s="654">
        <f>IF(VLOOKUP(AW309,坦克个性化设定!$B$18:$BB$48,MATCH("装弹类型",坦克个性化设定!$B$18:$BB$18,0),FALSE)="弹夹换弹",ROUND(VLOOKUP($AW309,$AD$3:$AJ$33,MATCH("换弹时间",$AD$3:$AJ$3,0),FALSE)-$AY309/VLOOKUP(VLOOKUP($AW309,坦克个性化设定!$B$18:$E$48,4,FALSE)&amp;$AX309,坦克属性分配比例,MATCH("升星次数",坦克属性分配比例标头,0),FALSE)*VLOOKUP($AW309,$AM$3:$AS$33,MATCH("换弹时间",$AM$3:$AS$3,0),FALSE),1),0)</f>
        <v>0</v>
      </c>
      <c r="BK309" s="654">
        <f>ROUND(VLOOKUP($AW309,$AD$3:$AJ$33,MATCH(BK$3,$AD$3:$AJ$3,0),FALSE)+$AY309/VLOOKUP(VLOOKUP($AW309,坦克个性化设定!$B$18:$E$48,4,FALSE)&amp;$AX309,坦克属性分配比例,MATCH("升星次数",坦克属性分配比例标头,0),FALSE)*VLOOKUP($AW309,$AM$3:$AS$33,MATCH(BK$3,$AM$3:$AS$3,0),FALSE),2)</f>
        <v>2</v>
      </c>
      <c r="BL309" s="654">
        <f>ROUND(VLOOKUP($AW309,$AD$3:$AJ$33,MATCH(BL$3,$AD$3:$AJ$3,0),FALSE)-$AY309/VLOOKUP(VLOOKUP($AW309,坦克个性化设定!$B$18:$E$48,4,FALSE)&amp;$AX309,坦克属性分配比例,MATCH("升星次数",坦克属性分配比例标头,0),FALSE)*VLOOKUP($AW309,$AM$3:$AS$33,MATCH(BL$3,$AM$3:$AS$3,0),FALSE),2)</f>
        <v>1.96</v>
      </c>
    </row>
    <row r="310" spans="47:64" x14ac:dyDescent="0.35">
      <c r="AU310" s="372" t="str">
        <f t="shared" si="30"/>
        <v>KV-212</v>
      </c>
      <c r="AV310" s="654">
        <f>IF(AY309&gt;=VLOOKUP(VLOOKUP(AW309,坦克个性化设定!$B$18:$E$48,4,FALSE)&amp;AX309,坦克属性分配比例,MATCH("升星次数",坦克属性分配比例标头,0),FALSE),AV309+1,AV309)</f>
        <v>26</v>
      </c>
      <c r="AW310" s="649" t="str">
        <f t="shared" si="31"/>
        <v>KV-2</v>
      </c>
      <c r="AX310" s="650" t="str">
        <f>VLOOKUP(AW310,坦克个性化细分!$I$3:$J$33,2,FALSE)</f>
        <v>高</v>
      </c>
      <c r="AY310" s="654">
        <f t="shared" si="32"/>
        <v>12</v>
      </c>
      <c r="AZ310" s="654">
        <f ca="1">ROUND(VLOOKUP($AW310&amp;"初始",$O$3:$AA$63,MATCH(AZ$3,$O$3:$AA$3,0),FALSE)+((VLOOKUP($AW310&amp;"最终",$O$3:$AA$63,MATCH(AZ$3,$O$3:$AA$3,0),FALSE)*坦克个性化细分!$C$9-VLOOKUP($AW310&amp;"初始",$O$3:$AA$63,MATCH(AZ$3,$O$3:$AA$3,0),FALSE))-(VLOOKUP($AW310&amp;"最终",$O$3:$AA$63,MATCH(AZ$3,$O$3:$AA$3,0),FALSE)-VLOOKUP($AW310&amp;"初始",$O$3:$AA$63,MATCH(AZ$3,$O$3:$AA$3,0),FALSE))*VLOOKUP(VLOOKUP($AW310,坦克个性化设定!$B$18:$E$48,4,FALSE)&amp;$AX310,坦克属性分配比例,MATCH("部件比例",坦克属性分配比例标头,0),FALSE))*$AY310/VLOOKUP(VLOOKUP($AW310,坦克个性化设定!$B$18:$E$48,4,FALSE)&amp;$AX310,坦克属性分配比例,MATCH("升星次数",坦克属性分配比例标头,0),FALSE),0)</f>
        <v>3016</v>
      </c>
      <c r="BA310" s="654">
        <f ca="1">ROUND(VLOOKUP($AW310&amp;"初始",$O$3:$AA$63,MATCH(BA$3,$O$3:$AA$3,0),FALSE)+(VLOOKUP($AW310&amp;"最终",$O$3:$AA$63,MATCH(BA$3,$O$3:$AA$3,0),FALSE)-VLOOKUP($AW310&amp;"初始",$O$3:$AA$63,MATCH(BA$3,$O$3:$AA$3,0),FALSE))*$AY310/VLOOKUP(VLOOKUP($AW310,坦克个性化设定!$B$18:$E$48,4,FALSE)&amp;$AX310,坦克属性分配比例,MATCH("升星次数",坦克属性分配比例标头,0),FALSE)*VLOOKUP(VLOOKUP($AW310,坦克个性化设定!$B$18:$E$48,4,FALSE)&amp;$AX310,坦克属性分配比例,MATCH("升星比例",坦克属性分配比例标头,0),FALSE),0)</f>
        <v>339</v>
      </c>
      <c r="BB310" s="654">
        <f ca="1">ROUND(VLOOKUP($AW310&amp;"初始",$O$3:$AA$63,MATCH(BB$3,$O$3:$AA$3,0),FALSE)+(VLOOKUP($AW310&amp;"最终",$O$3:$AA$63,MATCH(BB$3,$O$3:$AA$3,0),FALSE)-VLOOKUP($AW310&amp;"初始",$O$3:$AA$63,MATCH(BB$3,$O$3:$AA$3,0),FALSE))*$AY310/VLOOKUP(VLOOKUP($AW310,坦克个性化设定!$B$18:$E$48,4,FALSE)&amp;$AX310,坦克属性分配比例,MATCH("升星次数",坦克属性分配比例标头,0),FALSE)*(VLOOKUP(VLOOKUP($AW310,坦克个性化设定!$B$18:$E$48,4,FALSE)&amp;$AX310,坦克属性分配比例,MATCH("升星比例",坦克属性分配比例标头,0),FALSE)+VLOOKUP(VLOOKUP($AW310,坦克个性化设定!$B$18:$E$48,4,FALSE)&amp;$AX310,坦克属性分配比例,MATCH("部件比例",坦克属性分配比例标头,0),FALSE)*$C$3),0)</f>
        <v>791</v>
      </c>
      <c r="BC310" s="654">
        <f ca="1">ROUND(VLOOKUP($AW310&amp;"初始",$O$3:$AA$63,MATCH(BC$3,$O$3:$AA$3,0),FALSE)+(VLOOKUP($AW310&amp;"最终",$O$3:$AA$63,MATCH(BC$3,$O$3:$AA$3,0),FALSE)-VLOOKUP($AW310&amp;"初始",$O$3:$AA$63,MATCH(BC$3,$O$3:$AA$3,0),FALSE))*$AY310/VLOOKUP(VLOOKUP($AW310,坦克个性化设定!$B$18:$E$48,4,FALSE)&amp;$AX310,坦克属性分配比例,MATCH("升星次数",坦克属性分配比例标头,0),FALSE)*(VLOOKUP(VLOOKUP($AW310,坦克个性化设定!$B$18:$E$48,4,FALSE)&amp;$AX310,坦克属性分配比例,MATCH("升星比例",坦克属性分配比例标头,0),FALSE)+VLOOKUP(VLOOKUP($AW310,坦克个性化设定!$B$18:$E$48,4,FALSE)&amp;$AX310,坦克属性分配比例,MATCH("部件比例",坦克属性分配比例标头,0),FALSE)*$C$3),0)</f>
        <v>632</v>
      </c>
      <c r="BD310" s="654">
        <f ca="1">ROUND(VLOOKUP($AW310&amp;"初始",$O$3:$AA$63,MATCH(BD$3,$O$3:$AA$3,0),FALSE)+(VLOOKUP($AW310&amp;"最终",$O$3:$AA$63,MATCH(BD$3,$O$3:$AA$3,0),FALSE)-VLOOKUP($AW310&amp;"初始",$O$3:$AA$63,MATCH(BD$3,$O$3:$AA$3,0),FALSE))*$AY310/VLOOKUP(VLOOKUP($AW310,坦克个性化设定!$B$18:$E$48,4,FALSE)&amp;$AX310,坦克属性分配比例,MATCH("升星次数",坦克属性分配比例标头,0),FALSE)*VLOOKUP(VLOOKUP($AW310,坦克个性化设定!$B$18:$E$48,4,FALSE)&amp;$AX310,坦克属性分配比例,MATCH("升星比例",坦克属性分配比例标头,0),FALSE),0)</f>
        <v>1020</v>
      </c>
      <c r="BE310" s="654">
        <f ca="1">ROUND(VLOOKUP($AW310&amp;"初始",$O$3:$AA$63,MATCH(BE$3,$O$3:$AA$3,0),FALSE)+(VLOOKUP($AW310&amp;"最终",$O$3:$AA$63,MATCH(BE$3,$O$3:$AA$3,0),FALSE)-VLOOKUP($AW310&amp;"初始",$O$3:$AA$63,MATCH(BE$3,$O$3:$AA$3,0),FALSE))*$AY310/VLOOKUP(VLOOKUP($AW310,坦克个性化设定!$B$18:$E$48,4,FALSE)&amp;$AX310,坦克属性分配比例,MATCH("升星次数",坦克属性分配比例标头,0),FALSE),0)</f>
        <v>284</v>
      </c>
      <c r="BF310" s="654">
        <f>ROUND(VLOOKUP($AW310,$AD$3:$AJ$33,MATCH(BF$3,$AD$3:$AJ$3,0),FALSE)+$AY310/VLOOKUP(VLOOKUP($AW310,坦克个性化设定!$B$18:$E$48,4,FALSE)&amp;$AX310,坦克属性分配比例,MATCH("升星次数",坦克属性分配比例标头,0),FALSE)*VLOOKUP($AW310,$AM$3:$AS$33,MATCH(BF$3,$AM$3:$AS$3,0),FALSE),1)</f>
        <v>49.9</v>
      </c>
      <c r="BG310" s="654">
        <f>ROUND(VLOOKUP($AW310,$AD$3:$AJ$33,MATCH(BG$3,$AD$3:$AJ$3,0),FALSE)+$AY310/VLOOKUP(VLOOKUP($AW310,坦克个性化设定!$B$18:$E$48,4,FALSE)&amp;$AX310,坦克属性分配比例,MATCH("升星次数",坦克属性分配比例标头,0),FALSE)*VLOOKUP($AW310,$AM$3:$AS$33,MATCH(BG$3,$AM$3:$AS$3,0),FALSE),1)</f>
        <v>44.7</v>
      </c>
      <c r="BH310" s="654">
        <f>ROUND(VLOOKUP($AW310,$AD$3:$AJ$33,MATCH(BH$3,$AD$3:$AJ$3,0),FALSE)+$AY310/VLOOKUP(VLOOKUP($AW310,坦克个性化设定!$B$18:$E$48,4,FALSE)&amp;$AX310,坦克属性分配比例,MATCH("升星次数",坦克属性分配比例标头,0),FALSE)*VLOOKUP($AW310,$AM$3:$AS$33,MATCH(BH$3,$AM$3:$AS$3,0),FALSE),1)</f>
        <v>14.1</v>
      </c>
      <c r="BI310" s="654">
        <f>IF(VLOOKUP(AW310,坦克个性化设定!$B$18:$BB$48,MATCH("装弹类型",坦克个性化设定!$B$18:$BB$18,0),FALSE)="弹夹换弹",0,ROUND(VLOOKUP($AW310,$AD$3:$AJ$33,MATCH("换弹时间",$AD$3:$AJ$3,0),FALSE)-$AY310/VLOOKUP(VLOOKUP($AW310,坦克个性化设定!$B$18:$E$48,4,FALSE)&amp;$AX310,坦克属性分配比例,MATCH("升星次数",坦克属性分配比例标头,0),FALSE)*VLOOKUP($AW310,$AM$3:$AS$33,MATCH("换弹时间",$AM$3:$AS$3,0),FALSE),2))</f>
        <v>3.17</v>
      </c>
      <c r="BJ310" s="654">
        <f>IF(VLOOKUP(AW310,坦克个性化设定!$B$18:$BB$48,MATCH("装弹类型",坦克个性化设定!$B$18:$BB$18,0),FALSE)="弹夹换弹",ROUND(VLOOKUP($AW310,$AD$3:$AJ$33,MATCH("换弹时间",$AD$3:$AJ$3,0),FALSE)-$AY310/VLOOKUP(VLOOKUP($AW310,坦克个性化设定!$B$18:$E$48,4,FALSE)&amp;$AX310,坦克属性分配比例,MATCH("升星次数",坦克属性分配比例标头,0),FALSE)*VLOOKUP($AW310,$AM$3:$AS$33,MATCH("换弹时间",$AM$3:$AS$3,0),FALSE),1),0)</f>
        <v>0</v>
      </c>
      <c r="BK310" s="654">
        <f>ROUND(VLOOKUP($AW310,$AD$3:$AJ$33,MATCH(BK$3,$AD$3:$AJ$3,0),FALSE)+$AY310/VLOOKUP(VLOOKUP($AW310,坦克个性化设定!$B$18:$E$48,4,FALSE)&amp;$AX310,坦克属性分配比例,MATCH("升星次数",坦克属性分配比例标头,0),FALSE)*VLOOKUP($AW310,$AM$3:$AS$33,MATCH(BK$3,$AM$3:$AS$3,0),FALSE),2)</f>
        <v>2</v>
      </c>
      <c r="BL310" s="654">
        <f>ROUND(VLOOKUP($AW310,$AD$3:$AJ$33,MATCH(BL$3,$AD$3:$AJ$3,0),FALSE)-$AY310/VLOOKUP(VLOOKUP($AW310,坦克个性化设定!$B$18:$E$48,4,FALSE)&amp;$AX310,坦克属性分配比例,MATCH("升星次数",坦克属性分配比例标头,0),FALSE)*VLOOKUP($AW310,$AM$3:$AS$33,MATCH(BL$3,$AM$3:$AS$3,0),FALSE),2)</f>
        <v>1.93</v>
      </c>
    </row>
    <row r="311" spans="47:64" x14ac:dyDescent="0.35">
      <c r="AU311" s="372" t="str">
        <f t="shared" si="30"/>
        <v>KV-213</v>
      </c>
      <c r="AV311" s="654">
        <f>IF(AY310&gt;=VLOOKUP(VLOOKUP(AW310,坦克个性化设定!$B$18:$E$48,4,FALSE)&amp;AX310,坦克属性分配比例,MATCH("升星次数",坦克属性分配比例标头,0),FALSE),AV310+1,AV310)</f>
        <v>26</v>
      </c>
      <c r="AW311" s="649" t="str">
        <f t="shared" si="31"/>
        <v>KV-2</v>
      </c>
      <c r="AX311" s="650" t="str">
        <f>VLOOKUP(AW311,坦克个性化细分!$I$3:$J$33,2,FALSE)</f>
        <v>高</v>
      </c>
      <c r="AY311" s="654">
        <f t="shared" si="32"/>
        <v>13</v>
      </c>
      <c r="AZ311" s="654">
        <f ca="1">ROUND(VLOOKUP($AW311&amp;"初始",$O$3:$AA$63,MATCH(AZ$3,$O$3:$AA$3,0),FALSE)+((VLOOKUP($AW311&amp;"最终",$O$3:$AA$63,MATCH(AZ$3,$O$3:$AA$3,0),FALSE)*坦克个性化细分!$C$9-VLOOKUP($AW311&amp;"初始",$O$3:$AA$63,MATCH(AZ$3,$O$3:$AA$3,0),FALSE))-(VLOOKUP($AW311&amp;"最终",$O$3:$AA$63,MATCH(AZ$3,$O$3:$AA$3,0),FALSE)-VLOOKUP($AW311&amp;"初始",$O$3:$AA$63,MATCH(AZ$3,$O$3:$AA$3,0),FALSE))*VLOOKUP(VLOOKUP($AW311,坦克个性化设定!$B$18:$E$48,4,FALSE)&amp;$AX311,坦克属性分配比例,MATCH("部件比例",坦克属性分配比例标头,0),FALSE))*$AY311/VLOOKUP(VLOOKUP($AW311,坦克个性化设定!$B$18:$E$48,4,FALSE)&amp;$AX311,坦克属性分配比例,MATCH("升星次数",坦克属性分配比例标头,0),FALSE),0)</f>
        <v>3142</v>
      </c>
      <c r="BA311" s="654">
        <f ca="1">ROUND(VLOOKUP($AW311&amp;"初始",$O$3:$AA$63,MATCH(BA$3,$O$3:$AA$3,0),FALSE)+(VLOOKUP($AW311&amp;"最终",$O$3:$AA$63,MATCH(BA$3,$O$3:$AA$3,0),FALSE)-VLOOKUP($AW311&amp;"初始",$O$3:$AA$63,MATCH(BA$3,$O$3:$AA$3,0),FALSE))*$AY311/VLOOKUP(VLOOKUP($AW311,坦克个性化设定!$B$18:$E$48,4,FALSE)&amp;$AX311,坦克属性分配比例,MATCH("升星次数",坦克属性分配比例标头,0),FALSE)*VLOOKUP(VLOOKUP($AW311,坦克个性化设定!$B$18:$E$48,4,FALSE)&amp;$AX311,坦克属性分配比例,MATCH("升星比例",坦克属性分配比例标头,0),FALSE),0)</f>
        <v>349</v>
      </c>
      <c r="BB311" s="654">
        <f ca="1">ROUND(VLOOKUP($AW311&amp;"初始",$O$3:$AA$63,MATCH(BB$3,$O$3:$AA$3,0),FALSE)+(VLOOKUP($AW311&amp;"最终",$O$3:$AA$63,MATCH(BB$3,$O$3:$AA$3,0),FALSE)-VLOOKUP($AW311&amp;"初始",$O$3:$AA$63,MATCH(BB$3,$O$3:$AA$3,0),FALSE))*$AY311/VLOOKUP(VLOOKUP($AW311,坦克个性化设定!$B$18:$E$48,4,FALSE)&amp;$AX311,坦克属性分配比例,MATCH("升星次数",坦克属性分配比例标头,0),FALSE)*(VLOOKUP(VLOOKUP($AW311,坦克个性化设定!$B$18:$E$48,4,FALSE)&amp;$AX311,坦克属性分配比例,MATCH("升星比例",坦克属性分配比例标头,0),FALSE)+VLOOKUP(VLOOKUP($AW311,坦克个性化设定!$B$18:$E$48,4,FALSE)&amp;$AX311,坦克属性分配比例,MATCH("部件比例",坦克属性分配比例标头,0),FALSE)*$C$3),0)</f>
        <v>818</v>
      </c>
      <c r="BC311" s="654">
        <f ca="1">ROUND(VLOOKUP($AW311&amp;"初始",$O$3:$AA$63,MATCH(BC$3,$O$3:$AA$3,0),FALSE)+(VLOOKUP($AW311&amp;"最终",$O$3:$AA$63,MATCH(BC$3,$O$3:$AA$3,0),FALSE)-VLOOKUP($AW311&amp;"初始",$O$3:$AA$63,MATCH(BC$3,$O$3:$AA$3,0),FALSE))*$AY311/VLOOKUP(VLOOKUP($AW311,坦克个性化设定!$B$18:$E$48,4,FALSE)&amp;$AX311,坦克属性分配比例,MATCH("升星次数",坦克属性分配比例标头,0),FALSE)*(VLOOKUP(VLOOKUP($AW311,坦克个性化设定!$B$18:$E$48,4,FALSE)&amp;$AX311,坦克属性分配比例,MATCH("升星比例",坦克属性分配比例标头,0),FALSE)+VLOOKUP(VLOOKUP($AW311,坦克个性化设定!$B$18:$E$48,4,FALSE)&amp;$AX311,坦克属性分配比例,MATCH("部件比例",坦克属性分配比例标头,0),FALSE)*$C$3),0)</f>
        <v>654</v>
      </c>
      <c r="BD311" s="654">
        <f ca="1">ROUND(VLOOKUP($AW311&amp;"初始",$O$3:$AA$63,MATCH(BD$3,$O$3:$AA$3,0),FALSE)+(VLOOKUP($AW311&amp;"最终",$O$3:$AA$63,MATCH(BD$3,$O$3:$AA$3,0),FALSE)-VLOOKUP($AW311&amp;"初始",$O$3:$AA$63,MATCH(BD$3,$O$3:$AA$3,0),FALSE))*$AY311/VLOOKUP(VLOOKUP($AW311,坦克个性化设定!$B$18:$E$48,4,FALSE)&amp;$AX311,坦克属性分配比例,MATCH("升星次数",坦克属性分配比例标头,0),FALSE)*VLOOKUP(VLOOKUP($AW311,坦克个性化设定!$B$18:$E$48,4,FALSE)&amp;$AX311,坦克属性分配比例,MATCH("升星比例",坦克属性分配比例标头,0),FALSE),0)</f>
        <v>1049</v>
      </c>
      <c r="BE311" s="654">
        <f ca="1">ROUND(VLOOKUP($AW311&amp;"初始",$O$3:$AA$63,MATCH(BE$3,$O$3:$AA$3,0),FALSE)+(VLOOKUP($AW311&amp;"最终",$O$3:$AA$63,MATCH(BE$3,$O$3:$AA$3,0),FALSE)-VLOOKUP($AW311&amp;"初始",$O$3:$AA$63,MATCH(BE$3,$O$3:$AA$3,0),FALSE))*$AY311/VLOOKUP(VLOOKUP($AW311,坦克个性化设定!$B$18:$E$48,4,FALSE)&amp;$AX311,坦克属性分配比例,MATCH("升星次数",坦克属性分配比例标头,0),FALSE),0)</f>
        <v>295</v>
      </c>
      <c r="BF311" s="654">
        <f>ROUND(VLOOKUP($AW311,$AD$3:$AJ$33,MATCH(BF$3,$AD$3:$AJ$3,0),FALSE)+$AY311/VLOOKUP(VLOOKUP($AW311,坦克个性化设定!$B$18:$E$48,4,FALSE)&amp;$AX311,坦克属性分配比例,MATCH("升星次数",坦克属性分配比例标头,0),FALSE)*VLOOKUP($AW311,$AM$3:$AS$33,MATCH(BF$3,$AM$3:$AS$3,0),FALSE),1)</f>
        <v>50.6</v>
      </c>
      <c r="BG311" s="654">
        <f>ROUND(VLOOKUP($AW311,$AD$3:$AJ$33,MATCH(BG$3,$AD$3:$AJ$3,0),FALSE)+$AY311/VLOOKUP(VLOOKUP($AW311,坦克个性化设定!$B$18:$E$48,4,FALSE)&amp;$AX311,坦克属性分配比例,MATCH("升星次数",坦克属性分配比例标头,0),FALSE)*VLOOKUP($AW311,$AM$3:$AS$33,MATCH(BG$3,$AM$3:$AS$3,0),FALSE),1)</f>
        <v>45.3</v>
      </c>
      <c r="BH311" s="654">
        <f>ROUND(VLOOKUP($AW311,$AD$3:$AJ$33,MATCH(BH$3,$AD$3:$AJ$3,0),FALSE)+$AY311/VLOOKUP(VLOOKUP($AW311,坦克个性化设定!$B$18:$E$48,4,FALSE)&amp;$AX311,坦克属性分配比例,MATCH("升星次数",坦克属性分配比例标头,0),FALSE)*VLOOKUP($AW311,$AM$3:$AS$33,MATCH(BH$3,$AM$3:$AS$3,0),FALSE),1)</f>
        <v>14.3</v>
      </c>
      <c r="BI311" s="654">
        <f>IF(VLOOKUP(AW311,坦克个性化设定!$B$18:$BB$48,MATCH("装弹类型",坦克个性化设定!$B$18:$BB$18,0),FALSE)="弹夹换弹",0,ROUND(VLOOKUP($AW311,$AD$3:$AJ$33,MATCH("换弹时间",$AD$3:$AJ$3,0),FALSE)-$AY311/VLOOKUP(VLOOKUP($AW311,坦克个性化设定!$B$18:$E$48,4,FALSE)&amp;$AX311,坦克属性分配比例,MATCH("升星次数",坦克属性分配比例标头,0),FALSE)*VLOOKUP($AW311,$AM$3:$AS$33,MATCH("换弹时间",$AM$3:$AS$3,0),FALSE),2))</f>
        <v>3.09</v>
      </c>
      <c r="BJ311" s="654">
        <f>IF(VLOOKUP(AW311,坦克个性化设定!$B$18:$BB$48,MATCH("装弹类型",坦克个性化设定!$B$18:$BB$18,0),FALSE)="弹夹换弹",ROUND(VLOOKUP($AW311,$AD$3:$AJ$33,MATCH("换弹时间",$AD$3:$AJ$3,0),FALSE)-$AY311/VLOOKUP(VLOOKUP($AW311,坦克个性化设定!$B$18:$E$48,4,FALSE)&amp;$AX311,坦克属性分配比例,MATCH("升星次数",坦克属性分配比例标头,0),FALSE)*VLOOKUP($AW311,$AM$3:$AS$33,MATCH("换弹时间",$AM$3:$AS$3,0),FALSE),1),0)</f>
        <v>0</v>
      </c>
      <c r="BK311" s="654">
        <f>ROUND(VLOOKUP($AW311,$AD$3:$AJ$33,MATCH(BK$3,$AD$3:$AJ$3,0),FALSE)+$AY311/VLOOKUP(VLOOKUP($AW311,坦克个性化设定!$B$18:$E$48,4,FALSE)&amp;$AX311,坦克属性分配比例,MATCH("升星次数",坦克属性分配比例标头,0),FALSE)*VLOOKUP($AW311,$AM$3:$AS$33,MATCH(BK$3,$AM$3:$AS$3,0),FALSE),2)</f>
        <v>2</v>
      </c>
      <c r="BL311" s="654">
        <f>ROUND(VLOOKUP($AW311,$AD$3:$AJ$33,MATCH(BL$3,$AD$3:$AJ$3,0),FALSE)-$AY311/VLOOKUP(VLOOKUP($AW311,坦克个性化设定!$B$18:$E$48,4,FALSE)&amp;$AX311,坦克属性分配比例,MATCH("升星次数",坦克属性分配比例标头,0),FALSE)*VLOOKUP($AW311,$AM$3:$AS$33,MATCH(BL$3,$AM$3:$AS$3,0),FALSE),2)</f>
        <v>1.9</v>
      </c>
    </row>
    <row r="312" spans="47:64" x14ac:dyDescent="0.35">
      <c r="AU312" s="372" t="str">
        <f t="shared" si="30"/>
        <v>KV-214</v>
      </c>
      <c r="AV312" s="654">
        <f>IF(AY311&gt;=VLOOKUP(VLOOKUP(AW311,坦克个性化设定!$B$18:$E$48,4,FALSE)&amp;AX311,坦克属性分配比例,MATCH("升星次数",坦克属性分配比例标头,0),FALSE),AV311+1,AV311)</f>
        <v>26</v>
      </c>
      <c r="AW312" s="649" t="str">
        <f t="shared" si="31"/>
        <v>KV-2</v>
      </c>
      <c r="AX312" s="650" t="str">
        <f>VLOOKUP(AW312,坦克个性化细分!$I$3:$J$33,2,FALSE)</f>
        <v>高</v>
      </c>
      <c r="AY312" s="654">
        <f t="shared" si="32"/>
        <v>14</v>
      </c>
      <c r="AZ312" s="654">
        <f ca="1">ROUND(VLOOKUP($AW312&amp;"初始",$O$3:$AA$63,MATCH(AZ$3,$O$3:$AA$3,0),FALSE)+((VLOOKUP($AW312&amp;"最终",$O$3:$AA$63,MATCH(AZ$3,$O$3:$AA$3,0),FALSE)*坦克个性化细分!$C$9-VLOOKUP($AW312&amp;"初始",$O$3:$AA$63,MATCH(AZ$3,$O$3:$AA$3,0),FALSE))-(VLOOKUP($AW312&amp;"最终",$O$3:$AA$63,MATCH(AZ$3,$O$3:$AA$3,0),FALSE)-VLOOKUP($AW312&amp;"初始",$O$3:$AA$63,MATCH(AZ$3,$O$3:$AA$3,0),FALSE))*VLOOKUP(VLOOKUP($AW312,坦克个性化设定!$B$18:$E$48,4,FALSE)&amp;$AX312,坦克属性分配比例,MATCH("部件比例",坦克属性分配比例标头,0),FALSE))*$AY312/VLOOKUP(VLOOKUP($AW312,坦克个性化设定!$B$18:$E$48,4,FALSE)&amp;$AX312,坦克属性分配比例,MATCH("升星次数",坦克属性分配比例标头,0),FALSE),0)</f>
        <v>3269</v>
      </c>
      <c r="BA312" s="654">
        <f ca="1">ROUND(VLOOKUP($AW312&amp;"初始",$O$3:$AA$63,MATCH(BA$3,$O$3:$AA$3,0),FALSE)+(VLOOKUP($AW312&amp;"最终",$O$3:$AA$63,MATCH(BA$3,$O$3:$AA$3,0),FALSE)-VLOOKUP($AW312&amp;"初始",$O$3:$AA$63,MATCH(BA$3,$O$3:$AA$3,0),FALSE))*$AY312/VLOOKUP(VLOOKUP($AW312,坦克个性化设定!$B$18:$E$48,4,FALSE)&amp;$AX312,坦克属性分配比例,MATCH("升星次数",坦克属性分配比例标头,0),FALSE)*VLOOKUP(VLOOKUP($AW312,坦克个性化设定!$B$18:$E$48,4,FALSE)&amp;$AX312,坦克属性分配比例,MATCH("升星比例",坦克属性分配比例标头,0),FALSE),0)</f>
        <v>358</v>
      </c>
      <c r="BB312" s="654">
        <f ca="1">ROUND(VLOOKUP($AW312&amp;"初始",$O$3:$AA$63,MATCH(BB$3,$O$3:$AA$3,0),FALSE)+(VLOOKUP($AW312&amp;"最终",$O$3:$AA$63,MATCH(BB$3,$O$3:$AA$3,0),FALSE)-VLOOKUP($AW312&amp;"初始",$O$3:$AA$63,MATCH(BB$3,$O$3:$AA$3,0),FALSE))*$AY312/VLOOKUP(VLOOKUP($AW312,坦克个性化设定!$B$18:$E$48,4,FALSE)&amp;$AX312,坦克属性分配比例,MATCH("升星次数",坦克属性分配比例标头,0),FALSE)*(VLOOKUP(VLOOKUP($AW312,坦克个性化设定!$B$18:$E$48,4,FALSE)&amp;$AX312,坦克属性分配比例,MATCH("升星比例",坦克属性分配比例标头,0),FALSE)+VLOOKUP(VLOOKUP($AW312,坦克个性化设定!$B$18:$E$48,4,FALSE)&amp;$AX312,坦克属性分配比例,MATCH("部件比例",坦克属性分配比例标头,0),FALSE)*$C$3),0)</f>
        <v>845</v>
      </c>
      <c r="BC312" s="654">
        <f ca="1">ROUND(VLOOKUP($AW312&amp;"初始",$O$3:$AA$63,MATCH(BC$3,$O$3:$AA$3,0),FALSE)+(VLOOKUP($AW312&amp;"最终",$O$3:$AA$63,MATCH(BC$3,$O$3:$AA$3,0),FALSE)-VLOOKUP($AW312&amp;"初始",$O$3:$AA$63,MATCH(BC$3,$O$3:$AA$3,0),FALSE))*$AY312/VLOOKUP(VLOOKUP($AW312,坦克个性化设定!$B$18:$E$48,4,FALSE)&amp;$AX312,坦克属性分配比例,MATCH("升星次数",坦克属性分配比例标头,0),FALSE)*(VLOOKUP(VLOOKUP($AW312,坦克个性化设定!$B$18:$E$48,4,FALSE)&amp;$AX312,坦克属性分配比例,MATCH("升星比例",坦克属性分配比例标头,0),FALSE)+VLOOKUP(VLOOKUP($AW312,坦克个性化设定!$B$18:$E$48,4,FALSE)&amp;$AX312,坦克属性分配比例,MATCH("部件比例",坦克属性分配比例标头,0),FALSE)*$C$3),0)</f>
        <v>676</v>
      </c>
      <c r="BD312" s="654">
        <f ca="1">ROUND(VLOOKUP($AW312&amp;"初始",$O$3:$AA$63,MATCH(BD$3,$O$3:$AA$3,0),FALSE)+(VLOOKUP($AW312&amp;"最终",$O$3:$AA$63,MATCH(BD$3,$O$3:$AA$3,0),FALSE)-VLOOKUP($AW312&amp;"初始",$O$3:$AA$63,MATCH(BD$3,$O$3:$AA$3,0),FALSE))*$AY312/VLOOKUP(VLOOKUP($AW312,坦克个性化设定!$B$18:$E$48,4,FALSE)&amp;$AX312,坦克属性分配比例,MATCH("升星次数",坦克属性分配比例标头,0),FALSE)*VLOOKUP(VLOOKUP($AW312,坦克个性化设定!$B$18:$E$48,4,FALSE)&amp;$AX312,坦克属性分配比例,MATCH("升星比例",坦克属性分配比例标头,0),FALSE),0)</f>
        <v>1077</v>
      </c>
      <c r="BE312" s="654">
        <f ca="1">ROUND(VLOOKUP($AW312&amp;"初始",$O$3:$AA$63,MATCH(BE$3,$O$3:$AA$3,0),FALSE)+(VLOOKUP($AW312&amp;"最终",$O$3:$AA$63,MATCH(BE$3,$O$3:$AA$3,0),FALSE)-VLOOKUP($AW312&amp;"初始",$O$3:$AA$63,MATCH(BE$3,$O$3:$AA$3,0),FALSE))*$AY312/VLOOKUP(VLOOKUP($AW312,坦克个性化设定!$B$18:$E$48,4,FALSE)&amp;$AX312,坦克属性分配比例,MATCH("升星次数",坦克属性分配比例标头,0),FALSE),0)</f>
        <v>306</v>
      </c>
      <c r="BF312" s="654">
        <f>ROUND(VLOOKUP($AW312,$AD$3:$AJ$33,MATCH(BF$3,$AD$3:$AJ$3,0),FALSE)+$AY312/VLOOKUP(VLOOKUP($AW312,坦克个性化设定!$B$18:$E$48,4,FALSE)&amp;$AX312,坦克属性分配比例,MATCH("升星次数",坦克属性分配比例标头,0),FALSE)*VLOOKUP($AW312,$AM$3:$AS$33,MATCH(BF$3,$AM$3:$AS$3,0),FALSE),1)</f>
        <v>51.4</v>
      </c>
      <c r="BG312" s="654">
        <f>ROUND(VLOOKUP($AW312,$AD$3:$AJ$33,MATCH(BG$3,$AD$3:$AJ$3,0),FALSE)+$AY312/VLOOKUP(VLOOKUP($AW312,坦克个性化设定!$B$18:$E$48,4,FALSE)&amp;$AX312,坦克属性分配比例,MATCH("升星次数",坦克属性分配比例标头,0),FALSE)*VLOOKUP($AW312,$AM$3:$AS$33,MATCH(BG$3,$AM$3:$AS$3,0),FALSE),1)</f>
        <v>46</v>
      </c>
      <c r="BH312" s="654">
        <f>ROUND(VLOOKUP($AW312,$AD$3:$AJ$33,MATCH(BH$3,$AD$3:$AJ$3,0),FALSE)+$AY312/VLOOKUP(VLOOKUP($AW312,坦克个性化设定!$B$18:$E$48,4,FALSE)&amp;$AX312,坦克属性分配比例,MATCH("升星次数",坦克属性分配比例标头,0),FALSE)*VLOOKUP($AW312,$AM$3:$AS$33,MATCH(BH$3,$AM$3:$AS$3,0),FALSE),1)</f>
        <v>14.6</v>
      </c>
      <c r="BI312" s="654">
        <f>IF(VLOOKUP(AW312,坦克个性化设定!$B$18:$BB$48,MATCH("装弹类型",坦克个性化设定!$B$18:$BB$18,0),FALSE)="弹夹换弹",0,ROUND(VLOOKUP($AW312,$AD$3:$AJ$33,MATCH("换弹时间",$AD$3:$AJ$3,0),FALSE)-$AY312/VLOOKUP(VLOOKUP($AW312,坦克个性化设定!$B$18:$E$48,4,FALSE)&amp;$AX312,坦克属性分配比例,MATCH("升星次数",坦克属性分配比例标头,0),FALSE)*VLOOKUP($AW312,$AM$3:$AS$33,MATCH("换弹时间",$AM$3:$AS$3,0),FALSE),2))</f>
        <v>3.02</v>
      </c>
      <c r="BJ312" s="654">
        <f>IF(VLOOKUP(AW312,坦克个性化设定!$B$18:$BB$48,MATCH("装弹类型",坦克个性化设定!$B$18:$BB$18,0),FALSE)="弹夹换弹",ROUND(VLOOKUP($AW312,$AD$3:$AJ$33,MATCH("换弹时间",$AD$3:$AJ$3,0),FALSE)-$AY312/VLOOKUP(VLOOKUP($AW312,坦克个性化设定!$B$18:$E$48,4,FALSE)&amp;$AX312,坦克属性分配比例,MATCH("升星次数",坦克属性分配比例标头,0),FALSE)*VLOOKUP($AW312,$AM$3:$AS$33,MATCH("换弹时间",$AM$3:$AS$3,0),FALSE),1),0)</f>
        <v>0</v>
      </c>
      <c r="BK312" s="654">
        <f>ROUND(VLOOKUP($AW312,$AD$3:$AJ$33,MATCH(BK$3,$AD$3:$AJ$3,0),FALSE)+$AY312/VLOOKUP(VLOOKUP($AW312,坦克个性化设定!$B$18:$E$48,4,FALSE)&amp;$AX312,坦克属性分配比例,MATCH("升星次数",坦克属性分配比例标头,0),FALSE)*VLOOKUP($AW312,$AM$3:$AS$33,MATCH(BK$3,$AM$3:$AS$3,0),FALSE),2)</f>
        <v>2</v>
      </c>
      <c r="BL312" s="654">
        <f>ROUND(VLOOKUP($AW312,$AD$3:$AJ$33,MATCH(BL$3,$AD$3:$AJ$3,0),FALSE)-$AY312/VLOOKUP(VLOOKUP($AW312,坦克个性化设定!$B$18:$E$48,4,FALSE)&amp;$AX312,坦克属性分配比例,MATCH("升星次数",坦克属性分配比例标头,0),FALSE)*VLOOKUP($AW312,$AM$3:$AS$33,MATCH(BL$3,$AM$3:$AS$3,0),FALSE),2)</f>
        <v>1.88</v>
      </c>
    </row>
    <row r="313" spans="47:64" x14ac:dyDescent="0.35">
      <c r="AU313" s="372" t="str">
        <f t="shared" si="30"/>
        <v>征服者0</v>
      </c>
      <c r="AV313" s="654">
        <f>IF(AY312&gt;=VLOOKUP(VLOOKUP(AW312,坦克个性化设定!$B$18:$E$48,4,FALSE)&amp;AX312,坦克属性分配比例,MATCH("升星次数",坦克属性分配比例标头,0),FALSE),AV312+1,AV312)</f>
        <v>27</v>
      </c>
      <c r="AW313" s="649" t="str">
        <f t="shared" si="31"/>
        <v>征服者</v>
      </c>
      <c r="AX313" s="650" t="str">
        <f>VLOOKUP(AW313,坦克个性化细分!$I$3:$J$33,2,FALSE)</f>
        <v>低</v>
      </c>
      <c r="AY313" s="654">
        <f t="shared" si="32"/>
        <v>0</v>
      </c>
      <c r="AZ313" s="654">
        <f ca="1">ROUND(VLOOKUP($AW313&amp;"初始",$O$3:$AA$63,MATCH(AZ$3,$O$3:$AA$3,0),FALSE)+((VLOOKUP($AW313&amp;"最终",$O$3:$AA$63,MATCH(AZ$3,$O$3:$AA$3,0),FALSE)*坦克个性化细分!$C$9-VLOOKUP($AW313&amp;"初始",$O$3:$AA$63,MATCH(AZ$3,$O$3:$AA$3,0),FALSE))-(VLOOKUP($AW313&amp;"最终",$O$3:$AA$63,MATCH(AZ$3,$O$3:$AA$3,0),FALSE)-VLOOKUP($AW313&amp;"初始",$O$3:$AA$63,MATCH(AZ$3,$O$3:$AA$3,0),FALSE))*VLOOKUP(VLOOKUP($AW313,坦克个性化设定!$B$18:$E$48,4,FALSE)&amp;$AX313,坦克属性分配比例,MATCH("部件比例",坦克属性分配比例标头,0),FALSE))*$AY313/VLOOKUP(VLOOKUP($AW313,坦克个性化设定!$B$18:$E$48,4,FALSE)&amp;$AX313,坦克属性分配比例,MATCH("升星次数",坦克属性分配比例标头,0),FALSE),0)</f>
        <v>1923</v>
      </c>
      <c r="BA313" s="654">
        <f ca="1">ROUND(VLOOKUP($AW313&amp;"初始",$O$3:$AA$63,MATCH(BA$3,$O$3:$AA$3,0),FALSE)+(VLOOKUP($AW313&amp;"最终",$O$3:$AA$63,MATCH(BA$3,$O$3:$AA$3,0),FALSE)-VLOOKUP($AW313&amp;"初始",$O$3:$AA$63,MATCH(BA$3,$O$3:$AA$3,0),FALSE))*$AY313/VLOOKUP(VLOOKUP($AW313,坦克个性化设定!$B$18:$E$48,4,FALSE)&amp;$AX313,坦克属性分配比例,MATCH("升星次数",坦克属性分配比例标头,0),FALSE)*VLOOKUP(VLOOKUP($AW313,坦克个性化设定!$B$18:$E$48,4,FALSE)&amp;$AX313,坦克属性分配比例,MATCH("升星比例",坦克属性分配比例标头,0),FALSE),0)</f>
        <v>350</v>
      </c>
      <c r="BB313" s="654">
        <f ca="1">ROUND(VLOOKUP($AW313&amp;"初始",$O$3:$AA$63,MATCH(BB$3,$O$3:$AA$3,0),FALSE)+(VLOOKUP($AW313&amp;"最终",$O$3:$AA$63,MATCH(BB$3,$O$3:$AA$3,0),FALSE)-VLOOKUP($AW313&amp;"初始",$O$3:$AA$63,MATCH(BB$3,$O$3:$AA$3,0),FALSE))*$AY313/VLOOKUP(VLOOKUP($AW313,坦克个性化设定!$B$18:$E$48,4,FALSE)&amp;$AX313,坦克属性分配比例,MATCH("升星次数",坦克属性分配比例标头,0),FALSE)*(VLOOKUP(VLOOKUP($AW313,坦克个性化设定!$B$18:$E$48,4,FALSE)&amp;$AX313,坦克属性分配比例,MATCH("升星比例",坦克属性分配比例标头,0),FALSE)+VLOOKUP(VLOOKUP($AW313,坦克个性化设定!$B$18:$E$48,4,FALSE)&amp;$AX313,坦克属性分配比例,MATCH("部件比例",坦克属性分配比例标头,0),FALSE)*$C$3),0)</f>
        <v>597</v>
      </c>
      <c r="BC313" s="654">
        <f ca="1">ROUND(VLOOKUP($AW313&amp;"初始",$O$3:$AA$63,MATCH(BC$3,$O$3:$AA$3,0),FALSE)+(VLOOKUP($AW313&amp;"最终",$O$3:$AA$63,MATCH(BC$3,$O$3:$AA$3,0),FALSE)-VLOOKUP($AW313&amp;"初始",$O$3:$AA$63,MATCH(BC$3,$O$3:$AA$3,0),FALSE))*$AY313/VLOOKUP(VLOOKUP($AW313,坦克个性化设定!$B$18:$E$48,4,FALSE)&amp;$AX313,坦克属性分配比例,MATCH("升星次数",坦克属性分配比例标头,0),FALSE)*(VLOOKUP(VLOOKUP($AW313,坦克个性化设定!$B$18:$E$48,4,FALSE)&amp;$AX313,坦克属性分配比例,MATCH("升星比例",坦克属性分配比例标头,0),FALSE)+VLOOKUP(VLOOKUP($AW313,坦克个性化设定!$B$18:$E$48,4,FALSE)&amp;$AX313,坦克属性分配比例,MATCH("部件比例",坦克属性分配比例标头,0),FALSE)*$C$3),0)</f>
        <v>478</v>
      </c>
      <c r="BD313" s="654">
        <f ca="1">ROUND(VLOOKUP($AW313&amp;"初始",$O$3:$AA$63,MATCH(BD$3,$O$3:$AA$3,0),FALSE)+(VLOOKUP($AW313&amp;"最终",$O$3:$AA$63,MATCH(BD$3,$O$3:$AA$3,0),FALSE)-VLOOKUP($AW313&amp;"初始",$O$3:$AA$63,MATCH(BD$3,$O$3:$AA$3,0),FALSE))*$AY313/VLOOKUP(VLOOKUP($AW313,坦克个性化设定!$B$18:$E$48,4,FALSE)&amp;$AX313,坦克属性分配比例,MATCH("升星次数",坦克属性分配比例标头,0),FALSE)*VLOOKUP(VLOOKUP($AW313,坦克个性化设定!$B$18:$E$48,4,FALSE)&amp;$AX313,坦克属性分配比例,MATCH("升星比例",坦克属性分配比例标头,0),FALSE),0)</f>
        <v>798</v>
      </c>
      <c r="BE313" s="654">
        <f ca="1">ROUND(VLOOKUP($AW313&amp;"初始",$O$3:$AA$63,MATCH(BE$3,$O$3:$AA$3,0),FALSE)+(VLOOKUP($AW313&amp;"最终",$O$3:$AA$63,MATCH(BE$3,$O$3:$AA$3,0),FALSE)-VLOOKUP($AW313&amp;"初始",$O$3:$AA$63,MATCH(BE$3,$O$3:$AA$3,0),FALSE))*$AY313/VLOOKUP(VLOOKUP($AW313,坦克个性化设定!$B$18:$E$48,4,FALSE)&amp;$AX313,坦克属性分配比例,MATCH("升星次数",坦克属性分配比例标头,0),FALSE),0)</f>
        <v>181</v>
      </c>
      <c r="BF313" s="654">
        <f>ROUND(VLOOKUP($AW313,$AD$3:$AJ$33,MATCH(BF$3,$AD$3:$AJ$3,0),FALSE)+$AY313/VLOOKUP(VLOOKUP($AW313,坦克个性化设定!$B$18:$E$48,4,FALSE)&amp;$AX313,坦克属性分配比例,MATCH("升星次数",坦克属性分配比例标头,0),FALSE)*VLOOKUP($AW313,$AM$3:$AS$33,MATCH(BF$3,$AM$3:$AS$3,0),FALSE),1)</f>
        <v>31.3</v>
      </c>
      <c r="BG313" s="654">
        <f>ROUND(VLOOKUP($AW313,$AD$3:$AJ$33,MATCH(BG$3,$AD$3:$AJ$3,0),FALSE)+$AY313/VLOOKUP(VLOOKUP($AW313,坦克个性化设定!$B$18:$E$48,4,FALSE)&amp;$AX313,坦克属性分配比例,MATCH("升星次数",坦克属性分配比例标头,0),FALSE)*VLOOKUP($AW313,$AM$3:$AS$33,MATCH(BG$3,$AM$3:$AS$3,0),FALSE),1)</f>
        <v>43.8</v>
      </c>
      <c r="BH313" s="654">
        <f>ROUND(VLOOKUP($AW313,$AD$3:$AJ$33,MATCH(BH$3,$AD$3:$AJ$3,0),FALSE)+$AY313/VLOOKUP(VLOOKUP($AW313,坦克个性化设定!$B$18:$E$48,4,FALSE)&amp;$AX313,坦克属性分配比例,MATCH("升星次数",坦克属性分配比例标头,0),FALSE)*VLOOKUP($AW313,$AM$3:$AS$33,MATCH(BH$3,$AM$3:$AS$3,0),FALSE),1)</f>
        <v>9.5</v>
      </c>
      <c r="BI313" s="654">
        <f>IF(VLOOKUP(AW313,坦克个性化设定!$B$18:$BB$48,MATCH("装弹类型",坦克个性化设定!$B$18:$BB$18,0),FALSE)="弹夹换弹",0,ROUND(VLOOKUP($AW313,$AD$3:$AJ$33,MATCH("换弹时间",$AD$3:$AJ$3,0),FALSE)-$AY313/VLOOKUP(VLOOKUP($AW313,坦克个性化设定!$B$18:$E$48,4,FALSE)&amp;$AX313,坦克属性分配比例,MATCH("升星次数",坦克属性分配比例标头,0),FALSE)*VLOOKUP($AW313,$AM$3:$AS$33,MATCH("换弹时间",$AM$3:$AS$3,0),FALSE),2))</f>
        <v>6</v>
      </c>
      <c r="BJ313" s="654">
        <f>IF(VLOOKUP(AW313,坦克个性化设定!$B$18:$BB$48,MATCH("装弹类型",坦克个性化设定!$B$18:$BB$18,0),FALSE)="弹夹换弹",ROUND(VLOOKUP($AW313,$AD$3:$AJ$33,MATCH("换弹时间",$AD$3:$AJ$3,0),FALSE)-$AY313/VLOOKUP(VLOOKUP($AW313,坦克个性化设定!$B$18:$E$48,4,FALSE)&amp;$AX313,坦克属性分配比例,MATCH("升星次数",坦克属性分配比例标头,0),FALSE)*VLOOKUP($AW313,$AM$3:$AS$33,MATCH("换弹时间",$AM$3:$AS$3,0),FALSE),1),0)</f>
        <v>0</v>
      </c>
      <c r="BK313" s="654">
        <f>ROUND(VLOOKUP($AW313,$AD$3:$AJ$33,MATCH(BK$3,$AD$3:$AJ$3,0),FALSE)+$AY313/VLOOKUP(VLOOKUP($AW313,坦克个性化设定!$B$18:$E$48,4,FALSE)&amp;$AX313,坦克属性分配比例,MATCH("升星次数",坦克属性分配比例标头,0),FALSE)*VLOOKUP($AW313,$AM$3:$AS$33,MATCH(BK$3,$AM$3:$AS$3,0),FALSE),2)</f>
        <v>0</v>
      </c>
      <c r="BL313" s="654">
        <f>ROUND(VLOOKUP($AW313,$AD$3:$AJ$33,MATCH(BL$3,$AD$3:$AJ$3,0),FALSE)-$AY313/VLOOKUP(VLOOKUP($AW313,坦克个性化设定!$B$18:$E$48,4,FALSE)&amp;$AX313,坦克属性分配比例,MATCH("升星次数",坦克属性分配比例标头,0),FALSE)*VLOOKUP($AW313,$AM$3:$AS$33,MATCH(BL$3,$AM$3:$AS$3,0),FALSE),2)</f>
        <v>3</v>
      </c>
    </row>
    <row r="314" spans="47:64" x14ac:dyDescent="0.35">
      <c r="AU314" s="372" t="str">
        <f t="shared" si="30"/>
        <v>征服者1</v>
      </c>
      <c r="AV314" s="654">
        <f>IF(AY313&gt;=VLOOKUP(VLOOKUP(AW313,坦克个性化设定!$B$18:$E$48,4,FALSE)&amp;AX313,坦克属性分配比例,MATCH("升星次数",坦克属性分配比例标头,0),FALSE),AV313+1,AV313)</f>
        <v>27</v>
      </c>
      <c r="AW314" s="649" t="str">
        <f t="shared" si="31"/>
        <v>征服者</v>
      </c>
      <c r="AX314" s="650" t="str">
        <f>VLOOKUP(AW314,坦克个性化细分!$I$3:$J$33,2,FALSE)</f>
        <v>低</v>
      </c>
      <c r="AY314" s="654">
        <f t="shared" si="32"/>
        <v>1</v>
      </c>
      <c r="AZ314" s="654">
        <f ca="1">ROUND(VLOOKUP($AW314&amp;"初始",$O$3:$AA$63,MATCH(AZ$3,$O$3:$AA$3,0),FALSE)+((VLOOKUP($AW314&amp;"最终",$O$3:$AA$63,MATCH(AZ$3,$O$3:$AA$3,0),FALSE)*坦克个性化细分!$C$9-VLOOKUP($AW314&amp;"初始",$O$3:$AA$63,MATCH(AZ$3,$O$3:$AA$3,0),FALSE))-(VLOOKUP($AW314&amp;"最终",$O$3:$AA$63,MATCH(AZ$3,$O$3:$AA$3,0),FALSE)-VLOOKUP($AW314&amp;"初始",$O$3:$AA$63,MATCH(AZ$3,$O$3:$AA$3,0),FALSE))*VLOOKUP(VLOOKUP($AW314,坦克个性化设定!$B$18:$E$48,4,FALSE)&amp;$AX314,坦克属性分配比例,MATCH("部件比例",坦克属性分配比例标头,0),FALSE))*$AY314/VLOOKUP(VLOOKUP($AW314,坦克个性化设定!$B$18:$E$48,4,FALSE)&amp;$AX314,坦克属性分配比例,MATCH("升星次数",坦克属性分配比例标头,0),FALSE),0)</f>
        <v>2035</v>
      </c>
      <c r="BA314" s="654">
        <f ca="1">ROUND(VLOOKUP($AW314&amp;"初始",$O$3:$AA$63,MATCH(BA$3,$O$3:$AA$3,0),FALSE)+(VLOOKUP($AW314&amp;"最终",$O$3:$AA$63,MATCH(BA$3,$O$3:$AA$3,0),FALSE)-VLOOKUP($AW314&amp;"初始",$O$3:$AA$63,MATCH(BA$3,$O$3:$AA$3,0),FALSE))*$AY314/VLOOKUP(VLOOKUP($AW314,坦克个性化设定!$B$18:$E$48,4,FALSE)&amp;$AX314,坦克属性分配比例,MATCH("升星次数",坦克属性分配比例标头,0),FALSE)*VLOOKUP(VLOOKUP($AW314,坦克个性化设定!$B$18:$E$48,4,FALSE)&amp;$AX314,坦克属性分配比例,MATCH("升星比例",坦克属性分配比例标头,0),FALSE),0)</f>
        <v>355</v>
      </c>
      <c r="BB314" s="654">
        <f ca="1">ROUND(VLOOKUP($AW314&amp;"初始",$O$3:$AA$63,MATCH(BB$3,$O$3:$AA$3,0),FALSE)+(VLOOKUP($AW314&amp;"最终",$O$3:$AA$63,MATCH(BB$3,$O$3:$AA$3,0),FALSE)-VLOOKUP($AW314&amp;"初始",$O$3:$AA$63,MATCH(BB$3,$O$3:$AA$3,0),FALSE))*$AY314/VLOOKUP(VLOOKUP($AW314,坦克个性化设定!$B$18:$E$48,4,FALSE)&amp;$AX314,坦克属性分配比例,MATCH("升星次数",坦克属性分配比例标头,0),FALSE)*(VLOOKUP(VLOOKUP($AW314,坦克个性化设定!$B$18:$E$48,4,FALSE)&amp;$AX314,坦克属性分配比例,MATCH("升星比例",坦克属性分配比例标头,0),FALSE)+VLOOKUP(VLOOKUP($AW314,坦克个性化设定!$B$18:$E$48,4,FALSE)&amp;$AX314,坦克属性分配比例,MATCH("部件比例",坦克属性分配比例标头,0),FALSE)*$C$3),0)</f>
        <v>619</v>
      </c>
      <c r="BC314" s="654">
        <f ca="1">ROUND(VLOOKUP($AW314&amp;"初始",$O$3:$AA$63,MATCH(BC$3,$O$3:$AA$3,0),FALSE)+(VLOOKUP($AW314&amp;"最终",$O$3:$AA$63,MATCH(BC$3,$O$3:$AA$3,0),FALSE)-VLOOKUP($AW314&amp;"初始",$O$3:$AA$63,MATCH(BC$3,$O$3:$AA$3,0),FALSE))*$AY314/VLOOKUP(VLOOKUP($AW314,坦克个性化设定!$B$18:$E$48,4,FALSE)&amp;$AX314,坦克属性分配比例,MATCH("升星次数",坦克属性分配比例标头,0),FALSE)*(VLOOKUP(VLOOKUP($AW314,坦克个性化设定!$B$18:$E$48,4,FALSE)&amp;$AX314,坦克属性分配比例,MATCH("升星比例",坦克属性分配比例标头,0),FALSE)+VLOOKUP(VLOOKUP($AW314,坦克个性化设定!$B$18:$E$48,4,FALSE)&amp;$AX314,坦克属性分配比例,MATCH("部件比例",坦克属性分配比例标头,0),FALSE)*$C$3),0)</f>
        <v>495</v>
      </c>
      <c r="BD314" s="654">
        <f ca="1">ROUND(VLOOKUP($AW314&amp;"初始",$O$3:$AA$63,MATCH(BD$3,$O$3:$AA$3,0),FALSE)+(VLOOKUP($AW314&amp;"最终",$O$3:$AA$63,MATCH(BD$3,$O$3:$AA$3,0),FALSE)-VLOOKUP($AW314&amp;"初始",$O$3:$AA$63,MATCH(BD$3,$O$3:$AA$3,0),FALSE))*$AY314/VLOOKUP(VLOOKUP($AW314,坦克个性化设定!$B$18:$E$48,4,FALSE)&amp;$AX314,坦克属性分配比例,MATCH("升星次数",坦克属性分配比例标头,0),FALSE)*VLOOKUP(VLOOKUP($AW314,坦克个性化设定!$B$18:$E$48,4,FALSE)&amp;$AX314,坦克属性分配比例,MATCH("升星比例",坦克属性分配比例标头,0),FALSE),0)</f>
        <v>808</v>
      </c>
      <c r="BE314" s="654">
        <f ca="1">ROUND(VLOOKUP($AW314&amp;"初始",$O$3:$AA$63,MATCH(BE$3,$O$3:$AA$3,0),FALSE)+(VLOOKUP($AW314&amp;"最终",$O$3:$AA$63,MATCH(BE$3,$O$3:$AA$3,0),FALSE)-VLOOKUP($AW314&amp;"初始",$O$3:$AA$63,MATCH(BE$3,$O$3:$AA$3,0),FALSE))*$AY314/VLOOKUP(VLOOKUP($AW314,坦克个性化设定!$B$18:$E$48,4,FALSE)&amp;$AX314,坦克属性分配比例,MATCH("升星次数",坦克属性分配比例标头,0),FALSE),0)</f>
        <v>191</v>
      </c>
      <c r="BF314" s="654">
        <f>ROUND(VLOOKUP($AW314,$AD$3:$AJ$33,MATCH(BF$3,$AD$3:$AJ$3,0),FALSE)+$AY314/VLOOKUP(VLOOKUP($AW314,坦克个性化设定!$B$18:$E$48,4,FALSE)&amp;$AX314,坦克属性分配比例,MATCH("升星次数",坦克属性分配比例标头,0),FALSE)*VLOOKUP($AW314,$AM$3:$AS$33,MATCH(BF$3,$AM$3:$AS$3,0),FALSE),1)</f>
        <v>32.1</v>
      </c>
      <c r="BG314" s="654">
        <f>ROUND(VLOOKUP($AW314,$AD$3:$AJ$33,MATCH(BG$3,$AD$3:$AJ$3,0),FALSE)+$AY314/VLOOKUP(VLOOKUP($AW314,坦克个性化设定!$B$18:$E$48,4,FALSE)&amp;$AX314,坦克属性分配比例,MATCH("升星次数",坦克属性分配比例标头,0),FALSE)*VLOOKUP($AW314,$AM$3:$AS$33,MATCH(BG$3,$AM$3:$AS$3,0),FALSE),1)</f>
        <v>44.9</v>
      </c>
      <c r="BH314" s="654">
        <f>ROUND(VLOOKUP($AW314,$AD$3:$AJ$33,MATCH(BH$3,$AD$3:$AJ$3,0),FALSE)+$AY314/VLOOKUP(VLOOKUP($AW314,坦克个性化设定!$B$18:$E$48,4,FALSE)&amp;$AX314,坦克属性分配比例,MATCH("升星次数",坦克属性分配比例标头,0),FALSE)*VLOOKUP($AW314,$AM$3:$AS$33,MATCH(BH$3,$AM$3:$AS$3,0),FALSE),1)</f>
        <v>9.8000000000000007</v>
      </c>
      <c r="BI314" s="654">
        <f>IF(VLOOKUP(AW314,坦克个性化设定!$B$18:$BB$48,MATCH("装弹类型",坦克个性化设定!$B$18:$BB$18,0),FALSE)="弹夹换弹",0,ROUND(VLOOKUP($AW314,$AD$3:$AJ$33,MATCH("换弹时间",$AD$3:$AJ$3,0),FALSE)-$AY314/VLOOKUP(VLOOKUP($AW314,坦克个性化设定!$B$18:$E$48,4,FALSE)&amp;$AX314,坦克属性分配比例,MATCH("升星次数",坦克属性分配比例标头,0),FALSE)*VLOOKUP($AW314,$AM$3:$AS$33,MATCH("换弹时间",$AM$3:$AS$3,0),FALSE),2))</f>
        <v>5.85</v>
      </c>
      <c r="BJ314" s="654">
        <f>IF(VLOOKUP(AW314,坦克个性化设定!$B$18:$BB$48,MATCH("装弹类型",坦克个性化设定!$B$18:$BB$18,0),FALSE)="弹夹换弹",ROUND(VLOOKUP($AW314,$AD$3:$AJ$33,MATCH("换弹时间",$AD$3:$AJ$3,0),FALSE)-$AY314/VLOOKUP(VLOOKUP($AW314,坦克个性化设定!$B$18:$E$48,4,FALSE)&amp;$AX314,坦克属性分配比例,MATCH("升星次数",坦克属性分配比例标头,0),FALSE)*VLOOKUP($AW314,$AM$3:$AS$33,MATCH("换弹时间",$AM$3:$AS$3,0),FALSE),1),0)</f>
        <v>0</v>
      </c>
      <c r="BK314" s="654">
        <f>ROUND(VLOOKUP($AW314,$AD$3:$AJ$33,MATCH(BK$3,$AD$3:$AJ$3,0),FALSE)+$AY314/VLOOKUP(VLOOKUP($AW314,坦克个性化设定!$B$18:$E$48,4,FALSE)&amp;$AX314,坦克属性分配比例,MATCH("升星次数",坦克属性分配比例标头,0),FALSE)*VLOOKUP($AW314,$AM$3:$AS$33,MATCH(BK$3,$AM$3:$AS$3,0),FALSE),2)</f>
        <v>0</v>
      </c>
      <c r="BL314" s="654">
        <f>ROUND(VLOOKUP($AW314,$AD$3:$AJ$33,MATCH(BL$3,$AD$3:$AJ$3,0),FALSE)-$AY314/VLOOKUP(VLOOKUP($AW314,坦克个性化设定!$B$18:$E$48,4,FALSE)&amp;$AX314,坦克属性分配比例,MATCH("升星次数",坦克属性分配比例标头,0),FALSE)*VLOOKUP($AW314,$AM$3:$AS$33,MATCH(BL$3,$AM$3:$AS$3,0),FALSE),2)</f>
        <v>2.95</v>
      </c>
    </row>
    <row r="315" spans="47:64" x14ac:dyDescent="0.35">
      <c r="AU315" s="372" t="str">
        <f t="shared" si="30"/>
        <v>征服者2</v>
      </c>
      <c r="AV315" s="654">
        <f>IF(AY314&gt;=VLOOKUP(VLOOKUP(AW314,坦克个性化设定!$B$18:$E$48,4,FALSE)&amp;AX314,坦克属性分配比例,MATCH("升星次数",坦克属性分配比例标头,0),FALSE),AV314+1,AV314)</f>
        <v>27</v>
      </c>
      <c r="AW315" s="649" t="str">
        <f t="shared" si="31"/>
        <v>征服者</v>
      </c>
      <c r="AX315" s="650" t="str">
        <f>VLOOKUP(AW315,坦克个性化细分!$I$3:$J$33,2,FALSE)</f>
        <v>低</v>
      </c>
      <c r="AY315" s="654">
        <f t="shared" si="32"/>
        <v>2</v>
      </c>
      <c r="AZ315" s="654">
        <f ca="1">ROUND(VLOOKUP($AW315&amp;"初始",$O$3:$AA$63,MATCH(AZ$3,$O$3:$AA$3,0),FALSE)+((VLOOKUP($AW315&amp;"最终",$O$3:$AA$63,MATCH(AZ$3,$O$3:$AA$3,0),FALSE)*坦克个性化细分!$C$9-VLOOKUP($AW315&amp;"初始",$O$3:$AA$63,MATCH(AZ$3,$O$3:$AA$3,0),FALSE))-(VLOOKUP($AW315&amp;"最终",$O$3:$AA$63,MATCH(AZ$3,$O$3:$AA$3,0),FALSE)-VLOOKUP($AW315&amp;"初始",$O$3:$AA$63,MATCH(AZ$3,$O$3:$AA$3,0),FALSE))*VLOOKUP(VLOOKUP($AW315,坦克个性化设定!$B$18:$E$48,4,FALSE)&amp;$AX315,坦克属性分配比例,MATCH("部件比例",坦克属性分配比例标头,0),FALSE))*$AY315/VLOOKUP(VLOOKUP($AW315,坦克个性化设定!$B$18:$E$48,4,FALSE)&amp;$AX315,坦克属性分配比例,MATCH("升星次数",坦克属性分配比例标头,0),FALSE),0)</f>
        <v>2146</v>
      </c>
      <c r="BA315" s="654">
        <f ca="1">ROUND(VLOOKUP($AW315&amp;"初始",$O$3:$AA$63,MATCH(BA$3,$O$3:$AA$3,0),FALSE)+(VLOOKUP($AW315&amp;"最终",$O$3:$AA$63,MATCH(BA$3,$O$3:$AA$3,0),FALSE)-VLOOKUP($AW315&amp;"初始",$O$3:$AA$63,MATCH(BA$3,$O$3:$AA$3,0),FALSE))*$AY315/VLOOKUP(VLOOKUP($AW315,坦克个性化设定!$B$18:$E$48,4,FALSE)&amp;$AX315,坦克属性分配比例,MATCH("升星次数",坦克属性分配比例标头,0),FALSE)*VLOOKUP(VLOOKUP($AW315,坦克个性化设定!$B$18:$E$48,4,FALSE)&amp;$AX315,坦克属性分配比例,MATCH("升星比例",坦克属性分配比例标头,0),FALSE),0)</f>
        <v>359</v>
      </c>
      <c r="BB315" s="654">
        <f ca="1">ROUND(VLOOKUP($AW315&amp;"初始",$O$3:$AA$63,MATCH(BB$3,$O$3:$AA$3,0),FALSE)+(VLOOKUP($AW315&amp;"最终",$O$3:$AA$63,MATCH(BB$3,$O$3:$AA$3,0),FALSE)-VLOOKUP($AW315&amp;"初始",$O$3:$AA$63,MATCH(BB$3,$O$3:$AA$3,0),FALSE))*$AY315/VLOOKUP(VLOOKUP($AW315,坦克个性化设定!$B$18:$E$48,4,FALSE)&amp;$AX315,坦克属性分配比例,MATCH("升星次数",坦克属性分配比例标头,0),FALSE)*(VLOOKUP(VLOOKUP($AW315,坦克个性化设定!$B$18:$E$48,4,FALSE)&amp;$AX315,坦克属性分配比例,MATCH("升星比例",坦克属性分配比例标头,0),FALSE)+VLOOKUP(VLOOKUP($AW315,坦克个性化设定!$B$18:$E$48,4,FALSE)&amp;$AX315,坦克属性分配比例,MATCH("部件比例",坦克属性分配比例标头,0),FALSE)*$C$3),0)</f>
        <v>641</v>
      </c>
      <c r="BC315" s="654">
        <f ca="1">ROUND(VLOOKUP($AW315&amp;"初始",$O$3:$AA$63,MATCH(BC$3,$O$3:$AA$3,0),FALSE)+(VLOOKUP($AW315&amp;"最终",$O$3:$AA$63,MATCH(BC$3,$O$3:$AA$3,0),FALSE)-VLOOKUP($AW315&amp;"初始",$O$3:$AA$63,MATCH(BC$3,$O$3:$AA$3,0),FALSE))*$AY315/VLOOKUP(VLOOKUP($AW315,坦克个性化设定!$B$18:$E$48,4,FALSE)&amp;$AX315,坦克属性分配比例,MATCH("升星次数",坦克属性分配比例标头,0),FALSE)*(VLOOKUP(VLOOKUP($AW315,坦克个性化设定!$B$18:$E$48,4,FALSE)&amp;$AX315,坦克属性分配比例,MATCH("升星比例",坦克属性分配比例标头,0),FALSE)+VLOOKUP(VLOOKUP($AW315,坦克个性化设定!$B$18:$E$48,4,FALSE)&amp;$AX315,坦克属性分配比例,MATCH("部件比例",坦克属性分配比例标头,0),FALSE)*$C$3),0)</f>
        <v>513</v>
      </c>
      <c r="BD315" s="654">
        <f ca="1">ROUND(VLOOKUP($AW315&amp;"初始",$O$3:$AA$63,MATCH(BD$3,$O$3:$AA$3,0),FALSE)+(VLOOKUP($AW315&amp;"最终",$O$3:$AA$63,MATCH(BD$3,$O$3:$AA$3,0),FALSE)-VLOOKUP($AW315&amp;"初始",$O$3:$AA$63,MATCH(BD$3,$O$3:$AA$3,0),FALSE))*$AY315/VLOOKUP(VLOOKUP($AW315,坦克个性化设定!$B$18:$E$48,4,FALSE)&amp;$AX315,坦克属性分配比例,MATCH("升星次数",坦克属性分配比例标头,0),FALSE)*VLOOKUP(VLOOKUP($AW315,坦克个性化设定!$B$18:$E$48,4,FALSE)&amp;$AX315,坦克属性分配比例,MATCH("升星比例",坦克属性分配比例标头,0),FALSE),0)</f>
        <v>818</v>
      </c>
      <c r="BE315" s="654">
        <f ca="1">ROUND(VLOOKUP($AW315&amp;"初始",$O$3:$AA$63,MATCH(BE$3,$O$3:$AA$3,0),FALSE)+(VLOOKUP($AW315&amp;"最终",$O$3:$AA$63,MATCH(BE$3,$O$3:$AA$3,0),FALSE)-VLOOKUP($AW315&amp;"初始",$O$3:$AA$63,MATCH(BE$3,$O$3:$AA$3,0),FALSE))*$AY315/VLOOKUP(VLOOKUP($AW315,坦克个性化设定!$B$18:$E$48,4,FALSE)&amp;$AX315,坦克属性分配比例,MATCH("升星次数",坦克属性分配比例标头,0),FALSE),0)</f>
        <v>200</v>
      </c>
      <c r="BF315" s="654">
        <f>ROUND(VLOOKUP($AW315,$AD$3:$AJ$33,MATCH(BF$3,$AD$3:$AJ$3,0),FALSE)+$AY315/VLOOKUP(VLOOKUP($AW315,坦克个性化设定!$B$18:$E$48,4,FALSE)&amp;$AX315,坦克属性分配比例,MATCH("升星次数",坦克属性分配比例标头,0),FALSE)*VLOOKUP($AW315,$AM$3:$AS$33,MATCH(BF$3,$AM$3:$AS$3,0),FALSE),1)</f>
        <v>32.9</v>
      </c>
      <c r="BG315" s="654">
        <f>ROUND(VLOOKUP($AW315,$AD$3:$AJ$33,MATCH(BG$3,$AD$3:$AJ$3,0),FALSE)+$AY315/VLOOKUP(VLOOKUP($AW315,坦克个性化设定!$B$18:$E$48,4,FALSE)&amp;$AX315,坦克属性分配比例,MATCH("升星次数",坦克属性分配比例标头,0),FALSE)*VLOOKUP($AW315,$AM$3:$AS$33,MATCH(BG$3,$AM$3:$AS$3,0),FALSE),1)</f>
        <v>46</v>
      </c>
      <c r="BH315" s="654">
        <f>ROUND(VLOOKUP($AW315,$AD$3:$AJ$33,MATCH(BH$3,$AD$3:$AJ$3,0),FALSE)+$AY315/VLOOKUP(VLOOKUP($AW315,坦克个性化设定!$B$18:$E$48,4,FALSE)&amp;$AX315,坦克属性分配比例,MATCH("升星次数",坦克属性分配比例标头,0),FALSE)*VLOOKUP($AW315,$AM$3:$AS$33,MATCH(BH$3,$AM$3:$AS$3,0),FALSE),1)</f>
        <v>10.1</v>
      </c>
      <c r="BI315" s="654">
        <f>IF(VLOOKUP(AW315,坦克个性化设定!$B$18:$BB$48,MATCH("装弹类型",坦克个性化设定!$B$18:$BB$18,0),FALSE)="弹夹换弹",0,ROUND(VLOOKUP($AW315,$AD$3:$AJ$33,MATCH("换弹时间",$AD$3:$AJ$3,0),FALSE)-$AY315/VLOOKUP(VLOOKUP($AW315,坦克个性化设定!$B$18:$E$48,4,FALSE)&amp;$AX315,坦克属性分配比例,MATCH("升星次数",坦克属性分配比例标头,0),FALSE)*VLOOKUP($AW315,$AM$3:$AS$33,MATCH("换弹时间",$AM$3:$AS$3,0),FALSE),2))</f>
        <v>5.7</v>
      </c>
      <c r="BJ315" s="654">
        <f>IF(VLOOKUP(AW315,坦克个性化设定!$B$18:$BB$48,MATCH("装弹类型",坦克个性化设定!$B$18:$BB$18,0),FALSE)="弹夹换弹",ROUND(VLOOKUP($AW315,$AD$3:$AJ$33,MATCH("换弹时间",$AD$3:$AJ$3,0),FALSE)-$AY315/VLOOKUP(VLOOKUP($AW315,坦克个性化设定!$B$18:$E$48,4,FALSE)&amp;$AX315,坦克属性分配比例,MATCH("升星次数",坦克属性分配比例标头,0),FALSE)*VLOOKUP($AW315,$AM$3:$AS$33,MATCH("换弹时间",$AM$3:$AS$3,0),FALSE),1),0)</f>
        <v>0</v>
      </c>
      <c r="BK315" s="654">
        <f>ROUND(VLOOKUP($AW315,$AD$3:$AJ$33,MATCH(BK$3,$AD$3:$AJ$3,0),FALSE)+$AY315/VLOOKUP(VLOOKUP($AW315,坦克个性化设定!$B$18:$E$48,4,FALSE)&amp;$AX315,坦克属性分配比例,MATCH("升星次数",坦克属性分配比例标头,0),FALSE)*VLOOKUP($AW315,$AM$3:$AS$33,MATCH(BK$3,$AM$3:$AS$3,0),FALSE),2)</f>
        <v>0</v>
      </c>
      <c r="BL315" s="654">
        <f>ROUND(VLOOKUP($AW315,$AD$3:$AJ$33,MATCH(BL$3,$AD$3:$AJ$3,0),FALSE)-$AY315/VLOOKUP(VLOOKUP($AW315,坦克个性化设定!$B$18:$E$48,4,FALSE)&amp;$AX315,坦克属性分配比例,MATCH("升星次数",坦克属性分配比例标头,0),FALSE)*VLOOKUP($AW315,$AM$3:$AS$33,MATCH(BL$3,$AM$3:$AS$3,0),FALSE),2)</f>
        <v>2.9</v>
      </c>
    </row>
    <row r="316" spans="47:64" x14ac:dyDescent="0.35">
      <c r="AU316" s="372" t="str">
        <f t="shared" si="30"/>
        <v>征服者3</v>
      </c>
      <c r="AV316" s="654">
        <f>IF(AY315&gt;=VLOOKUP(VLOOKUP(AW315,坦克个性化设定!$B$18:$E$48,4,FALSE)&amp;AX315,坦克属性分配比例,MATCH("升星次数",坦克属性分配比例标头,0),FALSE),AV315+1,AV315)</f>
        <v>27</v>
      </c>
      <c r="AW316" s="649" t="str">
        <f t="shared" si="31"/>
        <v>征服者</v>
      </c>
      <c r="AX316" s="650" t="str">
        <f>VLOOKUP(AW316,坦克个性化细分!$I$3:$J$33,2,FALSE)</f>
        <v>低</v>
      </c>
      <c r="AY316" s="654">
        <f t="shared" si="32"/>
        <v>3</v>
      </c>
      <c r="AZ316" s="654">
        <f ca="1">ROUND(VLOOKUP($AW316&amp;"初始",$O$3:$AA$63,MATCH(AZ$3,$O$3:$AA$3,0),FALSE)+((VLOOKUP($AW316&amp;"最终",$O$3:$AA$63,MATCH(AZ$3,$O$3:$AA$3,0),FALSE)*坦克个性化细分!$C$9-VLOOKUP($AW316&amp;"初始",$O$3:$AA$63,MATCH(AZ$3,$O$3:$AA$3,0),FALSE))-(VLOOKUP($AW316&amp;"最终",$O$3:$AA$63,MATCH(AZ$3,$O$3:$AA$3,0),FALSE)-VLOOKUP($AW316&amp;"初始",$O$3:$AA$63,MATCH(AZ$3,$O$3:$AA$3,0),FALSE))*VLOOKUP(VLOOKUP($AW316,坦克个性化设定!$B$18:$E$48,4,FALSE)&amp;$AX316,坦克属性分配比例,MATCH("部件比例",坦克属性分配比例标头,0),FALSE))*$AY316/VLOOKUP(VLOOKUP($AW316,坦克个性化设定!$B$18:$E$48,4,FALSE)&amp;$AX316,坦克属性分配比例,MATCH("升星次数",坦克属性分配比例标头,0),FALSE),0)</f>
        <v>2258</v>
      </c>
      <c r="BA316" s="654">
        <f ca="1">ROUND(VLOOKUP($AW316&amp;"初始",$O$3:$AA$63,MATCH(BA$3,$O$3:$AA$3,0),FALSE)+(VLOOKUP($AW316&amp;"最终",$O$3:$AA$63,MATCH(BA$3,$O$3:$AA$3,0),FALSE)-VLOOKUP($AW316&amp;"初始",$O$3:$AA$63,MATCH(BA$3,$O$3:$AA$3,0),FALSE))*$AY316/VLOOKUP(VLOOKUP($AW316,坦克个性化设定!$B$18:$E$48,4,FALSE)&amp;$AX316,坦克属性分配比例,MATCH("升星次数",坦克属性分配比例标头,0),FALSE)*VLOOKUP(VLOOKUP($AW316,坦克个性化设定!$B$18:$E$48,4,FALSE)&amp;$AX316,坦克属性分配比例,MATCH("升星比例",坦克属性分配比例标头,0),FALSE),0)</f>
        <v>363</v>
      </c>
      <c r="BB316" s="654">
        <f ca="1">ROUND(VLOOKUP($AW316&amp;"初始",$O$3:$AA$63,MATCH(BB$3,$O$3:$AA$3,0),FALSE)+(VLOOKUP($AW316&amp;"最终",$O$3:$AA$63,MATCH(BB$3,$O$3:$AA$3,0),FALSE)-VLOOKUP($AW316&amp;"初始",$O$3:$AA$63,MATCH(BB$3,$O$3:$AA$3,0),FALSE))*$AY316/VLOOKUP(VLOOKUP($AW316,坦克个性化设定!$B$18:$E$48,4,FALSE)&amp;$AX316,坦克属性分配比例,MATCH("升星次数",坦克属性分配比例标头,0),FALSE)*(VLOOKUP(VLOOKUP($AW316,坦克个性化设定!$B$18:$E$48,4,FALSE)&amp;$AX316,坦克属性分配比例,MATCH("升星比例",坦克属性分配比例标头,0),FALSE)+VLOOKUP(VLOOKUP($AW316,坦克个性化设定!$B$18:$E$48,4,FALSE)&amp;$AX316,坦克属性分配比例,MATCH("部件比例",坦克属性分配比例标头,0),FALSE)*$C$3),0)</f>
        <v>662</v>
      </c>
      <c r="BC316" s="654">
        <f ca="1">ROUND(VLOOKUP($AW316&amp;"初始",$O$3:$AA$63,MATCH(BC$3,$O$3:$AA$3,0),FALSE)+(VLOOKUP($AW316&amp;"最终",$O$3:$AA$63,MATCH(BC$3,$O$3:$AA$3,0),FALSE)-VLOOKUP($AW316&amp;"初始",$O$3:$AA$63,MATCH(BC$3,$O$3:$AA$3,0),FALSE))*$AY316/VLOOKUP(VLOOKUP($AW316,坦克个性化设定!$B$18:$E$48,4,FALSE)&amp;$AX316,坦克属性分配比例,MATCH("升星次数",坦克属性分配比例标头,0),FALSE)*(VLOOKUP(VLOOKUP($AW316,坦克个性化设定!$B$18:$E$48,4,FALSE)&amp;$AX316,坦克属性分配比例,MATCH("升星比例",坦克属性分配比例标头,0),FALSE)+VLOOKUP(VLOOKUP($AW316,坦克个性化设定!$B$18:$E$48,4,FALSE)&amp;$AX316,坦克属性分配比例,MATCH("部件比例",坦克属性分配比例标头,0),FALSE)*$C$3),0)</f>
        <v>530</v>
      </c>
      <c r="BD316" s="654">
        <f ca="1">ROUND(VLOOKUP($AW316&amp;"初始",$O$3:$AA$63,MATCH(BD$3,$O$3:$AA$3,0),FALSE)+(VLOOKUP($AW316&amp;"最终",$O$3:$AA$63,MATCH(BD$3,$O$3:$AA$3,0),FALSE)-VLOOKUP($AW316&amp;"初始",$O$3:$AA$63,MATCH(BD$3,$O$3:$AA$3,0),FALSE))*$AY316/VLOOKUP(VLOOKUP($AW316,坦克个性化设定!$B$18:$E$48,4,FALSE)&amp;$AX316,坦克属性分配比例,MATCH("升星次数",坦克属性分配比例标头,0),FALSE)*VLOOKUP(VLOOKUP($AW316,坦克个性化设定!$B$18:$E$48,4,FALSE)&amp;$AX316,坦克属性分配比例,MATCH("升星比例",坦克属性分配比例标头,0),FALSE),0)</f>
        <v>827</v>
      </c>
      <c r="BE316" s="654">
        <f ca="1">ROUND(VLOOKUP($AW316&amp;"初始",$O$3:$AA$63,MATCH(BE$3,$O$3:$AA$3,0),FALSE)+(VLOOKUP($AW316&amp;"最终",$O$3:$AA$63,MATCH(BE$3,$O$3:$AA$3,0),FALSE)-VLOOKUP($AW316&amp;"初始",$O$3:$AA$63,MATCH(BE$3,$O$3:$AA$3,0),FALSE))*$AY316/VLOOKUP(VLOOKUP($AW316,坦克个性化设定!$B$18:$E$48,4,FALSE)&amp;$AX316,坦克属性分配比例,MATCH("升星次数",坦克属性分配比例标头,0),FALSE),0)</f>
        <v>210</v>
      </c>
      <c r="BF316" s="654">
        <f>ROUND(VLOOKUP($AW316,$AD$3:$AJ$33,MATCH(BF$3,$AD$3:$AJ$3,0),FALSE)+$AY316/VLOOKUP(VLOOKUP($AW316,坦克个性化设定!$B$18:$E$48,4,FALSE)&amp;$AX316,坦克属性分配比例,MATCH("升星次数",坦克属性分配比例标头,0),FALSE)*VLOOKUP($AW316,$AM$3:$AS$33,MATCH(BF$3,$AM$3:$AS$3,0),FALSE),1)</f>
        <v>33.6</v>
      </c>
      <c r="BG316" s="654">
        <f>ROUND(VLOOKUP($AW316,$AD$3:$AJ$33,MATCH(BG$3,$AD$3:$AJ$3,0),FALSE)+$AY316/VLOOKUP(VLOOKUP($AW316,坦克个性化设定!$B$18:$E$48,4,FALSE)&amp;$AX316,坦克属性分配比例,MATCH("升星次数",坦克属性分配比例标头,0),FALSE)*VLOOKUP($AW316,$AM$3:$AS$33,MATCH(BG$3,$AM$3:$AS$3,0),FALSE),1)</f>
        <v>47.1</v>
      </c>
      <c r="BH316" s="654">
        <f>ROUND(VLOOKUP($AW316,$AD$3:$AJ$33,MATCH(BH$3,$AD$3:$AJ$3,0),FALSE)+$AY316/VLOOKUP(VLOOKUP($AW316,坦克个性化设定!$B$18:$E$48,4,FALSE)&amp;$AX316,坦克属性分配比例,MATCH("升星次数",坦克属性分配比例标头,0),FALSE)*VLOOKUP($AW316,$AM$3:$AS$33,MATCH(BH$3,$AM$3:$AS$3,0),FALSE),1)</f>
        <v>10.4</v>
      </c>
      <c r="BI316" s="654">
        <f>IF(VLOOKUP(AW316,坦克个性化设定!$B$18:$BB$48,MATCH("装弹类型",坦克个性化设定!$B$18:$BB$18,0),FALSE)="弹夹换弹",0,ROUND(VLOOKUP($AW316,$AD$3:$AJ$33,MATCH("换弹时间",$AD$3:$AJ$3,0),FALSE)-$AY316/VLOOKUP(VLOOKUP($AW316,坦克个性化设定!$B$18:$E$48,4,FALSE)&amp;$AX316,坦克属性分配比例,MATCH("升星次数",坦克属性分配比例标头,0),FALSE)*VLOOKUP($AW316,$AM$3:$AS$33,MATCH("换弹时间",$AM$3:$AS$3,0),FALSE),2))</f>
        <v>5.55</v>
      </c>
      <c r="BJ316" s="654">
        <f>IF(VLOOKUP(AW316,坦克个性化设定!$B$18:$BB$48,MATCH("装弹类型",坦克个性化设定!$B$18:$BB$18,0),FALSE)="弹夹换弹",ROUND(VLOOKUP($AW316,$AD$3:$AJ$33,MATCH("换弹时间",$AD$3:$AJ$3,0),FALSE)-$AY316/VLOOKUP(VLOOKUP($AW316,坦克个性化设定!$B$18:$E$48,4,FALSE)&amp;$AX316,坦克属性分配比例,MATCH("升星次数",坦克属性分配比例标头,0),FALSE)*VLOOKUP($AW316,$AM$3:$AS$33,MATCH("换弹时间",$AM$3:$AS$3,0),FALSE),1),0)</f>
        <v>0</v>
      </c>
      <c r="BK316" s="654">
        <f>ROUND(VLOOKUP($AW316,$AD$3:$AJ$33,MATCH(BK$3,$AD$3:$AJ$3,0),FALSE)+$AY316/VLOOKUP(VLOOKUP($AW316,坦克个性化设定!$B$18:$E$48,4,FALSE)&amp;$AX316,坦克属性分配比例,MATCH("升星次数",坦克属性分配比例标头,0),FALSE)*VLOOKUP($AW316,$AM$3:$AS$33,MATCH(BK$3,$AM$3:$AS$3,0),FALSE),2)</f>
        <v>0</v>
      </c>
      <c r="BL316" s="654">
        <f>ROUND(VLOOKUP($AW316,$AD$3:$AJ$33,MATCH(BL$3,$AD$3:$AJ$3,0),FALSE)-$AY316/VLOOKUP(VLOOKUP($AW316,坦克个性化设定!$B$18:$E$48,4,FALSE)&amp;$AX316,坦克属性分配比例,MATCH("升星次数",坦克属性分配比例标头,0),FALSE)*VLOOKUP($AW316,$AM$3:$AS$33,MATCH(BL$3,$AM$3:$AS$3,0),FALSE),2)</f>
        <v>2.85</v>
      </c>
    </row>
    <row r="317" spans="47:64" x14ac:dyDescent="0.35">
      <c r="AU317" s="372" t="str">
        <f t="shared" si="30"/>
        <v>征服者4</v>
      </c>
      <c r="AV317" s="654">
        <f>IF(AY316&gt;=VLOOKUP(VLOOKUP(AW316,坦克个性化设定!$B$18:$E$48,4,FALSE)&amp;AX316,坦克属性分配比例,MATCH("升星次数",坦克属性分配比例标头,0),FALSE),AV316+1,AV316)</f>
        <v>27</v>
      </c>
      <c r="AW317" s="649" t="str">
        <f t="shared" si="31"/>
        <v>征服者</v>
      </c>
      <c r="AX317" s="650" t="str">
        <f>VLOOKUP(AW317,坦克个性化细分!$I$3:$J$33,2,FALSE)</f>
        <v>低</v>
      </c>
      <c r="AY317" s="654">
        <f t="shared" si="32"/>
        <v>4</v>
      </c>
      <c r="AZ317" s="654">
        <f ca="1">ROUND(VLOOKUP($AW317&amp;"初始",$O$3:$AA$63,MATCH(AZ$3,$O$3:$AA$3,0),FALSE)+((VLOOKUP($AW317&amp;"最终",$O$3:$AA$63,MATCH(AZ$3,$O$3:$AA$3,0),FALSE)*坦克个性化细分!$C$9-VLOOKUP($AW317&amp;"初始",$O$3:$AA$63,MATCH(AZ$3,$O$3:$AA$3,0),FALSE))-(VLOOKUP($AW317&amp;"最终",$O$3:$AA$63,MATCH(AZ$3,$O$3:$AA$3,0),FALSE)-VLOOKUP($AW317&amp;"初始",$O$3:$AA$63,MATCH(AZ$3,$O$3:$AA$3,0),FALSE))*VLOOKUP(VLOOKUP($AW317,坦克个性化设定!$B$18:$E$48,4,FALSE)&amp;$AX317,坦克属性分配比例,MATCH("部件比例",坦克属性分配比例标头,0),FALSE))*$AY317/VLOOKUP(VLOOKUP($AW317,坦克个性化设定!$B$18:$E$48,4,FALSE)&amp;$AX317,坦克属性分配比例,MATCH("升星次数",坦克属性分配比例标头,0),FALSE),0)</f>
        <v>2369</v>
      </c>
      <c r="BA317" s="654">
        <f ca="1">ROUND(VLOOKUP($AW317&amp;"初始",$O$3:$AA$63,MATCH(BA$3,$O$3:$AA$3,0),FALSE)+(VLOOKUP($AW317&amp;"最终",$O$3:$AA$63,MATCH(BA$3,$O$3:$AA$3,0),FALSE)-VLOOKUP($AW317&amp;"初始",$O$3:$AA$63,MATCH(BA$3,$O$3:$AA$3,0),FALSE))*$AY317/VLOOKUP(VLOOKUP($AW317,坦克个性化设定!$B$18:$E$48,4,FALSE)&amp;$AX317,坦克属性分配比例,MATCH("升星次数",坦克属性分配比例标头,0),FALSE)*VLOOKUP(VLOOKUP($AW317,坦克个性化设定!$B$18:$E$48,4,FALSE)&amp;$AX317,坦克属性分配比例,MATCH("升星比例",坦克属性分配比例标头,0),FALSE),0)</f>
        <v>367</v>
      </c>
      <c r="BB317" s="654">
        <f ca="1">ROUND(VLOOKUP($AW317&amp;"初始",$O$3:$AA$63,MATCH(BB$3,$O$3:$AA$3,0),FALSE)+(VLOOKUP($AW317&amp;"最终",$O$3:$AA$63,MATCH(BB$3,$O$3:$AA$3,0),FALSE)-VLOOKUP($AW317&amp;"初始",$O$3:$AA$63,MATCH(BB$3,$O$3:$AA$3,0),FALSE))*$AY317/VLOOKUP(VLOOKUP($AW317,坦克个性化设定!$B$18:$E$48,4,FALSE)&amp;$AX317,坦克属性分配比例,MATCH("升星次数",坦克属性分配比例标头,0),FALSE)*(VLOOKUP(VLOOKUP($AW317,坦克个性化设定!$B$18:$E$48,4,FALSE)&amp;$AX317,坦克属性分配比例,MATCH("升星比例",坦克属性分配比例标头,0),FALSE)+VLOOKUP(VLOOKUP($AW317,坦克个性化设定!$B$18:$E$48,4,FALSE)&amp;$AX317,坦克属性分配比例,MATCH("部件比例",坦克属性分配比例标头,0),FALSE)*$C$3),0)</f>
        <v>684</v>
      </c>
      <c r="BC317" s="654">
        <f ca="1">ROUND(VLOOKUP($AW317&amp;"初始",$O$3:$AA$63,MATCH(BC$3,$O$3:$AA$3,0),FALSE)+(VLOOKUP($AW317&amp;"最终",$O$3:$AA$63,MATCH(BC$3,$O$3:$AA$3,0),FALSE)-VLOOKUP($AW317&amp;"初始",$O$3:$AA$63,MATCH(BC$3,$O$3:$AA$3,0),FALSE))*$AY317/VLOOKUP(VLOOKUP($AW317,坦克个性化设定!$B$18:$E$48,4,FALSE)&amp;$AX317,坦克属性分配比例,MATCH("升星次数",坦克属性分配比例标头,0),FALSE)*(VLOOKUP(VLOOKUP($AW317,坦克个性化设定!$B$18:$E$48,4,FALSE)&amp;$AX317,坦克属性分配比例,MATCH("升星比例",坦克属性分配比例标头,0),FALSE)+VLOOKUP(VLOOKUP($AW317,坦克个性化设定!$B$18:$E$48,4,FALSE)&amp;$AX317,坦克属性分配比例,MATCH("部件比例",坦克属性分配比例标头,0),FALSE)*$C$3),0)</f>
        <v>548</v>
      </c>
      <c r="BD317" s="654">
        <f ca="1">ROUND(VLOOKUP($AW317&amp;"初始",$O$3:$AA$63,MATCH(BD$3,$O$3:$AA$3,0),FALSE)+(VLOOKUP($AW317&amp;"最终",$O$3:$AA$63,MATCH(BD$3,$O$3:$AA$3,0),FALSE)-VLOOKUP($AW317&amp;"初始",$O$3:$AA$63,MATCH(BD$3,$O$3:$AA$3,0),FALSE))*$AY317/VLOOKUP(VLOOKUP($AW317,坦克个性化设定!$B$18:$E$48,4,FALSE)&amp;$AX317,坦克属性分配比例,MATCH("升星次数",坦克属性分配比例标头,0),FALSE)*VLOOKUP(VLOOKUP($AW317,坦克个性化设定!$B$18:$E$48,4,FALSE)&amp;$AX317,坦克属性分配比例,MATCH("升星比例",坦克属性分配比例标头,0),FALSE),0)</f>
        <v>837</v>
      </c>
      <c r="BE317" s="654">
        <f ca="1">ROUND(VLOOKUP($AW317&amp;"初始",$O$3:$AA$63,MATCH(BE$3,$O$3:$AA$3,0),FALSE)+(VLOOKUP($AW317&amp;"最终",$O$3:$AA$63,MATCH(BE$3,$O$3:$AA$3,0),FALSE)-VLOOKUP($AW317&amp;"初始",$O$3:$AA$63,MATCH(BE$3,$O$3:$AA$3,0),FALSE))*$AY317/VLOOKUP(VLOOKUP($AW317,坦克个性化设定!$B$18:$E$48,4,FALSE)&amp;$AX317,坦克属性分配比例,MATCH("升星次数",坦克属性分配比例标头,0),FALSE),0)</f>
        <v>219</v>
      </c>
      <c r="BF317" s="654">
        <f>ROUND(VLOOKUP($AW317,$AD$3:$AJ$33,MATCH(BF$3,$AD$3:$AJ$3,0),FALSE)+$AY317/VLOOKUP(VLOOKUP($AW317,坦克个性化设定!$B$18:$E$48,4,FALSE)&amp;$AX317,坦克属性分配比例,MATCH("升星次数",坦克属性分配比例标头,0),FALSE)*VLOOKUP($AW317,$AM$3:$AS$33,MATCH(BF$3,$AM$3:$AS$3,0),FALSE),1)</f>
        <v>34.4</v>
      </c>
      <c r="BG317" s="654">
        <f>ROUND(VLOOKUP($AW317,$AD$3:$AJ$33,MATCH(BG$3,$AD$3:$AJ$3,0),FALSE)+$AY317/VLOOKUP(VLOOKUP($AW317,坦克个性化设定!$B$18:$E$48,4,FALSE)&amp;$AX317,坦克属性分配比例,MATCH("升星次数",坦克属性分配比例标头,0),FALSE)*VLOOKUP($AW317,$AM$3:$AS$33,MATCH(BG$3,$AM$3:$AS$3,0),FALSE),1)</f>
        <v>48.2</v>
      </c>
      <c r="BH317" s="654">
        <f>ROUND(VLOOKUP($AW317,$AD$3:$AJ$33,MATCH(BH$3,$AD$3:$AJ$3,0),FALSE)+$AY317/VLOOKUP(VLOOKUP($AW317,坦克个性化设定!$B$18:$E$48,4,FALSE)&amp;$AX317,坦克属性分配比例,MATCH("升星次数",坦克属性分配比例标头,0),FALSE)*VLOOKUP($AW317,$AM$3:$AS$33,MATCH(BH$3,$AM$3:$AS$3,0),FALSE),1)</f>
        <v>10.7</v>
      </c>
      <c r="BI317" s="654">
        <f>IF(VLOOKUP(AW317,坦克个性化设定!$B$18:$BB$48,MATCH("装弹类型",坦克个性化设定!$B$18:$BB$18,0),FALSE)="弹夹换弹",0,ROUND(VLOOKUP($AW317,$AD$3:$AJ$33,MATCH("换弹时间",$AD$3:$AJ$3,0),FALSE)-$AY317/VLOOKUP(VLOOKUP($AW317,坦克个性化设定!$B$18:$E$48,4,FALSE)&amp;$AX317,坦克属性分配比例,MATCH("升星次数",坦克属性分配比例标头,0),FALSE)*VLOOKUP($AW317,$AM$3:$AS$33,MATCH("换弹时间",$AM$3:$AS$3,0),FALSE),2))</f>
        <v>5.4</v>
      </c>
      <c r="BJ317" s="654">
        <f>IF(VLOOKUP(AW317,坦克个性化设定!$B$18:$BB$48,MATCH("装弹类型",坦克个性化设定!$B$18:$BB$18,0),FALSE)="弹夹换弹",ROUND(VLOOKUP($AW317,$AD$3:$AJ$33,MATCH("换弹时间",$AD$3:$AJ$3,0),FALSE)-$AY317/VLOOKUP(VLOOKUP($AW317,坦克个性化设定!$B$18:$E$48,4,FALSE)&amp;$AX317,坦克属性分配比例,MATCH("升星次数",坦克属性分配比例标头,0),FALSE)*VLOOKUP($AW317,$AM$3:$AS$33,MATCH("换弹时间",$AM$3:$AS$3,0),FALSE),1),0)</f>
        <v>0</v>
      </c>
      <c r="BK317" s="654">
        <f>ROUND(VLOOKUP($AW317,$AD$3:$AJ$33,MATCH(BK$3,$AD$3:$AJ$3,0),FALSE)+$AY317/VLOOKUP(VLOOKUP($AW317,坦克个性化设定!$B$18:$E$48,4,FALSE)&amp;$AX317,坦克属性分配比例,MATCH("升星次数",坦克属性分配比例标头,0),FALSE)*VLOOKUP($AW317,$AM$3:$AS$33,MATCH(BK$3,$AM$3:$AS$3,0),FALSE),2)</f>
        <v>0</v>
      </c>
      <c r="BL317" s="654">
        <f>ROUND(VLOOKUP($AW317,$AD$3:$AJ$33,MATCH(BL$3,$AD$3:$AJ$3,0),FALSE)-$AY317/VLOOKUP(VLOOKUP($AW317,坦克个性化设定!$B$18:$E$48,4,FALSE)&amp;$AX317,坦克属性分配比例,MATCH("升星次数",坦克属性分配比例标头,0),FALSE)*VLOOKUP($AW317,$AM$3:$AS$33,MATCH(BL$3,$AM$3:$AS$3,0),FALSE),2)</f>
        <v>2.8</v>
      </c>
    </row>
    <row r="318" spans="47:64" x14ac:dyDescent="0.35">
      <c r="AU318" s="372" t="str">
        <f t="shared" ref="AU318:AU372" si="33">AW318&amp;AY318</f>
        <v>征服者5</v>
      </c>
      <c r="AV318" s="654">
        <f>IF(AY317&gt;=VLOOKUP(VLOOKUP(AW317,坦克个性化设定!$B$18:$E$48,4,FALSE)&amp;AX317,坦克属性分配比例,MATCH("升星次数",坦克属性分配比例标头,0),FALSE),AV317+1,AV317)</f>
        <v>27</v>
      </c>
      <c r="AW318" s="649" t="str">
        <f t="shared" ref="AW318:AW372" si="34">VLOOKUP(AV318,$B$5:$C$35,2,FALSE)</f>
        <v>征服者</v>
      </c>
      <c r="AX318" s="650" t="str">
        <f>VLOOKUP(AW318,坦克个性化细分!$I$3:$J$33,2,FALSE)</f>
        <v>低</v>
      </c>
      <c r="AY318" s="654">
        <f t="shared" ref="AY318:AY372" si="35">IF(AW318&lt;&gt;AW317,0,AY317+1)</f>
        <v>5</v>
      </c>
      <c r="AZ318" s="654">
        <f ca="1">ROUND(VLOOKUP($AW318&amp;"初始",$O$3:$AA$63,MATCH(AZ$3,$O$3:$AA$3,0),FALSE)+((VLOOKUP($AW318&amp;"最终",$O$3:$AA$63,MATCH(AZ$3,$O$3:$AA$3,0),FALSE)*坦克个性化细分!$C$9-VLOOKUP($AW318&amp;"初始",$O$3:$AA$63,MATCH(AZ$3,$O$3:$AA$3,0),FALSE))-(VLOOKUP($AW318&amp;"最终",$O$3:$AA$63,MATCH(AZ$3,$O$3:$AA$3,0),FALSE)-VLOOKUP($AW318&amp;"初始",$O$3:$AA$63,MATCH(AZ$3,$O$3:$AA$3,0),FALSE))*VLOOKUP(VLOOKUP($AW318,坦克个性化设定!$B$18:$E$48,4,FALSE)&amp;$AX318,坦克属性分配比例,MATCH("部件比例",坦克属性分配比例标头,0),FALSE))*$AY318/VLOOKUP(VLOOKUP($AW318,坦克个性化设定!$B$18:$E$48,4,FALSE)&amp;$AX318,坦克属性分配比例,MATCH("升星次数",坦克属性分配比例标头,0),FALSE),0)</f>
        <v>2481</v>
      </c>
      <c r="BA318" s="654">
        <f ca="1">ROUND(VLOOKUP($AW318&amp;"初始",$O$3:$AA$63,MATCH(BA$3,$O$3:$AA$3,0),FALSE)+(VLOOKUP($AW318&amp;"最终",$O$3:$AA$63,MATCH(BA$3,$O$3:$AA$3,0),FALSE)-VLOOKUP($AW318&amp;"初始",$O$3:$AA$63,MATCH(BA$3,$O$3:$AA$3,0),FALSE))*$AY318/VLOOKUP(VLOOKUP($AW318,坦克个性化设定!$B$18:$E$48,4,FALSE)&amp;$AX318,坦克属性分配比例,MATCH("升星次数",坦克属性分配比例标头,0),FALSE)*VLOOKUP(VLOOKUP($AW318,坦克个性化设定!$B$18:$E$48,4,FALSE)&amp;$AX318,坦克属性分配比例,MATCH("升星比例",坦克属性分配比例标头,0),FALSE),0)</f>
        <v>372</v>
      </c>
      <c r="BB318" s="654">
        <f ca="1">ROUND(VLOOKUP($AW318&amp;"初始",$O$3:$AA$63,MATCH(BB$3,$O$3:$AA$3,0),FALSE)+(VLOOKUP($AW318&amp;"最终",$O$3:$AA$63,MATCH(BB$3,$O$3:$AA$3,0),FALSE)-VLOOKUP($AW318&amp;"初始",$O$3:$AA$63,MATCH(BB$3,$O$3:$AA$3,0),FALSE))*$AY318/VLOOKUP(VLOOKUP($AW318,坦克个性化设定!$B$18:$E$48,4,FALSE)&amp;$AX318,坦克属性分配比例,MATCH("升星次数",坦克属性分配比例标头,0),FALSE)*(VLOOKUP(VLOOKUP($AW318,坦克个性化设定!$B$18:$E$48,4,FALSE)&amp;$AX318,坦克属性分配比例,MATCH("升星比例",坦克属性分配比例标头,0),FALSE)+VLOOKUP(VLOOKUP($AW318,坦克个性化设定!$B$18:$E$48,4,FALSE)&amp;$AX318,坦克属性分配比例,MATCH("部件比例",坦克属性分配比例标头,0),FALSE)*$C$3),0)</f>
        <v>706</v>
      </c>
      <c r="BC318" s="654">
        <f ca="1">ROUND(VLOOKUP($AW318&amp;"初始",$O$3:$AA$63,MATCH(BC$3,$O$3:$AA$3,0),FALSE)+(VLOOKUP($AW318&amp;"最终",$O$3:$AA$63,MATCH(BC$3,$O$3:$AA$3,0),FALSE)-VLOOKUP($AW318&amp;"初始",$O$3:$AA$63,MATCH(BC$3,$O$3:$AA$3,0),FALSE))*$AY318/VLOOKUP(VLOOKUP($AW318,坦克个性化设定!$B$18:$E$48,4,FALSE)&amp;$AX318,坦克属性分配比例,MATCH("升星次数",坦克属性分配比例标头,0),FALSE)*(VLOOKUP(VLOOKUP($AW318,坦克个性化设定!$B$18:$E$48,4,FALSE)&amp;$AX318,坦克属性分配比例,MATCH("升星比例",坦克属性分配比例标头,0),FALSE)+VLOOKUP(VLOOKUP($AW318,坦克个性化设定!$B$18:$E$48,4,FALSE)&amp;$AX318,坦克属性分配比例,MATCH("部件比例",坦克属性分配比例标头,0),FALSE)*$C$3),0)</f>
        <v>565</v>
      </c>
      <c r="BD318" s="654">
        <f ca="1">ROUND(VLOOKUP($AW318&amp;"初始",$O$3:$AA$63,MATCH(BD$3,$O$3:$AA$3,0),FALSE)+(VLOOKUP($AW318&amp;"最终",$O$3:$AA$63,MATCH(BD$3,$O$3:$AA$3,0),FALSE)-VLOOKUP($AW318&amp;"初始",$O$3:$AA$63,MATCH(BD$3,$O$3:$AA$3,0),FALSE))*$AY318/VLOOKUP(VLOOKUP($AW318,坦克个性化设定!$B$18:$E$48,4,FALSE)&amp;$AX318,坦克属性分配比例,MATCH("升星次数",坦克属性分配比例标头,0),FALSE)*VLOOKUP(VLOOKUP($AW318,坦克个性化设定!$B$18:$E$48,4,FALSE)&amp;$AX318,坦克属性分配比例,MATCH("升星比例",坦克属性分配比例标头,0),FALSE),0)</f>
        <v>847</v>
      </c>
      <c r="BE318" s="654">
        <f ca="1">ROUND(VLOOKUP($AW318&amp;"初始",$O$3:$AA$63,MATCH(BE$3,$O$3:$AA$3,0),FALSE)+(VLOOKUP($AW318&amp;"最终",$O$3:$AA$63,MATCH(BE$3,$O$3:$AA$3,0),FALSE)-VLOOKUP($AW318&amp;"初始",$O$3:$AA$63,MATCH(BE$3,$O$3:$AA$3,0),FALSE))*$AY318/VLOOKUP(VLOOKUP($AW318,坦克个性化设定!$B$18:$E$48,4,FALSE)&amp;$AX318,坦克属性分配比例,MATCH("升星次数",坦克属性分配比例标头,0),FALSE),0)</f>
        <v>229</v>
      </c>
      <c r="BF318" s="654">
        <f>ROUND(VLOOKUP($AW318,$AD$3:$AJ$33,MATCH(BF$3,$AD$3:$AJ$3,0),FALSE)+$AY318/VLOOKUP(VLOOKUP($AW318,坦克个性化设定!$B$18:$E$48,4,FALSE)&amp;$AX318,坦克属性分配比例,MATCH("升星次数",坦克属性分配比例标头,0),FALSE)*VLOOKUP($AW318,$AM$3:$AS$33,MATCH(BF$3,$AM$3:$AS$3,0),FALSE),1)</f>
        <v>35.200000000000003</v>
      </c>
      <c r="BG318" s="654">
        <f>ROUND(VLOOKUP($AW318,$AD$3:$AJ$33,MATCH(BG$3,$AD$3:$AJ$3,0),FALSE)+$AY318/VLOOKUP(VLOOKUP($AW318,坦克个性化设定!$B$18:$E$48,4,FALSE)&amp;$AX318,坦克属性分配比例,MATCH("升星次数",坦克属性分配比例标头,0),FALSE)*VLOOKUP($AW318,$AM$3:$AS$33,MATCH(BG$3,$AM$3:$AS$3,0),FALSE),1)</f>
        <v>49.3</v>
      </c>
      <c r="BH318" s="654">
        <f>ROUND(VLOOKUP($AW318,$AD$3:$AJ$33,MATCH(BH$3,$AD$3:$AJ$3,0),FALSE)+$AY318/VLOOKUP(VLOOKUP($AW318,坦克个性化设定!$B$18:$E$48,4,FALSE)&amp;$AX318,坦克属性分配比例,MATCH("升星次数",坦克属性分配比例标头,0),FALSE)*VLOOKUP($AW318,$AM$3:$AS$33,MATCH(BH$3,$AM$3:$AS$3,0),FALSE),1)</f>
        <v>11.1</v>
      </c>
      <c r="BI318" s="654">
        <f>IF(VLOOKUP(AW318,坦克个性化设定!$B$18:$BB$48,MATCH("装弹类型",坦克个性化设定!$B$18:$BB$18,0),FALSE)="弹夹换弹",0,ROUND(VLOOKUP($AW318,$AD$3:$AJ$33,MATCH("换弹时间",$AD$3:$AJ$3,0),FALSE)-$AY318/VLOOKUP(VLOOKUP($AW318,坦克个性化设定!$B$18:$E$48,4,FALSE)&amp;$AX318,坦克属性分配比例,MATCH("升星次数",坦克属性分配比例标头,0),FALSE)*VLOOKUP($AW318,$AM$3:$AS$33,MATCH("换弹时间",$AM$3:$AS$3,0),FALSE),2))</f>
        <v>5.26</v>
      </c>
      <c r="BJ318" s="654">
        <f>IF(VLOOKUP(AW318,坦克个性化设定!$B$18:$BB$48,MATCH("装弹类型",坦克个性化设定!$B$18:$BB$18,0),FALSE)="弹夹换弹",ROUND(VLOOKUP($AW318,$AD$3:$AJ$33,MATCH("换弹时间",$AD$3:$AJ$3,0),FALSE)-$AY318/VLOOKUP(VLOOKUP($AW318,坦克个性化设定!$B$18:$E$48,4,FALSE)&amp;$AX318,坦克属性分配比例,MATCH("升星次数",坦克属性分配比例标头,0),FALSE)*VLOOKUP($AW318,$AM$3:$AS$33,MATCH("换弹时间",$AM$3:$AS$3,0),FALSE),1),0)</f>
        <v>0</v>
      </c>
      <c r="BK318" s="654">
        <f>ROUND(VLOOKUP($AW318,$AD$3:$AJ$33,MATCH(BK$3,$AD$3:$AJ$3,0),FALSE)+$AY318/VLOOKUP(VLOOKUP($AW318,坦克个性化设定!$B$18:$E$48,4,FALSE)&amp;$AX318,坦克属性分配比例,MATCH("升星次数",坦克属性分配比例标头,0),FALSE)*VLOOKUP($AW318,$AM$3:$AS$33,MATCH(BK$3,$AM$3:$AS$3,0),FALSE),2)</f>
        <v>0</v>
      </c>
      <c r="BL318" s="654">
        <f>ROUND(VLOOKUP($AW318,$AD$3:$AJ$33,MATCH(BL$3,$AD$3:$AJ$3,0),FALSE)-$AY318/VLOOKUP(VLOOKUP($AW318,坦克个性化设定!$B$18:$E$48,4,FALSE)&amp;$AX318,坦克属性分配比例,MATCH("升星次数",坦克属性分配比例标头,0),FALSE)*VLOOKUP($AW318,$AM$3:$AS$33,MATCH(BL$3,$AM$3:$AS$3,0),FALSE),2)</f>
        <v>2.75</v>
      </c>
    </row>
    <row r="319" spans="47:64" x14ac:dyDescent="0.35">
      <c r="AU319" s="372" t="str">
        <f t="shared" si="33"/>
        <v>征服者6</v>
      </c>
      <c r="AV319" s="654">
        <f>IF(AY318&gt;=VLOOKUP(VLOOKUP(AW318,坦克个性化设定!$B$18:$E$48,4,FALSE)&amp;AX318,坦克属性分配比例,MATCH("升星次数",坦克属性分配比例标头,0),FALSE),AV318+1,AV318)</f>
        <v>27</v>
      </c>
      <c r="AW319" s="649" t="str">
        <f t="shared" si="34"/>
        <v>征服者</v>
      </c>
      <c r="AX319" s="650" t="str">
        <f>VLOOKUP(AW319,坦克个性化细分!$I$3:$J$33,2,FALSE)</f>
        <v>低</v>
      </c>
      <c r="AY319" s="654">
        <f t="shared" si="35"/>
        <v>6</v>
      </c>
      <c r="AZ319" s="654">
        <f ca="1">ROUND(VLOOKUP($AW319&amp;"初始",$O$3:$AA$63,MATCH(AZ$3,$O$3:$AA$3,0),FALSE)+((VLOOKUP($AW319&amp;"最终",$O$3:$AA$63,MATCH(AZ$3,$O$3:$AA$3,0),FALSE)*坦克个性化细分!$C$9-VLOOKUP($AW319&amp;"初始",$O$3:$AA$63,MATCH(AZ$3,$O$3:$AA$3,0),FALSE))-(VLOOKUP($AW319&amp;"最终",$O$3:$AA$63,MATCH(AZ$3,$O$3:$AA$3,0),FALSE)-VLOOKUP($AW319&amp;"初始",$O$3:$AA$63,MATCH(AZ$3,$O$3:$AA$3,0),FALSE))*VLOOKUP(VLOOKUP($AW319,坦克个性化设定!$B$18:$E$48,4,FALSE)&amp;$AX319,坦克属性分配比例,MATCH("部件比例",坦克属性分配比例标头,0),FALSE))*$AY319/VLOOKUP(VLOOKUP($AW319,坦克个性化设定!$B$18:$E$48,4,FALSE)&amp;$AX319,坦克属性分配比例,MATCH("升星次数",坦克属性分配比例标头,0),FALSE),0)</f>
        <v>2592</v>
      </c>
      <c r="BA319" s="654">
        <f ca="1">ROUND(VLOOKUP($AW319&amp;"初始",$O$3:$AA$63,MATCH(BA$3,$O$3:$AA$3,0),FALSE)+(VLOOKUP($AW319&amp;"最终",$O$3:$AA$63,MATCH(BA$3,$O$3:$AA$3,0),FALSE)-VLOOKUP($AW319&amp;"初始",$O$3:$AA$63,MATCH(BA$3,$O$3:$AA$3,0),FALSE))*$AY319/VLOOKUP(VLOOKUP($AW319,坦克个性化设定!$B$18:$E$48,4,FALSE)&amp;$AX319,坦克属性分配比例,MATCH("升星次数",坦克属性分配比例标头,0),FALSE)*VLOOKUP(VLOOKUP($AW319,坦克个性化设定!$B$18:$E$48,4,FALSE)&amp;$AX319,坦克属性分配比例,MATCH("升星比例",坦克属性分配比例标头,0),FALSE),0)</f>
        <v>376</v>
      </c>
      <c r="BB319" s="654">
        <f ca="1">ROUND(VLOOKUP($AW319&amp;"初始",$O$3:$AA$63,MATCH(BB$3,$O$3:$AA$3,0),FALSE)+(VLOOKUP($AW319&amp;"最终",$O$3:$AA$63,MATCH(BB$3,$O$3:$AA$3,0),FALSE)-VLOOKUP($AW319&amp;"初始",$O$3:$AA$63,MATCH(BB$3,$O$3:$AA$3,0),FALSE))*$AY319/VLOOKUP(VLOOKUP($AW319,坦克个性化设定!$B$18:$E$48,4,FALSE)&amp;$AX319,坦克属性分配比例,MATCH("升星次数",坦克属性分配比例标头,0),FALSE)*(VLOOKUP(VLOOKUP($AW319,坦克个性化设定!$B$18:$E$48,4,FALSE)&amp;$AX319,坦克属性分配比例,MATCH("升星比例",坦克属性分配比例标头,0),FALSE)+VLOOKUP(VLOOKUP($AW319,坦克个性化设定!$B$18:$E$48,4,FALSE)&amp;$AX319,坦克属性分配比例,MATCH("部件比例",坦克属性分配比例标头,0),FALSE)*$C$3),0)</f>
        <v>728</v>
      </c>
      <c r="BC319" s="654">
        <f ca="1">ROUND(VLOOKUP($AW319&amp;"初始",$O$3:$AA$63,MATCH(BC$3,$O$3:$AA$3,0),FALSE)+(VLOOKUP($AW319&amp;"最终",$O$3:$AA$63,MATCH(BC$3,$O$3:$AA$3,0),FALSE)-VLOOKUP($AW319&amp;"初始",$O$3:$AA$63,MATCH(BC$3,$O$3:$AA$3,0),FALSE))*$AY319/VLOOKUP(VLOOKUP($AW319,坦克个性化设定!$B$18:$E$48,4,FALSE)&amp;$AX319,坦克属性分配比例,MATCH("升星次数",坦克属性分配比例标头,0),FALSE)*(VLOOKUP(VLOOKUP($AW319,坦克个性化设定!$B$18:$E$48,4,FALSE)&amp;$AX319,坦克属性分配比例,MATCH("升星比例",坦克属性分配比例标头,0),FALSE)+VLOOKUP(VLOOKUP($AW319,坦克个性化设定!$B$18:$E$48,4,FALSE)&amp;$AX319,坦克属性分配比例,MATCH("部件比例",坦克属性分配比例标头,0),FALSE)*$C$3),0)</f>
        <v>582</v>
      </c>
      <c r="BD319" s="654">
        <f ca="1">ROUND(VLOOKUP($AW319&amp;"初始",$O$3:$AA$63,MATCH(BD$3,$O$3:$AA$3,0),FALSE)+(VLOOKUP($AW319&amp;"最终",$O$3:$AA$63,MATCH(BD$3,$O$3:$AA$3,0),FALSE)-VLOOKUP($AW319&amp;"初始",$O$3:$AA$63,MATCH(BD$3,$O$3:$AA$3,0),FALSE))*$AY319/VLOOKUP(VLOOKUP($AW319,坦克个性化设定!$B$18:$E$48,4,FALSE)&amp;$AX319,坦克属性分配比例,MATCH("升星次数",坦克属性分配比例标头,0),FALSE)*VLOOKUP(VLOOKUP($AW319,坦克个性化设定!$B$18:$E$48,4,FALSE)&amp;$AX319,坦克属性分配比例,MATCH("升星比例",坦克属性分配比例标头,0),FALSE),0)</f>
        <v>857</v>
      </c>
      <c r="BE319" s="654">
        <f ca="1">ROUND(VLOOKUP($AW319&amp;"初始",$O$3:$AA$63,MATCH(BE$3,$O$3:$AA$3,0),FALSE)+(VLOOKUP($AW319&amp;"最终",$O$3:$AA$63,MATCH(BE$3,$O$3:$AA$3,0),FALSE)-VLOOKUP($AW319&amp;"初始",$O$3:$AA$63,MATCH(BE$3,$O$3:$AA$3,0),FALSE))*$AY319/VLOOKUP(VLOOKUP($AW319,坦克个性化设定!$B$18:$E$48,4,FALSE)&amp;$AX319,坦克属性分配比例,MATCH("升星次数",坦克属性分配比例标头,0),FALSE),0)</f>
        <v>238</v>
      </c>
      <c r="BF319" s="654">
        <f>ROUND(VLOOKUP($AW319,$AD$3:$AJ$33,MATCH(BF$3,$AD$3:$AJ$3,0),FALSE)+$AY319/VLOOKUP(VLOOKUP($AW319,坦克个性化设定!$B$18:$E$48,4,FALSE)&amp;$AX319,坦克属性分配比例,MATCH("升星次数",坦克属性分配比例标头,0),FALSE)*VLOOKUP($AW319,$AM$3:$AS$33,MATCH(BF$3,$AM$3:$AS$3,0),FALSE),1)</f>
        <v>36</v>
      </c>
      <c r="BG319" s="654">
        <f>ROUND(VLOOKUP($AW319,$AD$3:$AJ$33,MATCH(BG$3,$AD$3:$AJ$3,0),FALSE)+$AY319/VLOOKUP(VLOOKUP($AW319,坦克个性化设定!$B$18:$E$48,4,FALSE)&amp;$AX319,坦克属性分配比例,MATCH("升星次数",坦克属性分配比例标头,0),FALSE)*VLOOKUP($AW319,$AM$3:$AS$33,MATCH(BG$3,$AM$3:$AS$3,0),FALSE),1)</f>
        <v>50.4</v>
      </c>
      <c r="BH319" s="654">
        <f>ROUND(VLOOKUP($AW319,$AD$3:$AJ$33,MATCH(BH$3,$AD$3:$AJ$3,0),FALSE)+$AY319/VLOOKUP(VLOOKUP($AW319,坦克个性化设定!$B$18:$E$48,4,FALSE)&amp;$AX319,坦克属性分配比例,MATCH("升星次数",坦克属性分配比例标头,0),FALSE)*VLOOKUP($AW319,$AM$3:$AS$33,MATCH(BH$3,$AM$3:$AS$3,0),FALSE),1)</f>
        <v>11.4</v>
      </c>
      <c r="BI319" s="654">
        <f>IF(VLOOKUP(AW319,坦克个性化设定!$B$18:$BB$48,MATCH("装弹类型",坦克个性化设定!$B$18:$BB$18,0),FALSE)="弹夹换弹",0,ROUND(VLOOKUP($AW319,$AD$3:$AJ$33,MATCH("换弹时间",$AD$3:$AJ$3,0),FALSE)-$AY319/VLOOKUP(VLOOKUP($AW319,坦克个性化设定!$B$18:$E$48,4,FALSE)&amp;$AX319,坦克属性分配比例,MATCH("升星次数",坦克属性分配比例标头,0),FALSE)*VLOOKUP($AW319,$AM$3:$AS$33,MATCH("换弹时间",$AM$3:$AS$3,0),FALSE),2))</f>
        <v>5.1100000000000003</v>
      </c>
      <c r="BJ319" s="654">
        <f>IF(VLOOKUP(AW319,坦克个性化设定!$B$18:$BB$48,MATCH("装弹类型",坦克个性化设定!$B$18:$BB$18,0),FALSE)="弹夹换弹",ROUND(VLOOKUP($AW319,$AD$3:$AJ$33,MATCH("换弹时间",$AD$3:$AJ$3,0),FALSE)-$AY319/VLOOKUP(VLOOKUP($AW319,坦克个性化设定!$B$18:$E$48,4,FALSE)&amp;$AX319,坦克属性分配比例,MATCH("升星次数",坦克属性分配比例标头,0),FALSE)*VLOOKUP($AW319,$AM$3:$AS$33,MATCH("换弹时间",$AM$3:$AS$3,0),FALSE),1),0)</f>
        <v>0</v>
      </c>
      <c r="BK319" s="654">
        <f>ROUND(VLOOKUP($AW319,$AD$3:$AJ$33,MATCH(BK$3,$AD$3:$AJ$3,0),FALSE)+$AY319/VLOOKUP(VLOOKUP($AW319,坦克个性化设定!$B$18:$E$48,4,FALSE)&amp;$AX319,坦克属性分配比例,MATCH("升星次数",坦克属性分配比例标头,0),FALSE)*VLOOKUP($AW319,$AM$3:$AS$33,MATCH(BK$3,$AM$3:$AS$3,0),FALSE),2)</f>
        <v>0</v>
      </c>
      <c r="BL319" s="654">
        <f>ROUND(VLOOKUP($AW319,$AD$3:$AJ$33,MATCH(BL$3,$AD$3:$AJ$3,0),FALSE)-$AY319/VLOOKUP(VLOOKUP($AW319,坦克个性化设定!$B$18:$E$48,4,FALSE)&amp;$AX319,坦克属性分配比例,MATCH("升星次数",坦克属性分配比例标头,0),FALSE)*VLOOKUP($AW319,$AM$3:$AS$33,MATCH(BL$3,$AM$3:$AS$3,0),FALSE),2)</f>
        <v>2.7</v>
      </c>
    </row>
    <row r="320" spans="47:64" x14ac:dyDescent="0.35">
      <c r="AU320" s="372" t="str">
        <f t="shared" si="33"/>
        <v>征服者7</v>
      </c>
      <c r="AV320" s="654">
        <f>IF(AY319&gt;=VLOOKUP(VLOOKUP(AW319,坦克个性化设定!$B$18:$E$48,4,FALSE)&amp;AX319,坦克属性分配比例,MATCH("升星次数",坦克属性分配比例标头,0),FALSE),AV319+1,AV319)</f>
        <v>27</v>
      </c>
      <c r="AW320" s="649" t="str">
        <f t="shared" si="34"/>
        <v>征服者</v>
      </c>
      <c r="AX320" s="650" t="str">
        <f>VLOOKUP(AW320,坦克个性化细分!$I$3:$J$33,2,FALSE)</f>
        <v>低</v>
      </c>
      <c r="AY320" s="654">
        <f t="shared" si="35"/>
        <v>7</v>
      </c>
      <c r="AZ320" s="654">
        <f ca="1">ROUND(VLOOKUP($AW320&amp;"初始",$O$3:$AA$63,MATCH(AZ$3,$O$3:$AA$3,0),FALSE)+((VLOOKUP($AW320&amp;"最终",$O$3:$AA$63,MATCH(AZ$3,$O$3:$AA$3,0),FALSE)*坦克个性化细分!$C$9-VLOOKUP($AW320&amp;"初始",$O$3:$AA$63,MATCH(AZ$3,$O$3:$AA$3,0),FALSE))-(VLOOKUP($AW320&amp;"最终",$O$3:$AA$63,MATCH(AZ$3,$O$3:$AA$3,0),FALSE)-VLOOKUP($AW320&amp;"初始",$O$3:$AA$63,MATCH(AZ$3,$O$3:$AA$3,0),FALSE))*VLOOKUP(VLOOKUP($AW320,坦克个性化设定!$B$18:$E$48,4,FALSE)&amp;$AX320,坦克属性分配比例,MATCH("部件比例",坦克属性分配比例标头,0),FALSE))*$AY320/VLOOKUP(VLOOKUP($AW320,坦克个性化设定!$B$18:$E$48,4,FALSE)&amp;$AX320,坦克属性分配比例,MATCH("升星次数",坦克属性分配比例标头,0),FALSE),0)</f>
        <v>2704</v>
      </c>
      <c r="BA320" s="654">
        <f ca="1">ROUND(VLOOKUP($AW320&amp;"初始",$O$3:$AA$63,MATCH(BA$3,$O$3:$AA$3,0),FALSE)+(VLOOKUP($AW320&amp;"最终",$O$3:$AA$63,MATCH(BA$3,$O$3:$AA$3,0),FALSE)-VLOOKUP($AW320&amp;"初始",$O$3:$AA$63,MATCH(BA$3,$O$3:$AA$3,0),FALSE))*$AY320/VLOOKUP(VLOOKUP($AW320,坦克个性化设定!$B$18:$E$48,4,FALSE)&amp;$AX320,坦克属性分配比例,MATCH("升星次数",坦克属性分配比例标头,0),FALSE)*VLOOKUP(VLOOKUP($AW320,坦克个性化设定!$B$18:$E$48,4,FALSE)&amp;$AX320,坦克属性分配比例,MATCH("升星比例",坦克属性分配比例标头,0),FALSE),0)</f>
        <v>380</v>
      </c>
      <c r="BB320" s="654">
        <f ca="1">ROUND(VLOOKUP($AW320&amp;"初始",$O$3:$AA$63,MATCH(BB$3,$O$3:$AA$3,0),FALSE)+(VLOOKUP($AW320&amp;"最终",$O$3:$AA$63,MATCH(BB$3,$O$3:$AA$3,0),FALSE)-VLOOKUP($AW320&amp;"初始",$O$3:$AA$63,MATCH(BB$3,$O$3:$AA$3,0),FALSE))*$AY320/VLOOKUP(VLOOKUP($AW320,坦克个性化设定!$B$18:$E$48,4,FALSE)&amp;$AX320,坦克属性分配比例,MATCH("升星次数",坦克属性分配比例标头,0),FALSE)*(VLOOKUP(VLOOKUP($AW320,坦克个性化设定!$B$18:$E$48,4,FALSE)&amp;$AX320,坦克属性分配比例,MATCH("升星比例",坦克属性分配比例标头,0),FALSE)+VLOOKUP(VLOOKUP($AW320,坦克个性化设定!$B$18:$E$48,4,FALSE)&amp;$AX320,坦克属性分配比例,MATCH("部件比例",坦克属性分配比例标头,0),FALSE)*$C$3),0)</f>
        <v>749</v>
      </c>
      <c r="BC320" s="654">
        <f ca="1">ROUND(VLOOKUP($AW320&amp;"初始",$O$3:$AA$63,MATCH(BC$3,$O$3:$AA$3,0),FALSE)+(VLOOKUP($AW320&amp;"最终",$O$3:$AA$63,MATCH(BC$3,$O$3:$AA$3,0),FALSE)-VLOOKUP($AW320&amp;"初始",$O$3:$AA$63,MATCH(BC$3,$O$3:$AA$3,0),FALSE))*$AY320/VLOOKUP(VLOOKUP($AW320,坦克个性化设定!$B$18:$E$48,4,FALSE)&amp;$AX320,坦克属性分配比例,MATCH("升星次数",坦克属性分配比例标头,0),FALSE)*(VLOOKUP(VLOOKUP($AW320,坦克个性化设定!$B$18:$E$48,4,FALSE)&amp;$AX320,坦克属性分配比例,MATCH("升星比例",坦克属性分配比例标头,0),FALSE)+VLOOKUP(VLOOKUP($AW320,坦克个性化设定!$B$18:$E$48,4,FALSE)&amp;$AX320,坦克属性分配比例,MATCH("部件比例",坦克属性分配比例标头,0),FALSE)*$C$3),0)</f>
        <v>600</v>
      </c>
      <c r="BD320" s="654">
        <f ca="1">ROUND(VLOOKUP($AW320&amp;"初始",$O$3:$AA$63,MATCH(BD$3,$O$3:$AA$3,0),FALSE)+(VLOOKUP($AW320&amp;"最终",$O$3:$AA$63,MATCH(BD$3,$O$3:$AA$3,0),FALSE)-VLOOKUP($AW320&amp;"初始",$O$3:$AA$63,MATCH(BD$3,$O$3:$AA$3,0),FALSE))*$AY320/VLOOKUP(VLOOKUP($AW320,坦克个性化设定!$B$18:$E$48,4,FALSE)&amp;$AX320,坦克属性分配比例,MATCH("升星次数",坦克属性分配比例标头,0),FALSE)*VLOOKUP(VLOOKUP($AW320,坦克个性化设定!$B$18:$E$48,4,FALSE)&amp;$AX320,坦克属性分配比例,MATCH("升星比例",坦克属性分配比例标头,0),FALSE),0)</f>
        <v>866</v>
      </c>
      <c r="BE320" s="654">
        <f ca="1">ROUND(VLOOKUP($AW320&amp;"初始",$O$3:$AA$63,MATCH(BE$3,$O$3:$AA$3,0),FALSE)+(VLOOKUP($AW320&amp;"最终",$O$3:$AA$63,MATCH(BE$3,$O$3:$AA$3,0),FALSE)-VLOOKUP($AW320&amp;"初始",$O$3:$AA$63,MATCH(BE$3,$O$3:$AA$3,0),FALSE))*$AY320/VLOOKUP(VLOOKUP($AW320,坦克个性化设定!$B$18:$E$48,4,FALSE)&amp;$AX320,坦克属性分配比例,MATCH("升星次数",坦克属性分配比例标头,0),FALSE),0)</f>
        <v>248</v>
      </c>
      <c r="BF320" s="654">
        <f>ROUND(VLOOKUP($AW320,$AD$3:$AJ$33,MATCH(BF$3,$AD$3:$AJ$3,0),FALSE)+$AY320/VLOOKUP(VLOOKUP($AW320,坦克个性化设定!$B$18:$E$48,4,FALSE)&amp;$AX320,坦克属性分配比例,MATCH("升星次数",坦克属性分配比例标头,0),FALSE)*VLOOKUP($AW320,$AM$3:$AS$33,MATCH(BF$3,$AM$3:$AS$3,0),FALSE),1)</f>
        <v>36.799999999999997</v>
      </c>
      <c r="BG320" s="654">
        <f>ROUND(VLOOKUP($AW320,$AD$3:$AJ$33,MATCH(BG$3,$AD$3:$AJ$3,0),FALSE)+$AY320/VLOOKUP(VLOOKUP($AW320,坦克个性化设定!$B$18:$E$48,4,FALSE)&amp;$AX320,坦克属性分配比例,MATCH("升星次数",坦克属性分配比例标头,0),FALSE)*VLOOKUP($AW320,$AM$3:$AS$33,MATCH(BG$3,$AM$3:$AS$3,0),FALSE),1)</f>
        <v>51.5</v>
      </c>
      <c r="BH320" s="654">
        <f>ROUND(VLOOKUP($AW320,$AD$3:$AJ$33,MATCH(BH$3,$AD$3:$AJ$3,0),FALSE)+$AY320/VLOOKUP(VLOOKUP($AW320,坦克个性化设定!$B$18:$E$48,4,FALSE)&amp;$AX320,坦克属性分配比例,MATCH("升星次数",坦克属性分配比例标头,0),FALSE)*VLOOKUP($AW320,$AM$3:$AS$33,MATCH(BH$3,$AM$3:$AS$3,0),FALSE),1)</f>
        <v>11.7</v>
      </c>
      <c r="BI320" s="654">
        <f>IF(VLOOKUP(AW320,坦克个性化设定!$B$18:$BB$48,MATCH("装弹类型",坦克个性化设定!$B$18:$BB$18,0),FALSE)="弹夹换弹",0,ROUND(VLOOKUP($AW320,$AD$3:$AJ$33,MATCH("换弹时间",$AD$3:$AJ$3,0),FALSE)-$AY320/VLOOKUP(VLOOKUP($AW320,坦克个性化设定!$B$18:$E$48,4,FALSE)&amp;$AX320,坦克属性分配比例,MATCH("升星次数",坦克属性分配比例标头,0),FALSE)*VLOOKUP($AW320,$AM$3:$AS$33,MATCH("换弹时间",$AM$3:$AS$3,0),FALSE),2))</f>
        <v>4.96</v>
      </c>
      <c r="BJ320" s="654">
        <f>IF(VLOOKUP(AW320,坦克个性化设定!$B$18:$BB$48,MATCH("装弹类型",坦克个性化设定!$B$18:$BB$18,0),FALSE)="弹夹换弹",ROUND(VLOOKUP($AW320,$AD$3:$AJ$33,MATCH("换弹时间",$AD$3:$AJ$3,0),FALSE)-$AY320/VLOOKUP(VLOOKUP($AW320,坦克个性化设定!$B$18:$E$48,4,FALSE)&amp;$AX320,坦克属性分配比例,MATCH("升星次数",坦克属性分配比例标头,0),FALSE)*VLOOKUP($AW320,$AM$3:$AS$33,MATCH("换弹时间",$AM$3:$AS$3,0),FALSE),1),0)</f>
        <v>0</v>
      </c>
      <c r="BK320" s="654">
        <f>ROUND(VLOOKUP($AW320,$AD$3:$AJ$33,MATCH(BK$3,$AD$3:$AJ$3,0),FALSE)+$AY320/VLOOKUP(VLOOKUP($AW320,坦克个性化设定!$B$18:$E$48,4,FALSE)&amp;$AX320,坦克属性分配比例,MATCH("升星次数",坦克属性分配比例标头,0),FALSE)*VLOOKUP($AW320,$AM$3:$AS$33,MATCH(BK$3,$AM$3:$AS$3,0),FALSE),2)</f>
        <v>0</v>
      </c>
      <c r="BL320" s="654">
        <f>ROUND(VLOOKUP($AW320,$AD$3:$AJ$33,MATCH(BL$3,$AD$3:$AJ$3,0),FALSE)-$AY320/VLOOKUP(VLOOKUP($AW320,坦克个性化设定!$B$18:$E$48,4,FALSE)&amp;$AX320,坦克属性分配比例,MATCH("升星次数",坦克属性分配比例标头,0),FALSE)*VLOOKUP($AW320,$AM$3:$AS$33,MATCH(BL$3,$AM$3:$AS$3,0),FALSE),2)</f>
        <v>2.65</v>
      </c>
    </row>
    <row r="321" spans="47:64" x14ac:dyDescent="0.35">
      <c r="AU321" s="372" t="str">
        <f t="shared" si="33"/>
        <v>征服者8</v>
      </c>
      <c r="AV321" s="654">
        <f>IF(AY320&gt;=VLOOKUP(VLOOKUP(AW320,坦克个性化设定!$B$18:$E$48,4,FALSE)&amp;AX320,坦克属性分配比例,MATCH("升星次数",坦克属性分配比例标头,0),FALSE),AV320+1,AV320)</f>
        <v>27</v>
      </c>
      <c r="AW321" s="649" t="str">
        <f t="shared" si="34"/>
        <v>征服者</v>
      </c>
      <c r="AX321" s="650" t="str">
        <f>VLOOKUP(AW321,坦克个性化细分!$I$3:$J$33,2,FALSE)</f>
        <v>低</v>
      </c>
      <c r="AY321" s="654">
        <f t="shared" si="35"/>
        <v>8</v>
      </c>
      <c r="AZ321" s="654">
        <f ca="1">ROUND(VLOOKUP($AW321&amp;"初始",$O$3:$AA$63,MATCH(AZ$3,$O$3:$AA$3,0),FALSE)+((VLOOKUP($AW321&amp;"最终",$O$3:$AA$63,MATCH(AZ$3,$O$3:$AA$3,0),FALSE)*坦克个性化细分!$C$9-VLOOKUP($AW321&amp;"初始",$O$3:$AA$63,MATCH(AZ$3,$O$3:$AA$3,0),FALSE))-(VLOOKUP($AW321&amp;"最终",$O$3:$AA$63,MATCH(AZ$3,$O$3:$AA$3,0),FALSE)-VLOOKUP($AW321&amp;"初始",$O$3:$AA$63,MATCH(AZ$3,$O$3:$AA$3,0),FALSE))*VLOOKUP(VLOOKUP($AW321,坦克个性化设定!$B$18:$E$48,4,FALSE)&amp;$AX321,坦克属性分配比例,MATCH("部件比例",坦克属性分配比例标头,0),FALSE))*$AY321/VLOOKUP(VLOOKUP($AW321,坦克个性化设定!$B$18:$E$48,4,FALSE)&amp;$AX321,坦克属性分配比例,MATCH("升星次数",坦克属性分配比例标头,0),FALSE),0)</f>
        <v>2816</v>
      </c>
      <c r="BA321" s="654">
        <f ca="1">ROUND(VLOOKUP($AW321&amp;"初始",$O$3:$AA$63,MATCH(BA$3,$O$3:$AA$3,0),FALSE)+(VLOOKUP($AW321&amp;"最终",$O$3:$AA$63,MATCH(BA$3,$O$3:$AA$3,0),FALSE)-VLOOKUP($AW321&amp;"初始",$O$3:$AA$63,MATCH(BA$3,$O$3:$AA$3,0),FALSE))*$AY321/VLOOKUP(VLOOKUP($AW321,坦克个性化设定!$B$18:$E$48,4,FALSE)&amp;$AX321,坦克属性分配比例,MATCH("升星次数",坦克属性分配比例标头,0),FALSE)*VLOOKUP(VLOOKUP($AW321,坦克个性化设定!$B$18:$E$48,4,FALSE)&amp;$AX321,坦克属性分配比例,MATCH("升星比例",坦克属性分配比例标头,0),FALSE),0)</f>
        <v>384</v>
      </c>
      <c r="BB321" s="654">
        <f ca="1">ROUND(VLOOKUP($AW321&amp;"初始",$O$3:$AA$63,MATCH(BB$3,$O$3:$AA$3,0),FALSE)+(VLOOKUP($AW321&amp;"最终",$O$3:$AA$63,MATCH(BB$3,$O$3:$AA$3,0),FALSE)-VLOOKUP($AW321&amp;"初始",$O$3:$AA$63,MATCH(BB$3,$O$3:$AA$3,0),FALSE))*$AY321/VLOOKUP(VLOOKUP($AW321,坦克个性化设定!$B$18:$E$48,4,FALSE)&amp;$AX321,坦克属性分配比例,MATCH("升星次数",坦克属性分配比例标头,0),FALSE)*(VLOOKUP(VLOOKUP($AW321,坦克个性化设定!$B$18:$E$48,4,FALSE)&amp;$AX321,坦克属性分配比例,MATCH("升星比例",坦克属性分配比例标头,0),FALSE)+VLOOKUP(VLOOKUP($AW321,坦克个性化设定!$B$18:$E$48,4,FALSE)&amp;$AX321,坦克属性分配比例,MATCH("部件比例",坦克属性分配比例标头,0),FALSE)*$C$3),0)</f>
        <v>771</v>
      </c>
      <c r="BC321" s="654">
        <f ca="1">ROUND(VLOOKUP($AW321&amp;"初始",$O$3:$AA$63,MATCH(BC$3,$O$3:$AA$3,0),FALSE)+(VLOOKUP($AW321&amp;"最终",$O$3:$AA$63,MATCH(BC$3,$O$3:$AA$3,0),FALSE)-VLOOKUP($AW321&amp;"初始",$O$3:$AA$63,MATCH(BC$3,$O$3:$AA$3,0),FALSE))*$AY321/VLOOKUP(VLOOKUP($AW321,坦克个性化设定!$B$18:$E$48,4,FALSE)&amp;$AX321,坦克属性分配比例,MATCH("升星次数",坦克属性分配比例标头,0),FALSE)*(VLOOKUP(VLOOKUP($AW321,坦克个性化设定!$B$18:$E$48,4,FALSE)&amp;$AX321,坦克属性分配比例,MATCH("升星比例",坦克属性分配比例标头,0),FALSE)+VLOOKUP(VLOOKUP($AW321,坦克个性化设定!$B$18:$E$48,4,FALSE)&amp;$AX321,坦克属性分配比例,MATCH("部件比例",坦克属性分配比例标头,0),FALSE)*$C$3),0)</f>
        <v>617</v>
      </c>
      <c r="BD321" s="654">
        <f ca="1">ROUND(VLOOKUP($AW321&amp;"初始",$O$3:$AA$63,MATCH(BD$3,$O$3:$AA$3,0),FALSE)+(VLOOKUP($AW321&amp;"最终",$O$3:$AA$63,MATCH(BD$3,$O$3:$AA$3,0),FALSE)-VLOOKUP($AW321&amp;"初始",$O$3:$AA$63,MATCH(BD$3,$O$3:$AA$3,0),FALSE))*$AY321/VLOOKUP(VLOOKUP($AW321,坦克个性化设定!$B$18:$E$48,4,FALSE)&amp;$AX321,坦克属性分配比例,MATCH("升星次数",坦克属性分配比例标头,0),FALSE)*VLOOKUP(VLOOKUP($AW321,坦克个性化设定!$B$18:$E$48,4,FALSE)&amp;$AX321,坦克属性分配比例,MATCH("升星比例",坦克属性分配比例标头,0),FALSE),0)</f>
        <v>876</v>
      </c>
      <c r="BE321" s="654">
        <f ca="1">ROUND(VLOOKUP($AW321&amp;"初始",$O$3:$AA$63,MATCH(BE$3,$O$3:$AA$3,0),FALSE)+(VLOOKUP($AW321&amp;"最终",$O$3:$AA$63,MATCH(BE$3,$O$3:$AA$3,0),FALSE)-VLOOKUP($AW321&amp;"初始",$O$3:$AA$63,MATCH(BE$3,$O$3:$AA$3,0),FALSE))*$AY321/VLOOKUP(VLOOKUP($AW321,坦克个性化设定!$B$18:$E$48,4,FALSE)&amp;$AX321,坦克属性分配比例,MATCH("升星次数",坦克属性分配比例标头,0),FALSE),0)</f>
        <v>257</v>
      </c>
      <c r="BF321" s="654">
        <f>ROUND(VLOOKUP($AW321,$AD$3:$AJ$33,MATCH(BF$3,$AD$3:$AJ$3,0),FALSE)+$AY321/VLOOKUP(VLOOKUP($AW321,坦克个性化设定!$B$18:$E$48,4,FALSE)&amp;$AX321,坦克属性分配比例,MATCH("升星次数",坦克属性分配比例标头,0),FALSE)*VLOOKUP($AW321,$AM$3:$AS$33,MATCH(BF$3,$AM$3:$AS$3,0),FALSE),1)</f>
        <v>37.6</v>
      </c>
      <c r="BG321" s="654">
        <f>ROUND(VLOOKUP($AW321,$AD$3:$AJ$33,MATCH(BG$3,$AD$3:$AJ$3,0),FALSE)+$AY321/VLOOKUP(VLOOKUP($AW321,坦克个性化设定!$B$18:$E$48,4,FALSE)&amp;$AX321,坦克属性分配比例,MATCH("升星次数",坦克属性分配比例标头,0),FALSE)*VLOOKUP($AW321,$AM$3:$AS$33,MATCH(BG$3,$AM$3:$AS$3,0),FALSE),1)</f>
        <v>52.6</v>
      </c>
      <c r="BH321" s="654">
        <f>ROUND(VLOOKUP($AW321,$AD$3:$AJ$33,MATCH(BH$3,$AD$3:$AJ$3,0),FALSE)+$AY321/VLOOKUP(VLOOKUP($AW321,坦克个性化设定!$B$18:$E$48,4,FALSE)&amp;$AX321,坦克属性分配比例,MATCH("升星次数",坦克属性分配比例标头,0),FALSE)*VLOOKUP($AW321,$AM$3:$AS$33,MATCH(BH$3,$AM$3:$AS$3,0),FALSE),1)</f>
        <v>12</v>
      </c>
      <c r="BI321" s="654">
        <f>IF(VLOOKUP(AW321,坦克个性化设定!$B$18:$BB$48,MATCH("装弹类型",坦克个性化设定!$B$18:$BB$18,0),FALSE)="弹夹换弹",0,ROUND(VLOOKUP($AW321,$AD$3:$AJ$33,MATCH("换弹时间",$AD$3:$AJ$3,0),FALSE)-$AY321/VLOOKUP(VLOOKUP($AW321,坦克个性化设定!$B$18:$E$48,4,FALSE)&amp;$AX321,坦克属性分配比例,MATCH("升星次数",坦克属性分配比例标头,0),FALSE)*VLOOKUP($AW321,$AM$3:$AS$33,MATCH("换弹时间",$AM$3:$AS$3,0),FALSE),2))</f>
        <v>4.8099999999999996</v>
      </c>
      <c r="BJ321" s="654">
        <f>IF(VLOOKUP(AW321,坦克个性化设定!$B$18:$BB$48,MATCH("装弹类型",坦克个性化设定!$B$18:$BB$18,0),FALSE)="弹夹换弹",ROUND(VLOOKUP($AW321,$AD$3:$AJ$33,MATCH("换弹时间",$AD$3:$AJ$3,0),FALSE)-$AY321/VLOOKUP(VLOOKUP($AW321,坦克个性化设定!$B$18:$E$48,4,FALSE)&amp;$AX321,坦克属性分配比例,MATCH("升星次数",坦克属性分配比例标头,0),FALSE)*VLOOKUP($AW321,$AM$3:$AS$33,MATCH("换弹时间",$AM$3:$AS$3,0),FALSE),1),0)</f>
        <v>0</v>
      </c>
      <c r="BK321" s="654">
        <f>ROUND(VLOOKUP($AW321,$AD$3:$AJ$33,MATCH(BK$3,$AD$3:$AJ$3,0),FALSE)+$AY321/VLOOKUP(VLOOKUP($AW321,坦克个性化设定!$B$18:$E$48,4,FALSE)&amp;$AX321,坦克属性分配比例,MATCH("升星次数",坦克属性分配比例标头,0),FALSE)*VLOOKUP($AW321,$AM$3:$AS$33,MATCH(BK$3,$AM$3:$AS$3,0),FALSE),2)</f>
        <v>0</v>
      </c>
      <c r="BL321" s="654">
        <f>ROUND(VLOOKUP($AW321,$AD$3:$AJ$33,MATCH(BL$3,$AD$3:$AJ$3,0),FALSE)-$AY321/VLOOKUP(VLOOKUP($AW321,坦克个性化设定!$B$18:$E$48,4,FALSE)&amp;$AX321,坦克属性分配比例,MATCH("升星次数",坦克属性分配比例标头,0),FALSE)*VLOOKUP($AW321,$AM$3:$AS$33,MATCH(BL$3,$AM$3:$AS$3,0),FALSE),2)</f>
        <v>2.6</v>
      </c>
    </row>
    <row r="322" spans="47:64" x14ac:dyDescent="0.35">
      <c r="AU322" s="372" t="str">
        <f t="shared" si="33"/>
        <v>征服者9</v>
      </c>
      <c r="AV322" s="654">
        <f>IF(AY321&gt;=VLOOKUP(VLOOKUP(AW321,坦克个性化设定!$B$18:$E$48,4,FALSE)&amp;AX321,坦克属性分配比例,MATCH("升星次数",坦克属性分配比例标头,0),FALSE),AV321+1,AV321)</f>
        <v>27</v>
      </c>
      <c r="AW322" s="649" t="str">
        <f t="shared" si="34"/>
        <v>征服者</v>
      </c>
      <c r="AX322" s="650" t="str">
        <f>VLOOKUP(AW322,坦克个性化细分!$I$3:$J$33,2,FALSE)</f>
        <v>低</v>
      </c>
      <c r="AY322" s="654">
        <f t="shared" si="35"/>
        <v>9</v>
      </c>
      <c r="AZ322" s="654">
        <f ca="1">ROUND(VLOOKUP($AW322&amp;"初始",$O$3:$AA$63,MATCH(AZ$3,$O$3:$AA$3,0),FALSE)+((VLOOKUP($AW322&amp;"最终",$O$3:$AA$63,MATCH(AZ$3,$O$3:$AA$3,0),FALSE)*坦克个性化细分!$C$9-VLOOKUP($AW322&amp;"初始",$O$3:$AA$63,MATCH(AZ$3,$O$3:$AA$3,0),FALSE))-(VLOOKUP($AW322&amp;"最终",$O$3:$AA$63,MATCH(AZ$3,$O$3:$AA$3,0),FALSE)-VLOOKUP($AW322&amp;"初始",$O$3:$AA$63,MATCH(AZ$3,$O$3:$AA$3,0),FALSE))*VLOOKUP(VLOOKUP($AW322,坦克个性化设定!$B$18:$E$48,4,FALSE)&amp;$AX322,坦克属性分配比例,MATCH("部件比例",坦克属性分配比例标头,0),FALSE))*$AY322/VLOOKUP(VLOOKUP($AW322,坦克个性化设定!$B$18:$E$48,4,FALSE)&amp;$AX322,坦克属性分配比例,MATCH("升星次数",坦克属性分配比例标头,0),FALSE),0)</f>
        <v>2927</v>
      </c>
      <c r="BA322" s="654">
        <f ca="1">ROUND(VLOOKUP($AW322&amp;"初始",$O$3:$AA$63,MATCH(BA$3,$O$3:$AA$3,0),FALSE)+(VLOOKUP($AW322&amp;"最终",$O$3:$AA$63,MATCH(BA$3,$O$3:$AA$3,0),FALSE)-VLOOKUP($AW322&amp;"初始",$O$3:$AA$63,MATCH(BA$3,$O$3:$AA$3,0),FALSE))*$AY322/VLOOKUP(VLOOKUP($AW322,坦克个性化设定!$B$18:$E$48,4,FALSE)&amp;$AX322,坦克属性分配比例,MATCH("升星次数",坦克属性分配比例标头,0),FALSE)*VLOOKUP(VLOOKUP($AW322,坦克个性化设定!$B$18:$E$48,4,FALSE)&amp;$AX322,坦克属性分配比例,MATCH("升星比例",坦克属性分配比例标头,0),FALSE),0)</f>
        <v>389</v>
      </c>
      <c r="BB322" s="654">
        <f ca="1">ROUND(VLOOKUP($AW322&amp;"初始",$O$3:$AA$63,MATCH(BB$3,$O$3:$AA$3,0),FALSE)+(VLOOKUP($AW322&amp;"最终",$O$3:$AA$63,MATCH(BB$3,$O$3:$AA$3,0),FALSE)-VLOOKUP($AW322&amp;"初始",$O$3:$AA$63,MATCH(BB$3,$O$3:$AA$3,0),FALSE))*$AY322/VLOOKUP(VLOOKUP($AW322,坦克个性化设定!$B$18:$E$48,4,FALSE)&amp;$AX322,坦克属性分配比例,MATCH("升星次数",坦克属性分配比例标头,0),FALSE)*(VLOOKUP(VLOOKUP($AW322,坦克个性化设定!$B$18:$E$48,4,FALSE)&amp;$AX322,坦克属性分配比例,MATCH("升星比例",坦克属性分配比例标头,0),FALSE)+VLOOKUP(VLOOKUP($AW322,坦克个性化设定!$B$18:$E$48,4,FALSE)&amp;$AX322,坦克属性分配比例,MATCH("部件比例",坦克属性分配比例标头,0),FALSE)*$C$3),0)</f>
        <v>793</v>
      </c>
      <c r="BC322" s="654">
        <f ca="1">ROUND(VLOOKUP($AW322&amp;"初始",$O$3:$AA$63,MATCH(BC$3,$O$3:$AA$3,0),FALSE)+(VLOOKUP($AW322&amp;"最终",$O$3:$AA$63,MATCH(BC$3,$O$3:$AA$3,0),FALSE)-VLOOKUP($AW322&amp;"初始",$O$3:$AA$63,MATCH(BC$3,$O$3:$AA$3,0),FALSE))*$AY322/VLOOKUP(VLOOKUP($AW322,坦克个性化设定!$B$18:$E$48,4,FALSE)&amp;$AX322,坦克属性分配比例,MATCH("升星次数",坦克属性分配比例标头,0),FALSE)*(VLOOKUP(VLOOKUP($AW322,坦克个性化设定!$B$18:$E$48,4,FALSE)&amp;$AX322,坦克属性分配比例,MATCH("升星比例",坦克属性分配比例标头,0),FALSE)+VLOOKUP(VLOOKUP($AW322,坦克个性化设定!$B$18:$E$48,4,FALSE)&amp;$AX322,坦克属性分配比例,MATCH("部件比例",坦克属性分配比例标头,0),FALSE)*$C$3),0)</f>
        <v>635</v>
      </c>
      <c r="BD322" s="654">
        <f ca="1">ROUND(VLOOKUP($AW322&amp;"初始",$O$3:$AA$63,MATCH(BD$3,$O$3:$AA$3,0),FALSE)+(VLOOKUP($AW322&amp;"最终",$O$3:$AA$63,MATCH(BD$3,$O$3:$AA$3,0),FALSE)-VLOOKUP($AW322&amp;"初始",$O$3:$AA$63,MATCH(BD$3,$O$3:$AA$3,0),FALSE))*$AY322/VLOOKUP(VLOOKUP($AW322,坦克个性化设定!$B$18:$E$48,4,FALSE)&amp;$AX322,坦克属性分配比例,MATCH("升星次数",坦克属性分配比例标头,0),FALSE)*VLOOKUP(VLOOKUP($AW322,坦克个性化设定!$B$18:$E$48,4,FALSE)&amp;$AX322,坦克属性分配比例,MATCH("升星比例",坦克属性分配比例标头,0),FALSE),0)</f>
        <v>886</v>
      </c>
      <c r="BE322" s="654">
        <f ca="1">ROUND(VLOOKUP($AW322&amp;"初始",$O$3:$AA$63,MATCH(BE$3,$O$3:$AA$3,0),FALSE)+(VLOOKUP($AW322&amp;"最终",$O$3:$AA$63,MATCH(BE$3,$O$3:$AA$3,0),FALSE)-VLOOKUP($AW322&amp;"初始",$O$3:$AA$63,MATCH(BE$3,$O$3:$AA$3,0),FALSE))*$AY322/VLOOKUP(VLOOKUP($AW322,坦克个性化设定!$B$18:$E$48,4,FALSE)&amp;$AX322,坦克属性分配比例,MATCH("升星次数",坦克属性分配比例标头,0),FALSE),0)</f>
        <v>267</v>
      </c>
      <c r="BF322" s="654">
        <f>ROUND(VLOOKUP($AW322,$AD$3:$AJ$33,MATCH(BF$3,$AD$3:$AJ$3,0),FALSE)+$AY322/VLOOKUP(VLOOKUP($AW322,坦克个性化设定!$B$18:$E$48,4,FALSE)&amp;$AX322,坦克属性分配比例,MATCH("升星次数",坦克属性分配比例标头,0),FALSE)*VLOOKUP($AW322,$AM$3:$AS$33,MATCH(BF$3,$AM$3:$AS$3,0),FALSE),1)</f>
        <v>38.299999999999997</v>
      </c>
      <c r="BG322" s="654">
        <f>ROUND(VLOOKUP($AW322,$AD$3:$AJ$33,MATCH(BG$3,$AD$3:$AJ$3,0),FALSE)+$AY322/VLOOKUP(VLOOKUP($AW322,坦克个性化设定!$B$18:$E$48,4,FALSE)&amp;$AX322,坦克属性分配比例,MATCH("升星次数",坦克属性分配比例标头,0),FALSE)*VLOOKUP($AW322,$AM$3:$AS$33,MATCH(BG$3,$AM$3:$AS$3,0),FALSE),1)</f>
        <v>53.7</v>
      </c>
      <c r="BH322" s="654">
        <f>ROUND(VLOOKUP($AW322,$AD$3:$AJ$33,MATCH(BH$3,$AD$3:$AJ$3,0),FALSE)+$AY322/VLOOKUP(VLOOKUP($AW322,坦克个性化设定!$B$18:$E$48,4,FALSE)&amp;$AX322,坦克属性分配比例,MATCH("升星次数",坦克属性分配比例标头,0),FALSE)*VLOOKUP($AW322,$AM$3:$AS$33,MATCH(BH$3,$AM$3:$AS$3,0),FALSE),1)</f>
        <v>12.3</v>
      </c>
      <c r="BI322" s="654">
        <f>IF(VLOOKUP(AW322,坦克个性化设定!$B$18:$BB$48,MATCH("装弹类型",坦克个性化设定!$B$18:$BB$18,0),FALSE)="弹夹换弹",0,ROUND(VLOOKUP($AW322,$AD$3:$AJ$33,MATCH("换弹时间",$AD$3:$AJ$3,0),FALSE)-$AY322/VLOOKUP(VLOOKUP($AW322,坦克个性化设定!$B$18:$E$48,4,FALSE)&amp;$AX322,坦克属性分配比例,MATCH("升星次数",坦克属性分配比例标头,0),FALSE)*VLOOKUP($AW322,$AM$3:$AS$33,MATCH("换弹时间",$AM$3:$AS$3,0),FALSE),2))</f>
        <v>4.66</v>
      </c>
      <c r="BJ322" s="654">
        <f>IF(VLOOKUP(AW322,坦克个性化设定!$B$18:$BB$48,MATCH("装弹类型",坦克个性化设定!$B$18:$BB$18,0),FALSE)="弹夹换弹",ROUND(VLOOKUP($AW322,$AD$3:$AJ$33,MATCH("换弹时间",$AD$3:$AJ$3,0),FALSE)-$AY322/VLOOKUP(VLOOKUP($AW322,坦克个性化设定!$B$18:$E$48,4,FALSE)&amp;$AX322,坦克属性分配比例,MATCH("升星次数",坦克属性分配比例标头,0),FALSE)*VLOOKUP($AW322,$AM$3:$AS$33,MATCH("换弹时间",$AM$3:$AS$3,0),FALSE),1),0)</f>
        <v>0</v>
      </c>
      <c r="BK322" s="654">
        <f>ROUND(VLOOKUP($AW322,$AD$3:$AJ$33,MATCH(BK$3,$AD$3:$AJ$3,0),FALSE)+$AY322/VLOOKUP(VLOOKUP($AW322,坦克个性化设定!$B$18:$E$48,4,FALSE)&amp;$AX322,坦克属性分配比例,MATCH("升星次数",坦克属性分配比例标头,0),FALSE)*VLOOKUP($AW322,$AM$3:$AS$33,MATCH(BK$3,$AM$3:$AS$3,0),FALSE),2)</f>
        <v>0</v>
      </c>
      <c r="BL322" s="654">
        <f>ROUND(VLOOKUP($AW322,$AD$3:$AJ$33,MATCH(BL$3,$AD$3:$AJ$3,0),FALSE)-$AY322/VLOOKUP(VLOOKUP($AW322,坦克个性化设定!$B$18:$E$48,4,FALSE)&amp;$AX322,坦克属性分配比例,MATCH("升星次数",坦克属性分配比例标头,0),FALSE)*VLOOKUP($AW322,$AM$3:$AS$33,MATCH(BL$3,$AM$3:$AS$3,0),FALSE),2)</f>
        <v>2.5499999999999998</v>
      </c>
    </row>
    <row r="323" spans="47:64" x14ac:dyDescent="0.35">
      <c r="AU323" s="372" t="str">
        <f t="shared" si="33"/>
        <v>征服者10</v>
      </c>
      <c r="AV323" s="654">
        <f>IF(AY322&gt;=VLOOKUP(VLOOKUP(AW322,坦克个性化设定!$B$18:$E$48,4,FALSE)&amp;AX322,坦克属性分配比例,MATCH("升星次数",坦克属性分配比例标头,0),FALSE),AV322+1,AV322)</f>
        <v>27</v>
      </c>
      <c r="AW323" s="649" t="str">
        <f t="shared" si="34"/>
        <v>征服者</v>
      </c>
      <c r="AX323" s="650" t="str">
        <f>VLOOKUP(AW323,坦克个性化细分!$I$3:$J$33,2,FALSE)</f>
        <v>低</v>
      </c>
      <c r="AY323" s="654">
        <f t="shared" si="35"/>
        <v>10</v>
      </c>
      <c r="AZ323" s="654">
        <f ca="1">ROUND(VLOOKUP($AW323&amp;"初始",$O$3:$AA$63,MATCH(AZ$3,$O$3:$AA$3,0),FALSE)+((VLOOKUP($AW323&amp;"最终",$O$3:$AA$63,MATCH(AZ$3,$O$3:$AA$3,0),FALSE)*坦克个性化细分!$C$9-VLOOKUP($AW323&amp;"初始",$O$3:$AA$63,MATCH(AZ$3,$O$3:$AA$3,0),FALSE))-(VLOOKUP($AW323&amp;"最终",$O$3:$AA$63,MATCH(AZ$3,$O$3:$AA$3,0),FALSE)-VLOOKUP($AW323&amp;"初始",$O$3:$AA$63,MATCH(AZ$3,$O$3:$AA$3,0),FALSE))*VLOOKUP(VLOOKUP($AW323,坦克个性化设定!$B$18:$E$48,4,FALSE)&amp;$AX323,坦克属性分配比例,MATCH("部件比例",坦克属性分配比例标头,0),FALSE))*$AY323/VLOOKUP(VLOOKUP($AW323,坦克个性化设定!$B$18:$E$48,4,FALSE)&amp;$AX323,坦克属性分配比例,MATCH("升星次数",坦克属性分配比例标头,0),FALSE),0)</f>
        <v>3039</v>
      </c>
      <c r="BA323" s="654">
        <f ca="1">ROUND(VLOOKUP($AW323&amp;"初始",$O$3:$AA$63,MATCH(BA$3,$O$3:$AA$3,0),FALSE)+(VLOOKUP($AW323&amp;"最终",$O$3:$AA$63,MATCH(BA$3,$O$3:$AA$3,0),FALSE)-VLOOKUP($AW323&amp;"初始",$O$3:$AA$63,MATCH(BA$3,$O$3:$AA$3,0),FALSE))*$AY323/VLOOKUP(VLOOKUP($AW323,坦克个性化设定!$B$18:$E$48,4,FALSE)&amp;$AX323,坦克属性分配比例,MATCH("升星次数",坦克属性分配比例标头,0),FALSE)*VLOOKUP(VLOOKUP($AW323,坦克个性化设定!$B$18:$E$48,4,FALSE)&amp;$AX323,坦克属性分配比例,MATCH("升星比例",坦克属性分配比例标头,0),FALSE),0)</f>
        <v>393</v>
      </c>
      <c r="BB323" s="654">
        <f ca="1">ROUND(VLOOKUP($AW323&amp;"初始",$O$3:$AA$63,MATCH(BB$3,$O$3:$AA$3,0),FALSE)+(VLOOKUP($AW323&amp;"最终",$O$3:$AA$63,MATCH(BB$3,$O$3:$AA$3,0),FALSE)-VLOOKUP($AW323&amp;"初始",$O$3:$AA$63,MATCH(BB$3,$O$3:$AA$3,0),FALSE))*$AY323/VLOOKUP(VLOOKUP($AW323,坦克个性化设定!$B$18:$E$48,4,FALSE)&amp;$AX323,坦克属性分配比例,MATCH("升星次数",坦克属性分配比例标头,0),FALSE)*(VLOOKUP(VLOOKUP($AW323,坦克个性化设定!$B$18:$E$48,4,FALSE)&amp;$AX323,坦克属性分配比例,MATCH("升星比例",坦克属性分配比例标头,0),FALSE)+VLOOKUP(VLOOKUP($AW323,坦克个性化设定!$B$18:$E$48,4,FALSE)&amp;$AX323,坦克属性分配比例,MATCH("部件比例",坦克属性分配比例标头,0),FALSE)*$C$3),0)</f>
        <v>815</v>
      </c>
      <c r="BC323" s="654">
        <f ca="1">ROUND(VLOOKUP($AW323&amp;"初始",$O$3:$AA$63,MATCH(BC$3,$O$3:$AA$3,0),FALSE)+(VLOOKUP($AW323&amp;"最终",$O$3:$AA$63,MATCH(BC$3,$O$3:$AA$3,0),FALSE)-VLOOKUP($AW323&amp;"初始",$O$3:$AA$63,MATCH(BC$3,$O$3:$AA$3,0),FALSE))*$AY323/VLOOKUP(VLOOKUP($AW323,坦克个性化设定!$B$18:$E$48,4,FALSE)&amp;$AX323,坦克属性分配比例,MATCH("升星次数",坦克属性分配比例标头,0),FALSE)*(VLOOKUP(VLOOKUP($AW323,坦克个性化设定!$B$18:$E$48,4,FALSE)&amp;$AX323,坦克属性分配比例,MATCH("升星比例",坦克属性分配比例标头,0),FALSE)+VLOOKUP(VLOOKUP($AW323,坦克个性化设定!$B$18:$E$48,4,FALSE)&amp;$AX323,坦克属性分配比例,MATCH("部件比例",坦克属性分配比例标头,0),FALSE)*$C$3),0)</f>
        <v>652</v>
      </c>
      <c r="BD323" s="654">
        <f ca="1">ROUND(VLOOKUP($AW323&amp;"初始",$O$3:$AA$63,MATCH(BD$3,$O$3:$AA$3,0),FALSE)+(VLOOKUP($AW323&amp;"最终",$O$3:$AA$63,MATCH(BD$3,$O$3:$AA$3,0),FALSE)-VLOOKUP($AW323&amp;"初始",$O$3:$AA$63,MATCH(BD$3,$O$3:$AA$3,0),FALSE))*$AY323/VLOOKUP(VLOOKUP($AW323,坦克个性化设定!$B$18:$E$48,4,FALSE)&amp;$AX323,坦克属性分配比例,MATCH("升星次数",坦克属性分配比例标头,0),FALSE)*VLOOKUP(VLOOKUP($AW323,坦克个性化设定!$B$18:$E$48,4,FALSE)&amp;$AX323,坦克属性分配比例,MATCH("升星比例",坦克属性分配比例标头,0),FALSE),0)</f>
        <v>896</v>
      </c>
      <c r="BE323" s="654">
        <f ca="1">ROUND(VLOOKUP($AW323&amp;"初始",$O$3:$AA$63,MATCH(BE$3,$O$3:$AA$3,0),FALSE)+(VLOOKUP($AW323&amp;"最终",$O$3:$AA$63,MATCH(BE$3,$O$3:$AA$3,0),FALSE)-VLOOKUP($AW323&amp;"初始",$O$3:$AA$63,MATCH(BE$3,$O$3:$AA$3,0),FALSE))*$AY323/VLOOKUP(VLOOKUP($AW323,坦克个性化设定!$B$18:$E$48,4,FALSE)&amp;$AX323,坦克属性分配比例,MATCH("升星次数",坦克属性分配比例标头,0),FALSE),0)</f>
        <v>276</v>
      </c>
      <c r="BF323" s="654">
        <f>ROUND(VLOOKUP($AW323,$AD$3:$AJ$33,MATCH(BF$3,$AD$3:$AJ$3,0),FALSE)+$AY323/VLOOKUP(VLOOKUP($AW323,坦克个性化设定!$B$18:$E$48,4,FALSE)&amp;$AX323,坦克属性分配比例,MATCH("升星次数",坦克属性分配比例标头,0),FALSE)*VLOOKUP($AW323,$AM$3:$AS$33,MATCH(BF$3,$AM$3:$AS$3,0),FALSE),1)</f>
        <v>39.1</v>
      </c>
      <c r="BG323" s="654">
        <f>ROUND(VLOOKUP($AW323,$AD$3:$AJ$33,MATCH(BG$3,$AD$3:$AJ$3,0),FALSE)+$AY323/VLOOKUP(VLOOKUP($AW323,坦克个性化设定!$B$18:$E$48,4,FALSE)&amp;$AX323,坦克属性分配比例,MATCH("升星次数",坦克属性分配比例标头,0),FALSE)*VLOOKUP($AW323,$AM$3:$AS$33,MATCH(BG$3,$AM$3:$AS$3,0),FALSE),1)</f>
        <v>54.8</v>
      </c>
      <c r="BH323" s="654">
        <f>ROUND(VLOOKUP($AW323,$AD$3:$AJ$33,MATCH(BH$3,$AD$3:$AJ$3,0),FALSE)+$AY323/VLOOKUP(VLOOKUP($AW323,坦克个性化设定!$B$18:$E$48,4,FALSE)&amp;$AX323,坦克属性分配比例,MATCH("升星次数",坦克属性分配比例标头,0),FALSE)*VLOOKUP($AW323,$AM$3:$AS$33,MATCH(BH$3,$AM$3:$AS$3,0),FALSE),1)</f>
        <v>12.6</v>
      </c>
      <c r="BI323" s="654">
        <f>IF(VLOOKUP(AW323,坦克个性化设定!$B$18:$BB$48,MATCH("装弹类型",坦克个性化设定!$B$18:$BB$18,0),FALSE)="弹夹换弹",0,ROUND(VLOOKUP($AW323,$AD$3:$AJ$33,MATCH("换弹时间",$AD$3:$AJ$3,0),FALSE)-$AY323/VLOOKUP(VLOOKUP($AW323,坦克个性化设定!$B$18:$E$48,4,FALSE)&amp;$AX323,坦克属性分配比例,MATCH("升星次数",坦克属性分配比例标头,0),FALSE)*VLOOKUP($AW323,$AM$3:$AS$33,MATCH("换弹时间",$AM$3:$AS$3,0),FALSE),2))</f>
        <v>4.51</v>
      </c>
      <c r="BJ323" s="654">
        <f>IF(VLOOKUP(AW323,坦克个性化设定!$B$18:$BB$48,MATCH("装弹类型",坦克个性化设定!$B$18:$BB$18,0),FALSE)="弹夹换弹",ROUND(VLOOKUP($AW323,$AD$3:$AJ$33,MATCH("换弹时间",$AD$3:$AJ$3,0),FALSE)-$AY323/VLOOKUP(VLOOKUP($AW323,坦克个性化设定!$B$18:$E$48,4,FALSE)&amp;$AX323,坦克属性分配比例,MATCH("升星次数",坦克属性分配比例标头,0),FALSE)*VLOOKUP($AW323,$AM$3:$AS$33,MATCH("换弹时间",$AM$3:$AS$3,0),FALSE),1),0)</f>
        <v>0</v>
      </c>
      <c r="BK323" s="654">
        <f>ROUND(VLOOKUP($AW323,$AD$3:$AJ$33,MATCH(BK$3,$AD$3:$AJ$3,0),FALSE)+$AY323/VLOOKUP(VLOOKUP($AW323,坦克个性化设定!$B$18:$E$48,4,FALSE)&amp;$AX323,坦克属性分配比例,MATCH("升星次数",坦克属性分配比例标头,0),FALSE)*VLOOKUP($AW323,$AM$3:$AS$33,MATCH(BK$3,$AM$3:$AS$3,0),FALSE),2)</f>
        <v>0</v>
      </c>
      <c r="BL323" s="654">
        <f>ROUND(VLOOKUP($AW323,$AD$3:$AJ$33,MATCH(BL$3,$AD$3:$AJ$3,0),FALSE)-$AY323/VLOOKUP(VLOOKUP($AW323,坦克个性化设定!$B$18:$E$48,4,FALSE)&amp;$AX323,坦克属性分配比例,MATCH("升星次数",坦克属性分配比例标头,0),FALSE)*VLOOKUP($AW323,$AM$3:$AS$33,MATCH(BL$3,$AM$3:$AS$3,0),FALSE),2)</f>
        <v>2.5</v>
      </c>
    </row>
    <row r="324" spans="47:64" x14ac:dyDescent="0.35">
      <c r="AU324" s="372" t="str">
        <f t="shared" si="33"/>
        <v>IS-40</v>
      </c>
      <c r="AV324" s="654">
        <f>IF(AY323&gt;=VLOOKUP(VLOOKUP(AW323,坦克个性化设定!$B$18:$E$48,4,FALSE)&amp;AX323,坦克属性分配比例,MATCH("升星次数",坦克属性分配比例标头,0),FALSE),AV323+1,AV323)</f>
        <v>28</v>
      </c>
      <c r="AW324" s="649" t="str">
        <f t="shared" si="34"/>
        <v>IS-4</v>
      </c>
      <c r="AX324" s="650" t="str">
        <f>VLOOKUP(AW324,坦克个性化细分!$I$3:$J$33,2,FALSE)</f>
        <v>中</v>
      </c>
      <c r="AY324" s="654">
        <f t="shared" si="35"/>
        <v>0</v>
      </c>
      <c r="AZ324" s="654">
        <f ca="1">ROUND(VLOOKUP($AW324&amp;"初始",$O$3:$AA$63,MATCH(AZ$3,$O$3:$AA$3,0),FALSE)+((VLOOKUP($AW324&amp;"最终",$O$3:$AA$63,MATCH(AZ$3,$O$3:$AA$3,0),FALSE)*坦克个性化细分!$C$9-VLOOKUP($AW324&amp;"初始",$O$3:$AA$63,MATCH(AZ$3,$O$3:$AA$3,0),FALSE))-(VLOOKUP($AW324&amp;"最终",$O$3:$AA$63,MATCH(AZ$3,$O$3:$AA$3,0),FALSE)-VLOOKUP($AW324&amp;"初始",$O$3:$AA$63,MATCH(AZ$3,$O$3:$AA$3,0),FALSE))*VLOOKUP(VLOOKUP($AW324,坦克个性化设定!$B$18:$E$48,4,FALSE)&amp;$AX324,坦克属性分配比例,MATCH("部件比例",坦克属性分配比例标头,0),FALSE))*$AY324/VLOOKUP(VLOOKUP($AW324,坦克个性化设定!$B$18:$E$48,4,FALSE)&amp;$AX324,坦克属性分配比例,MATCH("升星次数",坦克属性分配比例标头,0),FALSE),0)</f>
        <v>1828</v>
      </c>
      <c r="BA324" s="654">
        <f ca="1">ROUND(VLOOKUP($AW324&amp;"初始",$O$3:$AA$63,MATCH(BA$3,$O$3:$AA$3,0),FALSE)+(VLOOKUP($AW324&amp;"最终",$O$3:$AA$63,MATCH(BA$3,$O$3:$AA$3,0),FALSE)-VLOOKUP($AW324&amp;"初始",$O$3:$AA$63,MATCH(BA$3,$O$3:$AA$3,0),FALSE))*$AY324/VLOOKUP(VLOOKUP($AW324,坦克个性化设定!$B$18:$E$48,4,FALSE)&amp;$AX324,坦克属性分配比例,MATCH("升星次数",坦克属性分配比例标头,0),FALSE)*VLOOKUP(VLOOKUP($AW324,坦克个性化设定!$B$18:$E$48,4,FALSE)&amp;$AX324,坦克属性分配比例,MATCH("升星比例",坦克属性分配比例标头,0),FALSE),0)</f>
        <v>303</v>
      </c>
      <c r="BB324" s="654">
        <f ca="1">ROUND(VLOOKUP($AW324&amp;"初始",$O$3:$AA$63,MATCH(BB$3,$O$3:$AA$3,0),FALSE)+(VLOOKUP($AW324&amp;"最终",$O$3:$AA$63,MATCH(BB$3,$O$3:$AA$3,0),FALSE)-VLOOKUP($AW324&amp;"初始",$O$3:$AA$63,MATCH(BB$3,$O$3:$AA$3,0),FALSE))*$AY324/VLOOKUP(VLOOKUP($AW324,坦克个性化设定!$B$18:$E$48,4,FALSE)&amp;$AX324,坦克属性分配比例,MATCH("升星次数",坦克属性分配比例标头,0),FALSE)*(VLOOKUP(VLOOKUP($AW324,坦克个性化设定!$B$18:$E$48,4,FALSE)&amp;$AX324,坦克属性分配比例,MATCH("升星比例",坦克属性分配比例标头,0),FALSE)+VLOOKUP(VLOOKUP($AW324,坦克个性化设定!$B$18:$E$48,4,FALSE)&amp;$AX324,坦克属性分配比例,MATCH("部件比例",坦克属性分配比例标头,0),FALSE)*$C$3),0)</f>
        <v>560</v>
      </c>
      <c r="BC324" s="654">
        <f ca="1">ROUND(VLOOKUP($AW324&amp;"初始",$O$3:$AA$63,MATCH(BC$3,$O$3:$AA$3,0),FALSE)+(VLOOKUP($AW324&amp;"最终",$O$3:$AA$63,MATCH(BC$3,$O$3:$AA$3,0),FALSE)-VLOOKUP($AW324&amp;"初始",$O$3:$AA$63,MATCH(BC$3,$O$3:$AA$3,0),FALSE))*$AY324/VLOOKUP(VLOOKUP($AW324,坦克个性化设定!$B$18:$E$48,4,FALSE)&amp;$AX324,坦克属性分配比例,MATCH("升星次数",坦克属性分配比例标头,0),FALSE)*(VLOOKUP(VLOOKUP($AW324,坦克个性化设定!$B$18:$E$48,4,FALSE)&amp;$AX324,坦克属性分配比例,MATCH("升星比例",坦克属性分配比例标头,0),FALSE)+VLOOKUP(VLOOKUP($AW324,坦克个性化设定!$B$18:$E$48,4,FALSE)&amp;$AX324,坦克属性分配比例,MATCH("部件比例",坦克属性分配比例标头,0),FALSE)*$C$3),0)</f>
        <v>448</v>
      </c>
      <c r="BD324" s="654">
        <f ca="1">ROUND(VLOOKUP($AW324&amp;"初始",$O$3:$AA$63,MATCH(BD$3,$O$3:$AA$3,0),FALSE)+(VLOOKUP($AW324&amp;"最终",$O$3:$AA$63,MATCH(BD$3,$O$3:$AA$3,0),FALSE)-VLOOKUP($AW324&amp;"初始",$O$3:$AA$63,MATCH(BD$3,$O$3:$AA$3,0),FALSE))*$AY324/VLOOKUP(VLOOKUP($AW324,坦克个性化设定!$B$18:$E$48,4,FALSE)&amp;$AX324,坦克属性分配比例,MATCH("升星次数",坦克属性分配比例标头,0),FALSE)*VLOOKUP(VLOOKUP($AW324,坦克个性化设定!$B$18:$E$48,4,FALSE)&amp;$AX324,坦克属性分配比例,MATCH("升星比例",坦克属性分配比例标头,0),FALSE),0)</f>
        <v>823</v>
      </c>
      <c r="BE324" s="654">
        <f ca="1">ROUND(VLOOKUP($AW324&amp;"初始",$O$3:$AA$63,MATCH(BE$3,$O$3:$AA$3,0),FALSE)+(VLOOKUP($AW324&amp;"最终",$O$3:$AA$63,MATCH(BE$3,$O$3:$AA$3,0),FALSE)-VLOOKUP($AW324&amp;"初始",$O$3:$AA$63,MATCH(BE$3,$O$3:$AA$3,0),FALSE))*$AY324/VLOOKUP(VLOOKUP($AW324,坦克个性化设定!$B$18:$E$48,4,FALSE)&amp;$AX324,坦克属性分配比例,MATCH("升星次数",坦克属性分配比例标头,0),FALSE),0)</f>
        <v>186</v>
      </c>
      <c r="BF324" s="654">
        <f>ROUND(VLOOKUP($AW324,$AD$3:$AJ$33,MATCH(BF$3,$AD$3:$AJ$3,0),FALSE)+$AY324/VLOOKUP(VLOOKUP($AW324,坦克个性化设定!$B$18:$E$48,4,FALSE)&amp;$AX324,坦克属性分配比例,MATCH("升星次数",坦克属性分配比例标头,0),FALSE)*VLOOKUP($AW324,$AM$3:$AS$33,MATCH(BF$3,$AM$3:$AS$3,0),FALSE),1)</f>
        <v>32</v>
      </c>
      <c r="BG324" s="654">
        <f>ROUND(VLOOKUP($AW324,$AD$3:$AJ$33,MATCH(BG$3,$AD$3:$AJ$3,0),FALSE)+$AY324/VLOOKUP(VLOOKUP($AW324,坦克个性化设定!$B$18:$E$48,4,FALSE)&amp;$AX324,坦克属性分配比例,MATCH("升星次数",坦克属性分配比例标头,0),FALSE)*VLOOKUP($AW324,$AM$3:$AS$33,MATCH(BG$3,$AM$3:$AS$3,0),FALSE),1)</f>
        <v>44.6</v>
      </c>
      <c r="BH324" s="654">
        <f>ROUND(VLOOKUP($AW324,$AD$3:$AJ$33,MATCH(BH$3,$AD$3:$AJ$3,0),FALSE)+$AY324/VLOOKUP(VLOOKUP($AW324,坦克个性化设定!$B$18:$E$48,4,FALSE)&amp;$AX324,坦克属性分配比例,MATCH("升星次数",坦克属性分配比例标头,0),FALSE)*VLOOKUP($AW324,$AM$3:$AS$33,MATCH(BH$3,$AM$3:$AS$3,0),FALSE),1)</f>
        <v>9.6</v>
      </c>
      <c r="BI324" s="654">
        <f>IF(VLOOKUP(AW324,坦克个性化设定!$B$18:$BB$48,MATCH("装弹类型",坦克个性化设定!$B$18:$BB$18,0),FALSE)="弹夹换弹",0,ROUND(VLOOKUP($AW324,$AD$3:$AJ$33,MATCH("换弹时间",$AD$3:$AJ$3,0),FALSE)-$AY324/VLOOKUP(VLOOKUP($AW324,坦克个性化设定!$B$18:$E$48,4,FALSE)&amp;$AX324,坦克属性分配比例,MATCH("升星次数",坦克属性分配比例标头,0),FALSE)*VLOOKUP($AW324,$AM$3:$AS$33,MATCH("换弹时间",$AM$3:$AS$3,0),FALSE),2))</f>
        <v>4.5</v>
      </c>
      <c r="BJ324" s="654">
        <f>IF(VLOOKUP(AW324,坦克个性化设定!$B$18:$BB$48,MATCH("装弹类型",坦克个性化设定!$B$18:$BB$18,0),FALSE)="弹夹换弹",ROUND(VLOOKUP($AW324,$AD$3:$AJ$33,MATCH("换弹时间",$AD$3:$AJ$3,0),FALSE)-$AY324/VLOOKUP(VLOOKUP($AW324,坦克个性化设定!$B$18:$E$48,4,FALSE)&amp;$AX324,坦克属性分配比例,MATCH("升星次数",坦克属性分配比例标头,0),FALSE)*VLOOKUP($AW324,$AM$3:$AS$33,MATCH("换弹时间",$AM$3:$AS$3,0),FALSE),1),0)</f>
        <v>0</v>
      </c>
      <c r="BK324" s="654">
        <f>ROUND(VLOOKUP($AW324,$AD$3:$AJ$33,MATCH(BK$3,$AD$3:$AJ$3,0),FALSE)+$AY324/VLOOKUP(VLOOKUP($AW324,坦克个性化设定!$B$18:$E$48,4,FALSE)&amp;$AX324,坦克属性分配比例,MATCH("升星次数",坦克属性分配比例标头,0),FALSE)*VLOOKUP($AW324,$AM$3:$AS$33,MATCH(BK$3,$AM$3:$AS$3,0),FALSE),2)</f>
        <v>2</v>
      </c>
      <c r="BL324" s="654">
        <f>ROUND(VLOOKUP($AW324,$AD$3:$AJ$33,MATCH(BL$3,$AD$3:$AJ$3,0),FALSE)-$AY324/VLOOKUP(VLOOKUP($AW324,坦克个性化设定!$B$18:$E$48,4,FALSE)&amp;$AX324,坦克属性分配比例,MATCH("升星次数",坦克属性分配比例标头,0),FALSE)*VLOOKUP($AW324,$AM$3:$AS$33,MATCH(BL$3,$AM$3:$AS$3,0),FALSE),2)</f>
        <v>2.25</v>
      </c>
    </row>
    <row r="325" spans="47:64" x14ac:dyDescent="0.35">
      <c r="AU325" s="372" t="str">
        <f t="shared" si="33"/>
        <v>IS-41</v>
      </c>
      <c r="AV325" s="654">
        <f>IF(AY324&gt;=VLOOKUP(VLOOKUP(AW324,坦克个性化设定!$B$18:$E$48,4,FALSE)&amp;AX324,坦克属性分配比例,MATCH("升星次数",坦克属性分配比例标头,0),FALSE),AV324+1,AV324)</f>
        <v>28</v>
      </c>
      <c r="AW325" s="649" t="str">
        <f t="shared" si="34"/>
        <v>IS-4</v>
      </c>
      <c r="AX325" s="650" t="str">
        <f>VLOOKUP(AW325,坦克个性化细分!$I$3:$J$33,2,FALSE)</f>
        <v>中</v>
      </c>
      <c r="AY325" s="654">
        <f t="shared" si="35"/>
        <v>1</v>
      </c>
      <c r="AZ325" s="654">
        <f ca="1">ROUND(VLOOKUP($AW325&amp;"初始",$O$3:$AA$63,MATCH(AZ$3,$O$3:$AA$3,0),FALSE)+((VLOOKUP($AW325&amp;"最终",$O$3:$AA$63,MATCH(AZ$3,$O$3:$AA$3,0),FALSE)*坦克个性化细分!$C$9-VLOOKUP($AW325&amp;"初始",$O$3:$AA$63,MATCH(AZ$3,$O$3:$AA$3,0),FALSE))-(VLOOKUP($AW325&amp;"最终",$O$3:$AA$63,MATCH(AZ$3,$O$3:$AA$3,0),FALSE)-VLOOKUP($AW325&amp;"初始",$O$3:$AA$63,MATCH(AZ$3,$O$3:$AA$3,0),FALSE))*VLOOKUP(VLOOKUP($AW325,坦克个性化设定!$B$18:$E$48,4,FALSE)&amp;$AX325,坦克属性分配比例,MATCH("部件比例",坦克属性分配比例标头,0),FALSE))*$AY325/VLOOKUP(VLOOKUP($AW325,坦克个性化设定!$B$18:$E$48,4,FALSE)&amp;$AX325,坦克属性分配比例,MATCH("升星次数",坦克属性分配比例标头,0),FALSE),0)</f>
        <v>1934</v>
      </c>
      <c r="BA325" s="654">
        <f ca="1">ROUND(VLOOKUP($AW325&amp;"初始",$O$3:$AA$63,MATCH(BA$3,$O$3:$AA$3,0),FALSE)+(VLOOKUP($AW325&amp;"最终",$O$3:$AA$63,MATCH(BA$3,$O$3:$AA$3,0),FALSE)-VLOOKUP($AW325&amp;"初始",$O$3:$AA$63,MATCH(BA$3,$O$3:$AA$3,0),FALSE))*$AY325/VLOOKUP(VLOOKUP($AW325,坦克个性化设定!$B$18:$E$48,4,FALSE)&amp;$AX325,坦克属性分配比例,MATCH("升星次数",坦克属性分配比例标头,0),FALSE)*VLOOKUP(VLOOKUP($AW325,坦克个性化设定!$B$18:$E$48,4,FALSE)&amp;$AX325,坦克属性分配比例,MATCH("升星比例",坦克属性分配比例标头,0),FALSE),0)</f>
        <v>310</v>
      </c>
      <c r="BB325" s="654">
        <f ca="1">ROUND(VLOOKUP($AW325&amp;"初始",$O$3:$AA$63,MATCH(BB$3,$O$3:$AA$3,0),FALSE)+(VLOOKUP($AW325&amp;"最终",$O$3:$AA$63,MATCH(BB$3,$O$3:$AA$3,0),FALSE)-VLOOKUP($AW325&amp;"初始",$O$3:$AA$63,MATCH(BB$3,$O$3:$AA$3,0),FALSE))*$AY325/VLOOKUP(VLOOKUP($AW325,坦克个性化设定!$B$18:$E$48,4,FALSE)&amp;$AX325,坦克属性分配比例,MATCH("升星次数",坦克属性分配比例标头,0),FALSE)*(VLOOKUP(VLOOKUP($AW325,坦克个性化设定!$B$18:$E$48,4,FALSE)&amp;$AX325,坦克属性分配比例,MATCH("升星比例",坦克属性分配比例标头,0),FALSE)+VLOOKUP(VLOOKUP($AW325,坦克个性化设定!$B$18:$E$48,4,FALSE)&amp;$AX325,坦克属性分配比例,MATCH("部件比例",坦克属性分配比例标头,0),FALSE)*$C$3),0)</f>
        <v>583</v>
      </c>
      <c r="BC325" s="654">
        <f ca="1">ROUND(VLOOKUP($AW325&amp;"初始",$O$3:$AA$63,MATCH(BC$3,$O$3:$AA$3,0),FALSE)+(VLOOKUP($AW325&amp;"最终",$O$3:$AA$63,MATCH(BC$3,$O$3:$AA$3,0),FALSE)-VLOOKUP($AW325&amp;"初始",$O$3:$AA$63,MATCH(BC$3,$O$3:$AA$3,0),FALSE))*$AY325/VLOOKUP(VLOOKUP($AW325,坦克个性化设定!$B$18:$E$48,4,FALSE)&amp;$AX325,坦克属性分配比例,MATCH("升星次数",坦克属性分配比例标头,0),FALSE)*(VLOOKUP(VLOOKUP($AW325,坦克个性化设定!$B$18:$E$48,4,FALSE)&amp;$AX325,坦克属性分配比例,MATCH("升星比例",坦克属性分配比例标头,0),FALSE)+VLOOKUP(VLOOKUP($AW325,坦克个性化设定!$B$18:$E$48,4,FALSE)&amp;$AX325,坦克属性分配比例,MATCH("部件比例",坦克属性分配比例标头,0),FALSE)*$C$3),0)</f>
        <v>467</v>
      </c>
      <c r="BD325" s="654">
        <f ca="1">ROUND(VLOOKUP($AW325&amp;"初始",$O$3:$AA$63,MATCH(BD$3,$O$3:$AA$3,0),FALSE)+(VLOOKUP($AW325&amp;"最终",$O$3:$AA$63,MATCH(BD$3,$O$3:$AA$3,0),FALSE)-VLOOKUP($AW325&amp;"初始",$O$3:$AA$63,MATCH(BD$3,$O$3:$AA$3,0),FALSE))*$AY325/VLOOKUP(VLOOKUP($AW325,坦克个性化设定!$B$18:$E$48,4,FALSE)&amp;$AX325,坦克属性分配比例,MATCH("升星次数",坦克属性分配比例标头,0),FALSE)*VLOOKUP(VLOOKUP($AW325,坦克个性化设定!$B$18:$E$48,4,FALSE)&amp;$AX325,坦克属性分配比例,MATCH("升星比例",坦克属性分配比例标头,0),FALSE),0)</f>
        <v>843</v>
      </c>
      <c r="BE325" s="654">
        <f ca="1">ROUND(VLOOKUP($AW325&amp;"初始",$O$3:$AA$63,MATCH(BE$3,$O$3:$AA$3,0),FALSE)+(VLOOKUP($AW325&amp;"最终",$O$3:$AA$63,MATCH(BE$3,$O$3:$AA$3,0),FALSE)-VLOOKUP($AW325&amp;"初始",$O$3:$AA$63,MATCH(BE$3,$O$3:$AA$3,0),FALSE))*$AY325/VLOOKUP(VLOOKUP($AW325,坦克个性化设定!$B$18:$E$48,4,FALSE)&amp;$AX325,坦克属性分配比例,MATCH("升星次数",坦克属性分配比例标头,0),FALSE),0)</f>
        <v>196</v>
      </c>
      <c r="BF325" s="654">
        <f>ROUND(VLOOKUP($AW325,$AD$3:$AJ$33,MATCH(BF$3,$AD$3:$AJ$3,0),FALSE)+$AY325/VLOOKUP(VLOOKUP($AW325,坦克个性化设定!$B$18:$E$48,4,FALSE)&amp;$AX325,坦克属性分配比例,MATCH("升星次数",坦克属性分配比例标头,0),FALSE)*VLOOKUP($AW325,$AM$3:$AS$33,MATCH(BF$3,$AM$3:$AS$3,0),FALSE),1)</f>
        <v>32.5</v>
      </c>
      <c r="BG325" s="654">
        <f>ROUND(VLOOKUP($AW325,$AD$3:$AJ$33,MATCH(BG$3,$AD$3:$AJ$3,0),FALSE)+$AY325/VLOOKUP(VLOOKUP($AW325,坦克个性化设定!$B$18:$E$48,4,FALSE)&amp;$AX325,坦克属性分配比例,MATCH("升星次数",坦克属性分配比例标头,0),FALSE)*VLOOKUP($AW325,$AM$3:$AS$33,MATCH(BG$3,$AM$3:$AS$3,0),FALSE),1)</f>
        <v>45.3</v>
      </c>
      <c r="BH325" s="654">
        <f>ROUND(VLOOKUP($AW325,$AD$3:$AJ$33,MATCH(BH$3,$AD$3:$AJ$3,0),FALSE)+$AY325/VLOOKUP(VLOOKUP($AW325,坦克个性化设定!$B$18:$E$48,4,FALSE)&amp;$AX325,坦克属性分配比例,MATCH("升星次数",坦克属性分配比例标头,0),FALSE)*VLOOKUP($AW325,$AM$3:$AS$33,MATCH(BH$3,$AM$3:$AS$3,0),FALSE),1)</f>
        <v>9.8000000000000007</v>
      </c>
      <c r="BI325" s="654">
        <f>IF(VLOOKUP(AW325,坦克个性化设定!$B$18:$BB$48,MATCH("装弹类型",坦克个性化设定!$B$18:$BB$18,0),FALSE)="弹夹换弹",0,ROUND(VLOOKUP($AW325,$AD$3:$AJ$33,MATCH("换弹时间",$AD$3:$AJ$3,0),FALSE)-$AY325/VLOOKUP(VLOOKUP($AW325,坦克个性化设定!$B$18:$E$48,4,FALSE)&amp;$AX325,坦克属性分配比例,MATCH("升星次数",坦克属性分配比例标头,0),FALSE)*VLOOKUP($AW325,$AM$3:$AS$33,MATCH("换弹时间",$AM$3:$AS$3,0),FALSE),2))</f>
        <v>4.43</v>
      </c>
      <c r="BJ325" s="654">
        <f>IF(VLOOKUP(AW325,坦克个性化设定!$B$18:$BB$48,MATCH("装弹类型",坦克个性化设定!$B$18:$BB$18,0),FALSE)="弹夹换弹",ROUND(VLOOKUP($AW325,$AD$3:$AJ$33,MATCH("换弹时间",$AD$3:$AJ$3,0),FALSE)-$AY325/VLOOKUP(VLOOKUP($AW325,坦克个性化设定!$B$18:$E$48,4,FALSE)&amp;$AX325,坦克属性分配比例,MATCH("升星次数",坦克属性分配比例标头,0),FALSE)*VLOOKUP($AW325,$AM$3:$AS$33,MATCH("换弹时间",$AM$3:$AS$3,0),FALSE),1),0)</f>
        <v>0</v>
      </c>
      <c r="BK325" s="654">
        <f>ROUND(VLOOKUP($AW325,$AD$3:$AJ$33,MATCH(BK$3,$AD$3:$AJ$3,0),FALSE)+$AY325/VLOOKUP(VLOOKUP($AW325,坦克个性化设定!$B$18:$E$48,4,FALSE)&amp;$AX325,坦克属性分配比例,MATCH("升星次数",坦克属性分配比例标头,0),FALSE)*VLOOKUP($AW325,$AM$3:$AS$33,MATCH(BK$3,$AM$3:$AS$3,0),FALSE),2)</f>
        <v>2</v>
      </c>
      <c r="BL325" s="654">
        <f>ROUND(VLOOKUP($AW325,$AD$3:$AJ$33,MATCH(BL$3,$AD$3:$AJ$3,0),FALSE)-$AY325/VLOOKUP(VLOOKUP($AW325,坦克个性化设定!$B$18:$E$48,4,FALSE)&amp;$AX325,坦克属性分配比例,MATCH("升星次数",坦克属性分配比例标头,0),FALSE)*VLOOKUP($AW325,$AM$3:$AS$33,MATCH(BL$3,$AM$3:$AS$3,0),FALSE),2)</f>
        <v>2.23</v>
      </c>
    </row>
    <row r="326" spans="47:64" x14ac:dyDescent="0.35">
      <c r="AU326" s="372" t="str">
        <f t="shared" si="33"/>
        <v>IS-42</v>
      </c>
      <c r="AV326" s="654">
        <f>IF(AY325&gt;=VLOOKUP(VLOOKUP(AW325,坦克个性化设定!$B$18:$E$48,4,FALSE)&amp;AX325,坦克属性分配比例,MATCH("升星次数",坦克属性分配比例标头,0),FALSE),AV325+1,AV325)</f>
        <v>28</v>
      </c>
      <c r="AW326" s="649" t="str">
        <f t="shared" si="34"/>
        <v>IS-4</v>
      </c>
      <c r="AX326" s="650" t="str">
        <f>VLOOKUP(AW326,坦克个性化细分!$I$3:$J$33,2,FALSE)</f>
        <v>中</v>
      </c>
      <c r="AY326" s="654">
        <f t="shared" si="35"/>
        <v>2</v>
      </c>
      <c r="AZ326" s="654">
        <f ca="1">ROUND(VLOOKUP($AW326&amp;"初始",$O$3:$AA$63,MATCH(AZ$3,$O$3:$AA$3,0),FALSE)+((VLOOKUP($AW326&amp;"最终",$O$3:$AA$63,MATCH(AZ$3,$O$3:$AA$3,0),FALSE)*坦克个性化细分!$C$9-VLOOKUP($AW326&amp;"初始",$O$3:$AA$63,MATCH(AZ$3,$O$3:$AA$3,0),FALSE))-(VLOOKUP($AW326&amp;"最终",$O$3:$AA$63,MATCH(AZ$3,$O$3:$AA$3,0),FALSE)-VLOOKUP($AW326&amp;"初始",$O$3:$AA$63,MATCH(AZ$3,$O$3:$AA$3,0),FALSE))*VLOOKUP(VLOOKUP($AW326,坦克个性化设定!$B$18:$E$48,4,FALSE)&amp;$AX326,坦克属性分配比例,MATCH("部件比例",坦克属性分配比例标头,0),FALSE))*$AY326/VLOOKUP(VLOOKUP($AW326,坦克个性化设定!$B$18:$E$48,4,FALSE)&amp;$AX326,坦克属性分配比例,MATCH("升星次数",坦克属性分配比例标头,0),FALSE),0)</f>
        <v>2040</v>
      </c>
      <c r="BA326" s="654">
        <f ca="1">ROUND(VLOOKUP($AW326&amp;"初始",$O$3:$AA$63,MATCH(BA$3,$O$3:$AA$3,0),FALSE)+(VLOOKUP($AW326&amp;"最终",$O$3:$AA$63,MATCH(BA$3,$O$3:$AA$3,0),FALSE)-VLOOKUP($AW326&amp;"初始",$O$3:$AA$63,MATCH(BA$3,$O$3:$AA$3,0),FALSE))*$AY326/VLOOKUP(VLOOKUP($AW326,坦克个性化设定!$B$18:$E$48,4,FALSE)&amp;$AX326,坦克属性分配比例,MATCH("升星次数",坦克属性分配比例标头,0),FALSE)*VLOOKUP(VLOOKUP($AW326,坦克个性化设定!$B$18:$E$48,4,FALSE)&amp;$AX326,坦克属性分配比例,MATCH("升星比例",坦克属性分配比例标头,0),FALSE),0)</f>
        <v>317</v>
      </c>
      <c r="BB326" s="654">
        <f ca="1">ROUND(VLOOKUP($AW326&amp;"初始",$O$3:$AA$63,MATCH(BB$3,$O$3:$AA$3,0),FALSE)+(VLOOKUP($AW326&amp;"最终",$O$3:$AA$63,MATCH(BB$3,$O$3:$AA$3,0),FALSE)-VLOOKUP($AW326&amp;"初始",$O$3:$AA$63,MATCH(BB$3,$O$3:$AA$3,0),FALSE))*$AY326/VLOOKUP(VLOOKUP($AW326,坦克个性化设定!$B$18:$E$48,4,FALSE)&amp;$AX326,坦克属性分配比例,MATCH("升星次数",坦克属性分配比例标头,0),FALSE)*(VLOOKUP(VLOOKUP($AW326,坦克个性化设定!$B$18:$E$48,4,FALSE)&amp;$AX326,坦克属性分配比例,MATCH("升星比例",坦克属性分配比例标头,0),FALSE)+VLOOKUP(VLOOKUP($AW326,坦克个性化设定!$B$18:$E$48,4,FALSE)&amp;$AX326,坦克属性分配比例,MATCH("部件比例",坦克属性分配比例标头,0),FALSE)*$C$3),0)</f>
        <v>607</v>
      </c>
      <c r="BC326" s="654">
        <f ca="1">ROUND(VLOOKUP($AW326&amp;"初始",$O$3:$AA$63,MATCH(BC$3,$O$3:$AA$3,0),FALSE)+(VLOOKUP($AW326&amp;"最终",$O$3:$AA$63,MATCH(BC$3,$O$3:$AA$3,0),FALSE)-VLOOKUP($AW326&amp;"初始",$O$3:$AA$63,MATCH(BC$3,$O$3:$AA$3,0),FALSE))*$AY326/VLOOKUP(VLOOKUP($AW326,坦克个性化设定!$B$18:$E$48,4,FALSE)&amp;$AX326,坦克属性分配比例,MATCH("升星次数",坦克属性分配比例标头,0),FALSE)*(VLOOKUP(VLOOKUP($AW326,坦克个性化设定!$B$18:$E$48,4,FALSE)&amp;$AX326,坦克属性分配比例,MATCH("升星比例",坦克属性分配比例标头,0),FALSE)+VLOOKUP(VLOOKUP($AW326,坦克个性化设定!$B$18:$E$48,4,FALSE)&amp;$AX326,坦克属性分配比例,MATCH("部件比例",坦克属性分配比例标头,0),FALSE)*$C$3),0)</f>
        <v>486</v>
      </c>
      <c r="BD326" s="654">
        <f ca="1">ROUND(VLOOKUP($AW326&amp;"初始",$O$3:$AA$63,MATCH(BD$3,$O$3:$AA$3,0),FALSE)+(VLOOKUP($AW326&amp;"最终",$O$3:$AA$63,MATCH(BD$3,$O$3:$AA$3,0),FALSE)-VLOOKUP($AW326&amp;"初始",$O$3:$AA$63,MATCH(BD$3,$O$3:$AA$3,0),FALSE))*$AY326/VLOOKUP(VLOOKUP($AW326,坦克个性化设定!$B$18:$E$48,4,FALSE)&amp;$AX326,坦克属性分配比例,MATCH("升星次数",坦克属性分配比例标头,0),FALSE)*VLOOKUP(VLOOKUP($AW326,坦克个性化设定!$B$18:$E$48,4,FALSE)&amp;$AX326,坦克属性分配比例,MATCH("升星比例",坦克属性分配比例标头,0),FALSE),0)</f>
        <v>863</v>
      </c>
      <c r="BE326" s="654">
        <f ca="1">ROUND(VLOOKUP($AW326&amp;"初始",$O$3:$AA$63,MATCH(BE$3,$O$3:$AA$3,0),FALSE)+(VLOOKUP($AW326&amp;"最终",$O$3:$AA$63,MATCH(BE$3,$O$3:$AA$3,0),FALSE)-VLOOKUP($AW326&amp;"初始",$O$3:$AA$63,MATCH(BE$3,$O$3:$AA$3,0),FALSE))*$AY326/VLOOKUP(VLOOKUP($AW326,坦克个性化设定!$B$18:$E$48,4,FALSE)&amp;$AX326,坦克属性分配比例,MATCH("升星次数",坦克属性分配比例标头,0),FALSE),0)</f>
        <v>206</v>
      </c>
      <c r="BF326" s="654">
        <f>ROUND(VLOOKUP($AW326,$AD$3:$AJ$33,MATCH(BF$3,$AD$3:$AJ$3,0),FALSE)+$AY326/VLOOKUP(VLOOKUP($AW326,坦克个性化设定!$B$18:$E$48,4,FALSE)&amp;$AX326,坦克属性分配比例,MATCH("升星次数",坦克属性分配比例标头,0),FALSE)*VLOOKUP($AW326,$AM$3:$AS$33,MATCH(BF$3,$AM$3:$AS$3,0),FALSE),1)</f>
        <v>32.9</v>
      </c>
      <c r="BG326" s="654">
        <f>ROUND(VLOOKUP($AW326,$AD$3:$AJ$33,MATCH(BG$3,$AD$3:$AJ$3,0),FALSE)+$AY326/VLOOKUP(VLOOKUP($AW326,坦克个性化设定!$B$18:$E$48,4,FALSE)&amp;$AX326,坦克属性分配比例,MATCH("升星次数",坦克属性分配比例标头,0),FALSE)*VLOOKUP($AW326,$AM$3:$AS$33,MATCH(BG$3,$AM$3:$AS$3,0),FALSE),1)</f>
        <v>45.9</v>
      </c>
      <c r="BH326" s="654">
        <f>ROUND(VLOOKUP($AW326,$AD$3:$AJ$33,MATCH(BH$3,$AD$3:$AJ$3,0),FALSE)+$AY326/VLOOKUP(VLOOKUP($AW326,坦克个性化设定!$B$18:$E$48,4,FALSE)&amp;$AX326,坦克属性分配比例,MATCH("升星次数",坦克属性分配比例标头,0),FALSE)*VLOOKUP($AW326,$AM$3:$AS$33,MATCH(BH$3,$AM$3:$AS$3,0),FALSE),1)</f>
        <v>10</v>
      </c>
      <c r="BI326" s="654">
        <f>IF(VLOOKUP(AW326,坦克个性化设定!$B$18:$BB$48,MATCH("装弹类型",坦克个性化设定!$B$18:$BB$18,0),FALSE)="弹夹换弹",0,ROUND(VLOOKUP($AW326,$AD$3:$AJ$33,MATCH("换弹时间",$AD$3:$AJ$3,0),FALSE)-$AY326/VLOOKUP(VLOOKUP($AW326,坦克个性化设定!$B$18:$E$48,4,FALSE)&amp;$AX326,坦克属性分配比例,MATCH("升星次数",坦克属性分配比例标头,0),FALSE)*VLOOKUP($AW326,$AM$3:$AS$33,MATCH("换弹时间",$AM$3:$AS$3,0),FALSE),2))</f>
        <v>4.3600000000000003</v>
      </c>
      <c r="BJ326" s="654">
        <f>IF(VLOOKUP(AW326,坦克个性化设定!$B$18:$BB$48,MATCH("装弹类型",坦克个性化设定!$B$18:$BB$18,0),FALSE)="弹夹换弹",ROUND(VLOOKUP($AW326,$AD$3:$AJ$33,MATCH("换弹时间",$AD$3:$AJ$3,0),FALSE)-$AY326/VLOOKUP(VLOOKUP($AW326,坦克个性化设定!$B$18:$E$48,4,FALSE)&amp;$AX326,坦克属性分配比例,MATCH("升星次数",坦克属性分配比例标头,0),FALSE)*VLOOKUP($AW326,$AM$3:$AS$33,MATCH("换弹时间",$AM$3:$AS$3,0),FALSE),1),0)</f>
        <v>0</v>
      </c>
      <c r="BK326" s="654">
        <f>ROUND(VLOOKUP($AW326,$AD$3:$AJ$33,MATCH(BK$3,$AD$3:$AJ$3,0),FALSE)+$AY326/VLOOKUP(VLOOKUP($AW326,坦克个性化设定!$B$18:$E$48,4,FALSE)&amp;$AX326,坦克属性分配比例,MATCH("升星次数",坦克属性分配比例标头,0),FALSE)*VLOOKUP($AW326,$AM$3:$AS$33,MATCH(BK$3,$AM$3:$AS$3,0),FALSE),2)</f>
        <v>2</v>
      </c>
      <c r="BL326" s="654">
        <f>ROUND(VLOOKUP($AW326,$AD$3:$AJ$33,MATCH(BL$3,$AD$3:$AJ$3,0),FALSE)-$AY326/VLOOKUP(VLOOKUP($AW326,坦克个性化设定!$B$18:$E$48,4,FALSE)&amp;$AX326,坦克属性分配比例,MATCH("升星次数",坦克属性分配比例标头,0),FALSE)*VLOOKUP($AW326,$AM$3:$AS$33,MATCH(BL$3,$AM$3:$AS$3,0),FALSE),2)</f>
        <v>2.21</v>
      </c>
    </row>
    <row r="327" spans="47:64" x14ac:dyDescent="0.35">
      <c r="AU327" s="372" t="str">
        <f t="shared" si="33"/>
        <v>IS-43</v>
      </c>
      <c r="AV327" s="654">
        <f>IF(AY326&gt;=VLOOKUP(VLOOKUP(AW326,坦克个性化设定!$B$18:$E$48,4,FALSE)&amp;AX326,坦克属性分配比例,MATCH("升星次数",坦克属性分配比例标头,0),FALSE),AV326+1,AV326)</f>
        <v>28</v>
      </c>
      <c r="AW327" s="649" t="str">
        <f t="shared" si="34"/>
        <v>IS-4</v>
      </c>
      <c r="AX327" s="650" t="str">
        <f>VLOOKUP(AW327,坦克个性化细分!$I$3:$J$33,2,FALSE)</f>
        <v>中</v>
      </c>
      <c r="AY327" s="654">
        <f t="shared" si="35"/>
        <v>3</v>
      </c>
      <c r="AZ327" s="654">
        <f ca="1">ROUND(VLOOKUP($AW327&amp;"初始",$O$3:$AA$63,MATCH(AZ$3,$O$3:$AA$3,0),FALSE)+((VLOOKUP($AW327&amp;"最终",$O$3:$AA$63,MATCH(AZ$3,$O$3:$AA$3,0),FALSE)*坦克个性化细分!$C$9-VLOOKUP($AW327&amp;"初始",$O$3:$AA$63,MATCH(AZ$3,$O$3:$AA$3,0),FALSE))-(VLOOKUP($AW327&amp;"最终",$O$3:$AA$63,MATCH(AZ$3,$O$3:$AA$3,0),FALSE)-VLOOKUP($AW327&amp;"初始",$O$3:$AA$63,MATCH(AZ$3,$O$3:$AA$3,0),FALSE))*VLOOKUP(VLOOKUP($AW327,坦克个性化设定!$B$18:$E$48,4,FALSE)&amp;$AX327,坦克属性分配比例,MATCH("部件比例",坦克属性分配比例标头,0),FALSE))*$AY327/VLOOKUP(VLOOKUP($AW327,坦克个性化设定!$B$18:$E$48,4,FALSE)&amp;$AX327,坦克属性分配比例,MATCH("升星次数",坦克属性分配比例标头,0),FALSE),0)</f>
        <v>2146</v>
      </c>
      <c r="BA327" s="654">
        <f ca="1">ROUND(VLOOKUP($AW327&amp;"初始",$O$3:$AA$63,MATCH(BA$3,$O$3:$AA$3,0),FALSE)+(VLOOKUP($AW327&amp;"最终",$O$3:$AA$63,MATCH(BA$3,$O$3:$AA$3,0),FALSE)-VLOOKUP($AW327&amp;"初始",$O$3:$AA$63,MATCH(BA$3,$O$3:$AA$3,0),FALSE))*$AY327/VLOOKUP(VLOOKUP($AW327,坦克个性化设定!$B$18:$E$48,4,FALSE)&amp;$AX327,坦克属性分配比例,MATCH("升星次数",坦克属性分配比例标头,0),FALSE)*VLOOKUP(VLOOKUP($AW327,坦克个性化设定!$B$18:$E$48,4,FALSE)&amp;$AX327,坦克属性分配比例,MATCH("升星比例",坦克属性分配比例标头,0),FALSE),0)</f>
        <v>325</v>
      </c>
      <c r="BB327" s="654">
        <f ca="1">ROUND(VLOOKUP($AW327&amp;"初始",$O$3:$AA$63,MATCH(BB$3,$O$3:$AA$3,0),FALSE)+(VLOOKUP($AW327&amp;"最终",$O$3:$AA$63,MATCH(BB$3,$O$3:$AA$3,0),FALSE)-VLOOKUP($AW327&amp;"初始",$O$3:$AA$63,MATCH(BB$3,$O$3:$AA$3,0),FALSE))*$AY327/VLOOKUP(VLOOKUP($AW327,坦克个性化设定!$B$18:$E$48,4,FALSE)&amp;$AX327,坦克属性分配比例,MATCH("升星次数",坦克属性分配比例标头,0),FALSE)*(VLOOKUP(VLOOKUP($AW327,坦克个性化设定!$B$18:$E$48,4,FALSE)&amp;$AX327,坦克属性分配比例,MATCH("升星比例",坦克属性分配比例标头,0),FALSE)+VLOOKUP(VLOOKUP($AW327,坦克个性化设定!$B$18:$E$48,4,FALSE)&amp;$AX327,坦克属性分配比例,MATCH("部件比例",坦克属性分配比例标头,0),FALSE)*$C$3),0)</f>
        <v>630</v>
      </c>
      <c r="BC327" s="654">
        <f ca="1">ROUND(VLOOKUP($AW327&amp;"初始",$O$3:$AA$63,MATCH(BC$3,$O$3:$AA$3,0),FALSE)+(VLOOKUP($AW327&amp;"最终",$O$3:$AA$63,MATCH(BC$3,$O$3:$AA$3,0),FALSE)-VLOOKUP($AW327&amp;"初始",$O$3:$AA$63,MATCH(BC$3,$O$3:$AA$3,0),FALSE))*$AY327/VLOOKUP(VLOOKUP($AW327,坦克个性化设定!$B$18:$E$48,4,FALSE)&amp;$AX327,坦克属性分配比例,MATCH("升星次数",坦克属性分配比例标头,0),FALSE)*(VLOOKUP(VLOOKUP($AW327,坦克个性化设定!$B$18:$E$48,4,FALSE)&amp;$AX327,坦克属性分配比例,MATCH("升星比例",坦克属性分配比例标头,0),FALSE)+VLOOKUP(VLOOKUP($AW327,坦克个性化设定!$B$18:$E$48,4,FALSE)&amp;$AX327,坦克属性分配比例,MATCH("部件比例",坦克属性分配比例标头,0),FALSE)*$C$3),0)</f>
        <v>504</v>
      </c>
      <c r="BD327" s="654">
        <f ca="1">ROUND(VLOOKUP($AW327&amp;"初始",$O$3:$AA$63,MATCH(BD$3,$O$3:$AA$3,0),FALSE)+(VLOOKUP($AW327&amp;"最终",$O$3:$AA$63,MATCH(BD$3,$O$3:$AA$3,0),FALSE)-VLOOKUP($AW327&amp;"初始",$O$3:$AA$63,MATCH(BD$3,$O$3:$AA$3,0),FALSE))*$AY327/VLOOKUP(VLOOKUP($AW327,坦克个性化设定!$B$18:$E$48,4,FALSE)&amp;$AX327,坦克属性分配比例,MATCH("升星次数",坦克属性分配比例标头,0),FALSE)*VLOOKUP(VLOOKUP($AW327,坦克个性化设定!$B$18:$E$48,4,FALSE)&amp;$AX327,坦克属性分配比例,MATCH("升星比例",坦克属性分配比例标头,0),FALSE),0)</f>
        <v>883</v>
      </c>
      <c r="BE327" s="654">
        <f ca="1">ROUND(VLOOKUP($AW327&amp;"初始",$O$3:$AA$63,MATCH(BE$3,$O$3:$AA$3,0),FALSE)+(VLOOKUP($AW327&amp;"最终",$O$3:$AA$63,MATCH(BE$3,$O$3:$AA$3,0),FALSE)-VLOOKUP($AW327&amp;"初始",$O$3:$AA$63,MATCH(BE$3,$O$3:$AA$3,0),FALSE))*$AY327/VLOOKUP(VLOOKUP($AW327,坦克个性化设定!$B$18:$E$48,4,FALSE)&amp;$AX327,坦克属性分配比例,MATCH("升星次数",坦克属性分配比例标头,0),FALSE),0)</f>
        <v>216</v>
      </c>
      <c r="BF327" s="654">
        <f>ROUND(VLOOKUP($AW327,$AD$3:$AJ$33,MATCH(BF$3,$AD$3:$AJ$3,0),FALSE)+$AY327/VLOOKUP(VLOOKUP($AW327,坦克个性化设定!$B$18:$E$48,4,FALSE)&amp;$AX327,坦克属性分配比例,MATCH("升星次数",坦克属性分配比例标头,0),FALSE)*VLOOKUP($AW327,$AM$3:$AS$33,MATCH(BF$3,$AM$3:$AS$3,0),FALSE),1)</f>
        <v>33.4</v>
      </c>
      <c r="BG327" s="654">
        <f>ROUND(VLOOKUP($AW327,$AD$3:$AJ$33,MATCH(BG$3,$AD$3:$AJ$3,0),FALSE)+$AY327/VLOOKUP(VLOOKUP($AW327,坦克个性化设定!$B$18:$E$48,4,FALSE)&amp;$AX327,坦克属性分配比例,MATCH("升星次数",坦克属性分配比例标头,0),FALSE)*VLOOKUP($AW327,$AM$3:$AS$33,MATCH(BG$3,$AM$3:$AS$3,0),FALSE),1)</f>
        <v>46.6</v>
      </c>
      <c r="BH327" s="654">
        <f>ROUND(VLOOKUP($AW327,$AD$3:$AJ$33,MATCH(BH$3,$AD$3:$AJ$3,0),FALSE)+$AY327/VLOOKUP(VLOOKUP($AW327,坦克个性化设定!$B$18:$E$48,4,FALSE)&amp;$AX327,坦克属性分配比例,MATCH("升星次数",坦克属性分配比例标头,0),FALSE)*VLOOKUP($AW327,$AM$3:$AS$33,MATCH(BH$3,$AM$3:$AS$3,0),FALSE),1)</f>
        <v>10.199999999999999</v>
      </c>
      <c r="BI327" s="654">
        <f>IF(VLOOKUP(AW327,坦克个性化设定!$B$18:$BB$48,MATCH("装弹类型",坦克个性化设定!$B$18:$BB$18,0),FALSE)="弹夹换弹",0,ROUND(VLOOKUP($AW327,$AD$3:$AJ$33,MATCH("换弹时间",$AD$3:$AJ$3,0),FALSE)-$AY327/VLOOKUP(VLOOKUP($AW327,坦克个性化设定!$B$18:$E$48,4,FALSE)&amp;$AX327,坦克属性分配比例,MATCH("升星次数",坦克属性分配比例标头,0),FALSE)*VLOOKUP($AW327,$AM$3:$AS$33,MATCH("换弹时间",$AM$3:$AS$3,0),FALSE),2))</f>
        <v>4.3</v>
      </c>
      <c r="BJ327" s="654">
        <f>IF(VLOOKUP(AW327,坦克个性化设定!$B$18:$BB$48,MATCH("装弹类型",坦克个性化设定!$B$18:$BB$18,0),FALSE)="弹夹换弹",ROUND(VLOOKUP($AW327,$AD$3:$AJ$33,MATCH("换弹时间",$AD$3:$AJ$3,0),FALSE)-$AY327/VLOOKUP(VLOOKUP($AW327,坦克个性化设定!$B$18:$E$48,4,FALSE)&amp;$AX327,坦克属性分配比例,MATCH("升星次数",坦克属性分配比例标头,0),FALSE)*VLOOKUP($AW327,$AM$3:$AS$33,MATCH("换弹时间",$AM$3:$AS$3,0),FALSE),1),0)</f>
        <v>0</v>
      </c>
      <c r="BK327" s="654">
        <f>ROUND(VLOOKUP($AW327,$AD$3:$AJ$33,MATCH(BK$3,$AD$3:$AJ$3,0),FALSE)+$AY327/VLOOKUP(VLOOKUP($AW327,坦克个性化设定!$B$18:$E$48,4,FALSE)&amp;$AX327,坦克属性分配比例,MATCH("升星次数",坦克属性分配比例标头,0),FALSE)*VLOOKUP($AW327,$AM$3:$AS$33,MATCH(BK$3,$AM$3:$AS$3,0),FALSE),2)</f>
        <v>2</v>
      </c>
      <c r="BL327" s="654">
        <f>ROUND(VLOOKUP($AW327,$AD$3:$AJ$33,MATCH(BL$3,$AD$3:$AJ$3,0),FALSE)-$AY327/VLOOKUP(VLOOKUP($AW327,坦克个性化设定!$B$18:$E$48,4,FALSE)&amp;$AX327,坦克属性分配比例,MATCH("升星次数",坦克属性分配比例标头,0),FALSE)*VLOOKUP($AW327,$AM$3:$AS$33,MATCH(BL$3,$AM$3:$AS$3,0),FALSE),2)</f>
        <v>2.1800000000000002</v>
      </c>
    </row>
    <row r="328" spans="47:64" x14ac:dyDescent="0.35">
      <c r="AU328" s="372" t="str">
        <f t="shared" si="33"/>
        <v>IS-44</v>
      </c>
      <c r="AV328" s="654">
        <f>IF(AY327&gt;=VLOOKUP(VLOOKUP(AW327,坦克个性化设定!$B$18:$E$48,4,FALSE)&amp;AX327,坦克属性分配比例,MATCH("升星次数",坦克属性分配比例标头,0),FALSE),AV327+1,AV327)</f>
        <v>28</v>
      </c>
      <c r="AW328" s="649" t="str">
        <f t="shared" si="34"/>
        <v>IS-4</v>
      </c>
      <c r="AX328" s="650" t="str">
        <f>VLOOKUP(AW328,坦克个性化细分!$I$3:$J$33,2,FALSE)</f>
        <v>中</v>
      </c>
      <c r="AY328" s="654">
        <f t="shared" si="35"/>
        <v>4</v>
      </c>
      <c r="AZ328" s="654">
        <f ca="1">ROUND(VLOOKUP($AW328&amp;"初始",$O$3:$AA$63,MATCH(AZ$3,$O$3:$AA$3,0),FALSE)+((VLOOKUP($AW328&amp;"最终",$O$3:$AA$63,MATCH(AZ$3,$O$3:$AA$3,0),FALSE)*坦克个性化细分!$C$9-VLOOKUP($AW328&amp;"初始",$O$3:$AA$63,MATCH(AZ$3,$O$3:$AA$3,0),FALSE))-(VLOOKUP($AW328&amp;"最终",$O$3:$AA$63,MATCH(AZ$3,$O$3:$AA$3,0),FALSE)-VLOOKUP($AW328&amp;"初始",$O$3:$AA$63,MATCH(AZ$3,$O$3:$AA$3,0),FALSE))*VLOOKUP(VLOOKUP($AW328,坦克个性化设定!$B$18:$E$48,4,FALSE)&amp;$AX328,坦克属性分配比例,MATCH("部件比例",坦克属性分配比例标头,0),FALSE))*$AY328/VLOOKUP(VLOOKUP($AW328,坦克个性化设定!$B$18:$E$48,4,FALSE)&amp;$AX328,坦克属性分配比例,MATCH("升星次数",坦克属性分配比例标头,0),FALSE),0)</f>
        <v>2252</v>
      </c>
      <c r="BA328" s="654">
        <f ca="1">ROUND(VLOOKUP($AW328&amp;"初始",$O$3:$AA$63,MATCH(BA$3,$O$3:$AA$3,0),FALSE)+(VLOOKUP($AW328&amp;"最终",$O$3:$AA$63,MATCH(BA$3,$O$3:$AA$3,0),FALSE)-VLOOKUP($AW328&amp;"初始",$O$3:$AA$63,MATCH(BA$3,$O$3:$AA$3,0),FALSE))*$AY328/VLOOKUP(VLOOKUP($AW328,坦克个性化设定!$B$18:$E$48,4,FALSE)&amp;$AX328,坦克属性分配比例,MATCH("升星次数",坦克属性分配比例标头,0),FALSE)*VLOOKUP(VLOOKUP($AW328,坦克个性化设定!$B$18:$E$48,4,FALSE)&amp;$AX328,坦克属性分配比例,MATCH("升星比例",坦克属性分配比例标头,0),FALSE),0)</f>
        <v>332</v>
      </c>
      <c r="BB328" s="654">
        <f ca="1">ROUND(VLOOKUP($AW328&amp;"初始",$O$3:$AA$63,MATCH(BB$3,$O$3:$AA$3,0),FALSE)+(VLOOKUP($AW328&amp;"最终",$O$3:$AA$63,MATCH(BB$3,$O$3:$AA$3,0),FALSE)-VLOOKUP($AW328&amp;"初始",$O$3:$AA$63,MATCH(BB$3,$O$3:$AA$3,0),FALSE))*$AY328/VLOOKUP(VLOOKUP($AW328,坦克个性化设定!$B$18:$E$48,4,FALSE)&amp;$AX328,坦克属性分配比例,MATCH("升星次数",坦克属性分配比例标头,0),FALSE)*(VLOOKUP(VLOOKUP($AW328,坦克个性化设定!$B$18:$E$48,4,FALSE)&amp;$AX328,坦克属性分配比例,MATCH("升星比例",坦克属性分配比例标头,0),FALSE)+VLOOKUP(VLOOKUP($AW328,坦克个性化设定!$B$18:$E$48,4,FALSE)&amp;$AX328,坦克属性分配比例,MATCH("部件比例",坦克属性分配比例标头,0),FALSE)*$C$3),0)</f>
        <v>654</v>
      </c>
      <c r="BC328" s="654">
        <f ca="1">ROUND(VLOOKUP($AW328&amp;"初始",$O$3:$AA$63,MATCH(BC$3,$O$3:$AA$3,0),FALSE)+(VLOOKUP($AW328&amp;"最终",$O$3:$AA$63,MATCH(BC$3,$O$3:$AA$3,0),FALSE)-VLOOKUP($AW328&amp;"初始",$O$3:$AA$63,MATCH(BC$3,$O$3:$AA$3,0),FALSE))*$AY328/VLOOKUP(VLOOKUP($AW328,坦克个性化设定!$B$18:$E$48,4,FALSE)&amp;$AX328,坦克属性分配比例,MATCH("升星次数",坦克属性分配比例标头,0),FALSE)*(VLOOKUP(VLOOKUP($AW328,坦克个性化设定!$B$18:$E$48,4,FALSE)&amp;$AX328,坦克属性分配比例,MATCH("升星比例",坦克属性分配比例标头,0),FALSE)+VLOOKUP(VLOOKUP($AW328,坦克个性化设定!$B$18:$E$48,4,FALSE)&amp;$AX328,坦克属性分配比例,MATCH("部件比例",坦克属性分配比例标头,0),FALSE)*$C$3),0)</f>
        <v>523</v>
      </c>
      <c r="BD328" s="654">
        <f ca="1">ROUND(VLOOKUP($AW328&amp;"初始",$O$3:$AA$63,MATCH(BD$3,$O$3:$AA$3,0),FALSE)+(VLOOKUP($AW328&amp;"最终",$O$3:$AA$63,MATCH(BD$3,$O$3:$AA$3,0),FALSE)-VLOOKUP($AW328&amp;"初始",$O$3:$AA$63,MATCH(BD$3,$O$3:$AA$3,0),FALSE))*$AY328/VLOOKUP(VLOOKUP($AW328,坦克个性化设定!$B$18:$E$48,4,FALSE)&amp;$AX328,坦克属性分配比例,MATCH("升星次数",坦克属性分配比例标头,0),FALSE)*VLOOKUP(VLOOKUP($AW328,坦克个性化设定!$B$18:$E$48,4,FALSE)&amp;$AX328,坦克属性分配比例,MATCH("升星比例",坦克属性分配比例标头,0),FALSE),0)</f>
        <v>903</v>
      </c>
      <c r="BE328" s="654">
        <f ca="1">ROUND(VLOOKUP($AW328&amp;"初始",$O$3:$AA$63,MATCH(BE$3,$O$3:$AA$3,0),FALSE)+(VLOOKUP($AW328&amp;"最终",$O$3:$AA$63,MATCH(BE$3,$O$3:$AA$3,0),FALSE)-VLOOKUP($AW328&amp;"初始",$O$3:$AA$63,MATCH(BE$3,$O$3:$AA$3,0),FALSE))*$AY328/VLOOKUP(VLOOKUP($AW328,坦克个性化设定!$B$18:$E$48,4,FALSE)&amp;$AX328,坦克属性分配比例,MATCH("升星次数",坦克属性分配比例标头,0),FALSE),0)</f>
        <v>226</v>
      </c>
      <c r="BF328" s="654">
        <f>ROUND(VLOOKUP($AW328,$AD$3:$AJ$33,MATCH(BF$3,$AD$3:$AJ$3,0),FALSE)+$AY328/VLOOKUP(VLOOKUP($AW328,坦克个性化设定!$B$18:$E$48,4,FALSE)&amp;$AX328,坦克属性分配比例,MATCH("升星次数",坦克属性分配比例标头,0),FALSE)*VLOOKUP($AW328,$AM$3:$AS$33,MATCH(BF$3,$AM$3:$AS$3,0),FALSE),1)</f>
        <v>33.9</v>
      </c>
      <c r="BG328" s="654">
        <f>ROUND(VLOOKUP($AW328,$AD$3:$AJ$33,MATCH(BG$3,$AD$3:$AJ$3,0),FALSE)+$AY328/VLOOKUP(VLOOKUP($AW328,坦克个性化设定!$B$18:$E$48,4,FALSE)&amp;$AX328,坦克属性分配比例,MATCH("升星次数",坦克属性分配比例标头,0),FALSE)*VLOOKUP($AW328,$AM$3:$AS$33,MATCH(BG$3,$AM$3:$AS$3,0),FALSE),1)</f>
        <v>47.2</v>
      </c>
      <c r="BH328" s="654">
        <f>ROUND(VLOOKUP($AW328,$AD$3:$AJ$33,MATCH(BH$3,$AD$3:$AJ$3,0),FALSE)+$AY328/VLOOKUP(VLOOKUP($AW328,坦克个性化设定!$B$18:$E$48,4,FALSE)&amp;$AX328,坦克属性分配比例,MATCH("升星次数",坦克属性分配比例标头,0),FALSE)*VLOOKUP($AW328,$AM$3:$AS$33,MATCH(BH$3,$AM$3:$AS$3,0),FALSE),1)</f>
        <v>10.3</v>
      </c>
      <c r="BI328" s="654">
        <f>IF(VLOOKUP(AW328,坦克个性化设定!$B$18:$BB$48,MATCH("装弹类型",坦克个性化设定!$B$18:$BB$18,0),FALSE)="弹夹换弹",0,ROUND(VLOOKUP($AW328,$AD$3:$AJ$33,MATCH("换弹时间",$AD$3:$AJ$3,0),FALSE)-$AY328/VLOOKUP(VLOOKUP($AW328,坦克个性化设定!$B$18:$E$48,4,FALSE)&amp;$AX328,坦克属性分配比例,MATCH("升星次数",坦克属性分配比例标头,0),FALSE)*VLOOKUP($AW328,$AM$3:$AS$33,MATCH("换弹时间",$AM$3:$AS$3,0),FALSE),2))</f>
        <v>4.2300000000000004</v>
      </c>
      <c r="BJ328" s="654">
        <f>IF(VLOOKUP(AW328,坦克个性化设定!$B$18:$BB$48,MATCH("装弹类型",坦克个性化设定!$B$18:$BB$18,0),FALSE)="弹夹换弹",ROUND(VLOOKUP($AW328,$AD$3:$AJ$33,MATCH("换弹时间",$AD$3:$AJ$3,0),FALSE)-$AY328/VLOOKUP(VLOOKUP($AW328,坦克个性化设定!$B$18:$E$48,4,FALSE)&amp;$AX328,坦克属性分配比例,MATCH("升星次数",坦克属性分配比例标头,0),FALSE)*VLOOKUP($AW328,$AM$3:$AS$33,MATCH("换弹时间",$AM$3:$AS$3,0),FALSE),1),0)</f>
        <v>0</v>
      </c>
      <c r="BK328" s="654">
        <f>ROUND(VLOOKUP($AW328,$AD$3:$AJ$33,MATCH(BK$3,$AD$3:$AJ$3,0),FALSE)+$AY328/VLOOKUP(VLOOKUP($AW328,坦克个性化设定!$B$18:$E$48,4,FALSE)&amp;$AX328,坦克属性分配比例,MATCH("升星次数",坦克属性分配比例标头,0),FALSE)*VLOOKUP($AW328,$AM$3:$AS$33,MATCH(BK$3,$AM$3:$AS$3,0),FALSE),2)</f>
        <v>2</v>
      </c>
      <c r="BL328" s="654">
        <f>ROUND(VLOOKUP($AW328,$AD$3:$AJ$33,MATCH(BL$3,$AD$3:$AJ$3,0),FALSE)-$AY328/VLOOKUP(VLOOKUP($AW328,坦克个性化设定!$B$18:$E$48,4,FALSE)&amp;$AX328,坦克属性分配比例,MATCH("升星次数",坦克属性分配比例标头,0),FALSE)*VLOOKUP($AW328,$AM$3:$AS$33,MATCH(BL$3,$AM$3:$AS$3,0),FALSE),2)</f>
        <v>2.16</v>
      </c>
    </row>
    <row r="329" spans="47:64" x14ac:dyDescent="0.35">
      <c r="AU329" s="372" t="str">
        <f t="shared" si="33"/>
        <v>IS-45</v>
      </c>
      <c r="AV329" s="654">
        <f>IF(AY328&gt;=VLOOKUP(VLOOKUP(AW328,坦克个性化设定!$B$18:$E$48,4,FALSE)&amp;AX328,坦克属性分配比例,MATCH("升星次数",坦克属性分配比例标头,0),FALSE),AV328+1,AV328)</f>
        <v>28</v>
      </c>
      <c r="AW329" s="649" t="str">
        <f t="shared" si="34"/>
        <v>IS-4</v>
      </c>
      <c r="AX329" s="650" t="str">
        <f>VLOOKUP(AW329,坦克个性化细分!$I$3:$J$33,2,FALSE)</f>
        <v>中</v>
      </c>
      <c r="AY329" s="654">
        <f t="shared" si="35"/>
        <v>5</v>
      </c>
      <c r="AZ329" s="654">
        <f ca="1">ROUND(VLOOKUP($AW329&amp;"初始",$O$3:$AA$63,MATCH(AZ$3,$O$3:$AA$3,0),FALSE)+((VLOOKUP($AW329&amp;"最终",$O$3:$AA$63,MATCH(AZ$3,$O$3:$AA$3,0),FALSE)*坦克个性化细分!$C$9-VLOOKUP($AW329&amp;"初始",$O$3:$AA$63,MATCH(AZ$3,$O$3:$AA$3,0),FALSE))-(VLOOKUP($AW329&amp;"最终",$O$3:$AA$63,MATCH(AZ$3,$O$3:$AA$3,0),FALSE)-VLOOKUP($AW329&amp;"初始",$O$3:$AA$63,MATCH(AZ$3,$O$3:$AA$3,0),FALSE))*VLOOKUP(VLOOKUP($AW329,坦克个性化设定!$B$18:$E$48,4,FALSE)&amp;$AX329,坦克属性分配比例,MATCH("部件比例",坦克属性分配比例标头,0),FALSE))*$AY329/VLOOKUP(VLOOKUP($AW329,坦克个性化设定!$B$18:$E$48,4,FALSE)&amp;$AX329,坦克属性分配比例,MATCH("升星次数",坦克属性分配比例标头,0),FALSE),0)</f>
        <v>2358</v>
      </c>
      <c r="BA329" s="654">
        <f ca="1">ROUND(VLOOKUP($AW329&amp;"初始",$O$3:$AA$63,MATCH(BA$3,$O$3:$AA$3,0),FALSE)+(VLOOKUP($AW329&amp;"最终",$O$3:$AA$63,MATCH(BA$3,$O$3:$AA$3,0),FALSE)-VLOOKUP($AW329&amp;"初始",$O$3:$AA$63,MATCH(BA$3,$O$3:$AA$3,0),FALSE))*$AY329/VLOOKUP(VLOOKUP($AW329,坦克个性化设定!$B$18:$E$48,4,FALSE)&amp;$AX329,坦克属性分配比例,MATCH("升星次数",坦克属性分配比例标头,0),FALSE)*VLOOKUP(VLOOKUP($AW329,坦克个性化设定!$B$18:$E$48,4,FALSE)&amp;$AX329,坦克属性分配比例,MATCH("升星比例",坦克属性分配比例标头,0),FALSE),0)</f>
        <v>340</v>
      </c>
      <c r="BB329" s="654">
        <f ca="1">ROUND(VLOOKUP($AW329&amp;"初始",$O$3:$AA$63,MATCH(BB$3,$O$3:$AA$3,0),FALSE)+(VLOOKUP($AW329&amp;"最终",$O$3:$AA$63,MATCH(BB$3,$O$3:$AA$3,0),FALSE)-VLOOKUP($AW329&amp;"初始",$O$3:$AA$63,MATCH(BB$3,$O$3:$AA$3,0),FALSE))*$AY329/VLOOKUP(VLOOKUP($AW329,坦克个性化设定!$B$18:$E$48,4,FALSE)&amp;$AX329,坦克属性分配比例,MATCH("升星次数",坦克属性分配比例标头,0),FALSE)*(VLOOKUP(VLOOKUP($AW329,坦克个性化设定!$B$18:$E$48,4,FALSE)&amp;$AX329,坦克属性分配比例,MATCH("升星比例",坦克属性分配比例标头,0),FALSE)+VLOOKUP(VLOOKUP($AW329,坦克个性化设定!$B$18:$E$48,4,FALSE)&amp;$AX329,坦克属性分配比例,MATCH("部件比例",坦克属性分配比例标头,0),FALSE)*$C$3),0)</f>
        <v>677</v>
      </c>
      <c r="BC329" s="654">
        <f ca="1">ROUND(VLOOKUP($AW329&amp;"初始",$O$3:$AA$63,MATCH(BC$3,$O$3:$AA$3,0),FALSE)+(VLOOKUP($AW329&amp;"最终",$O$3:$AA$63,MATCH(BC$3,$O$3:$AA$3,0),FALSE)-VLOOKUP($AW329&amp;"初始",$O$3:$AA$63,MATCH(BC$3,$O$3:$AA$3,0),FALSE))*$AY329/VLOOKUP(VLOOKUP($AW329,坦克个性化设定!$B$18:$E$48,4,FALSE)&amp;$AX329,坦克属性分配比例,MATCH("升星次数",坦克属性分配比例标头,0),FALSE)*(VLOOKUP(VLOOKUP($AW329,坦克个性化设定!$B$18:$E$48,4,FALSE)&amp;$AX329,坦克属性分配比例,MATCH("升星比例",坦克属性分配比例标头,0),FALSE)+VLOOKUP(VLOOKUP($AW329,坦克个性化设定!$B$18:$E$48,4,FALSE)&amp;$AX329,坦克属性分配比例,MATCH("部件比例",坦克属性分配比例标头,0),FALSE)*$C$3),0)</f>
        <v>542</v>
      </c>
      <c r="BD329" s="654">
        <f ca="1">ROUND(VLOOKUP($AW329&amp;"初始",$O$3:$AA$63,MATCH(BD$3,$O$3:$AA$3,0),FALSE)+(VLOOKUP($AW329&amp;"最终",$O$3:$AA$63,MATCH(BD$3,$O$3:$AA$3,0),FALSE)-VLOOKUP($AW329&amp;"初始",$O$3:$AA$63,MATCH(BD$3,$O$3:$AA$3,0),FALSE))*$AY329/VLOOKUP(VLOOKUP($AW329,坦克个性化设定!$B$18:$E$48,4,FALSE)&amp;$AX329,坦克属性分配比例,MATCH("升星次数",坦克属性分配比例标头,0),FALSE)*VLOOKUP(VLOOKUP($AW329,坦克个性化设定!$B$18:$E$48,4,FALSE)&amp;$AX329,坦克属性分配比例,MATCH("升星比例",坦克属性分配比例标头,0),FALSE),0)</f>
        <v>923</v>
      </c>
      <c r="BE329" s="654">
        <f ca="1">ROUND(VLOOKUP($AW329&amp;"初始",$O$3:$AA$63,MATCH(BE$3,$O$3:$AA$3,0),FALSE)+(VLOOKUP($AW329&amp;"最终",$O$3:$AA$63,MATCH(BE$3,$O$3:$AA$3,0),FALSE)-VLOOKUP($AW329&amp;"初始",$O$3:$AA$63,MATCH(BE$3,$O$3:$AA$3,0),FALSE))*$AY329/VLOOKUP(VLOOKUP($AW329,坦克个性化设定!$B$18:$E$48,4,FALSE)&amp;$AX329,坦克属性分配比例,MATCH("升星次数",坦克属性分配比例标头,0),FALSE),0)</f>
        <v>236</v>
      </c>
      <c r="BF329" s="654">
        <f>ROUND(VLOOKUP($AW329,$AD$3:$AJ$33,MATCH(BF$3,$AD$3:$AJ$3,0),FALSE)+$AY329/VLOOKUP(VLOOKUP($AW329,坦克个性化设定!$B$18:$E$48,4,FALSE)&amp;$AX329,坦克属性分配比例,MATCH("升星次数",坦克属性分配比例标头,0),FALSE)*VLOOKUP($AW329,$AM$3:$AS$33,MATCH(BF$3,$AM$3:$AS$3,0),FALSE),1)</f>
        <v>34.4</v>
      </c>
      <c r="BG329" s="654">
        <f>ROUND(VLOOKUP($AW329,$AD$3:$AJ$33,MATCH(BG$3,$AD$3:$AJ$3,0),FALSE)+$AY329/VLOOKUP(VLOOKUP($AW329,坦克个性化设定!$B$18:$E$48,4,FALSE)&amp;$AX329,坦克属性分配比例,MATCH("升星次数",坦克属性分配比例标头,0),FALSE)*VLOOKUP($AW329,$AM$3:$AS$33,MATCH(BG$3,$AM$3:$AS$3,0),FALSE),1)</f>
        <v>47.9</v>
      </c>
      <c r="BH329" s="654">
        <f>ROUND(VLOOKUP($AW329,$AD$3:$AJ$33,MATCH(BH$3,$AD$3:$AJ$3,0),FALSE)+$AY329/VLOOKUP(VLOOKUP($AW329,坦克个性化设定!$B$18:$E$48,4,FALSE)&amp;$AX329,坦克属性分配比例,MATCH("升星次数",坦克属性分配比例标头,0),FALSE)*VLOOKUP($AW329,$AM$3:$AS$33,MATCH(BH$3,$AM$3:$AS$3,0),FALSE),1)</f>
        <v>10.5</v>
      </c>
      <c r="BI329" s="654">
        <f>IF(VLOOKUP(AW329,坦克个性化设定!$B$18:$BB$48,MATCH("装弹类型",坦克个性化设定!$B$18:$BB$18,0),FALSE)="弹夹换弹",0,ROUND(VLOOKUP($AW329,$AD$3:$AJ$33,MATCH("换弹时间",$AD$3:$AJ$3,0),FALSE)-$AY329/VLOOKUP(VLOOKUP($AW329,坦克个性化设定!$B$18:$E$48,4,FALSE)&amp;$AX329,坦克属性分配比例,MATCH("升星次数",坦克属性分配比例标头,0),FALSE)*VLOOKUP($AW329,$AM$3:$AS$33,MATCH("换弹时间",$AM$3:$AS$3,0),FALSE),2))</f>
        <v>4.16</v>
      </c>
      <c r="BJ329" s="654">
        <f>IF(VLOOKUP(AW329,坦克个性化设定!$B$18:$BB$48,MATCH("装弹类型",坦克个性化设定!$B$18:$BB$18,0),FALSE)="弹夹换弹",ROUND(VLOOKUP($AW329,$AD$3:$AJ$33,MATCH("换弹时间",$AD$3:$AJ$3,0),FALSE)-$AY329/VLOOKUP(VLOOKUP($AW329,坦克个性化设定!$B$18:$E$48,4,FALSE)&amp;$AX329,坦克属性分配比例,MATCH("升星次数",坦克属性分配比例标头,0),FALSE)*VLOOKUP($AW329,$AM$3:$AS$33,MATCH("换弹时间",$AM$3:$AS$3,0),FALSE),1),0)</f>
        <v>0</v>
      </c>
      <c r="BK329" s="654">
        <f>ROUND(VLOOKUP($AW329,$AD$3:$AJ$33,MATCH(BK$3,$AD$3:$AJ$3,0),FALSE)+$AY329/VLOOKUP(VLOOKUP($AW329,坦克个性化设定!$B$18:$E$48,4,FALSE)&amp;$AX329,坦克属性分配比例,MATCH("升星次数",坦克属性分配比例标头,0),FALSE)*VLOOKUP($AW329,$AM$3:$AS$33,MATCH(BK$3,$AM$3:$AS$3,0),FALSE),2)</f>
        <v>2</v>
      </c>
      <c r="BL329" s="654">
        <f>ROUND(VLOOKUP($AW329,$AD$3:$AJ$33,MATCH(BL$3,$AD$3:$AJ$3,0),FALSE)-$AY329/VLOOKUP(VLOOKUP($AW329,坦克个性化设定!$B$18:$E$48,4,FALSE)&amp;$AX329,坦克属性分配比例,MATCH("升星次数",坦克属性分配比例标头,0),FALSE)*VLOOKUP($AW329,$AM$3:$AS$33,MATCH(BL$3,$AM$3:$AS$3,0),FALSE),2)</f>
        <v>2.14</v>
      </c>
    </row>
    <row r="330" spans="47:64" x14ac:dyDescent="0.35">
      <c r="AU330" s="372" t="str">
        <f t="shared" si="33"/>
        <v>IS-46</v>
      </c>
      <c r="AV330" s="654">
        <f>IF(AY329&gt;=VLOOKUP(VLOOKUP(AW329,坦克个性化设定!$B$18:$E$48,4,FALSE)&amp;AX329,坦克属性分配比例,MATCH("升星次数",坦克属性分配比例标头,0),FALSE),AV329+1,AV329)</f>
        <v>28</v>
      </c>
      <c r="AW330" s="649" t="str">
        <f t="shared" si="34"/>
        <v>IS-4</v>
      </c>
      <c r="AX330" s="650" t="str">
        <f>VLOOKUP(AW330,坦克个性化细分!$I$3:$J$33,2,FALSE)</f>
        <v>中</v>
      </c>
      <c r="AY330" s="654">
        <f t="shared" si="35"/>
        <v>6</v>
      </c>
      <c r="AZ330" s="654">
        <f ca="1">ROUND(VLOOKUP($AW330&amp;"初始",$O$3:$AA$63,MATCH(AZ$3,$O$3:$AA$3,0),FALSE)+((VLOOKUP($AW330&amp;"最终",$O$3:$AA$63,MATCH(AZ$3,$O$3:$AA$3,0),FALSE)*坦克个性化细分!$C$9-VLOOKUP($AW330&amp;"初始",$O$3:$AA$63,MATCH(AZ$3,$O$3:$AA$3,0),FALSE))-(VLOOKUP($AW330&amp;"最终",$O$3:$AA$63,MATCH(AZ$3,$O$3:$AA$3,0),FALSE)-VLOOKUP($AW330&amp;"初始",$O$3:$AA$63,MATCH(AZ$3,$O$3:$AA$3,0),FALSE))*VLOOKUP(VLOOKUP($AW330,坦克个性化设定!$B$18:$E$48,4,FALSE)&amp;$AX330,坦克属性分配比例,MATCH("部件比例",坦克属性分配比例标头,0),FALSE))*$AY330/VLOOKUP(VLOOKUP($AW330,坦克个性化设定!$B$18:$E$48,4,FALSE)&amp;$AX330,坦克属性分配比例,MATCH("升星次数",坦克属性分配比例标头,0),FALSE),0)</f>
        <v>2464</v>
      </c>
      <c r="BA330" s="654">
        <f ca="1">ROUND(VLOOKUP($AW330&amp;"初始",$O$3:$AA$63,MATCH(BA$3,$O$3:$AA$3,0),FALSE)+(VLOOKUP($AW330&amp;"最终",$O$3:$AA$63,MATCH(BA$3,$O$3:$AA$3,0),FALSE)-VLOOKUP($AW330&amp;"初始",$O$3:$AA$63,MATCH(BA$3,$O$3:$AA$3,0),FALSE))*$AY330/VLOOKUP(VLOOKUP($AW330,坦克个性化设定!$B$18:$E$48,4,FALSE)&amp;$AX330,坦克属性分配比例,MATCH("升星次数",坦克属性分配比例标头,0),FALSE)*VLOOKUP(VLOOKUP($AW330,坦克个性化设定!$B$18:$E$48,4,FALSE)&amp;$AX330,坦克属性分配比例,MATCH("升星比例",坦克属性分配比例标头,0),FALSE),0)</f>
        <v>347</v>
      </c>
      <c r="BB330" s="654">
        <f ca="1">ROUND(VLOOKUP($AW330&amp;"初始",$O$3:$AA$63,MATCH(BB$3,$O$3:$AA$3,0),FALSE)+(VLOOKUP($AW330&amp;"最终",$O$3:$AA$63,MATCH(BB$3,$O$3:$AA$3,0),FALSE)-VLOOKUP($AW330&amp;"初始",$O$3:$AA$63,MATCH(BB$3,$O$3:$AA$3,0),FALSE))*$AY330/VLOOKUP(VLOOKUP($AW330,坦克个性化设定!$B$18:$E$48,4,FALSE)&amp;$AX330,坦克属性分配比例,MATCH("升星次数",坦克属性分配比例标头,0),FALSE)*(VLOOKUP(VLOOKUP($AW330,坦克个性化设定!$B$18:$E$48,4,FALSE)&amp;$AX330,坦克属性分配比例,MATCH("升星比例",坦克属性分配比例标头,0),FALSE)+VLOOKUP(VLOOKUP($AW330,坦克个性化设定!$B$18:$E$48,4,FALSE)&amp;$AX330,坦克属性分配比例,MATCH("部件比例",坦克属性分配比例标头,0),FALSE)*$C$3),0)</f>
        <v>701</v>
      </c>
      <c r="BC330" s="654">
        <f ca="1">ROUND(VLOOKUP($AW330&amp;"初始",$O$3:$AA$63,MATCH(BC$3,$O$3:$AA$3,0),FALSE)+(VLOOKUP($AW330&amp;"最终",$O$3:$AA$63,MATCH(BC$3,$O$3:$AA$3,0),FALSE)-VLOOKUP($AW330&amp;"初始",$O$3:$AA$63,MATCH(BC$3,$O$3:$AA$3,0),FALSE))*$AY330/VLOOKUP(VLOOKUP($AW330,坦克个性化设定!$B$18:$E$48,4,FALSE)&amp;$AX330,坦克属性分配比例,MATCH("升星次数",坦克属性分配比例标头,0),FALSE)*(VLOOKUP(VLOOKUP($AW330,坦克个性化设定!$B$18:$E$48,4,FALSE)&amp;$AX330,坦克属性分配比例,MATCH("升星比例",坦克属性分配比例标头,0),FALSE)+VLOOKUP(VLOOKUP($AW330,坦克个性化设定!$B$18:$E$48,4,FALSE)&amp;$AX330,坦克属性分配比例,MATCH("部件比例",坦克属性分配比例标头,0),FALSE)*$C$3),0)</f>
        <v>561</v>
      </c>
      <c r="BD330" s="654">
        <f ca="1">ROUND(VLOOKUP($AW330&amp;"初始",$O$3:$AA$63,MATCH(BD$3,$O$3:$AA$3,0),FALSE)+(VLOOKUP($AW330&amp;"最终",$O$3:$AA$63,MATCH(BD$3,$O$3:$AA$3,0),FALSE)-VLOOKUP($AW330&amp;"初始",$O$3:$AA$63,MATCH(BD$3,$O$3:$AA$3,0),FALSE))*$AY330/VLOOKUP(VLOOKUP($AW330,坦克个性化设定!$B$18:$E$48,4,FALSE)&amp;$AX330,坦克属性分配比例,MATCH("升星次数",坦克属性分配比例标头,0),FALSE)*VLOOKUP(VLOOKUP($AW330,坦克个性化设定!$B$18:$E$48,4,FALSE)&amp;$AX330,坦克属性分配比例,MATCH("升星比例",坦克属性分配比例标头,0),FALSE),0)</f>
        <v>943</v>
      </c>
      <c r="BE330" s="654">
        <f ca="1">ROUND(VLOOKUP($AW330&amp;"初始",$O$3:$AA$63,MATCH(BE$3,$O$3:$AA$3,0),FALSE)+(VLOOKUP($AW330&amp;"最终",$O$3:$AA$63,MATCH(BE$3,$O$3:$AA$3,0),FALSE)-VLOOKUP($AW330&amp;"初始",$O$3:$AA$63,MATCH(BE$3,$O$3:$AA$3,0),FALSE))*$AY330/VLOOKUP(VLOOKUP($AW330,坦克个性化设定!$B$18:$E$48,4,FALSE)&amp;$AX330,坦克属性分配比例,MATCH("升星次数",坦克属性分配比例标头,0),FALSE),0)</f>
        <v>246</v>
      </c>
      <c r="BF330" s="654">
        <f>ROUND(VLOOKUP($AW330,$AD$3:$AJ$33,MATCH(BF$3,$AD$3:$AJ$3,0),FALSE)+$AY330/VLOOKUP(VLOOKUP($AW330,坦克个性化设定!$B$18:$E$48,4,FALSE)&amp;$AX330,坦克属性分配比例,MATCH("升星次数",坦克属性分配比例标头,0),FALSE)*VLOOKUP($AW330,$AM$3:$AS$33,MATCH(BF$3,$AM$3:$AS$3,0),FALSE),1)</f>
        <v>34.799999999999997</v>
      </c>
      <c r="BG330" s="654">
        <f>ROUND(VLOOKUP($AW330,$AD$3:$AJ$33,MATCH(BG$3,$AD$3:$AJ$3,0),FALSE)+$AY330/VLOOKUP(VLOOKUP($AW330,坦克个性化设定!$B$18:$E$48,4,FALSE)&amp;$AX330,坦克属性分配比例,MATCH("升星次数",坦克属性分配比例标头,0),FALSE)*VLOOKUP($AW330,$AM$3:$AS$33,MATCH(BG$3,$AM$3:$AS$3,0),FALSE),1)</f>
        <v>48.5</v>
      </c>
      <c r="BH330" s="654">
        <f>ROUND(VLOOKUP($AW330,$AD$3:$AJ$33,MATCH(BH$3,$AD$3:$AJ$3,0),FALSE)+$AY330/VLOOKUP(VLOOKUP($AW330,坦克个性化设定!$B$18:$E$48,4,FALSE)&amp;$AX330,坦克属性分配比例,MATCH("升星次数",坦克属性分配比例标头,0),FALSE)*VLOOKUP($AW330,$AM$3:$AS$33,MATCH(BH$3,$AM$3:$AS$3,0),FALSE),1)</f>
        <v>10.7</v>
      </c>
      <c r="BI330" s="654">
        <f>IF(VLOOKUP(AW330,坦克个性化设定!$B$18:$BB$48,MATCH("装弹类型",坦克个性化设定!$B$18:$BB$18,0),FALSE)="弹夹换弹",0,ROUND(VLOOKUP($AW330,$AD$3:$AJ$33,MATCH("换弹时间",$AD$3:$AJ$3,0),FALSE)-$AY330/VLOOKUP(VLOOKUP($AW330,坦克个性化设定!$B$18:$E$48,4,FALSE)&amp;$AX330,坦克属性分配比例,MATCH("升星次数",坦克属性分配比例标头,0),FALSE)*VLOOKUP($AW330,$AM$3:$AS$33,MATCH("换弹时间",$AM$3:$AS$3,0),FALSE),2))</f>
        <v>4.09</v>
      </c>
      <c r="BJ330" s="654">
        <f>IF(VLOOKUP(AW330,坦克个性化设定!$B$18:$BB$48,MATCH("装弹类型",坦克个性化设定!$B$18:$BB$18,0),FALSE)="弹夹换弹",ROUND(VLOOKUP($AW330,$AD$3:$AJ$33,MATCH("换弹时间",$AD$3:$AJ$3,0),FALSE)-$AY330/VLOOKUP(VLOOKUP($AW330,坦克个性化设定!$B$18:$E$48,4,FALSE)&amp;$AX330,坦克属性分配比例,MATCH("升星次数",坦克属性分配比例标头,0),FALSE)*VLOOKUP($AW330,$AM$3:$AS$33,MATCH("换弹时间",$AM$3:$AS$3,0),FALSE),1),0)</f>
        <v>0</v>
      </c>
      <c r="BK330" s="654">
        <f>ROUND(VLOOKUP($AW330,$AD$3:$AJ$33,MATCH(BK$3,$AD$3:$AJ$3,0),FALSE)+$AY330/VLOOKUP(VLOOKUP($AW330,坦克个性化设定!$B$18:$E$48,4,FALSE)&amp;$AX330,坦克属性分配比例,MATCH("升星次数",坦克属性分配比例标头,0),FALSE)*VLOOKUP($AW330,$AM$3:$AS$33,MATCH(BK$3,$AM$3:$AS$3,0),FALSE),2)</f>
        <v>2</v>
      </c>
      <c r="BL330" s="654">
        <f>ROUND(VLOOKUP($AW330,$AD$3:$AJ$33,MATCH(BL$3,$AD$3:$AJ$3,0),FALSE)-$AY330/VLOOKUP(VLOOKUP($AW330,坦克个性化设定!$B$18:$E$48,4,FALSE)&amp;$AX330,坦克属性分配比例,MATCH("升星次数",坦克属性分配比例标头,0),FALSE)*VLOOKUP($AW330,$AM$3:$AS$33,MATCH(BL$3,$AM$3:$AS$3,0),FALSE),2)</f>
        <v>2.12</v>
      </c>
    </row>
    <row r="331" spans="47:64" x14ac:dyDescent="0.35">
      <c r="AU331" s="372" t="str">
        <f t="shared" si="33"/>
        <v>IS-47</v>
      </c>
      <c r="AV331" s="654">
        <f>IF(AY330&gt;=VLOOKUP(VLOOKUP(AW330,坦克个性化设定!$B$18:$E$48,4,FALSE)&amp;AX330,坦克属性分配比例,MATCH("升星次数",坦克属性分配比例标头,0),FALSE),AV330+1,AV330)</f>
        <v>28</v>
      </c>
      <c r="AW331" s="649" t="str">
        <f t="shared" si="34"/>
        <v>IS-4</v>
      </c>
      <c r="AX331" s="650" t="str">
        <f>VLOOKUP(AW331,坦克个性化细分!$I$3:$J$33,2,FALSE)</f>
        <v>中</v>
      </c>
      <c r="AY331" s="654">
        <f t="shared" si="35"/>
        <v>7</v>
      </c>
      <c r="AZ331" s="654">
        <f ca="1">ROUND(VLOOKUP($AW331&amp;"初始",$O$3:$AA$63,MATCH(AZ$3,$O$3:$AA$3,0),FALSE)+((VLOOKUP($AW331&amp;"最终",$O$3:$AA$63,MATCH(AZ$3,$O$3:$AA$3,0),FALSE)*坦克个性化细分!$C$9-VLOOKUP($AW331&amp;"初始",$O$3:$AA$63,MATCH(AZ$3,$O$3:$AA$3,0),FALSE))-(VLOOKUP($AW331&amp;"最终",$O$3:$AA$63,MATCH(AZ$3,$O$3:$AA$3,0),FALSE)-VLOOKUP($AW331&amp;"初始",$O$3:$AA$63,MATCH(AZ$3,$O$3:$AA$3,0),FALSE))*VLOOKUP(VLOOKUP($AW331,坦克个性化设定!$B$18:$E$48,4,FALSE)&amp;$AX331,坦克属性分配比例,MATCH("部件比例",坦克属性分配比例标头,0),FALSE))*$AY331/VLOOKUP(VLOOKUP($AW331,坦克个性化设定!$B$18:$E$48,4,FALSE)&amp;$AX331,坦克属性分配比例,MATCH("升星次数",坦克属性分配比例标头,0),FALSE),0)</f>
        <v>2570</v>
      </c>
      <c r="BA331" s="654">
        <f ca="1">ROUND(VLOOKUP($AW331&amp;"初始",$O$3:$AA$63,MATCH(BA$3,$O$3:$AA$3,0),FALSE)+(VLOOKUP($AW331&amp;"最终",$O$3:$AA$63,MATCH(BA$3,$O$3:$AA$3,0),FALSE)-VLOOKUP($AW331&amp;"初始",$O$3:$AA$63,MATCH(BA$3,$O$3:$AA$3,0),FALSE))*$AY331/VLOOKUP(VLOOKUP($AW331,坦克个性化设定!$B$18:$E$48,4,FALSE)&amp;$AX331,坦克属性分配比例,MATCH("升星次数",坦克属性分配比例标头,0),FALSE)*VLOOKUP(VLOOKUP($AW331,坦克个性化设定!$B$18:$E$48,4,FALSE)&amp;$AX331,坦克属性分配比例,MATCH("升星比例",坦克属性分配比例标头,0),FALSE),0)</f>
        <v>354</v>
      </c>
      <c r="BB331" s="654">
        <f ca="1">ROUND(VLOOKUP($AW331&amp;"初始",$O$3:$AA$63,MATCH(BB$3,$O$3:$AA$3,0),FALSE)+(VLOOKUP($AW331&amp;"最终",$O$3:$AA$63,MATCH(BB$3,$O$3:$AA$3,0),FALSE)-VLOOKUP($AW331&amp;"初始",$O$3:$AA$63,MATCH(BB$3,$O$3:$AA$3,0),FALSE))*$AY331/VLOOKUP(VLOOKUP($AW331,坦克个性化设定!$B$18:$E$48,4,FALSE)&amp;$AX331,坦克属性分配比例,MATCH("升星次数",坦克属性分配比例标头,0),FALSE)*(VLOOKUP(VLOOKUP($AW331,坦克个性化设定!$B$18:$E$48,4,FALSE)&amp;$AX331,坦克属性分配比例,MATCH("升星比例",坦克属性分配比例标头,0),FALSE)+VLOOKUP(VLOOKUP($AW331,坦克个性化设定!$B$18:$E$48,4,FALSE)&amp;$AX331,坦克属性分配比例,MATCH("部件比例",坦克属性分配比例标头,0),FALSE)*$C$3),0)</f>
        <v>724</v>
      </c>
      <c r="BC331" s="654">
        <f ca="1">ROUND(VLOOKUP($AW331&amp;"初始",$O$3:$AA$63,MATCH(BC$3,$O$3:$AA$3,0),FALSE)+(VLOOKUP($AW331&amp;"最终",$O$3:$AA$63,MATCH(BC$3,$O$3:$AA$3,0),FALSE)-VLOOKUP($AW331&amp;"初始",$O$3:$AA$63,MATCH(BC$3,$O$3:$AA$3,0),FALSE))*$AY331/VLOOKUP(VLOOKUP($AW331,坦克个性化设定!$B$18:$E$48,4,FALSE)&amp;$AX331,坦克属性分配比例,MATCH("升星次数",坦克属性分配比例标头,0),FALSE)*(VLOOKUP(VLOOKUP($AW331,坦克个性化设定!$B$18:$E$48,4,FALSE)&amp;$AX331,坦克属性分配比例,MATCH("升星比例",坦克属性分配比例标头,0),FALSE)+VLOOKUP(VLOOKUP($AW331,坦克个性化设定!$B$18:$E$48,4,FALSE)&amp;$AX331,坦克属性分配比例,MATCH("部件比例",坦克属性分配比例标头,0),FALSE)*$C$3),0)</f>
        <v>580</v>
      </c>
      <c r="BD331" s="654">
        <f ca="1">ROUND(VLOOKUP($AW331&amp;"初始",$O$3:$AA$63,MATCH(BD$3,$O$3:$AA$3,0),FALSE)+(VLOOKUP($AW331&amp;"最终",$O$3:$AA$63,MATCH(BD$3,$O$3:$AA$3,0),FALSE)-VLOOKUP($AW331&amp;"初始",$O$3:$AA$63,MATCH(BD$3,$O$3:$AA$3,0),FALSE))*$AY331/VLOOKUP(VLOOKUP($AW331,坦克个性化设定!$B$18:$E$48,4,FALSE)&amp;$AX331,坦克属性分配比例,MATCH("升星次数",坦克属性分配比例标头,0),FALSE)*VLOOKUP(VLOOKUP($AW331,坦克个性化设定!$B$18:$E$48,4,FALSE)&amp;$AX331,坦克属性分配比例,MATCH("升星比例",坦克属性分配比例标头,0),FALSE),0)</f>
        <v>963</v>
      </c>
      <c r="BE331" s="654">
        <f ca="1">ROUND(VLOOKUP($AW331&amp;"初始",$O$3:$AA$63,MATCH(BE$3,$O$3:$AA$3,0),FALSE)+(VLOOKUP($AW331&amp;"最终",$O$3:$AA$63,MATCH(BE$3,$O$3:$AA$3,0),FALSE)-VLOOKUP($AW331&amp;"初始",$O$3:$AA$63,MATCH(BE$3,$O$3:$AA$3,0),FALSE))*$AY331/VLOOKUP(VLOOKUP($AW331,坦克个性化设定!$B$18:$E$48,4,FALSE)&amp;$AX331,坦克属性分配比例,MATCH("升星次数",坦克属性分配比例标头,0),FALSE),0)</f>
        <v>256</v>
      </c>
      <c r="BF331" s="654">
        <f>ROUND(VLOOKUP($AW331,$AD$3:$AJ$33,MATCH(BF$3,$AD$3:$AJ$3,0),FALSE)+$AY331/VLOOKUP(VLOOKUP($AW331,坦克个性化设定!$B$18:$E$48,4,FALSE)&amp;$AX331,坦克属性分配比例,MATCH("升星次数",坦克属性分配比例标头,0),FALSE)*VLOOKUP($AW331,$AM$3:$AS$33,MATCH(BF$3,$AM$3:$AS$3,0),FALSE),1)</f>
        <v>35.299999999999997</v>
      </c>
      <c r="BG331" s="654">
        <f>ROUND(VLOOKUP($AW331,$AD$3:$AJ$33,MATCH(BG$3,$AD$3:$AJ$3,0),FALSE)+$AY331/VLOOKUP(VLOOKUP($AW331,坦克个性化设定!$B$18:$E$48,4,FALSE)&amp;$AX331,坦克属性分配比例,MATCH("升星次数",坦克属性分配比例标头,0),FALSE)*VLOOKUP($AW331,$AM$3:$AS$33,MATCH(BG$3,$AM$3:$AS$3,0),FALSE),1)</f>
        <v>49.2</v>
      </c>
      <c r="BH331" s="654">
        <f>ROUND(VLOOKUP($AW331,$AD$3:$AJ$33,MATCH(BH$3,$AD$3:$AJ$3,0),FALSE)+$AY331/VLOOKUP(VLOOKUP($AW331,坦克个性化设定!$B$18:$E$48,4,FALSE)&amp;$AX331,坦克属性分配比例,MATCH("升星次数",坦克属性分配比例标头,0),FALSE)*VLOOKUP($AW331,$AM$3:$AS$33,MATCH(BH$3,$AM$3:$AS$3,0),FALSE),1)</f>
        <v>10.9</v>
      </c>
      <c r="BI331" s="654">
        <f>IF(VLOOKUP(AW331,坦克个性化设定!$B$18:$BB$48,MATCH("装弹类型",坦克个性化设定!$B$18:$BB$18,0),FALSE)="弹夹换弹",0,ROUND(VLOOKUP($AW331,$AD$3:$AJ$33,MATCH("换弹时间",$AD$3:$AJ$3,0),FALSE)-$AY331/VLOOKUP(VLOOKUP($AW331,坦克个性化设定!$B$18:$E$48,4,FALSE)&amp;$AX331,坦克属性分配比例,MATCH("升星次数",坦克属性分配比例标头,0),FALSE)*VLOOKUP($AW331,$AM$3:$AS$33,MATCH("换弹时间",$AM$3:$AS$3,0),FALSE),2))</f>
        <v>4.0199999999999996</v>
      </c>
      <c r="BJ331" s="654">
        <f>IF(VLOOKUP(AW331,坦克个性化设定!$B$18:$BB$48,MATCH("装弹类型",坦克个性化设定!$B$18:$BB$18,0),FALSE)="弹夹换弹",ROUND(VLOOKUP($AW331,$AD$3:$AJ$33,MATCH("换弹时间",$AD$3:$AJ$3,0),FALSE)-$AY331/VLOOKUP(VLOOKUP($AW331,坦克个性化设定!$B$18:$E$48,4,FALSE)&amp;$AX331,坦克属性分配比例,MATCH("升星次数",坦克属性分配比例标头,0),FALSE)*VLOOKUP($AW331,$AM$3:$AS$33,MATCH("换弹时间",$AM$3:$AS$3,0),FALSE),1),0)</f>
        <v>0</v>
      </c>
      <c r="BK331" s="654">
        <f>ROUND(VLOOKUP($AW331,$AD$3:$AJ$33,MATCH(BK$3,$AD$3:$AJ$3,0),FALSE)+$AY331/VLOOKUP(VLOOKUP($AW331,坦克个性化设定!$B$18:$E$48,4,FALSE)&amp;$AX331,坦克属性分配比例,MATCH("升星次数",坦克属性分配比例标头,0),FALSE)*VLOOKUP($AW331,$AM$3:$AS$33,MATCH(BK$3,$AM$3:$AS$3,0),FALSE),2)</f>
        <v>2</v>
      </c>
      <c r="BL331" s="654">
        <f>ROUND(VLOOKUP($AW331,$AD$3:$AJ$33,MATCH(BL$3,$AD$3:$AJ$3,0),FALSE)-$AY331/VLOOKUP(VLOOKUP($AW331,坦克个性化设定!$B$18:$E$48,4,FALSE)&amp;$AX331,坦克属性分配比例,MATCH("升星次数",坦克属性分配比例标头,0),FALSE)*VLOOKUP($AW331,$AM$3:$AS$33,MATCH(BL$3,$AM$3:$AS$3,0),FALSE),2)</f>
        <v>2.1</v>
      </c>
    </row>
    <row r="332" spans="47:64" x14ac:dyDescent="0.35">
      <c r="AU332" s="372" t="str">
        <f t="shared" si="33"/>
        <v>IS-48</v>
      </c>
      <c r="AV332" s="654">
        <f>IF(AY331&gt;=VLOOKUP(VLOOKUP(AW331,坦克个性化设定!$B$18:$E$48,4,FALSE)&amp;AX331,坦克属性分配比例,MATCH("升星次数",坦克属性分配比例标头,0),FALSE),AV331+1,AV331)</f>
        <v>28</v>
      </c>
      <c r="AW332" s="649" t="str">
        <f t="shared" si="34"/>
        <v>IS-4</v>
      </c>
      <c r="AX332" s="650" t="str">
        <f>VLOOKUP(AW332,坦克个性化细分!$I$3:$J$33,2,FALSE)</f>
        <v>中</v>
      </c>
      <c r="AY332" s="654">
        <f t="shared" si="35"/>
        <v>8</v>
      </c>
      <c r="AZ332" s="654">
        <f ca="1">ROUND(VLOOKUP($AW332&amp;"初始",$O$3:$AA$63,MATCH(AZ$3,$O$3:$AA$3,0),FALSE)+((VLOOKUP($AW332&amp;"最终",$O$3:$AA$63,MATCH(AZ$3,$O$3:$AA$3,0),FALSE)*坦克个性化细分!$C$9-VLOOKUP($AW332&amp;"初始",$O$3:$AA$63,MATCH(AZ$3,$O$3:$AA$3,0),FALSE))-(VLOOKUP($AW332&amp;"最终",$O$3:$AA$63,MATCH(AZ$3,$O$3:$AA$3,0),FALSE)-VLOOKUP($AW332&amp;"初始",$O$3:$AA$63,MATCH(AZ$3,$O$3:$AA$3,0),FALSE))*VLOOKUP(VLOOKUP($AW332,坦克个性化设定!$B$18:$E$48,4,FALSE)&amp;$AX332,坦克属性分配比例,MATCH("部件比例",坦克属性分配比例标头,0),FALSE))*$AY332/VLOOKUP(VLOOKUP($AW332,坦克个性化设定!$B$18:$E$48,4,FALSE)&amp;$AX332,坦克属性分配比例,MATCH("升星次数",坦克属性分配比例标头,0),FALSE),0)</f>
        <v>2676</v>
      </c>
      <c r="BA332" s="654">
        <f ca="1">ROUND(VLOOKUP($AW332&amp;"初始",$O$3:$AA$63,MATCH(BA$3,$O$3:$AA$3,0),FALSE)+(VLOOKUP($AW332&amp;"最终",$O$3:$AA$63,MATCH(BA$3,$O$3:$AA$3,0),FALSE)-VLOOKUP($AW332&amp;"初始",$O$3:$AA$63,MATCH(BA$3,$O$3:$AA$3,0),FALSE))*$AY332/VLOOKUP(VLOOKUP($AW332,坦克个性化设定!$B$18:$E$48,4,FALSE)&amp;$AX332,坦克属性分配比例,MATCH("升星次数",坦克属性分配比例标头,0),FALSE)*VLOOKUP(VLOOKUP($AW332,坦克个性化设定!$B$18:$E$48,4,FALSE)&amp;$AX332,坦克属性分配比例,MATCH("升星比例",坦克属性分配比例标头,0),FALSE),0)</f>
        <v>362</v>
      </c>
      <c r="BB332" s="654">
        <f ca="1">ROUND(VLOOKUP($AW332&amp;"初始",$O$3:$AA$63,MATCH(BB$3,$O$3:$AA$3,0),FALSE)+(VLOOKUP($AW332&amp;"最终",$O$3:$AA$63,MATCH(BB$3,$O$3:$AA$3,0),FALSE)-VLOOKUP($AW332&amp;"初始",$O$3:$AA$63,MATCH(BB$3,$O$3:$AA$3,0),FALSE))*$AY332/VLOOKUP(VLOOKUP($AW332,坦克个性化设定!$B$18:$E$48,4,FALSE)&amp;$AX332,坦克属性分配比例,MATCH("升星次数",坦克属性分配比例标头,0),FALSE)*(VLOOKUP(VLOOKUP($AW332,坦克个性化设定!$B$18:$E$48,4,FALSE)&amp;$AX332,坦克属性分配比例,MATCH("升星比例",坦克属性分配比例标头,0),FALSE)+VLOOKUP(VLOOKUP($AW332,坦克个性化设定!$B$18:$E$48,4,FALSE)&amp;$AX332,坦克属性分配比例,MATCH("部件比例",坦克属性分配比例标头,0),FALSE)*$C$3),0)</f>
        <v>748</v>
      </c>
      <c r="BC332" s="654">
        <f ca="1">ROUND(VLOOKUP($AW332&amp;"初始",$O$3:$AA$63,MATCH(BC$3,$O$3:$AA$3,0),FALSE)+(VLOOKUP($AW332&amp;"最终",$O$3:$AA$63,MATCH(BC$3,$O$3:$AA$3,0),FALSE)-VLOOKUP($AW332&amp;"初始",$O$3:$AA$63,MATCH(BC$3,$O$3:$AA$3,0),FALSE))*$AY332/VLOOKUP(VLOOKUP($AW332,坦克个性化设定!$B$18:$E$48,4,FALSE)&amp;$AX332,坦克属性分配比例,MATCH("升星次数",坦克属性分配比例标头,0),FALSE)*(VLOOKUP(VLOOKUP($AW332,坦克个性化设定!$B$18:$E$48,4,FALSE)&amp;$AX332,坦克属性分配比例,MATCH("升星比例",坦克属性分配比例标头,0),FALSE)+VLOOKUP(VLOOKUP($AW332,坦克个性化设定!$B$18:$E$48,4,FALSE)&amp;$AX332,坦克属性分配比例,MATCH("部件比例",坦克属性分配比例标头,0),FALSE)*$C$3),0)</f>
        <v>598</v>
      </c>
      <c r="BD332" s="654">
        <f ca="1">ROUND(VLOOKUP($AW332&amp;"初始",$O$3:$AA$63,MATCH(BD$3,$O$3:$AA$3,0),FALSE)+(VLOOKUP($AW332&amp;"最终",$O$3:$AA$63,MATCH(BD$3,$O$3:$AA$3,0),FALSE)-VLOOKUP($AW332&amp;"初始",$O$3:$AA$63,MATCH(BD$3,$O$3:$AA$3,0),FALSE))*$AY332/VLOOKUP(VLOOKUP($AW332,坦克个性化设定!$B$18:$E$48,4,FALSE)&amp;$AX332,坦克属性分配比例,MATCH("升星次数",坦克属性分配比例标头,0),FALSE)*VLOOKUP(VLOOKUP($AW332,坦克个性化设定!$B$18:$E$48,4,FALSE)&amp;$AX332,坦克属性分配比例,MATCH("升星比例",坦克属性分配比例标头,0),FALSE),0)</f>
        <v>983</v>
      </c>
      <c r="BE332" s="654">
        <f ca="1">ROUND(VLOOKUP($AW332&amp;"初始",$O$3:$AA$63,MATCH(BE$3,$O$3:$AA$3,0),FALSE)+(VLOOKUP($AW332&amp;"最终",$O$3:$AA$63,MATCH(BE$3,$O$3:$AA$3,0),FALSE)-VLOOKUP($AW332&amp;"初始",$O$3:$AA$63,MATCH(BE$3,$O$3:$AA$3,0),FALSE))*$AY332/VLOOKUP(VLOOKUP($AW332,坦克个性化设定!$B$18:$E$48,4,FALSE)&amp;$AX332,坦克属性分配比例,MATCH("升星次数",坦克属性分配比例标头,0),FALSE),0)</f>
        <v>266</v>
      </c>
      <c r="BF332" s="654">
        <f>ROUND(VLOOKUP($AW332,$AD$3:$AJ$33,MATCH(BF$3,$AD$3:$AJ$3,0),FALSE)+$AY332/VLOOKUP(VLOOKUP($AW332,坦克个性化设定!$B$18:$E$48,4,FALSE)&amp;$AX332,坦克属性分配比例,MATCH("升星次数",坦克属性分配比例标头,0),FALSE)*VLOOKUP($AW332,$AM$3:$AS$33,MATCH(BF$3,$AM$3:$AS$3,0),FALSE),1)</f>
        <v>35.799999999999997</v>
      </c>
      <c r="BG332" s="654">
        <f>ROUND(VLOOKUP($AW332,$AD$3:$AJ$33,MATCH(BG$3,$AD$3:$AJ$3,0),FALSE)+$AY332/VLOOKUP(VLOOKUP($AW332,坦克个性化设定!$B$18:$E$48,4,FALSE)&amp;$AX332,坦克属性分配比例,MATCH("升星次数",坦克属性分配比例标头,0),FALSE)*VLOOKUP($AW332,$AM$3:$AS$33,MATCH(BG$3,$AM$3:$AS$3,0),FALSE),1)</f>
        <v>49.8</v>
      </c>
      <c r="BH332" s="654">
        <f>ROUND(VLOOKUP($AW332,$AD$3:$AJ$33,MATCH(BH$3,$AD$3:$AJ$3,0),FALSE)+$AY332/VLOOKUP(VLOOKUP($AW332,坦克个性化设定!$B$18:$E$48,4,FALSE)&amp;$AX332,坦克属性分配比例,MATCH("升星次数",坦克属性分配比例标头,0),FALSE)*VLOOKUP($AW332,$AM$3:$AS$33,MATCH(BH$3,$AM$3:$AS$3,0),FALSE),1)</f>
        <v>11.1</v>
      </c>
      <c r="BI332" s="654">
        <f>IF(VLOOKUP(AW332,坦克个性化设定!$B$18:$BB$48,MATCH("装弹类型",坦克个性化设定!$B$18:$BB$18,0),FALSE)="弹夹换弹",0,ROUND(VLOOKUP($AW332,$AD$3:$AJ$33,MATCH("换弹时间",$AD$3:$AJ$3,0),FALSE)-$AY332/VLOOKUP(VLOOKUP($AW332,坦克个性化设定!$B$18:$E$48,4,FALSE)&amp;$AX332,坦克属性分配比例,MATCH("升星次数",坦克属性分配比例标头,0),FALSE)*VLOOKUP($AW332,$AM$3:$AS$33,MATCH("换弹时间",$AM$3:$AS$3,0),FALSE),2))</f>
        <v>3.96</v>
      </c>
      <c r="BJ332" s="654">
        <f>IF(VLOOKUP(AW332,坦克个性化设定!$B$18:$BB$48,MATCH("装弹类型",坦克个性化设定!$B$18:$BB$18,0),FALSE)="弹夹换弹",ROUND(VLOOKUP($AW332,$AD$3:$AJ$33,MATCH("换弹时间",$AD$3:$AJ$3,0),FALSE)-$AY332/VLOOKUP(VLOOKUP($AW332,坦克个性化设定!$B$18:$E$48,4,FALSE)&amp;$AX332,坦克属性分配比例,MATCH("升星次数",坦克属性分配比例标头,0),FALSE)*VLOOKUP($AW332,$AM$3:$AS$33,MATCH("换弹时间",$AM$3:$AS$3,0),FALSE),1),0)</f>
        <v>0</v>
      </c>
      <c r="BK332" s="654">
        <f>ROUND(VLOOKUP($AW332,$AD$3:$AJ$33,MATCH(BK$3,$AD$3:$AJ$3,0),FALSE)+$AY332/VLOOKUP(VLOOKUP($AW332,坦克个性化设定!$B$18:$E$48,4,FALSE)&amp;$AX332,坦克属性分配比例,MATCH("升星次数",坦克属性分配比例标头,0),FALSE)*VLOOKUP($AW332,$AM$3:$AS$33,MATCH(BK$3,$AM$3:$AS$3,0),FALSE),2)</f>
        <v>2</v>
      </c>
      <c r="BL332" s="654">
        <f>ROUND(VLOOKUP($AW332,$AD$3:$AJ$33,MATCH(BL$3,$AD$3:$AJ$3,0),FALSE)-$AY332/VLOOKUP(VLOOKUP($AW332,坦克个性化设定!$B$18:$E$48,4,FALSE)&amp;$AX332,坦克属性分配比例,MATCH("升星次数",坦克属性分配比例标头,0),FALSE)*VLOOKUP($AW332,$AM$3:$AS$33,MATCH(BL$3,$AM$3:$AS$3,0),FALSE),2)</f>
        <v>2.0699999999999998</v>
      </c>
    </row>
    <row r="333" spans="47:64" x14ac:dyDescent="0.35">
      <c r="AU333" s="372" t="str">
        <f t="shared" si="33"/>
        <v>IS-49</v>
      </c>
      <c r="AV333" s="654">
        <f>IF(AY332&gt;=VLOOKUP(VLOOKUP(AW332,坦克个性化设定!$B$18:$E$48,4,FALSE)&amp;AX332,坦克属性分配比例,MATCH("升星次数",坦克属性分配比例标头,0),FALSE),AV332+1,AV332)</f>
        <v>28</v>
      </c>
      <c r="AW333" s="649" t="str">
        <f t="shared" si="34"/>
        <v>IS-4</v>
      </c>
      <c r="AX333" s="650" t="str">
        <f>VLOOKUP(AW333,坦克个性化细分!$I$3:$J$33,2,FALSE)</f>
        <v>中</v>
      </c>
      <c r="AY333" s="654">
        <f t="shared" si="35"/>
        <v>9</v>
      </c>
      <c r="AZ333" s="654">
        <f ca="1">ROUND(VLOOKUP($AW333&amp;"初始",$O$3:$AA$63,MATCH(AZ$3,$O$3:$AA$3,0),FALSE)+((VLOOKUP($AW333&amp;"最终",$O$3:$AA$63,MATCH(AZ$3,$O$3:$AA$3,0),FALSE)*坦克个性化细分!$C$9-VLOOKUP($AW333&amp;"初始",$O$3:$AA$63,MATCH(AZ$3,$O$3:$AA$3,0),FALSE))-(VLOOKUP($AW333&amp;"最终",$O$3:$AA$63,MATCH(AZ$3,$O$3:$AA$3,0),FALSE)-VLOOKUP($AW333&amp;"初始",$O$3:$AA$63,MATCH(AZ$3,$O$3:$AA$3,0),FALSE))*VLOOKUP(VLOOKUP($AW333,坦克个性化设定!$B$18:$E$48,4,FALSE)&amp;$AX333,坦克属性分配比例,MATCH("部件比例",坦克属性分配比例标头,0),FALSE))*$AY333/VLOOKUP(VLOOKUP($AW333,坦克个性化设定!$B$18:$E$48,4,FALSE)&amp;$AX333,坦克属性分配比例,MATCH("升星次数",坦克属性分配比例标头,0),FALSE),0)</f>
        <v>2783</v>
      </c>
      <c r="BA333" s="654">
        <f ca="1">ROUND(VLOOKUP($AW333&amp;"初始",$O$3:$AA$63,MATCH(BA$3,$O$3:$AA$3,0),FALSE)+(VLOOKUP($AW333&amp;"最终",$O$3:$AA$63,MATCH(BA$3,$O$3:$AA$3,0),FALSE)-VLOOKUP($AW333&amp;"初始",$O$3:$AA$63,MATCH(BA$3,$O$3:$AA$3,0),FALSE))*$AY333/VLOOKUP(VLOOKUP($AW333,坦克个性化设定!$B$18:$E$48,4,FALSE)&amp;$AX333,坦克属性分配比例,MATCH("升星次数",坦克属性分配比例标头,0),FALSE)*VLOOKUP(VLOOKUP($AW333,坦克个性化设定!$B$18:$E$48,4,FALSE)&amp;$AX333,坦克属性分配比例,MATCH("升星比例",坦克属性分配比例标头,0),FALSE),0)</f>
        <v>369</v>
      </c>
      <c r="BB333" s="654">
        <f ca="1">ROUND(VLOOKUP($AW333&amp;"初始",$O$3:$AA$63,MATCH(BB$3,$O$3:$AA$3,0),FALSE)+(VLOOKUP($AW333&amp;"最终",$O$3:$AA$63,MATCH(BB$3,$O$3:$AA$3,0),FALSE)-VLOOKUP($AW333&amp;"初始",$O$3:$AA$63,MATCH(BB$3,$O$3:$AA$3,0),FALSE))*$AY333/VLOOKUP(VLOOKUP($AW333,坦克个性化设定!$B$18:$E$48,4,FALSE)&amp;$AX333,坦克属性分配比例,MATCH("升星次数",坦克属性分配比例标头,0),FALSE)*(VLOOKUP(VLOOKUP($AW333,坦克个性化设定!$B$18:$E$48,4,FALSE)&amp;$AX333,坦克属性分配比例,MATCH("升星比例",坦克属性分配比例标头,0),FALSE)+VLOOKUP(VLOOKUP($AW333,坦克个性化设定!$B$18:$E$48,4,FALSE)&amp;$AX333,坦克属性分配比例,MATCH("部件比例",坦克属性分配比例标头,0),FALSE)*$C$3),0)</f>
        <v>771</v>
      </c>
      <c r="BC333" s="654">
        <f ca="1">ROUND(VLOOKUP($AW333&amp;"初始",$O$3:$AA$63,MATCH(BC$3,$O$3:$AA$3,0),FALSE)+(VLOOKUP($AW333&amp;"最终",$O$3:$AA$63,MATCH(BC$3,$O$3:$AA$3,0),FALSE)-VLOOKUP($AW333&amp;"初始",$O$3:$AA$63,MATCH(BC$3,$O$3:$AA$3,0),FALSE))*$AY333/VLOOKUP(VLOOKUP($AW333,坦克个性化设定!$B$18:$E$48,4,FALSE)&amp;$AX333,坦克属性分配比例,MATCH("升星次数",坦克属性分配比例标头,0),FALSE)*(VLOOKUP(VLOOKUP($AW333,坦克个性化设定!$B$18:$E$48,4,FALSE)&amp;$AX333,坦克属性分配比例,MATCH("升星比例",坦克属性分配比例标头,0),FALSE)+VLOOKUP(VLOOKUP($AW333,坦克个性化设定!$B$18:$E$48,4,FALSE)&amp;$AX333,坦克属性分配比例,MATCH("部件比例",坦克属性分配比例标头,0),FALSE)*$C$3),0)</f>
        <v>617</v>
      </c>
      <c r="BD333" s="654">
        <f ca="1">ROUND(VLOOKUP($AW333&amp;"初始",$O$3:$AA$63,MATCH(BD$3,$O$3:$AA$3,0),FALSE)+(VLOOKUP($AW333&amp;"最终",$O$3:$AA$63,MATCH(BD$3,$O$3:$AA$3,0),FALSE)-VLOOKUP($AW333&amp;"初始",$O$3:$AA$63,MATCH(BD$3,$O$3:$AA$3,0),FALSE))*$AY333/VLOOKUP(VLOOKUP($AW333,坦克个性化设定!$B$18:$E$48,4,FALSE)&amp;$AX333,坦克属性分配比例,MATCH("升星次数",坦克属性分配比例标头,0),FALSE)*VLOOKUP(VLOOKUP($AW333,坦克个性化设定!$B$18:$E$48,4,FALSE)&amp;$AX333,坦克属性分配比例,MATCH("升星比例",坦克属性分配比例标头,0),FALSE),0)</f>
        <v>1003</v>
      </c>
      <c r="BE333" s="654">
        <f ca="1">ROUND(VLOOKUP($AW333&amp;"初始",$O$3:$AA$63,MATCH(BE$3,$O$3:$AA$3,0),FALSE)+(VLOOKUP($AW333&amp;"最终",$O$3:$AA$63,MATCH(BE$3,$O$3:$AA$3,0),FALSE)-VLOOKUP($AW333&amp;"初始",$O$3:$AA$63,MATCH(BE$3,$O$3:$AA$3,0),FALSE))*$AY333/VLOOKUP(VLOOKUP($AW333,坦克个性化设定!$B$18:$E$48,4,FALSE)&amp;$AX333,坦克属性分配比例,MATCH("升星次数",坦克属性分配比例标头,0),FALSE),0)</f>
        <v>276</v>
      </c>
      <c r="BF333" s="654">
        <f>ROUND(VLOOKUP($AW333,$AD$3:$AJ$33,MATCH(BF$3,$AD$3:$AJ$3,0),FALSE)+$AY333/VLOOKUP(VLOOKUP($AW333,坦克个性化设定!$B$18:$E$48,4,FALSE)&amp;$AX333,坦克属性分配比例,MATCH("升星次数",坦克属性分配比例标头,0),FALSE)*VLOOKUP($AW333,$AM$3:$AS$33,MATCH(BF$3,$AM$3:$AS$3,0),FALSE),1)</f>
        <v>36.200000000000003</v>
      </c>
      <c r="BG333" s="654">
        <f>ROUND(VLOOKUP($AW333,$AD$3:$AJ$33,MATCH(BG$3,$AD$3:$AJ$3,0),FALSE)+$AY333/VLOOKUP(VLOOKUP($AW333,坦克个性化设定!$B$18:$E$48,4,FALSE)&amp;$AX333,坦克属性分配比例,MATCH("升星次数",坦克属性分配比例标头,0),FALSE)*VLOOKUP($AW333,$AM$3:$AS$33,MATCH(BG$3,$AM$3:$AS$3,0),FALSE),1)</f>
        <v>50.5</v>
      </c>
      <c r="BH333" s="654">
        <f>ROUND(VLOOKUP($AW333,$AD$3:$AJ$33,MATCH(BH$3,$AD$3:$AJ$3,0),FALSE)+$AY333/VLOOKUP(VLOOKUP($AW333,坦克个性化设定!$B$18:$E$48,4,FALSE)&amp;$AX333,坦克属性分配比例,MATCH("升星次数",坦克属性分配比例标头,0),FALSE)*VLOOKUP($AW333,$AM$3:$AS$33,MATCH(BH$3,$AM$3:$AS$3,0),FALSE),1)</f>
        <v>11.3</v>
      </c>
      <c r="BI333" s="654">
        <f>IF(VLOOKUP(AW333,坦克个性化设定!$B$18:$BB$48,MATCH("装弹类型",坦克个性化设定!$B$18:$BB$18,0),FALSE)="弹夹换弹",0,ROUND(VLOOKUP($AW333,$AD$3:$AJ$33,MATCH("换弹时间",$AD$3:$AJ$3,0),FALSE)-$AY333/VLOOKUP(VLOOKUP($AW333,坦克个性化设定!$B$18:$E$48,4,FALSE)&amp;$AX333,坦克属性分配比例,MATCH("升星次数",坦克属性分配比例标头,0),FALSE)*VLOOKUP($AW333,$AM$3:$AS$33,MATCH("换弹时间",$AM$3:$AS$3,0),FALSE),2))</f>
        <v>3.89</v>
      </c>
      <c r="BJ333" s="654">
        <f>IF(VLOOKUP(AW333,坦克个性化设定!$B$18:$BB$48,MATCH("装弹类型",坦克个性化设定!$B$18:$BB$18,0),FALSE)="弹夹换弹",ROUND(VLOOKUP($AW333,$AD$3:$AJ$33,MATCH("换弹时间",$AD$3:$AJ$3,0),FALSE)-$AY333/VLOOKUP(VLOOKUP($AW333,坦克个性化设定!$B$18:$E$48,4,FALSE)&amp;$AX333,坦克属性分配比例,MATCH("升星次数",坦克属性分配比例标头,0),FALSE)*VLOOKUP($AW333,$AM$3:$AS$33,MATCH("换弹时间",$AM$3:$AS$3,0),FALSE),1),0)</f>
        <v>0</v>
      </c>
      <c r="BK333" s="654">
        <f>ROUND(VLOOKUP($AW333,$AD$3:$AJ$33,MATCH(BK$3,$AD$3:$AJ$3,0),FALSE)+$AY333/VLOOKUP(VLOOKUP($AW333,坦克个性化设定!$B$18:$E$48,4,FALSE)&amp;$AX333,坦克属性分配比例,MATCH("升星次数",坦克属性分配比例标头,0),FALSE)*VLOOKUP($AW333,$AM$3:$AS$33,MATCH(BK$3,$AM$3:$AS$3,0),FALSE),2)</f>
        <v>2</v>
      </c>
      <c r="BL333" s="654">
        <f>ROUND(VLOOKUP($AW333,$AD$3:$AJ$33,MATCH(BL$3,$AD$3:$AJ$3,0),FALSE)-$AY333/VLOOKUP(VLOOKUP($AW333,坦克个性化设定!$B$18:$E$48,4,FALSE)&amp;$AX333,坦克属性分配比例,MATCH("升星次数",坦克属性分配比例标头,0),FALSE)*VLOOKUP($AW333,$AM$3:$AS$33,MATCH(BL$3,$AM$3:$AS$3,0),FALSE),2)</f>
        <v>2.0499999999999998</v>
      </c>
    </row>
    <row r="334" spans="47:64" x14ac:dyDescent="0.35">
      <c r="AU334" s="372" t="str">
        <f t="shared" si="33"/>
        <v>IS-410</v>
      </c>
      <c r="AV334" s="654">
        <f>IF(AY333&gt;=VLOOKUP(VLOOKUP(AW333,坦克个性化设定!$B$18:$E$48,4,FALSE)&amp;AX333,坦克属性分配比例,MATCH("升星次数",坦克属性分配比例标头,0),FALSE),AV333+1,AV333)</f>
        <v>28</v>
      </c>
      <c r="AW334" s="649" t="str">
        <f t="shared" si="34"/>
        <v>IS-4</v>
      </c>
      <c r="AX334" s="650" t="str">
        <f>VLOOKUP(AW334,坦克个性化细分!$I$3:$J$33,2,FALSE)</f>
        <v>中</v>
      </c>
      <c r="AY334" s="654">
        <f t="shared" si="35"/>
        <v>10</v>
      </c>
      <c r="AZ334" s="654">
        <f ca="1">ROUND(VLOOKUP($AW334&amp;"初始",$O$3:$AA$63,MATCH(AZ$3,$O$3:$AA$3,0),FALSE)+((VLOOKUP($AW334&amp;"最终",$O$3:$AA$63,MATCH(AZ$3,$O$3:$AA$3,0),FALSE)*坦克个性化细分!$C$9-VLOOKUP($AW334&amp;"初始",$O$3:$AA$63,MATCH(AZ$3,$O$3:$AA$3,0),FALSE))-(VLOOKUP($AW334&amp;"最终",$O$3:$AA$63,MATCH(AZ$3,$O$3:$AA$3,0),FALSE)-VLOOKUP($AW334&amp;"初始",$O$3:$AA$63,MATCH(AZ$3,$O$3:$AA$3,0),FALSE))*VLOOKUP(VLOOKUP($AW334,坦克个性化设定!$B$18:$E$48,4,FALSE)&amp;$AX334,坦克属性分配比例,MATCH("部件比例",坦克属性分配比例标头,0),FALSE))*$AY334/VLOOKUP(VLOOKUP($AW334,坦克个性化设定!$B$18:$E$48,4,FALSE)&amp;$AX334,坦克属性分配比例,MATCH("升星次数",坦克属性分配比例标头,0),FALSE),0)</f>
        <v>2889</v>
      </c>
      <c r="BA334" s="654">
        <f ca="1">ROUND(VLOOKUP($AW334&amp;"初始",$O$3:$AA$63,MATCH(BA$3,$O$3:$AA$3,0),FALSE)+(VLOOKUP($AW334&amp;"最终",$O$3:$AA$63,MATCH(BA$3,$O$3:$AA$3,0),FALSE)-VLOOKUP($AW334&amp;"初始",$O$3:$AA$63,MATCH(BA$3,$O$3:$AA$3,0),FALSE))*$AY334/VLOOKUP(VLOOKUP($AW334,坦克个性化设定!$B$18:$E$48,4,FALSE)&amp;$AX334,坦克属性分配比例,MATCH("升星次数",坦克属性分配比例标头,0),FALSE)*VLOOKUP(VLOOKUP($AW334,坦克个性化设定!$B$18:$E$48,4,FALSE)&amp;$AX334,坦克属性分配比例,MATCH("升星比例",坦克属性分配比例标头,0),FALSE),0)</f>
        <v>377</v>
      </c>
      <c r="BB334" s="654">
        <f ca="1">ROUND(VLOOKUP($AW334&amp;"初始",$O$3:$AA$63,MATCH(BB$3,$O$3:$AA$3,0),FALSE)+(VLOOKUP($AW334&amp;"最终",$O$3:$AA$63,MATCH(BB$3,$O$3:$AA$3,0),FALSE)-VLOOKUP($AW334&amp;"初始",$O$3:$AA$63,MATCH(BB$3,$O$3:$AA$3,0),FALSE))*$AY334/VLOOKUP(VLOOKUP($AW334,坦克个性化设定!$B$18:$E$48,4,FALSE)&amp;$AX334,坦克属性分配比例,MATCH("升星次数",坦克属性分配比例标头,0),FALSE)*(VLOOKUP(VLOOKUP($AW334,坦克个性化设定!$B$18:$E$48,4,FALSE)&amp;$AX334,坦克属性分配比例,MATCH("升星比例",坦克属性分配比例标头,0),FALSE)+VLOOKUP(VLOOKUP($AW334,坦克个性化设定!$B$18:$E$48,4,FALSE)&amp;$AX334,坦克属性分配比例,MATCH("部件比例",坦克属性分配比例标头,0),FALSE)*$C$3),0)</f>
        <v>795</v>
      </c>
      <c r="BC334" s="654">
        <f ca="1">ROUND(VLOOKUP($AW334&amp;"初始",$O$3:$AA$63,MATCH(BC$3,$O$3:$AA$3,0),FALSE)+(VLOOKUP($AW334&amp;"最终",$O$3:$AA$63,MATCH(BC$3,$O$3:$AA$3,0),FALSE)-VLOOKUP($AW334&amp;"初始",$O$3:$AA$63,MATCH(BC$3,$O$3:$AA$3,0),FALSE))*$AY334/VLOOKUP(VLOOKUP($AW334,坦克个性化设定!$B$18:$E$48,4,FALSE)&amp;$AX334,坦克属性分配比例,MATCH("升星次数",坦克属性分配比例标头,0),FALSE)*(VLOOKUP(VLOOKUP($AW334,坦克个性化设定!$B$18:$E$48,4,FALSE)&amp;$AX334,坦克属性分配比例,MATCH("升星比例",坦克属性分配比例标头,0),FALSE)+VLOOKUP(VLOOKUP($AW334,坦克个性化设定!$B$18:$E$48,4,FALSE)&amp;$AX334,坦克属性分配比例,MATCH("部件比例",坦克属性分配比例标头,0),FALSE)*$C$3),0)</f>
        <v>636</v>
      </c>
      <c r="BD334" s="654">
        <f ca="1">ROUND(VLOOKUP($AW334&amp;"初始",$O$3:$AA$63,MATCH(BD$3,$O$3:$AA$3,0),FALSE)+(VLOOKUP($AW334&amp;"最终",$O$3:$AA$63,MATCH(BD$3,$O$3:$AA$3,0),FALSE)-VLOOKUP($AW334&amp;"初始",$O$3:$AA$63,MATCH(BD$3,$O$3:$AA$3,0),FALSE))*$AY334/VLOOKUP(VLOOKUP($AW334,坦克个性化设定!$B$18:$E$48,4,FALSE)&amp;$AX334,坦克属性分配比例,MATCH("升星次数",坦克属性分配比例标头,0),FALSE)*VLOOKUP(VLOOKUP($AW334,坦克个性化设定!$B$18:$E$48,4,FALSE)&amp;$AX334,坦克属性分配比例,MATCH("升星比例",坦克属性分配比例标头,0),FALSE),0)</f>
        <v>1023</v>
      </c>
      <c r="BE334" s="654">
        <f ca="1">ROUND(VLOOKUP($AW334&amp;"初始",$O$3:$AA$63,MATCH(BE$3,$O$3:$AA$3,0),FALSE)+(VLOOKUP($AW334&amp;"最终",$O$3:$AA$63,MATCH(BE$3,$O$3:$AA$3,0),FALSE)-VLOOKUP($AW334&amp;"初始",$O$3:$AA$63,MATCH(BE$3,$O$3:$AA$3,0),FALSE))*$AY334/VLOOKUP(VLOOKUP($AW334,坦克个性化设定!$B$18:$E$48,4,FALSE)&amp;$AX334,坦克属性分配比例,MATCH("升星次数",坦克属性分配比例标头,0),FALSE),0)</f>
        <v>286</v>
      </c>
      <c r="BF334" s="654">
        <f>ROUND(VLOOKUP($AW334,$AD$3:$AJ$33,MATCH(BF$3,$AD$3:$AJ$3,0),FALSE)+$AY334/VLOOKUP(VLOOKUP($AW334,坦克个性化设定!$B$18:$E$48,4,FALSE)&amp;$AX334,坦克属性分配比例,MATCH("升星次数",坦克属性分配比例标头,0),FALSE)*VLOOKUP($AW334,$AM$3:$AS$33,MATCH(BF$3,$AM$3:$AS$3,0),FALSE),1)</f>
        <v>36.700000000000003</v>
      </c>
      <c r="BG334" s="654">
        <f>ROUND(VLOOKUP($AW334,$AD$3:$AJ$33,MATCH(BG$3,$AD$3:$AJ$3,0),FALSE)+$AY334/VLOOKUP(VLOOKUP($AW334,坦克个性化设定!$B$18:$E$48,4,FALSE)&amp;$AX334,坦克属性分配比例,MATCH("升星次数",坦克属性分配比例标头,0),FALSE)*VLOOKUP($AW334,$AM$3:$AS$33,MATCH(BG$3,$AM$3:$AS$3,0),FALSE),1)</f>
        <v>51.2</v>
      </c>
      <c r="BH334" s="654">
        <f>ROUND(VLOOKUP($AW334,$AD$3:$AJ$33,MATCH(BH$3,$AD$3:$AJ$3,0),FALSE)+$AY334/VLOOKUP(VLOOKUP($AW334,坦克个性化设定!$B$18:$E$48,4,FALSE)&amp;$AX334,坦克属性分配比例,MATCH("升星次数",坦克属性分配比例标头,0),FALSE)*VLOOKUP($AW334,$AM$3:$AS$33,MATCH(BH$3,$AM$3:$AS$3,0),FALSE),1)</f>
        <v>11.4</v>
      </c>
      <c r="BI334" s="654">
        <f>IF(VLOOKUP(AW334,坦克个性化设定!$B$18:$BB$48,MATCH("装弹类型",坦克个性化设定!$B$18:$BB$18,0),FALSE)="弹夹换弹",0,ROUND(VLOOKUP($AW334,$AD$3:$AJ$33,MATCH("换弹时间",$AD$3:$AJ$3,0),FALSE)-$AY334/VLOOKUP(VLOOKUP($AW334,坦克个性化设定!$B$18:$E$48,4,FALSE)&amp;$AX334,坦克属性分配比例,MATCH("升星次数",坦克属性分配比例标头,0),FALSE)*VLOOKUP($AW334,$AM$3:$AS$33,MATCH("换弹时间",$AM$3:$AS$3,0),FALSE),2))</f>
        <v>3.82</v>
      </c>
      <c r="BJ334" s="654">
        <f>IF(VLOOKUP(AW334,坦克个性化设定!$B$18:$BB$48,MATCH("装弹类型",坦克个性化设定!$B$18:$BB$18,0),FALSE)="弹夹换弹",ROUND(VLOOKUP($AW334,$AD$3:$AJ$33,MATCH("换弹时间",$AD$3:$AJ$3,0),FALSE)-$AY334/VLOOKUP(VLOOKUP($AW334,坦克个性化设定!$B$18:$E$48,4,FALSE)&amp;$AX334,坦克属性分配比例,MATCH("升星次数",坦克属性分配比例标头,0),FALSE)*VLOOKUP($AW334,$AM$3:$AS$33,MATCH("换弹时间",$AM$3:$AS$3,0),FALSE),1),0)</f>
        <v>0</v>
      </c>
      <c r="BK334" s="654">
        <f>ROUND(VLOOKUP($AW334,$AD$3:$AJ$33,MATCH(BK$3,$AD$3:$AJ$3,0),FALSE)+$AY334/VLOOKUP(VLOOKUP($AW334,坦克个性化设定!$B$18:$E$48,4,FALSE)&amp;$AX334,坦克属性分配比例,MATCH("升星次数",坦克属性分配比例标头,0),FALSE)*VLOOKUP($AW334,$AM$3:$AS$33,MATCH(BK$3,$AM$3:$AS$3,0),FALSE),2)</f>
        <v>2</v>
      </c>
      <c r="BL334" s="654">
        <f>ROUND(VLOOKUP($AW334,$AD$3:$AJ$33,MATCH(BL$3,$AD$3:$AJ$3,0),FALSE)-$AY334/VLOOKUP(VLOOKUP($AW334,坦克个性化设定!$B$18:$E$48,4,FALSE)&amp;$AX334,坦克属性分配比例,MATCH("升星次数",坦克属性分配比例标头,0),FALSE)*VLOOKUP($AW334,$AM$3:$AS$33,MATCH(BL$3,$AM$3:$AS$3,0),FALSE),2)</f>
        <v>2.0299999999999998</v>
      </c>
    </row>
    <row r="335" spans="47:64" x14ac:dyDescent="0.35">
      <c r="AU335" s="372" t="str">
        <f t="shared" si="33"/>
        <v>IS-411</v>
      </c>
      <c r="AV335" s="654">
        <f>IF(AY334&gt;=VLOOKUP(VLOOKUP(AW334,坦克个性化设定!$B$18:$E$48,4,FALSE)&amp;AX334,坦克属性分配比例,MATCH("升星次数",坦克属性分配比例标头,0),FALSE),AV334+1,AV334)</f>
        <v>28</v>
      </c>
      <c r="AW335" s="649" t="str">
        <f t="shared" si="34"/>
        <v>IS-4</v>
      </c>
      <c r="AX335" s="650" t="str">
        <f>VLOOKUP(AW335,坦克个性化细分!$I$3:$J$33,2,FALSE)</f>
        <v>中</v>
      </c>
      <c r="AY335" s="654">
        <f t="shared" si="35"/>
        <v>11</v>
      </c>
      <c r="AZ335" s="654">
        <f ca="1">ROUND(VLOOKUP($AW335&amp;"初始",$O$3:$AA$63,MATCH(AZ$3,$O$3:$AA$3,0),FALSE)+((VLOOKUP($AW335&amp;"最终",$O$3:$AA$63,MATCH(AZ$3,$O$3:$AA$3,0),FALSE)*坦克个性化细分!$C$9-VLOOKUP($AW335&amp;"初始",$O$3:$AA$63,MATCH(AZ$3,$O$3:$AA$3,0),FALSE))-(VLOOKUP($AW335&amp;"最终",$O$3:$AA$63,MATCH(AZ$3,$O$3:$AA$3,0),FALSE)-VLOOKUP($AW335&amp;"初始",$O$3:$AA$63,MATCH(AZ$3,$O$3:$AA$3,0),FALSE))*VLOOKUP(VLOOKUP($AW335,坦克个性化设定!$B$18:$E$48,4,FALSE)&amp;$AX335,坦克属性分配比例,MATCH("部件比例",坦克属性分配比例标头,0),FALSE))*$AY335/VLOOKUP(VLOOKUP($AW335,坦克个性化设定!$B$18:$E$48,4,FALSE)&amp;$AX335,坦克属性分配比例,MATCH("升星次数",坦克属性分配比例标头,0),FALSE),0)</f>
        <v>2995</v>
      </c>
      <c r="BA335" s="654">
        <f ca="1">ROUND(VLOOKUP($AW335&amp;"初始",$O$3:$AA$63,MATCH(BA$3,$O$3:$AA$3,0),FALSE)+(VLOOKUP($AW335&amp;"最终",$O$3:$AA$63,MATCH(BA$3,$O$3:$AA$3,0),FALSE)-VLOOKUP($AW335&amp;"初始",$O$3:$AA$63,MATCH(BA$3,$O$3:$AA$3,0),FALSE))*$AY335/VLOOKUP(VLOOKUP($AW335,坦克个性化设定!$B$18:$E$48,4,FALSE)&amp;$AX335,坦克属性分配比例,MATCH("升星次数",坦克属性分配比例标头,0),FALSE)*VLOOKUP(VLOOKUP($AW335,坦克个性化设定!$B$18:$E$48,4,FALSE)&amp;$AX335,坦克属性分配比例,MATCH("升星比例",坦克属性分配比例标头,0),FALSE),0)</f>
        <v>384</v>
      </c>
      <c r="BB335" s="654">
        <f ca="1">ROUND(VLOOKUP($AW335&amp;"初始",$O$3:$AA$63,MATCH(BB$3,$O$3:$AA$3,0),FALSE)+(VLOOKUP($AW335&amp;"最终",$O$3:$AA$63,MATCH(BB$3,$O$3:$AA$3,0),FALSE)-VLOOKUP($AW335&amp;"初始",$O$3:$AA$63,MATCH(BB$3,$O$3:$AA$3,0),FALSE))*$AY335/VLOOKUP(VLOOKUP($AW335,坦克个性化设定!$B$18:$E$48,4,FALSE)&amp;$AX335,坦克属性分配比例,MATCH("升星次数",坦克属性分配比例标头,0),FALSE)*(VLOOKUP(VLOOKUP($AW335,坦克个性化设定!$B$18:$E$48,4,FALSE)&amp;$AX335,坦克属性分配比例,MATCH("升星比例",坦克属性分配比例标头,0),FALSE)+VLOOKUP(VLOOKUP($AW335,坦克个性化设定!$B$18:$E$48,4,FALSE)&amp;$AX335,坦克属性分配比例,MATCH("部件比例",坦克属性分配比例标头,0),FALSE)*$C$3),0)</f>
        <v>818</v>
      </c>
      <c r="BC335" s="654">
        <f ca="1">ROUND(VLOOKUP($AW335&amp;"初始",$O$3:$AA$63,MATCH(BC$3,$O$3:$AA$3,0),FALSE)+(VLOOKUP($AW335&amp;"最终",$O$3:$AA$63,MATCH(BC$3,$O$3:$AA$3,0),FALSE)-VLOOKUP($AW335&amp;"初始",$O$3:$AA$63,MATCH(BC$3,$O$3:$AA$3,0),FALSE))*$AY335/VLOOKUP(VLOOKUP($AW335,坦克个性化设定!$B$18:$E$48,4,FALSE)&amp;$AX335,坦克属性分配比例,MATCH("升星次数",坦克属性分配比例标头,0),FALSE)*(VLOOKUP(VLOOKUP($AW335,坦克个性化设定!$B$18:$E$48,4,FALSE)&amp;$AX335,坦克属性分配比例,MATCH("升星比例",坦克属性分配比例标头,0),FALSE)+VLOOKUP(VLOOKUP($AW335,坦克个性化设定!$B$18:$E$48,4,FALSE)&amp;$AX335,坦克属性分配比例,MATCH("部件比例",坦克属性分配比例标头,0),FALSE)*$C$3),0)</f>
        <v>655</v>
      </c>
      <c r="BD335" s="654">
        <f ca="1">ROUND(VLOOKUP($AW335&amp;"初始",$O$3:$AA$63,MATCH(BD$3,$O$3:$AA$3,0),FALSE)+(VLOOKUP($AW335&amp;"最终",$O$3:$AA$63,MATCH(BD$3,$O$3:$AA$3,0),FALSE)-VLOOKUP($AW335&amp;"初始",$O$3:$AA$63,MATCH(BD$3,$O$3:$AA$3,0),FALSE))*$AY335/VLOOKUP(VLOOKUP($AW335,坦克个性化设定!$B$18:$E$48,4,FALSE)&amp;$AX335,坦克属性分配比例,MATCH("升星次数",坦克属性分配比例标头,0),FALSE)*VLOOKUP(VLOOKUP($AW335,坦克个性化设定!$B$18:$E$48,4,FALSE)&amp;$AX335,坦克属性分配比例,MATCH("升星比例",坦克属性分配比例标头,0),FALSE),0)</f>
        <v>1043</v>
      </c>
      <c r="BE335" s="654">
        <f ca="1">ROUND(VLOOKUP($AW335&amp;"初始",$O$3:$AA$63,MATCH(BE$3,$O$3:$AA$3,0),FALSE)+(VLOOKUP($AW335&amp;"最终",$O$3:$AA$63,MATCH(BE$3,$O$3:$AA$3,0),FALSE)-VLOOKUP($AW335&amp;"初始",$O$3:$AA$63,MATCH(BE$3,$O$3:$AA$3,0),FALSE))*$AY335/VLOOKUP(VLOOKUP($AW335,坦克个性化设定!$B$18:$E$48,4,FALSE)&amp;$AX335,坦克属性分配比例,MATCH("升星次数",坦克属性分配比例标头,0),FALSE),0)</f>
        <v>296</v>
      </c>
      <c r="BF335" s="654">
        <f>ROUND(VLOOKUP($AW335,$AD$3:$AJ$33,MATCH(BF$3,$AD$3:$AJ$3,0),FALSE)+$AY335/VLOOKUP(VLOOKUP($AW335,坦克个性化设定!$B$18:$E$48,4,FALSE)&amp;$AX335,坦克属性分配比例,MATCH("升星次数",坦克属性分配比例标头,0),FALSE)*VLOOKUP($AW335,$AM$3:$AS$33,MATCH(BF$3,$AM$3:$AS$3,0),FALSE),1)</f>
        <v>37.200000000000003</v>
      </c>
      <c r="BG335" s="654">
        <f>ROUND(VLOOKUP($AW335,$AD$3:$AJ$33,MATCH(BG$3,$AD$3:$AJ$3,0),FALSE)+$AY335/VLOOKUP(VLOOKUP($AW335,坦克个性化设定!$B$18:$E$48,4,FALSE)&amp;$AX335,坦克属性分配比例,MATCH("升星次数",坦克属性分配比例标头,0),FALSE)*VLOOKUP($AW335,$AM$3:$AS$33,MATCH(BG$3,$AM$3:$AS$3,0),FALSE),1)</f>
        <v>51.8</v>
      </c>
      <c r="BH335" s="654">
        <f>ROUND(VLOOKUP($AW335,$AD$3:$AJ$33,MATCH(BH$3,$AD$3:$AJ$3,0),FALSE)+$AY335/VLOOKUP(VLOOKUP($AW335,坦克个性化设定!$B$18:$E$48,4,FALSE)&amp;$AX335,坦克属性分配比例,MATCH("升星次数",坦克属性分配比例标头,0),FALSE)*VLOOKUP($AW335,$AM$3:$AS$33,MATCH(BH$3,$AM$3:$AS$3,0),FALSE),1)</f>
        <v>11.6</v>
      </c>
      <c r="BI335" s="654">
        <f>IF(VLOOKUP(AW335,坦克个性化设定!$B$18:$BB$48,MATCH("装弹类型",坦克个性化设定!$B$18:$BB$18,0),FALSE)="弹夹换弹",0,ROUND(VLOOKUP($AW335,$AD$3:$AJ$33,MATCH("换弹时间",$AD$3:$AJ$3,0),FALSE)-$AY335/VLOOKUP(VLOOKUP($AW335,坦克个性化设定!$B$18:$E$48,4,FALSE)&amp;$AX335,坦克属性分配比例,MATCH("升星次数",坦克属性分配比例标头,0),FALSE)*VLOOKUP($AW335,$AM$3:$AS$33,MATCH("换弹时间",$AM$3:$AS$3,0),FALSE),2))</f>
        <v>3.75</v>
      </c>
      <c r="BJ335" s="654">
        <f>IF(VLOOKUP(AW335,坦克个性化设定!$B$18:$BB$48,MATCH("装弹类型",坦克个性化设定!$B$18:$BB$18,0),FALSE)="弹夹换弹",ROUND(VLOOKUP($AW335,$AD$3:$AJ$33,MATCH("换弹时间",$AD$3:$AJ$3,0),FALSE)-$AY335/VLOOKUP(VLOOKUP($AW335,坦克个性化设定!$B$18:$E$48,4,FALSE)&amp;$AX335,坦克属性分配比例,MATCH("升星次数",坦克属性分配比例标头,0),FALSE)*VLOOKUP($AW335,$AM$3:$AS$33,MATCH("换弹时间",$AM$3:$AS$3,0),FALSE),1),0)</f>
        <v>0</v>
      </c>
      <c r="BK335" s="654">
        <f>ROUND(VLOOKUP($AW335,$AD$3:$AJ$33,MATCH(BK$3,$AD$3:$AJ$3,0),FALSE)+$AY335/VLOOKUP(VLOOKUP($AW335,坦克个性化设定!$B$18:$E$48,4,FALSE)&amp;$AX335,坦克属性分配比例,MATCH("升星次数",坦克属性分配比例标头,0),FALSE)*VLOOKUP($AW335,$AM$3:$AS$33,MATCH(BK$3,$AM$3:$AS$3,0),FALSE),2)</f>
        <v>2</v>
      </c>
      <c r="BL335" s="654">
        <f>ROUND(VLOOKUP($AW335,$AD$3:$AJ$33,MATCH(BL$3,$AD$3:$AJ$3,0),FALSE)-$AY335/VLOOKUP(VLOOKUP($AW335,坦克个性化设定!$B$18:$E$48,4,FALSE)&amp;$AX335,坦克属性分配比例,MATCH("升星次数",坦克属性分配比例标头,0),FALSE)*VLOOKUP($AW335,$AM$3:$AS$33,MATCH(BL$3,$AM$3:$AS$3,0),FALSE),2)</f>
        <v>2.0099999999999998</v>
      </c>
    </row>
    <row r="336" spans="47:64" x14ac:dyDescent="0.35">
      <c r="AU336" s="372" t="str">
        <f t="shared" si="33"/>
        <v>IS-412</v>
      </c>
      <c r="AV336" s="654">
        <f>IF(AY335&gt;=VLOOKUP(VLOOKUP(AW335,坦克个性化设定!$B$18:$E$48,4,FALSE)&amp;AX335,坦克属性分配比例,MATCH("升星次数",坦克属性分配比例标头,0),FALSE),AV335+1,AV335)</f>
        <v>28</v>
      </c>
      <c r="AW336" s="649" t="str">
        <f t="shared" si="34"/>
        <v>IS-4</v>
      </c>
      <c r="AX336" s="650" t="str">
        <f>VLOOKUP(AW336,坦克个性化细分!$I$3:$J$33,2,FALSE)</f>
        <v>中</v>
      </c>
      <c r="AY336" s="654">
        <f t="shared" si="35"/>
        <v>12</v>
      </c>
      <c r="AZ336" s="654">
        <f ca="1">ROUND(VLOOKUP($AW336&amp;"初始",$O$3:$AA$63,MATCH(AZ$3,$O$3:$AA$3,0),FALSE)+((VLOOKUP($AW336&amp;"最终",$O$3:$AA$63,MATCH(AZ$3,$O$3:$AA$3,0),FALSE)*坦克个性化细分!$C$9-VLOOKUP($AW336&amp;"初始",$O$3:$AA$63,MATCH(AZ$3,$O$3:$AA$3,0),FALSE))-(VLOOKUP($AW336&amp;"最终",$O$3:$AA$63,MATCH(AZ$3,$O$3:$AA$3,0),FALSE)-VLOOKUP($AW336&amp;"初始",$O$3:$AA$63,MATCH(AZ$3,$O$3:$AA$3,0),FALSE))*VLOOKUP(VLOOKUP($AW336,坦克个性化设定!$B$18:$E$48,4,FALSE)&amp;$AX336,坦克属性分配比例,MATCH("部件比例",坦克属性分配比例标头,0),FALSE))*$AY336/VLOOKUP(VLOOKUP($AW336,坦克个性化设定!$B$18:$E$48,4,FALSE)&amp;$AX336,坦克属性分配比例,MATCH("升星次数",坦克属性分配比例标头,0),FALSE),0)</f>
        <v>3101</v>
      </c>
      <c r="BA336" s="654">
        <f ca="1">ROUND(VLOOKUP($AW336&amp;"初始",$O$3:$AA$63,MATCH(BA$3,$O$3:$AA$3,0),FALSE)+(VLOOKUP($AW336&amp;"最终",$O$3:$AA$63,MATCH(BA$3,$O$3:$AA$3,0),FALSE)-VLOOKUP($AW336&amp;"初始",$O$3:$AA$63,MATCH(BA$3,$O$3:$AA$3,0),FALSE))*$AY336/VLOOKUP(VLOOKUP($AW336,坦克个性化设定!$B$18:$E$48,4,FALSE)&amp;$AX336,坦克属性分配比例,MATCH("升星次数",坦克属性分配比例标头,0),FALSE)*VLOOKUP(VLOOKUP($AW336,坦克个性化设定!$B$18:$E$48,4,FALSE)&amp;$AX336,坦克属性分配比例,MATCH("升星比例",坦克属性分配比例标头,0),FALSE),0)</f>
        <v>391</v>
      </c>
      <c r="BB336" s="654">
        <f ca="1">ROUND(VLOOKUP($AW336&amp;"初始",$O$3:$AA$63,MATCH(BB$3,$O$3:$AA$3,0),FALSE)+(VLOOKUP($AW336&amp;"最终",$O$3:$AA$63,MATCH(BB$3,$O$3:$AA$3,0),FALSE)-VLOOKUP($AW336&amp;"初始",$O$3:$AA$63,MATCH(BB$3,$O$3:$AA$3,0),FALSE))*$AY336/VLOOKUP(VLOOKUP($AW336,坦克个性化设定!$B$18:$E$48,4,FALSE)&amp;$AX336,坦克属性分配比例,MATCH("升星次数",坦克属性分配比例标头,0),FALSE)*(VLOOKUP(VLOOKUP($AW336,坦克个性化设定!$B$18:$E$48,4,FALSE)&amp;$AX336,坦克属性分配比例,MATCH("升星比例",坦克属性分配比例标头,0),FALSE)+VLOOKUP(VLOOKUP($AW336,坦克个性化设定!$B$18:$E$48,4,FALSE)&amp;$AX336,坦克属性分配比例,MATCH("部件比例",坦克属性分配比例标头,0),FALSE)*$C$3),0)</f>
        <v>842</v>
      </c>
      <c r="BC336" s="654">
        <f ca="1">ROUND(VLOOKUP($AW336&amp;"初始",$O$3:$AA$63,MATCH(BC$3,$O$3:$AA$3,0),FALSE)+(VLOOKUP($AW336&amp;"最终",$O$3:$AA$63,MATCH(BC$3,$O$3:$AA$3,0),FALSE)-VLOOKUP($AW336&amp;"初始",$O$3:$AA$63,MATCH(BC$3,$O$3:$AA$3,0),FALSE))*$AY336/VLOOKUP(VLOOKUP($AW336,坦克个性化设定!$B$18:$E$48,4,FALSE)&amp;$AX336,坦克属性分配比例,MATCH("升星次数",坦克属性分配比例标头,0),FALSE)*(VLOOKUP(VLOOKUP($AW336,坦克个性化设定!$B$18:$E$48,4,FALSE)&amp;$AX336,坦克属性分配比例,MATCH("升星比例",坦克属性分配比例标头,0),FALSE)+VLOOKUP(VLOOKUP($AW336,坦克个性化设定!$B$18:$E$48,4,FALSE)&amp;$AX336,坦克属性分配比例,MATCH("部件比例",坦克属性分配比例标头,0),FALSE)*$C$3),0)</f>
        <v>673</v>
      </c>
      <c r="BD336" s="654">
        <f ca="1">ROUND(VLOOKUP($AW336&amp;"初始",$O$3:$AA$63,MATCH(BD$3,$O$3:$AA$3,0),FALSE)+(VLOOKUP($AW336&amp;"最终",$O$3:$AA$63,MATCH(BD$3,$O$3:$AA$3,0),FALSE)-VLOOKUP($AW336&amp;"初始",$O$3:$AA$63,MATCH(BD$3,$O$3:$AA$3,0),FALSE))*$AY336/VLOOKUP(VLOOKUP($AW336,坦克个性化设定!$B$18:$E$48,4,FALSE)&amp;$AX336,坦克属性分配比例,MATCH("升星次数",坦克属性分配比例标头,0),FALSE)*VLOOKUP(VLOOKUP($AW336,坦克个性化设定!$B$18:$E$48,4,FALSE)&amp;$AX336,坦克属性分配比例,MATCH("升星比例",坦克属性分配比例标头,0),FALSE),0)</f>
        <v>1063</v>
      </c>
      <c r="BE336" s="654">
        <f ca="1">ROUND(VLOOKUP($AW336&amp;"初始",$O$3:$AA$63,MATCH(BE$3,$O$3:$AA$3,0),FALSE)+(VLOOKUP($AW336&amp;"最终",$O$3:$AA$63,MATCH(BE$3,$O$3:$AA$3,0),FALSE)-VLOOKUP($AW336&amp;"初始",$O$3:$AA$63,MATCH(BE$3,$O$3:$AA$3,0),FALSE))*$AY336/VLOOKUP(VLOOKUP($AW336,坦克个性化设定!$B$18:$E$48,4,FALSE)&amp;$AX336,坦克属性分配比例,MATCH("升星次数",坦克属性分配比例标头,0),FALSE),0)</f>
        <v>306</v>
      </c>
      <c r="BF336" s="654">
        <f>ROUND(VLOOKUP($AW336,$AD$3:$AJ$33,MATCH(BF$3,$AD$3:$AJ$3,0),FALSE)+$AY336/VLOOKUP(VLOOKUP($AW336,坦克个性化设定!$B$18:$E$48,4,FALSE)&amp;$AX336,坦克属性分配比例,MATCH("升星次数",坦克属性分配比例标头,0),FALSE)*VLOOKUP($AW336,$AM$3:$AS$33,MATCH(BF$3,$AM$3:$AS$3,0),FALSE),1)</f>
        <v>37.6</v>
      </c>
      <c r="BG336" s="654">
        <f>ROUND(VLOOKUP($AW336,$AD$3:$AJ$33,MATCH(BG$3,$AD$3:$AJ$3,0),FALSE)+$AY336/VLOOKUP(VLOOKUP($AW336,坦克个性化设定!$B$18:$E$48,4,FALSE)&amp;$AX336,坦克属性分配比例,MATCH("升星次数",坦克属性分配比例标头,0),FALSE)*VLOOKUP($AW336,$AM$3:$AS$33,MATCH(BG$3,$AM$3:$AS$3,0),FALSE),1)</f>
        <v>52.5</v>
      </c>
      <c r="BH336" s="654">
        <f>ROUND(VLOOKUP($AW336,$AD$3:$AJ$33,MATCH(BH$3,$AD$3:$AJ$3,0),FALSE)+$AY336/VLOOKUP(VLOOKUP($AW336,坦克个性化设定!$B$18:$E$48,4,FALSE)&amp;$AX336,坦克属性分配比例,MATCH("升星次数",坦克属性分配比例标头,0),FALSE)*VLOOKUP($AW336,$AM$3:$AS$33,MATCH(BH$3,$AM$3:$AS$3,0),FALSE),1)</f>
        <v>11.8</v>
      </c>
      <c r="BI336" s="654">
        <f>IF(VLOOKUP(AW336,坦克个性化设定!$B$18:$BB$48,MATCH("装弹类型",坦克个性化设定!$B$18:$BB$18,0),FALSE)="弹夹换弹",0,ROUND(VLOOKUP($AW336,$AD$3:$AJ$33,MATCH("换弹时间",$AD$3:$AJ$3,0),FALSE)-$AY336/VLOOKUP(VLOOKUP($AW336,坦克个性化设定!$B$18:$E$48,4,FALSE)&amp;$AX336,坦克属性分配比例,MATCH("升星次数",坦克属性分配比例标头,0),FALSE)*VLOOKUP($AW336,$AM$3:$AS$33,MATCH("换弹时间",$AM$3:$AS$3,0),FALSE),2))</f>
        <v>3.69</v>
      </c>
      <c r="BJ336" s="654">
        <f>IF(VLOOKUP(AW336,坦克个性化设定!$B$18:$BB$48,MATCH("装弹类型",坦克个性化设定!$B$18:$BB$18,0),FALSE)="弹夹换弹",ROUND(VLOOKUP($AW336,$AD$3:$AJ$33,MATCH("换弹时间",$AD$3:$AJ$3,0),FALSE)-$AY336/VLOOKUP(VLOOKUP($AW336,坦克个性化设定!$B$18:$E$48,4,FALSE)&amp;$AX336,坦克属性分配比例,MATCH("升星次数",坦克属性分配比例标头,0),FALSE)*VLOOKUP($AW336,$AM$3:$AS$33,MATCH("换弹时间",$AM$3:$AS$3,0),FALSE),1),0)</f>
        <v>0</v>
      </c>
      <c r="BK336" s="654">
        <f>ROUND(VLOOKUP($AW336,$AD$3:$AJ$33,MATCH(BK$3,$AD$3:$AJ$3,0),FALSE)+$AY336/VLOOKUP(VLOOKUP($AW336,坦克个性化设定!$B$18:$E$48,4,FALSE)&amp;$AX336,坦克属性分配比例,MATCH("升星次数",坦克属性分配比例标头,0),FALSE)*VLOOKUP($AW336,$AM$3:$AS$33,MATCH(BK$3,$AM$3:$AS$3,0),FALSE),2)</f>
        <v>2</v>
      </c>
      <c r="BL336" s="654">
        <f>ROUND(VLOOKUP($AW336,$AD$3:$AJ$33,MATCH(BL$3,$AD$3:$AJ$3,0),FALSE)-$AY336/VLOOKUP(VLOOKUP($AW336,坦克个性化设定!$B$18:$E$48,4,FALSE)&amp;$AX336,坦克属性分配比例,MATCH("升星次数",坦克属性分配比例标头,0),FALSE)*VLOOKUP($AW336,$AM$3:$AS$33,MATCH(BL$3,$AM$3:$AS$3,0),FALSE),2)</f>
        <v>1.99</v>
      </c>
    </row>
    <row r="337" spans="47:64" x14ac:dyDescent="0.35">
      <c r="AU337" s="372" t="str">
        <f t="shared" si="33"/>
        <v>IS-413</v>
      </c>
      <c r="AV337" s="654">
        <f>IF(AY336&gt;=VLOOKUP(VLOOKUP(AW336,坦克个性化设定!$B$18:$E$48,4,FALSE)&amp;AX336,坦克属性分配比例,MATCH("升星次数",坦克属性分配比例标头,0),FALSE),AV336+1,AV336)</f>
        <v>28</v>
      </c>
      <c r="AW337" s="649" t="str">
        <f t="shared" si="34"/>
        <v>IS-4</v>
      </c>
      <c r="AX337" s="650" t="str">
        <f>VLOOKUP(AW337,坦克个性化细分!$I$3:$J$33,2,FALSE)</f>
        <v>中</v>
      </c>
      <c r="AY337" s="654">
        <f t="shared" si="35"/>
        <v>13</v>
      </c>
      <c r="AZ337" s="654">
        <f ca="1">ROUND(VLOOKUP($AW337&amp;"初始",$O$3:$AA$63,MATCH(AZ$3,$O$3:$AA$3,0),FALSE)+((VLOOKUP($AW337&amp;"最终",$O$3:$AA$63,MATCH(AZ$3,$O$3:$AA$3,0),FALSE)*坦克个性化细分!$C$9-VLOOKUP($AW337&amp;"初始",$O$3:$AA$63,MATCH(AZ$3,$O$3:$AA$3,0),FALSE))-(VLOOKUP($AW337&amp;"最终",$O$3:$AA$63,MATCH(AZ$3,$O$3:$AA$3,0),FALSE)-VLOOKUP($AW337&amp;"初始",$O$3:$AA$63,MATCH(AZ$3,$O$3:$AA$3,0),FALSE))*VLOOKUP(VLOOKUP($AW337,坦克个性化设定!$B$18:$E$48,4,FALSE)&amp;$AX337,坦克属性分配比例,MATCH("部件比例",坦克属性分配比例标头,0),FALSE))*$AY337/VLOOKUP(VLOOKUP($AW337,坦克个性化设定!$B$18:$E$48,4,FALSE)&amp;$AX337,坦克属性分配比例,MATCH("升星次数",坦克属性分配比例标头,0),FALSE),0)</f>
        <v>3207</v>
      </c>
      <c r="BA337" s="654">
        <f ca="1">ROUND(VLOOKUP($AW337&amp;"初始",$O$3:$AA$63,MATCH(BA$3,$O$3:$AA$3,0),FALSE)+(VLOOKUP($AW337&amp;"最终",$O$3:$AA$63,MATCH(BA$3,$O$3:$AA$3,0),FALSE)-VLOOKUP($AW337&amp;"初始",$O$3:$AA$63,MATCH(BA$3,$O$3:$AA$3,0),FALSE))*$AY337/VLOOKUP(VLOOKUP($AW337,坦克个性化设定!$B$18:$E$48,4,FALSE)&amp;$AX337,坦克属性分配比例,MATCH("升星次数",坦克属性分配比例标头,0),FALSE)*VLOOKUP(VLOOKUP($AW337,坦克个性化设定!$B$18:$E$48,4,FALSE)&amp;$AX337,坦克属性分配比例,MATCH("升星比例",坦克属性分配比例标头,0),FALSE),0)</f>
        <v>399</v>
      </c>
      <c r="BB337" s="654">
        <f ca="1">ROUND(VLOOKUP($AW337&amp;"初始",$O$3:$AA$63,MATCH(BB$3,$O$3:$AA$3,0),FALSE)+(VLOOKUP($AW337&amp;"最终",$O$3:$AA$63,MATCH(BB$3,$O$3:$AA$3,0),FALSE)-VLOOKUP($AW337&amp;"初始",$O$3:$AA$63,MATCH(BB$3,$O$3:$AA$3,0),FALSE))*$AY337/VLOOKUP(VLOOKUP($AW337,坦克个性化设定!$B$18:$E$48,4,FALSE)&amp;$AX337,坦克属性分配比例,MATCH("升星次数",坦克属性分配比例标头,0),FALSE)*(VLOOKUP(VLOOKUP($AW337,坦克个性化设定!$B$18:$E$48,4,FALSE)&amp;$AX337,坦克属性分配比例,MATCH("升星比例",坦克属性分配比例标头,0),FALSE)+VLOOKUP(VLOOKUP($AW337,坦克个性化设定!$B$18:$E$48,4,FALSE)&amp;$AX337,坦克属性分配比例,MATCH("部件比例",坦克属性分配比例标头,0),FALSE)*$C$3),0)</f>
        <v>865</v>
      </c>
      <c r="BC337" s="654">
        <f ca="1">ROUND(VLOOKUP($AW337&amp;"初始",$O$3:$AA$63,MATCH(BC$3,$O$3:$AA$3,0),FALSE)+(VLOOKUP($AW337&amp;"最终",$O$3:$AA$63,MATCH(BC$3,$O$3:$AA$3,0),FALSE)-VLOOKUP($AW337&amp;"初始",$O$3:$AA$63,MATCH(BC$3,$O$3:$AA$3,0),FALSE))*$AY337/VLOOKUP(VLOOKUP($AW337,坦克个性化设定!$B$18:$E$48,4,FALSE)&amp;$AX337,坦克属性分配比例,MATCH("升星次数",坦克属性分配比例标头,0),FALSE)*(VLOOKUP(VLOOKUP($AW337,坦克个性化设定!$B$18:$E$48,4,FALSE)&amp;$AX337,坦克属性分配比例,MATCH("升星比例",坦克属性分配比例标头,0),FALSE)+VLOOKUP(VLOOKUP($AW337,坦克个性化设定!$B$18:$E$48,4,FALSE)&amp;$AX337,坦克属性分配比例,MATCH("部件比例",坦克属性分配比例标头,0),FALSE)*$C$3),0)</f>
        <v>692</v>
      </c>
      <c r="BD337" s="654">
        <f ca="1">ROUND(VLOOKUP($AW337&amp;"初始",$O$3:$AA$63,MATCH(BD$3,$O$3:$AA$3,0),FALSE)+(VLOOKUP($AW337&amp;"最终",$O$3:$AA$63,MATCH(BD$3,$O$3:$AA$3,0),FALSE)-VLOOKUP($AW337&amp;"初始",$O$3:$AA$63,MATCH(BD$3,$O$3:$AA$3,0),FALSE))*$AY337/VLOOKUP(VLOOKUP($AW337,坦克个性化设定!$B$18:$E$48,4,FALSE)&amp;$AX337,坦克属性分配比例,MATCH("升星次数",坦克属性分配比例标头,0),FALSE)*VLOOKUP(VLOOKUP($AW337,坦克个性化设定!$B$18:$E$48,4,FALSE)&amp;$AX337,坦克属性分配比例,MATCH("升星比例",坦克属性分配比例标头,0),FALSE),0)</f>
        <v>1083</v>
      </c>
      <c r="BE337" s="654">
        <f ca="1">ROUND(VLOOKUP($AW337&amp;"初始",$O$3:$AA$63,MATCH(BE$3,$O$3:$AA$3,0),FALSE)+(VLOOKUP($AW337&amp;"最终",$O$3:$AA$63,MATCH(BE$3,$O$3:$AA$3,0),FALSE)-VLOOKUP($AW337&amp;"初始",$O$3:$AA$63,MATCH(BE$3,$O$3:$AA$3,0),FALSE))*$AY337/VLOOKUP(VLOOKUP($AW337,坦克个性化设定!$B$18:$E$48,4,FALSE)&amp;$AX337,坦克属性分配比例,MATCH("升星次数",坦克属性分配比例标头,0),FALSE),0)</f>
        <v>316</v>
      </c>
      <c r="BF337" s="654">
        <f>ROUND(VLOOKUP($AW337,$AD$3:$AJ$33,MATCH(BF$3,$AD$3:$AJ$3,0),FALSE)+$AY337/VLOOKUP(VLOOKUP($AW337,坦克个性化设定!$B$18:$E$48,4,FALSE)&amp;$AX337,坦克属性分配比例,MATCH("升星次数",坦克属性分配比例标头,0),FALSE)*VLOOKUP($AW337,$AM$3:$AS$33,MATCH(BF$3,$AM$3:$AS$3,0),FALSE),1)</f>
        <v>38.1</v>
      </c>
      <c r="BG337" s="654">
        <f>ROUND(VLOOKUP($AW337,$AD$3:$AJ$33,MATCH(BG$3,$AD$3:$AJ$3,0),FALSE)+$AY337/VLOOKUP(VLOOKUP($AW337,坦克个性化设定!$B$18:$E$48,4,FALSE)&amp;$AX337,坦克属性分配比例,MATCH("升星次数",坦克属性分配比例标头,0),FALSE)*VLOOKUP($AW337,$AM$3:$AS$33,MATCH(BG$3,$AM$3:$AS$3,0),FALSE),1)</f>
        <v>53.1</v>
      </c>
      <c r="BH337" s="654">
        <f>ROUND(VLOOKUP($AW337,$AD$3:$AJ$33,MATCH(BH$3,$AD$3:$AJ$3,0),FALSE)+$AY337/VLOOKUP(VLOOKUP($AW337,坦克个性化设定!$B$18:$E$48,4,FALSE)&amp;$AX337,坦克属性分配比例,MATCH("升星次数",坦克属性分配比例标头,0),FALSE)*VLOOKUP($AW337,$AM$3:$AS$33,MATCH(BH$3,$AM$3:$AS$3,0),FALSE),1)</f>
        <v>12</v>
      </c>
      <c r="BI337" s="654">
        <f>IF(VLOOKUP(AW337,坦克个性化设定!$B$18:$BB$48,MATCH("装弹类型",坦克个性化设定!$B$18:$BB$18,0),FALSE)="弹夹换弹",0,ROUND(VLOOKUP($AW337,$AD$3:$AJ$33,MATCH("换弹时间",$AD$3:$AJ$3,0),FALSE)-$AY337/VLOOKUP(VLOOKUP($AW337,坦克个性化设定!$B$18:$E$48,4,FALSE)&amp;$AX337,坦克属性分配比例,MATCH("升星次数",坦克属性分配比例标头,0),FALSE)*VLOOKUP($AW337,$AM$3:$AS$33,MATCH("换弹时间",$AM$3:$AS$3,0),FALSE),2))</f>
        <v>3.62</v>
      </c>
      <c r="BJ337" s="654">
        <f>IF(VLOOKUP(AW337,坦克个性化设定!$B$18:$BB$48,MATCH("装弹类型",坦克个性化设定!$B$18:$BB$18,0),FALSE)="弹夹换弹",ROUND(VLOOKUP($AW337,$AD$3:$AJ$33,MATCH("换弹时间",$AD$3:$AJ$3,0),FALSE)-$AY337/VLOOKUP(VLOOKUP($AW337,坦克个性化设定!$B$18:$E$48,4,FALSE)&amp;$AX337,坦克属性分配比例,MATCH("升星次数",坦克属性分配比例标头,0),FALSE)*VLOOKUP($AW337,$AM$3:$AS$33,MATCH("换弹时间",$AM$3:$AS$3,0),FALSE),1),0)</f>
        <v>0</v>
      </c>
      <c r="BK337" s="654">
        <f>ROUND(VLOOKUP($AW337,$AD$3:$AJ$33,MATCH(BK$3,$AD$3:$AJ$3,0),FALSE)+$AY337/VLOOKUP(VLOOKUP($AW337,坦克个性化设定!$B$18:$E$48,4,FALSE)&amp;$AX337,坦克属性分配比例,MATCH("升星次数",坦克属性分配比例标头,0),FALSE)*VLOOKUP($AW337,$AM$3:$AS$33,MATCH(BK$3,$AM$3:$AS$3,0),FALSE),2)</f>
        <v>2</v>
      </c>
      <c r="BL337" s="654">
        <f>ROUND(VLOOKUP($AW337,$AD$3:$AJ$33,MATCH(BL$3,$AD$3:$AJ$3,0),FALSE)-$AY337/VLOOKUP(VLOOKUP($AW337,坦克个性化设定!$B$18:$E$48,4,FALSE)&amp;$AX337,坦克属性分配比例,MATCH("升星次数",坦克属性分配比例标头,0),FALSE)*VLOOKUP($AW337,$AM$3:$AS$33,MATCH(BL$3,$AM$3:$AS$3,0),FALSE),2)</f>
        <v>1.96</v>
      </c>
    </row>
    <row r="338" spans="47:64" x14ac:dyDescent="0.35">
      <c r="AU338" s="372" t="str">
        <f t="shared" si="33"/>
        <v>IS-414</v>
      </c>
      <c r="AV338" s="654">
        <f>IF(AY337&gt;=VLOOKUP(VLOOKUP(AW337,坦克个性化设定!$B$18:$E$48,4,FALSE)&amp;AX337,坦克属性分配比例,MATCH("升星次数",坦克属性分配比例标头,0),FALSE),AV337+1,AV337)</f>
        <v>28</v>
      </c>
      <c r="AW338" s="649" t="str">
        <f t="shared" si="34"/>
        <v>IS-4</v>
      </c>
      <c r="AX338" s="650" t="str">
        <f>VLOOKUP(AW338,坦克个性化细分!$I$3:$J$33,2,FALSE)</f>
        <v>中</v>
      </c>
      <c r="AY338" s="654">
        <f t="shared" si="35"/>
        <v>14</v>
      </c>
      <c r="AZ338" s="654">
        <f ca="1">ROUND(VLOOKUP($AW338&amp;"初始",$O$3:$AA$63,MATCH(AZ$3,$O$3:$AA$3,0),FALSE)+((VLOOKUP($AW338&amp;"最终",$O$3:$AA$63,MATCH(AZ$3,$O$3:$AA$3,0),FALSE)*坦克个性化细分!$C$9-VLOOKUP($AW338&amp;"初始",$O$3:$AA$63,MATCH(AZ$3,$O$3:$AA$3,0),FALSE))-(VLOOKUP($AW338&amp;"最终",$O$3:$AA$63,MATCH(AZ$3,$O$3:$AA$3,0),FALSE)-VLOOKUP($AW338&amp;"初始",$O$3:$AA$63,MATCH(AZ$3,$O$3:$AA$3,0),FALSE))*VLOOKUP(VLOOKUP($AW338,坦克个性化设定!$B$18:$E$48,4,FALSE)&amp;$AX338,坦克属性分配比例,MATCH("部件比例",坦克属性分配比例标头,0),FALSE))*$AY338/VLOOKUP(VLOOKUP($AW338,坦克个性化设定!$B$18:$E$48,4,FALSE)&amp;$AX338,坦克属性分配比例,MATCH("升星次数",坦克属性分配比例标头,0),FALSE),0)</f>
        <v>3313</v>
      </c>
      <c r="BA338" s="654">
        <f ca="1">ROUND(VLOOKUP($AW338&amp;"初始",$O$3:$AA$63,MATCH(BA$3,$O$3:$AA$3,0),FALSE)+(VLOOKUP($AW338&amp;"最终",$O$3:$AA$63,MATCH(BA$3,$O$3:$AA$3,0),FALSE)-VLOOKUP($AW338&amp;"初始",$O$3:$AA$63,MATCH(BA$3,$O$3:$AA$3,0),FALSE))*$AY338/VLOOKUP(VLOOKUP($AW338,坦克个性化设定!$B$18:$E$48,4,FALSE)&amp;$AX338,坦克属性分配比例,MATCH("升星次数",坦克属性分配比例标头,0),FALSE)*VLOOKUP(VLOOKUP($AW338,坦克个性化设定!$B$18:$E$48,4,FALSE)&amp;$AX338,坦克属性分配比例,MATCH("升星比例",坦克属性分配比例标头,0),FALSE),0)</f>
        <v>406</v>
      </c>
      <c r="BB338" s="654">
        <f ca="1">ROUND(VLOOKUP($AW338&amp;"初始",$O$3:$AA$63,MATCH(BB$3,$O$3:$AA$3,0),FALSE)+(VLOOKUP($AW338&amp;"最终",$O$3:$AA$63,MATCH(BB$3,$O$3:$AA$3,0),FALSE)-VLOOKUP($AW338&amp;"初始",$O$3:$AA$63,MATCH(BB$3,$O$3:$AA$3,0),FALSE))*$AY338/VLOOKUP(VLOOKUP($AW338,坦克个性化设定!$B$18:$E$48,4,FALSE)&amp;$AX338,坦克属性分配比例,MATCH("升星次数",坦克属性分配比例标头,0),FALSE)*(VLOOKUP(VLOOKUP($AW338,坦克个性化设定!$B$18:$E$48,4,FALSE)&amp;$AX338,坦克属性分配比例,MATCH("升星比例",坦克属性分配比例标头,0),FALSE)+VLOOKUP(VLOOKUP($AW338,坦克个性化设定!$B$18:$E$48,4,FALSE)&amp;$AX338,坦克属性分配比例,MATCH("部件比例",坦克属性分配比例标头,0),FALSE)*$C$3),0)</f>
        <v>889</v>
      </c>
      <c r="BC338" s="654">
        <f ca="1">ROUND(VLOOKUP($AW338&amp;"初始",$O$3:$AA$63,MATCH(BC$3,$O$3:$AA$3,0),FALSE)+(VLOOKUP($AW338&amp;"最终",$O$3:$AA$63,MATCH(BC$3,$O$3:$AA$3,0),FALSE)-VLOOKUP($AW338&amp;"初始",$O$3:$AA$63,MATCH(BC$3,$O$3:$AA$3,0),FALSE))*$AY338/VLOOKUP(VLOOKUP($AW338,坦克个性化设定!$B$18:$E$48,4,FALSE)&amp;$AX338,坦克属性分配比例,MATCH("升星次数",坦克属性分配比例标头,0),FALSE)*(VLOOKUP(VLOOKUP($AW338,坦克个性化设定!$B$18:$E$48,4,FALSE)&amp;$AX338,坦克属性分配比例,MATCH("升星比例",坦克属性分配比例标头,0),FALSE)+VLOOKUP(VLOOKUP($AW338,坦克个性化设定!$B$18:$E$48,4,FALSE)&amp;$AX338,坦克属性分配比例,MATCH("部件比例",坦克属性分配比例标头,0),FALSE)*$C$3),0)</f>
        <v>711</v>
      </c>
      <c r="BD338" s="654">
        <f ca="1">ROUND(VLOOKUP($AW338&amp;"初始",$O$3:$AA$63,MATCH(BD$3,$O$3:$AA$3,0),FALSE)+(VLOOKUP($AW338&amp;"最终",$O$3:$AA$63,MATCH(BD$3,$O$3:$AA$3,0),FALSE)-VLOOKUP($AW338&amp;"初始",$O$3:$AA$63,MATCH(BD$3,$O$3:$AA$3,0),FALSE))*$AY338/VLOOKUP(VLOOKUP($AW338,坦克个性化设定!$B$18:$E$48,4,FALSE)&amp;$AX338,坦克属性分配比例,MATCH("升星次数",坦克属性分配比例标头,0),FALSE)*VLOOKUP(VLOOKUP($AW338,坦克个性化设定!$B$18:$E$48,4,FALSE)&amp;$AX338,坦克属性分配比例,MATCH("升星比例",坦克属性分配比例标头,0),FALSE),0)</f>
        <v>1103</v>
      </c>
      <c r="BE338" s="654">
        <f ca="1">ROUND(VLOOKUP($AW338&amp;"初始",$O$3:$AA$63,MATCH(BE$3,$O$3:$AA$3,0),FALSE)+(VLOOKUP($AW338&amp;"最终",$O$3:$AA$63,MATCH(BE$3,$O$3:$AA$3,0),FALSE)-VLOOKUP($AW338&amp;"初始",$O$3:$AA$63,MATCH(BE$3,$O$3:$AA$3,0),FALSE))*$AY338/VLOOKUP(VLOOKUP($AW338,坦克个性化设定!$B$18:$E$48,4,FALSE)&amp;$AX338,坦克属性分配比例,MATCH("升星次数",坦克属性分配比例标头,0),FALSE),0)</f>
        <v>326</v>
      </c>
      <c r="BF338" s="654">
        <f>ROUND(VLOOKUP($AW338,$AD$3:$AJ$33,MATCH(BF$3,$AD$3:$AJ$3,0),FALSE)+$AY338/VLOOKUP(VLOOKUP($AW338,坦克个性化设定!$B$18:$E$48,4,FALSE)&amp;$AX338,坦克属性分配比例,MATCH("升星次数",坦克属性分配比例标头,0),FALSE)*VLOOKUP($AW338,$AM$3:$AS$33,MATCH(BF$3,$AM$3:$AS$3,0),FALSE),1)</f>
        <v>38.6</v>
      </c>
      <c r="BG338" s="654">
        <f>ROUND(VLOOKUP($AW338,$AD$3:$AJ$33,MATCH(BG$3,$AD$3:$AJ$3,0),FALSE)+$AY338/VLOOKUP(VLOOKUP($AW338,坦克个性化设定!$B$18:$E$48,4,FALSE)&amp;$AX338,坦克属性分配比例,MATCH("升星次数",坦克属性分配比例标头,0),FALSE)*VLOOKUP($AW338,$AM$3:$AS$33,MATCH(BG$3,$AM$3:$AS$3,0),FALSE),1)</f>
        <v>53.8</v>
      </c>
      <c r="BH338" s="654">
        <f>ROUND(VLOOKUP($AW338,$AD$3:$AJ$33,MATCH(BH$3,$AD$3:$AJ$3,0),FALSE)+$AY338/VLOOKUP(VLOOKUP($AW338,坦克个性化设定!$B$18:$E$48,4,FALSE)&amp;$AX338,坦克属性分配比例,MATCH("升星次数",坦克属性分配比例标头,0),FALSE)*VLOOKUP($AW338,$AM$3:$AS$33,MATCH(BH$3,$AM$3:$AS$3,0),FALSE),1)</f>
        <v>12.2</v>
      </c>
      <c r="BI338" s="654">
        <f>IF(VLOOKUP(AW338,坦克个性化设定!$B$18:$BB$48,MATCH("装弹类型",坦克个性化设定!$B$18:$BB$18,0),FALSE)="弹夹换弹",0,ROUND(VLOOKUP($AW338,$AD$3:$AJ$33,MATCH("换弹时间",$AD$3:$AJ$3,0),FALSE)-$AY338/VLOOKUP(VLOOKUP($AW338,坦克个性化设定!$B$18:$E$48,4,FALSE)&amp;$AX338,坦克属性分配比例,MATCH("升星次数",坦克属性分配比例标头,0),FALSE)*VLOOKUP($AW338,$AM$3:$AS$33,MATCH("换弹时间",$AM$3:$AS$3,0),FALSE),2))</f>
        <v>3.55</v>
      </c>
      <c r="BJ338" s="654">
        <f>IF(VLOOKUP(AW338,坦克个性化设定!$B$18:$BB$48,MATCH("装弹类型",坦克个性化设定!$B$18:$BB$18,0),FALSE)="弹夹换弹",ROUND(VLOOKUP($AW338,$AD$3:$AJ$33,MATCH("换弹时间",$AD$3:$AJ$3,0),FALSE)-$AY338/VLOOKUP(VLOOKUP($AW338,坦克个性化设定!$B$18:$E$48,4,FALSE)&amp;$AX338,坦克属性分配比例,MATCH("升星次数",坦克属性分配比例标头,0),FALSE)*VLOOKUP($AW338,$AM$3:$AS$33,MATCH("换弹时间",$AM$3:$AS$3,0),FALSE),1),0)</f>
        <v>0</v>
      </c>
      <c r="BK338" s="654">
        <f>ROUND(VLOOKUP($AW338,$AD$3:$AJ$33,MATCH(BK$3,$AD$3:$AJ$3,0),FALSE)+$AY338/VLOOKUP(VLOOKUP($AW338,坦克个性化设定!$B$18:$E$48,4,FALSE)&amp;$AX338,坦克属性分配比例,MATCH("升星次数",坦克属性分配比例标头,0),FALSE)*VLOOKUP($AW338,$AM$3:$AS$33,MATCH(BK$3,$AM$3:$AS$3,0),FALSE),2)</f>
        <v>2</v>
      </c>
      <c r="BL338" s="654">
        <f>ROUND(VLOOKUP($AW338,$AD$3:$AJ$33,MATCH(BL$3,$AD$3:$AJ$3,0),FALSE)-$AY338/VLOOKUP(VLOOKUP($AW338,坦克个性化设定!$B$18:$E$48,4,FALSE)&amp;$AX338,坦克属性分配比例,MATCH("升星次数",坦克属性分配比例标头,0),FALSE)*VLOOKUP($AW338,$AM$3:$AS$33,MATCH(BL$3,$AM$3:$AS$3,0),FALSE),2)</f>
        <v>1.94</v>
      </c>
    </row>
    <row r="339" spans="47:64" x14ac:dyDescent="0.35">
      <c r="AU339" s="372" t="str">
        <f t="shared" si="33"/>
        <v>IS-415</v>
      </c>
      <c r="AV339" s="654">
        <f>IF(AY338&gt;=VLOOKUP(VLOOKUP(AW338,坦克个性化设定!$B$18:$E$48,4,FALSE)&amp;AX338,坦克属性分配比例,MATCH("升星次数",坦克属性分配比例标头,0),FALSE),AV338+1,AV338)</f>
        <v>28</v>
      </c>
      <c r="AW339" s="649" t="str">
        <f t="shared" si="34"/>
        <v>IS-4</v>
      </c>
      <c r="AX339" s="650" t="str">
        <f>VLOOKUP(AW339,坦克个性化细分!$I$3:$J$33,2,FALSE)</f>
        <v>中</v>
      </c>
      <c r="AY339" s="654">
        <f t="shared" si="35"/>
        <v>15</v>
      </c>
      <c r="AZ339" s="654">
        <f ca="1">ROUND(VLOOKUP($AW339&amp;"初始",$O$3:$AA$63,MATCH(AZ$3,$O$3:$AA$3,0),FALSE)+((VLOOKUP($AW339&amp;"最终",$O$3:$AA$63,MATCH(AZ$3,$O$3:$AA$3,0),FALSE)*坦克个性化细分!$C$9-VLOOKUP($AW339&amp;"初始",$O$3:$AA$63,MATCH(AZ$3,$O$3:$AA$3,0),FALSE))-(VLOOKUP($AW339&amp;"最终",$O$3:$AA$63,MATCH(AZ$3,$O$3:$AA$3,0),FALSE)-VLOOKUP($AW339&amp;"初始",$O$3:$AA$63,MATCH(AZ$3,$O$3:$AA$3,0),FALSE))*VLOOKUP(VLOOKUP($AW339,坦克个性化设定!$B$18:$E$48,4,FALSE)&amp;$AX339,坦克属性分配比例,MATCH("部件比例",坦克属性分配比例标头,0),FALSE))*$AY339/VLOOKUP(VLOOKUP($AW339,坦克个性化设定!$B$18:$E$48,4,FALSE)&amp;$AX339,坦克属性分配比例,MATCH("升星次数",坦克属性分配比例标头,0),FALSE),0)</f>
        <v>3419</v>
      </c>
      <c r="BA339" s="654">
        <f ca="1">ROUND(VLOOKUP($AW339&amp;"初始",$O$3:$AA$63,MATCH(BA$3,$O$3:$AA$3,0),FALSE)+(VLOOKUP($AW339&amp;"最终",$O$3:$AA$63,MATCH(BA$3,$O$3:$AA$3,0),FALSE)-VLOOKUP($AW339&amp;"初始",$O$3:$AA$63,MATCH(BA$3,$O$3:$AA$3,0),FALSE))*$AY339/VLOOKUP(VLOOKUP($AW339,坦克个性化设定!$B$18:$E$48,4,FALSE)&amp;$AX339,坦克属性分配比例,MATCH("升星次数",坦克属性分配比例标头,0),FALSE)*VLOOKUP(VLOOKUP($AW339,坦克个性化设定!$B$18:$E$48,4,FALSE)&amp;$AX339,坦克属性分配比例,MATCH("升星比例",坦克属性分配比例标头,0),FALSE),0)</f>
        <v>413</v>
      </c>
      <c r="BB339" s="654">
        <f ca="1">ROUND(VLOOKUP($AW339&amp;"初始",$O$3:$AA$63,MATCH(BB$3,$O$3:$AA$3,0),FALSE)+(VLOOKUP($AW339&amp;"最终",$O$3:$AA$63,MATCH(BB$3,$O$3:$AA$3,0),FALSE)-VLOOKUP($AW339&amp;"初始",$O$3:$AA$63,MATCH(BB$3,$O$3:$AA$3,0),FALSE))*$AY339/VLOOKUP(VLOOKUP($AW339,坦克个性化设定!$B$18:$E$48,4,FALSE)&amp;$AX339,坦克属性分配比例,MATCH("升星次数",坦克属性分配比例标头,0),FALSE)*(VLOOKUP(VLOOKUP($AW339,坦克个性化设定!$B$18:$E$48,4,FALSE)&amp;$AX339,坦克属性分配比例,MATCH("升星比例",坦克属性分配比例标头,0),FALSE)+VLOOKUP(VLOOKUP($AW339,坦克个性化设定!$B$18:$E$48,4,FALSE)&amp;$AX339,坦克属性分配比例,MATCH("部件比例",坦克属性分配比例标头,0),FALSE)*$C$3),0)</f>
        <v>912</v>
      </c>
      <c r="BC339" s="654">
        <f ca="1">ROUND(VLOOKUP($AW339&amp;"初始",$O$3:$AA$63,MATCH(BC$3,$O$3:$AA$3,0),FALSE)+(VLOOKUP($AW339&amp;"最终",$O$3:$AA$63,MATCH(BC$3,$O$3:$AA$3,0),FALSE)-VLOOKUP($AW339&amp;"初始",$O$3:$AA$63,MATCH(BC$3,$O$3:$AA$3,0),FALSE))*$AY339/VLOOKUP(VLOOKUP($AW339,坦克个性化设定!$B$18:$E$48,4,FALSE)&amp;$AX339,坦克属性分配比例,MATCH("升星次数",坦克属性分配比例标头,0),FALSE)*(VLOOKUP(VLOOKUP($AW339,坦克个性化设定!$B$18:$E$48,4,FALSE)&amp;$AX339,坦克属性分配比例,MATCH("升星比例",坦克属性分配比例标头,0),FALSE)+VLOOKUP(VLOOKUP($AW339,坦克个性化设定!$B$18:$E$48,4,FALSE)&amp;$AX339,坦克属性分配比例,MATCH("部件比例",坦克属性分配比例标头,0),FALSE)*$C$3),0)</f>
        <v>730</v>
      </c>
      <c r="BD339" s="654">
        <f ca="1">ROUND(VLOOKUP($AW339&amp;"初始",$O$3:$AA$63,MATCH(BD$3,$O$3:$AA$3,0),FALSE)+(VLOOKUP($AW339&amp;"最终",$O$3:$AA$63,MATCH(BD$3,$O$3:$AA$3,0),FALSE)-VLOOKUP($AW339&amp;"初始",$O$3:$AA$63,MATCH(BD$3,$O$3:$AA$3,0),FALSE))*$AY339/VLOOKUP(VLOOKUP($AW339,坦克个性化设定!$B$18:$E$48,4,FALSE)&amp;$AX339,坦克属性分配比例,MATCH("升星次数",坦克属性分配比例标头,0),FALSE)*VLOOKUP(VLOOKUP($AW339,坦克个性化设定!$B$18:$E$48,4,FALSE)&amp;$AX339,坦克属性分配比例,MATCH("升星比例",坦克属性分配比例标头,0),FALSE),0)</f>
        <v>1123</v>
      </c>
      <c r="BE339" s="654">
        <f ca="1">ROUND(VLOOKUP($AW339&amp;"初始",$O$3:$AA$63,MATCH(BE$3,$O$3:$AA$3,0),FALSE)+(VLOOKUP($AW339&amp;"最终",$O$3:$AA$63,MATCH(BE$3,$O$3:$AA$3,0),FALSE)-VLOOKUP($AW339&amp;"初始",$O$3:$AA$63,MATCH(BE$3,$O$3:$AA$3,0),FALSE))*$AY339/VLOOKUP(VLOOKUP($AW339,坦克个性化设定!$B$18:$E$48,4,FALSE)&amp;$AX339,坦克属性分配比例,MATCH("升星次数",坦克属性分配比例标头,0),FALSE),0)</f>
        <v>336</v>
      </c>
      <c r="BF339" s="654">
        <f>ROUND(VLOOKUP($AW339,$AD$3:$AJ$33,MATCH(BF$3,$AD$3:$AJ$3,0),FALSE)+$AY339/VLOOKUP(VLOOKUP($AW339,坦克个性化设定!$B$18:$E$48,4,FALSE)&amp;$AX339,坦克属性分配比例,MATCH("升星次数",坦克属性分配比例标头,0),FALSE)*VLOOKUP($AW339,$AM$3:$AS$33,MATCH(BF$3,$AM$3:$AS$3,0),FALSE),1)</f>
        <v>39.1</v>
      </c>
      <c r="BG339" s="654">
        <f>ROUND(VLOOKUP($AW339,$AD$3:$AJ$33,MATCH(BG$3,$AD$3:$AJ$3,0),FALSE)+$AY339/VLOOKUP(VLOOKUP($AW339,坦克个性化设定!$B$18:$E$48,4,FALSE)&amp;$AX339,坦克属性分配比例,MATCH("升星次数",坦克属性分配比例标头,0),FALSE)*VLOOKUP($AW339,$AM$3:$AS$33,MATCH(BG$3,$AM$3:$AS$3,0),FALSE),1)</f>
        <v>54.4</v>
      </c>
      <c r="BH339" s="654">
        <f>ROUND(VLOOKUP($AW339,$AD$3:$AJ$33,MATCH(BH$3,$AD$3:$AJ$3,0),FALSE)+$AY339/VLOOKUP(VLOOKUP($AW339,坦克个性化设定!$B$18:$E$48,4,FALSE)&amp;$AX339,坦克属性分配比例,MATCH("升星次数",坦克属性分配比例标头,0),FALSE)*VLOOKUP($AW339,$AM$3:$AS$33,MATCH(BH$3,$AM$3:$AS$3,0),FALSE),1)</f>
        <v>12.4</v>
      </c>
      <c r="BI339" s="654">
        <f>IF(VLOOKUP(AW339,坦克个性化设定!$B$18:$BB$48,MATCH("装弹类型",坦克个性化设定!$B$18:$BB$18,0),FALSE)="弹夹换弹",0,ROUND(VLOOKUP($AW339,$AD$3:$AJ$33,MATCH("换弹时间",$AD$3:$AJ$3,0),FALSE)-$AY339/VLOOKUP(VLOOKUP($AW339,坦克个性化设定!$B$18:$E$48,4,FALSE)&amp;$AX339,坦克属性分配比例,MATCH("升星次数",坦克属性分配比例标头,0),FALSE)*VLOOKUP($AW339,$AM$3:$AS$33,MATCH("换弹时间",$AM$3:$AS$3,0),FALSE),2))</f>
        <v>3.48</v>
      </c>
      <c r="BJ339" s="654">
        <f>IF(VLOOKUP(AW339,坦克个性化设定!$B$18:$BB$48,MATCH("装弹类型",坦克个性化设定!$B$18:$BB$18,0),FALSE)="弹夹换弹",ROUND(VLOOKUP($AW339,$AD$3:$AJ$33,MATCH("换弹时间",$AD$3:$AJ$3,0),FALSE)-$AY339/VLOOKUP(VLOOKUP($AW339,坦克个性化设定!$B$18:$E$48,4,FALSE)&amp;$AX339,坦克属性分配比例,MATCH("升星次数",坦克属性分配比例标头,0),FALSE)*VLOOKUP($AW339,$AM$3:$AS$33,MATCH("换弹时间",$AM$3:$AS$3,0),FALSE),1),0)</f>
        <v>0</v>
      </c>
      <c r="BK339" s="654">
        <f>ROUND(VLOOKUP($AW339,$AD$3:$AJ$33,MATCH(BK$3,$AD$3:$AJ$3,0),FALSE)+$AY339/VLOOKUP(VLOOKUP($AW339,坦克个性化设定!$B$18:$E$48,4,FALSE)&amp;$AX339,坦克属性分配比例,MATCH("升星次数",坦克属性分配比例标头,0),FALSE)*VLOOKUP($AW339,$AM$3:$AS$33,MATCH(BK$3,$AM$3:$AS$3,0),FALSE),2)</f>
        <v>2</v>
      </c>
      <c r="BL339" s="654">
        <f>ROUND(VLOOKUP($AW339,$AD$3:$AJ$33,MATCH(BL$3,$AD$3:$AJ$3,0),FALSE)-$AY339/VLOOKUP(VLOOKUP($AW339,坦克个性化设定!$B$18:$E$48,4,FALSE)&amp;$AX339,坦克属性分配比例,MATCH("升星次数",坦克属性分配比例标头,0),FALSE)*VLOOKUP($AW339,$AM$3:$AS$33,MATCH(BL$3,$AM$3:$AS$3,0),FALSE),2)</f>
        <v>1.92</v>
      </c>
    </row>
    <row r="340" spans="47:64" x14ac:dyDescent="0.35">
      <c r="AU340" s="372" t="str">
        <f t="shared" si="33"/>
        <v>IS-416</v>
      </c>
      <c r="AV340" s="654">
        <f>IF(AY339&gt;=VLOOKUP(VLOOKUP(AW339,坦克个性化设定!$B$18:$E$48,4,FALSE)&amp;AX339,坦克属性分配比例,MATCH("升星次数",坦克属性分配比例标头,0),FALSE),AV339+1,AV339)</f>
        <v>28</v>
      </c>
      <c r="AW340" s="649" t="str">
        <f t="shared" si="34"/>
        <v>IS-4</v>
      </c>
      <c r="AX340" s="650" t="str">
        <f>VLOOKUP(AW340,坦克个性化细分!$I$3:$J$33,2,FALSE)</f>
        <v>中</v>
      </c>
      <c r="AY340" s="654">
        <f t="shared" si="35"/>
        <v>16</v>
      </c>
      <c r="AZ340" s="654">
        <f ca="1">ROUND(VLOOKUP($AW340&amp;"初始",$O$3:$AA$63,MATCH(AZ$3,$O$3:$AA$3,0),FALSE)+((VLOOKUP($AW340&amp;"最终",$O$3:$AA$63,MATCH(AZ$3,$O$3:$AA$3,0),FALSE)*坦克个性化细分!$C$9-VLOOKUP($AW340&amp;"初始",$O$3:$AA$63,MATCH(AZ$3,$O$3:$AA$3,0),FALSE))-(VLOOKUP($AW340&amp;"最终",$O$3:$AA$63,MATCH(AZ$3,$O$3:$AA$3,0),FALSE)-VLOOKUP($AW340&amp;"初始",$O$3:$AA$63,MATCH(AZ$3,$O$3:$AA$3,0),FALSE))*VLOOKUP(VLOOKUP($AW340,坦克个性化设定!$B$18:$E$48,4,FALSE)&amp;$AX340,坦克属性分配比例,MATCH("部件比例",坦克属性分配比例标头,0),FALSE))*$AY340/VLOOKUP(VLOOKUP($AW340,坦克个性化设定!$B$18:$E$48,4,FALSE)&amp;$AX340,坦克属性分配比例,MATCH("升星次数",坦克属性分配比例标头,0),FALSE),0)</f>
        <v>3525</v>
      </c>
      <c r="BA340" s="654">
        <f ca="1">ROUND(VLOOKUP($AW340&amp;"初始",$O$3:$AA$63,MATCH(BA$3,$O$3:$AA$3,0),FALSE)+(VLOOKUP($AW340&amp;"最终",$O$3:$AA$63,MATCH(BA$3,$O$3:$AA$3,0),FALSE)-VLOOKUP($AW340&amp;"初始",$O$3:$AA$63,MATCH(BA$3,$O$3:$AA$3,0),FALSE))*$AY340/VLOOKUP(VLOOKUP($AW340,坦克个性化设定!$B$18:$E$48,4,FALSE)&amp;$AX340,坦克属性分配比例,MATCH("升星次数",坦克属性分配比例标头,0),FALSE)*VLOOKUP(VLOOKUP($AW340,坦克个性化设定!$B$18:$E$48,4,FALSE)&amp;$AX340,坦克属性分配比例,MATCH("升星比例",坦克属性分配比例标头,0),FALSE),0)</f>
        <v>421</v>
      </c>
      <c r="BB340" s="654">
        <f ca="1">ROUND(VLOOKUP($AW340&amp;"初始",$O$3:$AA$63,MATCH(BB$3,$O$3:$AA$3,0),FALSE)+(VLOOKUP($AW340&amp;"最终",$O$3:$AA$63,MATCH(BB$3,$O$3:$AA$3,0),FALSE)-VLOOKUP($AW340&amp;"初始",$O$3:$AA$63,MATCH(BB$3,$O$3:$AA$3,0),FALSE))*$AY340/VLOOKUP(VLOOKUP($AW340,坦克个性化设定!$B$18:$E$48,4,FALSE)&amp;$AX340,坦克属性分配比例,MATCH("升星次数",坦克属性分配比例标头,0),FALSE)*(VLOOKUP(VLOOKUP($AW340,坦克个性化设定!$B$18:$E$48,4,FALSE)&amp;$AX340,坦克属性分配比例,MATCH("升星比例",坦克属性分配比例标头,0),FALSE)+VLOOKUP(VLOOKUP($AW340,坦克个性化设定!$B$18:$E$48,4,FALSE)&amp;$AX340,坦克属性分配比例,MATCH("部件比例",坦克属性分配比例标头,0),FALSE)*$C$3),0)</f>
        <v>936</v>
      </c>
      <c r="BC340" s="654">
        <f ca="1">ROUND(VLOOKUP($AW340&amp;"初始",$O$3:$AA$63,MATCH(BC$3,$O$3:$AA$3,0),FALSE)+(VLOOKUP($AW340&amp;"最终",$O$3:$AA$63,MATCH(BC$3,$O$3:$AA$3,0),FALSE)-VLOOKUP($AW340&amp;"初始",$O$3:$AA$63,MATCH(BC$3,$O$3:$AA$3,0),FALSE))*$AY340/VLOOKUP(VLOOKUP($AW340,坦克个性化设定!$B$18:$E$48,4,FALSE)&amp;$AX340,坦克属性分配比例,MATCH("升星次数",坦克属性分配比例标头,0),FALSE)*(VLOOKUP(VLOOKUP($AW340,坦克个性化设定!$B$18:$E$48,4,FALSE)&amp;$AX340,坦克属性分配比例,MATCH("升星比例",坦克属性分配比例标头,0),FALSE)+VLOOKUP(VLOOKUP($AW340,坦克个性化设定!$B$18:$E$48,4,FALSE)&amp;$AX340,坦克属性分配比例,MATCH("部件比例",坦克属性分配比例标头,0),FALSE)*$C$3),0)</f>
        <v>749</v>
      </c>
      <c r="BD340" s="654">
        <f ca="1">ROUND(VLOOKUP($AW340&amp;"初始",$O$3:$AA$63,MATCH(BD$3,$O$3:$AA$3,0),FALSE)+(VLOOKUP($AW340&amp;"最终",$O$3:$AA$63,MATCH(BD$3,$O$3:$AA$3,0),FALSE)-VLOOKUP($AW340&amp;"初始",$O$3:$AA$63,MATCH(BD$3,$O$3:$AA$3,0),FALSE))*$AY340/VLOOKUP(VLOOKUP($AW340,坦克个性化设定!$B$18:$E$48,4,FALSE)&amp;$AX340,坦克属性分配比例,MATCH("升星次数",坦克属性分配比例标头,0),FALSE)*VLOOKUP(VLOOKUP($AW340,坦克个性化设定!$B$18:$E$48,4,FALSE)&amp;$AX340,坦克属性分配比例,MATCH("升星比例",坦克属性分配比例标头,0),FALSE),0)</f>
        <v>1143</v>
      </c>
      <c r="BE340" s="654">
        <f ca="1">ROUND(VLOOKUP($AW340&amp;"初始",$O$3:$AA$63,MATCH(BE$3,$O$3:$AA$3,0),FALSE)+(VLOOKUP($AW340&amp;"最终",$O$3:$AA$63,MATCH(BE$3,$O$3:$AA$3,0),FALSE)-VLOOKUP($AW340&amp;"初始",$O$3:$AA$63,MATCH(BE$3,$O$3:$AA$3,0),FALSE))*$AY340/VLOOKUP(VLOOKUP($AW340,坦克个性化设定!$B$18:$E$48,4,FALSE)&amp;$AX340,坦克属性分配比例,MATCH("升星次数",坦克属性分配比例标头,0),FALSE),0)</f>
        <v>346</v>
      </c>
      <c r="BF340" s="654">
        <f>ROUND(VLOOKUP($AW340,$AD$3:$AJ$33,MATCH(BF$3,$AD$3:$AJ$3,0),FALSE)+$AY340/VLOOKUP(VLOOKUP($AW340,坦克个性化设定!$B$18:$E$48,4,FALSE)&amp;$AX340,坦克属性分配比例,MATCH("升星次数",坦克属性分配比例标头,0),FALSE)*VLOOKUP($AW340,$AM$3:$AS$33,MATCH(BF$3,$AM$3:$AS$3,0),FALSE),1)</f>
        <v>39.5</v>
      </c>
      <c r="BG340" s="654">
        <f>ROUND(VLOOKUP($AW340,$AD$3:$AJ$33,MATCH(BG$3,$AD$3:$AJ$3,0),FALSE)+$AY340/VLOOKUP(VLOOKUP($AW340,坦克个性化设定!$B$18:$E$48,4,FALSE)&amp;$AX340,坦克属性分配比例,MATCH("升星次数",坦克属性分配比例标头,0),FALSE)*VLOOKUP($AW340,$AM$3:$AS$33,MATCH(BG$3,$AM$3:$AS$3,0),FALSE),1)</f>
        <v>55.1</v>
      </c>
      <c r="BH340" s="654">
        <f>ROUND(VLOOKUP($AW340,$AD$3:$AJ$33,MATCH(BH$3,$AD$3:$AJ$3,0),FALSE)+$AY340/VLOOKUP(VLOOKUP($AW340,坦克个性化设定!$B$18:$E$48,4,FALSE)&amp;$AX340,坦克属性分配比例,MATCH("升星次数",坦克属性分配比例标头,0),FALSE)*VLOOKUP($AW340,$AM$3:$AS$33,MATCH(BH$3,$AM$3:$AS$3,0),FALSE),1)</f>
        <v>12.6</v>
      </c>
      <c r="BI340" s="654">
        <f>IF(VLOOKUP(AW340,坦克个性化设定!$B$18:$BB$48,MATCH("装弹类型",坦克个性化设定!$B$18:$BB$18,0),FALSE)="弹夹换弹",0,ROUND(VLOOKUP($AW340,$AD$3:$AJ$33,MATCH("换弹时间",$AD$3:$AJ$3,0),FALSE)-$AY340/VLOOKUP(VLOOKUP($AW340,坦克个性化设定!$B$18:$E$48,4,FALSE)&amp;$AX340,坦克属性分配比例,MATCH("升星次数",坦克属性分配比例标头,0),FALSE)*VLOOKUP($AW340,$AM$3:$AS$33,MATCH("换弹时间",$AM$3:$AS$3,0),FALSE),2))</f>
        <v>3.41</v>
      </c>
      <c r="BJ340" s="654">
        <f>IF(VLOOKUP(AW340,坦克个性化设定!$B$18:$BB$48,MATCH("装弹类型",坦克个性化设定!$B$18:$BB$18,0),FALSE)="弹夹换弹",ROUND(VLOOKUP($AW340,$AD$3:$AJ$33,MATCH("换弹时间",$AD$3:$AJ$3,0),FALSE)-$AY340/VLOOKUP(VLOOKUP($AW340,坦克个性化设定!$B$18:$E$48,4,FALSE)&amp;$AX340,坦克属性分配比例,MATCH("升星次数",坦克属性分配比例标头,0),FALSE)*VLOOKUP($AW340,$AM$3:$AS$33,MATCH("换弹时间",$AM$3:$AS$3,0),FALSE),1),0)</f>
        <v>0</v>
      </c>
      <c r="BK340" s="654">
        <f>ROUND(VLOOKUP($AW340,$AD$3:$AJ$33,MATCH(BK$3,$AD$3:$AJ$3,0),FALSE)+$AY340/VLOOKUP(VLOOKUP($AW340,坦克个性化设定!$B$18:$E$48,4,FALSE)&amp;$AX340,坦克属性分配比例,MATCH("升星次数",坦克属性分配比例标头,0),FALSE)*VLOOKUP($AW340,$AM$3:$AS$33,MATCH(BK$3,$AM$3:$AS$3,0),FALSE),2)</f>
        <v>2</v>
      </c>
      <c r="BL340" s="654">
        <f>ROUND(VLOOKUP($AW340,$AD$3:$AJ$33,MATCH(BL$3,$AD$3:$AJ$3,0),FALSE)-$AY340/VLOOKUP(VLOOKUP($AW340,坦克个性化设定!$B$18:$E$48,4,FALSE)&amp;$AX340,坦克属性分配比例,MATCH("升星次数",坦克属性分配比例标头,0),FALSE)*VLOOKUP($AW340,$AM$3:$AS$33,MATCH(BL$3,$AM$3:$AS$3,0),FALSE),2)</f>
        <v>1.9</v>
      </c>
    </row>
    <row r="341" spans="47:64" x14ac:dyDescent="0.35">
      <c r="AU341" s="372" t="str">
        <f t="shared" si="33"/>
        <v>IS-417</v>
      </c>
      <c r="AV341" s="654">
        <f>IF(AY340&gt;=VLOOKUP(VLOOKUP(AW340,坦克个性化设定!$B$18:$E$48,4,FALSE)&amp;AX340,坦克属性分配比例,MATCH("升星次数",坦克属性分配比例标头,0),FALSE),AV340+1,AV340)</f>
        <v>28</v>
      </c>
      <c r="AW341" s="649" t="str">
        <f t="shared" si="34"/>
        <v>IS-4</v>
      </c>
      <c r="AX341" s="650" t="str">
        <f>VLOOKUP(AW341,坦克个性化细分!$I$3:$J$33,2,FALSE)</f>
        <v>中</v>
      </c>
      <c r="AY341" s="654">
        <f t="shared" si="35"/>
        <v>17</v>
      </c>
      <c r="AZ341" s="654">
        <f ca="1">ROUND(VLOOKUP($AW341&amp;"初始",$O$3:$AA$63,MATCH(AZ$3,$O$3:$AA$3,0),FALSE)+((VLOOKUP($AW341&amp;"最终",$O$3:$AA$63,MATCH(AZ$3,$O$3:$AA$3,0),FALSE)*坦克个性化细分!$C$9-VLOOKUP($AW341&amp;"初始",$O$3:$AA$63,MATCH(AZ$3,$O$3:$AA$3,0),FALSE))-(VLOOKUP($AW341&amp;"最终",$O$3:$AA$63,MATCH(AZ$3,$O$3:$AA$3,0),FALSE)-VLOOKUP($AW341&amp;"初始",$O$3:$AA$63,MATCH(AZ$3,$O$3:$AA$3,0),FALSE))*VLOOKUP(VLOOKUP($AW341,坦克个性化设定!$B$18:$E$48,4,FALSE)&amp;$AX341,坦克属性分配比例,MATCH("部件比例",坦克属性分配比例标头,0),FALSE))*$AY341/VLOOKUP(VLOOKUP($AW341,坦克个性化设定!$B$18:$E$48,4,FALSE)&amp;$AX341,坦克属性分配比例,MATCH("升星次数",坦克属性分配比例标头,0),FALSE),0)</f>
        <v>3631</v>
      </c>
      <c r="BA341" s="654">
        <f ca="1">ROUND(VLOOKUP($AW341&amp;"初始",$O$3:$AA$63,MATCH(BA$3,$O$3:$AA$3,0),FALSE)+(VLOOKUP($AW341&amp;"最终",$O$3:$AA$63,MATCH(BA$3,$O$3:$AA$3,0),FALSE)-VLOOKUP($AW341&amp;"初始",$O$3:$AA$63,MATCH(BA$3,$O$3:$AA$3,0),FALSE))*$AY341/VLOOKUP(VLOOKUP($AW341,坦克个性化设定!$B$18:$E$48,4,FALSE)&amp;$AX341,坦克属性分配比例,MATCH("升星次数",坦克属性分配比例标头,0),FALSE)*VLOOKUP(VLOOKUP($AW341,坦克个性化设定!$B$18:$E$48,4,FALSE)&amp;$AX341,坦克属性分配比例,MATCH("升星比例",坦克属性分配比例标头,0),FALSE),0)</f>
        <v>428</v>
      </c>
      <c r="BB341" s="654">
        <f ca="1">ROUND(VLOOKUP($AW341&amp;"初始",$O$3:$AA$63,MATCH(BB$3,$O$3:$AA$3,0),FALSE)+(VLOOKUP($AW341&amp;"最终",$O$3:$AA$63,MATCH(BB$3,$O$3:$AA$3,0),FALSE)-VLOOKUP($AW341&amp;"初始",$O$3:$AA$63,MATCH(BB$3,$O$3:$AA$3,0),FALSE))*$AY341/VLOOKUP(VLOOKUP($AW341,坦克个性化设定!$B$18:$E$48,4,FALSE)&amp;$AX341,坦克属性分配比例,MATCH("升星次数",坦克属性分配比例标头,0),FALSE)*(VLOOKUP(VLOOKUP($AW341,坦克个性化设定!$B$18:$E$48,4,FALSE)&amp;$AX341,坦克属性分配比例,MATCH("升星比例",坦克属性分配比例标头,0),FALSE)+VLOOKUP(VLOOKUP($AW341,坦克个性化设定!$B$18:$E$48,4,FALSE)&amp;$AX341,坦克属性分配比例,MATCH("部件比例",坦克属性分配比例标头,0),FALSE)*$C$3),0)</f>
        <v>959</v>
      </c>
      <c r="BC341" s="654">
        <f ca="1">ROUND(VLOOKUP($AW341&amp;"初始",$O$3:$AA$63,MATCH(BC$3,$O$3:$AA$3,0),FALSE)+(VLOOKUP($AW341&amp;"最终",$O$3:$AA$63,MATCH(BC$3,$O$3:$AA$3,0),FALSE)-VLOOKUP($AW341&amp;"初始",$O$3:$AA$63,MATCH(BC$3,$O$3:$AA$3,0),FALSE))*$AY341/VLOOKUP(VLOOKUP($AW341,坦克个性化设定!$B$18:$E$48,4,FALSE)&amp;$AX341,坦克属性分配比例,MATCH("升星次数",坦克属性分配比例标头,0),FALSE)*(VLOOKUP(VLOOKUP($AW341,坦克个性化设定!$B$18:$E$48,4,FALSE)&amp;$AX341,坦克属性分配比例,MATCH("升星比例",坦克属性分配比例标头,0),FALSE)+VLOOKUP(VLOOKUP($AW341,坦克个性化设定!$B$18:$E$48,4,FALSE)&amp;$AX341,坦克属性分配比例,MATCH("部件比例",坦克属性分配比例标头,0),FALSE)*$C$3),0)</f>
        <v>767</v>
      </c>
      <c r="BD341" s="654">
        <f ca="1">ROUND(VLOOKUP($AW341&amp;"初始",$O$3:$AA$63,MATCH(BD$3,$O$3:$AA$3,0),FALSE)+(VLOOKUP($AW341&amp;"最终",$O$3:$AA$63,MATCH(BD$3,$O$3:$AA$3,0),FALSE)-VLOOKUP($AW341&amp;"初始",$O$3:$AA$63,MATCH(BD$3,$O$3:$AA$3,0),FALSE))*$AY341/VLOOKUP(VLOOKUP($AW341,坦克个性化设定!$B$18:$E$48,4,FALSE)&amp;$AX341,坦克属性分配比例,MATCH("升星次数",坦克属性分配比例标头,0),FALSE)*VLOOKUP(VLOOKUP($AW341,坦克个性化设定!$B$18:$E$48,4,FALSE)&amp;$AX341,坦克属性分配比例,MATCH("升星比例",坦克属性分配比例标头,0),FALSE),0)</f>
        <v>1163</v>
      </c>
      <c r="BE341" s="654">
        <f ca="1">ROUND(VLOOKUP($AW341&amp;"初始",$O$3:$AA$63,MATCH(BE$3,$O$3:$AA$3,0),FALSE)+(VLOOKUP($AW341&amp;"最终",$O$3:$AA$63,MATCH(BE$3,$O$3:$AA$3,0),FALSE)-VLOOKUP($AW341&amp;"初始",$O$3:$AA$63,MATCH(BE$3,$O$3:$AA$3,0),FALSE))*$AY341/VLOOKUP(VLOOKUP($AW341,坦克个性化设定!$B$18:$E$48,4,FALSE)&amp;$AX341,坦克属性分配比例,MATCH("升星次数",坦克属性分配比例标头,0),FALSE),0)</f>
        <v>356</v>
      </c>
      <c r="BF341" s="654">
        <f>ROUND(VLOOKUP($AW341,$AD$3:$AJ$33,MATCH(BF$3,$AD$3:$AJ$3,0),FALSE)+$AY341/VLOOKUP(VLOOKUP($AW341,坦克个性化设定!$B$18:$E$48,4,FALSE)&amp;$AX341,坦克属性分配比例,MATCH("升星次数",坦克属性分配比例标头,0),FALSE)*VLOOKUP($AW341,$AM$3:$AS$33,MATCH(BF$3,$AM$3:$AS$3,0),FALSE),1)</f>
        <v>40</v>
      </c>
      <c r="BG341" s="654">
        <f>ROUND(VLOOKUP($AW341,$AD$3:$AJ$33,MATCH(BG$3,$AD$3:$AJ$3,0),FALSE)+$AY341/VLOOKUP(VLOOKUP($AW341,坦克个性化设定!$B$18:$E$48,4,FALSE)&amp;$AX341,坦克属性分配比例,MATCH("升星次数",坦克属性分配比例标头,0),FALSE)*VLOOKUP($AW341,$AM$3:$AS$33,MATCH(BG$3,$AM$3:$AS$3,0),FALSE),1)</f>
        <v>55.8</v>
      </c>
      <c r="BH341" s="654">
        <f>ROUND(VLOOKUP($AW341,$AD$3:$AJ$33,MATCH(BH$3,$AD$3:$AJ$3,0),FALSE)+$AY341/VLOOKUP(VLOOKUP($AW341,坦克个性化设定!$B$18:$E$48,4,FALSE)&amp;$AX341,坦克属性分配比例,MATCH("升星次数",坦克属性分配比例标头,0),FALSE)*VLOOKUP($AW341,$AM$3:$AS$33,MATCH(BH$3,$AM$3:$AS$3,0),FALSE),1)</f>
        <v>12.7</v>
      </c>
      <c r="BI341" s="654">
        <f>IF(VLOOKUP(AW341,坦克个性化设定!$B$18:$BB$48,MATCH("装弹类型",坦克个性化设定!$B$18:$BB$18,0),FALSE)="弹夹换弹",0,ROUND(VLOOKUP($AW341,$AD$3:$AJ$33,MATCH("换弹时间",$AD$3:$AJ$3,0),FALSE)-$AY341/VLOOKUP(VLOOKUP($AW341,坦克个性化设定!$B$18:$E$48,4,FALSE)&amp;$AX341,坦克属性分配比例,MATCH("升星次数",坦克属性分配比例标头,0),FALSE)*VLOOKUP($AW341,$AM$3:$AS$33,MATCH("换弹时间",$AM$3:$AS$3,0),FALSE),2))</f>
        <v>3.35</v>
      </c>
      <c r="BJ341" s="654">
        <f>IF(VLOOKUP(AW341,坦克个性化设定!$B$18:$BB$48,MATCH("装弹类型",坦克个性化设定!$B$18:$BB$18,0),FALSE)="弹夹换弹",ROUND(VLOOKUP($AW341,$AD$3:$AJ$33,MATCH("换弹时间",$AD$3:$AJ$3,0),FALSE)-$AY341/VLOOKUP(VLOOKUP($AW341,坦克个性化设定!$B$18:$E$48,4,FALSE)&amp;$AX341,坦克属性分配比例,MATCH("升星次数",坦克属性分配比例标头,0),FALSE)*VLOOKUP($AW341,$AM$3:$AS$33,MATCH("换弹时间",$AM$3:$AS$3,0),FALSE),1),0)</f>
        <v>0</v>
      </c>
      <c r="BK341" s="654">
        <f>ROUND(VLOOKUP($AW341,$AD$3:$AJ$33,MATCH(BK$3,$AD$3:$AJ$3,0),FALSE)+$AY341/VLOOKUP(VLOOKUP($AW341,坦克个性化设定!$B$18:$E$48,4,FALSE)&amp;$AX341,坦克属性分配比例,MATCH("升星次数",坦克属性分配比例标头,0),FALSE)*VLOOKUP($AW341,$AM$3:$AS$33,MATCH(BK$3,$AM$3:$AS$3,0),FALSE),2)</f>
        <v>2</v>
      </c>
      <c r="BL341" s="654">
        <f>ROUND(VLOOKUP($AW341,$AD$3:$AJ$33,MATCH(BL$3,$AD$3:$AJ$3,0),FALSE)-$AY341/VLOOKUP(VLOOKUP($AW341,坦克个性化设定!$B$18:$E$48,4,FALSE)&amp;$AX341,坦克属性分配比例,MATCH("升星次数",坦克属性分配比例标头,0),FALSE)*VLOOKUP($AW341,$AM$3:$AS$33,MATCH(BL$3,$AM$3:$AS$3,0),FALSE),2)</f>
        <v>1.88</v>
      </c>
    </row>
    <row r="342" spans="47:64" x14ac:dyDescent="0.35">
      <c r="AU342" s="372" t="str">
        <f t="shared" si="33"/>
        <v>T-320</v>
      </c>
      <c r="AV342" s="654">
        <f>IF(AY341&gt;=VLOOKUP(VLOOKUP(AW341,坦克个性化设定!$B$18:$E$48,4,FALSE)&amp;AX341,坦克属性分配比例,MATCH("升星次数",坦克属性分配比例标头,0),FALSE),AV341+1,AV341)</f>
        <v>29</v>
      </c>
      <c r="AW342" s="649" t="str">
        <f t="shared" si="34"/>
        <v>T-32</v>
      </c>
      <c r="AX342" s="650" t="str">
        <f>VLOOKUP(AW342,坦克个性化细分!$I$3:$J$33,2,FALSE)</f>
        <v>高</v>
      </c>
      <c r="AY342" s="654">
        <f t="shared" si="35"/>
        <v>0</v>
      </c>
      <c r="AZ342" s="654">
        <f ca="1">ROUND(VLOOKUP($AW342&amp;"初始",$O$3:$AA$63,MATCH(AZ$3,$O$3:$AA$3,0),FALSE)+((VLOOKUP($AW342&amp;"最终",$O$3:$AA$63,MATCH(AZ$3,$O$3:$AA$3,0),FALSE)*坦克个性化细分!$C$9-VLOOKUP($AW342&amp;"初始",$O$3:$AA$63,MATCH(AZ$3,$O$3:$AA$3,0),FALSE))-(VLOOKUP($AW342&amp;"最终",$O$3:$AA$63,MATCH(AZ$3,$O$3:$AA$3,0),FALSE)-VLOOKUP($AW342&amp;"初始",$O$3:$AA$63,MATCH(AZ$3,$O$3:$AA$3,0),FALSE))*VLOOKUP(VLOOKUP($AW342,坦克个性化设定!$B$18:$E$48,4,FALSE)&amp;$AX342,坦克属性分配比例,MATCH("部件比例",坦克属性分配比例标头,0),FALSE))*$AY342/VLOOKUP(VLOOKUP($AW342,坦克个性化设定!$B$18:$E$48,4,FALSE)&amp;$AX342,坦克属性分配比例,MATCH("升星次数",坦克属性分配比例标头,0),FALSE),0)</f>
        <v>2021</v>
      </c>
      <c r="BA342" s="654">
        <f ca="1">ROUND(VLOOKUP($AW342&amp;"初始",$O$3:$AA$63,MATCH(BA$3,$O$3:$AA$3,0),FALSE)+(VLOOKUP($AW342&amp;"最终",$O$3:$AA$63,MATCH(BA$3,$O$3:$AA$3,0),FALSE)-VLOOKUP($AW342&amp;"初始",$O$3:$AA$63,MATCH(BA$3,$O$3:$AA$3,0),FALSE))*$AY342/VLOOKUP(VLOOKUP($AW342,坦克个性化设定!$B$18:$E$48,4,FALSE)&amp;$AX342,坦克属性分配比例,MATCH("升星次数",坦克属性分配比例标头,0),FALSE)*VLOOKUP(VLOOKUP($AW342,坦克个性化设定!$B$18:$E$48,4,FALSE)&amp;$AX342,坦克属性分配比例,MATCH("升星比例",坦克属性分配比例标头,0),FALSE),0)</f>
        <v>391</v>
      </c>
      <c r="BB342" s="654">
        <f ca="1">ROUND(VLOOKUP($AW342&amp;"初始",$O$3:$AA$63,MATCH(BB$3,$O$3:$AA$3,0),FALSE)+(VLOOKUP($AW342&amp;"最终",$O$3:$AA$63,MATCH(BB$3,$O$3:$AA$3,0),FALSE)-VLOOKUP($AW342&amp;"初始",$O$3:$AA$63,MATCH(BB$3,$O$3:$AA$3,0),FALSE))*$AY342/VLOOKUP(VLOOKUP($AW342,坦克个性化设定!$B$18:$E$48,4,FALSE)&amp;$AX342,坦克属性分配比例,MATCH("升星次数",坦克属性分配比例标头,0),FALSE)*(VLOOKUP(VLOOKUP($AW342,坦克个性化设定!$B$18:$E$48,4,FALSE)&amp;$AX342,坦克属性分配比例,MATCH("升星比例",坦克属性分配比例标头,0),FALSE)+VLOOKUP(VLOOKUP($AW342,坦克个性化设定!$B$18:$E$48,4,FALSE)&amp;$AX342,坦克属性分配比例,MATCH("部件比例",坦克属性分配比例标头,0),FALSE)*$C$3),0)</f>
        <v>647</v>
      </c>
      <c r="BC342" s="654">
        <f ca="1">ROUND(VLOOKUP($AW342&amp;"初始",$O$3:$AA$63,MATCH(BC$3,$O$3:$AA$3,0),FALSE)+(VLOOKUP($AW342&amp;"最终",$O$3:$AA$63,MATCH(BC$3,$O$3:$AA$3,0),FALSE)-VLOOKUP($AW342&amp;"初始",$O$3:$AA$63,MATCH(BC$3,$O$3:$AA$3,0),FALSE))*$AY342/VLOOKUP(VLOOKUP($AW342,坦克个性化设定!$B$18:$E$48,4,FALSE)&amp;$AX342,坦克属性分配比例,MATCH("升星次数",坦克属性分配比例标头,0),FALSE)*(VLOOKUP(VLOOKUP($AW342,坦克个性化设定!$B$18:$E$48,4,FALSE)&amp;$AX342,坦克属性分配比例,MATCH("升星比例",坦克属性分配比例标头,0),FALSE)+VLOOKUP(VLOOKUP($AW342,坦克个性化设定!$B$18:$E$48,4,FALSE)&amp;$AX342,坦克属性分配比例,MATCH("部件比例",坦克属性分配比例标头,0),FALSE)*$C$3),0)</f>
        <v>518</v>
      </c>
      <c r="BD342" s="654">
        <f ca="1">ROUND(VLOOKUP($AW342&amp;"初始",$O$3:$AA$63,MATCH(BD$3,$O$3:$AA$3,0),FALSE)+(VLOOKUP($AW342&amp;"最终",$O$3:$AA$63,MATCH(BD$3,$O$3:$AA$3,0),FALSE)-VLOOKUP($AW342&amp;"初始",$O$3:$AA$63,MATCH(BD$3,$O$3:$AA$3,0),FALSE))*$AY342/VLOOKUP(VLOOKUP($AW342,坦克个性化设定!$B$18:$E$48,4,FALSE)&amp;$AX342,坦克属性分配比例,MATCH("升星次数",坦克属性分配比例标头,0),FALSE)*VLOOKUP(VLOOKUP($AW342,坦克个性化设定!$B$18:$E$48,4,FALSE)&amp;$AX342,坦克属性分配比例,MATCH("升星比例",坦克属性分配比例标头,0),FALSE),0)</f>
        <v>865</v>
      </c>
      <c r="BE342" s="654">
        <f ca="1">ROUND(VLOOKUP($AW342&amp;"初始",$O$3:$AA$63,MATCH(BE$3,$O$3:$AA$3,0),FALSE)+(VLOOKUP($AW342&amp;"最终",$O$3:$AA$63,MATCH(BE$3,$O$3:$AA$3,0),FALSE)-VLOOKUP($AW342&amp;"初始",$O$3:$AA$63,MATCH(BE$3,$O$3:$AA$3,0),FALSE))*$AY342/VLOOKUP(VLOOKUP($AW342,坦克个性化设定!$B$18:$E$48,4,FALSE)&amp;$AX342,坦克属性分配比例,MATCH("升星次数",坦克属性分配比例标头,0),FALSE),0)</f>
        <v>196</v>
      </c>
      <c r="BF342" s="654">
        <f>ROUND(VLOOKUP($AW342,$AD$3:$AJ$33,MATCH(BF$3,$AD$3:$AJ$3,0),FALSE)+$AY342/VLOOKUP(VLOOKUP($AW342,坦克个性化设定!$B$18:$E$48,4,FALSE)&amp;$AX342,坦克属性分配比例,MATCH("升星次数",坦克属性分配比例标头,0),FALSE)*VLOOKUP($AW342,$AM$3:$AS$33,MATCH(BF$3,$AM$3:$AS$3,0),FALSE),1)</f>
        <v>32.9</v>
      </c>
      <c r="BG342" s="654">
        <f>ROUND(VLOOKUP($AW342,$AD$3:$AJ$33,MATCH(BG$3,$AD$3:$AJ$3,0),FALSE)+$AY342/VLOOKUP(VLOOKUP($AW342,坦克个性化设定!$B$18:$E$48,4,FALSE)&amp;$AX342,坦克属性分配比例,MATCH("升星次数",坦克属性分配比例标头,0),FALSE)*VLOOKUP($AW342,$AM$3:$AS$33,MATCH(BG$3,$AM$3:$AS$3,0),FALSE),1)</f>
        <v>45.9</v>
      </c>
      <c r="BH342" s="654">
        <f>ROUND(VLOOKUP($AW342,$AD$3:$AJ$33,MATCH(BH$3,$AD$3:$AJ$3,0),FALSE)+$AY342/VLOOKUP(VLOOKUP($AW342,坦克个性化设定!$B$18:$E$48,4,FALSE)&amp;$AX342,坦克属性分配比例,MATCH("升星次数",坦克属性分配比例标头,0),FALSE)*VLOOKUP($AW342,$AM$3:$AS$33,MATCH(BH$3,$AM$3:$AS$3,0),FALSE),1)</f>
        <v>9.9</v>
      </c>
      <c r="BI342" s="654">
        <f>IF(VLOOKUP(AW342,坦克个性化设定!$B$18:$BB$48,MATCH("装弹类型",坦克个性化设定!$B$18:$BB$18,0),FALSE)="弹夹换弹",0,ROUND(VLOOKUP($AW342,$AD$3:$AJ$33,MATCH("换弹时间",$AD$3:$AJ$3,0),FALSE)-$AY342/VLOOKUP(VLOOKUP($AW342,坦克个性化设定!$B$18:$E$48,4,FALSE)&amp;$AX342,坦克属性分配比例,MATCH("升星次数",坦克属性分配比例标头,0),FALSE)*VLOOKUP($AW342,$AM$3:$AS$33,MATCH("换弹时间",$AM$3:$AS$3,0),FALSE),2))</f>
        <v>6</v>
      </c>
      <c r="BJ342" s="654">
        <f>IF(VLOOKUP(AW342,坦克个性化设定!$B$18:$BB$48,MATCH("装弹类型",坦克个性化设定!$B$18:$BB$18,0),FALSE)="弹夹换弹",ROUND(VLOOKUP($AW342,$AD$3:$AJ$33,MATCH("换弹时间",$AD$3:$AJ$3,0),FALSE)-$AY342/VLOOKUP(VLOOKUP($AW342,坦克个性化设定!$B$18:$E$48,4,FALSE)&amp;$AX342,坦克属性分配比例,MATCH("升星次数",坦克属性分配比例标头,0),FALSE)*VLOOKUP($AW342,$AM$3:$AS$33,MATCH("换弹时间",$AM$3:$AS$3,0),FALSE),1),0)</f>
        <v>0</v>
      </c>
      <c r="BK342" s="654">
        <f>ROUND(VLOOKUP($AW342,$AD$3:$AJ$33,MATCH(BK$3,$AD$3:$AJ$3,0),FALSE)+$AY342/VLOOKUP(VLOOKUP($AW342,坦克个性化设定!$B$18:$E$48,4,FALSE)&amp;$AX342,坦克属性分配比例,MATCH("升星次数",坦克属性分配比例标头,0),FALSE)*VLOOKUP($AW342,$AM$3:$AS$33,MATCH(BK$3,$AM$3:$AS$3,0),FALSE),2)</f>
        <v>0</v>
      </c>
      <c r="BL342" s="654">
        <f>ROUND(VLOOKUP($AW342,$AD$3:$AJ$33,MATCH(BL$3,$AD$3:$AJ$3,0),FALSE)-$AY342/VLOOKUP(VLOOKUP($AW342,坦克个性化设定!$B$18:$E$48,4,FALSE)&amp;$AX342,坦克属性分配比例,MATCH("升星次数",坦克属性分配比例标头,0),FALSE)*VLOOKUP($AW342,$AM$3:$AS$33,MATCH(BL$3,$AM$3:$AS$3,0),FALSE),2)</f>
        <v>3</v>
      </c>
    </row>
    <row r="343" spans="47:64" x14ac:dyDescent="0.35">
      <c r="AU343" s="372" t="str">
        <f t="shared" si="33"/>
        <v>T-321</v>
      </c>
      <c r="AV343" s="654">
        <f>IF(AY342&gt;=VLOOKUP(VLOOKUP(AW342,坦克个性化设定!$B$18:$E$48,4,FALSE)&amp;AX342,坦克属性分配比例,MATCH("升星次数",坦克属性分配比例标头,0),FALSE),AV342+1,AV342)</f>
        <v>29</v>
      </c>
      <c r="AW343" s="649" t="str">
        <f t="shared" si="34"/>
        <v>T-32</v>
      </c>
      <c r="AX343" s="650" t="str">
        <f>VLOOKUP(AW343,坦克个性化细分!$I$3:$J$33,2,FALSE)</f>
        <v>高</v>
      </c>
      <c r="AY343" s="654">
        <f t="shared" si="35"/>
        <v>1</v>
      </c>
      <c r="AZ343" s="654">
        <f ca="1">ROUND(VLOOKUP($AW343&amp;"初始",$O$3:$AA$63,MATCH(AZ$3,$O$3:$AA$3,0),FALSE)+((VLOOKUP($AW343&amp;"最终",$O$3:$AA$63,MATCH(AZ$3,$O$3:$AA$3,0),FALSE)*坦克个性化细分!$C$9-VLOOKUP($AW343&amp;"初始",$O$3:$AA$63,MATCH(AZ$3,$O$3:$AA$3,0),FALSE))-(VLOOKUP($AW343&amp;"最终",$O$3:$AA$63,MATCH(AZ$3,$O$3:$AA$3,0),FALSE)-VLOOKUP($AW343&amp;"初始",$O$3:$AA$63,MATCH(AZ$3,$O$3:$AA$3,0),FALSE))*VLOOKUP(VLOOKUP($AW343,坦克个性化设定!$B$18:$E$48,4,FALSE)&amp;$AX343,坦克属性分配比例,MATCH("部件比例",坦克属性分配比例标头,0),FALSE))*$AY343/VLOOKUP(VLOOKUP($AW343,坦克个性化设定!$B$18:$E$48,4,FALSE)&amp;$AX343,坦克属性分配比例,MATCH("升星次数",坦克属性分配比例标头,0),FALSE),0)</f>
        <v>2142</v>
      </c>
      <c r="BA343" s="654">
        <f ca="1">ROUND(VLOOKUP($AW343&amp;"初始",$O$3:$AA$63,MATCH(BA$3,$O$3:$AA$3,0),FALSE)+(VLOOKUP($AW343&amp;"最终",$O$3:$AA$63,MATCH(BA$3,$O$3:$AA$3,0),FALSE)-VLOOKUP($AW343&amp;"初始",$O$3:$AA$63,MATCH(BA$3,$O$3:$AA$3,0),FALSE))*$AY343/VLOOKUP(VLOOKUP($AW343,坦克个性化设定!$B$18:$E$48,4,FALSE)&amp;$AX343,坦克属性分配比例,MATCH("升星次数",坦克属性分配比例标头,0),FALSE)*VLOOKUP(VLOOKUP($AW343,坦克个性化设定!$B$18:$E$48,4,FALSE)&amp;$AX343,坦克属性分配比例,MATCH("升星比例",坦克属性分配比例标头,0),FALSE),0)</f>
        <v>402</v>
      </c>
      <c r="BB343" s="654">
        <f ca="1">ROUND(VLOOKUP($AW343&amp;"初始",$O$3:$AA$63,MATCH(BB$3,$O$3:$AA$3,0),FALSE)+(VLOOKUP($AW343&amp;"最终",$O$3:$AA$63,MATCH(BB$3,$O$3:$AA$3,0),FALSE)-VLOOKUP($AW343&amp;"初始",$O$3:$AA$63,MATCH(BB$3,$O$3:$AA$3,0),FALSE))*$AY343/VLOOKUP(VLOOKUP($AW343,坦克个性化设定!$B$18:$E$48,4,FALSE)&amp;$AX343,坦克属性分配比例,MATCH("升星次数",坦克属性分配比例标头,0),FALSE)*(VLOOKUP(VLOOKUP($AW343,坦克个性化设定!$B$18:$E$48,4,FALSE)&amp;$AX343,坦克属性分配比例,MATCH("升星比例",坦克属性分配比例标头,0),FALSE)+VLOOKUP(VLOOKUP($AW343,坦克个性化设定!$B$18:$E$48,4,FALSE)&amp;$AX343,坦克属性分配比例,MATCH("部件比例",坦克属性分配比例标头,0),FALSE)*$C$3),0)</f>
        <v>675</v>
      </c>
      <c r="BC343" s="654">
        <f ca="1">ROUND(VLOOKUP($AW343&amp;"初始",$O$3:$AA$63,MATCH(BC$3,$O$3:$AA$3,0),FALSE)+(VLOOKUP($AW343&amp;"最终",$O$3:$AA$63,MATCH(BC$3,$O$3:$AA$3,0),FALSE)-VLOOKUP($AW343&amp;"初始",$O$3:$AA$63,MATCH(BC$3,$O$3:$AA$3,0),FALSE))*$AY343/VLOOKUP(VLOOKUP($AW343,坦克个性化设定!$B$18:$E$48,4,FALSE)&amp;$AX343,坦克属性分配比例,MATCH("升星次数",坦克属性分配比例标头,0),FALSE)*(VLOOKUP(VLOOKUP($AW343,坦克个性化设定!$B$18:$E$48,4,FALSE)&amp;$AX343,坦克属性分配比例,MATCH("升星比例",坦克属性分配比例标头,0),FALSE)+VLOOKUP(VLOOKUP($AW343,坦克个性化设定!$B$18:$E$48,4,FALSE)&amp;$AX343,坦克属性分配比例,MATCH("部件比例",坦克属性分配比例标头,0),FALSE)*$C$3),0)</f>
        <v>541</v>
      </c>
      <c r="BD343" s="654">
        <f ca="1">ROUND(VLOOKUP($AW343&amp;"初始",$O$3:$AA$63,MATCH(BD$3,$O$3:$AA$3,0),FALSE)+(VLOOKUP($AW343&amp;"最终",$O$3:$AA$63,MATCH(BD$3,$O$3:$AA$3,0),FALSE)-VLOOKUP($AW343&amp;"初始",$O$3:$AA$63,MATCH(BD$3,$O$3:$AA$3,0),FALSE))*$AY343/VLOOKUP(VLOOKUP($AW343,坦克个性化设定!$B$18:$E$48,4,FALSE)&amp;$AX343,坦克属性分配比例,MATCH("升星次数",坦克属性分配比例标头,0),FALSE)*VLOOKUP(VLOOKUP($AW343,坦克个性化设定!$B$18:$E$48,4,FALSE)&amp;$AX343,坦克属性分配比例,MATCH("升星比例",坦克属性分配比例标头,0),FALSE),0)</f>
        <v>887</v>
      </c>
      <c r="BE343" s="654">
        <f ca="1">ROUND(VLOOKUP($AW343&amp;"初始",$O$3:$AA$63,MATCH(BE$3,$O$3:$AA$3,0),FALSE)+(VLOOKUP($AW343&amp;"最终",$O$3:$AA$63,MATCH(BE$3,$O$3:$AA$3,0),FALSE)-VLOOKUP($AW343&amp;"初始",$O$3:$AA$63,MATCH(BE$3,$O$3:$AA$3,0),FALSE))*$AY343/VLOOKUP(VLOOKUP($AW343,坦克个性化设定!$B$18:$E$48,4,FALSE)&amp;$AX343,坦克属性分配比例,MATCH("升星次数",坦克属性分配比例标头,0),FALSE),0)</f>
        <v>207</v>
      </c>
      <c r="BF343" s="654">
        <f>ROUND(VLOOKUP($AW343,$AD$3:$AJ$33,MATCH(BF$3,$AD$3:$AJ$3,0),FALSE)+$AY343/VLOOKUP(VLOOKUP($AW343,坦克个性化设定!$B$18:$E$48,4,FALSE)&amp;$AX343,坦克属性分配比例,MATCH("升星次数",坦克属性分配比例标头,0),FALSE)*VLOOKUP($AW343,$AM$3:$AS$33,MATCH(BF$3,$AM$3:$AS$3,0),FALSE),1)</f>
        <v>33.4</v>
      </c>
      <c r="BG343" s="654">
        <f>ROUND(VLOOKUP($AW343,$AD$3:$AJ$33,MATCH(BG$3,$AD$3:$AJ$3,0),FALSE)+$AY343/VLOOKUP(VLOOKUP($AW343,坦克个性化设定!$B$18:$E$48,4,FALSE)&amp;$AX343,坦克属性分配比例,MATCH("升星次数",坦克属性分配比例标头,0),FALSE)*VLOOKUP($AW343,$AM$3:$AS$33,MATCH(BG$3,$AM$3:$AS$3,0),FALSE),1)</f>
        <v>46.6</v>
      </c>
      <c r="BH343" s="654">
        <f>ROUND(VLOOKUP($AW343,$AD$3:$AJ$33,MATCH(BH$3,$AD$3:$AJ$3,0),FALSE)+$AY343/VLOOKUP(VLOOKUP($AW343,坦克个性化设定!$B$18:$E$48,4,FALSE)&amp;$AX343,坦克属性分配比例,MATCH("升星次数",坦克属性分配比例标头,0),FALSE)*VLOOKUP($AW343,$AM$3:$AS$33,MATCH(BH$3,$AM$3:$AS$3,0),FALSE),1)</f>
        <v>10.1</v>
      </c>
      <c r="BI343" s="654">
        <f>IF(VLOOKUP(AW343,坦克个性化设定!$B$18:$BB$48,MATCH("装弹类型",坦克个性化设定!$B$18:$BB$18,0),FALSE)="弹夹换弹",0,ROUND(VLOOKUP($AW343,$AD$3:$AJ$33,MATCH("换弹时间",$AD$3:$AJ$3,0),FALSE)-$AY343/VLOOKUP(VLOOKUP($AW343,坦克个性化设定!$B$18:$E$48,4,FALSE)&amp;$AX343,坦克属性分配比例,MATCH("升星次数",坦克属性分配比例标头,0),FALSE)*VLOOKUP($AW343,$AM$3:$AS$33,MATCH("换弹时间",$AM$3:$AS$3,0),FALSE),2))</f>
        <v>5.91</v>
      </c>
      <c r="BJ343" s="654">
        <f>IF(VLOOKUP(AW343,坦克个性化设定!$B$18:$BB$48,MATCH("装弹类型",坦克个性化设定!$B$18:$BB$18,0),FALSE)="弹夹换弹",ROUND(VLOOKUP($AW343,$AD$3:$AJ$33,MATCH("换弹时间",$AD$3:$AJ$3,0),FALSE)-$AY343/VLOOKUP(VLOOKUP($AW343,坦克个性化设定!$B$18:$E$48,4,FALSE)&amp;$AX343,坦克属性分配比例,MATCH("升星次数",坦克属性分配比例标头,0),FALSE)*VLOOKUP($AW343,$AM$3:$AS$33,MATCH("换弹时间",$AM$3:$AS$3,0),FALSE),1),0)</f>
        <v>0</v>
      </c>
      <c r="BK343" s="654">
        <f>ROUND(VLOOKUP($AW343,$AD$3:$AJ$33,MATCH(BK$3,$AD$3:$AJ$3,0),FALSE)+$AY343/VLOOKUP(VLOOKUP($AW343,坦克个性化设定!$B$18:$E$48,4,FALSE)&amp;$AX343,坦克属性分配比例,MATCH("升星次数",坦克属性分配比例标头,0),FALSE)*VLOOKUP($AW343,$AM$3:$AS$33,MATCH(BK$3,$AM$3:$AS$3,0),FALSE),2)</f>
        <v>0</v>
      </c>
      <c r="BL343" s="654">
        <f>ROUND(VLOOKUP($AW343,$AD$3:$AJ$33,MATCH(BL$3,$AD$3:$AJ$3,0),FALSE)-$AY343/VLOOKUP(VLOOKUP($AW343,坦克个性化设定!$B$18:$E$48,4,FALSE)&amp;$AX343,坦克属性分配比例,MATCH("升星次数",坦克属性分配比例标头,0),FALSE)*VLOOKUP($AW343,$AM$3:$AS$33,MATCH(BL$3,$AM$3:$AS$3,0),FALSE),2)</f>
        <v>2.97</v>
      </c>
    </row>
    <row r="344" spans="47:64" x14ac:dyDescent="0.35">
      <c r="AU344" s="372" t="str">
        <f t="shared" si="33"/>
        <v>T-322</v>
      </c>
      <c r="AV344" s="654">
        <f>IF(AY343&gt;=VLOOKUP(VLOOKUP(AW343,坦克个性化设定!$B$18:$E$48,4,FALSE)&amp;AX343,坦克属性分配比例,MATCH("升星次数",坦克属性分配比例标头,0),FALSE),AV343+1,AV343)</f>
        <v>29</v>
      </c>
      <c r="AW344" s="649" t="str">
        <f t="shared" si="34"/>
        <v>T-32</v>
      </c>
      <c r="AX344" s="650" t="str">
        <f>VLOOKUP(AW344,坦克个性化细分!$I$3:$J$33,2,FALSE)</f>
        <v>高</v>
      </c>
      <c r="AY344" s="654">
        <f t="shared" si="35"/>
        <v>2</v>
      </c>
      <c r="AZ344" s="654">
        <f ca="1">ROUND(VLOOKUP($AW344&amp;"初始",$O$3:$AA$63,MATCH(AZ$3,$O$3:$AA$3,0),FALSE)+((VLOOKUP($AW344&amp;"最终",$O$3:$AA$63,MATCH(AZ$3,$O$3:$AA$3,0),FALSE)*坦克个性化细分!$C$9-VLOOKUP($AW344&amp;"初始",$O$3:$AA$63,MATCH(AZ$3,$O$3:$AA$3,0),FALSE))-(VLOOKUP($AW344&amp;"最终",$O$3:$AA$63,MATCH(AZ$3,$O$3:$AA$3,0),FALSE)-VLOOKUP($AW344&amp;"初始",$O$3:$AA$63,MATCH(AZ$3,$O$3:$AA$3,0),FALSE))*VLOOKUP(VLOOKUP($AW344,坦克个性化设定!$B$18:$E$48,4,FALSE)&amp;$AX344,坦克属性分配比例,MATCH("部件比例",坦克属性分配比例标头,0),FALSE))*$AY344/VLOOKUP(VLOOKUP($AW344,坦克个性化设定!$B$18:$E$48,4,FALSE)&amp;$AX344,坦克属性分配比例,MATCH("升星次数",坦克属性分配比例标头,0),FALSE),0)</f>
        <v>2264</v>
      </c>
      <c r="BA344" s="654">
        <f ca="1">ROUND(VLOOKUP($AW344&amp;"初始",$O$3:$AA$63,MATCH(BA$3,$O$3:$AA$3,0),FALSE)+(VLOOKUP($AW344&amp;"最终",$O$3:$AA$63,MATCH(BA$3,$O$3:$AA$3,0),FALSE)-VLOOKUP($AW344&amp;"初始",$O$3:$AA$63,MATCH(BA$3,$O$3:$AA$3,0),FALSE))*$AY344/VLOOKUP(VLOOKUP($AW344,坦克个性化设定!$B$18:$E$48,4,FALSE)&amp;$AX344,坦克属性分配比例,MATCH("升星次数",坦克属性分配比例标头,0),FALSE)*VLOOKUP(VLOOKUP($AW344,坦克个性化设定!$B$18:$E$48,4,FALSE)&amp;$AX344,坦克属性分配比例,MATCH("升星比例",坦克属性分配比例标头,0),FALSE),0)</f>
        <v>412</v>
      </c>
      <c r="BB344" s="654">
        <f ca="1">ROUND(VLOOKUP($AW344&amp;"初始",$O$3:$AA$63,MATCH(BB$3,$O$3:$AA$3,0),FALSE)+(VLOOKUP($AW344&amp;"最终",$O$3:$AA$63,MATCH(BB$3,$O$3:$AA$3,0),FALSE)-VLOOKUP($AW344&amp;"初始",$O$3:$AA$63,MATCH(BB$3,$O$3:$AA$3,0),FALSE))*$AY344/VLOOKUP(VLOOKUP($AW344,坦克个性化设定!$B$18:$E$48,4,FALSE)&amp;$AX344,坦克属性分配比例,MATCH("升星次数",坦克属性分配比例标头,0),FALSE)*(VLOOKUP(VLOOKUP($AW344,坦克个性化设定!$B$18:$E$48,4,FALSE)&amp;$AX344,坦克属性分配比例,MATCH("升星比例",坦克属性分配比例标头,0),FALSE)+VLOOKUP(VLOOKUP($AW344,坦克个性化设定!$B$18:$E$48,4,FALSE)&amp;$AX344,坦克属性分配比例,MATCH("部件比例",坦克属性分配比例标头,0),FALSE)*$C$3),0)</f>
        <v>704</v>
      </c>
      <c r="BC344" s="654">
        <f ca="1">ROUND(VLOOKUP($AW344&amp;"初始",$O$3:$AA$63,MATCH(BC$3,$O$3:$AA$3,0),FALSE)+(VLOOKUP($AW344&amp;"最终",$O$3:$AA$63,MATCH(BC$3,$O$3:$AA$3,0),FALSE)-VLOOKUP($AW344&amp;"初始",$O$3:$AA$63,MATCH(BC$3,$O$3:$AA$3,0),FALSE))*$AY344/VLOOKUP(VLOOKUP($AW344,坦克个性化设定!$B$18:$E$48,4,FALSE)&amp;$AX344,坦克属性分配比例,MATCH("升星次数",坦克属性分配比例标头,0),FALSE)*(VLOOKUP(VLOOKUP($AW344,坦克个性化设定!$B$18:$E$48,4,FALSE)&amp;$AX344,坦克属性分配比例,MATCH("升星比例",坦克属性分配比例标头,0),FALSE)+VLOOKUP(VLOOKUP($AW344,坦克个性化设定!$B$18:$E$48,4,FALSE)&amp;$AX344,坦克属性分配比例,MATCH("部件比例",坦克属性分配比例标头,0),FALSE)*$C$3),0)</f>
        <v>563</v>
      </c>
      <c r="BD344" s="654">
        <f ca="1">ROUND(VLOOKUP($AW344&amp;"初始",$O$3:$AA$63,MATCH(BD$3,$O$3:$AA$3,0),FALSE)+(VLOOKUP($AW344&amp;"最终",$O$3:$AA$63,MATCH(BD$3,$O$3:$AA$3,0),FALSE)-VLOOKUP($AW344&amp;"初始",$O$3:$AA$63,MATCH(BD$3,$O$3:$AA$3,0),FALSE))*$AY344/VLOOKUP(VLOOKUP($AW344,坦克个性化设定!$B$18:$E$48,4,FALSE)&amp;$AX344,坦克属性分配比例,MATCH("升星次数",坦克属性分配比例标头,0),FALSE)*VLOOKUP(VLOOKUP($AW344,坦克个性化设定!$B$18:$E$48,4,FALSE)&amp;$AX344,坦克属性分配比例,MATCH("升星比例",坦克属性分配比例标头,0),FALSE),0)</f>
        <v>910</v>
      </c>
      <c r="BE344" s="654">
        <f ca="1">ROUND(VLOOKUP($AW344&amp;"初始",$O$3:$AA$63,MATCH(BE$3,$O$3:$AA$3,0),FALSE)+(VLOOKUP($AW344&amp;"最终",$O$3:$AA$63,MATCH(BE$3,$O$3:$AA$3,0),FALSE)-VLOOKUP($AW344&amp;"初始",$O$3:$AA$63,MATCH(BE$3,$O$3:$AA$3,0),FALSE))*$AY344/VLOOKUP(VLOOKUP($AW344,坦克个性化设定!$B$18:$E$48,4,FALSE)&amp;$AX344,坦克属性分配比例,MATCH("升星次数",坦克属性分配比例标头,0),FALSE),0)</f>
        <v>218</v>
      </c>
      <c r="BF344" s="654">
        <f>ROUND(VLOOKUP($AW344,$AD$3:$AJ$33,MATCH(BF$3,$AD$3:$AJ$3,0),FALSE)+$AY344/VLOOKUP(VLOOKUP($AW344,坦克个性化设定!$B$18:$E$48,4,FALSE)&amp;$AX344,坦克属性分配比例,MATCH("升星次数",坦克属性分配比例标头,0),FALSE)*VLOOKUP($AW344,$AM$3:$AS$33,MATCH(BF$3,$AM$3:$AS$3,0),FALSE),1)</f>
        <v>33.9</v>
      </c>
      <c r="BG344" s="654">
        <f>ROUND(VLOOKUP($AW344,$AD$3:$AJ$33,MATCH(BG$3,$AD$3:$AJ$3,0),FALSE)+$AY344/VLOOKUP(VLOOKUP($AW344,坦克个性化设定!$B$18:$E$48,4,FALSE)&amp;$AX344,坦克属性分配比例,MATCH("升星次数",坦克属性分配比例标头,0),FALSE)*VLOOKUP($AW344,$AM$3:$AS$33,MATCH(BG$3,$AM$3:$AS$3,0),FALSE),1)</f>
        <v>47.3</v>
      </c>
      <c r="BH344" s="654">
        <f>ROUND(VLOOKUP($AW344,$AD$3:$AJ$33,MATCH(BH$3,$AD$3:$AJ$3,0),FALSE)+$AY344/VLOOKUP(VLOOKUP($AW344,坦克个性化设定!$B$18:$E$48,4,FALSE)&amp;$AX344,坦克属性分配比例,MATCH("升星次数",坦克属性分配比例标头,0),FALSE)*VLOOKUP($AW344,$AM$3:$AS$33,MATCH(BH$3,$AM$3:$AS$3,0),FALSE),1)</f>
        <v>10.3</v>
      </c>
      <c r="BI344" s="654">
        <f>IF(VLOOKUP(AW344,坦克个性化设定!$B$18:$BB$48,MATCH("装弹类型",坦克个性化设定!$B$18:$BB$18,0),FALSE)="弹夹换弹",0,ROUND(VLOOKUP($AW344,$AD$3:$AJ$33,MATCH("换弹时间",$AD$3:$AJ$3,0),FALSE)-$AY344/VLOOKUP(VLOOKUP($AW344,坦克个性化设定!$B$18:$E$48,4,FALSE)&amp;$AX344,坦克属性分配比例,MATCH("升星次数",坦克属性分配比例标头,0),FALSE)*VLOOKUP($AW344,$AM$3:$AS$33,MATCH("换弹时间",$AM$3:$AS$3,0),FALSE),2))</f>
        <v>5.82</v>
      </c>
      <c r="BJ344" s="654">
        <f>IF(VLOOKUP(AW344,坦克个性化设定!$B$18:$BB$48,MATCH("装弹类型",坦克个性化设定!$B$18:$BB$18,0),FALSE)="弹夹换弹",ROUND(VLOOKUP($AW344,$AD$3:$AJ$33,MATCH("换弹时间",$AD$3:$AJ$3,0),FALSE)-$AY344/VLOOKUP(VLOOKUP($AW344,坦克个性化设定!$B$18:$E$48,4,FALSE)&amp;$AX344,坦克属性分配比例,MATCH("升星次数",坦克属性分配比例标头,0),FALSE)*VLOOKUP($AW344,$AM$3:$AS$33,MATCH("换弹时间",$AM$3:$AS$3,0),FALSE),1),0)</f>
        <v>0</v>
      </c>
      <c r="BK344" s="654">
        <f>ROUND(VLOOKUP($AW344,$AD$3:$AJ$33,MATCH(BK$3,$AD$3:$AJ$3,0),FALSE)+$AY344/VLOOKUP(VLOOKUP($AW344,坦克个性化设定!$B$18:$E$48,4,FALSE)&amp;$AX344,坦克属性分配比例,MATCH("升星次数",坦克属性分配比例标头,0),FALSE)*VLOOKUP($AW344,$AM$3:$AS$33,MATCH(BK$3,$AM$3:$AS$3,0),FALSE),2)</f>
        <v>0</v>
      </c>
      <c r="BL344" s="654">
        <f>ROUND(VLOOKUP($AW344,$AD$3:$AJ$33,MATCH(BL$3,$AD$3:$AJ$3,0),FALSE)-$AY344/VLOOKUP(VLOOKUP($AW344,坦克个性化设定!$B$18:$E$48,4,FALSE)&amp;$AX344,坦克属性分配比例,MATCH("升星次数",坦克属性分配比例标头,0),FALSE)*VLOOKUP($AW344,$AM$3:$AS$33,MATCH(BL$3,$AM$3:$AS$3,0),FALSE),2)</f>
        <v>2.94</v>
      </c>
    </row>
    <row r="345" spans="47:64" x14ac:dyDescent="0.35">
      <c r="AU345" s="372" t="str">
        <f t="shared" si="33"/>
        <v>T-323</v>
      </c>
      <c r="AV345" s="654">
        <f>IF(AY344&gt;=VLOOKUP(VLOOKUP(AW344,坦克个性化设定!$B$18:$E$48,4,FALSE)&amp;AX344,坦克属性分配比例,MATCH("升星次数",坦克属性分配比例标头,0),FALSE),AV344+1,AV344)</f>
        <v>29</v>
      </c>
      <c r="AW345" s="649" t="str">
        <f t="shared" si="34"/>
        <v>T-32</v>
      </c>
      <c r="AX345" s="650" t="str">
        <f>VLOOKUP(AW345,坦克个性化细分!$I$3:$J$33,2,FALSE)</f>
        <v>高</v>
      </c>
      <c r="AY345" s="654">
        <f t="shared" si="35"/>
        <v>3</v>
      </c>
      <c r="AZ345" s="654">
        <f ca="1">ROUND(VLOOKUP($AW345&amp;"初始",$O$3:$AA$63,MATCH(AZ$3,$O$3:$AA$3,0),FALSE)+((VLOOKUP($AW345&amp;"最终",$O$3:$AA$63,MATCH(AZ$3,$O$3:$AA$3,0),FALSE)*坦克个性化细分!$C$9-VLOOKUP($AW345&amp;"初始",$O$3:$AA$63,MATCH(AZ$3,$O$3:$AA$3,0),FALSE))-(VLOOKUP($AW345&amp;"最终",$O$3:$AA$63,MATCH(AZ$3,$O$3:$AA$3,0),FALSE)-VLOOKUP($AW345&amp;"初始",$O$3:$AA$63,MATCH(AZ$3,$O$3:$AA$3,0),FALSE))*VLOOKUP(VLOOKUP($AW345,坦克个性化设定!$B$18:$E$48,4,FALSE)&amp;$AX345,坦克属性分配比例,MATCH("部件比例",坦克属性分配比例标头,0),FALSE))*$AY345/VLOOKUP(VLOOKUP($AW345,坦克个性化设定!$B$18:$E$48,4,FALSE)&amp;$AX345,坦克属性分配比例,MATCH("升星次数",坦克属性分配比例标头,0),FALSE),0)</f>
        <v>2386</v>
      </c>
      <c r="BA345" s="654">
        <f ca="1">ROUND(VLOOKUP($AW345&amp;"初始",$O$3:$AA$63,MATCH(BA$3,$O$3:$AA$3,0),FALSE)+(VLOOKUP($AW345&amp;"最终",$O$3:$AA$63,MATCH(BA$3,$O$3:$AA$3,0),FALSE)-VLOOKUP($AW345&amp;"初始",$O$3:$AA$63,MATCH(BA$3,$O$3:$AA$3,0),FALSE))*$AY345/VLOOKUP(VLOOKUP($AW345,坦克个性化设定!$B$18:$E$48,4,FALSE)&amp;$AX345,坦克属性分配比例,MATCH("升星次数",坦克属性分配比例标头,0),FALSE)*VLOOKUP(VLOOKUP($AW345,坦克个性化设定!$B$18:$E$48,4,FALSE)&amp;$AX345,坦克属性分配比例,MATCH("升星比例",坦克属性分配比例标头,0),FALSE),0)</f>
        <v>422</v>
      </c>
      <c r="BB345" s="654">
        <f ca="1">ROUND(VLOOKUP($AW345&amp;"初始",$O$3:$AA$63,MATCH(BB$3,$O$3:$AA$3,0),FALSE)+(VLOOKUP($AW345&amp;"最终",$O$3:$AA$63,MATCH(BB$3,$O$3:$AA$3,0),FALSE)-VLOOKUP($AW345&amp;"初始",$O$3:$AA$63,MATCH(BB$3,$O$3:$AA$3,0),FALSE))*$AY345/VLOOKUP(VLOOKUP($AW345,坦克个性化设定!$B$18:$E$48,4,FALSE)&amp;$AX345,坦克属性分配比例,MATCH("升星次数",坦克属性分配比例标头,0),FALSE)*(VLOOKUP(VLOOKUP($AW345,坦克个性化设定!$B$18:$E$48,4,FALSE)&amp;$AX345,坦克属性分配比例,MATCH("升星比例",坦克属性分配比例标头,0),FALSE)+VLOOKUP(VLOOKUP($AW345,坦克个性化设定!$B$18:$E$48,4,FALSE)&amp;$AX345,坦克属性分配比例,MATCH("部件比例",坦克属性分配比例标头,0),FALSE)*$C$3),0)</f>
        <v>732</v>
      </c>
      <c r="BC345" s="654">
        <f ca="1">ROUND(VLOOKUP($AW345&amp;"初始",$O$3:$AA$63,MATCH(BC$3,$O$3:$AA$3,0),FALSE)+(VLOOKUP($AW345&amp;"最终",$O$3:$AA$63,MATCH(BC$3,$O$3:$AA$3,0),FALSE)-VLOOKUP($AW345&amp;"初始",$O$3:$AA$63,MATCH(BC$3,$O$3:$AA$3,0),FALSE))*$AY345/VLOOKUP(VLOOKUP($AW345,坦克个性化设定!$B$18:$E$48,4,FALSE)&amp;$AX345,坦克属性分配比例,MATCH("升星次数",坦克属性分配比例标头,0),FALSE)*(VLOOKUP(VLOOKUP($AW345,坦克个性化设定!$B$18:$E$48,4,FALSE)&amp;$AX345,坦克属性分配比例,MATCH("升星比例",坦克属性分配比例标头,0),FALSE)+VLOOKUP(VLOOKUP($AW345,坦克个性化设定!$B$18:$E$48,4,FALSE)&amp;$AX345,坦克属性分配比例,MATCH("部件比例",坦克属性分配比例标头,0),FALSE)*$C$3),0)</f>
        <v>586</v>
      </c>
      <c r="BD345" s="654">
        <f ca="1">ROUND(VLOOKUP($AW345&amp;"初始",$O$3:$AA$63,MATCH(BD$3,$O$3:$AA$3,0),FALSE)+(VLOOKUP($AW345&amp;"最终",$O$3:$AA$63,MATCH(BD$3,$O$3:$AA$3,0),FALSE)-VLOOKUP($AW345&amp;"初始",$O$3:$AA$63,MATCH(BD$3,$O$3:$AA$3,0),FALSE))*$AY345/VLOOKUP(VLOOKUP($AW345,坦克个性化设定!$B$18:$E$48,4,FALSE)&amp;$AX345,坦克属性分配比例,MATCH("升星次数",坦克属性分配比例标头,0),FALSE)*VLOOKUP(VLOOKUP($AW345,坦克个性化设定!$B$18:$E$48,4,FALSE)&amp;$AX345,坦克属性分配比例,MATCH("升星比例",坦克属性分配比例标头,0),FALSE),0)</f>
        <v>932</v>
      </c>
      <c r="BE345" s="654">
        <f ca="1">ROUND(VLOOKUP($AW345&amp;"初始",$O$3:$AA$63,MATCH(BE$3,$O$3:$AA$3,0),FALSE)+(VLOOKUP($AW345&amp;"最终",$O$3:$AA$63,MATCH(BE$3,$O$3:$AA$3,0),FALSE)-VLOOKUP($AW345&amp;"初始",$O$3:$AA$63,MATCH(BE$3,$O$3:$AA$3,0),FALSE))*$AY345/VLOOKUP(VLOOKUP($AW345,坦克个性化设定!$B$18:$E$48,4,FALSE)&amp;$AX345,坦克属性分配比例,MATCH("升星次数",坦克属性分配比例标头,0),FALSE),0)</f>
        <v>228</v>
      </c>
      <c r="BF345" s="654">
        <f>ROUND(VLOOKUP($AW345,$AD$3:$AJ$33,MATCH(BF$3,$AD$3:$AJ$3,0),FALSE)+$AY345/VLOOKUP(VLOOKUP($AW345,坦克个性化设定!$B$18:$E$48,4,FALSE)&amp;$AX345,坦克属性分配比例,MATCH("升星次数",坦克属性分配比例标头,0),FALSE)*VLOOKUP($AW345,$AM$3:$AS$33,MATCH(BF$3,$AM$3:$AS$3,0),FALSE),1)</f>
        <v>34.4</v>
      </c>
      <c r="BG345" s="654">
        <f>ROUND(VLOOKUP($AW345,$AD$3:$AJ$33,MATCH(BG$3,$AD$3:$AJ$3,0),FALSE)+$AY345/VLOOKUP(VLOOKUP($AW345,坦克个性化设定!$B$18:$E$48,4,FALSE)&amp;$AX345,坦克属性分配比例,MATCH("升星次数",坦克属性分配比例标头,0),FALSE)*VLOOKUP($AW345,$AM$3:$AS$33,MATCH(BG$3,$AM$3:$AS$3,0),FALSE),1)</f>
        <v>47.9</v>
      </c>
      <c r="BH345" s="654">
        <f>ROUND(VLOOKUP($AW345,$AD$3:$AJ$33,MATCH(BH$3,$AD$3:$AJ$3,0),FALSE)+$AY345/VLOOKUP(VLOOKUP($AW345,坦克个性化设定!$B$18:$E$48,4,FALSE)&amp;$AX345,坦克属性分配比例,MATCH("升星次数",坦克属性分配比例标头,0),FALSE)*VLOOKUP($AW345,$AM$3:$AS$33,MATCH(BH$3,$AM$3:$AS$3,0),FALSE),1)</f>
        <v>10.5</v>
      </c>
      <c r="BI345" s="654">
        <f>IF(VLOOKUP(AW345,坦克个性化设定!$B$18:$BB$48,MATCH("装弹类型",坦克个性化设定!$B$18:$BB$18,0),FALSE)="弹夹换弹",0,ROUND(VLOOKUP($AW345,$AD$3:$AJ$33,MATCH("换弹时间",$AD$3:$AJ$3,0),FALSE)-$AY345/VLOOKUP(VLOOKUP($AW345,坦克个性化设定!$B$18:$E$48,4,FALSE)&amp;$AX345,坦克属性分配比例,MATCH("升星次数",坦克属性分配比例标头,0),FALSE)*VLOOKUP($AW345,$AM$3:$AS$33,MATCH("换弹时间",$AM$3:$AS$3,0),FALSE),2))</f>
        <v>5.74</v>
      </c>
      <c r="BJ345" s="654">
        <f>IF(VLOOKUP(AW345,坦克个性化设定!$B$18:$BB$48,MATCH("装弹类型",坦克个性化设定!$B$18:$BB$18,0),FALSE)="弹夹换弹",ROUND(VLOOKUP($AW345,$AD$3:$AJ$33,MATCH("换弹时间",$AD$3:$AJ$3,0),FALSE)-$AY345/VLOOKUP(VLOOKUP($AW345,坦克个性化设定!$B$18:$E$48,4,FALSE)&amp;$AX345,坦克属性分配比例,MATCH("升星次数",坦克属性分配比例标头,0),FALSE)*VLOOKUP($AW345,$AM$3:$AS$33,MATCH("换弹时间",$AM$3:$AS$3,0),FALSE),1),0)</f>
        <v>0</v>
      </c>
      <c r="BK345" s="654">
        <f>ROUND(VLOOKUP($AW345,$AD$3:$AJ$33,MATCH(BK$3,$AD$3:$AJ$3,0),FALSE)+$AY345/VLOOKUP(VLOOKUP($AW345,坦克个性化设定!$B$18:$E$48,4,FALSE)&amp;$AX345,坦克属性分配比例,MATCH("升星次数",坦克属性分配比例标头,0),FALSE)*VLOOKUP($AW345,$AM$3:$AS$33,MATCH(BK$3,$AM$3:$AS$3,0),FALSE),2)</f>
        <v>0</v>
      </c>
      <c r="BL345" s="654">
        <f>ROUND(VLOOKUP($AW345,$AD$3:$AJ$33,MATCH(BL$3,$AD$3:$AJ$3,0),FALSE)-$AY345/VLOOKUP(VLOOKUP($AW345,坦克个性化设定!$B$18:$E$48,4,FALSE)&amp;$AX345,坦克属性分配比例,MATCH("升星次数",坦克属性分配比例标头,0),FALSE)*VLOOKUP($AW345,$AM$3:$AS$33,MATCH(BL$3,$AM$3:$AS$3,0),FALSE),2)</f>
        <v>2.91</v>
      </c>
    </row>
    <row r="346" spans="47:64" x14ac:dyDescent="0.35">
      <c r="AU346" s="372" t="str">
        <f t="shared" si="33"/>
        <v>T-324</v>
      </c>
      <c r="AV346" s="654">
        <f>IF(AY345&gt;=VLOOKUP(VLOOKUP(AW345,坦克个性化设定!$B$18:$E$48,4,FALSE)&amp;AX345,坦克属性分配比例,MATCH("升星次数",坦克属性分配比例标头,0),FALSE),AV345+1,AV345)</f>
        <v>29</v>
      </c>
      <c r="AW346" s="649" t="str">
        <f t="shared" si="34"/>
        <v>T-32</v>
      </c>
      <c r="AX346" s="650" t="str">
        <f>VLOOKUP(AW346,坦克个性化细分!$I$3:$J$33,2,FALSE)</f>
        <v>高</v>
      </c>
      <c r="AY346" s="654">
        <f t="shared" si="35"/>
        <v>4</v>
      </c>
      <c r="AZ346" s="654">
        <f ca="1">ROUND(VLOOKUP($AW346&amp;"初始",$O$3:$AA$63,MATCH(AZ$3,$O$3:$AA$3,0),FALSE)+((VLOOKUP($AW346&amp;"最终",$O$3:$AA$63,MATCH(AZ$3,$O$3:$AA$3,0),FALSE)*坦克个性化细分!$C$9-VLOOKUP($AW346&amp;"初始",$O$3:$AA$63,MATCH(AZ$3,$O$3:$AA$3,0),FALSE))-(VLOOKUP($AW346&amp;"最终",$O$3:$AA$63,MATCH(AZ$3,$O$3:$AA$3,0),FALSE)-VLOOKUP($AW346&amp;"初始",$O$3:$AA$63,MATCH(AZ$3,$O$3:$AA$3,0),FALSE))*VLOOKUP(VLOOKUP($AW346,坦克个性化设定!$B$18:$E$48,4,FALSE)&amp;$AX346,坦克属性分配比例,MATCH("部件比例",坦克属性分配比例标头,0),FALSE))*$AY346/VLOOKUP(VLOOKUP($AW346,坦克个性化设定!$B$18:$E$48,4,FALSE)&amp;$AX346,坦克属性分配比例,MATCH("升星次数",坦克属性分配比例标头,0),FALSE),0)</f>
        <v>2508</v>
      </c>
      <c r="BA346" s="654">
        <f ca="1">ROUND(VLOOKUP($AW346&amp;"初始",$O$3:$AA$63,MATCH(BA$3,$O$3:$AA$3,0),FALSE)+(VLOOKUP($AW346&amp;"最终",$O$3:$AA$63,MATCH(BA$3,$O$3:$AA$3,0),FALSE)-VLOOKUP($AW346&amp;"初始",$O$3:$AA$63,MATCH(BA$3,$O$3:$AA$3,0),FALSE))*$AY346/VLOOKUP(VLOOKUP($AW346,坦克个性化设定!$B$18:$E$48,4,FALSE)&amp;$AX346,坦克属性分配比例,MATCH("升星次数",坦克属性分配比例标头,0),FALSE)*VLOOKUP(VLOOKUP($AW346,坦克个性化设定!$B$18:$E$48,4,FALSE)&amp;$AX346,坦克属性分配比例,MATCH("升星比例",坦克属性分配比例标头,0),FALSE),0)</f>
        <v>432</v>
      </c>
      <c r="BB346" s="654">
        <f ca="1">ROUND(VLOOKUP($AW346&amp;"初始",$O$3:$AA$63,MATCH(BB$3,$O$3:$AA$3,0),FALSE)+(VLOOKUP($AW346&amp;"最终",$O$3:$AA$63,MATCH(BB$3,$O$3:$AA$3,0),FALSE)-VLOOKUP($AW346&amp;"初始",$O$3:$AA$63,MATCH(BB$3,$O$3:$AA$3,0),FALSE))*$AY346/VLOOKUP(VLOOKUP($AW346,坦克个性化设定!$B$18:$E$48,4,FALSE)&amp;$AX346,坦克属性分配比例,MATCH("升星次数",坦克属性分配比例标头,0),FALSE)*(VLOOKUP(VLOOKUP($AW346,坦克个性化设定!$B$18:$E$48,4,FALSE)&amp;$AX346,坦克属性分配比例,MATCH("升星比例",坦克属性分配比例标头,0),FALSE)+VLOOKUP(VLOOKUP($AW346,坦克个性化设定!$B$18:$E$48,4,FALSE)&amp;$AX346,坦克属性分配比例,MATCH("部件比例",坦克属性分配比例标头,0),FALSE)*$C$3),0)</f>
        <v>760</v>
      </c>
      <c r="BC346" s="654">
        <f ca="1">ROUND(VLOOKUP($AW346&amp;"初始",$O$3:$AA$63,MATCH(BC$3,$O$3:$AA$3,0),FALSE)+(VLOOKUP($AW346&amp;"最终",$O$3:$AA$63,MATCH(BC$3,$O$3:$AA$3,0),FALSE)-VLOOKUP($AW346&amp;"初始",$O$3:$AA$63,MATCH(BC$3,$O$3:$AA$3,0),FALSE))*$AY346/VLOOKUP(VLOOKUP($AW346,坦克个性化设定!$B$18:$E$48,4,FALSE)&amp;$AX346,坦克属性分配比例,MATCH("升星次数",坦克属性分配比例标头,0),FALSE)*(VLOOKUP(VLOOKUP($AW346,坦克个性化设定!$B$18:$E$48,4,FALSE)&amp;$AX346,坦克属性分配比例,MATCH("升星比例",坦克属性分配比例标头,0),FALSE)+VLOOKUP(VLOOKUP($AW346,坦克个性化设定!$B$18:$E$48,4,FALSE)&amp;$AX346,坦克属性分配比例,MATCH("部件比例",坦克属性分配比例标头,0),FALSE)*$C$3),0)</f>
        <v>608</v>
      </c>
      <c r="BD346" s="654">
        <f ca="1">ROUND(VLOOKUP($AW346&amp;"初始",$O$3:$AA$63,MATCH(BD$3,$O$3:$AA$3,0),FALSE)+(VLOOKUP($AW346&amp;"最终",$O$3:$AA$63,MATCH(BD$3,$O$3:$AA$3,0),FALSE)-VLOOKUP($AW346&amp;"初始",$O$3:$AA$63,MATCH(BD$3,$O$3:$AA$3,0),FALSE))*$AY346/VLOOKUP(VLOOKUP($AW346,坦克个性化设定!$B$18:$E$48,4,FALSE)&amp;$AX346,坦克属性分配比例,MATCH("升星次数",坦克属性分配比例标头,0),FALSE)*VLOOKUP(VLOOKUP($AW346,坦克个性化设定!$B$18:$E$48,4,FALSE)&amp;$AX346,坦克属性分配比例,MATCH("升星比例",坦克属性分配比例标头,0),FALSE),0)</f>
        <v>955</v>
      </c>
      <c r="BE346" s="654">
        <f ca="1">ROUND(VLOOKUP($AW346&amp;"初始",$O$3:$AA$63,MATCH(BE$3,$O$3:$AA$3,0),FALSE)+(VLOOKUP($AW346&amp;"最终",$O$3:$AA$63,MATCH(BE$3,$O$3:$AA$3,0),FALSE)-VLOOKUP($AW346&amp;"初始",$O$3:$AA$63,MATCH(BE$3,$O$3:$AA$3,0),FALSE))*$AY346/VLOOKUP(VLOOKUP($AW346,坦克个性化设定!$B$18:$E$48,4,FALSE)&amp;$AX346,坦克属性分配比例,MATCH("升星次数",坦克属性分配比例标头,0),FALSE),0)</f>
        <v>239</v>
      </c>
      <c r="BF346" s="654">
        <f>ROUND(VLOOKUP($AW346,$AD$3:$AJ$33,MATCH(BF$3,$AD$3:$AJ$3,0),FALSE)+$AY346/VLOOKUP(VLOOKUP($AW346,坦克个性化设定!$B$18:$E$48,4,FALSE)&amp;$AX346,坦克属性分配比例,MATCH("升星次数",坦克属性分配比例标头,0),FALSE)*VLOOKUP($AW346,$AM$3:$AS$33,MATCH(BF$3,$AM$3:$AS$3,0),FALSE),1)</f>
        <v>34.799999999999997</v>
      </c>
      <c r="BG346" s="654">
        <f>ROUND(VLOOKUP($AW346,$AD$3:$AJ$33,MATCH(BG$3,$AD$3:$AJ$3,0),FALSE)+$AY346/VLOOKUP(VLOOKUP($AW346,坦克个性化设定!$B$18:$E$48,4,FALSE)&amp;$AX346,坦克属性分配比例,MATCH("升星次数",坦克属性分配比例标头,0),FALSE)*VLOOKUP($AW346,$AM$3:$AS$33,MATCH(BG$3,$AM$3:$AS$3,0),FALSE),1)</f>
        <v>48.6</v>
      </c>
      <c r="BH346" s="654">
        <f>ROUND(VLOOKUP($AW346,$AD$3:$AJ$33,MATCH(BH$3,$AD$3:$AJ$3,0),FALSE)+$AY346/VLOOKUP(VLOOKUP($AW346,坦克个性化设定!$B$18:$E$48,4,FALSE)&amp;$AX346,坦克属性分配比例,MATCH("升星次数",坦克属性分配比例标头,0),FALSE)*VLOOKUP($AW346,$AM$3:$AS$33,MATCH(BH$3,$AM$3:$AS$3,0),FALSE),1)</f>
        <v>10.7</v>
      </c>
      <c r="BI346" s="654">
        <f>IF(VLOOKUP(AW346,坦克个性化设定!$B$18:$BB$48,MATCH("装弹类型",坦克个性化设定!$B$18:$BB$18,0),FALSE)="弹夹换弹",0,ROUND(VLOOKUP($AW346,$AD$3:$AJ$33,MATCH("换弹时间",$AD$3:$AJ$3,0),FALSE)-$AY346/VLOOKUP(VLOOKUP($AW346,坦克个性化设定!$B$18:$E$48,4,FALSE)&amp;$AX346,坦克属性分配比例,MATCH("升星次数",坦克属性分配比例标头,0),FALSE)*VLOOKUP($AW346,$AM$3:$AS$33,MATCH("换弹时间",$AM$3:$AS$3,0),FALSE),2))</f>
        <v>5.65</v>
      </c>
      <c r="BJ346" s="654">
        <f>IF(VLOOKUP(AW346,坦克个性化设定!$B$18:$BB$48,MATCH("装弹类型",坦克个性化设定!$B$18:$BB$18,0),FALSE)="弹夹换弹",ROUND(VLOOKUP($AW346,$AD$3:$AJ$33,MATCH("换弹时间",$AD$3:$AJ$3,0),FALSE)-$AY346/VLOOKUP(VLOOKUP($AW346,坦克个性化设定!$B$18:$E$48,4,FALSE)&amp;$AX346,坦克属性分配比例,MATCH("升星次数",坦克属性分配比例标头,0),FALSE)*VLOOKUP($AW346,$AM$3:$AS$33,MATCH("换弹时间",$AM$3:$AS$3,0),FALSE),1),0)</f>
        <v>0</v>
      </c>
      <c r="BK346" s="654">
        <f>ROUND(VLOOKUP($AW346,$AD$3:$AJ$33,MATCH(BK$3,$AD$3:$AJ$3,0),FALSE)+$AY346/VLOOKUP(VLOOKUP($AW346,坦克个性化设定!$B$18:$E$48,4,FALSE)&amp;$AX346,坦克属性分配比例,MATCH("升星次数",坦克属性分配比例标头,0),FALSE)*VLOOKUP($AW346,$AM$3:$AS$33,MATCH(BK$3,$AM$3:$AS$3,0),FALSE),2)</f>
        <v>0</v>
      </c>
      <c r="BL346" s="654">
        <f>ROUND(VLOOKUP($AW346,$AD$3:$AJ$33,MATCH(BL$3,$AD$3:$AJ$3,0),FALSE)-$AY346/VLOOKUP(VLOOKUP($AW346,坦克个性化设定!$B$18:$E$48,4,FALSE)&amp;$AX346,坦克属性分配比例,MATCH("升星次数",坦克属性分配比例标头,0),FALSE)*VLOOKUP($AW346,$AM$3:$AS$33,MATCH(BL$3,$AM$3:$AS$3,0),FALSE),2)</f>
        <v>2.88</v>
      </c>
    </row>
    <row r="347" spans="47:64" x14ac:dyDescent="0.35">
      <c r="AU347" s="372" t="str">
        <f t="shared" si="33"/>
        <v>T-325</v>
      </c>
      <c r="AV347" s="654">
        <f>IF(AY346&gt;=VLOOKUP(VLOOKUP(AW346,坦克个性化设定!$B$18:$E$48,4,FALSE)&amp;AX346,坦克属性分配比例,MATCH("升星次数",坦克属性分配比例标头,0),FALSE),AV346+1,AV346)</f>
        <v>29</v>
      </c>
      <c r="AW347" s="649" t="str">
        <f t="shared" si="34"/>
        <v>T-32</v>
      </c>
      <c r="AX347" s="650" t="str">
        <f>VLOOKUP(AW347,坦克个性化细分!$I$3:$J$33,2,FALSE)</f>
        <v>高</v>
      </c>
      <c r="AY347" s="654">
        <f t="shared" si="35"/>
        <v>5</v>
      </c>
      <c r="AZ347" s="654">
        <f ca="1">ROUND(VLOOKUP($AW347&amp;"初始",$O$3:$AA$63,MATCH(AZ$3,$O$3:$AA$3,0),FALSE)+((VLOOKUP($AW347&amp;"最终",$O$3:$AA$63,MATCH(AZ$3,$O$3:$AA$3,0),FALSE)*坦克个性化细分!$C$9-VLOOKUP($AW347&amp;"初始",$O$3:$AA$63,MATCH(AZ$3,$O$3:$AA$3,0),FALSE))-(VLOOKUP($AW347&amp;"最终",$O$3:$AA$63,MATCH(AZ$3,$O$3:$AA$3,0),FALSE)-VLOOKUP($AW347&amp;"初始",$O$3:$AA$63,MATCH(AZ$3,$O$3:$AA$3,0),FALSE))*VLOOKUP(VLOOKUP($AW347,坦克个性化设定!$B$18:$E$48,4,FALSE)&amp;$AX347,坦克属性分配比例,MATCH("部件比例",坦克属性分配比例标头,0),FALSE))*$AY347/VLOOKUP(VLOOKUP($AW347,坦克个性化设定!$B$18:$E$48,4,FALSE)&amp;$AX347,坦克属性分配比例,MATCH("升星次数",坦克属性分配比例标头,0),FALSE),0)</f>
        <v>2629</v>
      </c>
      <c r="BA347" s="654">
        <f ca="1">ROUND(VLOOKUP($AW347&amp;"初始",$O$3:$AA$63,MATCH(BA$3,$O$3:$AA$3,0),FALSE)+(VLOOKUP($AW347&amp;"最终",$O$3:$AA$63,MATCH(BA$3,$O$3:$AA$3,0),FALSE)-VLOOKUP($AW347&amp;"初始",$O$3:$AA$63,MATCH(BA$3,$O$3:$AA$3,0),FALSE))*$AY347/VLOOKUP(VLOOKUP($AW347,坦克个性化设定!$B$18:$E$48,4,FALSE)&amp;$AX347,坦克属性分配比例,MATCH("升星次数",坦克属性分配比例标头,0),FALSE)*VLOOKUP(VLOOKUP($AW347,坦克个性化设定!$B$18:$E$48,4,FALSE)&amp;$AX347,坦克属性分配比例,MATCH("升星比例",坦克属性分配比例标头,0),FALSE),0)</f>
        <v>442</v>
      </c>
      <c r="BB347" s="654">
        <f ca="1">ROUND(VLOOKUP($AW347&amp;"初始",$O$3:$AA$63,MATCH(BB$3,$O$3:$AA$3,0),FALSE)+(VLOOKUP($AW347&amp;"最终",$O$3:$AA$63,MATCH(BB$3,$O$3:$AA$3,0),FALSE)-VLOOKUP($AW347&amp;"初始",$O$3:$AA$63,MATCH(BB$3,$O$3:$AA$3,0),FALSE))*$AY347/VLOOKUP(VLOOKUP($AW347,坦克个性化设定!$B$18:$E$48,4,FALSE)&amp;$AX347,坦克属性分配比例,MATCH("升星次数",坦克属性分配比例标头,0),FALSE)*(VLOOKUP(VLOOKUP($AW347,坦克个性化设定!$B$18:$E$48,4,FALSE)&amp;$AX347,坦克属性分配比例,MATCH("升星比例",坦克属性分配比例标头,0),FALSE)+VLOOKUP(VLOOKUP($AW347,坦克个性化设定!$B$18:$E$48,4,FALSE)&amp;$AX347,坦克属性分配比例,MATCH("部件比例",坦克属性分配比例标头,0),FALSE)*$C$3),0)</f>
        <v>788</v>
      </c>
      <c r="BC347" s="654">
        <f ca="1">ROUND(VLOOKUP($AW347&amp;"初始",$O$3:$AA$63,MATCH(BC$3,$O$3:$AA$3,0),FALSE)+(VLOOKUP($AW347&amp;"最终",$O$3:$AA$63,MATCH(BC$3,$O$3:$AA$3,0),FALSE)-VLOOKUP($AW347&amp;"初始",$O$3:$AA$63,MATCH(BC$3,$O$3:$AA$3,0),FALSE))*$AY347/VLOOKUP(VLOOKUP($AW347,坦克个性化设定!$B$18:$E$48,4,FALSE)&amp;$AX347,坦克属性分配比例,MATCH("升星次数",坦克属性分配比例标头,0),FALSE)*(VLOOKUP(VLOOKUP($AW347,坦克个性化设定!$B$18:$E$48,4,FALSE)&amp;$AX347,坦克属性分配比例,MATCH("升星比例",坦克属性分配比例标头,0),FALSE)+VLOOKUP(VLOOKUP($AW347,坦克个性化设定!$B$18:$E$48,4,FALSE)&amp;$AX347,坦克属性分配比例,MATCH("部件比例",坦克属性分配比例标头,0),FALSE)*$C$3),0)</f>
        <v>631</v>
      </c>
      <c r="BD347" s="654">
        <f ca="1">ROUND(VLOOKUP($AW347&amp;"初始",$O$3:$AA$63,MATCH(BD$3,$O$3:$AA$3,0),FALSE)+(VLOOKUP($AW347&amp;"最终",$O$3:$AA$63,MATCH(BD$3,$O$3:$AA$3,0),FALSE)-VLOOKUP($AW347&amp;"初始",$O$3:$AA$63,MATCH(BD$3,$O$3:$AA$3,0),FALSE))*$AY347/VLOOKUP(VLOOKUP($AW347,坦克个性化设定!$B$18:$E$48,4,FALSE)&amp;$AX347,坦克属性分配比例,MATCH("升星次数",坦克属性分配比例标头,0),FALSE)*VLOOKUP(VLOOKUP($AW347,坦克个性化设定!$B$18:$E$48,4,FALSE)&amp;$AX347,坦克属性分配比例,MATCH("升星比例",坦克属性分配比例标头,0),FALSE),0)</f>
        <v>977</v>
      </c>
      <c r="BE347" s="654">
        <f ca="1">ROUND(VLOOKUP($AW347&amp;"初始",$O$3:$AA$63,MATCH(BE$3,$O$3:$AA$3,0),FALSE)+(VLOOKUP($AW347&amp;"最终",$O$3:$AA$63,MATCH(BE$3,$O$3:$AA$3,0),FALSE)-VLOOKUP($AW347&amp;"初始",$O$3:$AA$63,MATCH(BE$3,$O$3:$AA$3,0),FALSE))*$AY347/VLOOKUP(VLOOKUP($AW347,坦克个性化设定!$B$18:$E$48,4,FALSE)&amp;$AX347,坦克属性分配比例,MATCH("升星次数",坦克属性分配比例标头,0),FALSE),0)</f>
        <v>250</v>
      </c>
      <c r="BF347" s="654">
        <f>ROUND(VLOOKUP($AW347,$AD$3:$AJ$33,MATCH(BF$3,$AD$3:$AJ$3,0),FALSE)+$AY347/VLOOKUP(VLOOKUP($AW347,坦克个性化设定!$B$18:$E$48,4,FALSE)&amp;$AX347,坦克属性分配比例,MATCH("升星次数",坦克属性分配比例标头,0),FALSE)*VLOOKUP($AW347,$AM$3:$AS$33,MATCH(BF$3,$AM$3:$AS$3,0),FALSE),1)</f>
        <v>35.299999999999997</v>
      </c>
      <c r="BG347" s="654">
        <f>ROUND(VLOOKUP($AW347,$AD$3:$AJ$33,MATCH(BG$3,$AD$3:$AJ$3,0),FALSE)+$AY347/VLOOKUP(VLOOKUP($AW347,坦克个性化设定!$B$18:$E$48,4,FALSE)&amp;$AX347,坦克属性分配比例,MATCH("升星次数",坦克属性分配比例标头,0),FALSE)*VLOOKUP($AW347,$AM$3:$AS$33,MATCH(BG$3,$AM$3:$AS$3,0),FALSE),1)</f>
        <v>49.3</v>
      </c>
      <c r="BH347" s="654">
        <f>ROUND(VLOOKUP($AW347,$AD$3:$AJ$33,MATCH(BH$3,$AD$3:$AJ$3,0),FALSE)+$AY347/VLOOKUP(VLOOKUP($AW347,坦克个性化设定!$B$18:$E$48,4,FALSE)&amp;$AX347,坦克属性分配比例,MATCH("升星次数",坦克属性分配比例标头,0),FALSE)*VLOOKUP($AW347,$AM$3:$AS$33,MATCH(BH$3,$AM$3:$AS$3,0),FALSE),1)</f>
        <v>10.9</v>
      </c>
      <c r="BI347" s="654">
        <f>IF(VLOOKUP(AW347,坦克个性化设定!$B$18:$BB$48,MATCH("装弹类型",坦克个性化设定!$B$18:$BB$18,0),FALSE)="弹夹换弹",0,ROUND(VLOOKUP($AW347,$AD$3:$AJ$33,MATCH("换弹时间",$AD$3:$AJ$3,0),FALSE)-$AY347/VLOOKUP(VLOOKUP($AW347,坦克个性化设定!$B$18:$E$48,4,FALSE)&amp;$AX347,坦克属性分配比例,MATCH("升星次数",坦克属性分配比例标头,0),FALSE)*VLOOKUP($AW347,$AM$3:$AS$33,MATCH("换弹时间",$AM$3:$AS$3,0),FALSE),2))</f>
        <v>5.56</v>
      </c>
      <c r="BJ347" s="654">
        <f>IF(VLOOKUP(AW347,坦克个性化设定!$B$18:$BB$48,MATCH("装弹类型",坦克个性化设定!$B$18:$BB$18,0),FALSE)="弹夹换弹",ROUND(VLOOKUP($AW347,$AD$3:$AJ$33,MATCH("换弹时间",$AD$3:$AJ$3,0),FALSE)-$AY347/VLOOKUP(VLOOKUP($AW347,坦克个性化设定!$B$18:$E$48,4,FALSE)&amp;$AX347,坦克属性分配比例,MATCH("升星次数",坦克属性分配比例标头,0),FALSE)*VLOOKUP($AW347,$AM$3:$AS$33,MATCH("换弹时间",$AM$3:$AS$3,0),FALSE),1),0)</f>
        <v>0</v>
      </c>
      <c r="BK347" s="654">
        <f>ROUND(VLOOKUP($AW347,$AD$3:$AJ$33,MATCH(BK$3,$AD$3:$AJ$3,0),FALSE)+$AY347/VLOOKUP(VLOOKUP($AW347,坦克个性化设定!$B$18:$E$48,4,FALSE)&amp;$AX347,坦克属性分配比例,MATCH("升星次数",坦克属性分配比例标头,0),FALSE)*VLOOKUP($AW347,$AM$3:$AS$33,MATCH(BK$3,$AM$3:$AS$3,0),FALSE),2)</f>
        <v>0</v>
      </c>
      <c r="BL347" s="654">
        <f>ROUND(VLOOKUP($AW347,$AD$3:$AJ$33,MATCH(BL$3,$AD$3:$AJ$3,0),FALSE)-$AY347/VLOOKUP(VLOOKUP($AW347,坦克个性化设定!$B$18:$E$48,4,FALSE)&amp;$AX347,坦克属性分配比例,MATCH("升星次数",坦克属性分配比例标头,0),FALSE)*VLOOKUP($AW347,$AM$3:$AS$33,MATCH(BL$3,$AM$3:$AS$3,0),FALSE),2)</f>
        <v>2.85</v>
      </c>
    </row>
    <row r="348" spans="47:64" x14ac:dyDescent="0.35">
      <c r="AU348" s="372" t="str">
        <f t="shared" si="33"/>
        <v>T-326</v>
      </c>
      <c r="AV348" s="654">
        <f>IF(AY347&gt;=VLOOKUP(VLOOKUP(AW347,坦克个性化设定!$B$18:$E$48,4,FALSE)&amp;AX347,坦克属性分配比例,MATCH("升星次数",坦克属性分配比例标头,0),FALSE),AV347+1,AV347)</f>
        <v>29</v>
      </c>
      <c r="AW348" s="649" t="str">
        <f t="shared" si="34"/>
        <v>T-32</v>
      </c>
      <c r="AX348" s="650" t="str">
        <f>VLOOKUP(AW348,坦克个性化细分!$I$3:$J$33,2,FALSE)</f>
        <v>高</v>
      </c>
      <c r="AY348" s="654">
        <f t="shared" si="35"/>
        <v>6</v>
      </c>
      <c r="AZ348" s="654">
        <f ca="1">ROUND(VLOOKUP($AW348&amp;"初始",$O$3:$AA$63,MATCH(AZ$3,$O$3:$AA$3,0),FALSE)+((VLOOKUP($AW348&amp;"最终",$O$3:$AA$63,MATCH(AZ$3,$O$3:$AA$3,0),FALSE)*坦克个性化细分!$C$9-VLOOKUP($AW348&amp;"初始",$O$3:$AA$63,MATCH(AZ$3,$O$3:$AA$3,0),FALSE))-(VLOOKUP($AW348&amp;"最终",$O$3:$AA$63,MATCH(AZ$3,$O$3:$AA$3,0),FALSE)-VLOOKUP($AW348&amp;"初始",$O$3:$AA$63,MATCH(AZ$3,$O$3:$AA$3,0),FALSE))*VLOOKUP(VLOOKUP($AW348,坦克个性化设定!$B$18:$E$48,4,FALSE)&amp;$AX348,坦克属性分配比例,MATCH("部件比例",坦克属性分配比例标头,0),FALSE))*$AY348/VLOOKUP(VLOOKUP($AW348,坦克个性化设定!$B$18:$E$48,4,FALSE)&amp;$AX348,坦克属性分配比例,MATCH("升星次数",坦克属性分配比例标头,0),FALSE),0)</f>
        <v>2751</v>
      </c>
      <c r="BA348" s="654">
        <f ca="1">ROUND(VLOOKUP($AW348&amp;"初始",$O$3:$AA$63,MATCH(BA$3,$O$3:$AA$3,0),FALSE)+(VLOOKUP($AW348&amp;"最终",$O$3:$AA$63,MATCH(BA$3,$O$3:$AA$3,0),FALSE)-VLOOKUP($AW348&amp;"初始",$O$3:$AA$63,MATCH(BA$3,$O$3:$AA$3,0),FALSE))*$AY348/VLOOKUP(VLOOKUP($AW348,坦克个性化设定!$B$18:$E$48,4,FALSE)&amp;$AX348,坦克属性分配比例,MATCH("升星次数",坦克属性分配比例标头,0),FALSE)*VLOOKUP(VLOOKUP($AW348,坦克个性化设定!$B$18:$E$48,4,FALSE)&amp;$AX348,坦克属性分配比例,MATCH("升星比例",坦克属性分配比例标头,0),FALSE),0)</f>
        <v>453</v>
      </c>
      <c r="BB348" s="654">
        <f ca="1">ROUND(VLOOKUP($AW348&amp;"初始",$O$3:$AA$63,MATCH(BB$3,$O$3:$AA$3,0),FALSE)+(VLOOKUP($AW348&amp;"最终",$O$3:$AA$63,MATCH(BB$3,$O$3:$AA$3,0),FALSE)-VLOOKUP($AW348&amp;"初始",$O$3:$AA$63,MATCH(BB$3,$O$3:$AA$3,0),FALSE))*$AY348/VLOOKUP(VLOOKUP($AW348,坦克个性化设定!$B$18:$E$48,4,FALSE)&amp;$AX348,坦克属性分配比例,MATCH("升星次数",坦克属性分配比例标头,0),FALSE)*(VLOOKUP(VLOOKUP($AW348,坦克个性化设定!$B$18:$E$48,4,FALSE)&amp;$AX348,坦克属性分配比例,MATCH("升星比例",坦克属性分配比例标头,0),FALSE)+VLOOKUP(VLOOKUP($AW348,坦克个性化设定!$B$18:$E$48,4,FALSE)&amp;$AX348,坦克属性分配比例,MATCH("部件比例",坦克属性分配比例标头,0),FALSE)*$C$3),0)</f>
        <v>817</v>
      </c>
      <c r="BC348" s="654">
        <f ca="1">ROUND(VLOOKUP($AW348&amp;"初始",$O$3:$AA$63,MATCH(BC$3,$O$3:$AA$3,0),FALSE)+(VLOOKUP($AW348&amp;"最终",$O$3:$AA$63,MATCH(BC$3,$O$3:$AA$3,0),FALSE)-VLOOKUP($AW348&amp;"初始",$O$3:$AA$63,MATCH(BC$3,$O$3:$AA$3,0),FALSE))*$AY348/VLOOKUP(VLOOKUP($AW348,坦克个性化设定!$B$18:$E$48,4,FALSE)&amp;$AX348,坦克属性分配比例,MATCH("升星次数",坦克属性分配比例标头,0),FALSE)*(VLOOKUP(VLOOKUP($AW348,坦克个性化设定!$B$18:$E$48,4,FALSE)&amp;$AX348,坦克属性分配比例,MATCH("升星比例",坦克属性分配比例标头,0),FALSE)+VLOOKUP(VLOOKUP($AW348,坦克个性化设定!$B$18:$E$48,4,FALSE)&amp;$AX348,坦克属性分配比例,MATCH("部件比例",坦克属性分配比例标头,0),FALSE)*$C$3),0)</f>
        <v>654</v>
      </c>
      <c r="BD348" s="654">
        <f ca="1">ROUND(VLOOKUP($AW348&amp;"初始",$O$3:$AA$63,MATCH(BD$3,$O$3:$AA$3,0),FALSE)+(VLOOKUP($AW348&amp;"最终",$O$3:$AA$63,MATCH(BD$3,$O$3:$AA$3,0),FALSE)-VLOOKUP($AW348&amp;"初始",$O$3:$AA$63,MATCH(BD$3,$O$3:$AA$3,0),FALSE))*$AY348/VLOOKUP(VLOOKUP($AW348,坦克个性化设定!$B$18:$E$48,4,FALSE)&amp;$AX348,坦克属性分配比例,MATCH("升星次数",坦克属性分配比例标头,0),FALSE)*VLOOKUP(VLOOKUP($AW348,坦克个性化设定!$B$18:$E$48,4,FALSE)&amp;$AX348,坦克属性分配比例,MATCH("升星比例",坦克属性分配比例标头,0),FALSE),0)</f>
        <v>1000</v>
      </c>
      <c r="BE348" s="654">
        <f ca="1">ROUND(VLOOKUP($AW348&amp;"初始",$O$3:$AA$63,MATCH(BE$3,$O$3:$AA$3,0),FALSE)+(VLOOKUP($AW348&amp;"最终",$O$3:$AA$63,MATCH(BE$3,$O$3:$AA$3,0),FALSE)-VLOOKUP($AW348&amp;"初始",$O$3:$AA$63,MATCH(BE$3,$O$3:$AA$3,0),FALSE))*$AY348/VLOOKUP(VLOOKUP($AW348,坦克个性化设定!$B$18:$E$48,4,FALSE)&amp;$AX348,坦克属性分配比例,MATCH("升星次数",坦克属性分配比例标头,0),FALSE),0)</f>
        <v>261</v>
      </c>
      <c r="BF348" s="654">
        <f>ROUND(VLOOKUP($AW348,$AD$3:$AJ$33,MATCH(BF$3,$AD$3:$AJ$3,0),FALSE)+$AY348/VLOOKUP(VLOOKUP($AW348,坦克个性化设定!$B$18:$E$48,4,FALSE)&amp;$AX348,坦克属性分配比例,MATCH("升星次数",坦克属性分配比例标头,0),FALSE)*VLOOKUP($AW348,$AM$3:$AS$33,MATCH(BF$3,$AM$3:$AS$3,0),FALSE),1)</f>
        <v>35.799999999999997</v>
      </c>
      <c r="BG348" s="654">
        <f>ROUND(VLOOKUP($AW348,$AD$3:$AJ$33,MATCH(BG$3,$AD$3:$AJ$3,0),FALSE)+$AY348/VLOOKUP(VLOOKUP($AW348,坦克个性化设定!$B$18:$E$48,4,FALSE)&amp;$AX348,坦克属性分配比例,MATCH("升星次数",坦克属性分配比例标头,0),FALSE)*VLOOKUP($AW348,$AM$3:$AS$33,MATCH(BG$3,$AM$3:$AS$3,0),FALSE),1)</f>
        <v>50</v>
      </c>
      <c r="BH348" s="654">
        <f>ROUND(VLOOKUP($AW348,$AD$3:$AJ$33,MATCH(BH$3,$AD$3:$AJ$3,0),FALSE)+$AY348/VLOOKUP(VLOOKUP($AW348,坦克个性化设定!$B$18:$E$48,4,FALSE)&amp;$AX348,坦克属性分配比例,MATCH("升星次数",坦克属性分配比例标头,0),FALSE)*VLOOKUP($AW348,$AM$3:$AS$33,MATCH(BH$3,$AM$3:$AS$3,0),FALSE),1)</f>
        <v>11</v>
      </c>
      <c r="BI348" s="654">
        <f>IF(VLOOKUP(AW348,坦克个性化设定!$B$18:$BB$48,MATCH("装弹类型",坦克个性化设定!$B$18:$BB$18,0),FALSE)="弹夹换弹",0,ROUND(VLOOKUP($AW348,$AD$3:$AJ$33,MATCH("换弹时间",$AD$3:$AJ$3,0),FALSE)-$AY348/VLOOKUP(VLOOKUP($AW348,坦克个性化设定!$B$18:$E$48,4,FALSE)&amp;$AX348,坦克属性分配比例,MATCH("升星次数",坦克属性分配比例标头,0),FALSE)*VLOOKUP($AW348,$AM$3:$AS$33,MATCH("换弹时间",$AM$3:$AS$3,0),FALSE),2))</f>
        <v>5.47</v>
      </c>
      <c r="BJ348" s="654">
        <f>IF(VLOOKUP(AW348,坦克个性化设定!$B$18:$BB$48,MATCH("装弹类型",坦克个性化设定!$B$18:$BB$18,0),FALSE)="弹夹换弹",ROUND(VLOOKUP($AW348,$AD$3:$AJ$33,MATCH("换弹时间",$AD$3:$AJ$3,0),FALSE)-$AY348/VLOOKUP(VLOOKUP($AW348,坦克个性化设定!$B$18:$E$48,4,FALSE)&amp;$AX348,坦克属性分配比例,MATCH("升星次数",坦克属性分配比例标头,0),FALSE)*VLOOKUP($AW348,$AM$3:$AS$33,MATCH("换弹时间",$AM$3:$AS$3,0),FALSE),1),0)</f>
        <v>0</v>
      </c>
      <c r="BK348" s="654">
        <f>ROUND(VLOOKUP($AW348,$AD$3:$AJ$33,MATCH(BK$3,$AD$3:$AJ$3,0),FALSE)+$AY348/VLOOKUP(VLOOKUP($AW348,坦克个性化设定!$B$18:$E$48,4,FALSE)&amp;$AX348,坦克属性分配比例,MATCH("升星次数",坦克属性分配比例标头,0),FALSE)*VLOOKUP($AW348,$AM$3:$AS$33,MATCH(BK$3,$AM$3:$AS$3,0),FALSE),2)</f>
        <v>0</v>
      </c>
      <c r="BL348" s="654">
        <f>ROUND(VLOOKUP($AW348,$AD$3:$AJ$33,MATCH(BL$3,$AD$3:$AJ$3,0),FALSE)-$AY348/VLOOKUP(VLOOKUP($AW348,坦克个性化设定!$B$18:$E$48,4,FALSE)&amp;$AX348,坦克属性分配比例,MATCH("升星次数",坦克属性分配比例标头,0),FALSE)*VLOOKUP($AW348,$AM$3:$AS$33,MATCH(BL$3,$AM$3:$AS$3,0),FALSE),2)</f>
        <v>2.82</v>
      </c>
    </row>
    <row r="349" spans="47:64" x14ac:dyDescent="0.35">
      <c r="AU349" s="372" t="str">
        <f t="shared" si="33"/>
        <v>T-327</v>
      </c>
      <c r="AV349" s="654">
        <f>IF(AY348&gt;=VLOOKUP(VLOOKUP(AW348,坦克个性化设定!$B$18:$E$48,4,FALSE)&amp;AX348,坦克属性分配比例,MATCH("升星次数",坦克属性分配比例标头,0),FALSE),AV348+1,AV348)</f>
        <v>29</v>
      </c>
      <c r="AW349" s="649" t="str">
        <f t="shared" si="34"/>
        <v>T-32</v>
      </c>
      <c r="AX349" s="650" t="str">
        <f>VLOOKUP(AW349,坦克个性化细分!$I$3:$J$33,2,FALSE)</f>
        <v>高</v>
      </c>
      <c r="AY349" s="654">
        <f t="shared" si="35"/>
        <v>7</v>
      </c>
      <c r="AZ349" s="654">
        <f ca="1">ROUND(VLOOKUP($AW349&amp;"初始",$O$3:$AA$63,MATCH(AZ$3,$O$3:$AA$3,0),FALSE)+((VLOOKUP($AW349&amp;"最终",$O$3:$AA$63,MATCH(AZ$3,$O$3:$AA$3,0),FALSE)*坦克个性化细分!$C$9-VLOOKUP($AW349&amp;"初始",$O$3:$AA$63,MATCH(AZ$3,$O$3:$AA$3,0),FALSE))-(VLOOKUP($AW349&amp;"最终",$O$3:$AA$63,MATCH(AZ$3,$O$3:$AA$3,0),FALSE)-VLOOKUP($AW349&amp;"初始",$O$3:$AA$63,MATCH(AZ$3,$O$3:$AA$3,0),FALSE))*VLOOKUP(VLOOKUP($AW349,坦克个性化设定!$B$18:$E$48,4,FALSE)&amp;$AX349,坦克属性分配比例,MATCH("部件比例",坦克属性分配比例标头,0),FALSE))*$AY349/VLOOKUP(VLOOKUP($AW349,坦克个性化设定!$B$18:$E$48,4,FALSE)&amp;$AX349,坦克属性分配比例,MATCH("升星次数",坦克属性分配比例标头,0),FALSE),0)</f>
        <v>2873</v>
      </c>
      <c r="BA349" s="654">
        <f ca="1">ROUND(VLOOKUP($AW349&amp;"初始",$O$3:$AA$63,MATCH(BA$3,$O$3:$AA$3,0),FALSE)+(VLOOKUP($AW349&amp;"最终",$O$3:$AA$63,MATCH(BA$3,$O$3:$AA$3,0),FALSE)-VLOOKUP($AW349&amp;"初始",$O$3:$AA$63,MATCH(BA$3,$O$3:$AA$3,0),FALSE))*$AY349/VLOOKUP(VLOOKUP($AW349,坦克个性化设定!$B$18:$E$48,4,FALSE)&amp;$AX349,坦克属性分配比例,MATCH("升星次数",坦克属性分配比例标头,0),FALSE)*VLOOKUP(VLOOKUP($AW349,坦克个性化设定!$B$18:$E$48,4,FALSE)&amp;$AX349,坦克属性分配比例,MATCH("升星比例",坦克属性分配比例标头,0),FALSE),0)</f>
        <v>463</v>
      </c>
      <c r="BB349" s="654">
        <f ca="1">ROUND(VLOOKUP($AW349&amp;"初始",$O$3:$AA$63,MATCH(BB$3,$O$3:$AA$3,0),FALSE)+(VLOOKUP($AW349&amp;"最终",$O$3:$AA$63,MATCH(BB$3,$O$3:$AA$3,0),FALSE)-VLOOKUP($AW349&amp;"初始",$O$3:$AA$63,MATCH(BB$3,$O$3:$AA$3,0),FALSE))*$AY349/VLOOKUP(VLOOKUP($AW349,坦克个性化设定!$B$18:$E$48,4,FALSE)&amp;$AX349,坦克属性分配比例,MATCH("升星次数",坦克属性分配比例标头,0),FALSE)*(VLOOKUP(VLOOKUP($AW349,坦克个性化设定!$B$18:$E$48,4,FALSE)&amp;$AX349,坦克属性分配比例,MATCH("升星比例",坦克属性分配比例标头,0),FALSE)+VLOOKUP(VLOOKUP($AW349,坦克个性化设定!$B$18:$E$48,4,FALSE)&amp;$AX349,坦克属性分配比例,MATCH("部件比例",坦克属性分配比例标头,0),FALSE)*$C$3),0)</f>
        <v>845</v>
      </c>
      <c r="BC349" s="654">
        <f ca="1">ROUND(VLOOKUP($AW349&amp;"初始",$O$3:$AA$63,MATCH(BC$3,$O$3:$AA$3,0),FALSE)+(VLOOKUP($AW349&amp;"最终",$O$3:$AA$63,MATCH(BC$3,$O$3:$AA$3,0),FALSE)-VLOOKUP($AW349&amp;"初始",$O$3:$AA$63,MATCH(BC$3,$O$3:$AA$3,0),FALSE))*$AY349/VLOOKUP(VLOOKUP($AW349,坦克个性化设定!$B$18:$E$48,4,FALSE)&amp;$AX349,坦克属性分配比例,MATCH("升星次数",坦克属性分配比例标头,0),FALSE)*(VLOOKUP(VLOOKUP($AW349,坦克个性化设定!$B$18:$E$48,4,FALSE)&amp;$AX349,坦克属性分配比例,MATCH("升星比例",坦克属性分配比例标头,0),FALSE)+VLOOKUP(VLOOKUP($AW349,坦克个性化设定!$B$18:$E$48,4,FALSE)&amp;$AX349,坦克属性分配比例,MATCH("部件比例",坦克属性分配比例标头,0),FALSE)*$C$3),0)</f>
        <v>676</v>
      </c>
      <c r="BD349" s="654">
        <f ca="1">ROUND(VLOOKUP($AW349&amp;"初始",$O$3:$AA$63,MATCH(BD$3,$O$3:$AA$3,0),FALSE)+(VLOOKUP($AW349&amp;"最终",$O$3:$AA$63,MATCH(BD$3,$O$3:$AA$3,0),FALSE)-VLOOKUP($AW349&amp;"初始",$O$3:$AA$63,MATCH(BD$3,$O$3:$AA$3,0),FALSE))*$AY349/VLOOKUP(VLOOKUP($AW349,坦克个性化设定!$B$18:$E$48,4,FALSE)&amp;$AX349,坦克属性分配比例,MATCH("升星次数",坦克属性分配比例标头,0),FALSE)*VLOOKUP(VLOOKUP($AW349,坦克个性化设定!$B$18:$E$48,4,FALSE)&amp;$AX349,坦克属性分配比例,MATCH("升星比例",坦克属性分配比例标头,0),FALSE),0)</f>
        <v>1022</v>
      </c>
      <c r="BE349" s="654">
        <f ca="1">ROUND(VLOOKUP($AW349&amp;"初始",$O$3:$AA$63,MATCH(BE$3,$O$3:$AA$3,0),FALSE)+(VLOOKUP($AW349&amp;"最终",$O$3:$AA$63,MATCH(BE$3,$O$3:$AA$3,0),FALSE)-VLOOKUP($AW349&amp;"初始",$O$3:$AA$63,MATCH(BE$3,$O$3:$AA$3,0),FALSE))*$AY349/VLOOKUP(VLOOKUP($AW349,坦克个性化设定!$B$18:$E$48,4,FALSE)&amp;$AX349,坦克属性分配比例,MATCH("升星次数",坦克属性分配比例标头,0),FALSE),0)</f>
        <v>272</v>
      </c>
      <c r="BF349" s="654">
        <f>ROUND(VLOOKUP($AW349,$AD$3:$AJ$33,MATCH(BF$3,$AD$3:$AJ$3,0),FALSE)+$AY349/VLOOKUP(VLOOKUP($AW349,坦克个性化设定!$B$18:$E$48,4,FALSE)&amp;$AX349,坦克属性分配比例,MATCH("升星次数",坦克属性分配比例标头,0),FALSE)*VLOOKUP($AW349,$AM$3:$AS$33,MATCH(BF$3,$AM$3:$AS$3,0),FALSE),1)</f>
        <v>36.299999999999997</v>
      </c>
      <c r="BG349" s="654">
        <f>ROUND(VLOOKUP($AW349,$AD$3:$AJ$33,MATCH(BG$3,$AD$3:$AJ$3,0),FALSE)+$AY349/VLOOKUP(VLOOKUP($AW349,坦克个性化设定!$B$18:$E$48,4,FALSE)&amp;$AX349,坦克属性分配比例,MATCH("升星次数",坦克属性分配比例标头,0),FALSE)*VLOOKUP($AW349,$AM$3:$AS$33,MATCH(BG$3,$AM$3:$AS$3,0),FALSE),1)</f>
        <v>50.6</v>
      </c>
      <c r="BH349" s="654">
        <f>ROUND(VLOOKUP($AW349,$AD$3:$AJ$33,MATCH(BH$3,$AD$3:$AJ$3,0),FALSE)+$AY349/VLOOKUP(VLOOKUP($AW349,坦克个性化设定!$B$18:$E$48,4,FALSE)&amp;$AX349,坦克属性分配比例,MATCH("升星次数",坦克属性分配比例标头,0),FALSE)*VLOOKUP($AW349,$AM$3:$AS$33,MATCH(BH$3,$AM$3:$AS$3,0),FALSE),1)</f>
        <v>11.2</v>
      </c>
      <c r="BI349" s="654">
        <f>IF(VLOOKUP(AW349,坦克个性化设定!$B$18:$BB$48,MATCH("装弹类型",坦克个性化设定!$B$18:$BB$18,0),FALSE)="弹夹换弹",0,ROUND(VLOOKUP($AW349,$AD$3:$AJ$33,MATCH("换弹时间",$AD$3:$AJ$3,0),FALSE)-$AY349/VLOOKUP(VLOOKUP($AW349,坦克个性化设定!$B$18:$E$48,4,FALSE)&amp;$AX349,坦克属性分配比例,MATCH("升星次数",坦克属性分配比例标头,0),FALSE)*VLOOKUP($AW349,$AM$3:$AS$33,MATCH("换弹时间",$AM$3:$AS$3,0),FALSE),2))</f>
        <v>5.39</v>
      </c>
      <c r="BJ349" s="654">
        <f>IF(VLOOKUP(AW349,坦克个性化设定!$B$18:$BB$48,MATCH("装弹类型",坦克个性化设定!$B$18:$BB$18,0),FALSE)="弹夹换弹",ROUND(VLOOKUP($AW349,$AD$3:$AJ$33,MATCH("换弹时间",$AD$3:$AJ$3,0),FALSE)-$AY349/VLOOKUP(VLOOKUP($AW349,坦克个性化设定!$B$18:$E$48,4,FALSE)&amp;$AX349,坦克属性分配比例,MATCH("升星次数",坦克属性分配比例标头,0),FALSE)*VLOOKUP($AW349,$AM$3:$AS$33,MATCH("换弹时间",$AM$3:$AS$3,0),FALSE),1),0)</f>
        <v>0</v>
      </c>
      <c r="BK349" s="654">
        <f>ROUND(VLOOKUP($AW349,$AD$3:$AJ$33,MATCH(BK$3,$AD$3:$AJ$3,0),FALSE)+$AY349/VLOOKUP(VLOOKUP($AW349,坦克个性化设定!$B$18:$E$48,4,FALSE)&amp;$AX349,坦克属性分配比例,MATCH("升星次数",坦克属性分配比例标头,0),FALSE)*VLOOKUP($AW349,$AM$3:$AS$33,MATCH(BK$3,$AM$3:$AS$3,0),FALSE),2)</f>
        <v>0</v>
      </c>
      <c r="BL349" s="654">
        <f>ROUND(VLOOKUP($AW349,$AD$3:$AJ$33,MATCH(BL$3,$AD$3:$AJ$3,0),FALSE)-$AY349/VLOOKUP(VLOOKUP($AW349,坦克个性化设定!$B$18:$E$48,4,FALSE)&amp;$AX349,坦克属性分配比例,MATCH("升星次数",坦克属性分配比例标头,0),FALSE)*VLOOKUP($AW349,$AM$3:$AS$33,MATCH(BL$3,$AM$3:$AS$3,0),FALSE),2)</f>
        <v>2.79</v>
      </c>
    </row>
    <row r="350" spans="47:64" x14ac:dyDescent="0.35">
      <c r="AU350" s="372" t="str">
        <f t="shared" si="33"/>
        <v>T-328</v>
      </c>
      <c r="AV350" s="654">
        <f>IF(AY349&gt;=VLOOKUP(VLOOKUP(AW349,坦克个性化设定!$B$18:$E$48,4,FALSE)&amp;AX349,坦克属性分配比例,MATCH("升星次数",坦克属性分配比例标头,0),FALSE),AV349+1,AV349)</f>
        <v>29</v>
      </c>
      <c r="AW350" s="649" t="str">
        <f t="shared" si="34"/>
        <v>T-32</v>
      </c>
      <c r="AX350" s="650" t="str">
        <f>VLOOKUP(AW350,坦克个性化细分!$I$3:$J$33,2,FALSE)</f>
        <v>高</v>
      </c>
      <c r="AY350" s="654">
        <f t="shared" si="35"/>
        <v>8</v>
      </c>
      <c r="AZ350" s="654">
        <f ca="1">ROUND(VLOOKUP($AW350&amp;"初始",$O$3:$AA$63,MATCH(AZ$3,$O$3:$AA$3,0),FALSE)+((VLOOKUP($AW350&amp;"最终",$O$3:$AA$63,MATCH(AZ$3,$O$3:$AA$3,0),FALSE)*坦克个性化细分!$C$9-VLOOKUP($AW350&amp;"初始",$O$3:$AA$63,MATCH(AZ$3,$O$3:$AA$3,0),FALSE))-(VLOOKUP($AW350&amp;"最终",$O$3:$AA$63,MATCH(AZ$3,$O$3:$AA$3,0),FALSE)-VLOOKUP($AW350&amp;"初始",$O$3:$AA$63,MATCH(AZ$3,$O$3:$AA$3,0),FALSE))*VLOOKUP(VLOOKUP($AW350,坦克个性化设定!$B$18:$E$48,4,FALSE)&amp;$AX350,坦克属性分配比例,MATCH("部件比例",坦克属性分配比例标头,0),FALSE))*$AY350/VLOOKUP(VLOOKUP($AW350,坦克个性化设定!$B$18:$E$48,4,FALSE)&amp;$AX350,坦克属性分配比例,MATCH("升星次数",坦克属性分配比例标头,0),FALSE),0)</f>
        <v>2995</v>
      </c>
      <c r="BA350" s="654">
        <f ca="1">ROUND(VLOOKUP($AW350&amp;"初始",$O$3:$AA$63,MATCH(BA$3,$O$3:$AA$3,0),FALSE)+(VLOOKUP($AW350&amp;"最终",$O$3:$AA$63,MATCH(BA$3,$O$3:$AA$3,0),FALSE)-VLOOKUP($AW350&amp;"初始",$O$3:$AA$63,MATCH(BA$3,$O$3:$AA$3,0),FALSE))*$AY350/VLOOKUP(VLOOKUP($AW350,坦克个性化设定!$B$18:$E$48,4,FALSE)&amp;$AX350,坦克属性分配比例,MATCH("升星次数",坦克属性分配比例标头,0),FALSE)*VLOOKUP(VLOOKUP($AW350,坦克个性化设定!$B$18:$E$48,4,FALSE)&amp;$AX350,坦克属性分配比例,MATCH("升星比例",坦克属性分配比例标头,0),FALSE),0)</f>
        <v>473</v>
      </c>
      <c r="BB350" s="654">
        <f ca="1">ROUND(VLOOKUP($AW350&amp;"初始",$O$3:$AA$63,MATCH(BB$3,$O$3:$AA$3,0),FALSE)+(VLOOKUP($AW350&amp;"最终",$O$3:$AA$63,MATCH(BB$3,$O$3:$AA$3,0),FALSE)-VLOOKUP($AW350&amp;"初始",$O$3:$AA$63,MATCH(BB$3,$O$3:$AA$3,0),FALSE))*$AY350/VLOOKUP(VLOOKUP($AW350,坦克个性化设定!$B$18:$E$48,4,FALSE)&amp;$AX350,坦克属性分配比例,MATCH("升星次数",坦克属性分配比例标头,0),FALSE)*(VLOOKUP(VLOOKUP($AW350,坦克个性化设定!$B$18:$E$48,4,FALSE)&amp;$AX350,坦克属性分配比例,MATCH("升星比例",坦克属性分配比例标头,0),FALSE)+VLOOKUP(VLOOKUP($AW350,坦克个性化设定!$B$18:$E$48,4,FALSE)&amp;$AX350,坦克属性分配比例,MATCH("部件比例",坦克属性分配比例标头,0),FALSE)*$C$3),0)</f>
        <v>873</v>
      </c>
      <c r="BC350" s="654">
        <f ca="1">ROUND(VLOOKUP($AW350&amp;"初始",$O$3:$AA$63,MATCH(BC$3,$O$3:$AA$3,0),FALSE)+(VLOOKUP($AW350&amp;"最终",$O$3:$AA$63,MATCH(BC$3,$O$3:$AA$3,0),FALSE)-VLOOKUP($AW350&amp;"初始",$O$3:$AA$63,MATCH(BC$3,$O$3:$AA$3,0),FALSE))*$AY350/VLOOKUP(VLOOKUP($AW350,坦克个性化设定!$B$18:$E$48,4,FALSE)&amp;$AX350,坦克属性分配比例,MATCH("升星次数",坦克属性分配比例标头,0),FALSE)*(VLOOKUP(VLOOKUP($AW350,坦克个性化设定!$B$18:$E$48,4,FALSE)&amp;$AX350,坦克属性分配比例,MATCH("升星比例",坦克属性分配比例标头,0),FALSE)+VLOOKUP(VLOOKUP($AW350,坦克个性化设定!$B$18:$E$48,4,FALSE)&amp;$AX350,坦克属性分配比例,MATCH("部件比例",坦克属性分配比例标头,0),FALSE)*$C$3),0)</f>
        <v>699</v>
      </c>
      <c r="BD350" s="654">
        <f ca="1">ROUND(VLOOKUP($AW350&amp;"初始",$O$3:$AA$63,MATCH(BD$3,$O$3:$AA$3,0),FALSE)+(VLOOKUP($AW350&amp;"最终",$O$3:$AA$63,MATCH(BD$3,$O$3:$AA$3,0),FALSE)-VLOOKUP($AW350&amp;"初始",$O$3:$AA$63,MATCH(BD$3,$O$3:$AA$3,0),FALSE))*$AY350/VLOOKUP(VLOOKUP($AW350,坦克个性化设定!$B$18:$E$48,4,FALSE)&amp;$AX350,坦克属性分配比例,MATCH("升星次数",坦克属性分配比例标头,0),FALSE)*VLOOKUP(VLOOKUP($AW350,坦克个性化设定!$B$18:$E$48,4,FALSE)&amp;$AX350,坦克属性分配比例,MATCH("升星比例",坦克属性分配比例标头,0),FALSE),0)</f>
        <v>1045</v>
      </c>
      <c r="BE350" s="654">
        <f ca="1">ROUND(VLOOKUP($AW350&amp;"初始",$O$3:$AA$63,MATCH(BE$3,$O$3:$AA$3,0),FALSE)+(VLOOKUP($AW350&amp;"最终",$O$3:$AA$63,MATCH(BE$3,$O$3:$AA$3,0),FALSE)-VLOOKUP($AW350&amp;"初始",$O$3:$AA$63,MATCH(BE$3,$O$3:$AA$3,0),FALSE))*$AY350/VLOOKUP(VLOOKUP($AW350,坦克个性化设定!$B$18:$E$48,4,FALSE)&amp;$AX350,坦克属性分配比例,MATCH("升星次数",坦克属性分配比例标头,0),FALSE),0)</f>
        <v>283</v>
      </c>
      <c r="BF350" s="654">
        <f>ROUND(VLOOKUP($AW350,$AD$3:$AJ$33,MATCH(BF$3,$AD$3:$AJ$3,0),FALSE)+$AY350/VLOOKUP(VLOOKUP($AW350,坦克个性化设定!$B$18:$E$48,4,FALSE)&amp;$AX350,坦克属性分配比例,MATCH("升星次数",坦克属性分配比例标头,0),FALSE)*VLOOKUP($AW350,$AM$3:$AS$33,MATCH(BF$3,$AM$3:$AS$3,0),FALSE),1)</f>
        <v>36.799999999999997</v>
      </c>
      <c r="BG350" s="654">
        <f>ROUND(VLOOKUP($AW350,$AD$3:$AJ$33,MATCH(BG$3,$AD$3:$AJ$3,0),FALSE)+$AY350/VLOOKUP(VLOOKUP($AW350,坦克个性化设定!$B$18:$E$48,4,FALSE)&amp;$AX350,坦克属性分配比例,MATCH("升星次数",坦克属性分配比例标头,0),FALSE)*VLOOKUP($AW350,$AM$3:$AS$33,MATCH(BG$3,$AM$3:$AS$3,0),FALSE),1)</f>
        <v>51.3</v>
      </c>
      <c r="BH350" s="654">
        <f>ROUND(VLOOKUP($AW350,$AD$3:$AJ$33,MATCH(BH$3,$AD$3:$AJ$3,0),FALSE)+$AY350/VLOOKUP(VLOOKUP($AW350,坦克个性化设定!$B$18:$E$48,4,FALSE)&amp;$AX350,坦克属性分配比例,MATCH("升星次数",坦克属性分配比例标头,0),FALSE)*VLOOKUP($AW350,$AM$3:$AS$33,MATCH(BH$3,$AM$3:$AS$3,0),FALSE),1)</f>
        <v>11.4</v>
      </c>
      <c r="BI350" s="654">
        <f>IF(VLOOKUP(AW350,坦克个性化设定!$B$18:$BB$48,MATCH("装弹类型",坦克个性化设定!$B$18:$BB$18,0),FALSE)="弹夹换弹",0,ROUND(VLOOKUP($AW350,$AD$3:$AJ$33,MATCH("换弹时间",$AD$3:$AJ$3,0),FALSE)-$AY350/VLOOKUP(VLOOKUP($AW350,坦克个性化设定!$B$18:$E$48,4,FALSE)&amp;$AX350,坦克属性分配比例,MATCH("升星次数",坦克属性分配比例标头,0),FALSE)*VLOOKUP($AW350,$AM$3:$AS$33,MATCH("换弹时间",$AM$3:$AS$3,0),FALSE),2))</f>
        <v>5.3</v>
      </c>
      <c r="BJ350" s="654">
        <f>IF(VLOOKUP(AW350,坦克个性化设定!$B$18:$BB$48,MATCH("装弹类型",坦克个性化设定!$B$18:$BB$18,0),FALSE)="弹夹换弹",ROUND(VLOOKUP($AW350,$AD$3:$AJ$33,MATCH("换弹时间",$AD$3:$AJ$3,0),FALSE)-$AY350/VLOOKUP(VLOOKUP($AW350,坦克个性化设定!$B$18:$E$48,4,FALSE)&amp;$AX350,坦克属性分配比例,MATCH("升星次数",坦克属性分配比例标头,0),FALSE)*VLOOKUP($AW350,$AM$3:$AS$33,MATCH("换弹时间",$AM$3:$AS$3,0),FALSE),1),0)</f>
        <v>0</v>
      </c>
      <c r="BK350" s="654">
        <f>ROUND(VLOOKUP($AW350,$AD$3:$AJ$33,MATCH(BK$3,$AD$3:$AJ$3,0),FALSE)+$AY350/VLOOKUP(VLOOKUP($AW350,坦克个性化设定!$B$18:$E$48,4,FALSE)&amp;$AX350,坦克属性分配比例,MATCH("升星次数",坦克属性分配比例标头,0),FALSE)*VLOOKUP($AW350,$AM$3:$AS$33,MATCH(BK$3,$AM$3:$AS$3,0),FALSE),2)</f>
        <v>0</v>
      </c>
      <c r="BL350" s="654">
        <f>ROUND(VLOOKUP($AW350,$AD$3:$AJ$33,MATCH(BL$3,$AD$3:$AJ$3,0),FALSE)-$AY350/VLOOKUP(VLOOKUP($AW350,坦克个性化设定!$B$18:$E$48,4,FALSE)&amp;$AX350,坦克属性分配比例,MATCH("升星次数",坦克属性分配比例标头,0),FALSE)*VLOOKUP($AW350,$AM$3:$AS$33,MATCH(BL$3,$AM$3:$AS$3,0),FALSE),2)</f>
        <v>2.76</v>
      </c>
    </row>
    <row r="351" spans="47:64" x14ac:dyDescent="0.35">
      <c r="AU351" s="372" t="str">
        <f t="shared" si="33"/>
        <v>T-329</v>
      </c>
      <c r="AV351" s="654">
        <f>IF(AY350&gt;=VLOOKUP(VLOOKUP(AW350,坦克个性化设定!$B$18:$E$48,4,FALSE)&amp;AX350,坦克属性分配比例,MATCH("升星次数",坦克属性分配比例标头,0),FALSE),AV350+1,AV350)</f>
        <v>29</v>
      </c>
      <c r="AW351" s="649" t="str">
        <f t="shared" si="34"/>
        <v>T-32</v>
      </c>
      <c r="AX351" s="650" t="str">
        <f>VLOOKUP(AW351,坦克个性化细分!$I$3:$J$33,2,FALSE)</f>
        <v>高</v>
      </c>
      <c r="AY351" s="654">
        <f t="shared" si="35"/>
        <v>9</v>
      </c>
      <c r="AZ351" s="654">
        <f ca="1">ROUND(VLOOKUP($AW351&amp;"初始",$O$3:$AA$63,MATCH(AZ$3,$O$3:$AA$3,0),FALSE)+((VLOOKUP($AW351&amp;"最终",$O$3:$AA$63,MATCH(AZ$3,$O$3:$AA$3,0),FALSE)*坦克个性化细分!$C$9-VLOOKUP($AW351&amp;"初始",$O$3:$AA$63,MATCH(AZ$3,$O$3:$AA$3,0),FALSE))-(VLOOKUP($AW351&amp;"最终",$O$3:$AA$63,MATCH(AZ$3,$O$3:$AA$3,0),FALSE)-VLOOKUP($AW351&amp;"初始",$O$3:$AA$63,MATCH(AZ$3,$O$3:$AA$3,0),FALSE))*VLOOKUP(VLOOKUP($AW351,坦克个性化设定!$B$18:$E$48,4,FALSE)&amp;$AX351,坦克属性分配比例,MATCH("部件比例",坦克属性分配比例标头,0),FALSE))*$AY351/VLOOKUP(VLOOKUP($AW351,坦克个性化设定!$B$18:$E$48,4,FALSE)&amp;$AX351,坦克属性分配比例,MATCH("升星次数",坦克属性分配比例标头,0),FALSE),0)</f>
        <v>3116</v>
      </c>
      <c r="BA351" s="654">
        <f ca="1">ROUND(VLOOKUP($AW351&amp;"初始",$O$3:$AA$63,MATCH(BA$3,$O$3:$AA$3,0),FALSE)+(VLOOKUP($AW351&amp;"最终",$O$3:$AA$63,MATCH(BA$3,$O$3:$AA$3,0),FALSE)-VLOOKUP($AW351&amp;"初始",$O$3:$AA$63,MATCH(BA$3,$O$3:$AA$3,0),FALSE))*$AY351/VLOOKUP(VLOOKUP($AW351,坦克个性化设定!$B$18:$E$48,4,FALSE)&amp;$AX351,坦克属性分配比例,MATCH("升星次数",坦克属性分配比例标头,0),FALSE)*VLOOKUP(VLOOKUP($AW351,坦克个性化设定!$B$18:$E$48,4,FALSE)&amp;$AX351,坦克属性分配比例,MATCH("升星比例",坦克属性分配比例标头,0),FALSE),0)</f>
        <v>483</v>
      </c>
      <c r="BB351" s="654">
        <f ca="1">ROUND(VLOOKUP($AW351&amp;"初始",$O$3:$AA$63,MATCH(BB$3,$O$3:$AA$3,0),FALSE)+(VLOOKUP($AW351&amp;"最终",$O$3:$AA$63,MATCH(BB$3,$O$3:$AA$3,0),FALSE)-VLOOKUP($AW351&amp;"初始",$O$3:$AA$63,MATCH(BB$3,$O$3:$AA$3,0),FALSE))*$AY351/VLOOKUP(VLOOKUP($AW351,坦克个性化设定!$B$18:$E$48,4,FALSE)&amp;$AX351,坦克属性分配比例,MATCH("升星次数",坦克属性分配比例标头,0),FALSE)*(VLOOKUP(VLOOKUP($AW351,坦克个性化设定!$B$18:$E$48,4,FALSE)&amp;$AX351,坦克属性分配比例,MATCH("升星比例",坦克属性分配比例标头,0),FALSE)+VLOOKUP(VLOOKUP($AW351,坦克个性化设定!$B$18:$E$48,4,FALSE)&amp;$AX351,坦克属性分配比例,MATCH("部件比例",坦克属性分配比例标头,0),FALSE)*$C$3),0)</f>
        <v>901</v>
      </c>
      <c r="BC351" s="654">
        <f ca="1">ROUND(VLOOKUP($AW351&amp;"初始",$O$3:$AA$63,MATCH(BC$3,$O$3:$AA$3,0),FALSE)+(VLOOKUP($AW351&amp;"最终",$O$3:$AA$63,MATCH(BC$3,$O$3:$AA$3,0),FALSE)-VLOOKUP($AW351&amp;"初始",$O$3:$AA$63,MATCH(BC$3,$O$3:$AA$3,0),FALSE))*$AY351/VLOOKUP(VLOOKUP($AW351,坦克个性化设定!$B$18:$E$48,4,FALSE)&amp;$AX351,坦克属性分配比例,MATCH("升星次数",坦克属性分配比例标头,0),FALSE)*(VLOOKUP(VLOOKUP($AW351,坦克个性化设定!$B$18:$E$48,4,FALSE)&amp;$AX351,坦克属性分配比例,MATCH("升星比例",坦克属性分配比例标头,0),FALSE)+VLOOKUP(VLOOKUP($AW351,坦克个性化设定!$B$18:$E$48,4,FALSE)&amp;$AX351,坦克属性分配比例,MATCH("部件比例",坦克属性分配比例标头,0),FALSE)*$C$3),0)</f>
        <v>721</v>
      </c>
      <c r="BD351" s="654">
        <f ca="1">ROUND(VLOOKUP($AW351&amp;"初始",$O$3:$AA$63,MATCH(BD$3,$O$3:$AA$3,0),FALSE)+(VLOOKUP($AW351&amp;"最终",$O$3:$AA$63,MATCH(BD$3,$O$3:$AA$3,0),FALSE)-VLOOKUP($AW351&amp;"初始",$O$3:$AA$63,MATCH(BD$3,$O$3:$AA$3,0),FALSE))*$AY351/VLOOKUP(VLOOKUP($AW351,坦克个性化设定!$B$18:$E$48,4,FALSE)&amp;$AX351,坦克属性分配比例,MATCH("升星次数",坦克属性分配比例标头,0),FALSE)*VLOOKUP(VLOOKUP($AW351,坦克个性化设定!$B$18:$E$48,4,FALSE)&amp;$AX351,坦克属性分配比例,MATCH("升星比例",坦克属性分配比例标头,0),FALSE),0)</f>
        <v>1067</v>
      </c>
      <c r="BE351" s="654">
        <f ca="1">ROUND(VLOOKUP($AW351&amp;"初始",$O$3:$AA$63,MATCH(BE$3,$O$3:$AA$3,0),FALSE)+(VLOOKUP($AW351&amp;"最终",$O$3:$AA$63,MATCH(BE$3,$O$3:$AA$3,0),FALSE)-VLOOKUP($AW351&amp;"初始",$O$3:$AA$63,MATCH(BE$3,$O$3:$AA$3,0),FALSE))*$AY351/VLOOKUP(VLOOKUP($AW351,坦克个性化设定!$B$18:$E$48,4,FALSE)&amp;$AX351,坦克属性分配比例,MATCH("升星次数",坦克属性分配比例标头,0),FALSE),0)</f>
        <v>293</v>
      </c>
      <c r="BF351" s="654">
        <f>ROUND(VLOOKUP($AW351,$AD$3:$AJ$33,MATCH(BF$3,$AD$3:$AJ$3,0),FALSE)+$AY351/VLOOKUP(VLOOKUP($AW351,坦克个性化设定!$B$18:$E$48,4,FALSE)&amp;$AX351,坦克属性分配比例,MATCH("升星次数",坦克属性分配比例标头,0),FALSE)*VLOOKUP($AW351,$AM$3:$AS$33,MATCH(BF$3,$AM$3:$AS$3,0),FALSE),1)</f>
        <v>37.299999999999997</v>
      </c>
      <c r="BG351" s="654">
        <f>ROUND(VLOOKUP($AW351,$AD$3:$AJ$33,MATCH(BG$3,$AD$3:$AJ$3,0),FALSE)+$AY351/VLOOKUP(VLOOKUP($AW351,坦克个性化设定!$B$18:$E$48,4,FALSE)&amp;$AX351,坦克属性分配比例,MATCH("升星次数",坦克属性分配比例标头,0),FALSE)*VLOOKUP($AW351,$AM$3:$AS$33,MATCH(BG$3,$AM$3:$AS$3,0),FALSE),1)</f>
        <v>52</v>
      </c>
      <c r="BH351" s="654">
        <f>ROUND(VLOOKUP($AW351,$AD$3:$AJ$33,MATCH(BH$3,$AD$3:$AJ$3,0),FALSE)+$AY351/VLOOKUP(VLOOKUP($AW351,坦克个性化设定!$B$18:$E$48,4,FALSE)&amp;$AX351,坦克属性分配比例,MATCH("升星次数",坦克属性分配比例标头,0),FALSE)*VLOOKUP($AW351,$AM$3:$AS$33,MATCH(BH$3,$AM$3:$AS$3,0),FALSE),1)</f>
        <v>11.6</v>
      </c>
      <c r="BI351" s="654">
        <f>IF(VLOOKUP(AW351,坦克个性化设定!$B$18:$BB$48,MATCH("装弹类型",坦克个性化设定!$B$18:$BB$18,0),FALSE)="弹夹换弹",0,ROUND(VLOOKUP($AW351,$AD$3:$AJ$33,MATCH("换弹时间",$AD$3:$AJ$3,0),FALSE)-$AY351/VLOOKUP(VLOOKUP($AW351,坦克个性化设定!$B$18:$E$48,4,FALSE)&amp;$AX351,坦克属性分配比例,MATCH("升星次数",坦克属性分配比例标头,0),FALSE)*VLOOKUP($AW351,$AM$3:$AS$33,MATCH("换弹时间",$AM$3:$AS$3,0),FALSE),2))</f>
        <v>5.21</v>
      </c>
      <c r="BJ351" s="654">
        <f>IF(VLOOKUP(AW351,坦克个性化设定!$B$18:$BB$48,MATCH("装弹类型",坦克个性化设定!$B$18:$BB$18,0),FALSE)="弹夹换弹",ROUND(VLOOKUP($AW351,$AD$3:$AJ$33,MATCH("换弹时间",$AD$3:$AJ$3,0),FALSE)-$AY351/VLOOKUP(VLOOKUP($AW351,坦克个性化设定!$B$18:$E$48,4,FALSE)&amp;$AX351,坦克属性分配比例,MATCH("升星次数",坦克属性分配比例标头,0),FALSE)*VLOOKUP($AW351,$AM$3:$AS$33,MATCH("换弹时间",$AM$3:$AS$3,0),FALSE),1),0)</f>
        <v>0</v>
      </c>
      <c r="BK351" s="654">
        <f>ROUND(VLOOKUP($AW351,$AD$3:$AJ$33,MATCH(BK$3,$AD$3:$AJ$3,0),FALSE)+$AY351/VLOOKUP(VLOOKUP($AW351,坦克个性化设定!$B$18:$E$48,4,FALSE)&amp;$AX351,坦克属性分配比例,MATCH("升星次数",坦克属性分配比例标头,0),FALSE)*VLOOKUP($AW351,$AM$3:$AS$33,MATCH(BK$3,$AM$3:$AS$3,0),FALSE),2)</f>
        <v>0</v>
      </c>
      <c r="BL351" s="654">
        <f>ROUND(VLOOKUP($AW351,$AD$3:$AJ$33,MATCH(BL$3,$AD$3:$AJ$3,0),FALSE)-$AY351/VLOOKUP(VLOOKUP($AW351,坦克个性化设定!$B$18:$E$48,4,FALSE)&amp;$AX351,坦克属性分配比例,MATCH("升星次数",坦克属性分配比例标头,0),FALSE)*VLOOKUP($AW351,$AM$3:$AS$33,MATCH(BL$3,$AM$3:$AS$3,0),FALSE),2)</f>
        <v>2.74</v>
      </c>
    </row>
    <row r="352" spans="47:64" x14ac:dyDescent="0.35">
      <c r="AU352" s="372" t="str">
        <f t="shared" si="33"/>
        <v>T-3210</v>
      </c>
      <c r="AV352" s="654">
        <f>IF(AY351&gt;=VLOOKUP(VLOOKUP(AW351,坦克个性化设定!$B$18:$E$48,4,FALSE)&amp;AX351,坦克属性分配比例,MATCH("升星次数",坦克属性分配比例标头,0),FALSE),AV351+1,AV351)</f>
        <v>29</v>
      </c>
      <c r="AW352" s="649" t="str">
        <f t="shared" si="34"/>
        <v>T-32</v>
      </c>
      <c r="AX352" s="650" t="str">
        <f>VLOOKUP(AW352,坦克个性化细分!$I$3:$J$33,2,FALSE)</f>
        <v>高</v>
      </c>
      <c r="AY352" s="654">
        <f t="shared" si="35"/>
        <v>10</v>
      </c>
      <c r="AZ352" s="654">
        <f ca="1">ROUND(VLOOKUP($AW352&amp;"初始",$O$3:$AA$63,MATCH(AZ$3,$O$3:$AA$3,0),FALSE)+((VLOOKUP($AW352&amp;"最终",$O$3:$AA$63,MATCH(AZ$3,$O$3:$AA$3,0),FALSE)*坦克个性化细分!$C$9-VLOOKUP($AW352&amp;"初始",$O$3:$AA$63,MATCH(AZ$3,$O$3:$AA$3,0),FALSE))-(VLOOKUP($AW352&amp;"最终",$O$3:$AA$63,MATCH(AZ$3,$O$3:$AA$3,0),FALSE)-VLOOKUP($AW352&amp;"初始",$O$3:$AA$63,MATCH(AZ$3,$O$3:$AA$3,0),FALSE))*VLOOKUP(VLOOKUP($AW352,坦克个性化设定!$B$18:$E$48,4,FALSE)&amp;$AX352,坦克属性分配比例,MATCH("部件比例",坦克属性分配比例标头,0),FALSE))*$AY352/VLOOKUP(VLOOKUP($AW352,坦克个性化设定!$B$18:$E$48,4,FALSE)&amp;$AX352,坦克属性分配比例,MATCH("升星次数",坦克属性分配比例标头,0),FALSE),0)</f>
        <v>3238</v>
      </c>
      <c r="BA352" s="654">
        <f ca="1">ROUND(VLOOKUP($AW352&amp;"初始",$O$3:$AA$63,MATCH(BA$3,$O$3:$AA$3,0),FALSE)+(VLOOKUP($AW352&amp;"最终",$O$3:$AA$63,MATCH(BA$3,$O$3:$AA$3,0),FALSE)-VLOOKUP($AW352&amp;"初始",$O$3:$AA$63,MATCH(BA$3,$O$3:$AA$3,0),FALSE))*$AY352/VLOOKUP(VLOOKUP($AW352,坦克个性化设定!$B$18:$E$48,4,FALSE)&amp;$AX352,坦克属性分配比例,MATCH("升星次数",坦克属性分配比例标头,0),FALSE)*VLOOKUP(VLOOKUP($AW352,坦克个性化设定!$B$18:$E$48,4,FALSE)&amp;$AX352,坦克属性分配比例,MATCH("升星比例",坦克属性分配比例标头,0),FALSE),0)</f>
        <v>493</v>
      </c>
      <c r="BB352" s="654">
        <f ca="1">ROUND(VLOOKUP($AW352&amp;"初始",$O$3:$AA$63,MATCH(BB$3,$O$3:$AA$3,0),FALSE)+(VLOOKUP($AW352&amp;"最终",$O$3:$AA$63,MATCH(BB$3,$O$3:$AA$3,0),FALSE)-VLOOKUP($AW352&amp;"初始",$O$3:$AA$63,MATCH(BB$3,$O$3:$AA$3,0),FALSE))*$AY352/VLOOKUP(VLOOKUP($AW352,坦克个性化设定!$B$18:$E$48,4,FALSE)&amp;$AX352,坦克属性分配比例,MATCH("升星次数",坦克属性分配比例标头,0),FALSE)*(VLOOKUP(VLOOKUP($AW352,坦克个性化设定!$B$18:$E$48,4,FALSE)&amp;$AX352,坦克属性分配比例,MATCH("升星比例",坦克属性分配比例标头,0),FALSE)+VLOOKUP(VLOOKUP($AW352,坦克个性化设定!$B$18:$E$48,4,FALSE)&amp;$AX352,坦克属性分配比例,MATCH("部件比例",坦克属性分配比例标头,0),FALSE)*$C$3),0)</f>
        <v>930</v>
      </c>
      <c r="BC352" s="654">
        <f ca="1">ROUND(VLOOKUP($AW352&amp;"初始",$O$3:$AA$63,MATCH(BC$3,$O$3:$AA$3,0),FALSE)+(VLOOKUP($AW352&amp;"最终",$O$3:$AA$63,MATCH(BC$3,$O$3:$AA$3,0),FALSE)-VLOOKUP($AW352&amp;"初始",$O$3:$AA$63,MATCH(BC$3,$O$3:$AA$3,0),FALSE))*$AY352/VLOOKUP(VLOOKUP($AW352,坦克个性化设定!$B$18:$E$48,4,FALSE)&amp;$AX352,坦克属性分配比例,MATCH("升星次数",坦克属性分配比例标头,0),FALSE)*(VLOOKUP(VLOOKUP($AW352,坦克个性化设定!$B$18:$E$48,4,FALSE)&amp;$AX352,坦克属性分配比例,MATCH("升星比例",坦克属性分配比例标头,0),FALSE)+VLOOKUP(VLOOKUP($AW352,坦克个性化设定!$B$18:$E$48,4,FALSE)&amp;$AX352,坦克属性分配比例,MATCH("部件比例",坦克属性分配比例标头,0),FALSE)*$C$3),0)</f>
        <v>744</v>
      </c>
      <c r="BD352" s="654">
        <f ca="1">ROUND(VLOOKUP($AW352&amp;"初始",$O$3:$AA$63,MATCH(BD$3,$O$3:$AA$3,0),FALSE)+(VLOOKUP($AW352&amp;"最终",$O$3:$AA$63,MATCH(BD$3,$O$3:$AA$3,0),FALSE)-VLOOKUP($AW352&amp;"初始",$O$3:$AA$63,MATCH(BD$3,$O$3:$AA$3,0),FALSE))*$AY352/VLOOKUP(VLOOKUP($AW352,坦克个性化设定!$B$18:$E$48,4,FALSE)&amp;$AX352,坦克属性分配比例,MATCH("升星次数",坦克属性分配比例标头,0),FALSE)*VLOOKUP(VLOOKUP($AW352,坦克个性化设定!$B$18:$E$48,4,FALSE)&amp;$AX352,坦克属性分配比例,MATCH("升星比例",坦克属性分配比例标头,0),FALSE),0)</f>
        <v>1090</v>
      </c>
      <c r="BE352" s="654">
        <f ca="1">ROUND(VLOOKUP($AW352&amp;"初始",$O$3:$AA$63,MATCH(BE$3,$O$3:$AA$3,0),FALSE)+(VLOOKUP($AW352&amp;"最终",$O$3:$AA$63,MATCH(BE$3,$O$3:$AA$3,0),FALSE)-VLOOKUP($AW352&amp;"初始",$O$3:$AA$63,MATCH(BE$3,$O$3:$AA$3,0),FALSE))*$AY352/VLOOKUP(VLOOKUP($AW352,坦克个性化设定!$B$18:$E$48,4,FALSE)&amp;$AX352,坦克属性分配比例,MATCH("升星次数",坦克属性分配比例标头,0),FALSE),0)</f>
        <v>304</v>
      </c>
      <c r="BF352" s="654">
        <f>ROUND(VLOOKUP($AW352,$AD$3:$AJ$33,MATCH(BF$3,$AD$3:$AJ$3,0),FALSE)+$AY352/VLOOKUP(VLOOKUP($AW352,坦克个性化设定!$B$18:$E$48,4,FALSE)&amp;$AX352,坦克属性分配比例,MATCH("升星次数",坦克属性分配比例标头,0),FALSE)*VLOOKUP($AW352,$AM$3:$AS$33,MATCH(BF$3,$AM$3:$AS$3,0),FALSE),1)</f>
        <v>37.700000000000003</v>
      </c>
      <c r="BG352" s="654">
        <f>ROUND(VLOOKUP($AW352,$AD$3:$AJ$33,MATCH(BG$3,$AD$3:$AJ$3,0),FALSE)+$AY352/VLOOKUP(VLOOKUP($AW352,坦克个性化设定!$B$18:$E$48,4,FALSE)&amp;$AX352,坦克属性分配比例,MATCH("升星次数",坦克属性分配比例标头,0),FALSE)*VLOOKUP($AW352,$AM$3:$AS$33,MATCH(BG$3,$AM$3:$AS$3,0),FALSE),1)</f>
        <v>52.7</v>
      </c>
      <c r="BH352" s="654">
        <f>ROUND(VLOOKUP($AW352,$AD$3:$AJ$33,MATCH(BH$3,$AD$3:$AJ$3,0),FALSE)+$AY352/VLOOKUP(VLOOKUP($AW352,坦克个性化设定!$B$18:$E$48,4,FALSE)&amp;$AX352,坦克属性分配比例,MATCH("升星次数",坦克属性分配比例标头,0),FALSE)*VLOOKUP($AW352,$AM$3:$AS$33,MATCH(BH$3,$AM$3:$AS$3,0),FALSE),1)</f>
        <v>11.8</v>
      </c>
      <c r="BI352" s="654">
        <f>IF(VLOOKUP(AW352,坦克个性化设定!$B$18:$BB$48,MATCH("装弹类型",坦克个性化设定!$B$18:$BB$18,0),FALSE)="弹夹换弹",0,ROUND(VLOOKUP($AW352,$AD$3:$AJ$33,MATCH("换弹时间",$AD$3:$AJ$3,0),FALSE)-$AY352/VLOOKUP(VLOOKUP($AW352,坦克个性化设定!$B$18:$E$48,4,FALSE)&amp;$AX352,坦克属性分配比例,MATCH("升星次数",坦克属性分配比例标头,0),FALSE)*VLOOKUP($AW352,$AM$3:$AS$33,MATCH("换弹时间",$AM$3:$AS$3,0),FALSE),2))</f>
        <v>5.12</v>
      </c>
      <c r="BJ352" s="654">
        <f>IF(VLOOKUP(AW352,坦克个性化设定!$B$18:$BB$48,MATCH("装弹类型",坦克个性化设定!$B$18:$BB$18,0),FALSE)="弹夹换弹",ROUND(VLOOKUP($AW352,$AD$3:$AJ$33,MATCH("换弹时间",$AD$3:$AJ$3,0),FALSE)-$AY352/VLOOKUP(VLOOKUP($AW352,坦克个性化设定!$B$18:$E$48,4,FALSE)&amp;$AX352,坦克属性分配比例,MATCH("升星次数",坦克属性分配比例标头,0),FALSE)*VLOOKUP($AW352,$AM$3:$AS$33,MATCH("换弹时间",$AM$3:$AS$3,0),FALSE),1),0)</f>
        <v>0</v>
      </c>
      <c r="BK352" s="654">
        <f>ROUND(VLOOKUP($AW352,$AD$3:$AJ$33,MATCH(BK$3,$AD$3:$AJ$3,0),FALSE)+$AY352/VLOOKUP(VLOOKUP($AW352,坦克个性化设定!$B$18:$E$48,4,FALSE)&amp;$AX352,坦克属性分配比例,MATCH("升星次数",坦克属性分配比例标头,0),FALSE)*VLOOKUP($AW352,$AM$3:$AS$33,MATCH(BK$3,$AM$3:$AS$3,0),FALSE),2)</f>
        <v>0</v>
      </c>
      <c r="BL352" s="654">
        <f>ROUND(VLOOKUP($AW352,$AD$3:$AJ$33,MATCH(BL$3,$AD$3:$AJ$3,0),FALSE)-$AY352/VLOOKUP(VLOOKUP($AW352,坦克个性化设定!$B$18:$E$48,4,FALSE)&amp;$AX352,坦克属性分配比例,MATCH("升星次数",坦克属性分配比例标头,0),FALSE)*VLOOKUP($AW352,$AM$3:$AS$33,MATCH(BL$3,$AM$3:$AS$3,0),FALSE),2)</f>
        <v>2.71</v>
      </c>
    </row>
    <row r="353" spans="47:64" x14ac:dyDescent="0.35">
      <c r="AU353" s="372" t="str">
        <f t="shared" si="33"/>
        <v>T-3211</v>
      </c>
      <c r="AV353" s="654">
        <f>IF(AY352&gt;=VLOOKUP(VLOOKUP(AW352,坦克个性化设定!$B$18:$E$48,4,FALSE)&amp;AX352,坦克属性分配比例,MATCH("升星次数",坦克属性分配比例标头,0),FALSE),AV352+1,AV352)</f>
        <v>29</v>
      </c>
      <c r="AW353" s="649" t="str">
        <f t="shared" si="34"/>
        <v>T-32</v>
      </c>
      <c r="AX353" s="650" t="str">
        <f>VLOOKUP(AW353,坦克个性化细分!$I$3:$J$33,2,FALSE)</f>
        <v>高</v>
      </c>
      <c r="AY353" s="654">
        <f t="shared" si="35"/>
        <v>11</v>
      </c>
      <c r="AZ353" s="654">
        <f ca="1">ROUND(VLOOKUP($AW353&amp;"初始",$O$3:$AA$63,MATCH(AZ$3,$O$3:$AA$3,0),FALSE)+((VLOOKUP($AW353&amp;"最终",$O$3:$AA$63,MATCH(AZ$3,$O$3:$AA$3,0),FALSE)*坦克个性化细分!$C$9-VLOOKUP($AW353&amp;"初始",$O$3:$AA$63,MATCH(AZ$3,$O$3:$AA$3,0),FALSE))-(VLOOKUP($AW353&amp;"最终",$O$3:$AA$63,MATCH(AZ$3,$O$3:$AA$3,0),FALSE)-VLOOKUP($AW353&amp;"初始",$O$3:$AA$63,MATCH(AZ$3,$O$3:$AA$3,0),FALSE))*VLOOKUP(VLOOKUP($AW353,坦克个性化设定!$B$18:$E$48,4,FALSE)&amp;$AX353,坦克属性分配比例,MATCH("部件比例",坦克属性分配比例标头,0),FALSE))*$AY353/VLOOKUP(VLOOKUP($AW353,坦克个性化设定!$B$18:$E$48,4,FALSE)&amp;$AX353,坦克属性分配比例,MATCH("升星次数",坦克属性分配比例标头,0),FALSE),0)</f>
        <v>3360</v>
      </c>
      <c r="BA353" s="654">
        <f ca="1">ROUND(VLOOKUP($AW353&amp;"初始",$O$3:$AA$63,MATCH(BA$3,$O$3:$AA$3,0),FALSE)+(VLOOKUP($AW353&amp;"最终",$O$3:$AA$63,MATCH(BA$3,$O$3:$AA$3,0),FALSE)-VLOOKUP($AW353&amp;"初始",$O$3:$AA$63,MATCH(BA$3,$O$3:$AA$3,0),FALSE))*$AY353/VLOOKUP(VLOOKUP($AW353,坦克个性化设定!$B$18:$E$48,4,FALSE)&amp;$AX353,坦克属性分配比例,MATCH("升星次数",坦克属性分配比例标头,0),FALSE)*VLOOKUP(VLOOKUP($AW353,坦克个性化设定!$B$18:$E$48,4,FALSE)&amp;$AX353,坦克属性分配比例,MATCH("升星比例",坦克属性分配比例标头,0),FALSE),0)</f>
        <v>504</v>
      </c>
      <c r="BB353" s="654">
        <f ca="1">ROUND(VLOOKUP($AW353&amp;"初始",$O$3:$AA$63,MATCH(BB$3,$O$3:$AA$3,0),FALSE)+(VLOOKUP($AW353&amp;"最终",$O$3:$AA$63,MATCH(BB$3,$O$3:$AA$3,0),FALSE)-VLOOKUP($AW353&amp;"初始",$O$3:$AA$63,MATCH(BB$3,$O$3:$AA$3,0),FALSE))*$AY353/VLOOKUP(VLOOKUP($AW353,坦克个性化设定!$B$18:$E$48,4,FALSE)&amp;$AX353,坦克属性分配比例,MATCH("升星次数",坦克属性分配比例标头,0),FALSE)*(VLOOKUP(VLOOKUP($AW353,坦克个性化设定!$B$18:$E$48,4,FALSE)&amp;$AX353,坦克属性分配比例,MATCH("升星比例",坦克属性分配比例标头,0),FALSE)+VLOOKUP(VLOOKUP($AW353,坦克个性化设定!$B$18:$E$48,4,FALSE)&amp;$AX353,坦克属性分配比例,MATCH("部件比例",坦克属性分配比例标头,0),FALSE)*$C$3),0)</f>
        <v>958</v>
      </c>
      <c r="BC353" s="654">
        <f ca="1">ROUND(VLOOKUP($AW353&amp;"初始",$O$3:$AA$63,MATCH(BC$3,$O$3:$AA$3,0),FALSE)+(VLOOKUP($AW353&amp;"最终",$O$3:$AA$63,MATCH(BC$3,$O$3:$AA$3,0),FALSE)-VLOOKUP($AW353&amp;"初始",$O$3:$AA$63,MATCH(BC$3,$O$3:$AA$3,0),FALSE))*$AY353/VLOOKUP(VLOOKUP($AW353,坦克个性化设定!$B$18:$E$48,4,FALSE)&amp;$AX353,坦克属性分配比例,MATCH("升星次数",坦克属性分配比例标头,0),FALSE)*(VLOOKUP(VLOOKUP($AW353,坦克个性化设定!$B$18:$E$48,4,FALSE)&amp;$AX353,坦克属性分配比例,MATCH("升星比例",坦克属性分配比例标头,0),FALSE)+VLOOKUP(VLOOKUP($AW353,坦克个性化设定!$B$18:$E$48,4,FALSE)&amp;$AX353,坦克属性分配比例,MATCH("部件比例",坦克属性分配比例标头,0),FALSE)*$C$3),0)</f>
        <v>767</v>
      </c>
      <c r="BD353" s="654">
        <f ca="1">ROUND(VLOOKUP($AW353&amp;"初始",$O$3:$AA$63,MATCH(BD$3,$O$3:$AA$3,0),FALSE)+(VLOOKUP($AW353&amp;"最终",$O$3:$AA$63,MATCH(BD$3,$O$3:$AA$3,0),FALSE)-VLOOKUP($AW353&amp;"初始",$O$3:$AA$63,MATCH(BD$3,$O$3:$AA$3,0),FALSE))*$AY353/VLOOKUP(VLOOKUP($AW353,坦克个性化设定!$B$18:$E$48,4,FALSE)&amp;$AX353,坦克属性分配比例,MATCH("升星次数",坦克属性分配比例标头,0),FALSE)*VLOOKUP(VLOOKUP($AW353,坦克个性化设定!$B$18:$E$48,4,FALSE)&amp;$AX353,坦克属性分配比例,MATCH("升星比例",坦克属性分配比例标头,0),FALSE),0)</f>
        <v>1112</v>
      </c>
      <c r="BE353" s="654">
        <f ca="1">ROUND(VLOOKUP($AW353&amp;"初始",$O$3:$AA$63,MATCH(BE$3,$O$3:$AA$3,0),FALSE)+(VLOOKUP($AW353&amp;"最终",$O$3:$AA$63,MATCH(BE$3,$O$3:$AA$3,0),FALSE)-VLOOKUP($AW353&amp;"初始",$O$3:$AA$63,MATCH(BE$3,$O$3:$AA$3,0),FALSE))*$AY353/VLOOKUP(VLOOKUP($AW353,坦克个性化设定!$B$18:$E$48,4,FALSE)&amp;$AX353,坦克属性分配比例,MATCH("升星次数",坦克属性分配比例标头,0),FALSE),0)</f>
        <v>315</v>
      </c>
      <c r="BF353" s="654">
        <f>ROUND(VLOOKUP($AW353,$AD$3:$AJ$33,MATCH(BF$3,$AD$3:$AJ$3,0),FALSE)+$AY353/VLOOKUP(VLOOKUP($AW353,坦克个性化设定!$B$18:$E$48,4,FALSE)&amp;$AX353,坦克属性分配比例,MATCH("升星次数",坦克属性分配比例标头,0),FALSE)*VLOOKUP($AW353,$AM$3:$AS$33,MATCH(BF$3,$AM$3:$AS$3,0),FALSE),1)</f>
        <v>38.200000000000003</v>
      </c>
      <c r="BG353" s="654">
        <f>ROUND(VLOOKUP($AW353,$AD$3:$AJ$33,MATCH(BG$3,$AD$3:$AJ$3,0),FALSE)+$AY353/VLOOKUP(VLOOKUP($AW353,坦克个性化设定!$B$18:$E$48,4,FALSE)&amp;$AX353,坦克属性分配比例,MATCH("升星次数",坦克属性分配比例标头,0),FALSE)*VLOOKUP($AW353,$AM$3:$AS$33,MATCH(BG$3,$AM$3:$AS$3,0),FALSE),1)</f>
        <v>53.3</v>
      </c>
      <c r="BH353" s="654">
        <f>ROUND(VLOOKUP($AW353,$AD$3:$AJ$33,MATCH(BH$3,$AD$3:$AJ$3,0),FALSE)+$AY353/VLOOKUP(VLOOKUP($AW353,坦克个性化设定!$B$18:$E$48,4,FALSE)&amp;$AX353,坦克属性分配比例,MATCH("升星次数",坦克属性分配比例标头,0),FALSE)*VLOOKUP($AW353,$AM$3:$AS$33,MATCH(BH$3,$AM$3:$AS$3,0),FALSE),1)</f>
        <v>12</v>
      </c>
      <c r="BI353" s="654">
        <f>IF(VLOOKUP(AW353,坦克个性化设定!$B$18:$BB$48,MATCH("装弹类型",坦克个性化设定!$B$18:$BB$18,0),FALSE)="弹夹换弹",0,ROUND(VLOOKUP($AW353,$AD$3:$AJ$33,MATCH("换弹时间",$AD$3:$AJ$3,0),FALSE)-$AY353/VLOOKUP(VLOOKUP($AW353,坦克个性化设定!$B$18:$E$48,4,FALSE)&amp;$AX353,坦克属性分配比例,MATCH("升星次数",坦克属性分配比例标头,0),FALSE)*VLOOKUP($AW353,$AM$3:$AS$33,MATCH("换弹时间",$AM$3:$AS$3,0),FALSE),2))</f>
        <v>5.04</v>
      </c>
      <c r="BJ353" s="654">
        <f>IF(VLOOKUP(AW353,坦克个性化设定!$B$18:$BB$48,MATCH("装弹类型",坦克个性化设定!$B$18:$BB$18,0),FALSE)="弹夹换弹",ROUND(VLOOKUP($AW353,$AD$3:$AJ$33,MATCH("换弹时间",$AD$3:$AJ$3,0),FALSE)-$AY353/VLOOKUP(VLOOKUP($AW353,坦克个性化设定!$B$18:$E$48,4,FALSE)&amp;$AX353,坦克属性分配比例,MATCH("升星次数",坦克属性分配比例标头,0),FALSE)*VLOOKUP($AW353,$AM$3:$AS$33,MATCH("换弹时间",$AM$3:$AS$3,0),FALSE),1),0)</f>
        <v>0</v>
      </c>
      <c r="BK353" s="654">
        <f>ROUND(VLOOKUP($AW353,$AD$3:$AJ$33,MATCH(BK$3,$AD$3:$AJ$3,0),FALSE)+$AY353/VLOOKUP(VLOOKUP($AW353,坦克个性化设定!$B$18:$E$48,4,FALSE)&amp;$AX353,坦克属性分配比例,MATCH("升星次数",坦克属性分配比例标头,0),FALSE)*VLOOKUP($AW353,$AM$3:$AS$33,MATCH(BK$3,$AM$3:$AS$3,0),FALSE),2)</f>
        <v>0</v>
      </c>
      <c r="BL353" s="654">
        <f>ROUND(VLOOKUP($AW353,$AD$3:$AJ$33,MATCH(BL$3,$AD$3:$AJ$3,0),FALSE)-$AY353/VLOOKUP(VLOOKUP($AW353,坦克个性化设定!$B$18:$E$48,4,FALSE)&amp;$AX353,坦克属性分配比例,MATCH("升星次数",坦克属性分配比例标头,0),FALSE)*VLOOKUP($AW353,$AM$3:$AS$33,MATCH(BL$3,$AM$3:$AS$3,0),FALSE),2)</f>
        <v>2.68</v>
      </c>
    </row>
    <row r="354" spans="47:64" x14ac:dyDescent="0.35">
      <c r="AU354" s="372" t="str">
        <f t="shared" si="33"/>
        <v>T-3212</v>
      </c>
      <c r="AV354" s="654">
        <f>IF(AY353&gt;=VLOOKUP(VLOOKUP(AW353,坦克个性化设定!$B$18:$E$48,4,FALSE)&amp;AX353,坦克属性分配比例,MATCH("升星次数",坦克属性分配比例标头,0),FALSE),AV353+1,AV353)</f>
        <v>29</v>
      </c>
      <c r="AW354" s="649" t="str">
        <f t="shared" si="34"/>
        <v>T-32</v>
      </c>
      <c r="AX354" s="650" t="str">
        <f>VLOOKUP(AW354,坦克个性化细分!$I$3:$J$33,2,FALSE)</f>
        <v>高</v>
      </c>
      <c r="AY354" s="654">
        <f t="shared" si="35"/>
        <v>12</v>
      </c>
      <c r="AZ354" s="654">
        <f ca="1">ROUND(VLOOKUP($AW354&amp;"初始",$O$3:$AA$63,MATCH(AZ$3,$O$3:$AA$3,0),FALSE)+((VLOOKUP($AW354&amp;"最终",$O$3:$AA$63,MATCH(AZ$3,$O$3:$AA$3,0),FALSE)*坦克个性化细分!$C$9-VLOOKUP($AW354&amp;"初始",$O$3:$AA$63,MATCH(AZ$3,$O$3:$AA$3,0),FALSE))-(VLOOKUP($AW354&amp;"最终",$O$3:$AA$63,MATCH(AZ$3,$O$3:$AA$3,0),FALSE)-VLOOKUP($AW354&amp;"初始",$O$3:$AA$63,MATCH(AZ$3,$O$3:$AA$3,0),FALSE))*VLOOKUP(VLOOKUP($AW354,坦克个性化设定!$B$18:$E$48,4,FALSE)&amp;$AX354,坦克属性分配比例,MATCH("部件比例",坦克属性分配比例标头,0),FALSE))*$AY354/VLOOKUP(VLOOKUP($AW354,坦克个性化设定!$B$18:$E$48,4,FALSE)&amp;$AX354,坦克属性分配比例,MATCH("升星次数",坦克属性分配比例标头,0),FALSE),0)</f>
        <v>3482</v>
      </c>
      <c r="BA354" s="654">
        <f ca="1">ROUND(VLOOKUP($AW354&amp;"初始",$O$3:$AA$63,MATCH(BA$3,$O$3:$AA$3,0),FALSE)+(VLOOKUP($AW354&amp;"最终",$O$3:$AA$63,MATCH(BA$3,$O$3:$AA$3,0),FALSE)-VLOOKUP($AW354&amp;"初始",$O$3:$AA$63,MATCH(BA$3,$O$3:$AA$3,0),FALSE))*$AY354/VLOOKUP(VLOOKUP($AW354,坦克个性化设定!$B$18:$E$48,4,FALSE)&amp;$AX354,坦克属性分配比例,MATCH("升星次数",坦克属性分配比例标头,0),FALSE)*VLOOKUP(VLOOKUP($AW354,坦克个性化设定!$B$18:$E$48,4,FALSE)&amp;$AX354,坦克属性分配比例,MATCH("升星比例",坦克属性分配比例标头,0),FALSE),0)</f>
        <v>514</v>
      </c>
      <c r="BB354" s="654">
        <f ca="1">ROUND(VLOOKUP($AW354&amp;"初始",$O$3:$AA$63,MATCH(BB$3,$O$3:$AA$3,0),FALSE)+(VLOOKUP($AW354&amp;"最终",$O$3:$AA$63,MATCH(BB$3,$O$3:$AA$3,0),FALSE)-VLOOKUP($AW354&amp;"初始",$O$3:$AA$63,MATCH(BB$3,$O$3:$AA$3,0),FALSE))*$AY354/VLOOKUP(VLOOKUP($AW354,坦克个性化设定!$B$18:$E$48,4,FALSE)&amp;$AX354,坦克属性分配比例,MATCH("升星次数",坦克属性分配比例标头,0),FALSE)*(VLOOKUP(VLOOKUP($AW354,坦克个性化设定!$B$18:$E$48,4,FALSE)&amp;$AX354,坦克属性分配比例,MATCH("升星比例",坦克属性分配比例标头,0),FALSE)+VLOOKUP(VLOOKUP($AW354,坦克个性化设定!$B$18:$E$48,4,FALSE)&amp;$AX354,坦克属性分配比例,MATCH("部件比例",坦克属性分配比例标头,0),FALSE)*$C$3),0)</f>
        <v>986</v>
      </c>
      <c r="BC354" s="654">
        <f ca="1">ROUND(VLOOKUP($AW354&amp;"初始",$O$3:$AA$63,MATCH(BC$3,$O$3:$AA$3,0),FALSE)+(VLOOKUP($AW354&amp;"最终",$O$3:$AA$63,MATCH(BC$3,$O$3:$AA$3,0),FALSE)-VLOOKUP($AW354&amp;"初始",$O$3:$AA$63,MATCH(BC$3,$O$3:$AA$3,0),FALSE))*$AY354/VLOOKUP(VLOOKUP($AW354,坦克个性化设定!$B$18:$E$48,4,FALSE)&amp;$AX354,坦克属性分配比例,MATCH("升星次数",坦克属性分配比例标头,0),FALSE)*(VLOOKUP(VLOOKUP($AW354,坦克个性化设定!$B$18:$E$48,4,FALSE)&amp;$AX354,坦克属性分配比例,MATCH("升星比例",坦克属性分配比例标头,0),FALSE)+VLOOKUP(VLOOKUP($AW354,坦克个性化设定!$B$18:$E$48,4,FALSE)&amp;$AX354,坦克属性分配比例,MATCH("部件比例",坦克属性分配比例标头,0),FALSE)*$C$3),0)</f>
        <v>789</v>
      </c>
      <c r="BD354" s="654">
        <f ca="1">ROUND(VLOOKUP($AW354&amp;"初始",$O$3:$AA$63,MATCH(BD$3,$O$3:$AA$3,0),FALSE)+(VLOOKUP($AW354&amp;"最终",$O$3:$AA$63,MATCH(BD$3,$O$3:$AA$3,0),FALSE)-VLOOKUP($AW354&amp;"初始",$O$3:$AA$63,MATCH(BD$3,$O$3:$AA$3,0),FALSE))*$AY354/VLOOKUP(VLOOKUP($AW354,坦克个性化设定!$B$18:$E$48,4,FALSE)&amp;$AX354,坦克属性分配比例,MATCH("升星次数",坦克属性分配比例标头,0),FALSE)*VLOOKUP(VLOOKUP($AW354,坦克个性化设定!$B$18:$E$48,4,FALSE)&amp;$AX354,坦克属性分配比例,MATCH("升星比例",坦克属性分配比例标头,0),FALSE),0)</f>
        <v>1135</v>
      </c>
      <c r="BE354" s="654">
        <f ca="1">ROUND(VLOOKUP($AW354&amp;"初始",$O$3:$AA$63,MATCH(BE$3,$O$3:$AA$3,0),FALSE)+(VLOOKUP($AW354&amp;"最终",$O$3:$AA$63,MATCH(BE$3,$O$3:$AA$3,0),FALSE)-VLOOKUP($AW354&amp;"初始",$O$3:$AA$63,MATCH(BE$3,$O$3:$AA$3,0),FALSE))*$AY354/VLOOKUP(VLOOKUP($AW354,坦克个性化设定!$B$18:$E$48,4,FALSE)&amp;$AX354,坦克属性分配比例,MATCH("升星次数",坦克属性分配比例标头,0),FALSE),0)</f>
        <v>326</v>
      </c>
      <c r="BF354" s="654">
        <f>ROUND(VLOOKUP($AW354,$AD$3:$AJ$33,MATCH(BF$3,$AD$3:$AJ$3,0),FALSE)+$AY354/VLOOKUP(VLOOKUP($AW354,坦克个性化设定!$B$18:$E$48,4,FALSE)&amp;$AX354,坦克属性分配比例,MATCH("升星次数",坦克属性分配比例标头,0),FALSE)*VLOOKUP($AW354,$AM$3:$AS$33,MATCH(BF$3,$AM$3:$AS$3,0),FALSE),1)</f>
        <v>38.700000000000003</v>
      </c>
      <c r="BG354" s="654">
        <f>ROUND(VLOOKUP($AW354,$AD$3:$AJ$33,MATCH(BG$3,$AD$3:$AJ$3,0),FALSE)+$AY354/VLOOKUP(VLOOKUP($AW354,坦克个性化设定!$B$18:$E$48,4,FALSE)&amp;$AX354,坦克属性分配比例,MATCH("升星次数",坦克属性分配比例标头,0),FALSE)*VLOOKUP($AW354,$AM$3:$AS$33,MATCH(BG$3,$AM$3:$AS$3,0),FALSE),1)</f>
        <v>54</v>
      </c>
      <c r="BH354" s="654">
        <f>ROUND(VLOOKUP($AW354,$AD$3:$AJ$33,MATCH(BH$3,$AD$3:$AJ$3,0),FALSE)+$AY354/VLOOKUP(VLOOKUP($AW354,坦克个性化设定!$B$18:$E$48,4,FALSE)&amp;$AX354,坦克属性分配比例,MATCH("升星次数",坦克属性分配比例标头,0),FALSE)*VLOOKUP($AW354,$AM$3:$AS$33,MATCH(BH$3,$AM$3:$AS$3,0),FALSE),1)</f>
        <v>12.2</v>
      </c>
      <c r="BI354" s="654">
        <f>IF(VLOOKUP(AW354,坦克个性化设定!$B$18:$BB$48,MATCH("装弹类型",坦克个性化设定!$B$18:$BB$18,0),FALSE)="弹夹换弹",0,ROUND(VLOOKUP($AW354,$AD$3:$AJ$33,MATCH("换弹时间",$AD$3:$AJ$3,0),FALSE)-$AY354/VLOOKUP(VLOOKUP($AW354,坦克个性化设定!$B$18:$E$48,4,FALSE)&amp;$AX354,坦克属性分配比例,MATCH("升星次数",坦克属性分配比例标头,0),FALSE)*VLOOKUP($AW354,$AM$3:$AS$33,MATCH("换弹时间",$AM$3:$AS$3,0),FALSE),2))</f>
        <v>4.95</v>
      </c>
      <c r="BJ354" s="654">
        <f>IF(VLOOKUP(AW354,坦克个性化设定!$B$18:$BB$48,MATCH("装弹类型",坦克个性化设定!$B$18:$BB$18,0),FALSE)="弹夹换弹",ROUND(VLOOKUP($AW354,$AD$3:$AJ$33,MATCH("换弹时间",$AD$3:$AJ$3,0),FALSE)-$AY354/VLOOKUP(VLOOKUP($AW354,坦克个性化设定!$B$18:$E$48,4,FALSE)&amp;$AX354,坦克属性分配比例,MATCH("升星次数",坦克属性分配比例标头,0),FALSE)*VLOOKUP($AW354,$AM$3:$AS$33,MATCH("换弹时间",$AM$3:$AS$3,0),FALSE),1),0)</f>
        <v>0</v>
      </c>
      <c r="BK354" s="654">
        <f>ROUND(VLOOKUP($AW354,$AD$3:$AJ$33,MATCH(BK$3,$AD$3:$AJ$3,0),FALSE)+$AY354/VLOOKUP(VLOOKUP($AW354,坦克个性化设定!$B$18:$E$48,4,FALSE)&amp;$AX354,坦克属性分配比例,MATCH("升星次数",坦克属性分配比例标头,0),FALSE)*VLOOKUP($AW354,$AM$3:$AS$33,MATCH(BK$3,$AM$3:$AS$3,0),FALSE),2)</f>
        <v>0</v>
      </c>
      <c r="BL354" s="654">
        <f>ROUND(VLOOKUP($AW354,$AD$3:$AJ$33,MATCH(BL$3,$AD$3:$AJ$3,0),FALSE)-$AY354/VLOOKUP(VLOOKUP($AW354,坦克个性化设定!$B$18:$E$48,4,FALSE)&amp;$AX354,坦克属性分配比例,MATCH("升星次数",坦克属性分配比例标头,0),FALSE)*VLOOKUP($AW354,$AM$3:$AS$33,MATCH(BL$3,$AM$3:$AS$3,0),FALSE),2)</f>
        <v>2.65</v>
      </c>
    </row>
    <row r="355" spans="47:64" x14ac:dyDescent="0.35">
      <c r="AU355" s="372" t="str">
        <f t="shared" si="33"/>
        <v>T-3213</v>
      </c>
      <c r="AV355" s="654">
        <f>IF(AY354&gt;=VLOOKUP(VLOOKUP(AW354,坦克个性化设定!$B$18:$E$48,4,FALSE)&amp;AX354,坦克属性分配比例,MATCH("升星次数",坦克属性分配比例标头,0),FALSE),AV354+1,AV354)</f>
        <v>29</v>
      </c>
      <c r="AW355" s="649" t="str">
        <f t="shared" si="34"/>
        <v>T-32</v>
      </c>
      <c r="AX355" s="650" t="str">
        <f>VLOOKUP(AW355,坦克个性化细分!$I$3:$J$33,2,FALSE)</f>
        <v>高</v>
      </c>
      <c r="AY355" s="654">
        <f t="shared" si="35"/>
        <v>13</v>
      </c>
      <c r="AZ355" s="654">
        <f ca="1">ROUND(VLOOKUP($AW355&amp;"初始",$O$3:$AA$63,MATCH(AZ$3,$O$3:$AA$3,0),FALSE)+((VLOOKUP($AW355&amp;"最终",$O$3:$AA$63,MATCH(AZ$3,$O$3:$AA$3,0),FALSE)*坦克个性化细分!$C$9-VLOOKUP($AW355&amp;"初始",$O$3:$AA$63,MATCH(AZ$3,$O$3:$AA$3,0),FALSE))-(VLOOKUP($AW355&amp;"最终",$O$3:$AA$63,MATCH(AZ$3,$O$3:$AA$3,0),FALSE)-VLOOKUP($AW355&amp;"初始",$O$3:$AA$63,MATCH(AZ$3,$O$3:$AA$3,0),FALSE))*VLOOKUP(VLOOKUP($AW355,坦克个性化设定!$B$18:$E$48,4,FALSE)&amp;$AX355,坦克属性分配比例,MATCH("部件比例",坦克属性分配比例标头,0),FALSE))*$AY355/VLOOKUP(VLOOKUP($AW355,坦克个性化设定!$B$18:$E$48,4,FALSE)&amp;$AX355,坦克属性分配比例,MATCH("升星次数",坦克属性分配比例标头,0),FALSE),0)</f>
        <v>3603</v>
      </c>
      <c r="BA355" s="654">
        <f ca="1">ROUND(VLOOKUP($AW355&amp;"初始",$O$3:$AA$63,MATCH(BA$3,$O$3:$AA$3,0),FALSE)+(VLOOKUP($AW355&amp;"最终",$O$3:$AA$63,MATCH(BA$3,$O$3:$AA$3,0),FALSE)-VLOOKUP($AW355&amp;"初始",$O$3:$AA$63,MATCH(BA$3,$O$3:$AA$3,0),FALSE))*$AY355/VLOOKUP(VLOOKUP($AW355,坦克个性化设定!$B$18:$E$48,4,FALSE)&amp;$AX355,坦克属性分配比例,MATCH("升星次数",坦克属性分配比例标头,0),FALSE)*VLOOKUP(VLOOKUP($AW355,坦克个性化设定!$B$18:$E$48,4,FALSE)&amp;$AX355,坦克属性分配比例,MATCH("升星比例",坦克属性分配比例标头,0),FALSE),0)</f>
        <v>524</v>
      </c>
      <c r="BB355" s="654">
        <f ca="1">ROUND(VLOOKUP($AW355&amp;"初始",$O$3:$AA$63,MATCH(BB$3,$O$3:$AA$3,0),FALSE)+(VLOOKUP($AW355&amp;"最终",$O$3:$AA$63,MATCH(BB$3,$O$3:$AA$3,0),FALSE)-VLOOKUP($AW355&amp;"初始",$O$3:$AA$63,MATCH(BB$3,$O$3:$AA$3,0),FALSE))*$AY355/VLOOKUP(VLOOKUP($AW355,坦克个性化设定!$B$18:$E$48,4,FALSE)&amp;$AX355,坦克属性分配比例,MATCH("升星次数",坦克属性分配比例标头,0),FALSE)*(VLOOKUP(VLOOKUP($AW355,坦克个性化设定!$B$18:$E$48,4,FALSE)&amp;$AX355,坦克属性分配比例,MATCH("升星比例",坦克属性分配比例标头,0),FALSE)+VLOOKUP(VLOOKUP($AW355,坦克个性化设定!$B$18:$E$48,4,FALSE)&amp;$AX355,坦克属性分配比例,MATCH("部件比例",坦克属性分配比例标头,0),FALSE)*$C$3),0)</f>
        <v>1014</v>
      </c>
      <c r="BC355" s="654">
        <f ca="1">ROUND(VLOOKUP($AW355&amp;"初始",$O$3:$AA$63,MATCH(BC$3,$O$3:$AA$3,0),FALSE)+(VLOOKUP($AW355&amp;"最终",$O$3:$AA$63,MATCH(BC$3,$O$3:$AA$3,0),FALSE)-VLOOKUP($AW355&amp;"初始",$O$3:$AA$63,MATCH(BC$3,$O$3:$AA$3,0),FALSE))*$AY355/VLOOKUP(VLOOKUP($AW355,坦克个性化设定!$B$18:$E$48,4,FALSE)&amp;$AX355,坦克属性分配比例,MATCH("升星次数",坦克属性分配比例标头,0),FALSE)*(VLOOKUP(VLOOKUP($AW355,坦克个性化设定!$B$18:$E$48,4,FALSE)&amp;$AX355,坦克属性分配比例,MATCH("升星比例",坦克属性分配比例标头,0),FALSE)+VLOOKUP(VLOOKUP($AW355,坦克个性化设定!$B$18:$E$48,4,FALSE)&amp;$AX355,坦克属性分配比例,MATCH("部件比例",坦克属性分配比例标头,0),FALSE)*$C$3),0)</f>
        <v>812</v>
      </c>
      <c r="BD355" s="654">
        <f ca="1">ROUND(VLOOKUP($AW355&amp;"初始",$O$3:$AA$63,MATCH(BD$3,$O$3:$AA$3,0),FALSE)+(VLOOKUP($AW355&amp;"最终",$O$3:$AA$63,MATCH(BD$3,$O$3:$AA$3,0),FALSE)-VLOOKUP($AW355&amp;"初始",$O$3:$AA$63,MATCH(BD$3,$O$3:$AA$3,0),FALSE))*$AY355/VLOOKUP(VLOOKUP($AW355,坦克个性化设定!$B$18:$E$48,4,FALSE)&amp;$AX355,坦克属性分配比例,MATCH("升星次数",坦克属性分配比例标头,0),FALSE)*VLOOKUP(VLOOKUP($AW355,坦克个性化设定!$B$18:$E$48,4,FALSE)&amp;$AX355,坦克属性分配比例,MATCH("升星比例",坦克属性分配比例标头,0),FALSE),0)</f>
        <v>1157</v>
      </c>
      <c r="BE355" s="654">
        <f ca="1">ROUND(VLOOKUP($AW355&amp;"初始",$O$3:$AA$63,MATCH(BE$3,$O$3:$AA$3,0),FALSE)+(VLOOKUP($AW355&amp;"最终",$O$3:$AA$63,MATCH(BE$3,$O$3:$AA$3,0),FALSE)-VLOOKUP($AW355&amp;"初始",$O$3:$AA$63,MATCH(BE$3,$O$3:$AA$3,0),FALSE))*$AY355/VLOOKUP(VLOOKUP($AW355,坦克个性化设定!$B$18:$E$48,4,FALSE)&amp;$AX355,坦克属性分配比例,MATCH("升星次数",坦克属性分配比例标头,0),FALSE),0)</f>
        <v>337</v>
      </c>
      <c r="BF355" s="654">
        <f>ROUND(VLOOKUP($AW355,$AD$3:$AJ$33,MATCH(BF$3,$AD$3:$AJ$3,0),FALSE)+$AY355/VLOOKUP(VLOOKUP($AW355,坦克个性化设定!$B$18:$E$48,4,FALSE)&amp;$AX355,坦克属性分配比例,MATCH("升星次数",坦克属性分配比例标头,0),FALSE)*VLOOKUP($AW355,$AM$3:$AS$33,MATCH(BF$3,$AM$3:$AS$3,0),FALSE),1)</f>
        <v>39.200000000000003</v>
      </c>
      <c r="BG355" s="654">
        <f>ROUND(VLOOKUP($AW355,$AD$3:$AJ$33,MATCH(BG$3,$AD$3:$AJ$3,0),FALSE)+$AY355/VLOOKUP(VLOOKUP($AW355,坦克个性化设定!$B$18:$E$48,4,FALSE)&amp;$AX355,坦克属性分配比例,MATCH("升星次数",坦克属性分配比例标头,0),FALSE)*VLOOKUP($AW355,$AM$3:$AS$33,MATCH(BG$3,$AM$3:$AS$3,0),FALSE),1)</f>
        <v>54.7</v>
      </c>
      <c r="BH355" s="654">
        <f>ROUND(VLOOKUP($AW355,$AD$3:$AJ$33,MATCH(BH$3,$AD$3:$AJ$3,0),FALSE)+$AY355/VLOOKUP(VLOOKUP($AW355,坦克个性化设定!$B$18:$E$48,4,FALSE)&amp;$AX355,坦克属性分配比例,MATCH("升星次数",坦克属性分配比例标头,0),FALSE)*VLOOKUP($AW355,$AM$3:$AS$33,MATCH(BH$3,$AM$3:$AS$3,0),FALSE),1)</f>
        <v>12.4</v>
      </c>
      <c r="BI355" s="654">
        <f>IF(VLOOKUP(AW355,坦克个性化设定!$B$18:$BB$48,MATCH("装弹类型",坦克个性化设定!$B$18:$BB$18,0),FALSE)="弹夹换弹",0,ROUND(VLOOKUP($AW355,$AD$3:$AJ$33,MATCH("换弹时间",$AD$3:$AJ$3,0),FALSE)-$AY355/VLOOKUP(VLOOKUP($AW355,坦克个性化设定!$B$18:$E$48,4,FALSE)&amp;$AX355,坦克属性分配比例,MATCH("升星次数",坦克属性分配比例标头,0),FALSE)*VLOOKUP($AW355,$AM$3:$AS$33,MATCH("换弹时间",$AM$3:$AS$3,0),FALSE),2))</f>
        <v>4.8600000000000003</v>
      </c>
      <c r="BJ355" s="654">
        <f>IF(VLOOKUP(AW355,坦克个性化设定!$B$18:$BB$48,MATCH("装弹类型",坦克个性化设定!$B$18:$BB$18,0),FALSE)="弹夹换弹",ROUND(VLOOKUP($AW355,$AD$3:$AJ$33,MATCH("换弹时间",$AD$3:$AJ$3,0),FALSE)-$AY355/VLOOKUP(VLOOKUP($AW355,坦克个性化设定!$B$18:$E$48,4,FALSE)&amp;$AX355,坦克属性分配比例,MATCH("升星次数",坦克属性分配比例标头,0),FALSE)*VLOOKUP($AW355,$AM$3:$AS$33,MATCH("换弹时间",$AM$3:$AS$3,0),FALSE),1),0)</f>
        <v>0</v>
      </c>
      <c r="BK355" s="654">
        <f>ROUND(VLOOKUP($AW355,$AD$3:$AJ$33,MATCH(BK$3,$AD$3:$AJ$3,0),FALSE)+$AY355/VLOOKUP(VLOOKUP($AW355,坦克个性化设定!$B$18:$E$48,4,FALSE)&amp;$AX355,坦克属性分配比例,MATCH("升星次数",坦克属性分配比例标头,0),FALSE)*VLOOKUP($AW355,$AM$3:$AS$33,MATCH(BK$3,$AM$3:$AS$3,0),FALSE),2)</f>
        <v>0</v>
      </c>
      <c r="BL355" s="654">
        <f>ROUND(VLOOKUP($AW355,$AD$3:$AJ$33,MATCH(BL$3,$AD$3:$AJ$3,0),FALSE)-$AY355/VLOOKUP(VLOOKUP($AW355,坦克个性化设定!$B$18:$E$48,4,FALSE)&amp;$AX355,坦克属性分配比例,MATCH("升星次数",坦克属性分配比例标头,0),FALSE)*VLOOKUP($AW355,$AM$3:$AS$33,MATCH(BL$3,$AM$3:$AS$3,0),FALSE),2)</f>
        <v>2.62</v>
      </c>
    </row>
    <row r="356" spans="47:64" x14ac:dyDescent="0.35">
      <c r="AU356" s="372" t="str">
        <f t="shared" si="33"/>
        <v>T-3214</v>
      </c>
      <c r="AV356" s="654">
        <f>IF(AY355&gt;=VLOOKUP(VLOOKUP(AW355,坦克个性化设定!$B$18:$E$48,4,FALSE)&amp;AX355,坦克属性分配比例,MATCH("升星次数",坦克属性分配比例标头,0),FALSE),AV355+1,AV355)</f>
        <v>29</v>
      </c>
      <c r="AW356" s="649" t="str">
        <f t="shared" si="34"/>
        <v>T-32</v>
      </c>
      <c r="AX356" s="650" t="str">
        <f>VLOOKUP(AW356,坦克个性化细分!$I$3:$J$33,2,FALSE)</f>
        <v>高</v>
      </c>
      <c r="AY356" s="654">
        <f t="shared" si="35"/>
        <v>14</v>
      </c>
      <c r="AZ356" s="654">
        <f ca="1">ROUND(VLOOKUP($AW356&amp;"初始",$O$3:$AA$63,MATCH(AZ$3,$O$3:$AA$3,0),FALSE)+((VLOOKUP($AW356&amp;"最终",$O$3:$AA$63,MATCH(AZ$3,$O$3:$AA$3,0),FALSE)*坦克个性化细分!$C$9-VLOOKUP($AW356&amp;"初始",$O$3:$AA$63,MATCH(AZ$3,$O$3:$AA$3,0),FALSE))-(VLOOKUP($AW356&amp;"最终",$O$3:$AA$63,MATCH(AZ$3,$O$3:$AA$3,0),FALSE)-VLOOKUP($AW356&amp;"初始",$O$3:$AA$63,MATCH(AZ$3,$O$3:$AA$3,0),FALSE))*VLOOKUP(VLOOKUP($AW356,坦克个性化设定!$B$18:$E$48,4,FALSE)&amp;$AX356,坦克属性分配比例,MATCH("部件比例",坦克属性分配比例标头,0),FALSE))*$AY356/VLOOKUP(VLOOKUP($AW356,坦克个性化设定!$B$18:$E$48,4,FALSE)&amp;$AX356,坦克属性分配比例,MATCH("升星次数",坦克属性分配比例标头,0),FALSE),0)</f>
        <v>3725</v>
      </c>
      <c r="BA356" s="654">
        <f ca="1">ROUND(VLOOKUP($AW356&amp;"初始",$O$3:$AA$63,MATCH(BA$3,$O$3:$AA$3,0),FALSE)+(VLOOKUP($AW356&amp;"最终",$O$3:$AA$63,MATCH(BA$3,$O$3:$AA$3,0),FALSE)-VLOOKUP($AW356&amp;"初始",$O$3:$AA$63,MATCH(BA$3,$O$3:$AA$3,0),FALSE))*$AY356/VLOOKUP(VLOOKUP($AW356,坦克个性化设定!$B$18:$E$48,4,FALSE)&amp;$AX356,坦克属性分配比例,MATCH("升星次数",坦克属性分配比例标头,0),FALSE)*VLOOKUP(VLOOKUP($AW356,坦克个性化设定!$B$18:$E$48,4,FALSE)&amp;$AX356,坦克属性分配比例,MATCH("升星比例",坦克属性分配比例标头,0),FALSE),0)</f>
        <v>534</v>
      </c>
      <c r="BB356" s="654">
        <f ca="1">ROUND(VLOOKUP($AW356&amp;"初始",$O$3:$AA$63,MATCH(BB$3,$O$3:$AA$3,0),FALSE)+(VLOOKUP($AW356&amp;"最终",$O$3:$AA$63,MATCH(BB$3,$O$3:$AA$3,0),FALSE)-VLOOKUP($AW356&amp;"初始",$O$3:$AA$63,MATCH(BB$3,$O$3:$AA$3,0),FALSE))*$AY356/VLOOKUP(VLOOKUP($AW356,坦克个性化设定!$B$18:$E$48,4,FALSE)&amp;$AX356,坦克属性分配比例,MATCH("升星次数",坦克属性分配比例标头,0),FALSE)*(VLOOKUP(VLOOKUP($AW356,坦克个性化设定!$B$18:$E$48,4,FALSE)&amp;$AX356,坦克属性分配比例,MATCH("升星比例",坦克属性分配比例标头,0),FALSE)+VLOOKUP(VLOOKUP($AW356,坦克个性化设定!$B$18:$E$48,4,FALSE)&amp;$AX356,坦克属性分配比例,MATCH("部件比例",坦克属性分配比例标头,0),FALSE)*$C$3),0)</f>
        <v>1043</v>
      </c>
      <c r="BC356" s="654">
        <f ca="1">ROUND(VLOOKUP($AW356&amp;"初始",$O$3:$AA$63,MATCH(BC$3,$O$3:$AA$3,0),FALSE)+(VLOOKUP($AW356&amp;"最终",$O$3:$AA$63,MATCH(BC$3,$O$3:$AA$3,0),FALSE)-VLOOKUP($AW356&amp;"初始",$O$3:$AA$63,MATCH(BC$3,$O$3:$AA$3,0),FALSE))*$AY356/VLOOKUP(VLOOKUP($AW356,坦克个性化设定!$B$18:$E$48,4,FALSE)&amp;$AX356,坦克属性分配比例,MATCH("升星次数",坦克属性分配比例标头,0),FALSE)*(VLOOKUP(VLOOKUP($AW356,坦克个性化设定!$B$18:$E$48,4,FALSE)&amp;$AX356,坦克属性分配比例,MATCH("升星比例",坦克属性分配比例标头,0),FALSE)+VLOOKUP(VLOOKUP($AW356,坦克个性化设定!$B$18:$E$48,4,FALSE)&amp;$AX356,坦克属性分配比例,MATCH("部件比例",坦克属性分配比例标头,0),FALSE)*$C$3),0)</f>
        <v>835</v>
      </c>
      <c r="BD356" s="654">
        <f ca="1">ROUND(VLOOKUP($AW356&amp;"初始",$O$3:$AA$63,MATCH(BD$3,$O$3:$AA$3,0),FALSE)+(VLOOKUP($AW356&amp;"最终",$O$3:$AA$63,MATCH(BD$3,$O$3:$AA$3,0),FALSE)-VLOOKUP($AW356&amp;"初始",$O$3:$AA$63,MATCH(BD$3,$O$3:$AA$3,0),FALSE))*$AY356/VLOOKUP(VLOOKUP($AW356,坦克个性化设定!$B$18:$E$48,4,FALSE)&amp;$AX356,坦克属性分配比例,MATCH("升星次数",坦克属性分配比例标头,0),FALSE)*VLOOKUP(VLOOKUP($AW356,坦克个性化设定!$B$18:$E$48,4,FALSE)&amp;$AX356,坦克属性分配比例,MATCH("升星比例",坦克属性分配比例标头,0),FALSE),0)</f>
        <v>1180</v>
      </c>
      <c r="BE356" s="654">
        <f ca="1">ROUND(VLOOKUP($AW356&amp;"初始",$O$3:$AA$63,MATCH(BE$3,$O$3:$AA$3,0),FALSE)+(VLOOKUP($AW356&amp;"最终",$O$3:$AA$63,MATCH(BE$3,$O$3:$AA$3,0),FALSE)-VLOOKUP($AW356&amp;"初始",$O$3:$AA$63,MATCH(BE$3,$O$3:$AA$3,0),FALSE))*$AY356/VLOOKUP(VLOOKUP($AW356,坦克个性化设定!$B$18:$E$48,4,FALSE)&amp;$AX356,坦克属性分配比例,MATCH("升星次数",坦克属性分配比例标头,0),FALSE),0)</f>
        <v>348</v>
      </c>
      <c r="BF356" s="654">
        <f>ROUND(VLOOKUP($AW356,$AD$3:$AJ$33,MATCH(BF$3,$AD$3:$AJ$3,0),FALSE)+$AY356/VLOOKUP(VLOOKUP($AW356,坦克个性化设定!$B$18:$E$48,4,FALSE)&amp;$AX356,坦克属性分配比例,MATCH("升星次数",坦克属性分配比例标头,0),FALSE)*VLOOKUP($AW356,$AM$3:$AS$33,MATCH(BF$3,$AM$3:$AS$3,0),FALSE),1)</f>
        <v>39.700000000000003</v>
      </c>
      <c r="BG356" s="654">
        <f>ROUND(VLOOKUP($AW356,$AD$3:$AJ$33,MATCH(BG$3,$AD$3:$AJ$3,0),FALSE)+$AY356/VLOOKUP(VLOOKUP($AW356,坦克个性化设定!$B$18:$E$48,4,FALSE)&amp;$AX356,坦克属性分配比例,MATCH("升星次数",坦克属性分配比例标头,0),FALSE)*VLOOKUP($AW356,$AM$3:$AS$33,MATCH(BG$3,$AM$3:$AS$3,0),FALSE),1)</f>
        <v>55.4</v>
      </c>
      <c r="BH356" s="654">
        <f>ROUND(VLOOKUP($AW356,$AD$3:$AJ$33,MATCH(BH$3,$AD$3:$AJ$3,0),FALSE)+$AY356/VLOOKUP(VLOOKUP($AW356,坦克个性化设定!$B$18:$E$48,4,FALSE)&amp;$AX356,坦克属性分配比例,MATCH("升星次数",坦克属性分配比例标头,0),FALSE)*VLOOKUP($AW356,$AM$3:$AS$33,MATCH(BH$3,$AM$3:$AS$3,0),FALSE),1)</f>
        <v>12.6</v>
      </c>
      <c r="BI356" s="654">
        <f>IF(VLOOKUP(AW356,坦克个性化设定!$B$18:$BB$48,MATCH("装弹类型",坦克个性化设定!$B$18:$BB$18,0),FALSE)="弹夹换弹",0,ROUND(VLOOKUP($AW356,$AD$3:$AJ$33,MATCH("换弹时间",$AD$3:$AJ$3,0),FALSE)-$AY356/VLOOKUP(VLOOKUP($AW356,坦克个性化设定!$B$18:$E$48,4,FALSE)&amp;$AX356,坦克属性分配比例,MATCH("升星次数",坦克属性分配比例标头,0),FALSE)*VLOOKUP($AW356,$AM$3:$AS$33,MATCH("换弹时间",$AM$3:$AS$3,0),FALSE),2))</f>
        <v>4.7699999999999996</v>
      </c>
      <c r="BJ356" s="654">
        <f>IF(VLOOKUP(AW356,坦克个性化设定!$B$18:$BB$48,MATCH("装弹类型",坦克个性化设定!$B$18:$BB$18,0),FALSE)="弹夹换弹",ROUND(VLOOKUP($AW356,$AD$3:$AJ$33,MATCH("换弹时间",$AD$3:$AJ$3,0),FALSE)-$AY356/VLOOKUP(VLOOKUP($AW356,坦克个性化设定!$B$18:$E$48,4,FALSE)&amp;$AX356,坦克属性分配比例,MATCH("升星次数",坦克属性分配比例标头,0),FALSE)*VLOOKUP($AW356,$AM$3:$AS$33,MATCH("换弹时间",$AM$3:$AS$3,0),FALSE),1),0)</f>
        <v>0</v>
      </c>
      <c r="BK356" s="654">
        <f>ROUND(VLOOKUP($AW356,$AD$3:$AJ$33,MATCH(BK$3,$AD$3:$AJ$3,0),FALSE)+$AY356/VLOOKUP(VLOOKUP($AW356,坦克个性化设定!$B$18:$E$48,4,FALSE)&amp;$AX356,坦克属性分配比例,MATCH("升星次数",坦克属性分配比例标头,0),FALSE)*VLOOKUP($AW356,$AM$3:$AS$33,MATCH(BK$3,$AM$3:$AS$3,0),FALSE),2)</f>
        <v>0</v>
      </c>
      <c r="BL356" s="654">
        <f>ROUND(VLOOKUP($AW356,$AD$3:$AJ$33,MATCH(BL$3,$AD$3:$AJ$3,0),FALSE)-$AY356/VLOOKUP(VLOOKUP($AW356,坦克个性化设定!$B$18:$E$48,4,FALSE)&amp;$AX356,坦克属性分配比例,MATCH("升星次数",坦克属性分配比例标头,0),FALSE)*VLOOKUP($AW356,$AM$3:$AS$33,MATCH(BL$3,$AM$3:$AS$3,0),FALSE),2)</f>
        <v>2.59</v>
      </c>
    </row>
    <row r="357" spans="47:64" x14ac:dyDescent="0.35">
      <c r="AU357" s="372" t="str">
        <f t="shared" si="33"/>
        <v>T-3215</v>
      </c>
      <c r="AV357" s="654">
        <f>IF(AY356&gt;=VLOOKUP(VLOOKUP(AW356,坦克个性化设定!$B$18:$E$48,4,FALSE)&amp;AX356,坦克属性分配比例,MATCH("升星次数",坦克属性分配比例标头,0),FALSE),AV356+1,AV356)</f>
        <v>29</v>
      </c>
      <c r="AW357" s="649" t="str">
        <f t="shared" si="34"/>
        <v>T-32</v>
      </c>
      <c r="AX357" s="650" t="str">
        <f>VLOOKUP(AW357,坦克个性化细分!$I$3:$J$33,2,FALSE)</f>
        <v>高</v>
      </c>
      <c r="AY357" s="654">
        <f t="shared" si="35"/>
        <v>15</v>
      </c>
      <c r="AZ357" s="654">
        <f ca="1">ROUND(VLOOKUP($AW357&amp;"初始",$O$3:$AA$63,MATCH(AZ$3,$O$3:$AA$3,0),FALSE)+((VLOOKUP($AW357&amp;"最终",$O$3:$AA$63,MATCH(AZ$3,$O$3:$AA$3,0),FALSE)*坦克个性化细分!$C$9-VLOOKUP($AW357&amp;"初始",$O$3:$AA$63,MATCH(AZ$3,$O$3:$AA$3,0),FALSE))-(VLOOKUP($AW357&amp;"最终",$O$3:$AA$63,MATCH(AZ$3,$O$3:$AA$3,0),FALSE)-VLOOKUP($AW357&amp;"初始",$O$3:$AA$63,MATCH(AZ$3,$O$3:$AA$3,0),FALSE))*VLOOKUP(VLOOKUP($AW357,坦克个性化设定!$B$18:$E$48,4,FALSE)&amp;$AX357,坦克属性分配比例,MATCH("部件比例",坦克属性分配比例标头,0),FALSE))*$AY357/VLOOKUP(VLOOKUP($AW357,坦克个性化设定!$B$18:$E$48,4,FALSE)&amp;$AX357,坦克属性分配比例,MATCH("升星次数",坦克属性分配比例标头,0),FALSE),0)</f>
        <v>3847</v>
      </c>
      <c r="BA357" s="654">
        <f ca="1">ROUND(VLOOKUP($AW357&amp;"初始",$O$3:$AA$63,MATCH(BA$3,$O$3:$AA$3,0),FALSE)+(VLOOKUP($AW357&amp;"最终",$O$3:$AA$63,MATCH(BA$3,$O$3:$AA$3,0),FALSE)-VLOOKUP($AW357&amp;"初始",$O$3:$AA$63,MATCH(BA$3,$O$3:$AA$3,0),FALSE))*$AY357/VLOOKUP(VLOOKUP($AW357,坦克个性化设定!$B$18:$E$48,4,FALSE)&amp;$AX357,坦克属性分配比例,MATCH("升星次数",坦克属性分配比例标头,0),FALSE)*VLOOKUP(VLOOKUP($AW357,坦克个性化设定!$B$18:$E$48,4,FALSE)&amp;$AX357,坦克属性分配比例,MATCH("升星比例",坦克属性分配比例标头,0),FALSE),0)</f>
        <v>544</v>
      </c>
      <c r="BB357" s="654">
        <f ca="1">ROUND(VLOOKUP($AW357&amp;"初始",$O$3:$AA$63,MATCH(BB$3,$O$3:$AA$3,0),FALSE)+(VLOOKUP($AW357&amp;"最终",$O$3:$AA$63,MATCH(BB$3,$O$3:$AA$3,0),FALSE)-VLOOKUP($AW357&amp;"初始",$O$3:$AA$63,MATCH(BB$3,$O$3:$AA$3,0),FALSE))*$AY357/VLOOKUP(VLOOKUP($AW357,坦克个性化设定!$B$18:$E$48,4,FALSE)&amp;$AX357,坦克属性分配比例,MATCH("升星次数",坦克属性分配比例标头,0),FALSE)*(VLOOKUP(VLOOKUP($AW357,坦克个性化设定!$B$18:$E$48,4,FALSE)&amp;$AX357,坦克属性分配比例,MATCH("升星比例",坦克属性分配比例标头,0),FALSE)+VLOOKUP(VLOOKUP($AW357,坦克个性化设定!$B$18:$E$48,4,FALSE)&amp;$AX357,坦克属性分配比例,MATCH("部件比例",坦克属性分配比例标头,0),FALSE)*$C$3),0)</f>
        <v>1071</v>
      </c>
      <c r="BC357" s="654">
        <f ca="1">ROUND(VLOOKUP($AW357&amp;"初始",$O$3:$AA$63,MATCH(BC$3,$O$3:$AA$3,0),FALSE)+(VLOOKUP($AW357&amp;"最终",$O$3:$AA$63,MATCH(BC$3,$O$3:$AA$3,0),FALSE)-VLOOKUP($AW357&amp;"初始",$O$3:$AA$63,MATCH(BC$3,$O$3:$AA$3,0),FALSE))*$AY357/VLOOKUP(VLOOKUP($AW357,坦克个性化设定!$B$18:$E$48,4,FALSE)&amp;$AX357,坦克属性分配比例,MATCH("升星次数",坦克属性分配比例标头,0),FALSE)*(VLOOKUP(VLOOKUP($AW357,坦克个性化设定!$B$18:$E$48,4,FALSE)&amp;$AX357,坦克属性分配比例,MATCH("升星比例",坦克属性分配比例标头,0),FALSE)+VLOOKUP(VLOOKUP($AW357,坦克个性化设定!$B$18:$E$48,4,FALSE)&amp;$AX357,坦克属性分配比例,MATCH("部件比例",坦克属性分配比例标头,0),FALSE)*$C$3),0)</f>
        <v>857</v>
      </c>
      <c r="BD357" s="654">
        <f ca="1">ROUND(VLOOKUP($AW357&amp;"初始",$O$3:$AA$63,MATCH(BD$3,$O$3:$AA$3,0),FALSE)+(VLOOKUP($AW357&amp;"最终",$O$3:$AA$63,MATCH(BD$3,$O$3:$AA$3,0),FALSE)-VLOOKUP($AW357&amp;"初始",$O$3:$AA$63,MATCH(BD$3,$O$3:$AA$3,0),FALSE))*$AY357/VLOOKUP(VLOOKUP($AW357,坦克个性化设定!$B$18:$E$48,4,FALSE)&amp;$AX357,坦克属性分配比例,MATCH("升星次数",坦克属性分配比例标头,0),FALSE)*VLOOKUP(VLOOKUP($AW357,坦克个性化设定!$B$18:$E$48,4,FALSE)&amp;$AX357,坦克属性分配比例,MATCH("升星比例",坦克属性分配比例标头,0),FALSE),0)</f>
        <v>1202</v>
      </c>
      <c r="BE357" s="654">
        <f ca="1">ROUND(VLOOKUP($AW357&amp;"初始",$O$3:$AA$63,MATCH(BE$3,$O$3:$AA$3,0),FALSE)+(VLOOKUP($AW357&amp;"最终",$O$3:$AA$63,MATCH(BE$3,$O$3:$AA$3,0),FALSE)-VLOOKUP($AW357&amp;"初始",$O$3:$AA$63,MATCH(BE$3,$O$3:$AA$3,0),FALSE))*$AY357/VLOOKUP(VLOOKUP($AW357,坦克个性化设定!$B$18:$E$48,4,FALSE)&amp;$AX357,坦克属性分配比例,MATCH("升星次数",坦克属性分配比例标头,0),FALSE),0)</f>
        <v>358</v>
      </c>
      <c r="BF357" s="654">
        <f>ROUND(VLOOKUP($AW357,$AD$3:$AJ$33,MATCH(BF$3,$AD$3:$AJ$3,0),FALSE)+$AY357/VLOOKUP(VLOOKUP($AW357,坦克个性化设定!$B$18:$E$48,4,FALSE)&amp;$AX357,坦克属性分配比例,MATCH("升星次数",坦克属性分配比例标头,0),FALSE)*VLOOKUP($AW357,$AM$3:$AS$33,MATCH(BF$3,$AM$3:$AS$3,0),FALSE),1)</f>
        <v>40.200000000000003</v>
      </c>
      <c r="BG357" s="654">
        <f>ROUND(VLOOKUP($AW357,$AD$3:$AJ$33,MATCH(BG$3,$AD$3:$AJ$3,0),FALSE)+$AY357/VLOOKUP(VLOOKUP($AW357,坦克个性化设定!$B$18:$E$48,4,FALSE)&amp;$AX357,坦克属性分配比例,MATCH("升星次数",坦克属性分配比例标头,0),FALSE)*VLOOKUP($AW357,$AM$3:$AS$33,MATCH(BG$3,$AM$3:$AS$3,0),FALSE),1)</f>
        <v>56</v>
      </c>
      <c r="BH357" s="654">
        <f>ROUND(VLOOKUP($AW357,$AD$3:$AJ$33,MATCH(BH$3,$AD$3:$AJ$3,0),FALSE)+$AY357/VLOOKUP(VLOOKUP($AW357,坦克个性化设定!$B$18:$E$48,4,FALSE)&amp;$AX357,坦克属性分配比例,MATCH("升星次数",坦克属性分配比例标头,0),FALSE)*VLOOKUP($AW357,$AM$3:$AS$33,MATCH(BH$3,$AM$3:$AS$3,0),FALSE),1)</f>
        <v>12.8</v>
      </c>
      <c r="BI357" s="654">
        <f>IF(VLOOKUP(AW357,坦克个性化设定!$B$18:$BB$48,MATCH("装弹类型",坦克个性化设定!$B$18:$BB$18,0),FALSE)="弹夹换弹",0,ROUND(VLOOKUP($AW357,$AD$3:$AJ$33,MATCH("换弹时间",$AD$3:$AJ$3,0),FALSE)-$AY357/VLOOKUP(VLOOKUP($AW357,坦克个性化设定!$B$18:$E$48,4,FALSE)&amp;$AX357,坦克属性分配比例,MATCH("升星次数",坦克属性分配比例标头,0),FALSE)*VLOOKUP($AW357,$AM$3:$AS$33,MATCH("换弹时间",$AM$3:$AS$3,0),FALSE),2))</f>
        <v>4.6900000000000004</v>
      </c>
      <c r="BJ357" s="654">
        <f>IF(VLOOKUP(AW357,坦克个性化设定!$B$18:$BB$48,MATCH("装弹类型",坦克个性化设定!$B$18:$BB$18,0),FALSE)="弹夹换弹",ROUND(VLOOKUP($AW357,$AD$3:$AJ$33,MATCH("换弹时间",$AD$3:$AJ$3,0),FALSE)-$AY357/VLOOKUP(VLOOKUP($AW357,坦克个性化设定!$B$18:$E$48,4,FALSE)&amp;$AX357,坦克属性分配比例,MATCH("升星次数",坦克属性分配比例标头,0),FALSE)*VLOOKUP($AW357,$AM$3:$AS$33,MATCH("换弹时间",$AM$3:$AS$3,0),FALSE),1),0)</f>
        <v>0</v>
      </c>
      <c r="BK357" s="654">
        <f>ROUND(VLOOKUP($AW357,$AD$3:$AJ$33,MATCH(BK$3,$AD$3:$AJ$3,0),FALSE)+$AY357/VLOOKUP(VLOOKUP($AW357,坦克个性化设定!$B$18:$E$48,4,FALSE)&amp;$AX357,坦克属性分配比例,MATCH("升星次数",坦克属性分配比例标头,0),FALSE)*VLOOKUP($AW357,$AM$3:$AS$33,MATCH(BK$3,$AM$3:$AS$3,0),FALSE),2)</f>
        <v>0</v>
      </c>
      <c r="BL357" s="654">
        <f>ROUND(VLOOKUP($AW357,$AD$3:$AJ$33,MATCH(BL$3,$AD$3:$AJ$3,0),FALSE)-$AY357/VLOOKUP(VLOOKUP($AW357,坦克个性化设定!$B$18:$E$48,4,FALSE)&amp;$AX357,坦克属性分配比例,MATCH("升星次数",坦克属性分配比例标头,0),FALSE)*VLOOKUP($AW357,$AM$3:$AS$33,MATCH(BL$3,$AM$3:$AS$3,0),FALSE),2)</f>
        <v>2.56</v>
      </c>
    </row>
    <row r="358" spans="47:64" x14ac:dyDescent="0.35">
      <c r="AU358" s="372" t="str">
        <f t="shared" si="33"/>
        <v>T-3216</v>
      </c>
      <c r="AV358" s="654">
        <f>IF(AY357&gt;=VLOOKUP(VLOOKUP(AW357,坦克个性化设定!$B$18:$E$48,4,FALSE)&amp;AX357,坦克属性分配比例,MATCH("升星次数",坦克属性分配比例标头,0),FALSE),AV357+1,AV357)</f>
        <v>29</v>
      </c>
      <c r="AW358" s="649" t="str">
        <f t="shared" si="34"/>
        <v>T-32</v>
      </c>
      <c r="AX358" s="650" t="str">
        <f>VLOOKUP(AW358,坦克个性化细分!$I$3:$J$33,2,FALSE)</f>
        <v>高</v>
      </c>
      <c r="AY358" s="654">
        <f t="shared" si="35"/>
        <v>16</v>
      </c>
      <c r="AZ358" s="654">
        <f ca="1">ROUND(VLOOKUP($AW358&amp;"初始",$O$3:$AA$63,MATCH(AZ$3,$O$3:$AA$3,0),FALSE)+((VLOOKUP($AW358&amp;"最终",$O$3:$AA$63,MATCH(AZ$3,$O$3:$AA$3,0),FALSE)*坦克个性化细分!$C$9-VLOOKUP($AW358&amp;"初始",$O$3:$AA$63,MATCH(AZ$3,$O$3:$AA$3,0),FALSE))-(VLOOKUP($AW358&amp;"最终",$O$3:$AA$63,MATCH(AZ$3,$O$3:$AA$3,0),FALSE)-VLOOKUP($AW358&amp;"初始",$O$3:$AA$63,MATCH(AZ$3,$O$3:$AA$3,0),FALSE))*VLOOKUP(VLOOKUP($AW358,坦克个性化设定!$B$18:$E$48,4,FALSE)&amp;$AX358,坦克属性分配比例,MATCH("部件比例",坦克属性分配比例标头,0),FALSE))*$AY358/VLOOKUP(VLOOKUP($AW358,坦克个性化设定!$B$18:$E$48,4,FALSE)&amp;$AX358,坦克属性分配比例,MATCH("升星次数",坦克属性分配比例标头,0),FALSE),0)</f>
        <v>3969</v>
      </c>
      <c r="BA358" s="654">
        <f ca="1">ROUND(VLOOKUP($AW358&amp;"初始",$O$3:$AA$63,MATCH(BA$3,$O$3:$AA$3,0),FALSE)+(VLOOKUP($AW358&amp;"最终",$O$3:$AA$63,MATCH(BA$3,$O$3:$AA$3,0),FALSE)-VLOOKUP($AW358&amp;"初始",$O$3:$AA$63,MATCH(BA$3,$O$3:$AA$3,0),FALSE))*$AY358/VLOOKUP(VLOOKUP($AW358,坦克个性化设定!$B$18:$E$48,4,FALSE)&amp;$AX358,坦克属性分配比例,MATCH("升星次数",坦克属性分配比例标头,0),FALSE)*VLOOKUP(VLOOKUP($AW358,坦克个性化设定!$B$18:$E$48,4,FALSE)&amp;$AX358,坦克属性分配比例,MATCH("升星比例",坦克属性分配比例标头,0),FALSE),0)</f>
        <v>554</v>
      </c>
      <c r="BB358" s="654">
        <f ca="1">ROUND(VLOOKUP($AW358&amp;"初始",$O$3:$AA$63,MATCH(BB$3,$O$3:$AA$3,0),FALSE)+(VLOOKUP($AW358&amp;"最终",$O$3:$AA$63,MATCH(BB$3,$O$3:$AA$3,0),FALSE)-VLOOKUP($AW358&amp;"初始",$O$3:$AA$63,MATCH(BB$3,$O$3:$AA$3,0),FALSE))*$AY358/VLOOKUP(VLOOKUP($AW358,坦克个性化设定!$B$18:$E$48,4,FALSE)&amp;$AX358,坦克属性分配比例,MATCH("升星次数",坦克属性分配比例标头,0),FALSE)*(VLOOKUP(VLOOKUP($AW358,坦克个性化设定!$B$18:$E$48,4,FALSE)&amp;$AX358,坦克属性分配比例,MATCH("升星比例",坦克属性分配比例标头,0),FALSE)+VLOOKUP(VLOOKUP($AW358,坦克个性化设定!$B$18:$E$48,4,FALSE)&amp;$AX358,坦克属性分配比例,MATCH("部件比例",坦克属性分配比例标头,0),FALSE)*$C$3),0)</f>
        <v>1099</v>
      </c>
      <c r="BC358" s="654">
        <f ca="1">ROUND(VLOOKUP($AW358&amp;"初始",$O$3:$AA$63,MATCH(BC$3,$O$3:$AA$3,0),FALSE)+(VLOOKUP($AW358&amp;"最终",$O$3:$AA$63,MATCH(BC$3,$O$3:$AA$3,0),FALSE)-VLOOKUP($AW358&amp;"初始",$O$3:$AA$63,MATCH(BC$3,$O$3:$AA$3,0),FALSE))*$AY358/VLOOKUP(VLOOKUP($AW358,坦克个性化设定!$B$18:$E$48,4,FALSE)&amp;$AX358,坦克属性分配比例,MATCH("升星次数",坦克属性分配比例标头,0),FALSE)*(VLOOKUP(VLOOKUP($AW358,坦克个性化设定!$B$18:$E$48,4,FALSE)&amp;$AX358,坦克属性分配比例,MATCH("升星比例",坦克属性分配比例标头,0),FALSE)+VLOOKUP(VLOOKUP($AW358,坦克个性化设定!$B$18:$E$48,4,FALSE)&amp;$AX358,坦克属性分配比例,MATCH("部件比例",坦克属性分配比例标头,0),FALSE)*$C$3),0)</f>
        <v>880</v>
      </c>
      <c r="BD358" s="654">
        <f ca="1">ROUND(VLOOKUP($AW358&amp;"初始",$O$3:$AA$63,MATCH(BD$3,$O$3:$AA$3,0),FALSE)+(VLOOKUP($AW358&amp;"最终",$O$3:$AA$63,MATCH(BD$3,$O$3:$AA$3,0),FALSE)-VLOOKUP($AW358&amp;"初始",$O$3:$AA$63,MATCH(BD$3,$O$3:$AA$3,0),FALSE))*$AY358/VLOOKUP(VLOOKUP($AW358,坦克个性化设定!$B$18:$E$48,4,FALSE)&amp;$AX358,坦克属性分配比例,MATCH("升星次数",坦克属性分配比例标头,0),FALSE)*VLOOKUP(VLOOKUP($AW358,坦克个性化设定!$B$18:$E$48,4,FALSE)&amp;$AX358,坦克属性分配比例,MATCH("升星比例",坦克属性分配比例标头,0),FALSE),0)</f>
        <v>1225</v>
      </c>
      <c r="BE358" s="654">
        <f ca="1">ROUND(VLOOKUP($AW358&amp;"初始",$O$3:$AA$63,MATCH(BE$3,$O$3:$AA$3,0),FALSE)+(VLOOKUP($AW358&amp;"最终",$O$3:$AA$63,MATCH(BE$3,$O$3:$AA$3,0),FALSE)-VLOOKUP($AW358&amp;"初始",$O$3:$AA$63,MATCH(BE$3,$O$3:$AA$3,0),FALSE))*$AY358/VLOOKUP(VLOOKUP($AW358,坦克个性化设定!$B$18:$E$48,4,FALSE)&amp;$AX358,坦克属性分配比例,MATCH("升星次数",坦克属性分配比例标头,0),FALSE),0)</f>
        <v>369</v>
      </c>
      <c r="BF358" s="654">
        <f>ROUND(VLOOKUP($AW358,$AD$3:$AJ$33,MATCH(BF$3,$AD$3:$AJ$3,0),FALSE)+$AY358/VLOOKUP(VLOOKUP($AW358,坦克个性化设定!$B$18:$E$48,4,FALSE)&amp;$AX358,坦克属性分配比例,MATCH("升星次数",坦克属性分配比例标头,0),FALSE)*VLOOKUP($AW358,$AM$3:$AS$33,MATCH(BF$3,$AM$3:$AS$3,0),FALSE),1)</f>
        <v>40.6</v>
      </c>
      <c r="BG358" s="654">
        <f>ROUND(VLOOKUP($AW358,$AD$3:$AJ$33,MATCH(BG$3,$AD$3:$AJ$3,0),FALSE)+$AY358/VLOOKUP(VLOOKUP($AW358,坦克个性化设定!$B$18:$E$48,4,FALSE)&amp;$AX358,坦克属性分配比例,MATCH("升星次数",坦克属性分配比例标头,0),FALSE)*VLOOKUP($AW358,$AM$3:$AS$33,MATCH(BG$3,$AM$3:$AS$3,0),FALSE),1)</f>
        <v>56.7</v>
      </c>
      <c r="BH358" s="654">
        <f>ROUND(VLOOKUP($AW358,$AD$3:$AJ$33,MATCH(BH$3,$AD$3:$AJ$3,0),FALSE)+$AY358/VLOOKUP(VLOOKUP($AW358,坦克个性化设定!$B$18:$E$48,4,FALSE)&amp;$AX358,坦克属性分配比例,MATCH("升星次数",坦克属性分配比例标头,0),FALSE)*VLOOKUP($AW358,$AM$3:$AS$33,MATCH(BH$3,$AM$3:$AS$3,0),FALSE),1)</f>
        <v>12.9</v>
      </c>
      <c r="BI358" s="654">
        <f>IF(VLOOKUP(AW358,坦克个性化设定!$B$18:$BB$48,MATCH("装弹类型",坦克个性化设定!$B$18:$BB$18,0),FALSE)="弹夹换弹",0,ROUND(VLOOKUP($AW358,$AD$3:$AJ$33,MATCH("换弹时间",$AD$3:$AJ$3,0),FALSE)-$AY358/VLOOKUP(VLOOKUP($AW358,坦克个性化设定!$B$18:$E$48,4,FALSE)&amp;$AX358,坦克属性分配比例,MATCH("升星次数",坦克属性分配比例标头,0),FALSE)*VLOOKUP($AW358,$AM$3:$AS$33,MATCH("换弹时间",$AM$3:$AS$3,0),FALSE),2))</f>
        <v>4.5999999999999996</v>
      </c>
      <c r="BJ358" s="654">
        <f>IF(VLOOKUP(AW358,坦克个性化设定!$B$18:$BB$48,MATCH("装弹类型",坦克个性化设定!$B$18:$BB$18,0),FALSE)="弹夹换弹",ROUND(VLOOKUP($AW358,$AD$3:$AJ$33,MATCH("换弹时间",$AD$3:$AJ$3,0),FALSE)-$AY358/VLOOKUP(VLOOKUP($AW358,坦克个性化设定!$B$18:$E$48,4,FALSE)&amp;$AX358,坦克属性分配比例,MATCH("升星次数",坦克属性分配比例标头,0),FALSE)*VLOOKUP($AW358,$AM$3:$AS$33,MATCH("换弹时间",$AM$3:$AS$3,0),FALSE),1),0)</f>
        <v>0</v>
      </c>
      <c r="BK358" s="654">
        <f>ROUND(VLOOKUP($AW358,$AD$3:$AJ$33,MATCH(BK$3,$AD$3:$AJ$3,0),FALSE)+$AY358/VLOOKUP(VLOOKUP($AW358,坦克个性化设定!$B$18:$E$48,4,FALSE)&amp;$AX358,坦克属性分配比例,MATCH("升星次数",坦克属性分配比例标头,0),FALSE)*VLOOKUP($AW358,$AM$3:$AS$33,MATCH(BK$3,$AM$3:$AS$3,0),FALSE),2)</f>
        <v>0</v>
      </c>
      <c r="BL358" s="654">
        <f>ROUND(VLOOKUP($AW358,$AD$3:$AJ$33,MATCH(BL$3,$AD$3:$AJ$3,0),FALSE)-$AY358/VLOOKUP(VLOOKUP($AW358,坦克个性化设定!$B$18:$E$48,4,FALSE)&amp;$AX358,坦克属性分配比例,MATCH("升星次数",坦克属性分配比例标头,0),FALSE)*VLOOKUP($AW358,$AM$3:$AS$33,MATCH(BL$3,$AM$3:$AS$3,0),FALSE),2)</f>
        <v>2.5299999999999998</v>
      </c>
    </row>
    <row r="359" spans="47:64" x14ac:dyDescent="0.35">
      <c r="AU359" s="372" t="str">
        <f t="shared" si="33"/>
        <v>T-3217</v>
      </c>
      <c r="AV359" s="654">
        <f>IF(AY358&gt;=VLOOKUP(VLOOKUP(AW358,坦克个性化设定!$B$18:$E$48,4,FALSE)&amp;AX358,坦克属性分配比例,MATCH("升星次数",坦克属性分配比例标头,0),FALSE),AV358+1,AV358)</f>
        <v>29</v>
      </c>
      <c r="AW359" s="649" t="str">
        <f t="shared" si="34"/>
        <v>T-32</v>
      </c>
      <c r="AX359" s="650" t="str">
        <f>VLOOKUP(AW359,坦克个性化细分!$I$3:$J$33,2,FALSE)</f>
        <v>高</v>
      </c>
      <c r="AY359" s="654">
        <f t="shared" si="35"/>
        <v>17</v>
      </c>
      <c r="AZ359" s="654">
        <f ca="1">ROUND(VLOOKUP($AW359&amp;"初始",$O$3:$AA$63,MATCH(AZ$3,$O$3:$AA$3,0),FALSE)+((VLOOKUP($AW359&amp;"最终",$O$3:$AA$63,MATCH(AZ$3,$O$3:$AA$3,0),FALSE)*坦克个性化细分!$C$9-VLOOKUP($AW359&amp;"初始",$O$3:$AA$63,MATCH(AZ$3,$O$3:$AA$3,0),FALSE))-(VLOOKUP($AW359&amp;"最终",$O$3:$AA$63,MATCH(AZ$3,$O$3:$AA$3,0),FALSE)-VLOOKUP($AW359&amp;"初始",$O$3:$AA$63,MATCH(AZ$3,$O$3:$AA$3,0),FALSE))*VLOOKUP(VLOOKUP($AW359,坦克个性化设定!$B$18:$E$48,4,FALSE)&amp;$AX359,坦克属性分配比例,MATCH("部件比例",坦克属性分配比例标头,0),FALSE))*$AY359/VLOOKUP(VLOOKUP($AW359,坦克个性化设定!$B$18:$E$48,4,FALSE)&amp;$AX359,坦克属性分配比例,MATCH("升星次数",坦克属性分配比例标头,0),FALSE),0)</f>
        <v>4090</v>
      </c>
      <c r="BA359" s="654">
        <f ca="1">ROUND(VLOOKUP($AW359&amp;"初始",$O$3:$AA$63,MATCH(BA$3,$O$3:$AA$3,0),FALSE)+(VLOOKUP($AW359&amp;"最终",$O$3:$AA$63,MATCH(BA$3,$O$3:$AA$3,0),FALSE)-VLOOKUP($AW359&amp;"初始",$O$3:$AA$63,MATCH(BA$3,$O$3:$AA$3,0),FALSE))*$AY359/VLOOKUP(VLOOKUP($AW359,坦克个性化设定!$B$18:$E$48,4,FALSE)&amp;$AX359,坦克属性分配比例,MATCH("升星次数",坦克属性分配比例标头,0),FALSE)*VLOOKUP(VLOOKUP($AW359,坦克个性化设定!$B$18:$E$48,4,FALSE)&amp;$AX359,坦克属性分配比例,MATCH("升星比例",坦克属性分配比例标头,0),FALSE),0)</f>
        <v>565</v>
      </c>
      <c r="BB359" s="654">
        <f ca="1">ROUND(VLOOKUP($AW359&amp;"初始",$O$3:$AA$63,MATCH(BB$3,$O$3:$AA$3,0),FALSE)+(VLOOKUP($AW359&amp;"最终",$O$3:$AA$63,MATCH(BB$3,$O$3:$AA$3,0),FALSE)-VLOOKUP($AW359&amp;"初始",$O$3:$AA$63,MATCH(BB$3,$O$3:$AA$3,0),FALSE))*$AY359/VLOOKUP(VLOOKUP($AW359,坦克个性化设定!$B$18:$E$48,4,FALSE)&amp;$AX359,坦克属性分配比例,MATCH("升星次数",坦克属性分配比例标头,0),FALSE)*(VLOOKUP(VLOOKUP($AW359,坦克个性化设定!$B$18:$E$48,4,FALSE)&amp;$AX359,坦克属性分配比例,MATCH("升星比例",坦克属性分配比例标头,0),FALSE)+VLOOKUP(VLOOKUP($AW359,坦克个性化设定!$B$18:$E$48,4,FALSE)&amp;$AX359,坦克属性分配比例,MATCH("部件比例",坦克属性分配比例标头,0),FALSE)*$C$3),0)</f>
        <v>1127</v>
      </c>
      <c r="BC359" s="654">
        <f ca="1">ROUND(VLOOKUP($AW359&amp;"初始",$O$3:$AA$63,MATCH(BC$3,$O$3:$AA$3,0),FALSE)+(VLOOKUP($AW359&amp;"最终",$O$3:$AA$63,MATCH(BC$3,$O$3:$AA$3,0),FALSE)-VLOOKUP($AW359&amp;"初始",$O$3:$AA$63,MATCH(BC$3,$O$3:$AA$3,0),FALSE))*$AY359/VLOOKUP(VLOOKUP($AW359,坦克个性化设定!$B$18:$E$48,4,FALSE)&amp;$AX359,坦克属性分配比例,MATCH("升星次数",坦克属性分配比例标头,0),FALSE)*(VLOOKUP(VLOOKUP($AW359,坦克个性化设定!$B$18:$E$48,4,FALSE)&amp;$AX359,坦克属性分配比例,MATCH("升星比例",坦克属性分配比例标头,0),FALSE)+VLOOKUP(VLOOKUP($AW359,坦克个性化设定!$B$18:$E$48,4,FALSE)&amp;$AX359,坦克属性分配比例,MATCH("部件比例",坦克属性分配比例标头,0),FALSE)*$C$3),0)</f>
        <v>902</v>
      </c>
      <c r="BD359" s="654">
        <f ca="1">ROUND(VLOOKUP($AW359&amp;"初始",$O$3:$AA$63,MATCH(BD$3,$O$3:$AA$3,0),FALSE)+(VLOOKUP($AW359&amp;"最终",$O$3:$AA$63,MATCH(BD$3,$O$3:$AA$3,0),FALSE)-VLOOKUP($AW359&amp;"初始",$O$3:$AA$63,MATCH(BD$3,$O$3:$AA$3,0),FALSE))*$AY359/VLOOKUP(VLOOKUP($AW359,坦克个性化设定!$B$18:$E$48,4,FALSE)&amp;$AX359,坦克属性分配比例,MATCH("升星次数",坦克属性分配比例标头,0),FALSE)*VLOOKUP(VLOOKUP($AW359,坦克个性化设定!$B$18:$E$48,4,FALSE)&amp;$AX359,坦克属性分配比例,MATCH("升星比例",坦克属性分配比例标头,0),FALSE),0)</f>
        <v>1247</v>
      </c>
      <c r="BE359" s="654">
        <f ca="1">ROUND(VLOOKUP($AW359&amp;"初始",$O$3:$AA$63,MATCH(BE$3,$O$3:$AA$3,0),FALSE)+(VLOOKUP($AW359&amp;"最终",$O$3:$AA$63,MATCH(BE$3,$O$3:$AA$3,0),FALSE)-VLOOKUP($AW359&amp;"初始",$O$3:$AA$63,MATCH(BE$3,$O$3:$AA$3,0),FALSE))*$AY359/VLOOKUP(VLOOKUP($AW359,坦克个性化设定!$B$18:$E$48,4,FALSE)&amp;$AX359,坦克属性分配比例,MATCH("升星次数",坦克属性分配比例标头,0),FALSE),0)</f>
        <v>380</v>
      </c>
      <c r="BF359" s="654">
        <f>ROUND(VLOOKUP($AW359,$AD$3:$AJ$33,MATCH(BF$3,$AD$3:$AJ$3,0),FALSE)+$AY359/VLOOKUP(VLOOKUP($AW359,坦克个性化设定!$B$18:$E$48,4,FALSE)&amp;$AX359,坦克属性分配比例,MATCH("升星次数",坦克属性分配比例标头,0),FALSE)*VLOOKUP($AW359,$AM$3:$AS$33,MATCH(BF$3,$AM$3:$AS$3,0),FALSE),1)</f>
        <v>41.1</v>
      </c>
      <c r="BG359" s="654">
        <f>ROUND(VLOOKUP($AW359,$AD$3:$AJ$33,MATCH(BG$3,$AD$3:$AJ$3,0),FALSE)+$AY359/VLOOKUP(VLOOKUP($AW359,坦克个性化设定!$B$18:$E$48,4,FALSE)&amp;$AX359,坦克属性分配比例,MATCH("升星次数",坦克属性分配比例标头,0),FALSE)*VLOOKUP($AW359,$AM$3:$AS$33,MATCH(BG$3,$AM$3:$AS$3,0),FALSE),1)</f>
        <v>57.4</v>
      </c>
      <c r="BH359" s="654">
        <f>ROUND(VLOOKUP($AW359,$AD$3:$AJ$33,MATCH(BH$3,$AD$3:$AJ$3,0),FALSE)+$AY359/VLOOKUP(VLOOKUP($AW359,坦克个性化设定!$B$18:$E$48,4,FALSE)&amp;$AX359,坦克属性分配比例,MATCH("升星次数",坦克属性分配比例标头,0),FALSE)*VLOOKUP($AW359,$AM$3:$AS$33,MATCH(BH$3,$AM$3:$AS$3,0),FALSE),1)</f>
        <v>13.1</v>
      </c>
      <c r="BI359" s="654">
        <f>IF(VLOOKUP(AW359,坦克个性化设定!$B$18:$BB$48,MATCH("装弹类型",坦克个性化设定!$B$18:$BB$18,0),FALSE)="弹夹换弹",0,ROUND(VLOOKUP($AW359,$AD$3:$AJ$33,MATCH("换弹时间",$AD$3:$AJ$3,0),FALSE)-$AY359/VLOOKUP(VLOOKUP($AW359,坦克个性化设定!$B$18:$E$48,4,FALSE)&amp;$AX359,坦克属性分配比例,MATCH("升星次数",坦克属性分配比例标头,0),FALSE)*VLOOKUP($AW359,$AM$3:$AS$33,MATCH("换弹时间",$AM$3:$AS$3,0),FALSE),2))</f>
        <v>4.51</v>
      </c>
      <c r="BJ359" s="654">
        <f>IF(VLOOKUP(AW359,坦克个性化设定!$B$18:$BB$48,MATCH("装弹类型",坦克个性化设定!$B$18:$BB$18,0),FALSE)="弹夹换弹",ROUND(VLOOKUP($AW359,$AD$3:$AJ$33,MATCH("换弹时间",$AD$3:$AJ$3,0),FALSE)-$AY359/VLOOKUP(VLOOKUP($AW359,坦克个性化设定!$B$18:$E$48,4,FALSE)&amp;$AX359,坦克属性分配比例,MATCH("升星次数",坦克属性分配比例标头,0),FALSE)*VLOOKUP($AW359,$AM$3:$AS$33,MATCH("换弹时间",$AM$3:$AS$3,0),FALSE),1),0)</f>
        <v>0</v>
      </c>
      <c r="BK359" s="654">
        <f>ROUND(VLOOKUP($AW359,$AD$3:$AJ$33,MATCH(BK$3,$AD$3:$AJ$3,0),FALSE)+$AY359/VLOOKUP(VLOOKUP($AW359,坦克个性化设定!$B$18:$E$48,4,FALSE)&amp;$AX359,坦克属性分配比例,MATCH("升星次数",坦克属性分配比例标头,0),FALSE)*VLOOKUP($AW359,$AM$3:$AS$33,MATCH(BK$3,$AM$3:$AS$3,0),FALSE),2)</f>
        <v>0</v>
      </c>
      <c r="BL359" s="654">
        <f>ROUND(VLOOKUP($AW359,$AD$3:$AJ$33,MATCH(BL$3,$AD$3:$AJ$3,0),FALSE)-$AY359/VLOOKUP(VLOOKUP($AW359,坦克个性化设定!$B$18:$E$48,4,FALSE)&amp;$AX359,坦克属性分配比例,MATCH("升星次数",坦克属性分配比例标头,0),FALSE)*VLOOKUP($AW359,$AM$3:$AS$33,MATCH(BL$3,$AM$3:$AS$3,0),FALSE),2)</f>
        <v>2.5</v>
      </c>
    </row>
    <row r="360" spans="47:64" x14ac:dyDescent="0.35">
      <c r="AU360" s="372" t="str">
        <f t="shared" si="33"/>
        <v>M1A20</v>
      </c>
      <c r="AV360" s="654">
        <f>IF(AY359&gt;=VLOOKUP(VLOOKUP(AW359,坦克个性化设定!$B$18:$E$48,4,FALSE)&amp;AX359,坦克属性分配比例,MATCH("升星次数",坦克属性分配比例标头,0),FALSE),AV359+1,AV359)</f>
        <v>30</v>
      </c>
      <c r="AW360" s="649" t="str">
        <f t="shared" si="34"/>
        <v>M1A2</v>
      </c>
      <c r="AX360" s="650" t="str">
        <f>VLOOKUP(AW360,坦克个性化细分!$I$3:$J$33,2,FALSE)</f>
        <v>低</v>
      </c>
      <c r="AY360" s="654">
        <f t="shared" si="35"/>
        <v>0</v>
      </c>
      <c r="AZ360" s="654">
        <f ca="1">ROUND(VLOOKUP($AW360&amp;"初始",$O$3:$AA$63,MATCH(AZ$3,$O$3:$AA$3,0),FALSE)+((VLOOKUP($AW360&amp;"最终",$O$3:$AA$63,MATCH(AZ$3,$O$3:$AA$3,0),FALSE)*坦克个性化细分!$C$9-VLOOKUP($AW360&amp;"初始",$O$3:$AA$63,MATCH(AZ$3,$O$3:$AA$3,0),FALSE))-(VLOOKUP($AW360&amp;"最终",$O$3:$AA$63,MATCH(AZ$3,$O$3:$AA$3,0),FALSE)-VLOOKUP($AW360&amp;"初始",$O$3:$AA$63,MATCH(AZ$3,$O$3:$AA$3,0),FALSE))*VLOOKUP(VLOOKUP($AW360,坦克个性化设定!$B$18:$E$48,4,FALSE)&amp;$AX360,坦克属性分配比例,MATCH("部件比例",坦克属性分配比例标头,0),FALSE))*$AY360/VLOOKUP(VLOOKUP($AW360,坦克个性化设定!$B$18:$E$48,4,FALSE)&amp;$AX360,坦克属性分配比例,MATCH("升星次数",坦克属性分配比例标头,0),FALSE),0)</f>
        <v>2397</v>
      </c>
      <c r="BA360" s="654">
        <f ca="1">ROUND(VLOOKUP($AW360&amp;"初始",$O$3:$AA$63,MATCH(BA$3,$O$3:$AA$3,0),FALSE)+(VLOOKUP($AW360&amp;"最终",$O$3:$AA$63,MATCH(BA$3,$O$3:$AA$3,0),FALSE)-VLOOKUP($AW360&amp;"初始",$O$3:$AA$63,MATCH(BA$3,$O$3:$AA$3,0),FALSE))*$AY360/VLOOKUP(VLOOKUP($AW360,坦克个性化设定!$B$18:$E$48,4,FALSE)&amp;$AX360,坦克属性分配比例,MATCH("升星次数",坦克属性分配比例标头,0),FALSE)*VLOOKUP(VLOOKUP($AW360,坦克个性化设定!$B$18:$E$48,4,FALSE)&amp;$AX360,坦克属性分配比例,MATCH("升星比例",坦克属性分配比例标头,0),FALSE),0)</f>
        <v>448</v>
      </c>
      <c r="BB360" s="654">
        <f ca="1">ROUND(VLOOKUP($AW360&amp;"初始",$O$3:$AA$63,MATCH(BB$3,$O$3:$AA$3,0),FALSE)+(VLOOKUP($AW360&amp;"最终",$O$3:$AA$63,MATCH(BB$3,$O$3:$AA$3,0),FALSE)-VLOOKUP($AW360&amp;"初始",$O$3:$AA$63,MATCH(BB$3,$O$3:$AA$3,0),FALSE))*$AY360/VLOOKUP(VLOOKUP($AW360,坦克个性化设定!$B$18:$E$48,4,FALSE)&amp;$AX360,坦克属性分配比例,MATCH("升星次数",坦克属性分配比例标头,0),FALSE)*(VLOOKUP(VLOOKUP($AW360,坦克个性化设定!$B$18:$E$48,4,FALSE)&amp;$AX360,坦克属性分配比例,MATCH("升星比例",坦克属性分配比例标头,0),FALSE)+VLOOKUP(VLOOKUP($AW360,坦克个性化设定!$B$18:$E$48,4,FALSE)&amp;$AX360,坦克属性分配比例,MATCH("部件比例",坦克属性分配比例标头,0),FALSE)*$C$3),0)</f>
        <v>754</v>
      </c>
      <c r="BC360" s="654">
        <f ca="1">ROUND(VLOOKUP($AW360&amp;"初始",$O$3:$AA$63,MATCH(BC$3,$O$3:$AA$3,0),FALSE)+(VLOOKUP($AW360&amp;"最终",$O$3:$AA$63,MATCH(BC$3,$O$3:$AA$3,0),FALSE)-VLOOKUP($AW360&amp;"初始",$O$3:$AA$63,MATCH(BC$3,$O$3:$AA$3,0),FALSE))*$AY360/VLOOKUP(VLOOKUP($AW360,坦克个性化设定!$B$18:$E$48,4,FALSE)&amp;$AX360,坦克属性分配比例,MATCH("升星次数",坦克属性分配比例标头,0),FALSE)*(VLOOKUP(VLOOKUP($AW360,坦克个性化设定!$B$18:$E$48,4,FALSE)&amp;$AX360,坦克属性分配比例,MATCH("升星比例",坦克属性分配比例标头,0),FALSE)+VLOOKUP(VLOOKUP($AW360,坦克个性化设定!$B$18:$E$48,4,FALSE)&amp;$AX360,坦克属性分配比例,MATCH("部件比例",坦克属性分配比例标头,0),FALSE)*$C$3),0)</f>
        <v>603</v>
      </c>
      <c r="BD360" s="654">
        <f ca="1">ROUND(VLOOKUP($AW360&amp;"初始",$O$3:$AA$63,MATCH(BD$3,$O$3:$AA$3,0),FALSE)+(VLOOKUP($AW360&amp;"最终",$O$3:$AA$63,MATCH(BD$3,$O$3:$AA$3,0),FALSE)-VLOOKUP($AW360&amp;"初始",$O$3:$AA$63,MATCH(BD$3,$O$3:$AA$3,0),FALSE))*$AY360/VLOOKUP(VLOOKUP($AW360,坦克个性化设定!$B$18:$E$48,4,FALSE)&amp;$AX360,坦克属性分配比例,MATCH("升星次数",坦克属性分配比例标头,0),FALSE)*VLOOKUP(VLOOKUP($AW360,坦克个性化设定!$B$18:$E$48,4,FALSE)&amp;$AX360,坦克属性分配比例,MATCH("升星比例",坦克属性分配比例标头,0),FALSE),0)</f>
        <v>1008</v>
      </c>
      <c r="BE360" s="654">
        <f ca="1">ROUND(VLOOKUP($AW360&amp;"初始",$O$3:$AA$63,MATCH(BE$3,$O$3:$AA$3,0),FALSE)+(VLOOKUP($AW360&amp;"最终",$O$3:$AA$63,MATCH(BE$3,$O$3:$AA$3,0),FALSE)-VLOOKUP($AW360&amp;"初始",$O$3:$AA$63,MATCH(BE$3,$O$3:$AA$3,0),FALSE))*$AY360/VLOOKUP(VLOOKUP($AW360,坦克个性化设定!$B$18:$E$48,4,FALSE)&amp;$AX360,坦克属性分配比例,MATCH("升星次数",坦克属性分配比例标头,0),FALSE),0)</f>
        <v>228</v>
      </c>
      <c r="BF360" s="654">
        <f>ROUND(VLOOKUP($AW360,$AD$3:$AJ$33,MATCH(BF$3,$AD$3:$AJ$3,0),FALSE)+$AY360/VLOOKUP(VLOOKUP($AW360,坦克个性化设定!$B$18:$E$48,4,FALSE)&amp;$AX360,坦克属性分配比例,MATCH("升星次数",坦克属性分配比例标头,0),FALSE)*VLOOKUP($AW360,$AM$3:$AS$33,MATCH(BF$3,$AM$3:$AS$3,0),FALSE),1)</f>
        <v>31.3</v>
      </c>
      <c r="BG360" s="654">
        <f>ROUND(VLOOKUP($AW360,$AD$3:$AJ$33,MATCH(BG$3,$AD$3:$AJ$3,0),FALSE)+$AY360/VLOOKUP(VLOOKUP($AW360,坦克个性化设定!$B$18:$E$48,4,FALSE)&amp;$AX360,坦克属性分配比例,MATCH("升星次数",坦克属性分配比例标头,0),FALSE)*VLOOKUP($AW360,$AM$3:$AS$33,MATCH(BG$3,$AM$3:$AS$3,0),FALSE),1)</f>
        <v>43.8</v>
      </c>
      <c r="BH360" s="654">
        <f>ROUND(VLOOKUP($AW360,$AD$3:$AJ$33,MATCH(BH$3,$AD$3:$AJ$3,0),FALSE)+$AY360/VLOOKUP(VLOOKUP($AW360,坦克个性化设定!$B$18:$E$48,4,FALSE)&amp;$AX360,坦克属性分配比例,MATCH("升星次数",坦克属性分配比例标头,0),FALSE)*VLOOKUP($AW360,$AM$3:$AS$33,MATCH(BH$3,$AM$3:$AS$3,0),FALSE),1)</f>
        <v>9.5</v>
      </c>
      <c r="BI360" s="654">
        <f>IF(VLOOKUP(AW360,坦克个性化设定!$B$18:$BB$48,MATCH("装弹类型",坦克个性化设定!$B$18:$BB$18,0),FALSE)="弹夹换弹",0,ROUND(VLOOKUP($AW360,$AD$3:$AJ$33,MATCH("换弹时间",$AD$3:$AJ$3,0),FALSE)-$AY360/VLOOKUP(VLOOKUP($AW360,坦克个性化设定!$B$18:$E$48,4,FALSE)&amp;$AX360,坦克属性分配比例,MATCH("升星次数",坦克属性分配比例标头,0),FALSE)*VLOOKUP($AW360,$AM$3:$AS$33,MATCH("换弹时间",$AM$3:$AS$3,0),FALSE),2))</f>
        <v>6</v>
      </c>
      <c r="BJ360" s="654">
        <f>IF(VLOOKUP(AW360,坦克个性化设定!$B$18:$BB$48,MATCH("装弹类型",坦克个性化设定!$B$18:$BB$18,0),FALSE)="弹夹换弹",ROUND(VLOOKUP($AW360,$AD$3:$AJ$33,MATCH("换弹时间",$AD$3:$AJ$3,0),FALSE)-$AY360/VLOOKUP(VLOOKUP($AW360,坦克个性化设定!$B$18:$E$48,4,FALSE)&amp;$AX360,坦克属性分配比例,MATCH("升星次数",坦克属性分配比例标头,0),FALSE)*VLOOKUP($AW360,$AM$3:$AS$33,MATCH("换弹时间",$AM$3:$AS$3,0),FALSE),1),0)</f>
        <v>0</v>
      </c>
      <c r="BK360" s="654">
        <f>ROUND(VLOOKUP($AW360,$AD$3:$AJ$33,MATCH(BK$3,$AD$3:$AJ$3,0),FALSE)+$AY360/VLOOKUP(VLOOKUP($AW360,坦克个性化设定!$B$18:$E$48,4,FALSE)&amp;$AX360,坦克属性分配比例,MATCH("升星次数",坦克属性分配比例标头,0),FALSE)*VLOOKUP($AW360,$AM$3:$AS$33,MATCH(BK$3,$AM$3:$AS$3,0),FALSE),2)</f>
        <v>0</v>
      </c>
      <c r="BL360" s="654">
        <f>ROUND(VLOOKUP($AW360,$AD$3:$AJ$33,MATCH(BL$3,$AD$3:$AJ$3,0),FALSE)-$AY360/VLOOKUP(VLOOKUP($AW360,坦克个性化设定!$B$18:$E$48,4,FALSE)&amp;$AX360,坦克属性分配比例,MATCH("升星次数",坦克属性分配比例标头,0),FALSE)*VLOOKUP($AW360,$AM$3:$AS$33,MATCH(BL$3,$AM$3:$AS$3,0),FALSE),2)</f>
        <v>3</v>
      </c>
    </row>
    <row r="361" spans="47:64" x14ac:dyDescent="0.35">
      <c r="AU361" s="372" t="str">
        <f t="shared" si="33"/>
        <v>M1A21</v>
      </c>
      <c r="AV361" s="654">
        <f>IF(AY360&gt;=VLOOKUP(VLOOKUP(AW360,坦克个性化设定!$B$18:$E$48,4,FALSE)&amp;AX360,坦克属性分配比例,MATCH("升星次数",坦克属性分配比例标头,0),FALSE),AV360+1,AV360)</f>
        <v>30</v>
      </c>
      <c r="AW361" s="649" t="str">
        <f t="shared" si="34"/>
        <v>M1A2</v>
      </c>
      <c r="AX361" s="650" t="str">
        <f>VLOOKUP(AW361,坦克个性化细分!$I$3:$J$33,2,FALSE)</f>
        <v>低</v>
      </c>
      <c r="AY361" s="654">
        <f t="shared" si="35"/>
        <v>1</v>
      </c>
      <c r="AZ361" s="654">
        <f ca="1">ROUND(VLOOKUP($AW361&amp;"初始",$O$3:$AA$63,MATCH(AZ$3,$O$3:$AA$3,0),FALSE)+((VLOOKUP($AW361&amp;"最终",$O$3:$AA$63,MATCH(AZ$3,$O$3:$AA$3,0),FALSE)*坦克个性化细分!$C$9-VLOOKUP($AW361&amp;"初始",$O$3:$AA$63,MATCH(AZ$3,$O$3:$AA$3,0),FALSE))-(VLOOKUP($AW361&amp;"最终",$O$3:$AA$63,MATCH(AZ$3,$O$3:$AA$3,0),FALSE)-VLOOKUP($AW361&amp;"初始",$O$3:$AA$63,MATCH(AZ$3,$O$3:$AA$3,0),FALSE))*VLOOKUP(VLOOKUP($AW361,坦克个性化设定!$B$18:$E$48,4,FALSE)&amp;$AX361,坦克属性分配比例,MATCH("部件比例",坦克属性分配比例标头,0),FALSE))*$AY361/VLOOKUP(VLOOKUP($AW361,坦克个性化设定!$B$18:$E$48,4,FALSE)&amp;$AX361,坦克属性分配比例,MATCH("升星次数",坦克属性分配比例标头,0),FALSE),0)</f>
        <v>2487</v>
      </c>
      <c r="BA361" s="654">
        <f ca="1">ROUND(VLOOKUP($AW361&amp;"初始",$O$3:$AA$63,MATCH(BA$3,$O$3:$AA$3,0),FALSE)+(VLOOKUP($AW361&amp;"最终",$O$3:$AA$63,MATCH(BA$3,$O$3:$AA$3,0),FALSE)-VLOOKUP($AW361&amp;"初始",$O$3:$AA$63,MATCH(BA$3,$O$3:$AA$3,0),FALSE))*$AY361/VLOOKUP(VLOOKUP($AW361,坦克个性化设定!$B$18:$E$48,4,FALSE)&amp;$AX361,坦克属性分配比例,MATCH("升星次数",坦克属性分配比例标头,0),FALSE)*VLOOKUP(VLOOKUP($AW361,坦克个性化设定!$B$18:$E$48,4,FALSE)&amp;$AX361,坦克属性分配比例,MATCH("升星比例",坦克属性分配比例标头,0),FALSE),0)</f>
        <v>448</v>
      </c>
      <c r="BB361" s="654">
        <f ca="1">ROUND(VLOOKUP($AW361&amp;"初始",$O$3:$AA$63,MATCH(BB$3,$O$3:$AA$3,0),FALSE)+(VLOOKUP($AW361&amp;"最终",$O$3:$AA$63,MATCH(BB$3,$O$3:$AA$3,0),FALSE)-VLOOKUP($AW361&amp;"初始",$O$3:$AA$63,MATCH(BB$3,$O$3:$AA$3,0),FALSE))*$AY361/VLOOKUP(VLOOKUP($AW361,坦克个性化设定!$B$18:$E$48,4,FALSE)&amp;$AX361,坦克属性分配比例,MATCH("升星次数",坦克属性分配比例标头,0),FALSE)*(VLOOKUP(VLOOKUP($AW361,坦克个性化设定!$B$18:$E$48,4,FALSE)&amp;$AX361,坦克属性分配比例,MATCH("升星比例",坦克属性分配比例标头,0),FALSE)+VLOOKUP(VLOOKUP($AW361,坦克个性化设定!$B$18:$E$48,4,FALSE)&amp;$AX361,坦克属性分配比例,MATCH("部件比例",坦克属性分配比例标头,0),FALSE)*$C$3),0)</f>
        <v>773</v>
      </c>
      <c r="BC361" s="654">
        <f ca="1">ROUND(VLOOKUP($AW361&amp;"初始",$O$3:$AA$63,MATCH(BC$3,$O$3:$AA$3,0),FALSE)+(VLOOKUP($AW361&amp;"最终",$O$3:$AA$63,MATCH(BC$3,$O$3:$AA$3,0),FALSE)-VLOOKUP($AW361&amp;"初始",$O$3:$AA$63,MATCH(BC$3,$O$3:$AA$3,0),FALSE))*$AY361/VLOOKUP(VLOOKUP($AW361,坦克个性化设定!$B$18:$E$48,4,FALSE)&amp;$AX361,坦克属性分配比例,MATCH("升星次数",坦克属性分配比例标头,0),FALSE)*(VLOOKUP(VLOOKUP($AW361,坦克个性化设定!$B$18:$E$48,4,FALSE)&amp;$AX361,坦克属性分配比例,MATCH("升星比例",坦克属性分配比例标头,0),FALSE)+VLOOKUP(VLOOKUP($AW361,坦克个性化设定!$B$18:$E$48,4,FALSE)&amp;$AX361,坦克属性分配比例,MATCH("部件比例",坦克属性分配比例标头,0),FALSE)*$C$3),0)</f>
        <v>618</v>
      </c>
      <c r="BD361" s="654">
        <f ca="1">ROUND(VLOOKUP($AW361&amp;"初始",$O$3:$AA$63,MATCH(BD$3,$O$3:$AA$3,0),FALSE)+(VLOOKUP($AW361&amp;"最终",$O$3:$AA$63,MATCH(BD$3,$O$3:$AA$3,0),FALSE)-VLOOKUP($AW361&amp;"初始",$O$3:$AA$63,MATCH(BD$3,$O$3:$AA$3,0),FALSE))*$AY361/VLOOKUP(VLOOKUP($AW361,坦克个性化设定!$B$18:$E$48,4,FALSE)&amp;$AX361,坦克属性分配比例,MATCH("升星次数",坦克属性分配比例标头,0),FALSE)*VLOOKUP(VLOOKUP($AW361,坦克个性化设定!$B$18:$E$48,4,FALSE)&amp;$AX361,坦克属性分配比例,MATCH("升星比例",坦克属性分配比例标头,0),FALSE),0)</f>
        <v>1008</v>
      </c>
      <c r="BE361" s="654">
        <f ca="1">ROUND(VLOOKUP($AW361&amp;"初始",$O$3:$AA$63,MATCH(BE$3,$O$3:$AA$3,0),FALSE)+(VLOOKUP($AW361&amp;"最终",$O$3:$AA$63,MATCH(BE$3,$O$3:$AA$3,0),FALSE)-VLOOKUP($AW361&amp;"初始",$O$3:$AA$63,MATCH(BE$3,$O$3:$AA$3,0),FALSE))*$AY361/VLOOKUP(VLOOKUP($AW361,坦克个性化设定!$B$18:$E$48,4,FALSE)&amp;$AX361,坦克属性分配比例,MATCH("升星次数",坦克属性分配比例标头,0),FALSE),0)</f>
        <v>238</v>
      </c>
      <c r="BF361" s="654">
        <f>ROUND(VLOOKUP($AW361,$AD$3:$AJ$33,MATCH(BF$3,$AD$3:$AJ$3,0),FALSE)+$AY361/VLOOKUP(VLOOKUP($AW361,坦克个性化设定!$B$18:$E$48,4,FALSE)&amp;$AX361,坦克属性分配比例,MATCH("升星次数",坦克属性分配比例标头,0),FALSE)*VLOOKUP($AW361,$AM$3:$AS$33,MATCH(BF$3,$AM$3:$AS$3,0),FALSE),1)</f>
        <v>32</v>
      </c>
      <c r="BG361" s="654">
        <f>ROUND(VLOOKUP($AW361,$AD$3:$AJ$33,MATCH(BG$3,$AD$3:$AJ$3,0),FALSE)+$AY361/VLOOKUP(VLOOKUP($AW361,坦克个性化设定!$B$18:$E$48,4,FALSE)&amp;$AX361,坦克属性分配比例,MATCH("升星次数",坦克属性分配比例标头,0),FALSE)*VLOOKUP($AW361,$AM$3:$AS$33,MATCH(BG$3,$AM$3:$AS$3,0),FALSE),1)</f>
        <v>44.7</v>
      </c>
      <c r="BH361" s="654">
        <f>ROUND(VLOOKUP($AW361,$AD$3:$AJ$33,MATCH(BH$3,$AD$3:$AJ$3,0),FALSE)+$AY361/VLOOKUP(VLOOKUP($AW361,坦克个性化设定!$B$18:$E$48,4,FALSE)&amp;$AX361,坦克属性分配比例,MATCH("升星次数",坦克属性分配比例标头,0),FALSE)*VLOOKUP($AW361,$AM$3:$AS$33,MATCH(BH$3,$AM$3:$AS$3,0),FALSE),1)</f>
        <v>9.8000000000000007</v>
      </c>
      <c r="BI361" s="654">
        <f>IF(VLOOKUP(AW361,坦克个性化设定!$B$18:$BB$48,MATCH("装弹类型",坦克个性化设定!$B$18:$BB$18,0),FALSE)="弹夹换弹",0,ROUND(VLOOKUP($AW361,$AD$3:$AJ$33,MATCH("换弹时间",$AD$3:$AJ$3,0),FALSE)-$AY361/VLOOKUP(VLOOKUP($AW361,坦克个性化设定!$B$18:$E$48,4,FALSE)&amp;$AX361,坦克属性分配比例,MATCH("升星次数",坦克属性分配比例标头,0),FALSE)*VLOOKUP($AW361,$AM$3:$AS$33,MATCH("换弹时间",$AM$3:$AS$3,0),FALSE),2))</f>
        <v>5.88</v>
      </c>
      <c r="BJ361" s="654">
        <f>IF(VLOOKUP(AW361,坦克个性化设定!$B$18:$BB$48,MATCH("装弹类型",坦克个性化设定!$B$18:$BB$18,0),FALSE)="弹夹换弹",ROUND(VLOOKUP($AW361,$AD$3:$AJ$33,MATCH("换弹时间",$AD$3:$AJ$3,0),FALSE)-$AY361/VLOOKUP(VLOOKUP($AW361,坦克个性化设定!$B$18:$E$48,4,FALSE)&amp;$AX361,坦克属性分配比例,MATCH("升星次数",坦克属性分配比例标头,0),FALSE)*VLOOKUP($AW361,$AM$3:$AS$33,MATCH("换弹时间",$AM$3:$AS$3,0),FALSE),1),0)</f>
        <v>0</v>
      </c>
      <c r="BK361" s="654">
        <f>ROUND(VLOOKUP($AW361,$AD$3:$AJ$33,MATCH(BK$3,$AD$3:$AJ$3,0),FALSE)+$AY361/VLOOKUP(VLOOKUP($AW361,坦克个性化设定!$B$18:$E$48,4,FALSE)&amp;$AX361,坦克属性分配比例,MATCH("升星次数",坦克属性分配比例标头,0),FALSE)*VLOOKUP($AW361,$AM$3:$AS$33,MATCH(BK$3,$AM$3:$AS$3,0),FALSE),2)</f>
        <v>0</v>
      </c>
      <c r="BL361" s="654">
        <f>ROUND(VLOOKUP($AW361,$AD$3:$AJ$33,MATCH(BL$3,$AD$3:$AJ$3,0),FALSE)-$AY361/VLOOKUP(VLOOKUP($AW361,坦克个性化设定!$B$18:$E$48,4,FALSE)&amp;$AX361,坦克属性分配比例,MATCH("升星次数",坦克属性分配比例标头,0),FALSE)*VLOOKUP($AW361,$AM$3:$AS$33,MATCH(BL$3,$AM$3:$AS$3,0),FALSE),2)</f>
        <v>2.96</v>
      </c>
    </row>
    <row r="362" spans="47:64" x14ac:dyDescent="0.35">
      <c r="AU362" s="372" t="str">
        <f t="shared" si="33"/>
        <v>M1A22</v>
      </c>
      <c r="AV362" s="654">
        <f>IF(AY361&gt;=VLOOKUP(VLOOKUP(AW361,坦克个性化设定!$B$18:$E$48,4,FALSE)&amp;AX361,坦克属性分配比例,MATCH("升星次数",坦克属性分配比例标头,0),FALSE),AV361+1,AV361)</f>
        <v>30</v>
      </c>
      <c r="AW362" s="649" t="str">
        <f t="shared" si="34"/>
        <v>M1A2</v>
      </c>
      <c r="AX362" s="650" t="str">
        <f>VLOOKUP(AW362,坦克个性化细分!$I$3:$J$33,2,FALSE)</f>
        <v>低</v>
      </c>
      <c r="AY362" s="654">
        <f t="shared" si="35"/>
        <v>2</v>
      </c>
      <c r="AZ362" s="654">
        <f ca="1">ROUND(VLOOKUP($AW362&amp;"初始",$O$3:$AA$63,MATCH(AZ$3,$O$3:$AA$3,0),FALSE)+((VLOOKUP($AW362&amp;"最终",$O$3:$AA$63,MATCH(AZ$3,$O$3:$AA$3,0),FALSE)*坦克个性化细分!$C$9-VLOOKUP($AW362&amp;"初始",$O$3:$AA$63,MATCH(AZ$3,$O$3:$AA$3,0),FALSE))-(VLOOKUP($AW362&amp;"最终",$O$3:$AA$63,MATCH(AZ$3,$O$3:$AA$3,0),FALSE)-VLOOKUP($AW362&amp;"初始",$O$3:$AA$63,MATCH(AZ$3,$O$3:$AA$3,0),FALSE))*VLOOKUP(VLOOKUP($AW362,坦克个性化设定!$B$18:$E$48,4,FALSE)&amp;$AX362,坦克属性分配比例,MATCH("部件比例",坦克属性分配比例标头,0),FALSE))*$AY362/VLOOKUP(VLOOKUP($AW362,坦克个性化设定!$B$18:$E$48,4,FALSE)&amp;$AX362,坦克属性分配比例,MATCH("升星次数",坦克属性分配比例标头,0),FALSE),0)</f>
        <v>2576</v>
      </c>
      <c r="BA362" s="654">
        <f ca="1">ROUND(VLOOKUP($AW362&amp;"初始",$O$3:$AA$63,MATCH(BA$3,$O$3:$AA$3,0),FALSE)+(VLOOKUP($AW362&amp;"最终",$O$3:$AA$63,MATCH(BA$3,$O$3:$AA$3,0),FALSE)-VLOOKUP($AW362&amp;"初始",$O$3:$AA$63,MATCH(BA$3,$O$3:$AA$3,0),FALSE))*$AY362/VLOOKUP(VLOOKUP($AW362,坦克个性化设定!$B$18:$E$48,4,FALSE)&amp;$AX362,坦克属性分配比例,MATCH("升星次数",坦克属性分配比例标头,0),FALSE)*VLOOKUP(VLOOKUP($AW362,坦克个性化设定!$B$18:$E$48,4,FALSE)&amp;$AX362,坦克属性分配比例,MATCH("升星比例",坦克属性分配比例标头,0),FALSE),0)</f>
        <v>448</v>
      </c>
      <c r="BB362" s="654">
        <f ca="1">ROUND(VLOOKUP($AW362&amp;"初始",$O$3:$AA$63,MATCH(BB$3,$O$3:$AA$3,0),FALSE)+(VLOOKUP($AW362&amp;"最终",$O$3:$AA$63,MATCH(BB$3,$O$3:$AA$3,0),FALSE)-VLOOKUP($AW362&amp;"初始",$O$3:$AA$63,MATCH(BB$3,$O$3:$AA$3,0),FALSE))*$AY362/VLOOKUP(VLOOKUP($AW362,坦克个性化设定!$B$18:$E$48,4,FALSE)&amp;$AX362,坦克属性分配比例,MATCH("升星次数",坦克属性分配比例标头,0),FALSE)*(VLOOKUP(VLOOKUP($AW362,坦克个性化设定!$B$18:$E$48,4,FALSE)&amp;$AX362,坦克属性分配比例,MATCH("升星比例",坦克属性分配比例标头,0),FALSE)+VLOOKUP(VLOOKUP($AW362,坦克个性化设定!$B$18:$E$48,4,FALSE)&amp;$AX362,坦克属性分配比例,MATCH("部件比例",坦克属性分配比例标头,0),FALSE)*$C$3),0)</f>
        <v>792</v>
      </c>
      <c r="BC362" s="654">
        <f ca="1">ROUND(VLOOKUP($AW362&amp;"初始",$O$3:$AA$63,MATCH(BC$3,$O$3:$AA$3,0),FALSE)+(VLOOKUP($AW362&amp;"最终",$O$3:$AA$63,MATCH(BC$3,$O$3:$AA$3,0),FALSE)-VLOOKUP($AW362&amp;"初始",$O$3:$AA$63,MATCH(BC$3,$O$3:$AA$3,0),FALSE))*$AY362/VLOOKUP(VLOOKUP($AW362,坦克个性化设定!$B$18:$E$48,4,FALSE)&amp;$AX362,坦克属性分配比例,MATCH("升星次数",坦克属性分配比例标头,0),FALSE)*(VLOOKUP(VLOOKUP($AW362,坦克个性化设定!$B$18:$E$48,4,FALSE)&amp;$AX362,坦克属性分配比例,MATCH("升星比例",坦克属性分配比例标头,0),FALSE)+VLOOKUP(VLOOKUP($AW362,坦克个性化设定!$B$18:$E$48,4,FALSE)&amp;$AX362,坦克属性分配比例,MATCH("部件比例",坦克属性分配比例标头,0),FALSE)*$C$3),0)</f>
        <v>633</v>
      </c>
      <c r="BD362" s="654">
        <f ca="1">ROUND(VLOOKUP($AW362&amp;"初始",$O$3:$AA$63,MATCH(BD$3,$O$3:$AA$3,0),FALSE)+(VLOOKUP($AW362&amp;"最终",$O$3:$AA$63,MATCH(BD$3,$O$3:$AA$3,0),FALSE)-VLOOKUP($AW362&amp;"初始",$O$3:$AA$63,MATCH(BD$3,$O$3:$AA$3,0),FALSE))*$AY362/VLOOKUP(VLOOKUP($AW362,坦克个性化设定!$B$18:$E$48,4,FALSE)&amp;$AX362,坦克属性分配比例,MATCH("升星次数",坦克属性分配比例标头,0),FALSE)*VLOOKUP(VLOOKUP($AW362,坦克个性化设定!$B$18:$E$48,4,FALSE)&amp;$AX362,坦克属性分配比例,MATCH("升星比例",坦克属性分配比例标头,0),FALSE),0)</f>
        <v>1008</v>
      </c>
      <c r="BE362" s="654">
        <f ca="1">ROUND(VLOOKUP($AW362&amp;"初始",$O$3:$AA$63,MATCH(BE$3,$O$3:$AA$3,0),FALSE)+(VLOOKUP($AW362&amp;"最终",$O$3:$AA$63,MATCH(BE$3,$O$3:$AA$3,0),FALSE)-VLOOKUP($AW362&amp;"初始",$O$3:$AA$63,MATCH(BE$3,$O$3:$AA$3,0),FALSE))*$AY362/VLOOKUP(VLOOKUP($AW362,坦克个性化设定!$B$18:$E$48,4,FALSE)&amp;$AX362,坦克属性分配比例,MATCH("升星次数",坦克属性分配比例标头,0),FALSE),0)</f>
        <v>247</v>
      </c>
      <c r="BF362" s="654">
        <f>ROUND(VLOOKUP($AW362,$AD$3:$AJ$33,MATCH(BF$3,$AD$3:$AJ$3,0),FALSE)+$AY362/VLOOKUP(VLOOKUP($AW362,坦克个性化设定!$B$18:$E$48,4,FALSE)&amp;$AX362,坦克属性分配比例,MATCH("升星次数",坦克属性分配比例标头,0),FALSE)*VLOOKUP($AW362,$AM$3:$AS$33,MATCH(BF$3,$AM$3:$AS$3,0),FALSE),1)</f>
        <v>32.6</v>
      </c>
      <c r="BG362" s="654">
        <f>ROUND(VLOOKUP($AW362,$AD$3:$AJ$33,MATCH(BG$3,$AD$3:$AJ$3,0),FALSE)+$AY362/VLOOKUP(VLOOKUP($AW362,坦克个性化设定!$B$18:$E$48,4,FALSE)&amp;$AX362,坦克属性分配比例,MATCH("升星次数",坦克属性分配比例标头,0),FALSE)*VLOOKUP($AW362,$AM$3:$AS$33,MATCH(BG$3,$AM$3:$AS$3,0),FALSE),1)</f>
        <v>45.6</v>
      </c>
      <c r="BH362" s="654">
        <f>ROUND(VLOOKUP($AW362,$AD$3:$AJ$33,MATCH(BH$3,$AD$3:$AJ$3,0),FALSE)+$AY362/VLOOKUP(VLOOKUP($AW362,坦克个性化设定!$B$18:$E$48,4,FALSE)&amp;$AX362,坦克属性分配比例,MATCH("升星次数",坦克属性分配比例标头,0),FALSE)*VLOOKUP($AW362,$AM$3:$AS$33,MATCH(BH$3,$AM$3:$AS$3,0),FALSE),1)</f>
        <v>10</v>
      </c>
      <c r="BI362" s="654">
        <f>IF(VLOOKUP(AW362,坦克个性化设定!$B$18:$BB$48,MATCH("装弹类型",坦克个性化设定!$B$18:$BB$18,0),FALSE)="弹夹换弹",0,ROUND(VLOOKUP($AW362,$AD$3:$AJ$33,MATCH("换弹时间",$AD$3:$AJ$3,0),FALSE)-$AY362/VLOOKUP(VLOOKUP($AW362,坦克个性化设定!$B$18:$E$48,4,FALSE)&amp;$AX362,坦克属性分配比例,MATCH("升星次数",坦克属性分配比例标头,0),FALSE)*VLOOKUP($AW362,$AM$3:$AS$33,MATCH("换弹时间",$AM$3:$AS$3,0),FALSE),2))</f>
        <v>5.75</v>
      </c>
      <c r="BJ362" s="654">
        <f>IF(VLOOKUP(AW362,坦克个性化设定!$B$18:$BB$48,MATCH("装弹类型",坦克个性化设定!$B$18:$BB$18,0),FALSE)="弹夹换弹",ROUND(VLOOKUP($AW362,$AD$3:$AJ$33,MATCH("换弹时间",$AD$3:$AJ$3,0),FALSE)-$AY362/VLOOKUP(VLOOKUP($AW362,坦克个性化设定!$B$18:$E$48,4,FALSE)&amp;$AX362,坦克属性分配比例,MATCH("升星次数",坦克属性分配比例标头,0),FALSE)*VLOOKUP($AW362,$AM$3:$AS$33,MATCH("换弹时间",$AM$3:$AS$3,0),FALSE),1),0)</f>
        <v>0</v>
      </c>
      <c r="BK362" s="654">
        <f>ROUND(VLOOKUP($AW362,$AD$3:$AJ$33,MATCH(BK$3,$AD$3:$AJ$3,0),FALSE)+$AY362/VLOOKUP(VLOOKUP($AW362,坦克个性化设定!$B$18:$E$48,4,FALSE)&amp;$AX362,坦克属性分配比例,MATCH("升星次数",坦克属性分配比例标头,0),FALSE)*VLOOKUP($AW362,$AM$3:$AS$33,MATCH(BK$3,$AM$3:$AS$3,0),FALSE),2)</f>
        <v>0</v>
      </c>
      <c r="BL362" s="654">
        <f>ROUND(VLOOKUP($AW362,$AD$3:$AJ$33,MATCH(BL$3,$AD$3:$AJ$3,0),FALSE)-$AY362/VLOOKUP(VLOOKUP($AW362,坦克个性化设定!$B$18:$E$48,4,FALSE)&amp;$AX362,坦克属性分配比例,MATCH("升星次数",坦克属性分配比例标头,0),FALSE)*VLOOKUP($AW362,$AM$3:$AS$33,MATCH(BL$3,$AM$3:$AS$3,0),FALSE),2)</f>
        <v>2.92</v>
      </c>
    </row>
    <row r="363" spans="47:64" x14ac:dyDescent="0.35">
      <c r="AU363" s="372" t="str">
        <f t="shared" si="33"/>
        <v>M1A23</v>
      </c>
      <c r="AV363" s="654">
        <f>IF(AY362&gt;=VLOOKUP(VLOOKUP(AW362,坦克个性化设定!$B$18:$E$48,4,FALSE)&amp;AX362,坦克属性分配比例,MATCH("升星次数",坦克属性分配比例标头,0),FALSE),AV362+1,AV362)</f>
        <v>30</v>
      </c>
      <c r="AW363" s="649" t="str">
        <f t="shared" si="34"/>
        <v>M1A2</v>
      </c>
      <c r="AX363" s="650" t="str">
        <f>VLOOKUP(AW363,坦克个性化细分!$I$3:$J$33,2,FALSE)</f>
        <v>低</v>
      </c>
      <c r="AY363" s="654">
        <f t="shared" si="35"/>
        <v>3</v>
      </c>
      <c r="AZ363" s="654">
        <f ca="1">ROUND(VLOOKUP($AW363&amp;"初始",$O$3:$AA$63,MATCH(AZ$3,$O$3:$AA$3,0),FALSE)+((VLOOKUP($AW363&amp;"最终",$O$3:$AA$63,MATCH(AZ$3,$O$3:$AA$3,0),FALSE)*坦克个性化细分!$C$9-VLOOKUP($AW363&amp;"初始",$O$3:$AA$63,MATCH(AZ$3,$O$3:$AA$3,0),FALSE))-(VLOOKUP($AW363&amp;"最终",$O$3:$AA$63,MATCH(AZ$3,$O$3:$AA$3,0),FALSE)-VLOOKUP($AW363&amp;"初始",$O$3:$AA$63,MATCH(AZ$3,$O$3:$AA$3,0),FALSE))*VLOOKUP(VLOOKUP($AW363,坦克个性化设定!$B$18:$E$48,4,FALSE)&amp;$AX363,坦克属性分配比例,MATCH("部件比例",坦克属性分配比例标头,0),FALSE))*$AY363/VLOOKUP(VLOOKUP($AW363,坦克个性化设定!$B$18:$E$48,4,FALSE)&amp;$AX363,坦克属性分配比例,MATCH("升星次数",坦克属性分配比例标头,0),FALSE),0)</f>
        <v>2666</v>
      </c>
      <c r="BA363" s="654">
        <f ca="1">ROUND(VLOOKUP($AW363&amp;"初始",$O$3:$AA$63,MATCH(BA$3,$O$3:$AA$3,0),FALSE)+(VLOOKUP($AW363&amp;"最终",$O$3:$AA$63,MATCH(BA$3,$O$3:$AA$3,0),FALSE)-VLOOKUP($AW363&amp;"初始",$O$3:$AA$63,MATCH(BA$3,$O$3:$AA$3,0),FALSE))*$AY363/VLOOKUP(VLOOKUP($AW363,坦克个性化设定!$B$18:$E$48,4,FALSE)&amp;$AX363,坦克属性分配比例,MATCH("升星次数",坦克属性分配比例标头,0),FALSE)*VLOOKUP(VLOOKUP($AW363,坦克个性化设定!$B$18:$E$48,4,FALSE)&amp;$AX363,坦克属性分配比例,MATCH("升星比例",坦克属性分配比例标头,0),FALSE),0)</f>
        <v>448</v>
      </c>
      <c r="BB363" s="654">
        <f ca="1">ROUND(VLOOKUP($AW363&amp;"初始",$O$3:$AA$63,MATCH(BB$3,$O$3:$AA$3,0),FALSE)+(VLOOKUP($AW363&amp;"最终",$O$3:$AA$63,MATCH(BB$3,$O$3:$AA$3,0),FALSE)-VLOOKUP($AW363&amp;"初始",$O$3:$AA$63,MATCH(BB$3,$O$3:$AA$3,0),FALSE))*$AY363/VLOOKUP(VLOOKUP($AW363,坦克个性化设定!$B$18:$E$48,4,FALSE)&amp;$AX363,坦克属性分配比例,MATCH("升星次数",坦克属性分配比例标头,0),FALSE)*(VLOOKUP(VLOOKUP($AW363,坦克个性化设定!$B$18:$E$48,4,FALSE)&amp;$AX363,坦克属性分配比例,MATCH("升星比例",坦克属性分配比例标头,0),FALSE)+VLOOKUP(VLOOKUP($AW363,坦克个性化设定!$B$18:$E$48,4,FALSE)&amp;$AX363,坦克属性分配比例,MATCH("部件比例",坦克属性分配比例标头,0),FALSE)*$C$3),0)</f>
        <v>811</v>
      </c>
      <c r="BC363" s="654">
        <f ca="1">ROUND(VLOOKUP($AW363&amp;"初始",$O$3:$AA$63,MATCH(BC$3,$O$3:$AA$3,0),FALSE)+(VLOOKUP($AW363&amp;"最终",$O$3:$AA$63,MATCH(BC$3,$O$3:$AA$3,0),FALSE)-VLOOKUP($AW363&amp;"初始",$O$3:$AA$63,MATCH(BC$3,$O$3:$AA$3,0),FALSE))*$AY363/VLOOKUP(VLOOKUP($AW363,坦克个性化设定!$B$18:$E$48,4,FALSE)&amp;$AX363,坦克属性分配比例,MATCH("升星次数",坦克属性分配比例标头,0),FALSE)*(VLOOKUP(VLOOKUP($AW363,坦克个性化设定!$B$18:$E$48,4,FALSE)&amp;$AX363,坦克属性分配比例,MATCH("升星比例",坦克属性分配比例标头,0),FALSE)+VLOOKUP(VLOOKUP($AW363,坦克个性化设定!$B$18:$E$48,4,FALSE)&amp;$AX363,坦克属性分配比例,MATCH("部件比例",坦克属性分配比例标头,0),FALSE)*$C$3),0)</f>
        <v>648</v>
      </c>
      <c r="BD363" s="654">
        <f ca="1">ROUND(VLOOKUP($AW363&amp;"初始",$O$3:$AA$63,MATCH(BD$3,$O$3:$AA$3,0),FALSE)+(VLOOKUP($AW363&amp;"最终",$O$3:$AA$63,MATCH(BD$3,$O$3:$AA$3,0),FALSE)-VLOOKUP($AW363&amp;"初始",$O$3:$AA$63,MATCH(BD$3,$O$3:$AA$3,0),FALSE))*$AY363/VLOOKUP(VLOOKUP($AW363,坦克个性化设定!$B$18:$E$48,4,FALSE)&amp;$AX363,坦克属性分配比例,MATCH("升星次数",坦克属性分配比例标头,0),FALSE)*VLOOKUP(VLOOKUP($AW363,坦克个性化设定!$B$18:$E$48,4,FALSE)&amp;$AX363,坦克属性分配比例,MATCH("升星比例",坦克属性分配比例标头,0),FALSE),0)</f>
        <v>1008</v>
      </c>
      <c r="BE363" s="654">
        <f ca="1">ROUND(VLOOKUP($AW363&amp;"初始",$O$3:$AA$63,MATCH(BE$3,$O$3:$AA$3,0),FALSE)+(VLOOKUP($AW363&amp;"最终",$O$3:$AA$63,MATCH(BE$3,$O$3:$AA$3,0),FALSE)-VLOOKUP($AW363&amp;"初始",$O$3:$AA$63,MATCH(BE$3,$O$3:$AA$3,0),FALSE))*$AY363/VLOOKUP(VLOOKUP($AW363,坦克个性化设定!$B$18:$E$48,4,FALSE)&amp;$AX363,坦克属性分配比例,MATCH("升星次数",坦克属性分配比例标头,0),FALSE),0)</f>
        <v>257</v>
      </c>
      <c r="BF363" s="654">
        <f>ROUND(VLOOKUP($AW363,$AD$3:$AJ$33,MATCH(BF$3,$AD$3:$AJ$3,0),FALSE)+$AY363/VLOOKUP(VLOOKUP($AW363,坦克个性化设定!$B$18:$E$48,4,FALSE)&amp;$AX363,坦克属性分配比例,MATCH("升星次数",坦克属性分配比例标头,0),FALSE)*VLOOKUP($AW363,$AM$3:$AS$33,MATCH(BF$3,$AM$3:$AS$3,0),FALSE),1)</f>
        <v>33.299999999999997</v>
      </c>
      <c r="BG363" s="654">
        <f>ROUND(VLOOKUP($AW363,$AD$3:$AJ$33,MATCH(BG$3,$AD$3:$AJ$3,0),FALSE)+$AY363/VLOOKUP(VLOOKUP($AW363,坦克个性化设定!$B$18:$E$48,4,FALSE)&amp;$AX363,坦克属性分配比例,MATCH("升星次数",坦克属性分配比例标头,0),FALSE)*VLOOKUP($AW363,$AM$3:$AS$33,MATCH(BG$3,$AM$3:$AS$3,0),FALSE),1)</f>
        <v>46.5</v>
      </c>
      <c r="BH363" s="654">
        <f>ROUND(VLOOKUP($AW363,$AD$3:$AJ$33,MATCH(BH$3,$AD$3:$AJ$3,0),FALSE)+$AY363/VLOOKUP(VLOOKUP($AW363,坦克个性化设定!$B$18:$E$48,4,FALSE)&amp;$AX363,坦克属性分配比例,MATCH("升星次数",坦克属性分配比例标头,0),FALSE)*VLOOKUP($AW363,$AM$3:$AS$33,MATCH(BH$3,$AM$3:$AS$3,0),FALSE),1)</f>
        <v>10.3</v>
      </c>
      <c r="BI363" s="654">
        <f>IF(VLOOKUP(AW363,坦克个性化设定!$B$18:$BB$48,MATCH("装弹类型",坦克个性化设定!$B$18:$BB$18,0),FALSE)="弹夹换弹",0,ROUND(VLOOKUP($AW363,$AD$3:$AJ$33,MATCH("换弹时间",$AD$3:$AJ$3,0),FALSE)-$AY363/VLOOKUP(VLOOKUP($AW363,坦克个性化设定!$B$18:$E$48,4,FALSE)&amp;$AX363,坦克属性分配比例,MATCH("升星次数",坦克属性分配比例标头,0),FALSE)*VLOOKUP($AW363,$AM$3:$AS$33,MATCH("换弹时间",$AM$3:$AS$3,0),FALSE),2))</f>
        <v>5.63</v>
      </c>
      <c r="BJ363" s="654">
        <f>IF(VLOOKUP(AW363,坦克个性化设定!$B$18:$BB$48,MATCH("装弹类型",坦克个性化设定!$B$18:$BB$18,0),FALSE)="弹夹换弹",ROUND(VLOOKUP($AW363,$AD$3:$AJ$33,MATCH("换弹时间",$AD$3:$AJ$3,0),FALSE)-$AY363/VLOOKUP(VLOOKUP($AW363,坦克个性化设定!$B$18:$E$48,4,FALSE)&amp;$AX363,坦克属性分配比例,MATCH("升星次数",坦克属性分配比例标头,0),FALSE)*VLOOKUP($AW363,$AM$3:$AS$33,MATCH("换弹时间",$AM$3:$AS$3,0),FALSE),1),0)</f>
        <v>0</v>
      </c>
      <c r="BK363" s="654">
        <f>ROUND(VLOOKUP($AW363,$AD$3:$AJ$33,MATCH(BK$3,$AD$3:$AJ$3,0),FALSE)+$AY363/VLOOKUP(VLOOKUP($AW363,坦克个性化设定!$B$18:$E$48,4,FALSE)&amp;$AX363,坦克属性分配比例,MATCH("升星次数",坦克属性分配比例标头,0),FALSE)*VLOOKUP($AW363,$AM$3:$AS$33,MATCH(BK$3,$AM$3:$AS$3,0),FALSE),2)</f>
        <v>0</v>
      </c>
      <c r="BL363" s="654">
        <f>ROUND(VLOOKUP($AW363,$AD$3:$AJ$33,MATCH(BL$3,$AD$3:$AJ$3,0),FALSE)-$AY363/VLOOKUP(VLOOKUP($AW363,坦克个性化设定!$B$18:$E$48,4,FALSE)&amp;$AX363,坦克属性分配比例,MATCH("升星次数",坦克属性分配比例标头,0),FALSE)*VLOOKUP($AW363,$AM$3:$AS$33,MATCH(BL$3,$AM$3:$AS$3,0),FALSE),2)</f>
        <v>2.88</v>
      </c>
    </row>
    <row r="364" spans="47:64" x14ac:dyDescent="0.35">
      <c r="AU364" s="372" t="str">
        <f t="shared" si="33"/>
        <v>M1A24</v>
      </c>
      <c r="AV364" s="654">
        <f>IF(AY363&gt;=VLOOKUP(VLOOKUP(AW363,坦克个性化设定!$B$18:$E$48,4,FALSE)&amp;AX363,坦克属性分配比例,MATCH("升星次数",坦克属性分配比例标头,0),FALSE),AV363+1,AV363)</f>
        <v>30</v>
      </c>
      <c r="AW364" s="649" t="str">
        <f t="shared" si="34"/>
        <v>M1A2</v>
      </c>
      <c r="AX364" s="650" t="str">
        <f>VLOOKUP(AW364,坦克个性化细分!$I$3:$J$33,2,FALSE)</f>
        <v>低</v>
      </c>
      <c r="AY364" s="654">
        <f t="shared" si="35"/>
        <v>4</v>
      </c>
      <c r="AZ364" s="654">
        <f ca="1">ROUND(VLOOKUP($AW364&amp;"初始",$O$3:$AA$63,MATCH(AZ$3,$O$3:$AA$3,0),FALSE)+((VLOOKUP($AW364&amp;"最终",$O$3:$AA$63,MATCH(AZ$3,$O$3:$AA$3,0),FALSE)*坦克个性化细分!$C$9-VLOOKUP($AW364&amp;"初始",$O$3:$AA$63,MATCH(AZ$3,$O$3:$AA$3,0),FALSE))-(VLOOKUP($AW364&amp;"最终",$O$3:$AA$63,MATCH(AZ$3,$O$3:$AA$3,0),FALSE)-VLOOKUP($AW364&amp;"初始",$O$3:$AA$63,MATCH(AZ$3,$O$3:$AA$3,0),FALSE))*VLOOKUP(VLOOKUP($AW364,坦克个性化设定!$B$18:$E$48,4,FALSE)&amp;$AX364,坦克属性分配比例,MATCH("部件比例",坦克属性分配比例标头,0),FALSE))*$AY364/VLOOKUP(VLOOKUP($AW364,坦克个性化设定!$B$18:$E$48,4,FALSE)&amp;$AX364,坦克属性分配比例,MATCH("升星次数",坦克属性分配比例标头,0),FALSE),0)</f>
        <v>2756</v>
      </c>
      <c r="BA364" s="654">
        <f ca="1">ROUND(VLOOKUP($AW364&amp;"初始",$O$3:$AA$63,MATCH(BA$3,$O$3:$AA$3,0),FALSE)+(VLOOKUP($AW364&amp;"最终",$O$3:$AA$63,MATCH(BA$3,$O$3:$AA$3,0),FALSE)-VLOOKUP($AW364&amp;"初始",$O$3:$AA$63,MATCH(BA$3,$O$3:$AA$3,0),FALSE))*$AY364/VLOOKUP(VLOOKUP($AW364,坦克个性化设定!$B$18:$E$48,4,FALSE)&amp;$AX364,坦克属性分配比例,MATCH("升星次数",坦克属性分配比例标头,0),FALSE)*VLOOKUP(VLOOKUP($AW364,坦克个性化设定!$B$18:$E$48,4,FALSE)&amp;$AX364,坦克属性分配比例,MATCH("升星比例",坦克属性分配比例标头,0),FALSE),0)</f>
        <v>448</v>
      </c>
      <c r="BB364" s="654">
        <f ca="1">ROUND(VLOOKUP($AW364&amp;"初始",$O$3:$AA$63,MATCH(BB$3,$O$3:$AA$3,0),FALSE)+(VLOOKUP($AW364&amp;"最终",$O$3:$AA$63,MATCH(BB$3,$O$3:$AA$3,0),FALSE)-VLOOKUP($AW364&amp;"初始",$O$3:$AA$63,MATCH(BB$3,$O$3:$AA$3,0),FALSE))*$AY364/VLOOKUP(VLOOKUP($AW364,坦克个性化设定!$B$18:$E$48,4,FALSE)&amp;$AX364,坦克属性分配比例,MATCH("升星次数",坦克属性分配比例标头,0),FALSE)*(VLOOKUP(VLOOKUP($AW364,坦克个性化设定!$B$18:$E$48,4,FALSE)&amp;$AX364,坦克属性分配比例,MATCH("升星比例",坦克属性分配比例标头,0),FALSE)+VLOOKUP(VLOOKUP($AW364,坦克个性化设定!$B$18:$E$48,4,FALSE)&amp;$AX364,坦克属性分配比例,MATCH("部件比例",坦克属性分配比例标头,0),FALSE)*$C$3),0)</f>
        <v>829</v>
      </c>
      <c r="BC364" s="654">
        <f ca="1">ROUND(VLOOKUP($AW364&amp;"初始",$O$3:$AA$63,MATCH(BC$3,$O$3:$AA$3,0),FALSE)+(VLOOKUP($AW364&amp;"最终",$O$3:$AA$63,MATCH(BC$3,$O$3:$AA$3,0),FALSE)-VLOOKUP($AW364&amp;"初始",$O$3:$AA$63,MATCH(BC$3,$O$3:$AA$3,0),FALSE))*$AY364/VLOOKUP(VLOOKUP($AW364,坦克个性化设定!$B$18:$E$48,4,FALSE)&amp;$AX364,坦克属性分配比例,MATCH("升星次数",坦克属性分配比例标头,0),FALSE)*(VLOOKUP(VLOOKUP($AW364,坦克个性化设定!$B$18:$E$48,4,FALSE)&amp;$AX364,坦克属性分配比例,MATCH("升星比例",坦克属性分配比例标头,0),FALSE)+VLOOKUP(VLOOKUP($AW364,坦克个性化设定!$B$18:$E$48,4,FALSE)&amp;$AX364,坦克属性分配比例,MATCH("部件比例",坦克属性分配比例标头,0),FALSE)*$C$3),0)</f>
        <v>663</v>
      </c>
      <c r="BD364" s="654">
        <f ca="1">ROUND(VLOOKUP($AW364&amp;"初始",$O$3:$AA$63,MATCH(BD$3,$O$3:$AA$3,0),FALSE)+(VLOOKUP($AW364&amp;"最终",$O$3:$AA$63,MATCH(BD$3,$O$3:$AA$3,0),FALSE)-VLOOKUP($AW364&amp;"初始",$O$3:$AA$63,MATCH(BD$3,$O$3:$AA$3,0),FALSE))*$AY364/VLOOKUP(VLOOKUP($AW364,坦克个性化设定!$B$18:$E$48,4,FALSE)&amp;$AX364,坦克属性分配比例,MATCH("升星次数",坦克属性分配比例标头,0),FALSE)*VLOOKUP(VLOOKUP($AW364,坦克个性化设定!$B$18:$E$48,4,FALSE)&amp;$AX364,坦克属性分配比例,MATCH("升星比例",坦克属性分配比例标头,0),FALSE),0)</f>
        <v>1008</v>
      </c>
      <c r="BE364" s="654">
        <f ca="1">ROUND(VLOOKUP($AW364&amp;"初始",$O$3:$AA$63,MATCH(BE$3,$O$3:$AA$3,0),FALSE)+(VLOOKUP($AW364&amp;"最终",$O$3:$AA$63,MATCH(BE$3,$O$3:$AA$3,0),FALSE)-VLOOKUP($AW364&amp;"初始",$O$3:$AA$63,MATCH(BE$3,$O$3:$AA$3,0),FALSE))*$AY364/VLOOKUP(VLOOKUP($AW364,坦克个性化设定!$B$18:$E$48,4,FALSE)&amp;$AX364,坦克属性分配比例,MATCH("升星次数",坦克属性分配比例标头,0),FALSE),0)</f>
        <v>266</v>
      </c>
      <c r="BF364" s="654">
        <f>ROUND(VLOOKUP($AW364,$AD$3:$AJ$33,MATCH(BF$3,$AD$3:$AJ$3,0),FALSE)+$AY364/VLOOKUP(VLOOKUP($AW364,坦克个性化设定!$B$18:$E$48,4,FALSE)&amp;$AX364,坦克属性分配比例,MATCH("升星次数",坦克属性分配比例标头,0),FALSE)*VLOOKUP($AW364,$AM$3:$AS$33,MATCH(BF$3,$AM$3:$AS$3,0),FALSE),1)</f>
        <v>33.9</v>
      </c>
      <c r="BG364" s="654">
        <f>ROUND(VLOOKUP($AW364,$AD$3:$AJ$33,MATCH(BG$3,$AD$3:$AJ$3,0),FALSE)+$AY364/VLOOKUP(VLOOKUP($AW364,坦克个性化设定!$B$18:$E$48,4,FALSE)&amp;$AX364,坦克属性分配比例,MATCH("升星次数",坦克属性分配比例标头,0),FALSE)*VLOOKUP($AW364,$AM$3:$AS$33,MATCH(BG$3,$AM$3:$AS$3,0),FALSE),1)</f>
        <v>47.5</v>
      </c>
      <c r="BH364" s="654">
        <f>ROUND(VLOOKUP($AW364,$AD$3:$AJ$33,MATCH(BH$3,$AD$3:$AJ$3,0),FALSE)+$AY364/VLOOKUP(VLOOKUP($AW364,坦克个性化设定!$B$18:$E$48,4,FALSE)&amp;$AX364,坦克属性分配比例,MATCH("升星次数",坦克属性分配比例标头,0),FALSE)*VLOOKUP($AW364,$AM$3:$AS$33,MATCH(BH$3,$AM$3:$AS$3,0),FALSE),1)</f>
        <v>10.5</v>
      </c>
      <c r="BI364" s="654">
        <f>IF(VLOOKUP(AW364,坦克个性化设定!$B$18:$BB$48,MATCH("装弹类型",坦克个性化设定!$B$18:$BB$18,0),FALSE)="弹夹换弹",0,ROUND(VLOOKUP($AW364,$AD$3:$AJ$33,MATCH("换弹时间",$AD$3:$AJ$3,0),FALSE)-$AY364/VLOOKUP(VLOOKUP($AW364,坦克个性化设定!$B$18:$E$48,4,FALSE)&amp;$AX364,坦克属性分配比例,MATCH("升星次数",坦克属性分配比例标头,0),FALSE)*VLOOKUP($AW364,$AM$3:$AS$33,MATCH("换弹时间",$AM$3:$AS$3,0),FALSE),2))</f>
        <v>5.5</v>
      </c>
      <c r="BJ364" s="654">
        <f>IF(VLOOKUP(AW364,坦克个性化设定!$B$18:$BB$48,MATCH("装弹类型",坦克个性化设定!$B$18:$BB$18,0),FALSE)="弹夹换弹",ROUND(VLOOKUP($AW364,$AD$3:$AJ$33,MATCH("换弹时间",$AD$3:$AJ$3,0),FALSE)-$AY364/VLOOKUP(VLOOKUP($AW364,坦克个性化设定!$B$18:$E$48,4,FALSE)&amp;$AX364,坦克属性分配比例,MATCH("升星次数",坦克属性分配比例标头,0),FALSE)*VLOOKUP($AW364,$AM$3:$AS$33,MATCH("换弹时间",$AM$3:$AS$3,0),FALSE),1),0)</f>
        <v>0</v>
      </c>
      <c r="BK364" s="654">
        <f>ROUND(VLOOKUP($AW364,$AD$3:$AJ$33,MATCH(BK$3,$AD$3:$AJ$3,0),FALSE)+$AY364/VLOOKUP(VLOOKUP($AW364,坦克个性化设定!$B$18:$E$48,4,FALSE)&amp;$AX364,坦克属性分配比例,MATCH("升星次数",坦克属性分配比例标头,0),FALSE)*VLOOKUP($AW364,$AM$3:$AS$33,MATCH(BK$3,$AM$3:$AS$3,0),FALSE),2)</f>
        <v>0</v>
      </c>
      <c r="BL364" s="654">
        <f>ROUND(VLOOKUP($AW364,$AD$3:$AJ$33,MATCH(BL$3,$AD$3:$AJ$3,0),FALSE)-$AY364/VLOOKUP(VLOOKUP($AW364,坦克个性化设定!$B$18:$E$48,4,FALSE)&amp;$AX364,坦克属性分配比例,MATCH("升星次数",坦克属性分配比例标头,0),FALSE)*VLOOKUP($AW364,$AM$3:$AS$33,MATCH(BL$3,$AM$3:$AS$3,0),FALSE),2)</f>
        <v>2.83</v>
      </c>
    </row>
    <row r="365" spans="47:64" x14ac:dyDescent="0.35">
      <c r="AU365" s="372" t="str">
        <f t="shared" si="33"/>
        <v>M1A25</v>
      </c>
      <c r="AV365" s="654">
        <f>IF(AY364&gt;=VLOOKUP(VLOOKUP(AW364,坦克个性化设定!$B$18:$E$48,4,FALSE)&amp;AX364,坦克属性分配比例,MATCH("升星次数",坦克属性分配比例标头,0),FALSE),AV364+1,AV364)</f>
        <v>30</v>
      </c>
      <c r="AW365" s="649" t="str">
        <f t="shared" si="34"/>
        <v>M1A2</v>
      </c>
      <c r="AX365" s="650" t="str">
        <f>VLOOKUP(AW365,坦克个性化细分!$I$3:$J$33,2,FALSE)</f>
        <v>低</v>
      </c>
      <c r="AY365" s="654">
        <f t="shared" si="35"/>
        <v>5</v>
      </c>
      <c r="AZ365" s="654">
        <f ca="1">ROUND(VLOOKUP($AW365&amp;"初始",$O$3:$AA$63,MATCH(AZ$3,$O$3:$AA$3,0),FALSE)+((VLOOKUP($AW365&amp;"最终",$O$3:$AA$63,MATCH(AZ$3,$O$3:$AA$3,0),FALSE)*坦克个性化细分!$C$9-VLOOKUP($AW365&amp;"初始",$O$3:$AA$63,MATCH(AZ$3,$O$3:$AA$3,0),FALSE))-(VLOOKUP($AW365&amp;"最终",$O$3:$AA$63,MATCH(AZ$3,$O$3:$AA$3,0),FALSE)-VLOOKUP($AW365&amp;"初始",$O$3:$AA$63,MATCH(AZ$3,$O$3:$AA$3,0),FALSE))*VLOOKUP(VLOOKUP($AW365,坦克个性化设定!$B$18:$E$48,4,FALSE)&amp;$AX365,坦克属性分配比例,MATCH("部件比例",坦克属性分配比例标头,0),FALSE))*$AY365/VLOOKUP(VLOOKUP($AW365,坦克个性化设定!$B$18:$E$48,4,FALSE)&amp;$AX365,坦克属性分配比例,MATCH("升星次数",坦克属性分配比例标头,0),FALSE),0)</f>
        <v>2846</v>
      </c>
      <c r="BA365" s="654">
        <f ca="1">ROUND(VLOOKUP($AW365&amp;"初始",$O$3:$AA$63,MATCH(BA$3,$O$3:$AA$3,0),FALSE)+(VLOOKUP($AW365&amp;"最终",$O$3:$AA$63,MATCH(BA$3,$O$3:$AA$3,0),FALSE)-VLOOKUP($AW365&amp;"初始",$O$3:$AA$63,MATCH(BA$3,$O$3:$AA$3,0),FALSE))*$AY365/VLOOKUP(VLOOKUP($AW365,坦克个性化设定!$B$18:$E$48,4,FALSE)&amp;$AX365,坦克属性分配比例,MATCH("升星次数",坦克属性分配比例标头,0),FALSE)*VLOOKUP(VLOOKUP($AW365,坦克个性化设定!$B$18:$E$48,4,FALSE)&amp;$AX365,坦克属性分配比例,MATCH("升星比例",坦克属性分配比例标头,0),FALSE),0)</f>
        <v>448</v>
      </c>
      <c r="BB365" s="654">
        <f ca="1">ROUND(VLOOKUP($AW365&amp;"初始",$O$3:$AA$63,MATCH(BB$3,$O$3:$AA$3,0),FALSE)+(VLOOKUP($AW365&amp;"最终",$O$3:$AA$63,MATCH(BB$3,$O$3:$AA$3,0),FALSE)-VLOOKUP($AW365&amp;"初始",$O$3:$AA$63,MATCH(BB$3,$O$3:$AA$3,0),FALSE))*$AY365/VLOOKUP(VLOOKUP($AW365,坦克个性化设定!$B$18:$E$48,4,FALSE)&amp;$AX365,坦克属性分配比例,MATCH("升星次数",坦克属性分配比例标头,0),FALSE)*(VLOOKUP(VLOOKUP($AW365,坦克个性化设定!$B$18:$E$48,4,FALSE)&amp;$AX365,坦克属性分配比例,MATCH("升星比例",坦克属性分配比例标头,0),FALSE)+VLOOKUP(VLOOKUP($AW365,坦克个性化设定!$B$18:$E$48,4,FALSE)&amp;$AX365,坦克属性分配比例,MATCH("部件比例",坦克属性分配比例标头,0),FALSE)*$C$3),0)</f>
        <v>848</v>
      </c>
      <c r="BC365" s="654">
        <f ca="1">ROUND(VLOOKUP($AW365&amp;"初始",$O$3:$AA$63,MATCH(BC$3,$O$3:$AA$3,0),FALSE)+(VLOOKUP($AW365&amp;"最终",$O$3:$AA$63,MATCH(BC$3,$O$3:$AA$3,0),FALSE)-VLOOKUP($AW365&amp;"初始",$O$3:$AA$63,MATCH(BC$3,$O$3:$AA$3,0),FALSE))*$AY365/VLOOKUP(VLOOKUP($AW365,坦克个性化设定!$B$18:$E$48,4,FALSE)&amp;$AX365,坦克属性分配比例,MATCH("升星次数",坦克属性分配比例标头,0),FALSE)*(VLOOKUP(VLOOKUP($AW365,坦克个性化设定!$B$18:$E$48,4,FALSE)&amp;$AX365,坦克属性分配比例,MATCH("升星比例",坦克属性分配比例标头,0),FALSE)+VLOOKUP(VLOOKUP($AW365,坦克个性化设定!$B$18:$E$48,4,FALSE)&amp;$AX365,坦克属性分配比例,MATCH("部件比例",坦克属性分配比例标头,0),FALSE)*$C$3),0)</f>
        <v>679</v>
      </c>
      <c r="BD365" s="654">
        <f ca="1">ROUND(VLOOKUP($AW365&amp;"初始",$O$3:$AA$63,MATCH(BD$3,$O$3:$AA$3,0),FALSE)+(VLOOKUP($AW365&amp;"最终",$O$3:$AA$63,MATCH(BD$3,$O$3:$AA$3,0),FALSE)-VLOOKUP($AW365&amp;"初始",$O$3:$AA$63,MATCH(BD$3,$O$3:$AA$3,0),FALSE))*$AY365/VLOOKUP(VLOOKUP($AW365,坦克个性化设定!$B$18:$E$48,4,FALSE)&amp;$AX365,坦克属性分配比例,MATCH("升星次数",坦克属性分配比例标头,0),FALSE)*VLOOKUP(VLOOKUP($AW365,坦克个性化设定!$B$18:$E$48,4,FALSE)&amp;$AX365,坦克属性分配比例,MATCH("升星比例",坦克属性分配比例标头,0),FALSE),0)</f>
        <v>1008</v>
      </c>
      <c r="BE365" s="654">
        <f ca="1">ROUND(VLOOKUP($AW365&amp;"初始",$O$3:$AA$63,MATCH(BE$3,$O$3:$AA$3,0),FALSE)+(VLOOKUP($AW365&amp;"最终",$O$3:$AA$63,MATCH(BE$3,$O$3:$AA$3,0),FALSE)-VLOOKUP($AW365&amp;"初始",$O$3:$AA$63,MATCH(BE$3,$O$3:$AA$3,0),FALSE))*$AY365/VLOOKUP(VLOOKUP($AW365,坦克个性化设定!$B$18:$E$48,4,FALSE)&amp;$AX365,坦克属性分配比例,MATCH("升星次数",坦克属性分配比例标头,0),FALSE),0)</f>
        <v>276</v>
      </c>
      <c r="BF365" s="654">
        <f>ROUND(VLOOKUP($AW365,$AD$3:$AJ$33,MATCH(BF$3,$AD$3:$AJ$3,0),FALSE)+$AY365/VLOOKUP(VLOOKUP($AW365,坦克个性化设定!$B$18:$E$48,4,FALSE)&amp;$AX365,坦克属性分配比例,MATCH("升星次数",坦克属性分配比例标头,0),FALSE)*VLOOKUP($AW365,$AM$3:$AS$33,MATCH(BF$3,$AM$3:$AS$3,0),FALSE),1)</f>
        <v>34.6</v>
      </c>
      <c r="BG365" s="654">
        <f>ROUND(VLOOKUP($AW365,$AD$3:$AJ$33,MATCH(BG$3,$AD$3:$AJ$3,0),FALSE)+$AY365/VLOOKUP(VLOOKUP($AW365,坦克个性化设定!$B$18:$E$48,4,FALSE)&amp;$AX365,坦克属性分配比例,MATCH("升星次数",坦克属性分配比例标头,0),FALSE)*VLOOKUP($AW365,$AM$3:$AS$33,MATCH(BG$3,$AM$3:$AS$3,0),FALSE),1)</f>
        <v>48.4</v>
      </c>
      <c r="BH365" s="654">
        <f>ROUND(VLOOKUP($AW365,$AD$3:$AJ$33,MATCH(BH$3,$AD$3:$AJ$3,0),FALSE)+$AY365/VLOOKUP(VLOOKUP($AW365,坦克个性化设定!$B$18:$E$48,4,FALSE)&amp;$AX365,坦克属性分配比例,MATCH("升星次数",坦克属性分配比例标头,0),FALSE)*VLOOKUP($AW365,$AM$3:$AS$33,MATCH(BH$3,$AM$3:$AS$3,0),FALSE),1)</f>
        <v>10.8</v>
      </c>
      <c r="BI365" s="654">
        <f>IF(VLOOKUP(AW365,坦克个性化设定!$B$18:$BB$48,MATCH("装弹类型",坦克个性化设定!$B$18:$BB$18,0),FALSE)="弹夹换弹",0,ROUND(VLOOKUP($AW365,$AD$3:$AJ$33,MATCH("换弹时间",$AD$3:$AJ$3,0),FALSE)-$AY365/VLOOKUP(VLOOKUP($AW365,坦克个性化设定!$B$18:$E$48,4,FALSE)&amp;$AX365,坦克属性分配比例,MATCH("升星次数",坦克属性分配比例标头,0),FALSE)*VLOOKUP($AW365,$AM$3:$AS$33,MATCH("换弹时间",$AM$3:$AS$3,0),FALSE),2))</f>
        <v>5.38</v>
      </c>
      <c r="BJ365" s="654">
        <f>IF(VLOOKUP(AW365,坦克个性化设定!$B$18:$BB$48,MATCH("装弹类型",坦克个性化设定!$B$18:$BB$18,0),FALSE)="弹夹换弹",ROUND(VLOOKUP($AW365,$AD$3:$AJ$33,MATCH("换弹时间",$AD$3:$AJ$3,0),FALSE)-$AY365/VLOOKUP(VLOOKUP($AW365,坦克个性化设定!$B$18:$E$48,4,FALSE)&amp;$AX365,坦克属性分配比例,MATCH("升星次数",坦克属性分配比例标头,0),FALSE)*VLOOKUP($AW365,$AM$3:$AS$33,MATCH("换弹时间",$AM$3:$AS$3,0),FALSE),1),0)</f>
        <v>0</v>
      </c>
      <c r="BK365" s="654">
        <f>ROUND(VLOOKUP($AW365,$AD$3:$AJ$33,MATCH(BK$3,$AD$3:$AJ$3,0),FALSE)+$AY365/VLOOKUP(VLOOKUP($AW365,坦克个性化设定!$B$18:$E$48,4,FALSE)&amp;$AX365,坦克属性分配比例,MATCH("升星次数",坦克属性分配比例标头,0),FALSE)*VLOOKUP($AW365,$AM$3:$AS$33,MATCH(BK$3,$AM$3:$AS$3,0),FALSE),2)</f>
        <v>0</v>
      </c>
      <c r="BL365" s="654">
        <f>ROUND(VLOOKUP($AW365,$AD$3:$AJ$33,MATCH(BL$3,$AD$3:$AJ$3,0),FALSE)-$AY365/VLOOKUP(VLOOKUP($AW365,坦克个性化设定!$B$18:$E$48,4,FALSE)&amp;$AX365,坦克属性分配比例,MATCH("升星次数",坦克属性分配比例标头,0),FALSE)*VLOOKUP($AW365,$AM$3:$AS$33,MATCH(BL$3,$AM$3:$AS$3,0),FALSE),2)</f>
        <v>2.79</v>
      </c>
    </row>
    <row r="366" spans="47:64" x14ac:dyDescent="0.35">
      <c r="AU366" s="372" t="str">
        <f t="shared" si="33"/>
        <v>M1A26</v>
      </c>
      <c r="AV366" s="654">
        <f>IF(AY365&gt;=VLOOKUP(VLOOKUP(AW365,坦克个性化设定!$B$18:$E$48,4,FALSE)&amp;AX365,坦克属性分配比例,MATCH("升星次数",坦克属性分配比例标头,0),FALSE),AV365+1,AV365)</f>
        <v>30</v>
      </c>
      <c r="AW366" s="649" t="str">
        <f t="shared" si="34"/>
        <v>M1A2</v>
      </c>
      <c r="AX366" s="650" t="str">
        <f>VLOOKUP(AW366,坦克个性化细分!$I$3:$J$33,2,FALSE)</f>
        <v>低</v>
      </c>
      <c r="AY366" s="654">
        <f t="shared" si="35"/>
        <v>6</v>
      </c>
      <c r="AZ366" s="654">
        <f ca="1">ROUND(VLOOKUP($AW366&amp;"初始",$O$3:$AA$63,MATCH(AZ$3,$O$3:$AA$3,0),FALSE)+((VLOOKUP($AW366&amp;"最终",$O$3:$AA$63,MATCH(AZ$3,$O$3:$AA$3,0),FALSE)*坦克个性化细分!$C$9-VLOOKUP($AW366&amp;"初始",$O$3:$AA$63,MATCH(AZ$3,$O$3:$AA$3,0),FALSE))-(VLOOKUP($AW366&amp;"最终",$O$3:$AA$63,MATCH(AZ$3,$O$3:$AA$3,0),FALSE)-VLOOKUP($AW366&amp;"初始",$O$3:$AA$63,MATCH(AZ$3,$O$3:$AA$3,0),FALSE))*VLOOKUP(VLOOKUP($AW366,坦克个性化设定!$B$18:$E$48,4,FALSE)&amp;$AX366,坦克属性分配比例,MATCH("部件比例",坦克属性分配比例标头,0),FALSE))*$AY366/VLOOKUP(VLOOKUP($AW366,坦克个性化设定!$B$18:$E$48,4,FALSE)&amp;$AX366,坦克属性分配比例,MATCH("升星次数",坦克属性分配比例标头,0),FALSE),0)</f>
        <v>2936</v>
      </c>
      <c r="BA366" s="654">
        <f ca="1">ROUND(VLOOKUP($AW366&amp;"初始",$O$3:$AA$63,MATCH(BA$3,$O$3:$AA$3,0),FALSE)+(VLOOKUP($AW366&amp;"最终",$O$3:$AA$63,MATCH(BA$3,$O$3:$AA$3,0),FALSE)-VLOOKUP($AW366&amp;"初始",$O$3:$AA$63,MATCH(BA$3,$O$3:$AA$3,0),FALSE))*$AY366/VLOOKUP(VLOOKUP($AW366,坦克个性化设定!$B$18:$E$48,4,FALSE)&amp;$AX366,坦克属性分配比例,MATCH("升星次数",坦克属性分配比例标头,0),FALSE)*VLOOKUP(VLOOKUP($AW366,坦克个性化设定!$B$18:$E$48,4,FALSE)&amp;$AX366,坦克属性分配比例,MATCH("升星比例",坦克属性分配比例标头,0),FALSE),0)</f>
        <v>448</v>
      </c>
      <c r="BB366" s="654">
        <f ca="1">ROUND(VLOOKUP($AW366&amp;"初始",$O$3:$AA$63,MATCH(BB$3,$O$3:$AA$3,0),FALSE)+(VLOOKUP($AW366&amp;"最终",$O$3:$AA$63,MATCH(BB$3,$O$3:$AA$3,0),FALSE)-VLOOKUP($AW366&amp;"初始",$O$3:$AA$63,MATCH(BB$3,$O$3:$AA$3,0),FALSE))*$AY366/VLOOKUP(VLOOKUP($AW366,坦克个性化设定!$B$18:$E$48,4,FALSE)&amp;$AX366,坦克属性分配比例,MATCH("升星次数",坦克属性分配比例标头,0),FALSE)*(VLOOKUP(VLOOKUP($AW366,坦克个性化设定!$B$18:$E$48,4,FALSE)&amp;$AX366,坦克属性分配比例,MATCH("升星比例",坦克属性分配比例标头,0),FALSE)+VLOOKUP(VLOOKUP($AW366,坦克个性化设定!$B$18:$E$48,4,FALSE)&amp;$AX366,坦克属性分配比例,MATCH("部件比例",坦克属性分配比例标头,0),FALSE)*$C$3),0)</f>
        <v>867</v>
      </c>
      <c r="BC366" s="654">
        <f ca="1">ROUND(VLOOKUP($AW366&amp;"初始",$O$3:$AA$63,MATCH(BC$3,$O$3:$AA$3,0),FALSE)+(VLOOKUP($AW366&amp;"最终",$O$3:$AA$63,MATCH(BC$3,$O$3:$AA$3,0),FALSE)-VLOOKUP($AW366&amp;"初始",$O$3:$AA$63,MATCH(BC$3,$O$3:$AA$3,0),FALSE))*$AY366/VLOOKUP(VLOOKUP($AW366,坦克个性化设定!$B$18:$E$48,4,FALSE)&amp;$AX366,坦克属性分配比例,MATCH("升星次数",坦克属性分配比例标头,0),FALSE)*(VLOOKUP(VLOOKUP($AW366,坦克个性化设定!$B$18:$E$48,4,FALSE)&amp;$AX366,坦克属性分配比例,MATCH("升星比例",坦克属性分配比例标头,0),FALSE)+VLOOKUP(VLOOKUP($AW366,坦克个性化设定!$B$18:$E$48,4,FALSE)&amp;$AX366,坦克属性分配比例,MATCH("部件比例",坦克属性分配比例标头,0),FALSE)*$C$3),0)</f>
        <v>694</v>
      </c>
      <c r="BD366" s="654">
        <f ca="1">ROUND(VLOOKUP($AW366&amp;"初始",$O$3:$AA$63,MATCH(BD$3,$O$3:$AA$3,0),FALSE)+(VLOOKUP($AW366&amp;"最终",$O$3:$AA$63,MATCH(BD$3,$O$3:$AA$3,0),FALSE)-VLOOKUP($AW366&amp;"初始",$O$3:$AA$63,MATCH(BD$3,$O$3:$AA$3,0),FALSE))*$AY366/VLOOKUP(VLOOKUP($AW366,坦克个性化设定!$B$18:$E$48,4,FALSE)&amp;$AX366,坦克属性分配比例,MATCH("升星次数",坦克属性分配比例标头,0),FALSE)*VLOOKUP(VLOOKUP($AW366,坦克个性化设定!$B$18:$E$48,4,FALSE)&amp;$AX366,坦克属性分配比例,MATCH("升星比例",坦克属性分配比例标头,0),FALSE),0)</f>
        <v>1008</v>
      </c>
      <c r="BE366" s="654">
        <f ca="1">ROUND(VLOOKUP($AW366&amp;"初始",$O$3:$AA$63,MATCH(BE$3,$O$3:$AA$3,0),FALSE)+(VLOOKUP($AW366&amp;"最终",$O$3:$AA$63,MATCH(BE$3,$O$3:$AA$3,0),FALSE)-VLOOKUP($AW366&amp;"初始",$O$3:$AA$63,MATCH(BE$3,$O$3:$AA$3,0),FALSE))*$AY366/VLOOKUP(VLOOKUP($AW366,坦克个性化设定!$B$18:$E$48,4,FALSE)&amp;$AX366,坦克属性分配比例,MATCH("升星次数",坦克属性分配比例标头,0),FALSE),0)</f>
        <v>285</v>
      </c>
      <c r="BF366" s="654">
        <f>ROUND(VLOOKUP($AW366,$AD$3:$AJ$33,MATCH(BF$3,$AD$3:$AJ$3,0),FALSE)+$AY366/VLOOKUP(VLOOKUP($AW366,坦克个性化设定!$B$18:$E$48,4,FALSE)&amp;$AX366,坦克属性分配比例,MATCH("升星次数",坦克属性分配比例标头,0),FALSE)*VLOOKUP($AW366,$AM$3:$AS$33,MATCH(BF$3,$AM$3:$AS$3,0),FALSE),1)</f>
        <v>35.200000000000003</v>
      </c>
      <c r="BG366" s="654">
        <f>ROUND(VLOOKUP($AW366,$AD$3:$AJ$33,MATCH(BG$3,$AD$3:$AJ$3,0),FALSE)+$AY366/VLOOKUP(VLOOKUP($AW366,坦克个性化设定!$B$18:$E$48,4,FALSE)&amp;$AX366,坦克属性分配比例,MATCH("升星次数",坦克属性分配比例标头,0),FALSE)*VLOOKUP($AW366,$AM$3:$AS$33,MATCH(BG$3,$AM$3:$AS$3,0),FALSE),1)</f>
        <v>49.3</v>
      </c>
      <c r="BH366" s="654">
        <f>ROUND(VLOOKUP($AW366,$AD$3:$AJ$33,MATCH(BH$3,$AD$3:$AJ$3,0),FALSE)+$AY366/VLOOKUP(VLOOKUP($AW366,坦克个性化设定!$B$18:$E$48,4,FALSE)&amp;$AX366,坦克属性分配比例,MATCH("升星次数",坦克属性分配比例标头,0),FALSE)*VLOOKUP($AW366,$AM$3:$AS$33,MATCH(BH$3,$AM$3:$AS$3,0),FALSE),1)</f>
        <v>11.1</v>
      </c>
      <c r="BI366" s="654">
        <f>IF(VLOOKUP(AW366,坦克个性化设定!$B$18:$BB$48,MATCH("装弹类型",坦克个性化设定!$B$18:$BB$18,0),FALSE)="弹夹换弹",0,ROUND(VLOOKUP($AW366,$AD$3:$AJ$33,MATCH("换弹时间",$AD$3:$AJ$3,0),FALSE)-$AY366/VLOOKUP(VLOOKUP($AW366,坦克个性化设定!$B$18:$E$48,4,FALSE)&amp;$AX366,坦克属性分配比例,MATCH("升星次数",坦克属性分配比例标头,0),FALSE)*VLOOKUP($AW366,$AM$3:$AS$33,MATCH("换弹时间",$AM$3:$AS$3,0),FALSE),2))</f>
        <v>5.26</v>
      </c>
      <c r="BJ366" s="654">
        <f>IF(VLOOKUP(AW366,坦克个性化设定!$B$18:$BB$48,MATCH("装弹类型",坦克个性化设定!$B$18:$BB$18,0),FALSE)="弹夹换弹",ROUND(VLOOKUP($AW366,$AD$3:$AJ$33,MATCH("换弹时间",$AD$3:$AJ$3,0),FALSE)-$AY366/VLOOKUP(VLOOKUP($AW366,坦克个性化设定!$B$18:$E$48,4,FALSE)&amp;$AX366,坦克属性分配比例,MATCH("升星次数",坦克属性分配比例标头,0),FALSE)*VLOOKUP($AW366,$AM$3:$AS$33,MATCH("换弹时间",$AM$3:$AS$3,0),FALSE),1),0)</f>
        <v>0</v>
      </c>
      <c r="BK366" s="654">
        <f>ROUND(VLOOKUP($AW366,$AD$3:$AJ$33,MATCH(BK$3,$AD$3:$AJ$3,0),FALSE)+$AY366/VLOOKUP(VLOOKUP($AW366,坦克个性化设定!$B$18:$E$48,4,FALSE)&amp;$AX366,坦克属性分配比例,MATCH("升星次数",坦克属性分配比例标头,0),FALSE)*VLOOKUP($AW366,$AM$3:$AS$33,MATCH(BK$3,$AM$3:$AS$3,0),FALSE),2)</f>
        <v>0</v>
      </c>
      <c r="BL366" s="654">
        <f>ROUND(VLOOKUP($AW366,$AD$3:$AJ$33,MATCH(BL$3,$AD$3:$AJ$3,0),FALSE)-$AY366/VLOOKUP(VLOOKUP($AW366,坦克个性化设定!$B$18:$E$48,4,FALSE)&amp;$AX366,坦克属性分配比例,MATCH("升星次数",坦克属性分配比例标头,0),FALSE)*VLOOKUP($AW366,$AM$3:$AS$33,MATCH(BL$3,$AM$3:$AS$3,0),FALSE),2)</f>
        <v>2.75</v>
      </c>
    </row>
    <row r="367" spans="47:64" x14ac:dyDescent="0.35">
      <c r="AU367" s="372" t="str">
        <f t="shared" si="33"/>
        <v>M1A27</v>
      </c>
      <c r="AV367" s="654">
        <f>IF(AY366&gt;=VLOOKUP(VLOOKUP(AW366,坦克个性化设定!$B$18:$E$48,4,FALSE)&amp;AX366,坦克属性分配比例,MATCH("升星次数",坦克属性分配比例标头,0),FALSE),AV366+1,AV366)</f>
        <v>30</v>
      </c>
      <c r="AW367" s="649" t="str">
        <f t="shared" si="34"/>
        <v>M1A2</v>
      </c>
      <c r="AX367" s="650" t="str">
        <f>VLOOKUP(AW367,坦克个性化细分!$I$3:$J$33,2,FALSE)</f>
        <v>低</v>
      </c>
      <c r="AY367" s="654">
        <f t="shared" si="35"/>
        <v>7</v>
      </c>
      <c r="AZ367" s="654">
        <f ca="1">ROUND(VLOOKUP($AW367&amp;"初始",$O$3:$AA$63,MATCH(AZ$3,$O$3:$AA$3,0),FALSE)+((VLOOKUP($AW367&amp;"最终",$O$3:$AA$63,MATCH(AZ$3,$O$3:$AA$3,0),FALSE)*坦克个性化细分!$C$9-VLOOKUP($AW367&amp;"初始",$O$3:$AA$63,MATCH(AZ$3,$O$3:$AA$3,0),FALSE))-(VLOOKUP($AW367&amp;"最终",$O$3:$AA$63,MATCH(AZ$3,$O$3:$AA$3,0),FALSE)-VLOOKUP($AW367&amp;"初始",$O$3:$AA$63,MATCH(AZ$3,$O$3:$AA$3,0),FALSE))*VLOOKUP(VLOOKUP($AW367,坦克个性化设定!$B$18:$E$48,4,FALSE)&amp;$AX367,坦克属性分配比例,MATCH("部件比例",坦克属性分配比例标头,0),FALSE))*$AY367/VLOOKUP(VLOOKUP($AW367,坦克个性化设定!$B$18:$E$48,4,FALSE)&amp;$AX367,坦克属性分配比例,MATCH("升星次数",坦克属性分配比例标头,0),FALSE),0)</f>
        <v>3026</v>
      </c>
      <c r="BA367" s="654">
        <f ca="1">ROUND(VLOOKUP($AW367&amp;"初始",$O$3:$AA$63,MATCH(BA$3,$O$3:$AA$3,0),FALSE)+(VLOOKUP($AW367&amp;"最终",$O$3:$AA$63,MATCH(BA$3,$O$3:$AA$3,0),FALSE)-VLOOKUP($AW367&amp;"初始",$O$3:$AA$63,MATCH(BA$3,$O$3:$AA$3,0),FALSE))*$AY367/VLOOKUP(VLOOKUP($AW367,坦克个性化设定!$B$18:$E$48,4,FALSE)&amp;$AX367,坦克属性分配比例,MATCH("升星次数",坦克属性分配比例标头,0),FALSE)*VLOOKUP(VLOOKUP($AW367,坦克个性化设定!$B$18:$E$48,4,FALSE)&amp;$AX367,坦克属性分配比例,MATCH("升星比例",坦克属性分配比例标头,0),FALSE),0)</f>
        <v>448</v>
      </c>
      <c r="BB367" s="654">
        <f ca="1">ROUND(VLOOKUP($AW367&amp;"初始",$O$3:$AA$63,MATCH(BB$3,$O$3:$AA$3,0),FALSE)+(VLOOKUP($AW367&amp;"最终",$O$3:$AA$63,MATCH(BB$3,$O$3:$AA$3,0),FALSE)-VLOOKUP($AW367&amp;"初始",$O$3:$AA$63,MATCH(BB$3,$O$3:$AA$3,0),FALSE))*$AY367/VLOOKUP(VLOOKUP($AW367,坦克个性化设定!$B$18:$E$48,4,FALSE)&amp;$AX367,坦克属性分配比例,MATCH("升星次数",坦克属性分配比例标头,0),FALSE)*(VLOOKUP(VLOOKUP($AW367,坦克个性化设定!$B$18:$E$48,4,FALSE)&amp;$AX367,坦克属性分配比例,MATCH("升星比例",坦克属性分配比例标头,0),FALSE)+VLOOKUP(VLOOKUP($AW367,坦克个性化设定!$B$18:$E$48,4,FALSE)&amp;$AX367,坦克属性分配比例,MATCH("部件比例",坦克属性分配比例标头,0),FALSE)*$C$3),0)</f>
        <v>886</v>
      </c>
      <c r="BC367" s="654">
        <f ca="1">ROUND(VLOOKUP($AW367&amp;"初始",$O$3:$AA$63,MATCH(BC$3,$O$3:$AA$3,0),FALSE)+(VLOOKUP($AW367&amp;"最终",$O$3:$AA$63,MATCH(BC$3,$O$3:$AA$3,0),FALSE)-VLOOKUP($AW367&amp;"初始",$O$3:$AA$63,MATCH(BC$3,$O$3:$AA$3,0),FALSE))*$AY367/VLOOKUP(VLOOKUP($AW367,坦克个性化设定!$B$18:$E$48,4,FALSE)&amp;$AX367,坦克属性分配比例,MATCH("升星次数",坦克属性分配比例标头,0),FALSE)*(VLOOKUP(VLOOKUP($AW367,坦克个性化设定!$B$18:$E$48,4,FALSE)&amp;$AX367,坦克属性分配比例,MATCH("升星比例",坦克属性分配比例标头,0),FALSE)+VLOOKUP(VLOOKUP($AW367,坦克个性化设定!$B$18:$E$48,4,FALSE)&amp;$AX367,坦克属性分配比例,MATCH("部件比例",坦克属性分配比例标头,0),FALSE)*$C$3),0)</f>
        <v>709</v>
      </c>
      <c r="BD367" s="654">
        <f ca="1">ROUND(VLOOKUP($AW367&amp;"初始",$O$3:$AA$63,MATCH(BD$3,$O$3:$AA$3,0),FALSE)+(VLOOKUP($AW367&amp;"最终",$O$3:$AA$63,MATCH(BD$3,$O$3:$AA$3,0),FALSE)-VLOOKUP($AW367&amp;"初始",$O$3:$AA$63,MATCH(BD$3,$O$3:$AA$3,0),FALSE))*$AY367/VLOOKUP(VLOOKUP($AW367,坦克个性化设定!$B$18:$E$48,4,FALSE)&amp;$AX367,坦克属性分配比例,MATCH("升星次数",坦克属性分配比例标头,0),FALSE)*VLOOKUP(VLOOKUP($AW367,坦克个性化设定!$B$18:$E$48,4,FALSE)&amp;$AX367,坦克属性分配比例,MATCH("升星比例",坦克属性分配比例标头,0),FALSE),0)</f>
        <v>1008</v>
      </c>
      <c r="BE367" s="654">
        <f ca="1">ROUND(VLOOKUP($AW367&amp;"初始",$O$3:$AA$63,MATCH(BE$3,$O$3:$AA$3,0),FALSE)+(VLOOKUP($AW367&amp;"最终",$O$3:$AA$63,MATCH(BE$3,$O$3:$AA$3,0),FALSE)-VLOOKUP($AW367&amp;"初始",$O$3:$AA$63,MATCH(BE$3,$O$3:$AA$3,0),FALSE))*$AY367/VLOOKUP(VLOOKUP($AW367,坦克个性化设定!$B$18:$E$48,4,FALSE)&amp;$AX367,坦克属性分配比例,MATCH("升星次数",坦克属性分配比例标头,0),FALSE),0)</f>
        <v>295</v>
      </c>
      <c r="BF367" s="654">
        <f>ROUND(VLOOKUP($AW367,$AD$3:$AJ$33,MATCH(BF$3,$AD$3:$AJ$3,0),FALSE)+$AY367/VLOOKUP(VLOOKUP($AW367,坦克个性化设定!$B$18:$E$48,4,FALSE)&amp;$AX367,坦克属性分配比例,MATCH("升星次数",坦克属性分配比例标头,0),FALSE)*VLOOKUP($AW367,$AM$3:$AS$33,MATCH(BF$3,$AM$3:$AS$3,0),FALSE),1)</f>
        <v>35.9</v>
      </c>
      <c r="BG367" s="654">
        <f>ROUND(VLOOKUP($AW367,$AD$3:$AJ$33,MATCH(BG$3,$AD$3:$AJ$3,0),FALSE)+$AY367/VLOOKUP(VLOOKUP($AW367,坦克个性化设定!$B$18:$E$48,4,FALSE)&amp;$AX367,坦克属性分配比例,MATCH("升星次数",坦克属性分配比例标头,0),FALSE)*VLOOKUP($AW367,$AM$3:$AS$33,MATCH(BG$3,$AM$3:$AS$3,0),FALSE),1)</f>
        <v>50.2</v>
      </c>
      <c r="BH367" s="654">
        <f>ROUND(VLOOKUP($AW367,$AD$3:$AJ$33,MATCH(BH$3,$AD$3:$AJ$3,0),FALSE)+$AY367/VLOOKUP(VLOOKUP($AW367,坦克个性化设定!$B$18:$E$48,4,FALSE)&amp;$AX367,坦克属性分配比例,MATCH("升星次数",坦克属性分配比例标头,0),FALSE)*VLOOKUP($AW367,$AM$3:$AS$33,MATCH(BH$3,$AM$3:$AS$3,0),FALSE),1)</f>
        <v>11.3</v>
      </c>
      <c r="BI367" s="654">
        <f>IF(VLOOKUP(AW367,坦克个性化设定!$B$18:$BB$48,MATCH("装弹类型",坦克个性化设定!$B$18:$BB$18,0),FALSE)="弹夹换弹",0,ROUND(VLOOKUP($AW367,$AD$3:$AJ$33,MATCH("换弹时间",$AD$3:$AJ$3,0),FALSE)-$AY367/VLOOKUP(VLOOKUP($AW367,坦克个性化设定!$B$18:$E$48,4,FALSE)&amp;$AX367,坦克属性分配比例,MATCH("升星次数",坦克属性分配比例标头,0),FALSE)*VLOOKUP($AW367,$AM$3:$AS$33,MATCH("换弹时间",$AM$3:$AS$3,0),FALSE),2))</f>
        <v>5.13</v>
      </c>
      <c r="BJ367" s="654">
        <f>IF(VLOOKUP(AW367,坦克个性化设定!$B$18:$BB$48,MATCH("装弹类型",坦克个性化设定!$B$18:$BB$18,0),FALSE)="弹夹换弹",ROUND(VLOOKUP($AW367,$AD$3:$AJ$33,MATCH("换弹时间",$AD$3:$AJ$3,0),FALSE)-$AY367/VLOOKUP(VLOOKUP($AW367,坦克个性化设定!$B$18:$E$48,4,FALSE)&amp;$AX367,坦克属性分配比例,MATCH("升星次数",坦克属性分配比例标头,0),FALSE)*VLOOKUP($AW367,$AM$3:$AS$33,MATCH("换弹时间",$AM$3:$AS$3,0),FALSE),1),0)</f>
        <v>0</v>
      </c>
      <c r="BK367" s="654">
        <f>ROUND(VLOOKUP($AW367,$AD$3:$AJ$33,MATCH(BK$3,$AD$3:$AJ$3,0),FALSE)+$AY367/VLOOKUP(VLOOKUP($AW367,坦克个性化设定!$B$18:$E$48,4,FALSE)&amp;$AX367,坦克属性分配比例,MATCH("升星次数",坦克属性分配比例标头,0),FALSE)*VLOOKUP($AW367,$AM$3:$AS$33,MATCH(BK$3,$AM$3:$AS$3,0),FALSE),2)</f>
        <v>0</v>
      </c>
      <c r="BL367" s="654">
        <f>ROUND(VLOOKUP($AW367,$AD$3:$AJ$33,MATCH(BL$3,$AD$3:$AJ$3,0),FALSE)-$AY367/VLOOKUP(VLOOKUP($AW367,坦克个性化设定!$B$18:$E$48,4,FALSE)&amp;$AX367,坦克属性分配比例,MATCH("升星次数",坦克属性分配比例标头,0),FALSE)*VLOOKUP($AW367,$AM$3:$AS$33,MATCH(BL$3,$AM$3:$AS$3,0),FALSE),2)</f>
        <v>2.71</v>
      </c>
    </row>
    <row r="368" spans="47:64" x14ac:dyDescent="0.35">
      <c r="AU368" s="372" t="str">
        <f t="shared" si="33"/>
        <v>M1A28</v>
      </c>
      <c r="AV368" s="654">
        <f>IF(AY367&gt;=VLOOKUP(VLOOKUP(AW367,坦克个性化设定!$B$18:$E$48,4,FALSE)&amp;AX367,坦克属性分配比例,MATCH("升星次数",坦克属性分配比例标头,0),FALSE),AV367+1,AV367)</f>
        <v>30</v>
      </c>
      <c r="AW368" s="649" t="str">
        <f t="shared" si="34"/>
        <v>M1A2</v>
      </c>
      <c r="AX368" s="650" t="str">
        <f>VLOOKUP(AW368,坦克个性化细分!$I$3:$J$33,2,FALSE)</f>
        <v>低</v>
      </c>
      <c r="AY368" s="654">
        <f t="shared" si="35"/>
        <v>8</v>
      </c>
      <c r="AZ368" s="654">
        <f ca="1">ROUND(VLOOKUP($AW368&amp;"初始",$O$3:$AA$63,MATCH(AZ$3,$O$3:$AA$3,0),FALSE)+((VLOOKUP($AW368&amp;"最终",$O$3:$AA$63,MATCH(AZ$3,$O$3:$AA$3,0),FALSE)*坦克个性化细分!$C$9-VLOOKUP($AW368&amp;"初始",$O$3:$AA$63,MATCH(AZ$3,$O$3:$AA$3,0),FALSE))-(VLOOKUP($AW368&amp;"最终",$O$3:$AA$63,MATCH(AZ$3,$O$3:$AA$3,0),FALSE)-VLOOKUP($AW368&amp;"初始",$O$3:$AA$63,MATCH(AZ$3,$O$3:$AA$3,0),FALSE))*VLOOKUP(VLOOKUP($AW368,坦克个性化设定!$B$18:$E$48,4,FALSE)&amp;$AX368,坦克属性分配比例,MATCH("部件比例",坦克属性分配比例标头,0),FALSE))*$AY368/VLOOKUP(VLOOKUP($AW368,坦克个性化设定!$B$18:$E$48,4,FALSE)&amp;$AX368,坦克属性分配比例,MATCH("升星次数",坦克属性分配比例标头,0),FALSE),0)</f>
        <v>3116</v>
      </c>
      <c r="BA368" s="654">
        <f ca="1">ROUND(VLOOKUP($AW368&amp;"初始",$O$3:$AA$63,MATCH(BA$3,$O$3:$AA$3,0),FALSE)+(VLOOKUP($AW368&amp;"最终",$O$3:$AA$63,MATCH(BA$3,$O$3:$AA$3,0),FALSE)-VLOOKUP($AW368&amp;"初始",$O$3:$AA$63,MATCH(BA$3,$O$3:$AA$3,0),FALSE))*$AY368/VLOOKUP(VLOOKUP($AW368,坦克个性化设定!$B$18:$E$48,4,FALSE)&amp;$AX368,坦克属性分配比例,MATCH("升星次数",坦克属性分配比例标头,0),FALSE)*VLOOKUP(VLOOKUP($AW368,坦克个性化设定!$B$18:$E$48,4,FALSE)&amp;$AX368,坦克属性分配比例,MATCH("升星比例",坦克属性分配比例标头,0),FALSE),0)</f>
        <v>448</v>
      </c>
      <c r="BB368" s="654">
        <f ca="1">ROUND(VLOOKUP($AW368&amp;"初始",$O$3:$AA$63,MATCH(BB$3,$O$3:$AA$3,0),FALSE)+(VLOOKUP($AW368&amp;"最终",$O$3:$AA$63,MATCH(BB$3,$O$3:$AA$3,0),FALSE)-VLOOKUP($AW368&amp;"初始",$O$3:$AA$63,MATCH(BB$3,$O$3:$AA$3,0),FALSE))*$AY368/VLOOKUP(VLOOKUP($AW368,坦克个性化设定!$B$18:$E$48,4,FALSE)&amp;$AX368,坦克属性分配比例,MATCH("升星次数",坦克属性分配比例标头,0),FALSE)*(VLOOKUP(VLOOKUP($AW368,坦克个性化设定!$B$18:$E$48,4,FALSE)&amp;$AX368,坦克属性分配比例,MATCH("升星比例",坦克属性分配比例标头,0),FALSE)+VLOOKUP(VLOOKUP($AW368,坦克个性化设定!$B$18:$E$48,4,FALSE)&amp;$AX368,坦克属性分配比例,MATCH("部件比例",坦克属性分配比例标头,0),FALSE)*$C$3),0)</f>
        <v>905</v>
      </c>
      <c r="BC368" s="654">
        <f ca="1">ROUND(VLOOKUP($AW368&amp;"初始",$O$3:$AA$63,MATCH(BC$3,$O$3:$AA$3,0),FALSE)+(VLOOKUP($AW368&amp;"最终",$O$3:$AA$63,MATCH(BC$3,$O$3:$AA$3,0),FALSE)-VLOOKUP($AW368&amp;"初始",$O$3:$AA$63,MATCH(BC$3,$O$3:$AA$3,0),FALSE))*$AY368/VLOOKUP(VLOOKUP($AW368,坦克个性化设定!$B$18:$E$48,4,FALSE)&amp;$AX368,坦克属性分配比例,MATCH("升星次数",坦克属性分配比例标头,0),FALSE)*(VLOOKUP(VLOOKUP($AW368,坦克个性化设定!$B$18:$E$48,4,FALSE)&amp;$AX368,坦克属性分配比例,MATCH("升星比例",坦克属性分配比例标头,0),FALSE)+VLOOKUP(VLOOKUP($AW368,坦克个性化设定!$B$18:$E$48,4,FALSE)&amp;$AX368,坦克属性分配比例,MATCH("部件比例",坦克属性分配比例标头,0),FALSE)*$C$3),0)</f>
        <v>724</v>
      </c>
      <c r="BD368" s="654">
        <f ca="1">ROUND(VLOOKUP($AW368&amp;"初始",$O$3:$AA$63,MATCH(BD$3,$O$3:$AA$3,0),FALSE)+(VLOOKUP($AW368&amp;"最终",$O$3:$AA$63,MATCH(BD$3,$O$3:$AA$3,0),FALSE)-VLOOKUP($AW368&amp;"初始",$O$3:$AA$63,MATCH(BD$3,$O$3:$AA$3,0),FALSE))*$AY368/VLOOKUP(VLOOKUP($AW368,坦克个性化设定!$B$18:$E$48,4,FALSE)&amp;$AX368,坦克属性分配比例,MATCH("升星次数",坦克属性分配比例标头,0),FALSE)*VLOOKUP(VLOOKUP($AW368,坦克个性化设定!$B$18:$E$48,4,FALSE)&amp;$AX368,坦克属性分配比例,MATCH("升星比例",坦克属性分配比例标头,0),FALSE),0)</f>
        <v>1008</v>
      </c>
      <c r="BE368" s="654">
        <f ca="1">ROUND(VLOOKUP($AW368&amp;"初始",$O$3:$AA$63,MATCH(BE$3,$O$3:$AA$3,0),FALSE)+(VLOOKUP($AW368&amp;"最终",$O$3:$AA$63,MATCH(BE$3,$O$3:$AA$3,0),FALSE)-VLOOKUP($AW368&amp;"初始",$O$3:$AA$63,MATCH(BE$3,$O$3:$AA$3,0),FALSE))*$AY368/VLOOKUP(VLOOKUP($AW368,坦克个性化设定!$B$18:$E$48,4,FALSE)&amp;$AX368,坦克属性分配比例,MATCH("升星次数",坦克属性分配比例标头,0),FALSE),0)</f>
        <v>304</v>
      </c>
      <c r="BF368" s="654">
        <f>ROUND(VLOOKUP($AW368,$AD$3:$AJ$33,MATCH(BF$3,$AD$3:$AJ$3,0),FALSE)+$AY368/VLOOKUP(VLOOKUP($AW368,坦克个性化设定!$B$18:$E$48,4,FALSE)&amp;$AX368,坦克属性分配比例,MATCH("升星次数",坦克属性分配比例标头,0),FALSE)*VLOOKUP($AW368,$AM$3:$AS$33,MATCH(BF$3,$AM$3:$AS$3,0),FALSE),1)</f>
        <v>36.5</v>
      </c>
      <c r="BG368" s="654">
        <f>ROUND(VLOOKUP($AW368,$AD$3:$AJ$33,MATCH(BG$3,$AD$3:$AJ$3,0),FALSE)+$AY368/VLOOKUP(VLOOKUP($AW368,坦克个性化设定!$B$18:$E$48,4,FALSE)&amp;$AX368,坦克属性分配比例,MATCH("升星次数",坦克属性分配比例标头,0),FALSE)*VLOOKUP($AW368,$AM$3:$AS$33,MATCH(BG$3,$AM$3:$AS$3,0),FALSE),1)</f>
        <v>51.1</v>
      </c>
      <c r="BH368" s="654">
        <f>ROUND(VLOOKUP($AW368,$AD$3:$AJ$33,MATCH(BH$3,$AD$3:$AJ$3,0),FALSE)+$AY368/VLOOKUP(VLOOKUP($AW368,坦克个性化设定!$B$18:$E$48,4,FALSE)&amp;$AX368,坦克属性分配比例,MATCH("升星次数",坦克属性分配比例标头,0),FALSE)*VLOOKUP($AW368,$AM$3:$AS$33,MATCH(BH$3,$AM$3:$AS$3,0),FALSE),1)</f>
        <v>11.6</v>
      </c>
      <c r="BI368" s="654">
        <f>IF(VLOOKUP(AW368,坦克个性化设定!$B$18:$BB$48,MATCH("装弹类型",坦克个性化设定!$B$18:$BB$18,0),FALSE)="弹夹换弹",0,ROUND(VLOOKUP($AW368,$AD$3:$AJ$33,MATCH("换弹时间",$AD$3:$AJ$3,0),FALSE)-$AY368/VLOOKUP(VLOOKUP($AW368,坦克个性化设定!$B$18:$E$48,4,FALSE)&amp;$AX368,坦克属性分配比例,MATCH("升星次数",坦克属性分配比例标头,0),FALSE)*VLOOKUP($AW368,$AM$3:$AS$33,MATCH("换弹时间",$AM$3:$AS$3,0),FALSE),2))</f>
        <v>5.01</v>
      </c>
      <c r="BJ368" s="654">
        <f>IF(VLOOKUP(AW368,坦克个性化设定!$B$18:$BB$48,MATCH("装弹类型",坦克个性化设定!$B$18:$BB$18,0),FALSE)="弹夹换弹",ROUND(VLOOKUP($AW368,$AD$3:$AJ$33,MATCH("换弹时间",$AD$3:$AJ$3,0),FALSE)-$AY368/VLOOKUP(VLOOKUP($AW368,坦克个性化设定!$B$18:$E$48,4,FALSE)&amp;$AX368,坦克属性分配比例,MATCH("升星次数",坦克属性分配比例标头,0),FALSE)*VLOOKUP($AW368,$AM$3:$AS$33,MATCH("换弹时间",$AM$3:$AS$3,0),FALSE),1),0)</f>
        <v>0</v>
      </c>
      <c r="BK368" s="654">
        <f>ROUND(VLOOKUP($AW368,$AD$3:$AJ$33,MATCH(BK$3,$AD$3:$AJ$3,0),FALSE)+$AY368/VLOOKUP(VLOOKUP($AW368,坦克个性化设定!$B$18:$E$48,4,FALSE)&amp;$AX368,坦克属性分配比例,MATCH("升星次数",坦克属性分配比例标头,0),FALSE)*VLOOKUP($AW368,$AM$3:$AS$33,MATCH(BK$3,$AM$3:$AS$3,0),FALSE),2)</f>
        <v>0</v>
      </c>
      <c r="BL368" s="654">
        <f>ROUND(VLOOKUP($AW368,$AD$3:$AJ$33,MATCH(BL$3,$AD$3:$AJ$3,0),FALSE)-$AY368/VLOOKUP(VLOOKUP($AW368,坦克个性化设定!$B$18:$E$48,4,FALSE)&amp;$AX368,坦克属性分配比例,MATCH("升星次数",坦克属性分配比例标头,0),FALSE)*VLOOKUP($AW368,$AM$3:$AS$33,MATCH(BL$3,$AM$3:$AS$3,0),FALSE),2)</f>
        <v>2.67</v>
      </c>
    </row>
    <row r="369" spans="47:64" x14ac:dyDescent="0.35">
      <c r="AU369" s="372" t="str">
        <f t="shared" si="33"/>
        <v>M1A29</v>
      </c>
      <c r="AV369" s="654">
        <f>IF(AY368&gt;=VLOOKUP(VLOOKUP(AW368,坦克个性化设定!$B$18:$E$48,4,FALSE)&amp;AX368,坦克属性分配比例,MATCH("升星次数",坦克属性分配比例标头,0),FALSE),AV368+1,AV368)</f>
        <v>30</v>
      </c>
      <c r="AW369" s="649" t="str">
        <f t="shared" si="34"/>
        <v>M1A2</v>
      </c>
      <c r="AX369" s="650" t="str">
        <f>VLOOKUP(AW369,坦克个性化细分!$I$3:$J$33,2,FALSE)</f>
        <v>低</v>
      </c>
      <c r="AY369" s="654">
        <f t="shared" si="35"/>
        <v>9</v>
      </c>
      <c r="AZ369" s="654">
        <f ca="1">ROUND(VLOOKUP($AW369&amp;"初始",$O$3:$AA$63,MATCH(AZ$3,$O$3:$AA$3,0),FALSE)+((VLOOKUP($AW369&amp;"最终",$O$3:$AA$63,MATCH(AZ$3,$O$3:$AA$3,0),FALSE)*坦克个性化细分!$C$9-VLOOKUP($AW369&amp;"初始",$O$3:$AA$63,MATCH(AZ$3,$O$3:$AA$3,0),FALSE))-(VLOOKUP($AW369&amp;"最终",$O$3:$AA$63,MATCH(AZ$3,$O$3:$AA$3,0),FALSE)-VLOOKUP($AW369&amp;"初始",$O$3:$AA$63,MATCH(AZ$3,$O$3:$AA$3,0),FALSE))*VLOOKUP(VLOOKUP($AW369,坦克个性化设定!$B$18:$E$48,4,FALSE)&amp;$AX369,坦克属性分配比例,MATCH("部件比例",坦克属性分配比例标头,0),FALSE))*$AY369/VLOOKUP(VLOOKUP($AW369,坦克个性化设定!$B$18:$E$48,4,FALSE)&amp;$AX369,坦克属性分配比例,MATCH("升星次数",坦克属性分配比例标头,0),FALSE),0)</f>
        <v>3206</v>
      </c>
      <c r="BA369" s="654">
        <f ca="1">ROUND(VLOOKUP($AW369&amp;"初始",$O$3:$AA$63,MATCH(BA$3,$O$3:$AA$3,0),FALSE)+(VLOOKUP($AW369&amp;"最终",$O$3:$AA$63,MATCH(BA$3,$O$3:$AA$3,0),FALSE)-VLOOKUP($AW369&amp;"初始",$O$3:$AA$63,MATCH(BA$3,$O$3:$AA$3,0),FALSE))*$AY369/VLOOKUP(VLOOKUP($AW369,坦克个性化设定!$B$18:$E$48,4,FALSE)&amp;$AX369,坦克属性分配比例,MATCH("升星次数",坦克属性分配比例标头,0),FALSE)*VLOOKUP(VLOOKUP($AW369,坦克个性化设定!$B$18:$E$48,4,FALSE)&amp;$AX369,坦克属性分配比例,MATCH("升星比例",坦克属性分配比例标头,0),FALSE),0)</f>
        <v>448</v>
      </c>
      <c r="BB369" s="654">
        <f ca="1">ROUND(VLOOKUP($AW369&amp;"初始",$O$3:$AA$63,MATCH(BB$3,$O$3:$AA$3,0),FALSE)+(VLOOKUP($AW369&amp;"最终",$O$3:$AA$63,MATCH(BB$3,$O$3:$AA$3,0),FALSE)-VLOOKUP($AW369&amp;"初始",$O$3:$AA$63,MATCH(BB$3,$O$3:$AA$3,0),FALSE))*$AY369/VLOOKUP(VLOOKUP($AW369,坦克个性化设定!$B$18:$E$48,4,FALSE)&amp;$AX369,坦克属性分配比例,MATCH("升星次数",坦克属性分配比例标头,0),FALSE)*(VLOOKUP(VLOOKUP($AW369,坦克个性化设定!$B$18:$E$48,4,FALSE)&amp;$AX369,坦克属性分配比例,MATCH("升星比例",坦克属性分配比例标头,0),FALSE)+VLOOKUP(VLOOKUP($AW369,坦克个性化设定!$B$18:$E$48,4,FALSE)&amp;$AX369,坦克属性分配比例,MATCH("部件比例",坦克属性分配比例标头,0),FALSE)*$C$3),0)</f>
        <v>924</v>
      </c>
      <c r="BC369" s="654">
        <f ca="1">ROUND(VLOOKUP($AW369&amp;"初始",$O$3:$AA$63,MATCH(BC$3,$O$3:$AA$3,0),FALSE)+(VLOOKUP($AW369&amp;"最终",$O$3:$AA$63,MATCH(BC$3,$O$3:$AA$3,0),FALSE)-VLOOKUP($AW369&amp;"初始",$O$3:$AA$63,MATCH(BC$3,$O$3:$AA$3,0),FALSE))*$AY369/VLOOKUP(VLOOKUP($AW369,坦克个性化设定!$B$18:$E$48,4,FALSE)&amp;$AX369,坦克属性分配比例,MATCH("升星次数",坦克属性分配比例标头,0),FALSE)*(VLOOKUP(VLOOKUP($AW369,坦克个性化设定!$B$18:$E$48,4,FALSE)&amp;$AX369,坦克属性分配比例,MATCH("升星比例",坦克属性分配比例标头,0),FALSE)+VLOOKUP(VLOOKUP($AW369,坦克个性化设定!$B$18:$E$48,4,FALSE)&amp;$AX369,坦克属性分配比例,MATCH("部件比例",坦克属性分配比例标头,0),FALSE)*$C$3),0)</f>
        <v>739</v>
      </c>
      <c r="BD369" s="654">
        <f ca="1">ROUND(VLOOKUP($AW369&amp;"初始",$O$3:$AA$63,MATCH(BD$3,$O$3:$AA$3,0),FALSE)+(VLOOKUP($AW369&amp;"最终",$O$3:$AA$63,MATCH(BD$3,$O$3:$AA$3,0),FALSE)-VLOOKUP($AW369&amp;"初始",$O$3:$AA$63,MATCH(BD$3,$O$3:$AA$3,0),FALSE))*$AY369/VLOOKUP(VLOOKUP($AW369,坦克个性化设定!$B$18:$E$48,4,FALSE)&amp;$AX369,坦克属性分配比例,MATCH("升星次数",坦克属性分配比例标头,0),FALSE)*VLOOKUP(VLOOKUP($AW369,坦克个性化设定!$B$18:$E$48,4,FALSE)&amp;$AX369,坦克属性分配比例,MATCH("升星比例",坦克属性分配比例标头,0),FALSE),0)</f>
        <v>1008</v>
      </c>
      <c r="BE369" s="654">
        <f ca="1">ROUND(VLOOKUP($AW369&amp;"初始",$O$3:$AA$63,MATCH(BE$3,$O$3:$AA$3,0),FALSE)+(VLOOKUP($AW369&amp;"最终",$O$3:$AA$63,MATCH(BE$3,$O$3:$AA$3,0),FALSE)-VLOOKUP($AW369&amp;"初始",$O$3:$AA$63,MATCH(BE$3,$O$3:$AA$3,0),FALSE))*$AY369/VLOOKUP(VLOOKUP($AW369,坦克个性化设定!$B$18:$E$48,4,FALSE)&amp;$AX369,坦克属性分配比例,MATCH("升星次数",坦克属性分配比例标头,0),FALSE),0)</f>
        <v>314</v>
      </c>
      <c r="BF369" s="654">
        <f>ROUND(VLOOKUP($AW369,$AD$3:$AJ$33,MATCH(BF$3,$AD$3:$AJ$3,0),FALSE)+$AY369/VLOOKUP(VLOOKUP($AW369,坦克个性化设定!$B$18:$E$48,4,FALSE)&amp;$AX369,坦克属性分配比例,MATCH("升星次数",坦克属性分配比例标头,0),FALSE)*VLOOKUP($AW369,$AM$3:$AS$33,MATCH(BF$3,$AM$3:$AS$3,0),FALSE),1)</f>
        <v>37.200000000000003</v>
      </c>
      <c r="BG369" s="654">
        <f>ROUND(VLOOKUP($AW369,$AD$3:$AJ$33,MATCH(BG$3,$AD$3:$AJ$3,0),FALSE)+$AY369/VLOOKUP(VLOOKUP($AW369,坦克个性化设定!$B$18:$E$48,4,FALSE)&amp;$AX369,坦克属性分配比例,MATCH("升星次数",坦克属性分配比例标头,0),FALSE)*VLOOKUP($AW369,$AM$3:$AS$33,MATCH(BG$3,$AM$3:$AS$3,0),FALSE),1)</f>
        <v>52</v>
      </c>
      <c r="BH369" s="654">
        <f>ROUND(VLOOKUP($AW369,$AD$3:$AJ$33,MATCH(BH$3,$AD$3:$AJ$3,0),FALSE)+$AY369/VLOOKUP(VLOOKUP($AW369,坦克个性化设定!$B$18:$E$48,4,FALSE)&amp;$AX369,坦克属性分配比例,MATCH("升星次数",坦克属性分配比例标头,0),FALSE)*VLOOKUP($AW369,$AM$3:$AS$33,MATCH(BH$3,$AM$3:$AS$3,0),FALSE),1)</f>
        <v>11.8</v>
      </c>
      <c r="BI369" s="654">
        <f>IF(VLOOKUP(AW369,坦克个性化设定!$B$18:$BB$48,MATCH("装弹类型",坦克个性化设定!$B$18:$BB$18,0),FALSE)="弹夹换弹",0,ROUND(VLOOKUP($AW369,$AD$3:$AJ$33,MATCH("换弹时间",$AD$3:$AJ$3,0),FALSE)-$AY369/VLOOKUP(VLOOKUP($AW369,坦克个性化设定!$B$18:$E$48,4,FALSE)&amp;$AX369,坦克属性分配比例,MATCH("升星次数",坦克属性分配比例标头,0),FALSE)*VLOOKUP($AW369,$AM$3:$AS$33,MATCH("换弹时间",$AM$3:$AS$3,0),FALSE),2))</f>
        <v>4.88</v>
      </c>
      <c r="BJ369" s="654">
        <f>IF(VLOOKUP(AW369,坦克个性化设定!$B$18:$BB$48,MATCH("装弹类型",坦克个性化设定!$B$18:$BB$18,0),FALSE)="弹夹换弹",ROUND(VLOOKUP($AW369,$AD$3:$AJ$33,MATCH("换弹时间",$AD$3:$AJ$3,0),FALSE)-$AY369/VLOOKUP(VLOOKUP($AW369,坦克个性化设定!$B$18:$E$48,4,FALSE)&amp;$AX369,坦克属性分配比例,MATCH("升星次数",坦克属性分配比例标头,0),FALSE)*VLOOKUP($AW369,$AM$3:$AS$33,MATCH("换弹时间",$AM$3:$AS$3,0),FALSE),1),0)</f>
        <v>0</v>
      </c>
      <c r="BK369" s="654">
        <f>ROUND(VLOOKUP($AW369,$AD$3:$AJ$33,MATCH(BK$3,$AD$3:$AJ$3,0),FALSE)+$AY369/VLOOKUP(VLOOKUP($AW369,坦克个性化设定!$B$18:$E$48,4,FALSE)&amp;$AX369,坦克属性分配比例,MATCH("升星次数",坦克属性分配比例标头,0),FALSE)*VLOOKUP($AW369,$AM$3:$AS$33,MATCH(BK$3,$AM$3:$AS$3,0),FALSE),2)</f>
        <v>0</v>
      </c>
      <c r="BL369" s="654">
        <f>ROUND(VLOOKUP($AW369,$AD$3:$AJ$33,MATCH(BL$3,$AD$3:$AJ$3,0),FALSE)-$AY369/VLOOKUP(VLOOKUP($AW369,坦克个性化设定!$B$18:$E$48,4,FALSE)&amp;$AX369,坦克属性分配比例,MATCH("升星次数",坦克属性分配比例标头,0),FALSE)*VLOOKUP($AW369,$AM$3:$AS$33,MATCH(BL$3,$AM$3:$AS$3,0),FALSE),2)</f>
        <v>2.63</v>
      </c>
    </row>
    <row r="370" spans="47:64" x14ac:dyDescent="0.35">
      <c r="AU370" s="372" t="str">
        <f t="shared" si="33"/>
        <v>M1A210</v>
      </c>
      <c r="AV370" s="654">
        <f>IF(AY369&gt;=VLOOKUP(VLOOKUP(AW369,坦克个性化设定!$B$18:$E$48,4,FALSE)&amp;AX369,坦克属性分配比例,MATCH("升星次数",坦克属性分配比例标头,0),FALSE),AV369+1,AV369)</f>
        <v>30</v>
      </c>
      <c r="AW370" s="649" t="str">
        <f t="shared" si="34"/>
        <v>M1A2</v>
      </c>
      <c r="AX370" s="650" t="str">
        <f>VLOOKUP(AW370,坦克个性化细分!$I$3:$J$33,2,FALSE)</f>
        <v>低</v>
      </c>
      <c r="AY370" s="654">
        <f t="shared" si="35"/>
        <v>10</v>
      </c>
      <c r="AZ370" s="654">
        <f ca="1">ROUND(VLOOKUP($AW370&amp;"初始",$O$3:$AA$63,MATCH(AZ$3,$O$3:$AA$3,0),FALSE)+((VLOOKUP($AW370&amp;"最终",$O$3:$AA$63,MATCH(AZ$3,$O$3:$AA$3,0),FALSE)*坦克个性化细分!$C$9-VLOOKUP($AW370&amp;"初始",$O$3:$AA$63,MATCH(AZ$3,$O$3:$AA$3,0),FALSE))-(VLOOKUP($AW370&amp;"最终",$O$3:$AA$63,MATCH(AZ$3,$O$3:$AA$3,0),FALSE)-VLOOKUP($AW370&amp;"初始",$O$3:$AA$63,MATCH(AZ$3,$O$3:$AA$3,0),FALSE))*VLOOKUP(VLOOKUP($AW370,坦克个性化设定!$B$18:$E$48,4,FALSE)&amp;$AX370,坦克属性分配比例,MATCH("部件比例",坦克属性分配比例标头,0),FALSE))*$AY370/VLOOKUP(VLOOKUP($AW370,坦克个性化设定!$B$18:$E$48,4,FALSE)&amp;$AX370,坦克属性分配比例,MATCH("升星次数",坦克属性分配比例标头,0),FALSE),0)</f>
        <v>3296</v>
      </c>
      <c r="BA370" s="654">
        <f ca="1">ROUND(VLOOKUP($AW370&amp;"初始",$O$3:$AA$63,MATCH(BA$3,$O$3:$AA$3,0),FALSE)+(VLOOKUP($AW370&amp;"最终",$O$3:$AA$63,MATCH(BA$3,$O$3:$AA$3,0),FALSE)-VLOOKUP($AW370&amp;"初始",$O$3:$AA$63,MATCH(BA$3,$O$3:$AA$3,0),FALSE))*$AY370/VLOOKUP(VLOOKUP($AW370,坦克个性化设定!$B$18:$E$48,4,FALSE)&amp;$AX370,坦克属性分配比例,MATCH("升星次数",坦克属性分配比例标头,0),FALSE)*VLOOKUP(VLOOKUP($AW370,坦克个性化设定!$B$18:$E$48,4,FALSE)&amp;$AX370,坦克属性分配比例,MATCH("升星比例",坦克属性分配比例标头,0),FALSE),0)</f>
        <v>448</v>
      </c>
      <c r="BB370" s="654">
        <f ca="1">ROUND(VLOOKUP($AW370&amp;"初始",$O$3:$AA$63,MATCH(BB$3,$O$3:$AA$3,0),FALSE)+(VLOOKUP($AW370&amp;"最终",$O$3:$AA$63,MATCH(BB$3,$O$3:$AA$3,0),FALSE)-VLOOKUP($AW370&amp;"初始",$O$3:$AA$63,MATCH(BB$3,$O$3:$AA$3,0),FALSE))*$AY370/VLOOKUP(VLOOKUP($AW370,坦克个性化设定!$B$18:$E$48,4,FALSE)&amp;$AX370,坦克属性分配比例,MATCH("升星次数",坦克属性分配比例标头,0),FALSE)*(VLOOKUP(VLOOKUP($AW370,坦克个性化设定!$B$18:$E$48,4,FALSE)&amp;$AX370,坦克属性分配比例,MATCH("升星比例",坦克属性分配比例标头,0),FALSE)+VLOOKUP(VLOOKUP($AW370,坦克个性化设定!$B$18:$E$48,4,FALSE)&amp;$AX370,坦克属性分配比例,MATCH("部件比例",坦克属性分配比例标头,0),FALSE)*$C$3),0)</f>
        <v>943</v>
      </c>
      <c r="BC370" s="654">
        <f ca="1">ROUND(VLOOKUP($AW370&amp;"初始",$O$3:$AA$63,MATCH(BC$3,$O$3:$AA$3,0),FALSE)+(VLOOKUP($AW370&amp;"最终",$O$3:$AA$63,MATCH(BC$3,$O$3:$AA$3,0),FALSE)-VLOOKUP($AW370&amp;"初始",$O$3:$AA$63,MATCH(BC$3,$O$3:$AA$3,0),FALSE))*$AY370/VLOOKUP(VLOOKUP($AW370,坦克个性化设定!$B$18:$E$48,4,FALSE)&amp;$AX370,坦克属性分配比例,MATCH("升星次数",坦克属性分配比例标头,0),FALSE)*(VLOOKUP(VLOOKUP($AW370,坦克个性化设定!$B$18:$E$48,4,FALSE)&amp;$AX370,坦克属性分配比例,MATCH("升星比例",坦克属性分配比例标头,0),FALSE)+VLOOKUP(VLOOKUP($AW370,坦克个性化设定!$B$18:$E$48,4,FALSE)&amp;$AX370,坦克属性分配比例,MATCH("部件比例",坦克属性分配比例标头,0),FALSE)*$C$3),0)</f>
        <v>754</v>
      </c>
      <c r="BD370" s="654">
        <f ca="1">ROUND(VLOOKUP($AW370&amp;"初始",$O$3:$AA$63,MATCH(BD$3,$O$3:$AA$3,0),FALSE)+(VLOOKUP($AW370&amp;"最终",$O$3:$AA$63,MATCH(BD$3,$O$3:$AA$3,0),FALSE)-VLOOKUP($AW370&amp;"初始",$O$3:$AA$63,MATCH(BD$3,$O$3:$AA$3,0),FALSE))*$AY370/VLOOKUP(VLOOKUP($AW370,坦克个性化设定!$B$18:$E$48,4,FALSE)&amp;$AX370,坦克属性分配比例,MATCH("升星次数",坦克属性分配比例标头,0),FALSE)*VLOOKUP(VLOOKUP($AW370,坦克个性化设定!$B$18:$E$48,4,FALSE)&amp;$AX370,坦克属性分配比例,MATCH("升星比例",坦克属性分配比例标头,0),FALSE),0)</f>
        <v>1008</v>
      </c>
      <c r="BE370" s="654">
        <f ca="1">ROUND(VLOOKUP($AW370&amp;"初始",$O$3:$AA$63,MATCH(BE$3,$O$3:$AA$3,0),FALSE)+(VLOOKUP($AW370&amp;"最终",$O$3:$AA$63,MATCH(BE$3,$O$3:$AA$3,0),FALSE)-VLOOKUP($AW370&amp;"初始",$O$3:$AA$63,MATCH(BE$3,$O$3:$AA$3,0),FALSE))*$AY370/VLOOKUP(VLOOKUP($AW370,坦克个性化设定!$B$18:$E$48,4,FALSE)&amp;$AX370,坦克属性分配比例,MATCH("升星次数",坦克属性分配比例标头,0),FALSE),0)</f>
        <v>323</v>
      </c>
      <c r="BF370" s="654">
        <f>ROUND(VLOOKUP($AW370,$AD$3:$AJ$33,MATCH(BF$3,$AD$3:$AJ$3,0),FALSE)+$AY370/VLOOKUP(VLOOKUP($AW370,坦克个性化设定!$B$18:$E$48,4,FALSE)&amp;$AX370,坦克属性分配比例,MATCH("升星次数",坦克属性分配比例标头,0),FALSE)*VLOOKUP($AW370,$AM$3:$AS$33,MATCH(BF$3,$AM$3:$AS$3,0),FALSE),1)</f>
        <v>37.799999999999997</v>
      </c>
      <c r="BG370" s="654">
        <f>ROUND(VLOOKUP($AW370,$AD$3:$AJ$33,MATCH(BG$3,$AD$3:$AJ$3,0),FALSE)+$AY370/VLOOKUP(VLOOKUP($AW370,坦克个性化设定!$B$18:$E$48,4,FALSE)&amp;$AX370,坦克属性分配比例,MATCH("升星次数",坦克属性分配比例标头,0),FALSE)*VLOOKUP($AW370,$AM$3:$AS$33,MATCH(BG$3,$AM$3:$AS$3,0),FALSE),1)</f>
        <v>52.9</v>
      </c>
      <c r="BH370" s="654">
        <f>ROUND(VLOOKUP($AW370,$AD$3:$AJ$33,MATCH(BH$3,$AD$3:$AJ$3,0),FALSE)+$AY370/VLOOKUP(VLOOKUP($AW370,坦克个性化设定!$B$18:$E$48,4,FALSE)&amp;$AX370,坦克属性分配比例,MATCH("升星次数",坦克属性分配比例标头,0),FALSE)*VLOOKUP($AW370,$AM$3:$AS$33,MATCH(BH$3,$AM$3:$AS$3,0),FALSE),1)</f>
        <v>12.1</v>
      </c>
      <c r="BI370" s="654">
        <f>IF(VLOOKUP(AW370,坦克个性化设定!$B$18:$BB$48,MATCH("装弹类型",坦克个性化设定!$B$18:$BB$18,0),FALSE)="弹夹换弹",0,ROUND(VLOOKUP($AW370,$AD$3:$AJ$33,MATCH("换弹时间",$AD$3:$AJ$3,0),FALSE)-$AY370/VLOOKUP(VLOOKUP($AW370,坦克个性化设定!$B$18:$E$48,4,FALSE)&amp;$AX370,坦克属性分配比例,MATCH("升星次数",坦克属性分配比例标头,0),FALSE)*VLOOKUP($AW370,$AM$3:$AS$33,MATCH("换弹时间",$AM$3:$AS$3,0),FALSE),2))</f>
        <v>4.76</v>
      </c>
      <c r="BJ370" s="654">
        <f>IF(VLOOKUP(AW370,坦克个性化设定!$B$18:$BB$48,MATCH("装弹类型",坦克个性化设定!$B$18:$BB$18,0),FALSE)="弹夹换弹",ROUND(VLOOKUP($AW370,$AD$3:$AJ$33,MATCH("换弹时间",$AD$3:$AJ$3,0),FALSE)-$AY370/VLOOKUP(VLOOKUP($AW370,坦克个性化设定!$B$18:$E$48,4,FALSE)&amp;$AX370,坦克属性分配比例,MATCH("升星次数",坦克属性分配比例标头,0),FALSE)*VLOOKUP($AW370,$AM$3:$AS$33,MATCH("换弹时间",$AM$3:$AS$3,0),FALSE),1),0)</f>
        <v>0</v>
      </c>
      <c r="BK370" s="654">
        <f>ROUND(VLOOKUP($AW370,$AD$3:$AJ$33,MATCH(BK$3,$AD$3:$AJ$3,0),FALSE)+$AY370/VLOOKUP(VLOOKUP($AW370,坦克个性化设定!$B$18:$E$48,4,FALSE)&amp;$AX370,坦克属性分配比例,MATCH("升星次数",坦克属性分配比例标头,0),FALSE)*VLOOKUP($AW370,$AM$3:$AS$33,MATCH(BK$3,$AM$3:$AS$3,0),FALSE),2)</f>
        <v>0</v>
      </c>
      <c r="BL370" s="654">
        <f>ROUND(VLOOKUP($AW370,$AD$3:$AJ$33,MATCH(BL$3,$AD$3:$AJ$3,0),FALSE)-$AY370/VLOOKUP(VLOOKUP($AW370,坦克个性化设定!$B$18:$E$48,4,FALSE)&amp;$AX370,坦克属性分配比例,MATCH("升星次数",坦克属性分配比例标头,0),FALSE)*VLOOKUP($AW370,$AM$3:$AS$33,MATCH(BL$3,$AM$3:$AS$3,0),FALSE),2)</f>
        <v>2.58</v>
      </c>
    </row>
    <row r="371" spans="47:64" x14ac:dyDescent="0.35">
      <c r="AU371" s="372" t="str">
        <f t="shared" si="33"/>
        <v>M1A211</v>
      </c>
      <c r="AV371" s="654">
        <f>IF(AY370&gt;=VLOOKUP(VLOOKUP(AW370,坦克个性化设定!$B$18:$E$48,4,FALSE)&amp;AX370,坦克属性分配比例,MATCH("升星次数",坦克属性分配比例标头,0),FALSE),AV370+1,AV370)</f>
        <v>30</v>
      </c>
      <c r="AW371" s="649" t="str">
        <f t="shared" si="34"/>
        <v>M1A2</v>
      </c>
      <c r="AX371" s="650" t="str">
        <f>VLOOKUP(AW371,坦克个性化细分!$I$3:$J$33,2,FALSE)</f>
        <v>低</v>
      </c>
      <c r="AY371" s="654">
        <f t="shared" si="35"/>
        <v>11</v>
      </c>
      <c r="AZ371" s="654">
        <f ca="1">ROUND(VLOOKUP($AW371&amp;"初始",$O$3:$AA$63,MATCH(AZ$3,$O$3:$AA$3,0),FALSE)+((VLOOKUP($AW371&amp;"最终",$O$3:$AA$63,MATCH(AZ$3,$O$3:$AA$3,0),FALSE)*坦克个性化细分!$C$9-VLOOKUP($AW371&amp;"初始",$O$3:$AA$63,MATCH(AZ$3,$O$3:$AA$3,0),FALSE))-(VLOOKUP($AW371&amp;"最终",$O$3:$AA$63,MATCH(AZ$3,$O$3:$AA$3,0),FALSE)-VLOOKUP($AW371&amp;"初始",$O$3:$AA$63,MATCH(AZ$3,$O$3:$AA$3,0),FALSE))*VLOOKUP(VLOOKUP($AW371,坦克个性化设定!$B$18:$E$48,4,FALSE)&amp;$AX371,坦克属性分配比例,MATCH("部件比例",坦克属性分配比例标头,0),FALSE))*$AY371/VLOOKUP(VLOOKUP($AW371,坦克个性化设定!$B$18:$E$48,4,FALSE)&amp;$AX371,坦克属性分配比例,MATCH("升星次数",坦克属性分配比例标头,0),FALSE),0)</f>
        <v>3386</v>
      </c>
      <c r="BA371" s="654">
        <f ca="1">ROUND(VLOOKUP($AW371&amp;"初始",$O$3:$AA$63,MATCH(BA$3,$O$3:$AA$3,0),FALSE)+(VLOOKUP($AW371&amp;"最终",$O$3:$AA$63,MATCH(BA$3,$O$3:$AA$3,0),FALSE)-VLOOKUP($AW371&amp;"初始",$O$3:$AA$63,MATCH(BA$3,$O$3:$AA$3,0),FALSE))*$AY371/VLOOKUP(VLOOKUP($AW371,坦克个性化设定!$B$18:$E$48,4,FALSE)&amp;$AX371,坦克属性分配比例,MATCH("升星次数",坦克属性分配比例标头,0),FALSE)*VLOOKUP(VLOOKUP($AW371,坦克个性化设定!$B$18:$E$48,4,FALSE)&amp;$AX371,坦克属性分配比例,MATCH("升星比例",坦克属性分配比例标头,0),FALSE),0)</f>
        <v>448</v>
      </c>
      <c r="BB371" s="654">
        <f ca="1">ROUND(VLOOKUP($AW371&amp;"初始",$O$3:$AA$63,MATCH(BB$3,$O$3:$AA$3,0),FALSE)+(VLOOKUP($AW371&amp;"最终",$O$3:$AA$63,MATCH(BB$3,$O$3:$AA$3,0),FALSE)-VLOOKUP($AW371&amp;"初始",$O$3:$AA$63,MATCH(BB$3,$O$3:$AA$3,0),FALSE))*$AY371/VLOOKUP(VLOOKUP($AW371,坦克个性化设定!$B$18:$E$48,4,FALSE)&amp;$AX371,坦克属性分配比例,MATCH("升星次数",坦克属性分配比例标头,0),FALSE)*(VLOOKUP(VLOOKUP($AW371,坦克个性化设定!$B$18:$E$48,4,FALSE)&amp;$AX371,坦克属性分配比例,MATCH("升星比例",坦克属性分配比例标头,0),FALSE)+VLOOKUP(VLOOKUP($AW371,坦克个性化设定!$B$18:$E$48,4,FALSE)&amp;$AX371,坦克属性分配比例,MATCH("部件比例",坦克属性分配比例标头,0),FALSE)*$C$3),0)</f>
        <v>961</v>
      </c>
      <c r="BC371" s="654">
        <f ca="1">ROUND(VLOOKUP($AW371&amp;"初始",$O$3:$AA$63,MATCH(BC$3,$O$3:$AA$3,0),FALSE)+(VLOOKUP($AW371&amp;"最终",$O$3:$AA$63,MATCH(BC$3,$O$3:$AA$3,0),FALSE)-VLOOKUP($AW371&amp;"初始",$O$3:$AA$63,MATCH(BC$3,$O$3:$AA$3,0),FALSE))*$AY371/VLOOKUP(VLOOKUP($AW371,坦克个性化设定!$B$18:$E$48,4,FALSE)&amp;$AX371,坦克属性分配比例,MATCH("升星次数",坦克属性分配比例标头,0),FALSE)*(VLOOKUP(VLOOKUP($AW371,坦克个性化设定!$B$18:$E$48,4,FALSE)&amp;$AX371,坦克属性分配比例,MATCH("升星比例",坦克属性分配比例标头,0),FALSE)+VLOOKUP(VLOOKUP($AW371,坦克个性化设定!$B$18:$E$48,4,FALSE)&amp;$AX371,坦克属性分配比例,MATCH("部件比例",坦克属性分配比例标头,0),FALSE)*$C$3),0)</f>
        <v>769</v>
      </c>
      <c r="BD371" s="654">
        <f ca="1">ROUND(VLOOKUP($AW371&amp;"初始",$O$3:$AA$63,MATCH(BD$3,$O$3:$AA$3,0),FALSE)+(VLOOKUP($AW371&amp;"最终",$O$3:$AA$63,MATCH(BD$3,$O$3:$AA$3,0),FALSE)-VLOOKUP($AW371&amp;"初始",$O$3:$AA$63,MATCH(BD$3,$O$3:$AA$3,0),FALSE))*$AY371/VLOOKUP(VLOOKUP($AW371,坦克个性化设定!$B$18:$E$48,4,FALSE)&amp;$AX371,坦克属性分配比例,MATCH("升星次数",坦克属性分配比例标头,0),FALSE)*VLOOKUP(VLOOKUP($AW371,坦克个性化设定!$B$18:$E$48,4,FALSE)&amp;$AX371,坦克属性分配比例,MATCH("升星比例",坦克属性分配比例标头,0),FALSE),0)</f>
        <v>1008</v>
      </c>
      <c r="BE371" s="654">
        <f ca="1">ROUND(VLOOKUP($AW371&amp;"初始",$O$3:$AA$63,MATCH(BE$3,$O$3:$AA$3,0),FALSE)+(VLOOKUP($AW371&amp;"最终",$O$3:$AA$63,MATCH(BE$3,$O$3:$AA$3,0),FALSE)-VLOOKUP($AW371&amp;"初始",$O$3:$AA$63,MATCH(BE$3,$O$3:$AA$3,0),FALSE))*$AY371/VLOOKUP(VLOOKUP($AW371,坦克个性化设定!$B$18:$E$48,4,FALSE)&amp;$AX371,坦克属性分配比例,MATCH("升星次数",坦克属性分配比例标头,0),FALSE),0)</f>
        <v>333</v>
      </c>
      <c r="BF371" s="654">
        <f>ROUND(VLOOKUP($AW371,$AD$3:$AJ$33,MATCH(BF$3,$AD$3:$AJ$3,0),FALSE)+$AY371/VLOOKUP(VLOOKUP($AW371,坦克个性化设定!$B$18:$E$48,4,FALSE)&amp;$AX371,坦克属性分配比例,MATCH("升星次数",坦克属性分配比例标头,0),FALSE)*VLOOKUP($AW371,$AM$3:$AS$33,MATCH(BF$3,$AM$3:$AS$3,0),FALSE),1)</f>
        <v>38.5</v>
      </c>
      <c r="BG371" s="654">
        <f>ROUND(VLOOKUP($AW371,$AD$3:$AJ$33,MATCH(BG$3,$AD$3:$AJ$3,0),FALSE)+$AY371/VLOOKUP(VLOOKUP($AW371,坦克个性化设定!$B$18:$E$48,4,FALSE)&amp;$AX371,坦克属性分配比例,MATCH("升星次数",坦克属性分配比例标头,0),FALSE)*VLOOKUP($AW371,$AM$3:$AS$33,MATCH(BG$3,$AM$3:$AS$3,0),FALSE),1)</f>
        <v>53.8</v>
      </c>
      <c r="BH371" s="654">
        <f>ROUND(VLOOKUP($AW371,$AD$3:$AJ$33,MATCH(BH$3,$AD$3:$AJ$3,0),FALSE)+$AY371/VLOOKUP(VLOOKUP($AW371,坦克个性化设定!$B$18:$E$48,4,FALSE)&amp;$AX371,坦克属性分配比例,MATCH("升星次数",坦克属性分配比例标头,0),FALSE)*VLOOKUP($AW371,$AM$3:$AS$33,MATCH(BH$3,$AM$3:$AS$3,0),FALSE),1)</f>
        <v>12.3</v>
      </c>
      <c r="BI371" s="654">
        <f>IF(VLOOKUP(AW371,坦克个性化设定!$B$18:$BB$48,MATCH("装弹类型",坦克个性化设定!$B$18:$BB$18,0),FALSE)="弹夹换弹",0,ROUND(VLOOKUP($AW371,$AD$3:$AJ$33,MATCH("换弹时间",$AD$3:$AJ$3,0),FALSE)-$AY371/VLOOKUP(VLOOKUP($AW371,坦克个性化设定!$B$18:$E$48,4,FALSE)&amp;$AX371,坦克属性分配比例,MATCH("升星次数",坦克属性分配比例标头,0),FALSE)*VLOOKUP($AW371,$AM$3:$AS$33,MATCH("换弹时间",$AM$3:$AS$3,0),FALSE),2))</f>
        <v>4.6399999999999997</v>
      </c>
      <c r="BJ371" s="654">
        <f>IF(VLOOKUP(AW371,坦克个性化设定!$B$18:$BB$48,MATCH("装弹类型",坦克个性化设定!$B$18:$BB$18,0),FALSE)="弹夹换弹",ROUND(VLOOKUP($AW371,$AD$3:$AJ$33,MATCH("换弹时间",$AD$3:$AJ$3,0),FALSE)-$AY371/VLOOKUP(VLOOKUP($AW371,坦克个性化设定!$B$18:$E$48,4,FALSE)&amp;$AX371,坦克属性分配比例,MATCH("升星次数",坦克属性分配比例标头,0),FALSE)*VLOOKUP($AW371,$AM$3:$AS$33,MATCH("换弹时间",$AM$3:$AS$3,0),FALSE),1),0)</f>
        <v>0</v>
      </c>
      <c r="BK371" s="654">
        <f>ROUND(VLOOKUP($AW371,$AD$3:$AJ$33,MATCH(BK$3,$AD$3:$AJ$3,0),FALSE)+$AY371/VLOOKUP(VLOOKUP($AW371,坦克个性化设定!$B$18:$E$48,4,FALSE)&amp;$AX371,坦克属性分配比例,MATCH("升星次数",坦克属性分配比例标头,0),FALSE)*VLOOKUP($AW371,$AM$3:$AS$33,MATCH(BK$3,$AM$3:$AS$3,0),FALSE),2)</f>
        <v>0</v>
      </c>
      <c r="BL371" s="654">
        <f>ROUND(VLOOKUP($AW371,$AD$3:$AJ$33,MATCH(BL$3,$AD$3:$AJ$3,0),FALSE)-$AY371/VLOOKUP(VLOOKUP($AW371,坦克个性化设定!$B$18:$E$48,4,FALSE)&amp;$AX371,坦克属性分配比例,MATCH("升星次数",坦克属性分配比例标头,0),FALSE)*VLOOKUP($AW371,$AM$3:$AS$33,MATCH(BL$3,$AM$3:$AS$3,0),FALSE),2)</f>
        <v>2.54</v>
      </c>
    </row>
    <row r="372" spans="47:64" x14ac:dyDescent="0.35">
      <c r="AU372" s="372" t="str">
        <f t="shared" si="33"/>
        <v>M1A212</v>
      </c>
      <c r="AV372" s="654">
        <f>IF(AY371&gt;=VLOOKUP(VLOOKUP(AW371,坦克个性化设定!$B$18:$E$48,4,FALSE)&amp;AX371,坦克属性分配比例,MATCH("升星次数",坦克属性分配比例标头,0),FALSE),AV371+1,AV371)</f>
        <v>30</v>
      </c>
      <c r="AW372" s="649" t="str">
        <f t="shared" si="34"/>
        <v>M1A2</v>
      </c>
      <c r="AX372" s="650" t="str">
        <f>VLOOKUP(AW372,坦克个性化细分!$I$3:$J$33,2,FALSE)</f>
        <v>低</v>
      </c>
      <c r="AY372" s="654">
        <f t="shared" si="35"/>
        <v>12</v>
      </c>
      <c r="AZ372" s="654">
        <f ca="1">ROUND(VLOOKUP($AW372&amp;"初始",$O$3:$AA$63,MATCH(AZ$3,$O$3:$AA$3,0),FALSE)+((VLOOKUP($AW372&amp;"最终",$O$3:$AA$63,MATCH(AZ$3,$O$3:$AA$3,0),FALSE)*坦克个性化细分!$C$9-VLOOKUP($AW372&amp;"初始",$O$3:$AA$63,MATCH(AZ$3,$O$3:$AA$3,0),FALSE))-(VLOOKUP($AW372&amp;"最终",$O$3:$AA$63,MATCH(AZ$3,$O$3:$AA$3,0),FALSE)-VLOOKUP($AW372&amp;"初始",$O$3:$AA$63,MATCH(AZ$3,$O$3:$AA$3,0),FALSE))*VLOOKUP(VLOOKUP($AW372,坦克个性化设定!$B$18:$E$48,4,FALSE)&amp;$AX372,坦克属性分配比例,MATCH("部件比例",坦克属性分配比例标头,0),FALSE))*$AY372/VLOOKUP(VLOOKUP($AW372,坦克个性化设定!$B$18:$E$48,4,FALSE)&amp;$AX372,坦克属性分配比例,MATCH("升星次数",坦克属性分配比例标头,0),FALSE),0)</f>
        <v>3475</v>
      </c>
      <c r="BA372" s="654">
        <f ca="1">ROUND(VLOOKUP($AW372&amp;"初始",$O$3:$AA$63,MATCH(BA$3,$O$3:$AA$3,0),FALSE)+(VLOOKUP($AW372&amp;"最终",$O$3:$AA$63,MATCH(BA$3,$O$3:$AA$3,0),FALSE)-VLOOKUP($AW372&amp;"初始",$O$3:$AA$63,MATCH(BA$3,$O$3:$AA$3,0),FALSE))*$AY372/VLOOKUP(VLOOKUP($AW372,坦克个性化设定!$B$18:$E$48,4,FALSE)&amp;$AX372,坦克属性分配比例,MATCH("升星次数",坦克属性分配比例标头,0),FALSE)*VLOOKUP(VLOOKUP($AW372,坦克个性化设定!$B$18:$E$48,4,FALSE)&amp;$AX372,坦克属性分配比例,MATCH("升星比例",坦克属性分配比例标头,0),FALSE),0)</f>
        <v>448</v>
      </c>
      <c r="BB372" s="654">
        <f ca="1">ROUND(VLOOKUP($AW372&amp;"初始",$O$3:$AA$63,MATCH(BB$3,$O$3:$AA$3,0),FALSE)+(VLOOKUP($AW372&amp;"最终",$O$3:$AA$63,MATCH(BB$3,$O$3:$AA$3,0),FALSE)-VLOOKUP($AW372&amp;"初始",$O$3:$AA$63,MATCH(BB$3,$O$3:$AA$3,0),FALSE))*$AY372/VLOOKUP(VLOOKUP($AW372,坦克个性化设定!$B$18:$E$48,4,FALSE)&amp;$AX372,坦克属性分配比例,MATCH("升星次数",坦克属性分配比例标头,0),FALSE)*(VLOOKUP(VLOOKUP($AW372,坦克个性化设定!$B$18:$E$48,4,FALSE)&amp;$AX372,坦克属性分配比例,MATCH("升星比例",坦克属性分配比例标头,0),FALSE)+VLOOKUP(VLOOKUP($AW372,坦克个性化设定!$B$18:$E$48,4,FALSE)&amp;$AX372,坦克属性分配比例,MATCH("部件比例",坦克属性分配比例标头,0),FALSE)*$C$3),0)</f>
        <v>980</v>
      </c>
      <c r="BC372" s="654">
        <f ca="1">ROUND(VLOOKUP($AW372&amp;"初始",$O$3:$AA$63,MATCH(BC$3,$O$3:$AA$3,0),FALSE)+(VLOOKUP($AW372&amp;"最终",$O$3:$AA$63,MATCH(BC$3,$O$3:$AA$3,0),FALSE)-VLOOKUP($AW372&amp;"初始",$O$3:$AA$63,MATCH(BC$3,$O$3:$AA$3,0),FALSE))*$AY372/VLOOKUP(VLOOKUP($AW372,坦克个性化设定!$B$18:$E$48,4,FALSE)&amp;$AX372,坦克属性分配比例,MATCH("升星次数",坦克属性分配比例标头,0),FALSE)*(VLOOKUP(VLOOKUP($AW372,坦克个性化设定!$B$18:$E$48,4,FALSE)&amp;$AX372,坦克属性分配比例,MATCH("升星比例",坦克属性分配比例标头,0),FALSE)+VLOOKUP(VLOOKUP($AW372,坦克个性化设定!$B$18:$E$48,4,FALSE)&amp;$AX372,坦克属性分配比例,MATCH("部件比例",坦克属性分配比例标头,0),FALSE)*$C$3),0)</f>
        <v>784</v>
      </c>
      <c r="BD372" s="654">
        <f ca="1">ROUND(VLOOKUP($AW372&amp;"初始",$O$3:$AA$63,MATCH(BD$3,$O$3:$AA$3,0),FALSE)+(VLOOKUP($AW372&amp;"最终",$O$3:$AA$63,MATCH(BD$3,$O$3:$AA$3,0),FALSE)-VLOOKUP($AW372&amp;"初始",$O$3:$AA$63,MATCH(BD$3,$O$3:$AA$3,0),FALSE))*$AY372/VLOOKUP(VLOOKUP($AW372,坦克个性化设定!$B$18:$E$48,4,FALSE)&amp;$AX372,坦克属性分配比例,MATCH("升星次数",坦克属性分配比例标头,0),FALSE)*VLOOKUP(VLOOKUP($AW372,坦克个性化设定!$B$18:$E$48,4,FALSE)&amp;$AX372,坦克属性分配比例,MATCH("升星比例",坦克属性分配比例标头,0),FALSE),0)</f>
        <v>1008</v>
      </c>
      <c r="BE372" s="654">
        <f ca="1">ROUND(VLOOKUP($AW372&amp;"初始",$O$3:$AA$63,MATCH(BE$3,$O$3:$AA$3,0),FALSE)+(VLOOKUP($AW372&amp;"最终",$O$3:$AA$63,MATCH(BE$3,$O$3:$AA$3,0),FALSE)-VLOOKUP($AW372&amp;"初始",$O$3:$AA$63,MATCH(BE$3,$O$3:$AA$3,0),FALSE))*$AY372/VLOOKUP(VLOOKUP($AW372,坦克个性化设定!$B$18:$E$48,4,FALSE)&amp;$AX372,坦克属性分配比例,MATCH("升星次数",坦克属性分配比例标头,0),FALSE),0)</f>
        <v>342</v>
      </c>
      <c r="BF372" s="654">
        <f>ROUND(VLOOKUP($AW372,$AD$3:$AJ$33,MATCH(BF$3,$AD$3:$AJ$3,0),FALSE)+$AY372/VLOOKUP(VLOOKUP($AW372,坦克个性化设定!$B$18:$E$48,4,FALSE)&amp;$AX372,坦克属性分配比例,MATCH("升星次数",坦克属性分配比例标头,0),FALSE)*VLOOKUP($AW372,$AM$3:$AS$33,MATCH(BF$3,$AM$3:$AS$3,0),FALSE),1)</f>
        <v>39.1</v>
      </c>
      <c r="BG372" s="654">
        <f>ROUND(VLOOKUP($AW372,$AD$3:$AJ$33,MATCH(BG$3,$AD$3:$AJ$3,0),FALSE)+$AY372/VLOOKUP(VLOOKUP($AW372,坦克个性化设定!$B$18:$E$48,4,FALSE)&amp;$AX372,坦克属性分配比例,MATCH("升星次数",坦克属性分配比例标头,0),FALSE)*VLOOKUP($AW372,$AM$3:$AS$33,MATCH(BG$3,$AM$3:$AS$3,0),FALSE),1)</f>
        <v>54.8</v>
      </c>
      <c r="BH372" s="654">
        <f>ROUND(VLOOKUP($AW372,$AD$3:$AJ$33,MATCH(BH$3,$AD$3:$AJ$3,0),FALSE)+$AY372/VLOOKUP(VLOOKUP($AW372,坦克个性化设定!$B$18:$E$48,4,FALSE)&amp;$AX372,坦克属性分配比例,MATCH("升星次数",坦克属性分配比例标头,0),FALSE)*VLOOKUP($AW372,$AM$3:$AS$33,MATCH(BH$3,$AM$3:$AS$3,0),FALSE),1)</f>
        <v>12.6</v>
      </c>
      <c r="BI372" s="654">
        <f>IF(VLOOKUP(AW372,坦克个性化设定!$B$18:$BB$48,MATCH("装弹类型",坦克个性化设定!$B$18:$BB$18,0),FALSE)="弹夹换弹",0,ROUND(VLOOKUP($AW372,$AD$3:$AJ$33,MATCH("换弹时间",$AD$3:$AJ$3,0),FALSE)-$AY372/VLOOKUP(VLOOKUP($AW372,坦克个性化设定!$B$18:$E$48,4,FALSE)&amp;$AX372,坦克属性分配比例,MATCH("升星次数",坦克属性分配比例标头,0),FALSE)*VLOOKUP($AW372,$AM$3:$AS$33,MATCH("换弹时间",$AM$3:$AS$3,0),FALSE),2))</f>
        <v>4.51</v>
      </c>
      <c r="BJ372" s="654">
        <f>IF(VLOOKUP(AW372,坦克个性化设定!$B$18:$BB$48,MATCH("装弹类型",坦克个性化设定!$B$18:$BB$18,0),FALSE)="弹夹换弹",ROUND(VLOOKUP($AW372,$AD$3:$AJ$33,MATCH("换弹时间",$AD$3:$AJ$3,0),FALSE)-$AY372/VLOOKUP(VLOOKUP($AW372,坦克个性化设定!$B$18:$E$48,4,FALSE)&amp;$AX372,坦克属性分配比例,MATCH("升星次数",坦克属性分配比例标头,0),FALSE)*VLOOKUP($AW372,$AM$3:$AS$33,MATCH("换弹时间",$AM$3:$AS$3,0),FALSE),1),0)</f>
        <v>0</v>
      </c>
      <c r="BK372" s="654">
        <f>ROUND(VLOOKUP($AW372,$AD$3:$AJ$33,MATCH(BK$3,$AD$3:$AJ$3,0),FALSE)+$AY372/VLOOKUP(VLOOKUP($AW372,坦克个性化设定!$B$18:$E$48,4,FALSE)&amp;$AX372,坦克属性分配比例,MATCH("升星次数",坦克属性分配比例标头,0),FALSE)*VLOOKUP($AW372,$AM$3:$AS$33,MATCH(BK$3,$AM$3:$AS$3,0),FALSE),2)</f>
        <v>0</v>
      </c>
      <c r="BL372" s="654">
        <f>ROUND(VLOOKUP($AW372,$AD$3:$AJ$33,MATCH(BL$3,$AD$3:$AJ$3,0),FALSE)-$AY372/VLOOKUP(VLOOKUP($AW372,坦克个性化设定!$B$18:$E$48,4,FALSE)&amp;$AX372,坦克属性分配比例,MATCH("升星次数",坦克属性分配比例标头,0),FALSE)*VLOOKUP($AW372,$AM$3:$AS$33,MATCH(BL$3,$AM$3:$AS$3,0),FALSE),2)</f>
        <v>2.5</v>
      </c>
    </row>
  </sheetData>
  <mergeCells count="6">
    <mergeCell ref="BN2:BV2"/>
    <mergeCell ref="E2:M2"/>
    <mergeCell ref="AL2:AS2"/>
    <mergeCell ref="AC2:AJ2"/>
    <mergeCell ref="AU2:BL2"/>
    <mergeCell ref="O2:AA2"/>
  </mergeCells>
  <phoneticPr fontId="101"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1"/>
  <dimension ref="B2:BB117"/>
  <sheetViews>
    <sheetView workbookViewId="0">
      <selection activeCell="D10" sqref="D10"/>
    </sheetView>
  </sheetViews>
  <sheetFormatPr defaultColWidth="9" defaultRowHeight="13" x14ac:dyDescent="0.35"/>
  <cols>
    <col min="1" max="16384" width="9" style="76"/>
  </cols>
  <sheetData>
    <row r="2" spans="2:24" x14ac:dyDescent="0.35">
      <c r="B2" s="787" t="s">
        <v>542</v>
      </c>
      <c r="C2" s="787"/>
      <c r="D2" s="787"/>
      <c r="E2" s="787"/>
      <c r="F2" s="787"/>
      <c r="G2" s="787"/>
      <c r="H2" s="787"/>
      <c r="I2" s="787"/>
      <c r="J2" s="787"/>
      <c r="L2" s="793" t="s">
        <v>671</v>
      </c>
      <c r="M2" s="793"/>
    </row>
    <row r="3" spans="2:24" x14ac:dyDescent="0.35">
      <c r="B3" s="77" t="s">
        <v>492</v>
      </c>
      <c r="C3" s="77" t="s">
        <v>504</v>
      </c>
      <c r="D3" s="77" t="s">
        <v>408</v>
      </c>
      <c r="E3" s="77" t="s">
        <v>392</v>
      </c>
      <c r="F3" s="77" t="s">
        <v>651</v>
      </c>
      <c r="G3" s="77" t="s">
        <v>394</v>
      </c>
      <c r="H3" s="77" t="s">
        <v>393</v>
      </c>
      <c r="I3" s="77" t="s">
        <v>409</v>
      </c>
      <c r="J3" s="77" t="s">
        <v>395</v>
      </c>
      <c r="L3" s="91" t="s">
        <v>674</v>
      </c>
      <c r="M3" s="91" t="s">
        <v>675</v>
      </c>
    </row>
    <row r="4" spans="2:24" x14ac:dyDescent="0.35">
      <c r="B4" s="77" t="s">
        <v>493</v>
      </c>
      <c r="C4" s="77" t="s">
        <v>505</v>
      </c>
      <c r="D4" s="81">
        <v>1</v>
      </c>
      <c r="E4" s="81">
        <v>1</v>
      </c>
      <c r="F4" s="81">
        <v>1</v>
      </c>
      <c r="G4" s="81">
        <v>1</v>
      </c>
      <c r="H4" s="81">
        <v>1</v>
      </c>
      <c r="I4" s="81">
        <v>1</v>
      </c>
      <c r="J4" s="81">
        <v>1</v>
      </c>
      <c r="L4" s="91" t="s">
        <v>672</v>
      </c>
      <c r="M4" s="8">
        <v>0.8</v>
      </c>
    </row>
    <row r="5" spans="2:24" x14ac:dyDescent="0.35">
      <c r="B5" s="471" t="s">
        <v>2123</v>
      </c>
      <c r="C5" s="77" t="s">
        <v>506</v>
      </c>
      <c r="D5" s="81">
        <f>1/VLOOKUP(D$3,标准坦克设计!$B$39:$H$46,5,FALSE)</f>
        <v>0.94100261010648312</v>
      </c>
      <c r="E5" s="81">
        <f>1/VLOOKUP(E$3,标准坦克设计!$B$39:$H$46,5,FALSE)</f>
        <v>0.8950111095454949</v>
      </c>
      <c r="F5" s="81">
        <f>1/VLOOKUP(F$3,标准坦克设计!$B$39:$H$46,5,FALSE)</f>
        <v>0.85425119964471119</v>
      </c>
      <c r="G5" s="81">
        <f>1/VLOOKUP(G$3,标准坦克设计!$B$39:$H$46,5,FALSE)</f>
        <v>0.95032055609776844</v>
      </c>
      <c r="H5" s="81">
        <f>1/VLOOKUP(H$3,标准坦克设计!$B$39:$H$46,5,FALSE)</f>
        <v>0.88488009626735864</v>
      </c>
      <c r="I5" s="81">
        <f>1/VLOOKUP(I$3,标准坦克设计!$B$39:$H$46,5,FALSE)</f>
        <v>0.94333410907982496</v>
      </c>
      <c r="J5" s="81">
        <f>1/VLOOKUP(J$3,标准坦克设计!$B$39:$H$46,5,FALSE)</f>
        <v>0.89904428547339865</v>
      </c>
      <c r="L5" s="91" t="s">
        <v>673</v>
      </c>
      <c r="M5" s="8">
        <f>1-M4</f>
        <v>0.19999999999999996</v>
      </c>
    </row>
    <row r="6" spans="2:24" x14ac:dyDescent="0.35">
      <c r="B6" s="77" t="s">
        <v>494</v>
      </c>
      <c r="C6" s="77" t="s">
        <v>506</v>
      </c>
      <c r="D6" s="81">
        <f>VLOOKUP(D$3,标准坦克设计!$B$3:$C$10,2,FALSE)*1%</f>
        <v>1.0500000000000001E-2</v>
      </c>
      <c r="E6" s="81">
        <f>VLOOKUP(E$3,标准坦克设计!$B$3:$C$10,2,FALSE)*1%</f>
        <v>1.15E-2</v>
      </c>
      <c r="F6" s="81">
        <f>VLOOKUP(F$3,标准坦克设计!$B$3:$C$10,2,FALSE)*1%</f>
        <v>1.2500000000000001E-2</v>
      </c>
      <c r="G6" s="81">
        <f>VLOOKUP(G$3,标准坦克设计!$B$3:$C$10,2,FALSE)*1%</f>
        <v>0.01</v>
      </c>
      <c r="H6" s="81">
        <f>VLOOKUP(H$3,标准坦克设计!$B$3:$C$10,2,FALSE)*1%</f>
        <v>1.15E-2</v>
      </c>
      <c r="I6" s="81">
        <f>VLOOKUP(I$3,标准坦克设计!$B$3:$C$10,2,FALSE)*1%</f>
        <v>0.01</v>
      </c>
      <c r="J6" s="81">
        <f>VLOOKUP(J$3,标准坦克设计!$B$3:$C$10,2,FALSE)*1%</f>
        <v>1.1000000000000001E-2</v>
      </c>
    </row>
    <row r="7" spans="2:24" x14ac:dyDescent="0.35">
      <c r="B7" s="77" t="s">
        <v>495</v>
      </c>
      <c r="C7" s="77" t="s">
        <v>506</v>
      </c>
      <c r="D7" s="81">
        <f>D6</f>
        <v>1.0500000000000001E-2</v>
      </c>
      <c r="E7" s="81">
        <f t="shared" ref="E7:J7" si="0">E6</f>
        <v>1.15E-2</v>
      </c>
      <c r="F7" s="81">
        <f t="shared" si="0"/>
        <v>1.2500000000000001E-2</v>
      </c>
      <c r="G7" s="81">
        <f t="shared" si="0"/>
        <v>0.01</v>
      </c>
      <c r="H7" s="81">
        <f t="shared" si="0"/>
        <v>1.15E-2</v>
      </c>
      <c r="I7" s="81">
        <f t="shared" si="0"/>
        <v>0.01</v>
      </c>
      <c r="J7" s="81">
        <f t="shared" si="0"/>
        <v>1.1000000000000001E-2</v>
      </c>
    </row>
    <row r="8" spans="2:24" x14ac:dyDescent="0.35">
      <c r="B8" s="471" t="s">
        <v>2122</v>
      </c>
      <c r="C8" s="77" t="s">
        <v>505</v>
      </c>
      <c r="D8" s="81">
        <f>D6</f>
        <v>1.0500000000000001E-2</v>
      </c>
      <c r="E8" s="81">
        <f t="shared" ref="E8:J8" si="1">E6</f>
        <v>1.15E-2</v>
      </c>
      <c r="F8" s="81">
        <f t="shared" si="1"/>
        <v>1.2500000000000001E-2</v>
      </c>
      <c r="G8" s="81">
        <f t="shared" si="1"/>
        <v>0.01</v>
      </c>
      <c r="H8" s="81">
        <f t="shared" si="1"/>
        <v>1.15E-2</v>
      </c>
      <c r="I8" s="81">
        <f t="shared" si="1"/>
        <v>0.01</v>
      </c>
      <c r="J8" s="81">
        <f t="shared" si="1"/>
        <v>1.1000000000000001E-2</v>
      </c>
    </row>
    <row r="9" spans="2:24" x14ac:dyDescent="0.35">
      <c r="B9" s="77" t="s">
        <v>95</v>
      </c>
      <c r="C9" s="77" t="s">
        <v>506</v>
      </c>
      <c r="D9" s="53">
        <v>0.2</v>
      </c>
      <c r="E9" s="81">
        <f t="shared" ref="E9:J9" si="2">D9</f>
        <v>0.2</v>
      </c>
      <c r="F9" s="81">
        <f t="shared" si="2"/>
        <v>0.2</v>
      </c>
      <c r="G9" s="81">
        <f t="shared" si="2"/>
        <v>0.2</v>
      </c>
      <c r="H9" s="81">
        <f t="shared" si="2"/>
        <v>0.2</v>
      </c>
      <c r="I9" s="81">
        <f t="shared" si="2"/>
        <v>0.2</v>
      </c>
      <c r="J9" s="81">
        <f t="shared" si="2"/>
        <v>0.2</v>
      </c>
    </row>
    <row r="10" spans="2:24" x14ac:dyDescent="0.35">
      <c r="B10" s="77" t="s">
        <v>497</v>
      </c>
      <c r="C10" s="77" t="s">
        <v>506</v>
      </c>
      <c r="D10" s="81">
        <f>VLOOKUP(D$3,坦克等级成长!$B$80:$X$87,23,FALSE)</f>
        <v>0.5442156207601806</v>
      </c>
      <c r="E10" s="81">
        <f>VLOOKUP(E$3,坦克等级成长!$B$80:$X$87,23,FALSE)</f>
        <v>0.11496214409407594</v>
      </c>
      <c r="F10" s="81">
        <f>VLOOKUP(F$3,坦克等级成长!$B$80:$X$87,23,FALSE)</f>
        <v>0.33333333333333331</v>
      </c>
      <c r="G10" s="81">
        <f>VLOOKUP(G$3,坦克等级成长!$B$80:$X$87,23,FALSE)</f>
        <v>0.13625841750841752</v>
      </c>
      <c r="H10" s="81">
        <f>VLOOKUP(H$3,坦克等级成长!$B$80:$X$87,23,FALSE)</f>
        <v>0.22222222222222221</v>
      </c>
      <c r="I10" s="81">
        <f>VLOOKUP(I$3,坦克等级成长!$B$80:$X$87,23,FALSE)</f>
        <v>0.17636684303350969</v>
      </c>
      <c r="J10" s="81">
        <f>VLOOKUP(J$3,坦克等级成长!$B$80:$X$87,23,FALSE)</f>
        <v>0.16666666666666666</v>
      </c>
    </row>
    <row r="11" spans="2:24" x14ac:dyDescent="0.35">
      <c r="B11" s="77" t="s">
        <v>498</v>
      </c>
      <c r="C11" s="77" t="s">
        <v>506</v>
      </c>
      <c r="D11" s="81">
        <f>VLOOKUP(D$3,坦克等级成长!$B$90:$Y$97,24,FALSE)</f>
        <v>0.89108910891089099</v>
      </c>
      <c r="E11" s="81">
        <f>VLOOKUP(E$3,坦克等级成长!$B$90:$Y$97,24,FALSE)</f>
        <v>0.84337349397590378</v>
      </c>
      <c r="F11" s="81">
        <f>VLOOKUP(F$3,坦克等级成长!$B$90:$Y$97,24,FALSE)</f>
        <v>0</v>
      </c>
      <c r="G11" s="81">
        <f>VLOOKUP(G$3,坦克等级成长!$B$90:$Y$97,24,FALSE)</f>
        <v>0.84337349397590322</v>
      </c>
      <c r="H11" s="81">
        <f>VLOOKUP(H$3,坦克等级成长!$B$90:$Y$97,24,FALSE)</f>
        <v>0.8</v>
      </c>
      <c r="I11" s="81">
        <f>VLOOKUP(I$3,坦克等级成长!$B$90:$Y$97,24,FALSE)</f>
        <v>0.60820367751060833</v>
      </c>
      <c r="J11" s="81">
        <f>VLOOKUP(J$3,坦克等级成长!$B$90:$Y$97,24,FALSE)</f>
        <v>0</v>
      </c>
    </row>
    <row r="12" spans="2:24" x14ac:dyDescent="0.35">
      <c r="B12" s="77" t="s">
        <v>499</v>
      </c>
      <c r="C12" s="77" t="s">
        <v>505</v>
      </c>
      <c r="D12" s="81">
        <f>VLOOKUP(LEFT(D3,2),坦克类型系数!$BZ$45:$CM$48,14,FALSE)</f>
        <v>0.72868457958848332</v>
      </c>
      <c r="E12" s="81">
        <f>VLOOKUP(LEFT(E3,2),坦克类型系数!$BZ$45:$CM$48,14,FALSE)</f>
        <v>0.72868457958848332</v>
      </c>
      <c r="F12" s="81">
        <f>VLOOKUP(LEFT(F3,2),坦克类型系数!$BZ$45:$CM$48,14,FALSE)</f>
        <v>0.72868457958848332</v>
      </c>
      <c r="G12" s="81">
        <f>VLOOKUP(LEFT(G3,2),坦克类型系数!$BZ$45:$CM$48,14,FALSE)</f>
        <v>0.5520295744664252</v>
      </c>
      <c r="H12" s="81">
        <f>VLOOKUP(LEFT(H3,2),坦克类型系数!$BZ$45:$CM$48,14,FALSE)</f>
        <v>0.5520295744664252</v>
      </c>
      <c r="I12" s="81">
        <f>VLOOKUP(LEFT(I3,2),坦克类型系数!$BZ$45:$CM$48,14,FALSE)</f>
        <v>0.44820622165623236</v>
      </c>
      <c r="J12" s="81">
        <f>VLOOKUP(LEFT(J3,2),坦克类型系数!$BZ$45:$CM$48,14,FALSE)</f>
        <v>0.44820622165623236</v>
      </c>
    </row>
    <row r="13" spans="2:24" x14ac:dyDescent="0.35">
      <c r="B13" s="77" t="s">
        <v>500</v>
      </c>
      <c r="C13" s="77" t="s">
        <v>505</v>
      </c>
      <c r="D13" s="81">
        <v>1</v>
      </c>
      <c r="E13" s="81">
        <v>1</v>
      </c>
      <c r="F13" s="81">
        <v>1</v>
      </c>
      <c r="G13" s="81">
        <v>1</v>
      </c>
      <c r="H13" s="81">
        <v>1</v>
      </c>
      <c r="I13" s="81">
        <v>1</v>
      </c>
      <c r="J13" s="81">
        <v>1</v>
      </c>
    </row>
    <row r="14" spans="2:24" x14ac:dyDescent="0.35">
      <c r="B14" s="77" t="s">
        <v>496</v>
      </c>
      <c r="C14" s="77" t="s">
        <v>506</v>
      </c>
      <c r="D14" s="81">
        <v>0.5</v>
      </c>
      <c r="E14" s="81">
        <v>0.5</v>
      </c>
      <c r="F14" s="81">
        <v>0.5</v>
      </c>
      <c r="G14" s="81">
        <v>0.5</v>
      </c>
      <c r="H14" s="81">
        <v>0.5</v>
      </c>
      <c r="I14" s="81">
        <v>0.5</v>
      </c>
      <c r="J14" s="81">
        <v>0.5</v>
      </c>
    </row>
    <row r="15" spans="2:24" x14ac:dyDescent="0.35">
      <c r="B15" s="77" t="s">
        <v>661</v>
      </c>
      <c r="C15" s="77" t="s">
        <v>505</v>
      </c>
      <c r="D15" s="81">
        <f>VLOOKUP(D$3,坦克等级成长!$B$70:$X$77,23,FALSE)</f>
        <v>5.9524532733936784E-2</v>
      </c>
      <c r="E15" s="81">
        <f>VLOOKUP(E$3,坦克等级成长!$B$70:$X$77,23,FALSE)</f>
        <v>0.13786924610366069</v>
      </c>
      <c r="F15" s="81">
        <f>VLOOKUP(F$3,坦克等级成长!$B$70:$X$77,23,FALSE)</f>
        <v>0</v>
      </c>
      <c r="G15" s="81">
        <f>VLOOKUP(G$3,坦克等级成长!$B$70:$X$77,23,FALSE)</f>
        <v>5.6870791245791197E-2</v>
      </c>
      <c r="H15" s="81">
        <f>VLOOKUP(H$3,坦克等级成长!$B$70:$X$77,23,FALSE)</f>
        <v>0</v>
      </c>
      <c r="I15" s="81">
        <f>VLOOKUP(I$3,坦克等级成长!$B$70:$X$77,23,FALSE)</f>
        <v>1.146384479717813E-2</v>
      </c>
      <c r="J15" s="81">
        <f>VLOOKUP(J$3,坦克等级成长!$B$70:$X$77,23,FALSE)</f>
        <v>0</v>
      </c>
      <c r="X15" s="82"/>
    </row>
    <row r="16" spans="2:24" x14ac:dyDescent="0.35">
      <c r="X16" s="82"/>
    </row>
    <row r="17" spans="2:54" x14ac:dyDescent="0.35">
      <c r="B17" s="793" t="s">
        <v>715</v>
      </c>
      <c r="C17" s="787"/>
      <c r="D17" s="787"/>
      <c r="E17" s="787"/>
      <c r="F17" s="787"/>
      <c r="G17" s="787"/>
      <c r="H17" s="787"/>
      <c r="I17" s="787"/>
      <c r="J17" s="787"/>
      <c r="K17" s="787"/>
      <c r="L17" s="787"/>
      <c r="M17" s="787"/>
      <c r="N17" s="787"/>
      <c r="O17" s="787"/>
      <c r="P17" s="787"/>
      <c r="Q17" s="787"/>
      <c r="R17" s="787"/>
      <c r="S17" s="787"/>
      <c r="T17" s="787"/>
      <c r="U17" s="787"/>
      <c r="V17" s="787"/>
      <c r="W17" s="787"/>
      <c r="X17" s="787"/>
      <c r="Y17" s="787"/>
      <c r="Z17" s="787"/>
      <c r="AA17" s="787"/>
      <c r="AB17" s="787"/>
      <c r="AC17" s="787"/>
      <c r="AD17" s="787"/>
      <c r="AE17" s="787"/>
      <c r="AF17" s="787"/>
      <c r="AG17" s="787"/>
      <c r="AH17" s="787"/>
      <c r="AI17" s="787"/>
      <c r="AJ17" s="787"/>
      <c r="AK17" s="787"/>
      <c r="AL17" s="787"/>
      <c r="AM17" s="787"/>
      <c r="AN17" s="787"/>
      <c r="AO17" s="787"/>
      <c r="AP17" s="787"/>
      <c r="AQ17" s="787"/>
      <c r="AR17" s="787"/>
      <c r="AS17" s="787"/>
      <c r="AT17" s="787"/>
      <c r="AU17" s="787"/>
      <c r="AV17" s="787"/>
      <c r="AW17" s="787"/>
      <c r="AX17" s="787"/>
      <c r="AY17" s="787"/>
      <c r="AZ17" s="787"/>
      <c r="BA17" s="787"/>
      <c r="BB17" s="787"/>
    </row>
    <row r="18" spans="2:54" x14ac:dyDescent="0.35">
      <c r="B18" s="77" t="s">
        <v>571</v>
      </c>
      <c r="C18" s="77" t="s">
        <v>570</v>
      </c>
      <c r="D18" s="77" t="s">
        <v>574</v>
      </c>
      <c r="E18" s="77" t="s">
        <v>576</v>
      </c>
      <c r="F18" s="77" t="s">
        <v>644</v>
      </c>
      <c r="G18" s="77" t="s">
        <v>386</v>
      </c>
      <c r="H18" s="77" t="s">
        <v>387</v>
      </c>
      <c r="I18" s="77" t="s">
        <v>388</v>
      </c>
      <c r="J18" s="93" t="s">
        <v>575</v>
      </c>
      <c r="K18" s="77" t="s">
        <v>385</v>
      </c>
      <c r="L18" s="77" t="s">
        <v>649</v>
      </c>
      <c r="M18" s="77" t="s">
        <v>650</v>
      </c>
      <c r="N18" s="77" t="s">
        <v>389</v>
      </c>
      <c r="O18" s="77" t="s">
        <v>652</v>
      </c>
      <c r="P18" s="77" t="s">
        <v>653</v>
      </c>
      <c r="Q18" s="93" t="s">
        <v>654</v>
      </c>
      <c r="R18" s="77" t="s">
        <v>655</v>
      </c>
      <c r="S18" s="77" t="s">
        <v>656</v>
      </c>
      <c r="T18" s="77" t="s">
        <v>657</v>
      </c>
      <c r="U18" s="93" t="s">
        <v>662</v>
      </c>
      <c r="V18" s="77" t="s">
        <v>391</v>
      </c>
      <c r="W18" s="77" t="s">
        <v>663</v>
      </c>
      <c r="X18" s="91" t="s">
        <v>664</v>
      </c>
      <c r="Y18" s="91" t="s">
        <v>670</v>
      </c>
      <c r="Z18" s="91" t="s">
        <v>665</v>
      </c>
      <c r="AA18" s="91" t="s">
        <v>666</v>
      </c>
      <c r="AB18" s="91" t="s">
        <v>667</v>
      </c>
      <c r="AC18" s="91" t="s">
        <v>668</v>
      </c>
      <c r="AD18" s="91" t="s">
        <v>676</v>
      </c>
      <c r="AE18" s="91" t="s">
        <v>669</v>
      </c>
      <c r="AF18" s="91" t="s">
        <v>685</v>
      </c>
      <c r="AG18" s="94" t="s">
        <v>686</v>
      </c>
      <c r="AH18" s="91" t="s">
        <v>678</v>
      </c>
      <c r="AI18" s="91" t="s">
        <v>679</v>
      </c>
      <c r="AJ18" s="91" t="s">
        <v>680</v>
      </c>
      <c r="AK18" s="91" t="s">
        <v>681</v>
      </c>
      <c r="AL18" s="91" t="s">
        <v>682</v>
      </c>
      <c r="AM18" s="91" t="s">
        <v>683</v>
      </c>
      <c r="AN18" s="91" t="s">
        <v>684</v>
      </c>
      <c r="AO18" s="91" t="s">
        <v>690</v>
      </c>
      <c r="AP18" s="91" t="s">
        <v>692</v>
      </c>
      <c r="AQ18" s="91" t="s">
        <v>694</v>
      </c>
      <c r="AR18" s="91" t="s">
        <v>695</v>
      </c>
      <c r="AS18" s="91" t="s">
        <v>696</v>
      </c>
      <c r="AT18" s="91" t="s">
        <v>693</v>
      </c>
      <c r="AU18" s="91" t="s">
        <v>691</v>
      </c>
      <c r="AV18" s="465" t="s">
        <v>2075</v>
      </c>
      <c r="AW18" s="460" t="s">
        <v>2076</v>
      </c>
      <c r="AX18" s="529" t="s">
        <v>2390</v>
      </c>
      <c r="AY18" s="529" t="s">
        <v>2389</v>
      </c>
      <c r="AZ18" s="460" t="s">
        <v>2077</v>
      </c>
      <c r="BA18" s="460" t="s">
        <v>2078</v>
      </c>
      <c r="BB18" s="460" t="s">
        <v>2079</v>
      </c>
    </row>
    <row r="19" spans="2:54" x14ac:dyDescent="0.35">
      <c r="B19" s="77" t="s">
        <v>615</v>
      </c>
      <c r="C19" s="77" t="s">
        <v>543</v>
      </c>
      <c r="D19" s="69" t="str">
        <f>坦克类型系数!C4</f>
        <v>轻坦</v>
      </c>
      <c r="E19" s="8" t="s">
        <v>987</v>
      </c>
      <c r="F19" s="8" t="s">
        <v>392</v>
      </c>
      <c r="G19" s="69">
        <f>坦克类型系数!D4</f>
        <v>4.74</v>
      </c>
      <c r="H19" s="69">
        <f>坦克类型系数!E4</f>
        <v>2.11</v>
      </c>
      <c r="I19" s="69">
        <f>坦克类型系数!F4</f>
        <v>5.19</v>
      </c>
      <c r="J19" s="89">
        <f>SQRT(I19/VLOOKUP(D19,坦克类型系数!$AH$3:$AK$6,4,FALSE))</f>
        <v>0.91715153425752061</v>
      </c>
      <c r="K19" s="8" t="s">
        <v>647</v>
      </c>
      <c r="L19" s="69">
        <f>VLOOKUP(D19,坦克类型系数!$AH$15:$AK$18,4,FALSE)</f>
        <v>0.78</v>
      </c>
      <c r="M19" s="8">
        <v>1.1000000000000001</v>
      </c>
      <c r="N19" s="77">
        <f>ROUND(L19*M19,2)</f>
        <v>0.86</v>
      </c>
      <c r="O19" s="81">
        <f>1+(N19-L19)/L19</f>
        <v>1.1025641025641024</v>
      </c>
      <c r="P19" s="81">
        <f>1+(L19-N19)/M52*VLOOKUP($B$11,$B$3:$J$15,MATCH($F19,$B$3:$J$3,0),FALSE)</f>
        <v>0.8875502008032129</v>
      </c>
      <c r="Q19" s="89">
        <f>O19*P19</f>
        <v>0.97858099062918336</v>
      </c>
      <c r="R19" s="77">
        <f>VLOOKUP(F19,坦克类型系数!$AQ$3:$AX$10,MATCH("瞄准速度",坦克类型系数!$AQ$3:$AX$3,0),FALSE)</f>
        <v>1.2</v>
      </c>
      <c r="S19" s="8">
        <v>0.5</v>
      </c>
      <c r="T19" s="77">
        <f>(VLOOKUP(F19,坦克类型系数!$AM$3:$AO$10,MATCH("射击间隔max",坦克类型系数!$AM$3:$AO$3,0),FALSE)-VLOOKUP(F19,坦克类型系数!$AM$3:$AO$10,MATCH("射击间隔min",坦克类型系数!$AM$3:$AO$3,0),FALSE))*S19+VLOOKUP(F19,坦克类型系数!$AM$3:$AO$10,MATCH("射击间隔min",坦克类型系数!$AM$3:$AO$3,0),FALSE)</f>
        <v>0.30000000000000004</v>
      </c>
      <c r="U19" s="89">
        <f>(T19-VLOOKUP(F19,标准坦克设计!$B$13:$K$20,MATCH("射击间隔",标准坦克设计!$B$13:$K$13,0),FALSE))/0.1*VLOOKUP($B$15,$B$3:$J$15,MATCH(F19,$B$3:$J$3,0),FALSE)+1</f>
        <v>1.1378692461036608</v>
      </c>
      <c r="V19" s="77">
        <f>VLOOKUP(D19,坦克类型系数!$BI$3:$BK$6,2,FALSE)</f>
        <v>1</v>
      </c>
      <c r="W19" s="81">
        <f>VLOOKUP(D19,坦克类型系数!$BI$3:$BK$6,3,FALSE)</f>
        <v>2.1563141881038952</v>
      </c>
      <c r="X19" s="8">
        <v>0</v>
      </c>
      <c r="Y19" s="8">
        <v>1</v>
      </c>
      <c r="Z19" s="81">
        <f>VLOOKUP(D19,坦克类型系数!$CQ$9:$CY$12,2,FALSE)*$M$4*Y19</f>
        <v>11.783831986523932</v>
      </c>
      <c r="AA19" s="81">
        <f>VLOOKUP(D19,坦克类型系数!$CQ$9:$CY$12,6,FALSE)*$M$4*Y19</f>
        <v>47.135327946095728</v>
      </c>
      <c r="AB19" s="81">
        <f>VLOOKUP(D19,坦克类型系数!$CQ$3:$CY$6,9,FALSE)</f>
        <v>58.919159932619657</v>
      </c>
      <c r="AC19" s="78">
        <f>VLOOKUP(F19,坦克类型系数!$BM$3:$BV$10,6,FALSE)</f>
        <v>0.58499999999999996</v>
      </c>
      <c r="AD19" s="53">
        <f t="shared" ref="AD19:AD48" si="3">1/Y19</f>
        <v>1</v>
      </c>
      <c r="AE19" s="81">
        <f>VLOOKUP(D19,坦克类型系数!$DE$3:$DH$6,3,FALSE)*AD19</f>
        <v>45</v>
      </c>
      <c r="AF19" s="8">
        <v>1</v>
      </c>
      <c r="AG19" s="89">
        <f t="shared" ref="AG19:AG48" si="4">(1-AF19)*VLOOKUP($B$12,$B$3:$J$15,MATCH(F19,$B$3:$J$3,0),FALSE)*VLOOKUP($B$11,$B$3:$J$15,MATCH(F19,$B$3:$J$3,0),FALSE)+1</f>
        <v>1</v>
      </c>
      <c r="AH19" s="78">
        <f>VLOOKUP(D19,坦克类型系数!$BZ$21:$CF$24,2,FALSE)*AF19</f>
        <v>14.6</v>
      </c>
      <c r="AI19" s="81">
        <f>VLOOKUP(D19,坦克类型系数!$BZ$21:$CF$24,5,FALSE)*AF19</f>
        <v>14.6</v>
      </c>
      <c r="AJ19" s="81">
        <f>VLOOKUP(D19,坦克类型系数!$BZ$21:$CF$24,4,FALSE)</f>
        <v>23.714285714285719</v>
      </c>
      <c r="AK19" s="81">
        <f>VLOOKUP(D19,坦克类型系数!$BZ$21:$CF$24,7,FALSE)</f>
        <v>16.600000000000001</v>
      </c>
      <c r="AL19" s="81">
        <f>VLOOKUP(D19,坦克类型系数!$CH$21:$CN$24,4,FALSE)</f>
        <v>37.200000000000003</v>
      </c>
      <c r="AM19" s="81">
        <f>VLOOKUP(D19,坦克类型系数!$CH$21:$CN$24,7,FALSE)</f>
        <v>62.000000000000007</v>
      </c>
      <c r="AN19" s="78">
        <f>VLOOKUP(F19,坦克类型系数!$BM$13:$BV$20,6,FALSE)</f>
        <v>0.58499999999999996</v>
      </c>
      <c r="AO19" s="92">
        <f>基础属性系数!$C$56</f>
        <v>0.2</v>
      </c>
      <c r="AP19" s="92">
        <f>基础属性系数!$C$55</f>
        <v>0.3</v>
      </c>
      <c r="AQ19" s="78">
        <f>VLOOKUP(D19,坦克类型系数!$DE$9:$DH$12,2,FALSE)</f>
        <v>1</v>
      </c>
      <c r="AR19" s="78">
        <f>VLOOKUP(D19,坦克类型系数!$DE$9:$DH$12,3,FALSE)</f>
        <v>1</v>
      </c>
      <c r="AS19" s="78">
        <f>VLOOKUP(D19,坦克类型系数!$DE$9:$DH$12,4,FALSE)</f>
        <v>1</v>
      </c>
      <c r="AT19" s="78">
        <f>VLOOKUP(D19,坦克类型系数!$AH$9:$AK$12,3,FALSE)</f>
        <v>40</v>
      </c>
      <c r="AU19" s="78">
        <f>VLOOKUP(D19,坦克类型系数!$AH$9:$AK$12,4,FALSE)</f>
        <v>100</v>
      </c>
      <c r="AV19" s="92">
        <f>VLOOKUP($B19,坦克类型系数!$B$3:$AF$33,MATCH(AV$18,坦克类型系数!$B$3:$AF$3,0),FALSE)</f>
        <v>2.1</v>
      </c>
      <c r="AW19" s="92">
        <f>VLOOKUP($B19,坦克类型系数!$B$3:$AF$33,MATCH(AW$18,坦克类型系数!$B$3:$AF$3,0),FALSE)</f>
        <v>1.7000000000000002</v>
      </c>
      <c r="AX19" s="92">
        <f>VLOOKUP($B19,坦克类型系数!$B$3:$AF$33,MATCH(AX$18,坦克类型系数!$B$3:$AF$3,0),FALSE)</f>
        <v>1.4000000000000001</v>
      </c>
      <c r="AY19" s="92">
        <f>VLOOKUP($B19,坦克类型系数!$B$3:$AF$33,MATCH(AY$18,坦克类型系数!$B$3:$AF$3,0),FALSE)</f>
        <v>1.4000000000000001</v>
      </c>
      <c r="AZ19" s="92">
        <f>VLOOKUP($B19,坦克类型系数!$B$3:$AF$33,MATCH(AZ$18,坦克类型系数!$B$3:$AF$3,0),FALSE)</f>
        <v>1.2</v>
      </c>
      <c r="BA19" s="92">
        <f>VLOOKUP($B19,坦克类型系数!$B$3:$AF$33,MATCH(BA$18,坦克类型系数!$B$3:$AF$3,0),FALSE)</f>
        <v>1</v>
      </c>
      <c r="BB19" s="92">
        <f>VLOOKUP($B19,坦克类型系数!$B$3:$AF$33,MATCH(BB$18,坦克类型系数!$B$3:$AF$3,0),FALSE)</f>
        <v>0.85000000000000009</v>
      </c>
    </row>
    <row r="20" spans="2:54" x14ac:dyDescent="0.35">
      <c r="B20" s="77" t="s">
        <v>616</v>
      </c>
      <c r="C20" s="77" t="s">
        <v>544</v>
      </c>
      <c r="D20" s="177" t="str">
        <f>坦克类型系数!C5</f>
        <v>轻坦</v>
      </c>
      <c r="E20" s="8" t="s">
        <v>921</v>
      </c>
      <c r="F20" s="8" t="s">
        <v>392</v>
      </c>
      <c r="G20" s="177">
        <f>坦克类型系数!D5</f>
        <v>4.8099999999999996</v>
      </c>
      <c r="H20" s="177">
        <f>坦克类型系数!E5</f>
        <v>2.2599999999999998</v>
      </c>
      <c r="I20" s="177">
        <f>坦克类型系数!F5</f>
        <v>5.31</v>
      </c>
      <c r="J20" s="89">
        <f>SQRT(I20/VLOOKUP(D20,坦克类型系数!$AH$3:$AK$6,4,FALSE))</f>
        <v>0.92769385214429489</v>
      </c>
      <c r="K20" s="8" t="s">
        <v>647</v>
      </c>
      <c r="L20" s="69">
        <f>VLOOKUP(D20,坦克类型系数!$AH$15:$AK$18,4,FALSE)</f>
        <v>0.78</v>
      </c>
      <c r="M20" s="8">
        <v>0.9</v>
      </c>
      <c r="N20" s="461">
        <f t="shared" ref="N20:N48" si="5">ROUND(L20*M20,2)</f>
        <v>0.7</v>
      </c>
      <c r="O20" s="81">
        <f t="shared" ref="O20:O48" si="6">1+(N20-L20)/L20</f>
        <v>0.89743589743589736</v>
      </c>
      <c r="P20" s="81">
        <f t="shared" ref="P20:P48" si="7">1+(L20-N20)/M53*VLOOKUP($B$11,$B$3:$J$15,MATCH($F20,$B$3:$J$3,0),FALSE)</f>
        <v>1.1226725082146769</v>
      </c>
      <c r="Q20" s="89">
        <f t="shared" ref="Q20:Q48" si="8">O20*P20</f>
        <v>1.0075266099362483</v>
      </c>
      <c r="R20" s="461">
        <f>VLOOKUP(F20,坦克类型系数!$AQ$3:$AX$10,MATCH("瞄准速度",坦克类型系数!$AQ$3:$AX$3,0),FALSE)</f>
        <v>1.2</v>
      </c>
      <c r="S20" s="8">
        <v>0</v>
      </c>
      <c r="T20" s="461">
        <f>(VLOOKUP(F20,坦克类型系数!$AM$3:$AO$10,MATCH("射击间隔max",坦克类型系数!$AM$3:$AO$3,0),FALSE)-VLOOKUP(F20,坦克类型系数!$AM$3:$AO$10,MATCH("射击间隔min",坦克类型系数!$AM$3:$AO$3,0),FALSE))*S20+VLOOKUP(F20,坦克类型系数!$AM$3:$AO$10,MATCH("射击间隔min",坦克类型系数!$AM$3:$AO$3,0),FALSE)</f>
        <v>0.2</v>
      </c>
      <c r="U20" s="89">
        <f>(T20-VLOOKUP(F20,标准坦克设计!$B$13:$K$20,MATCH("射击间隔",标准坦克设计!$B$13:$K$13,0),FALSE))/0.1*VLOOKUP($B$15,$B$3:$J$15,MATCH(F20,$B$3:$J$3,0),FALSE)+1</f>
        <v>1</v>
      </c>
      <c r="V20" s="77">
        <f>VLOOKUP(D20,坦克类型系数!$BI$3:$BK$6,2,FALSE)</f>
        <v>1</v>
      </c>
      <c r="W20" s="81">
        <f>VLOOKUP(D20,坦克类型系数!$BI$3:$BK$6,3,FALSE)</f>
        <v>2.1563141881038952</v>
      </c>
      <c r="X20" s="8">
        <v>0</v>
      </c>
      <c r="Y20" s="8">
        <v>1</v>
      </c>
      <c r="Z20" s="81">
        <f>VLOOKUP(D20,坦克类型系数!$CQ$9:$CY$12,2,FALSE)*$M$4*Y20</f>
        <v>11.783831986523932</v>
      </c>
      <c r="AA20" s="81">
        <f>VLOOKUP(D20,坦克类型系数!$CQ$9:$CY$12,6,FALSE)*$M$4*Y20</f>
        <v>47.135327946095728</v>
      </c>
      <c r="AB20" s="81">
        <f>VLOOKUP(D20,坦克类型系数!$CQ$3:$CY$6,9,FALSE)</f>
        <v>58.919159932619657</v>
      </c>
      <c r="AC20" s="78">
        <f>VLOOKUP(F20,坦克类型系数!$BM$3:$BV$10,6,FALSE)</f>
        <v>0.58499999999999996</v>
      </c>
      <c r="AD20" s="53">
        <f t="shared" si="3"/>
        <v>1</v>
      </c>
      <c r="AE20" s="81">
        <f>VLOOKUP(D20,坦克类型系数!$DE$3:$DH$6,3,FALSE)*AD20</f>
        <v>45</v>
      </c>
      <c r="AF20" s="8">
        <v>1</v>
      </c>
      <c r="AG20" s="89">
        <f t="shared" si="4"/>
        <v>1</v>
      </c>
      <c r="AH20" s="78">
        <f>VLOOKUP(D20,坦克类型系数!$BZ$21:$CF$24,2,FALSE)*AF20</f>
        <v>14.6</v>
      </c>
      <c r="AI20" s="81">
        <f>VLOOKUP(D20,坦克类型系数!$BZ$21:$CF$24,5,FALSE)*AF20</f>
        <v>14.6</v>
      </c>
      <c r="AJ20" s="81">
        <f>VLOOKUP(D20,坦克类型系数!$BZ$21:$CF$24,4,FALSE)</f>
        <v>23.714285714285719</v>
      </c>
      <c r="AK20" s="81">
        <f>VLOOKUP(D20,坦克类型系数!$BZ$21:$CF$24,7,FALSE)</f>
        <v>16.600000000000001</v>
      </c>
      <c r="AL20" s="81">
        <f>VLOOKUP(D20,坦克类型系数!$CH$21:$CN$24,4,FALSE)</f>
        <v>37.200000000000003</v>
      </c>
      <c r="AM20" s="81">
        <f>VLOOKUP(D20,坦克类型系数!$CH$21:$CN$24,7,FALSE)</f>
        <v>62.000000000000007</v>
      </c>
      <c r="AN20" s="78">
        <f>VLOOKUP(F20,坦克类型系数!$BM$13:$BV$20,6,FALSE)</f>
        <v>0.58499999999999996</v>
      </c>
      <c r="AO20" s="92">
        <f>基础属性系数!$C$56</f>
        <v>0.2</v>
      </c>
      <c r="AP20" s="92">
        <f>基础属性系数!$C$55</f>
        <v>0.3</v>
      </c>
      <c r="AQ20" s="78">
        <f>VLOOKUP(D20,坦克类型系数!$DE$9:$DH$12,2,FALSE)</f>
        <v>1</v>
      </c>
      <c r="AR20" s="78">
        <f>VLOOKUP(D20,坦克类型系数!$DE$9:$DH$12,3,FALSE)</f>
        <v>1</v>
      </c>
      <c r="AS20" s="78">
        <f>VLOOKUP(D20,坦克类型系数!$DE$9:$DH$12,4,FALSE)</f>
        <v>1</v>
      </c>
      <c r="AT20" s="78">
        <f>VLOOKUP(D20,坦克类型系数!$AH$9:$AK$12,3,FALSE)</f>
        <v>40</v>
      </c>
      <c r="AU20" s="78">
        <f>VLOOKUP(D20,坦克类型系数!$AH$9:$AK$12,4,FALSE)</f>
        <v>100</v>
      </c>
      <c r="AV20" s="92">
        <f>VLOOKUP($B20,坦克类型系数!$B$3:$AF$33,MATCH(AV$18,坦克类型系数!$B$3:$AF$3,0),FALSE)</f>
        <v>2</v>
      </c>
      <c r="AW20" s="92">
        <f>VLOOKUP($B20,坦克类型系数!$B$3:$AF$33,MATCH(AW$18,坦克类型系数!$B$3:$AF$3,0),FALSE)</f>
        <v>1.6500000000000001</v>
      </c>
      <c r="AX20" s="92">
        <f>VLOOKUP($B20,坦克类型系数!$B$3:$AF$33,MATCH(AX$18,坦克类型系数!$B$3:$AF$3,0),FALSE)</f>
        <v>1.3</v>
      </c>
      <c r="AY20" s="92">
        <f>VLOOKUP($B20,坦克类型系数!$B$3:$AF$33,MATCH(AY$18,坦克类型系数!$B$3:$AF$3,0),FALSE)</f>
        <v>1.3</v>
      </c>
      <c r="AZ20" s="92">
        <f>VLOOKUP($B20,坦克类型系数!$B$3:$AF$33,MATCH(AZ$18,坦克类型系数!$B$3:$AF$3,0),FALSE)</f>
        <v>1.1000000000000001</v>
      </c>
      <c r="BA20" s="92">
        <f>VLOOKUP($B20,坦克类型系数!$B$3:$AF$33,MATCH(BA$18,坦克类型系数!$B$3:$AF$3,0),FALSE)</f>
        <v>0.95</v>
      </c>
      <c r="BB20" s="92">
        <f>VLOOKUP($B20,坦克类型系数!$B$3:$AF$33,MATCH(BB$18,坦克类型系数!$B$3:$AF$3,0),FALSE)</f>
        <v>0.85000000000000009</v>
      </c>
    </row>
    <row r="21" spans="2:54" x14ac:dyDescent="0.35">
      <c r="B21" s="77" t="s">
        <v>617</v>
      </c>
      <c r="C21" s="77" t="s">
        <v>547</v>
      </c>
      <c r="D21" s="177" t="str">
        <f>坦克类型系数!C6</f>
        <v>轻坦</v>
      </c>
      <c r="E21" s="8" t="s">
        <v>921</v>
      </c>
      <c r="F21" s="8" t="s">
        <v>408</v>
      </c>
      <c r="G21" s="177">
        <f>坦克类型系数!D6</f>
        <v>6.71</v>
      </c>
      <c r="H21" s="177">
        <f>坦克类型系数!E6</f>
        <v>2.59</v>
      </c>
      <c r="I21" s="177">
        <f>坦克类型系数!F6</f>
        <v>7.19</v>
      </c>
      <c r="J21" s="89">
        <f>SQRT(I21/VLOOKUP(D21,坦克类型系数!$AH$3:$AK$6,4,FALSE))</f>
        <v>1.0794980525137019</v>
      </c>
      <c r="K21" s="8" t="s">
        <v>648</v>
      </c>
      <c r="L21" s="69">
        <f>VLOOKUP(D21,坦克类型系数!$AH$15:$AK$18,4,FALSE)</f>
        <v>0.78</v>
      </c>
      <c r="M21" s="8">
        <v>1.05</v>
      </c>
      <c r="N21" s="461">
        <f t="shared" si="5"/>
        <v>0.82</v>
      </c>
      <c r="O21" s="81">
        <f t="shared" si="6"/>
        <v>1.0512820512820511</v>
      </c>
      <c r="P21" s="81">
        <f t="shared" si="7"/>
        <v>0.9757526773085472</v>
      </c>
      <c r="Q21" s="89">
        <f t="shared" si="8"/>
        <v>1.0257912761448829</v>
      </c>
      <c r="R21" s="461">
        <f>VLOOKUP(F21,坦克类型系数!$AQ$3:$AX$10,MATCH("瞄准速度",坦克类型系数!$AQ$3:$AX$3,0),FALSE)</f>
        <v>1.2</v>
      </c>
      <c r="S21" s="8">
        <v>1</v>
      </c>
      <c r="T21" s="461">
        <f>(VLOOKUP(F21,坦克类型系数!$AM$3:$AO$10,MATCH("射击间隔max",坦克类型系数!$AM$3:$AO$3,0),FALSE)-VLOOKUP(F21,坦克类型系数!$AM$3:$AO$10,MATCH("射击间隔min",坦克类型系数!$AM$3:$AO$3,0),FALSE))*S21+VLOOKUP(F21,坦克类型系数!$AM$3:$AO$10,MATCH("射击间隔min",坦克类型系数!$AM$3:$AO$3,0),FALSE)</f>
        <v>0.4</v>
      </c>
      <c r="U21" s="89">
        <f>(T21-VLOOKUP(F21,标准坦克设计!$B$13:$K$20,MATCH("射击间隔",标准坦克设计!$B$13:$K$13,0),FALSE))/0.1*VLOOKUP($B$15,$B$3:$J$15,MATCH(F21,$B$3:$J$3,0),FALSE)+1</f>
        <v>1</v>
      </c>
      <c r="V21" s="77">
        <f>VLOOKUP(D21,坦克类型系数!$BI$3:$BK$6,2,FALSE)</f>
        <v>1</v>
      </c>
      <c r="W21" s="81">
        <f>VLOOKUP(D21,坦克类型系数!$BI$3:$BK$6,3,FALSE)</f>
        <v>2.1563141881038952</v>
      </c>
      <c r="X21" s="8">
        <v>1</v>
      </c>
      <c r="Y21" s="8">
        <v>0.9</v>
      </c>
      <c r="Z21" s="81">
        <f>VLOOKUP(D21,坦克类型系数!$CQ$9:$CY$12,2,FALSE)*$M$4*Y21</f>
        <v>10.60544878787154</v>
      </c>
      <c r="AA21" s="81">
        <f>VLOOKUP(D21,坦克类型系数!$CQ$9:$CY$12,6,FALSE)*$M$4*Y21</f>
        <v>42.421795151486158</v>
      </c>
      <c r="AB21" s="81">
        <f>VLOOKUP(D21,坦克类型系数!$CQ$3:$CY$6,9,FALSE)</f>
        <v>58.919159932619657</v>
      </c>
      <c r="AC21" s="78">
        <f>VLOOKUP(F21,坦克类型系数!$BM$3:$BV$10,6,FALSE)</f>
        <v>0.8580000000000001</v>
      </c>
      <c r="AD21" s="53">
        <f t="shared" si="3"/>
        <v>1.1111111111111112</v>
      </c>
      <c r="AE21" s="81">
        <f>VLOOKUP(D21,坦克类型系数!$DE$3:$DH$6,3,FALSE)*AD21</f>
        <v>50</v>
      </c>
      <c r="AF21" s="8">
        <v>0.95</v>
      </c>
      <c r="AG21" s="89">
        <f t="shared" si="4"/>
        <v>1.0324661446351304</v>
      </c>
      <c r="AH21" s="78">
        <f>VLOOKUP(D21,坦克类型系数!$BZ$21:$CF$24,2,FALSE)*AF21</f>
        <v>13.87</v>
      </c>
      <c r="AI21" s="81">
        <f>VLOOKUP(D21,坦克类型系数!$BZ$21:$CF$24,5,FALSE)*AF21</f>
        <v>13.87</v>
      </c>
      <c r="AJ21" s="81">
        <f>VLOOKUP(D21,坦克类型系数!$BZ$21:$CF$24,4,FALSE)</f>
        <v>23.714285714285719</v>
      </c>
      <c r="AK21" s="81">
        <f>VLOOKUP(D21,坦克类型系数!$BZ$21:$CF$24,7,FALSE)</f>
        <v>16.600000000000001</v>
      </c>
      <c r="AL21" s="81">
        <f>VLOOKUP(D21,坦克类型系数!$CH$21:$CN$24,4,FALSE)</f>
        <v>37.200000000000003</v>
      </c>
      <c r="AM21" s="81">
        <f>VLOOKUP(D21,坦克类型系数!$CH$21:$CN$24,7,FALSE)</f>
        <v>62.000000000000007</v>
      </c>
      <c r="AN21" s="78">
        <f>VLOOKUP(F21,坦克类型系数!$BM$13:$BV$20,6,FALSE)</f>
        <v>0.8580000000000001</v>
      </c>
      <c r="AO21" s="92">
        <f>基础属性系数!$C$56</f>
        <v>0.2</v>
      </c>
      <c r="AP21" s="92">
        <f>基础属性系数!$C$55</f>
        <v>0.3</v>
      </c>
      <c r="AQ21" s="78">
        <f>VLOOKUP(D21,坦克类型系数!$DE$9:$DH$12,2,FALSE)</f>
        <v>1</v>
      </c>
      <c r="AR21" s="78">
        <f>VLOOKUP(D21,坦克类型系数!$DE$9:$DH$12,3,FALSE)</f>
        <v>1</v>
      </c>
      <c r="AS21" s="78">
        <f>VLOOKUP(D21,坦克类型系数!$DE$9:$DH$12,4,FALSE)</f>
        <v>1</v>
      </c>
      <c r="AT21" s="78">
        <f>VLOOKUP(D21,坦克类型系数!$AH$9:$AK$12,3,FALSE)</f>
        <v>40</v>
      </c>
      <c r="AU21" s="78">
        <f>VLOOKUP(D21,坦克类型系数!$AH$9:$AK$12,4,FALSE)</f>
        <v>100</v>
      </c>
      <c r="AV21" s="92">
        <f>VLOOKUP($B21,坦克类型系数!$B$3:$AF$33,MATCH(AV$18,坦克类型系数!$B$3:$AF$3,0),FALSE)</f>
        <v>2.1</v>
      </c>
      <c r="AW21" s="92">
        <f>VLOOKUP($B21,坦克类型系数!$B$3:$AF$33,MATCH(AW$18,坦克类型系数!$B$3:$AF$3,0),FALSE)</f>
        <v>1.6500000000000001</v>
      </c>
      <c r="AX21" s="92">
        <f>VLOOKUP($B21,坦克类型系数!$B$3:$AF$33,MATCH(AX$18,坦克类型系数!$B$3:$AF$3,0),FALSE)</f>
        <v>1.35</v>
      </c>
      <c r="AY21" s="92">
        <f>VLOOKUP($B21,坦克类型系数!$B$3:$AF$33,MATCH(AY$18,坦克类型系数!$B$3:$AF$3,0),FALSE)</f>
        <v>1.35</v>
      </c>
      <c r="AZ21" s="92">
        <f>VLOOKUP($B21,坦克类型系数!$B$3:$AF$33,MATCH(AZ$18,坦克类型系数!$B$3:$AF$3,0),FALSE)</f>
        <v>1.1500000000000001</v>
      </c>
      <c r="BA21" s="92">
        <f>VLOOKUP($B21,坦克类型系数!$B$3:$AF$33,MATCH(BA$18,坦克类型系数!$B$3:$AF$3,0),FALSE)</f>
        <v>1</v>
      </c>
      <c r="BB21" s="92">
        <f>VLOOKUP($B21,坦克类型系数!$B$3:$AF$33,MATCH(BB$18,坦克类型系数!$B$3:$AF$3,0),FALSE)</f>
        <v>0.85000000000000009</v>
      </c>
    </row>
    <row r="22" spans="2:54" x14ac:dyDescent="0.35">
      <c r="B22" s="77" t="s">
        <v>618</v>
      </c>
      <c r="C22" s="77" t="s">
        <v>545</v>
      </c>
      <c r="D22" s="177" t="str">
        <f>坦克类型系数!C7</f>
        <v>轻坦</v>
      </c>
      <c r="E22" s="8" t="s">
        <v>922</v>
      </c>
      <c r="F22" s="8" t="s">
        <v>408</v>
      </c>
      <c r="G22" s="177">
        <f>坦克类型系数!D7</f>
        <v>4.83</v>
      </c>
      <c r="H22" s="177">
        <f>坦克类型系数!E7</f>
        <v>2.11</v>
      </c>
      <c r="I22" s="177">
        <f>坦克类型系数!F7</f>
        <v>5.27</v>
      </c>
      <c r="J22" s="89">
        <f>SQRT(I22/VLOOKUP(D22,坦克类型系数!$AH$3:$AK$6,4,FALSE))</f>
        <v>0.92419310814056699</v>
      </c>
      <c r="K22" s="8" t="s">
        <v>648</v>
      </c>
      <c r="L22" s="69">
        <f>VLOOKUP(D22,坦克类型系数!$AH$15:$AK$18,4,FALSE)</f>
        <v>0.78</v>
      </c>
      <c r="M22" s="8">
        <v>1</v>
      </c>
      <c r="N22" s="461">
        <f t="shared" si="5"/>
        <v>0.78</v>
      </c>
      <c r="O22" s="81">
        <f t="shared" si="6"/>
        <v>1</v>
      </c>
      <c r="P22" s="81">
        <f t="shared" si="7"/>
        <v>1</v>
      </c>
      <c r="Q22" s="89">
        <f t="shared" si="8"/>
        <v>1</v>
      </c>
      <c r="R22" s="461">
        <f>VLOOKUP(F22,坦克类型系数!$AQ$3:$AX$10,MATCH("瞄准速度",坦克类型系数!$AQ$3:$AX$3,0),FALSE)</f>
        <v>1.2</v>
      </c>
      <c r="S22" s="8">
        <v>1</v>
      </c>
      <c r="T22" s="461">
        <f>(VLOOKUP(F22,坦克类型系数!$AM$3:$AO$10,MATCH("射击间隔max",坦克类型系数!$AM$3:$AO$3,0),FALSE)-VLOOKUP(F22,坦克类型系数!$AM$3:$AO$10,MATCH("射击间隔min",坦克类型系数!$AM$3:$AO$3,0),FALSE))*S22+VLOOKUP(F22,坦克类型系数!$AM$3:$AO$10,MATCH("射击间隔min",坦克类型系数!$AM$3:$AO$3,0),FALSE)</f>
        <v>0.4</v>
      </c>
      <c r="U22" s="89">
        <f>(T22-VLOOKUP(F22,标准坦克设计!$B$13:$K$20,MATCH("射击间隔",标准坦克设计!$B$13:$K$13,0),FALSE))/0.1*VLOOKUP($B$15,$B$3:$J$15,MATCH(F22,$B$3:$J$3,0),FALSE)+1</f>
        <v>1</v>
      </c>
      <c r="V22" s="77">
        <f>VLOOKUP(D22,坦克类型系数!$BI$3:$BK$6,2,FALSE)</f>
        <v>1</v>
      </c>
      <c r="W22" s="81">
        <f>VLOOKUP(D22,坦克类型系数!$BI$3:$BK$6,3,FALSE)</f>
        <v>2.1563141881038952</v>
      </c>
      <c r="X22" s="8">
        <v>2</v>
      </c>
      <c r="Y22" s="8">
        <v>0.9</v>
      </c>
      <c r="Z22" s="81">
        <f>VLOOKUP(D22,坦克类型系数!$CQ$9:$CY$12,2,FALSE)*$M$4*Y22</f>
        <v>10.60544878787154</v>
      </c>
      <c r="AA22" s="81">
        <f>VLOOKUP(D22,坦克类型系数!$CQ$9:$CY$12,6,FALSE)*$M$4*Y22</f>
        <v>42.421795151486158</v>
      </c>
      <c r="AB22" s="81">
        <f>VLOOKUP(D22,坦克类型系数!$CQ$3:$CY$6,9,FALSE)</f>
        <v>58.919159932619657</v>
      </c>
      <c r="AC22" s="78">
        <f>VLOOKUP(F22,坦克类型系数!$BM$3:$BV$10,6,FALSE)</f>
        <v>0.8580000000000001</v>
      </c>
      <c r="AD22" s="53">
        <f t="shared" si="3"/>
        <v>1.1111111111111112</v>
      </c>
      <c r="AE22" s="81">
        <f>VLOOKUP(D22,坦克类型系数!$DE$3:$DH$6,3,FALSE)*AD22</f>
        <v>50</v>
      </c>
      <c r="AF22" s="8">
        <v>0.95</v>
      </c>
      <c r="AG22" s="89">
        <f t="shared" si="4"/>
        <v>1.0324661446351304</v>
      </c>
      <c r="AH22" s="78">
        <f>VLOOKUP(D22,坦克类型系数!$BZ$21:$CF$24,2,FALSE)*AF22</f>
        <v>13.87</v>
      </c>
      <c r="AI22" s="81">
        <f>VLOOKUP(D22,坦克类型系数!$BZ$21:$CF$24,5,FALSE)*AF22</f>
        <v>13.87</v>
      </c>
      <c r="AJ22" s="81">
        <f>VLOOKUP(D22,坦克类型系数!$BZ$21:$CF$24,4,FALSE)</f>
        <v>23.714285714285719</v>
      </c>
      <c r="AK22" s="81">
        <f>VLOOKUP(D22,坦克类型系数!$BZ$21:$CF$24,7,FALSE)</f>
        <v>16.600000000000001</v>
      </c>
      <c r="AL22" s="81">
        <f>VLOOKUP(D22,坦克类型系数!$CH$21:$CN$24,4,FALSE)</f>
        <v>37.200000000000003</v>
      </c>
      <c r="AM22" s="81">
        <f>VLOOKUP(D22,坦克类型系数!$CH$21:$CN$24,7,FALSE)</f>
        <v>62.000000000000007</v>
      </c>
      <c r="AN22" s="78">
        <f>VLOOKUP(F22,坦克类型系数!$BM$13:$BV$20,6,FALSE)</f>
        <v>0.8580000000000001</v>
      </c>
      <c r="AO22" s="92">
        <f>基础属性系数!$C$56</f>
        <v>0.2</v>
      </c>
      <c r="AP22" s="92">
        <f>基础属性系数!$C$55</f>
        <v>0.3</v>
      </c>
      <c r="AQ22" s="78">
        <f>VLOOKUP(D22,坦克类型系数!$DE$9:$DH$12,2,FALSE)</f>
        <v>1</v>
      </c>
      <c r="AR22" s="78">
        <f>VLOOKUP(D22,坦克类型系数!$DE$9:$DH$12,3,FALSE)</f>
        <v>1</v>
      </c>
      <c r="AS22" s="78">
        <f>VLOOKUP(D22,坦克类型系数!$DE$9:$DH$12,4,FALSE)</f>
        <v>1</v>
      </c>
      <c r="AT22" s="78">
        <f>VLOOKUP(D22,坦克类型系数!$AH$9:$AK$12,3,FALSE)</f>
        <v>40</v>
      </c>
      <c r="AU22" s="78">
        <f>VLOOKUP(D22,坦克类型系数!$AH$9:$AK$12,4,FALSE)</f>
        <v>100</v>
      </c>
      <c r="AV22" s="92">
        <f>VLOOKUP($B22,坦克类型系数!$B$3:$AF$33,MATCH(AV$18,坦克类型系数!$B$3:$AF$3,0),FALSE)</f>
        <v>2.1</v>
      </c>
      <c r="AW22" s="92">
        <f>VLOOKUP($B22,坦克类型系数!$B$3:$AF$33,MATCH(AW$18,坦克类型系数!$B$3:$AF$3,0),FALSE)</f>
        <v>1.6</v>
      </c>
      <c r="AX22" s="92">
        <f>VLOOKUP($B22,坦克类型系数!$B$3:$AF$33,MATCH(AX$18,坦克类型系数!$B$3:$AF$3,0),FALSE)</f>
        <v>1.4000000000000001</v>
      </c>
      <c r="AY22" s="92">
        <f>VLOOKUP($B22,坦克类型系数!$B$3:$AF$33,MATCH(AY$18,坦克类型系数!$B$3:$AF$3,0),FALSE)</f>
        <v>1.4000000000000001</v>
      </c>
      <c r="AZ22" s="92">
        <f>VLOOKUP($B22,坦克类型系数!$B$3:$AF$33,MATCH(AZ$18,坦克类型系数!$B$3:$AF$3,0),FALSE)</f>
        <v>1.1000000000000001</v>
      </c>
      <c r="BA22" s="92">
        <f>VLOOKUP($B22,坦克类型系数!$B$3:$AF$33,MATCH(BA$18,坦克类型系数!$B$3:$AF$3,0),FALSE)</f>
        <v>0.95</v>
      </c>
      <c r="BB22" s="92">
        <f>VLOOKUP($B22,坦克类型系数!$B$3:$AF$33,MATCH(BB$18,坦克类型系数!$B$3:$AF$3,0),FALSE)</f>
        <v>0.85000000000000009</v>
      </c>
    </row>
    <row r="23" spans="2:54" x14ac:dyDescent="0.35">
      <c r="B23" s="77" t="s">
        <v>619</v>
      </c>
      <c r="C23" s="77" t="s">
        <v>639</v>
      </c>
      <c r="D23" s="177" t="str">
        <f>坦克类型系数!C8</f>
        <v>轻坦</v>
      </c>
      <c r="E23" s="8" t="s">
        <v>922</v>
      </c>
      <c r="F23" s="8" t="s">
        <v>392</v>
      </c>
      <c r="G23" s="177">
        <f>坦克类型系数!D8</f>
        <v>5.91</v>
      </c>
      <c r="H23" s="177">
        <f>坦克类型系数!E8</f>
        <v>2.67</v>
      </c>
      <c r="I23" s="177">
        <f>坦克类型系数!F8</f>
        <v>6.49</v>
      </c>
      <c r="J23" s="89">
        <f>SQRT(I23/VLOOKUP(D23,坦克类型系数!$AH$3:$AK$6,4,FALSE))</f>
        <v>1.0256041426273552</v>
      </c>
      <c r="K23" s="8" t="s">
        <v>647</v>
      </c>
      <c r="L23" s="69">
        <f>VLOOKUP(D23,坦克类型系数!$AH$15:$AK$18,4,FALSE)</f>
        <v>0.78</v>
      </c>
      <c r="M23" s="8">
        <v>1.05</v>
      </c>
      <c r="N23" s="461">
        <f t="shared" si="5"/>
        <v>0.82</v>
      </c>
      <c r="O23" s="81">
        <f t="shared" si="6"/>
        <v>1.0512820512820511</v>
      </c>
      <c r="P23" s="81">
        <f t="shared" si="7"/>
        <v>0.95983935742971893</v>
      </c>
      <c r="Q23" s="89">
        <f t="shared" si="8"/>
        <v>1.0090618885799607</v>
      </c>
      <c r="R23" s="461">
        <f>VLOOKUP(F23,坦克类型系数!$AQ$3:$AX$10,MATCH("瞄准速度",坦克类型系数!$AQ$3:$AX$3,0),FALSE)</f>
        <v>1.2</v>
      </c>
      <c r="S23" s="8">
        <v>0.5</v>
      </c>
      <c r="T23" s="461">
        <f>(VLOOKUP(F23,坦克类型系数!$AM$3:$AO$10,MATCH("射击间隔max",坦克类型系数!$AM$3:$AO$3,0),FALSE)-VLOOKUP(F23,坦克类型系数!$AM$3:$AO$10,MATCH("射击间隔min",坦克类型系数!$AM$3:$AO$3,0),FALSE))*S23+VLOOKUP(F23,坦克类型系数!$AM$3:$AO$10,MATCH("射击间隔min",坦克类型系数!$AM$3:$AO$3,0),FALSE)</f>
        <v>0.30000000000000004</v>
      </c>
      <c r="U23" s="89">
        <f>(T23-VLOOKUP(F23,标准坦克设计!$B$13:$K$20,MATCH("射击间隔",标准坦克设计!$B$13:$K$13,0),FALSE))/0.1*VLOOKUP($B$15,$B$3:$J$15,MATCH(F23,$B$3:$J$3,0),FALSE)+1</f>
        <v>1.1378692461036608</v>
      </c>
      <c r="V23" s="77">
        <f>VLOOKUP(D23,坦克类型系数!$BI$3:$BK$6,2,FALSE)</f>
        <v>1</v>
      </c>
      <c r="W23" s="81">
        <f>VLOOKUP(D23,坦克类型系数!$BI$3:$BK$6,3,FALSE)</f>
        <v>2.1563141881038952</v>
      </c>
      <c r="X23" s="8">
        <v>1</v>
      </c>
      <c r="Y23" s="8">
        <v>1</v>
      </c>
      <c r="Z23" s="81">
        <f>VLOOKUP(D23,坦克类型系数!$CQ$9:$CY$12,2,FALSE)*$M$4*Y23</f>
        <v>11.783831986523932</v>
      </c>
      <c r="AA23" s="81">
        <f>VLOOKUP(D23,坦克类型系数!$CQ$9:$CY$12,6,FALSE)*$M$4*Y23</f>
        <v>47.135327946095728</v>
      </c>
      <c r="AB23" s="81">
        <f>VLOOKUP(D23,坦克类型系数!$CQ$3:$CY$6,9,FALSE)</f>
        <v>58.919159932619657</v>
      </c>
      <c r="AC23" s="78">
        <f>VLOOKUP(F23,坦克类型系数!$BM$3:$BV$10,6,FALSE)</f>
        <v>0.58499999999999996</v>
      </c>
      <c r="AD23" s="53">
        <f t="shared" si="3"/>
        <v>1</v>
      </c>
      <c r="AE23" s="81">
        <f>VLOOKUP(D23,坦克类型系数!$DE$3:$DH$6,3,FALSE)*AD23</f>
        <v>45</v>
      </c>
      <c r="AF23" s="8">
        <v>1</v>
      </c>
      <c r="AG23" s="89">
        <f t="shared" si="4"/>
        <v>1</v>
      </c>
      <c r="AH23" s="78">
        <f>VLOOKUP(D23,坦克类型系数!$BZ$21:$CF$24,2,FALSE)*AF23</f>
        <v>14.6</v>
      </c>
      <c r="AI23" s="81">
        <f>VLOOKUP(D23,坦克类型系数!$BZ$21:$CF$24,5,FALSE)*AF23</f>
        <v>14.6</v>
      </c>
      <c r="AJ23" s="81">
        <f>VLOOKUP(D23,坦克类型系数!$BZ$21:$CF$24,4,FALSE)</f>
        <v>23.714285714285719</v>
      </c>
      <c r="AK23" s="81">
        <f>VLOOKUP(D23,坦克类型系数!$BZ$21:$CF$24,7,FALSE)</f>
        <v>16.600000000000001</v>
      </c>
      <c r="AL23" s="81">
        <f>VLOOKUP(D23,坦克类型系数!$CH$21:$CN$24,4,FALSE)</f>
        <v>37.200000000000003</v>
      </c>
      <c r="AM23" s="81">
        <f>VLOOKUP(D23,坦克类型系数!$CH$21:$CN$24,7,FALSE)</f>
        <v>62.000000000000007</v>
      </c>
      <c r="AN23" s="78">
        <f>VLOOKUP(F23,坦克类型系数!$BM$13:$BV$20,6,FALSE)</f>
        <v>0.58499999999999996</v>
      </c>
      <c r="AO23" s="92">
        <f>基础属性系数!$C$56</f>
        <v>0.2</v>
      </c>
      <c r="AP23" s="92">
        <f>基础属性系数!$C$55</f>
        <v>0.3</v>
      </c>
      <c r="AQ23" s="78">
        <f>VLOOKUP(D23,坦克类型系数!$DE$9:$DH$12,2,FALSE)</f>
        <v>1</v>
      </c>
      <c r="AR23" s="78">
        <f>VLOOKUP(D23,坦克类型系数!$DE$9:$DH$12,3,FALSE)</f>
        <v>1</v>
      </c>
      <c r="AS23" s="78">
        <f>VLOOKUP(D23,坦克类型系数!$DE$9:$DH$12,4,FALSE)</f>
        <v>1</v>
      </c>
      <c r="AT23" s="78">
        <f>VLOOKUP(D23,坦克类型系数!$AH$9:$AK$12,3,FALSE)</f>
        <v>40</v>
      </c>
      <c r="AU23" s="78">
        <f>VLOOKUP(D23,坦克类型系数!$AH$9:$AK$12,4,FALSE)</f>
        <v>100</v>
      </c>
      <c r="AV23" s="92">
        <f>VLOOKUP($B23,坦克类型系数!$B$3:$AF$33,MATCH(AV$18,坦克类型系数!$B$3:$AF$3,0),FALSE)</f>
        <v>2</v>
      </c>
      <c r="AW23" s="92">
        <f>VLOOKUP($B23,坦克类型系数!$B$3:$AF$33,MATCH(AW$18,坦克类型系数!$B$3:$AF$3,0),FALSE)</f>
        <v>1.55</v>
      </c>
      <c r="AX23" s="92">
        <f>VLOOKUP($B23,坦克类型系数!$B$3:$AF$33,MATCH(AX$18,坦克类型系数!$B$3:$AF$3,0),FALSE)</f>
        <v>1.25</v>
      </c>
      <c r="AY23" s="92">
        <f>VLOOKUP($B23,坦克类型系数!$B$3:$AF$33,MATCH(AY$18,坦克类型系数!$B$3:$AF$3,0),FALSE)</f>
        <v>1.25</v>
      </c>
      <c r="AZ23" s="92">
        <f>VLOOKUP($B23,坦克类型系数!$B$3:$AF$33,MATCH(AZ$18,坦克类型系数!$B$3:$AF$3,0),FALSE)</f>
        <v>1.1000000000000001</v>
      </c>
      <c r="BA23" s="92">
        <f>VLOOKUP($B23,坦克类型系数!$B$3:$AF$33,MATCH(BA$18,坦克类型系数!$B$3:$AF$3,0),FALSE)</f>
        <v>0.95</v>
      </c>
      <c r="BB23" s="92">
        <f>VLOOKUP($B23,坦克类型系数!$B$3:$AF$33,MATCH(BB$18,坦克类型系数!$B$3:$AF$3,0),FALSE)</f>
        <v>0.8</v>
      </c>
    </row>
    <row r="24" spans="2:54" x14ac:dyDescent="0.35">
      <c r="B24" s="77" t="s">
        <v>640</v>
      </c>
      <c r="C24" s="77" t="s">
        <v>549</v>
      </c>
      <c r="D24" s="177" t="str">
        <f>坦克类型系数!C9</f>
        <v>轻坦</v>
      </c>
      <c r="E24" s="8" t="s">
        <v>922</v>
      </c>
      <c r="F24" s="8" t="s">
        <v>603</v>
      </c>
      <c r="G24" s="177">
        <f>坦克类型系数!D9</f>
        <v>4.9400000000000004</v>
      </c>
      <c r="H24" s="177">
        <f>坦克类型系数!E9</f>
        <v>2.54</v>
      </c>
      <c r="I24" s="177">
        <f>坦克类型系数!F9</f>
        <v>5.55</v>
      </c>
      <c r="J24" s="89">
        <f>SQRT(I24/VLOOKUP(D24,坦克类型系数!$AH$3:$AK$6,4,FALSE))</f>
        <v>0.94842700105865552</v>
      </c>
      <c r="K24" s="8" t="s">
        <v>648</v>
      </c>
      <c r="L24" s="69">
        <f>VLOOKUP(D24,坦克类型系数!$AH$15:$AK$18,4,FALSE)</f>
        <v>0.78</v>
      </c>
      <c r="M24" s="8">
        <v>0.9</v>
      </c>
      <c r="N24" s="461">
        <f t="shared" si="5"/>
        <v>0.7</v>
      </c>
      <c r="O24" s="81">
        <f t="shared" si="6"/>
        <v>0.89743589743589736</v>
      </c>
      <c r="P24" s="81">
        <f t="shared" si="7"/>
        <v>1</v>
      </c>
      <c r="Q24" s="89">
        <f t="shared" si="8"/>
        <v>0.89743589743589736</v>
      </c>
      <c r="R24" s="461">
        <f>VLOOKUP(F24,坦克类型系数!$AQ$3:$AX$10,MATCH("瞄准速度",坦克类型系数!$AQ$3:$AX$3,0),FALSE)</f>
        <v>1</v>
      </c>
      <c r="S24" s="8">
        <v>1</v>
      </c>
      <c r="T24" s="461">
        <f>(VLOOKUP(F24,坦克类型系数!$AM$3:$AO$10,MATCH("射击间隔max",坦克类型系数!$AM$3:$AO$3,0),FALSE)-VLOOKUP(F24,坦克类型系数!$AM$3:$AO$10,MATCH("射击间隔min",坦克类型系数!$AM$3:$AO$3,0),FALSE))*S24+VLOOKUP(F24,坦克类型系数!$AM$3:$AO$10,MATCH("射击间隔min",坦克类型系数!$AM$3:$AO$3,0),FALSE)</f>
        <v>0</v>
      </c>
      <c r="U24" s="89">
        <f>(T24-VLOOKUP(F24,标准坦克设计!$B$13:$K$20,MATCH("射击间隔",标准坦克设计!$B$13:$K$13,0),FALSE))/0.1*VLOOKUP($B$15,$B$3:$J$15,MATCH(F24,$B$3:$J$3,0),FALSE)+1</f>
        <v>1</v>
      </c>
      <c r="V24" s="77">
        <f>VLOOKUP(D24,坦克类型系数!$BI$3:$BK$6,2,FALSE)</f>
        <v>1</v>
      </c>
      <c r="W24" s="81">
        <f>VLOOKUP(D24,坦克类型系数!$BI$3:$BK$6,3,FALSE)</f>
        <v>2.1563141881038952</v>
      </c>
      <c r="X24" s="8">
        <v>3</v>
      </c>
      <c r="Y24" s="8">
        <v>0.8</v>
      </c>
      <c r="Z24" s="81">
        <f>VLOOKUP(D24,坦克类型系数!$CQ$9:$CY$12,2,FALSE)*$M$4*Y24</f>
        <v>9.4270655892191453</v>
      </c>
      <c r="AA24" s="81">
        <f>VLOOKUP(D24,坦克类型系数!$CQ$9:$CY$12,6,FALSE)*$M$4*Y24</f>
        <v>37.708262356876581</v>
      </c>
      <c r="AB24" s="81">
        <f>VLOOKUP(D24,坦克类型系数!$CQ$3:$CY$6,9,FALSE)</f>
        <v>58.919159932619657</v>
      </c>
      <c r="AC24" s="78">
        <f>VLOOKUP(F24,坦克类型系数!$BM$3:$BV$10,6,FALSE)</f>
        <v>1.56</v>
      </c>
      <c r="AD24" s="53">
        <f t="shared" si="3"/>
        <v>1.25</v>
      </c>
      <c r="AE24" s="81">
        <f>VLOOKUP(D24,坦克类型系数!$DE$3:$DH$6,3,FALSE)*AD24</f>
        <v>56.25</v>
      </c>
      <c r="AF24" s="8">
        <v>0.9</v>
      </c>
      <c r="AG24" s="89">
        <f t="shared" si="4"/>
        <v>1</v>
      </c>
      <c r="AH24" s="78">
        <f>VLOOKUP(D24,坦克类型系数!$BZ$21:$CF$24,2,FALSE)*AF24</f>
        <v>13.14</v>
      </c>
      <c r="AI24" s="81">
        <f>VLOOKUP(D24,坦克类型系数!$BZ$21:$CF$24,5,FALSE)*AF24</f>
        <v>13.14</v>
      </c>
      <c r="AJ24" s="81">
        <f>VLOOKUP(D24,坦克类型系数!$BZ$21:$CF$24,4,FALSE)</f>
        <v>23.714285714285719</v>
      </c>
      <c r="AK24" s="81">
        <f>VLOOKUP(D24,坦克类型系数!$BZ$21:$CF$24,7,FALSE)</f>
        <v>16.600000000000001</v>
      </c>
      <c r="AL24" s="81">
        <f>VLOOKUP(D24,坦克类型系数!$CH$21:$CN$24,4,FALSE)</f>
        <v>37.200000000000003</v>
      </c>
      <c r="AM24" s="81">
        <f>VLOOKUP(D24,坦克类型系数!$CH$21:$CN$24,7,FALSE)</f>
        <v>62.000000000000007</v>
      </c>
      <c r="AN24" s="78">
        <f>VLOOKUP(F24,坦克类型系数!$BM$13:$BV$20,6,FALSE)</f>
        <v>1.56</v>
      </c>
      <c r="AO24" s="92">
        <f>基础属性系数!$C$56</f>
        <v>0.2</v>
      </c>
      <c r="AP24" s="92">
        <f>基础属性系数!$C$55</f>
        <v>0.3</v>
      </c>
      <c r="AQ24" s="78">
        <f>VLOOKUP(D24,坦克类型系数!$DE$9:$DH$12,2,FALSE)</f>
        <v>1</v>
      </c>
      <c r="AR24" s="78">
        <f>VLOOKUP(D24,坦克类型系数!$DE$9:$DH$12,3,FALSE)</f>
        <v>1</v>
      </c>
      <c r="AS24" s="78">
        <f>VLOOKUP(D24,坦克类型系数!$DE$9:$DH$12,4,FALSE)</f>
        <v>1</v>
      </c>
      <c r="AT24" s="78">
        <f>VLOOKUP(D24,坦克类型系数!$AH$9:$AK$12,3,FALSE)</f>
        <v>40</v>
      </c>
      <c r="AU24" s="78">
        <f>VLOOKUP(D24,坦克类型系数!$AH$9:$AK$12,4,FALSE)</f>
        <v>100</v>
      </c>
      <c r="AV24" s="92">
        <f>VLOOKUP($B24,坦克类型系数!$B$3:$AF$33,MATCH(AV$18,坦克类型系数!$B$3:$AF$3,0),FALSE)</f>
        <v>1.9</v>
      </c>
      <c r="AW24" s="92">
        <f>VLOOKUP($B24,坦克类型系数!$B$3:$AF$33,MATCH(AW$18,坦克类型系数!$B$3:$AF$3,0),FALSE)</f>
        <v>1.55</v>
      </c>
      <c r="AX24" s="92">
        <f>VLOOKUP($B24,坦克类型系数!$B$3:$AF$33,MATCH(AX$18,坦克类型系数!$B$3:$AF$3,0),FALSE)</f>
        <v>1.25</v>
      </c>
      <c r="AY24" s="92">
        <f>VLOOKUP($B24,坦克类型系数!$B$3:$AF$33,MATCH(AY$18,坦克类型系数!$B$3:$AF$3,0),FALSE)</f>
        <v>1.25</v>
      </c>
      <c r="AZ24" s="92">
        <f>VLOOKUP($B24,坦克类型系数!$B$3:$AF$33,MATCH(AZ$18,坦克类型系数!$B$3:$AF$3,0),FALSE)</f>
        <v>1.1000000000000001</v>
      </c>
      <c r="BA24" s="92">
        <f>VLOOKUP($B24,坦克类型系数!$B$3:$AF$33,MATCH(BA$18,坦克类型系数!$B$3:$AF$3,0),FALSE)</f>
        <v>0.89999999999999991</v>
      </c>
      <c r="BB24" s="92">
        <f>VLOOKUP($B24,坦克类型系数!$B$3:$AF$33,MATCH(BB$18,坦克类型系数!$B$3:$AF$3,0),FALSE)</f>
        <v>0.75</v>
      </c>
    </row>
    <row r="25" spans="2:54" x14ac:dyDescent="0.35">
      <c r="B25" s="77" t="s">
        <v>620</v>
      </c>
      <c r="C25" s="77" t="s">
        <v>548</v>
      </c>
      <c r="D25" s="177" t="str">
        <f>坦克类型系数!C10</f>
        <v>轻坦</v>
      </c>
      <c r="E25" s="8" t="s">
        <v>923</v>
      </c>
      <c r="F25" s="8" t="s">
        <v>408</v>
      </c>
      <c r="G25" s="177">
        <f>坦克类型系数!D10</f>
        <v>4.8</v>
      </c>
      <c r="H25" s="177">
        <f>坦克类型系数!E10</f>
        <v>2.94</v>
      </c>
      <c r="I25" s="177">
        <f>坦克类型系数!F10</f>
        <v>5.63</v>
      </c>
      <c r="J25" s="89">
        <f>SQRT(I25/VLOOKUP(D25,坦克类型系数!$AH$3:$AK$6,4,FALSE))</f>
        <v>0.95523805445591059</v>
      </c>
      <c r="K25" s="8" t="s">
        <v>648</v>
      </c>
      <c r="L25" s="69">
        <f>VLOOKUP(D25,坦克类型系数!$AH$15:$AK$18,4,FALSE)</f>
        <v>0.78</v>
      </c>
      <c r="M25" s="8">
        <v>1.05</v>
      </c>
      <c r="N25" s="461">
        <f t="shared" si="5"/>
        <v>0.82</v>
      </c>
      <c r="O25" s="81">
        <f t="shared" si="6"/>
        <v>1.0512820512820511</v>
      </c>
      <c r="P25" s="81">
        <f t="shared" si="7"/>
        <v>0.96699669966996704</v>
      </c>
      <c r="Q25" s="89">
        <f t="shared" si="8"/>
        <v>1.0165862740120164</v>
      </c>
      <c r="R25" s="461">
        <f>VLOOKUP(F25,坦克类型系数!$AQ$3:$AX$10,MATCH("瞄准速度",坦克类型系数!$AQ$3:$AX$3,0),FALSE)</f>
        <v>1.2</v>
      </c>
      <c r="S25" s="8">
        <v>0.5</v>
      </c>
      <c r="T25" s="461">
        <f>(VLOOKUP(F25,坦克类型系数!$AM$3:$AO$10,MATCH("射击间隔max",坦克类型系数!$AM$3:$AO$3,0),FALSE)-VLOOKUP(F25,坦克类型系数!$AM$3:$AO$10,MATCH("射击间隔min",坦克类型系数!$AM$3:$AO$3,0),FALSE))*S25+VLOOKUP(F25,坦克类型系数!$AM$3:$AO$10,MATCH("射击间隔min",坦克类型系数!$AM$3:$AO$3,0),FALSE)</f>
        <v>0.30000000000000004</v>
      </c>
      <c r="U25" s="89">
        <f>(T25-VLOOKUP(F25,标准坦克设计!$B$13:$K$20,MATCH("射击间隔",标准坦克设计!$B$13:$K$13,0),FALSE))/0.1*VLOOKUP($B$15,$B$3:$J$15,MATCH(F25,$B$3:$J$3,0),FALSE)+1</f>
        <v>0.94047546726606324</v>
      </c>
      <c r="V25" s="77">
        <f>VLOOKUP(D25,坦克类型系数!$BI$3:$BK$6,2,FALSE)</f>
        <v>1</v>
      </c>
      <c r="W25" s="81">
        <f>VLOOKUP(D25,坦克类型系数!$BI$3:$BK$6,3,FALSE)</f>
        <v>2.1563141881038952</v>
      </c>
      <c r="X25" s="8">
        <v>2</v>
      </c>
      <c r="Y25" s="8">
        <v>0.9</v>
      </c>
      <c r="Z25" s="81">
        <f>VLOOKUP(D25,坦克类型系数!$CQ$9:$CY$12,2,FALSE)*$M$4*Y25</f>
        <v>10.60544878787154</v>
      </c>
      <c r="AA25" s="81">
        <f>VLOOKUP(D25,坦克类型系数!$CQ$9:$CY$12,6,FALSE)*$M$4*Y25</f>
        <v>42.421795151486158</v>
      </c>
      <c r="AB25" s="81">
        <f>VLOOKUP(D25,坦克类型系数!$CQ$3:$CY$6,9,FALSE)</f>
        <v>58.919159932619657</v>
      </c>
      <c r="AC25" s="78">
        <f>VLOOKUP(F25,坦克类型系数!$BM$3:$BV$10,6,FALSE)</f>
        <v>0.8580000000000001</v>
      </c>
      <c r="AD25" s="53">
        <f t="shared" si="3"/>
        <v>1.1111111111111112</v>
      </c>
      <c r="AE25" s="81">
        <f>VLOOKUP(D25,坦克类型系数!$DE$3:$DH$6,3,FALSE)*AD25</f>
        <v>50</v>
      </c>
      <c r="AF25" s="8">
        <v>0.95</v>
      </c>
      <c r="AG25" s="89">
        <f t="shared" si="4"/>
        <v>1.0324661446351304</v>
      </c>
      <c r="AH25" s="78">
        <f>VLOOKUP(D25,坦克类型系数!$BZ$21:$CF$24,2,FALSE)*AF25</f>
        <v>13.87</v>
      </c>
      <c r="AI25" s="81">
        <f>VLOOKUP(D25,坦克类型系数!$BZ$21:$CF$24,5,FALSE)*AF25</f>
        <v>13.87</v>
      </c>
      <c r="AJ25" s="81">
        <f>VLOOKUP(D25,坦克类型系数!$BZ$21:$CF$24,4,FALSE)</f>
        <v>23.714285714285719</v>
      </c>
      <c r="AK25" s="81">
        <f>VLOOKUP(D25,坦克类型系数!$BZ$21:$CF$24,7,FALSE)</f>
        <v>16.600000000000001</v>
      </c>
      <c r="AL25" s="81">
        <f>VLOOKUP(D25,坦克类型系数!$CH$21:$CN$24,4,FALSE)</f>
        <v>37.200000000000003</v>
      </c>
      <c r="AM25" s="81">
        <f>VLOOKUP(D25,坦克类型系数!$CH$21:$CN$24,7,FALSE)</f>
        <v>62.000000000000007</v>
      </c>
      <c r="AN25" s="78">
        <f>VLOOKUP(F25,坦克类型系数!$BM$13:$BV$20,6,FALSE)</f>
        <v>0.8580000000000001</v>
      </c>
      <c r="AO25" s="92">
        <f>基础属性系数!$C$56</f>
        <v>0.2</v>
      </c>
      <c r="AP25" s="92">
        <f>基础属性系数!$C$55</f>
        <v>0.3</v>
      </c>
      <c r="AQ25" s="78">
        <f>VLOOKUP(D25,坦克类型系数!$DE$9:$DH$12,2,FALSE)</f>
        <v>1</v>
      </c>
      <c r="AR25" s="78">
        <f>VLOOKUP(D25,坦克类型系数!$DE$9:$DH$12,3,FALSE)</f>
        <v>1</v>
      </c>
      <c r="AS25" s="78">
        <f>VLOOKUP(D25,坦克类型系数!$DE$9:$DH$12,4,FALSE)</f>
        <v>1</v>
      </c>
      <c r="AT25" s="78">
        <f>VLOOKUP(D25,坦克类型系数!$AH$9:$AK$12,3,FALSE)</f>
        <v>40</v>
      </c>
      <c r="AU25" s="78">
        <f>VLOOKUP(D25,坦克类型系数!$AH$9:$AK$12,4,FALSE)</f>
        <v>100</v>
      </c>
      <c r="AV25" s="92">
        <f>VLOOKUP($B25,坦克类型系数!$B$3:$AF$33,MATCH(AV$18,坦克类型系数!$B$3:$AF$3,0),FALSE)</f>
        <v>1.85</v>
      </c>
      <c r="AW25" s="92">
        <f>VLOOKUP($B25,坦克类型系数!$B$3:$AF$33,MATCH(AW$18,坦克类型系数!$B$3:$AF$3,0),FALSE)</f>
        <v>1.45</v>
      </c>
      <c r="AX25" s="92">
        <f>VLOOKUP($B25,坦克类型系数!$B$3:$AF$33,MATCH(AX$18,坦克类型系数!$B$3:$AF$3,0),FALSE)</f>
        <v>1.1500000000000001</v>
      </c>
      <c r="AY25" s="92">
        <f>VLOOKUP($B25,坦克类型系数!$B$3:$AF$33,MATCH(AY$18,坦克类型系数!$B$3:$AF$3,0),FALSE)</f>
        <v>1.1500000000000001</v>
      </c>
      <c r="AZ25" s="92">
        <f>VLOOKUP($B25,坦克类型系数!$B$3:$AF$33,MATCH(AZ$18,坦克类型系数!$B$3:$AF$3,0),FALSE)</f>
        <v>1.05</v>
      </c>
      <c r="BA25" s="92">
        <f>VLOOKUP($B25,坦克类型系数!$B$3:$AF$33,MATCH(BA$18,坦克类型系数!$B$3:$AF$3,0),FALSE)</f>
        <v>0.89999999999999991</v>
      </c>
      <c r="BB25" s="92">
        <f>VLOOKUP($B25,坦克类型系数!$B$3:$AF$33,MATCH(BB$18,坦克类型系数!$B$3:$AF$3,0),FALSE)</f>
        <v>0.75</v>
      </c>
    </row>
    <row r="26" spans="2:54" x14ac:dyDescent="0.35">
      <c r="B26" s="77" t="s">
        <v>572</v>
      </c>
      <c r="C26" s="77" t="s">
        <v>550</v>
      </c>
      <c r="D26" s="177" t="str">
        <f>坦克类型系数!C11</f>
        <v>轻坦</v>
      </c>
      <c r="E26" s="8" t="s">
        <v>923</v>
      </c>
      <c r="F26" s="8" t="s">
        <v>603</v>
      </c>
      <c r="G26" s="177">
        <f>坦克类型系数!D11</f>
        <v>5.61</v>
      </c>
      <c r="H26" s="177">
        <f>坦克类型系数!E11</f>
        <v>3.21</v>
      </c>
      <c r="I26" s="177">
        <f>坦克类型系数!F11</f>
        <v>6.46</v>
      </c>
      <c r="J26" s="89">
        <f>SQRT(I26/VLOOKUP(D26,坦克类型系数!$AH$3:$AK$6,4,FALSE))</f>
        <v>1.0232309713576613</v>
      </c>
      <c r="K26" s="8" t="s">
        <v>648</v>
      </c>
      <c r="L26" s="69">
        <f>VLOOKUP(D26,坦克类型系数!$AH$15:$AK$18,4,FALSE)</f>
        <v>0.78</v>
      </c>
      <c r="M26" s="8">
        <v>0.95</v>
      </c>
      <c r="N26" s="461">
        <f t="shared" si="5"/>
        <v>0.74</v>
      </c>
      <c r="O26" s="81">
        <f t="shared" si="6"/>
        <v>0.94871794871794868</v>
      </c>
      <c r="P26" s="81">
        <f t="shared" si="7"/>
        <v>1</v>
      </c>
      <c r="Q26" s="89">
        <f t="shared" si="8"/>
        <v>0.94871794871794868</v>
      </c>
      <c r="R26" s="461">
        <f>VLOOKUP(F26,坦克类型系数!$AQ$3:$AX$10,MATCH("瞄准速度",坦克类型系数!$AQ$3:$AX$3,0),FALSE)</f>
        <v>1</v>
      </c>
      <c r="S26" s="8">
        <v>1</v>
      </c>
      <c r="T26" s="461">
        <f>(VLOOKUP(F26,坦克类型系数!$AM$3:$AO$10,MATCH("射击间隔max",坦克类型系数!$AM$3:$AO$3,0),FALSE)-VLOOKUP(F26,坦克类型系数!$AM$3:$AO$10,MATCH("射击间隔min",坦克类型系数!$AM$3:$AO$3,0),FALSE))*S26+VLOOKUP(F26,坦克类型系数!$AM$3:$AO$10,MATCH("射击间隔min",坦克类型系数!$AM$3:$AO$3,0),FALSE)</f>
        <v>0</v>
      </c>
      <c r="U26" s="89">
        <f>(T26-VLOOKUP(F26,标准坦克设计!$B$13:$K$20,MATCH("射击间隔",标准坦克设计!$B$13:$K$13,0),FALSE))/0.1*VLOOKUP($B$15,$B$3:$J$15,MATCH(F26,$B$3:$J$3,0),FALSE)+1</f>
        <v>1</v>
      </c>
      <c r="V26" s="77">
        <f>VLOOKUP(D26,坦克类型系数!$BI$3:$BK$6,2,FALSE)</f>
        <v>1</v>
      </c>
      <c r="W26" s="81">
        <f>VLOOKUP(D26,坦克类型系数!$BI$3:$BK$6,3,FALSE)</f>
        <v>2.1563141881038952</v>
      </c>
      <c r="X26" s="8">
        <v>3</v>
      </c>
      <c r="Y26" s="8">
        <v>0.8</v>
      </c>
      <c r="Z26" s="81">
        <f>VLOOKUP(D26,坦克类型系数!$CQ$9:$CY$12,2,FALSE)*$M$4*Y26</f>
        <v>9.4270655892191453</v>
      </c>
      <c r="AA26" s="81">
        <f>VLOOKUP(D26,坦克类型系数!$CQ$9:$CY$12,6,FALSE)*$M$4*Y26</f>
        <v>37.708262356876581</v>
      </c>
      <c r="AB26" s="81">
        <f>VLOOKUP(D26,坦克类型系数!$CQ$3:$CY$6,9,FALSE)</f>
        <v>58.919159932619657</v>
      </c>
      <c r="AC26" s="78">
        <f>VLOOKUP(F26,坦克类型系数!$BM$3:$BV$10,6,FALSE)</f>
        <v>1.56</v>
      </c>
      <c r="AD26" s="53">
        <f t="shared" si="3"/>
        <v>1.25</v>
      </c>
      <c r="AE26" s="81">
        <f>VLOOKUP(D26,坦克类型系数!$DE$3:$DH$6,3,FALSE)*AD26</f>
        <v>56.25</v>
      </c>
      <c r="AF26" s="8">
        <v>0.9</v>
      </c>
      <c r="AG26" s="89">
        <f t="shared" si="4"/>
        <v>1</v>
      </c>
      <c r="AH26" s="78">
        <f>VLOOKUP(D26,坦克类型系数!$BZ$21:$CF$24,2,FALSE)*AF26</f>
        <v>13.14</v>
      </c>
      <c r="AI26" s="81">
        <f>VLOOKUP(D26,坦克类型系数!$BZ$21:$CF$24,5,FALSE)*AF26</f>
        <v>13.14</v>
      </c>
      <c r="AJ26" s="81">
        <f>VLOOKUP(D26,坦克类型系数!$BZ$21:$CF$24,4,FALSE)</f>
        <v>23.714285714285719</v>
      </c>
      <c r="AK26" s="81">
        <f>VLOOKUP(D26,坦克类型系数!$BZ$21:$CF$24,7,FALSE)</f>
        <v>16.600000000000001</v>
      </c>
      <c r="AL26" s="81">
        <f>VLOOKUP(D26,坦克类型系数!$CH$21:$CN$24,4,FALSE)</f>
        <v>37.200000000000003</v>
      </c>
      <c r="AM26" s="81">
        <f>VLOOKUP(D26,坦克类型系数!$CH$21:$CN$24,7,FALSE)</f>
        <v>62.000000000000007</v>
      </c>
      <c r="AN26" s="78">
        <f>VLOOKUP(F26,坦克类型系数!$BM$13:$BV$20,6,FALSE)</f>
        <v>1.56</v>
      </c>
      <c r="AO26" s="92">
        <f>基础属性系数!$C$56</f>
        <v>0.2</v>
      </c>
      <c r="AP26" s="92">
        <f>基础属性系数!$C$55</f>
        <v>0.3</v>
      </c>
      <c r="AQ26" s="78">
        <f>VLOOKUP(D26,坦克类型系数!$DE$9:$DH$12,2,FALSE)</f>
        <v>1</v>
      </c>
      <c r="AR26" s="78">
        <f>VLOOKUP(D26,坦克类型系数!$DE$9:$DH$12,3,FALSE)</f>
        <v>1</v>
      </c>
      <c r="AS26" s="78">
        <f>VLOOKUP(D26,坦克类型系数!$DE$9:$DH$12,4,FALSE)</f>
        <v>1</v>
      </c>
      <c r="AT26" s="78">
        <f>VLOOKUP(D26,坦克类型系数!$AH$9:$AK$12,3,FALSE)</f>
        <v>40</v>
      </c>
      <c r="AU26" s="78">
        <f>VLOOKUP(D26,坦克类型系数!$AH$9:$AK$12,4,FALSE)</f>
        <v>100</v>
      </c>
      <c r="AV26" s="92">
        <f>VLOOKUP($B26,坦克类型系数!$B$3:$AF$33,MATCH(AV$18,坦克类型系数!$B$3:$AF$3,0),FALSE)</f>
        <v>1.85</v>
      </c>
      <c r="AW26" s="92">
        <f>VLOOKUP($B26,坦克类型系数!$B$3:$AF$33,MATCH(AW$18,坦克类型系数!$B$3:$AF$3,0),FALSE)</f>
        <v>1.35</v>
      </c>
      <c r="AX26" s="92">
        <f>VLOOKUP($B26,坦克类型系数!$B$3:$AF$33,MATCH(AX$18,坦克类型系数!$B$3:$AF$3,0),FALSE)</f>
        <v>1.2</v>
      </c>
      <c r="AY26" s="92">
        <f>VLOOKUP($B26,坦克类型系数!$B$3:$AF$33,MATCH(AY$18,坦克类型系数!$B$3:$AF$3,0),FALSE)</f>
        <v>1.2</v>
      </c>
      <c r="AZ26" s="92">
        <f>VLOOKUP($B26,坦克类型系数!$B$3:$AF$33,MATCH(AZ$18,坦克类型系数!$B$3:$AF$3,0),FALSE)</f>
        <v>1.1500000000000001</v>
      </c>
      <c r="BA26" s="92">
        <f>VLOOKUP($B26,坦克类型系数!$B$3:$AF$33,MATCH(BA$18,坦克类型系数!$B$3:$AF$3,0),FALSE)</f>
        <v>0.95</v>
      </c>
      <c r="BB26" s="92">
        <f>VLOOKUP($B26,坦克类型系数!$B$3:$AF$33,MATCH(BB$18,坦克类型系数!$B$3:$AF$3,0),FALSE)</f>
        <v>0.89999999999999991</v>
      </c>
    </row>
    <row r="27" spans="2:54" x14ac:dyDescent="0.35">
      <c r="B27" s="77" t="s">
        <v>621</v>
      </c>
      <c r="C27" s="77" t="s">
        <v>551</v>
      </c>
      <c r="D27" s="177" t="str">
        <f>坦克类型系数!C12</f>
        <v>轻坦</v>
      </c>
      <c r="E27" s="8" t="s">
        <v>923</v>
      </c>
      <c r="F27" s="8" t="s">
        <v>408</v>
      </c>
      <c r="G27" s="177">
        <f>坦克类型系数!D12</f>
        <v>6.99</v>
      </c>
      <c r="H27" s="177">
        <f>坦克类型系数!E12</f>
        <v>3.24</v>
      </c>
      <c r="I27" s="177">
        <f>坦克类型系数!F12</f>
        <v>7.7</v>
      </c>
      <c r="J27" s="89">
        <f>SQRT(I27/VLOOKUP(D27,坦克类型系数!$AH$3:$AK$6,4,FALSE))</f>
        <v>1.1171275970413197</v>
      </c>
      <c r="K27" s="8" t="s">
        <v>648</v>
      </c>
      <c r="L27" s="69">
        <f>VLOOKUP(D27,坦克类型系数!$AH$15:$AK$18,4,FALSE)</f>
        <v>0.78</v>
      </c>
      <c r="M27" s="8">
        <v>1</v>
      </c>
      <c r="N27" s="461">
        <f t="shared" si="5"/>
        <v>0.78</v>
      </c>
      <c r="O27" s="81">
        <f t="shared" si="6"/>
        <v>1</v>
      </c>
      <c r="P27" s="81">
        <f t="shared" si="7"/>
        <v>1</v>
      </c>
      <c r="Q27" s="89">
        <f t="shared" si="8"/>
        <v>1</v>
      </c>
      <c r="R27" s="461">
        <f>VLOOKUP(F27,坦克类型系数!$AQ$3:$AX$10,MATCH("瞄准速度",坦克类型系数!$AQ$3:$AX$3,0),FALSE)</f>
        <v>1.2</v>
      </c>
      <c r="S27" s="8">
        <v>1</v>
      </c>
      <c r="T27" s="461">
        <f>(VLOOKUP(F27,坦克类型系数!$AM$3:$AO$10,MATCH("射击间隔max",坦克类型系数!$AM$3:$AO$3,0),FALSE)-VLOOKUP(F27,坦克类型系数!$AM$3:$AO$10,MATCH("射击间隔min",坦克类型系数!$AM$3:$AO$3,0),FALSE))*S27+VLOOKUP(F27,坦克类型系数!$AM$3:$AO$10,MATCH("射击间隔min",坦克类型系数!$AM$3:$AO$3,0),FALSE)</f>
        <v>0.4</v>
      </c>
      <c r="U27" s="89">
        <f>(T27-VLOOKUP(F27,标准坦克设计!$B$13:$K$20,MATCH("射击间隔",标准坦克设计!$B$13:$K$13,0),FALSE))/0.1*VLOOKUP($B$15,$B$3:$J$15,MATCH(F27,$B$3:$J$3,0),FALSE)+1</f>
        <v>1</v>
      </c>
      <c r="V27" s="77">
        <f>VLOOKUP(D27,坦克类型系数!$BI$3:$BK$6,2,FALSE)</f>
        <v>1</v>
      </c>
      <c r="W27" s="81">
        <f>VLOOKUP(D27,坦克类型系数!$BI$3:$BK$6,3,FALSE)</f>
        <v>2.1563141881038952</v>
      </c>
      <c r="X27" s="8">
        <v>2</v>
      </c>
      <c r="Y27" s="8">
        <v>0.9</v>
      </c>
      <c r="Z27" s="81">
        <f>VLOOKUP(D27,坦克类型系数!$CQ$9:$CY$12,2,FALSE)*$M$4*Y27</f>
        <v>10.60544878787154</v>
      </c>
      <c r="AA27" s="81">
        <f>VLOOKUP(D27,坦克类型系数!$CQ$9:$CY$12,6,FALSE)*$M$4*Y27</f>
        <v>42.421795151486158</v>
      </c>
      <c r="AB27" s="81">
        <f>VLOOKUP(D27,坦克类型系数!$CQ$3:$CY$6,9,FALSE)</f>
        <v>58.919159932619657</v>
      </c>
      <c r="AC27" s="78">
        <f>VLOOKUP(F27,坦克类型系数!$BM$3:$BV$10,6,FALSE)</f>
        <v>0.8580000000000001</v>
      </c>
      <c r="AD27" s="53">
        <f t="shared" si="3"/>
        <v>1.1111111111111112</v>
      </c>
      <c r="AE27" s="81">
        <f>VLOOKUP(D27,坦克类型系数!$DE$3:$DH$6,3,FALSE)*AD27</f>
        <v>50</v>
      </c>
      <c r="AF27" s="8">
        <v>0.95</v>
      </c>
      <c r="AG27" s="89">
        <f t="shared" si="4"/>
        <v>1.0324661446351304</v>
      </c>
      <c r="AH27" s="78">
        <f>VLOOKUP(D27,坦克类型系数!$BZ$21:$CF$24,2,FALSE)*AF27</f>
        <v>13.87</v>
      </c>
      <c r="AI27" s="81">
        <f>VLOOKUP(D27,坦克类型系数!$BZ$21:$CF$24,5,FALSE)*AF27</f>
        <v>13.87</v>
      </c>
      <c r="AJ27" s="81">
        <f>VLOOKUP(D27,坦克类型系数!$BZ$21:$CF$24,4,FALSE)</f>
        <v>23.714285714285719</v>
      </c>
      <c r="AK27" s="81">
        <f>VLOOKUP(D27,坦克类型系数!$BZ$21:$CF$24,7,FALSE)</f>
        <v>16.600000000000001</v>
      </c>
      <c r="AL27" s="81">
        <f>VLOOKUP(D27,坦克类型系数!$CH$21:$CN$24,4,FALSE)</f>
        <v>37.200000000000003</v>
      </c>
      <c r="AM27" s="81">
        <f>VLOOKUP(D27,坦克类型系数!$CH$21:$CN$24,7,FALSE)</f>
        <v>62.000000000000007</v>
      </c>
      <c r="AN27" s="78">
        <f>VLOOKUP(F27,坦克类型系数!$BM$13:$BV$20,6,FALSE)</f>
        <v>0.8580000000000001</v>
      </c>
      <c r="AO27" s="92">
        <f>基础属性系数!$C$56</f>
        <v>0.2</v>
      </c>
      <c r="AP27" s="92">
        <f>基础属性系数!$C$55</f>
        <v>0.3</v>
      </c>
      <c r="AQ27" s="78">
        <f>VLOOKUP(D27,坦克类型系数!$DE$9:$DH$12,2,FALSE)</f>
        <v>1</v>
      </c>
      <c r="AR27" s="78">
        <f>VLOOKUP(D27,坦克类型系数!$DE$9:$DH$12,3,FALSE)</f>
        <v>1</v>
      </c>
      <c r="AS27" s="78">
        <f>VLOOKUP(D27,坦克类型系数!$DE$9:$DH$12,4,FALSE)</f>
        <v>1</v>
      </c>
      <c r="AT27" s="78">
        <f>VLOOKUP(D27,坦克类型系数!$AH$9:$AK$12,3,FALSE)</f>
        <v>40</v>
      </c>
      <c r="AU27" s="78">
        <f>VLOOKUP(D27,坦克类型系数!$AH$9:$AK$12,4,FALSE)</f>
        <v>100</v>
      </c>
      <c r="AV27" s="92">
        <f>VLOOKUP($B27,坦克类型系数!$B$3:$AF$33,MATCH(AV$18,坦克类型系数!$B$3:$AF$3,0),FALSE)</f>
        <v>2.15</v>
      </c>
      <c r="AW27" s="92">
        <f>VLOOKUP($B27,坦克类型系数!$B$3:$AF$33,MATCH(AW$18,坦克类型系数!$B$3:$AF$3,0),FALSE)</f>
        <v>1.6500000000000001</v>
      </c>
      <c r="AX27" s="92">
        <f>VLOOKUP($B27,坦克类型系数!$B$3:$AF$33,MATCH(AX$18,坦克类型系数!$B$3:$AF$3,0),FALSE)</f>
        <v>1.25</v>
      </c>
      <c r="AY27" s="92">
        <f>VLOOKUP($B27,坦克类型系数!$B$3:$AF$33,MATCH(AY$18,坦克类型系数!$B$3:$AF$3,0),FALSE)</f>
        <v>1.25</v>
      </c>
      <c r="AZ27" s="92">
        <f>VLOOKUP($B27,坦克类型系数!$B$3:$AF$33,MATCH(AZ$18,坦克类型系数!$B$3:$AF$3,0),FALSE)</f>
        <v>1.1500000000000001</v>
      </c>
      <c r="BA27" s="92">
        <f>VLOOKUP($B27,坦克类型系数!$B$3:$AF$33,MATCH(BA$18,坦克类型系数!$B$3:$AF$3,0),FALSE)</f>
        <v>1</v>
      </c>
      <c r="BB27" s="92">
        <f>VLOOKUP($B27,坦克类型系数!$B$3:$AF$33,MATCH(BB$18,坦克类型系数!$B$3:$AF$3,0),FALSE)</f>
        <v>0.95</v>
      </c>
    </row>
    <row r="28" spans="2:54" x14ac:dyDescent="0.35">
      <c r="B28" s="77" t="s">
        <v>622</v>
      </c>
      <c r="C28" s="77">
        <v>59</v>
      </c>
      <c r="D28" s="177" t="str">
        <f>坦克类型系数!C13</f>
        <v>轻坦</v>
      </c>
      <c r="E28" s="8" t="s">
        <v>924</v>
      </c>
      <c r="F28" s="8" t="s">
        <v>603</v>
      </c>
      <c r="G28" s="177">
        <f>坦克类型系数!D13</f>
        <v>6.05</v>
      </c>
      <c r="H28" s="177">
        <f>坦克类型系数!E13</f>
        <v>3.23</v>
      </c>
      <c r="I28" s="177">
        <f>坦克类型系数!F13</f>
        <v>6.86</v>
      </c>
      <c r="J28" s="89">
        <f>SQRT(I28/VLOOKUP(D28,坦克类型系数!$AH$3:$AK$6,4,FALSE))</f>
        <v>1.0544341811908098</v>
      </c>
      <c r="K28" s="8" t="s">
        <v>648</v>
      </c>
      <c r="L28" s="69">
        <f>VLOOKUP(D28,坦克类型系数!$AH$15:$AK$18,4,FALSE)</f>
        <v>0.78</v>
      </c>
      <c r="M28" s="8">
        <v>0.9</v>
      </c>
      <c r="N28" s="461">
        <f t="shared" si="5"/>
        <v>0.7</v>
      </c>
      <c r="O28" s="81">
        <f t="shared" si="6"/>
        <v>0.89743589743589736</v>
      </c>
      <c r="P28" s="81">
        <f t="shared" si="7"/>
        <v>1</v>
      </c>
      <c r="Q28" s="89">
        <f t="shared" si="8"/>
        <v>0.89743589743589736</v>
      </c>
      <c r="R28" s="461">
        <f>VLOOKUP(F28,坦克类型系数!$AQ$3:$AX$10,MATCH("瞄准速度",坦克类型系数!$AQ$3:$AX$3,0),FALSE)</f>
        <v>1</v>
      </c>
      <c r="S28" s="8">
        <v>1</v>
      </c>
      <c r="T28" s="461">
        <f>(VLOOKUP(F28,坦克类型系数!$AM$3:$AO$10,MATCH("射击间隔max",坦克类型系数!$AM$3:$AO$3,0),FALSE)-VLOOKUP(F28,坦克类型系数!$AM$3:$AO$10,MATCH("射击间隔min",坦克类型系数!$AM$3:$AO$3,0),FALSE))*S28+VLOOKUP(F28,坦克类型系数!$AM$3:$AO$10,MATCH("射击间隔min",坦克类型系数!$AM$3:$AO$3,0),FALSE)</f>
        <v>0</v>
      </c>
      <c r="U28" s="89">
        <f>(T28-VLOOKUP(F28,标准坦克设计!$B$13:$K$20,MATCH("射击间隔",标准坦克设计!$B$13:$K$13,0),FALSE))/0.1*VLOOKUP($B$15,$B$3:$J$15,MATCH(F28,$B$3:$J$3,0),FALSE)+1</f>
        <v>1</v>
      </c>
      <c r="V28" s="77">
        <f>VLOOKUP(D28,坦克类型系数!$BI$3:$BK$6,2,FALSE)</f>
        <v>1</v>
      </c>
      <c r="W28" s="81">
        <f>VLOOKUP(D28,坦克类型系数!$BI$3:$BK$6,3,FALSE)</f>
        <v>2.1563141881038952</v>
      </c>
      <c r="X28" s="8">
        <v>3</v>
      </c>
      <c r="Y28" s="8">
        <v>0.8</v>
      </c>
      <c r="Z28" s="81">
        <f>VLOOKUP(D28,坦克类型系数!$CQ$9:$CY$12,2,FALSE)*$M$4*Y28</f>
        <v>9.4270655892191453</v>
      </c>
      <c r="AA28" s="81">
        <f>VLOOKUP(D28,坦克类型系数!$CQ$9:$CY$12,6,FALSE)*$M$4*Y28</f>
        <v>37.708262356876581</v>
      </c>
      <c r="AB28" s="81">
        <f>VLOOKUP(D28,坦克类型系数!$CQ$3:$CY$6,9,FALSE)</f>
        <v>58.919159932619657</v>
      </c>
      <c r="AC28" s="78">
        <f>VLOOKUP(F28,坦克类型系数!$BM$3:$BV$10,6,FALSE)</f>
        <v>1.56</v>
      </c>
      <c r="AD28" s="53">
        <f t="shared" si="3"/>
        <v>1.25</v>
      </c>
      <c r="AE28" s="81">
        <f>VLOOKUP(D28,坦克类型系数!$DE$3:$DH$6,3,FALSE)*AD28</f>
        <v>56.25</v>
      </c>
      <c r="AF28" s="8">
        <v>0.9</v>
      </c>
      <c r="AG28" s="89">
        <f t="shared" si="4"/>
        <v>1</v>
      </c>
      <c r="AH28" s="78">
        <f>VLOOKUP(D28,坦克类型系数!$BZ$21:$CF$24,2,FALSE)*AF28</f>
        <v>13.14</v>
      </c>
      <c r="AI28" s="81">
        <f>VLOOKUP(D28,坦克类型系数!$BZ$21:$CF$24,5,FALSE)*AF28</f>
        <v>13.14</v>
      </c>
      <c r="AJ28" s="81">
        <f>VLOOKUP(D28,坦克类型系数!$BZ$21:$CF$24,4,FALSE)</f>
        <v>23.714285714285719</v>
      </c>
      <c r="AK28" s="81">
        <f>VLOOKUP(D28,坦克类型系数!$BZ$21:$CF$24,7,FALSE)</f>
        <v>16.600000000000001</v>
      </c>
      <c r="AL28" s="81">
        <f>VLOOKUP(D28,坦克类型系数!$CH$21:$CN$24,4,FALSE)</f>
        <v>37.200000000000003</v>
      </c>
      <c r="AM28" s="81">
        <f>VLOOKUP(D28,坦克类型系数!$CH$21:$CN$24,7,FALSE)</f>
        <v>62.000000000000007</v>
      </c>
      <c r="AN28" s="78">
        <f>VLOOKUP(F28,坦克类型系数!$BM$13:$BV$20,6,FALSE)</f>
        <v>1.56</v>
      </c>
      <c r="AO28" s="92">
        <f>基础属性系数!$C$56</f>
        <v>0.2</v>
      </c>
      <c r="AP28" s="92">
        <f>基础属性系数!$C$55</f>
        <v>0.3</v>
      </c>
      <c r="AQ28" s="78">
        <f>VLOOKUP(D28,坦克类型系数!$DE$9:$DH$12,2,FALSE)</f>
        <v>1</v>
      </c>
      <c r="AR28" s="78">
        <f>VLOOKUP(D28,坦克类型系数!$DE$9:$DH$12,3,FALSE)</f>
        <v>1</v>
      </c>
      <c r="AS28" s="78">
        <f>VLOOKUP(D28,坦克类型系数!$DE$9:$DH$12,4,FALSE)</f>
        <v>1</v>
      </c>
      <c r="AT28" s="78">
        <f>VLOOKUP(D28,坦克类型系数!$AH$9:$AK$12,3,FALSE)</f>
        <v>40</v>
      </c>
      <c r="AU28" s="78">
        <f>VLOOKUP(D28,坦克类型系数!$AH$9:$AK$12,4,FALSE)</f>
        <v>100</v>
      </c>
      <c r="AV28" s="92">
        <f>VLOOKUP($B28,坦克类型系数!$B$3:$AF$33,MATCH(AV$18,坦克类型系数!$B$3:$AF$3,0),FALSE)</f>
        <v>1.9</v>
      </c>
      <c r="AW28" s="92">
        <f>VLOOKUP($B28,坦克类型系数!$B$3:$AF$33,MATCH(AW$18,坦克类型系数!$B$3:$AF$3,0),FALSE)</f>
        <v>1.45</v>
      </c>
      <c r="AX28" s="92">
        <f>VLOOKUP($B28,坦克类型系数!$B$3:$AF$33,MATCH(AX$18,坦克类型系数!$B$3:$AF$3,0),FALSE)</f>
        <v>1.2</v>
      </c>
      <c r="AY28" s="92">
        <f>VLOOKUP($B28,坦克类型系数!$B$3:$AF$33,MATCH(AY$18,坦克类型系数!$B$3:$AF$3,0),FALSE)</f>
        <v>1.2</v>
      </c>
      <c r="AZ28" s="92">
        <f>VLOOKUP($B28,坦克类型系数!$B$3:$AF$33,MATCH(AZ$18,坦克类型系数!$B$3:$AF$3,0),FALSE)</f>
        <v>1.1500000000000001</v>
      </c>
      <c r="BA28" s="92">
        <f>VLOOKUP($B28,坦克类型系数!$B$3:$AF$33,MATCH(BA$18,坦克类型系数!$B$3:$AF$3,0),FALSE)</f>
        <v>1</v>
      </c>
      <c r="BB28" s="92">
        <f>VLOOKUP($B28,坦克类型系数!$B$3:$AF$33,MATCH(BB$18,坦克类型系数!$B$3:$AF$3,0),FALSE)</f>
        <v>0.85000000000000009</v>
      </c>
    </row>
    <row r="29" spans="2:54" x14ac:dyDescent="0.35">
      <c r="B29" s="77" t="s">
        <v>623</v>
      </c>
      <c r="C29" s="77" t="s">
        <v>546</v>
      </c>
      <c r="D29" s="177" t="str">
        <f>坦克类型系数!C14</f>
        <v>中坦</v>
      </c>
      <c r="E29" s="8" t="s">
        <v>987</v>
      </c>
      <c r="F29" s="8" t="s">
        <v>394</v>
      </c>
      <c r="G29" s="177">
        <f>坦克类型系数!D14</f>
        <v>4.37</v>
      </c>
      <c r="H29" s="177">
        <f>坦克类型系数!E14</f>
        <v>2.2799999999999998</v>
      </c>
      <c r="I29" s="177">
        <f>坦克类型系数!F14</f>
        <v>4.93</v>
      </c>
      <c r="J29" s="89">
        <f>SQRT(I29/VLOOKUP(D29,坦克类型系数!$AH$3:$AK$6,4,FALSE))</f>
        <v>0.8229202890911137</v>
      </c>
      <c r="K29" s="8" t="s">
        <v>647</v>
      </c>
      <c r="L29" s="69">
        <f>VLOOKUP(D29,坦克类型系数!$AH$15:$AK$18,4,FALSE)</f>
        <v>0.71</v>
      </c>
      <c r="M29" s="8">
        <v>1.1000000000000001</v>
      </c>
      <c r="N29" s="461">
        <f t="shared" si="5"/>
        <v>0.78</v>
      </c>
      <c r="O29" s="81">
        <f t="shared" si="6"/>
        <v>1.0985915492957747</v>
      </c>
      <c r="P29" s="81">
        <f t="shared" si="7"/>
        <v>0.94728915662650603</v>
      </c>
      <c r="Q29" s="89">
        <f t="shared" si="8"/>
        <v>1.040683862209401</v>
      </c>
      <c r="R29" s="461">
        <f>VLOOKUP(F29,坦克类型系数!$AQ$3:$AX$10,MATCH("瞄准速度",坦克类型系数!$AQ$3:$AX$3,0),FALSE)</f>
        <v>1.2</v>
      </c>
      <c r="S29" s="8">
        <v>0</v>
      </c>
      <c r="T29" s="461">
        <f>(VLOOKUP(F29,坦克类型系数!$AM$3:$AO$10,MATCH("射击间隔max",坦克类型系数!$AM$3:$AO$3,0),FALSE)-VLOOKUP(F29,坦克类型系数!$AM$3:$AO$10,MATCH("射击间隔min",坦克类型系数!$AM$3:$AO$3,0),FALSE))*S29+VLOOKUP(F29,坦克类型系数!$AM$3:$AO$10,MATCH("射击间隔min",坦克类型系数!$AM$3:$AO$3,0),FALSE)</f>
        <v>0.4</v>
      </c>
      <c r="U29" s="89">
        <f>(T29-VLOOKUP(F29,标准坦克设计!$B$13:$K$20,MATCH("射击间隔",标准坦克设计!$B$13:$K$13,0),FALSE))/0.1*VLOOKUP($B$15,$B$3:$J$15,MATCH(F29,$B$3:$J$3,0),FALSE)+1</f>
        <v>0.77251683501683521</v>
      </c>
      <c r="V29" s="77">
        <f>VLOOKUP(D29,坦克类型系数!$BI$3:$BK$6,2,FALSE)</f>
        <v>0.75</v>
      </c>
      <c r="W29" s="81">
        <f>VLOOKUP(D29,坦克类型系数!$BI$3:$BK$6,3,FALSE)</f>
        <v>1.6422918151337649</v>
      </c>
      <c r="X29" s="8">
        <v>1</v>
      </c>
      <c r="Y29" s="8">
        <v>1</v>
      </c>
      <c r="Z29" s="81">
        <f>VLOOKUP(D29,坦克类型系数!$CQ$9:$CY$12,2,FALSE)*$M$4*Y29</f>
        <v>11.123020662806383</v>
      </c>
      <c r="AA29" s="81">
        <f>VLOOKUP(D29,坦克类型系数!$CQ$9:$CY$12,6,FALSE)*$M$4*Y29</f>
        <v>44.49208265122553</v>
      </c>
      <c r="AB29" s="81">
        <f>VLOOKUP(D29,坦克类型系数!$CQ$3:$CY$6,9,FALSE)</f>
        <v>55.61510331403192</v>
      </c>
      <c r="AC29" s="78">
        <f>VLOOKUP(F29,坦克类型系数!$BM$3:$BV$10,6,FALSE)</f>
        <v>1.42</v>
      </c>
      <c r="AD29" s="53">
        <f t="shared" si="3"/>
        <v>1</v>
      </c>
      <c r="AE29" s="81">
        <f>VLOOKUP(D29,坦克类型系数!$DE$3:$DH$6,3,FALSE)*AD29</f>
        <v>40</v>
      </c>
      <c r="AF29" s="8">
        <v>1</v>
      </c>
      <c r="AG29" s="89">
        <f t="shared" si="4"/>
        <v>1</v>
      </c>
      <c r="AH29" s="78">
        <f>VLOOKUP(D29,坦克类型系数!$BZ$21:$CF$24,2,FALSE)*AF29</f>
        <v>12.3</v>
      </c>
      <c r="AI29" s="81">
        <f>VLOOKUP(D29,坦克类型系数!$BZ$21:$CF$24,5,FALSE)*AF29</f>
        <v>12.3</v>
      </c>
      <c r="AJ29" s="81">
        <f>VLOOKUP(D29,坦克类型系数!$BZ$21:$CF$24,4,FALSE)</f>
        <v>10.214285714285715</v>
      </c>
      <c r="AK29" s="81">
        <f>VLOOKUP(D29,坦克类型系数!$BZ$21:$CF$24,7,FALSE)</f>
        <v>7.15</v>
      </c>
      <c r="AL29" s="81">
        <f>VLOOKUP(D29,坦克类型系数!$CH$21:$CN$24,4,FALSE)</f>
        <v>16.3</v>
      </c>
      <c r="AM29" s="81">
        <f>VLOOKUP(D29,坦克类型系数!$CH$21:$CN$24,7,FALSE)</f>
        <v>27.166666666666668</v>
      </c>
      <c r="AN29" s="78">
        <f>VLOOKUP(F29,坦克类型系数!$BM$13:$BV$20,6,FALSE)</f>
        <v>0.35499999999999998</v>
      </c>
      <c r="AO29" s="92">
        <f>基础属性系数!$C$56</f>
        <v>0.2</v>
      </c>
      <c r="AP29" s="92">
        <f>基础属性系数!$C$55</f>
        <v>0.3</v>
      </c>
      <c r="AQ29" s="78">
        <f>VLOOKUP(D29,坦克类型系数!$DE$9:$DH$12,2,FALSE)</f>
        <v>0.9</v>
      </c>
      <c r="AR29" s="78">
        <f>VLOOKUP(D29,坦克类型系数!$DE$9:$DH$12,3,FALSE)</f>
        <v>0.9</v>
      </c>
      <c r="AS29" s="78">
        <f>VLOOKUP(D29,坦克类型系数!$DE$9:$DH$12,4,FALSE)</f>
        <v>0.9</v>
      </c>
      <c r="AT29" s="78">
        <f>VLOOKUP(D29,坦克类型系数!$AH$9:$AK$12,3,FALSE)</f>
        <v>55</v>
      </c>
      <c r="AU29" s="78">
        <f>VLOOKUP(D29,坦克类型系数!$AH$9:$AK$12,4,FALSE)</f>
        <v>105</v>
      </c>
      <c r="AV29" s="92">
        <f>VLOOKUP($B29,坦克类型系数!$B$3:$AF$33,MATCH(AV$18,坦克类型系数!$B$3:$AF$3,0),FALSE)</f>
        <v>2</v>
      </c>
      <c r="AW29" s="92">
        <f>VLOOKUP($B29,坦克类型系数!$B$3:$AF$33,MATCH(AW$18,坦克类型系数!$B$3:$AF$3,0),FALSE)</f>
        <v>1.9</v>
      </c>
      <c r="AX29" s="92">
        <f>VLOOKUP($B29,坦克类型系数!$B$3:$AF$33,MATCH(AX$18,坦克类型系数!$B$3:$AF$3,0),FALSE)</f>
        <v>1.6</v>
      </c>
      <c r="AY29" s="92">
        <f>VLOOKUP($B29,坦克类型系数!$B$3:$AF$33,MATCH(AY$18,坦克类型系数!$B$3:$AF$3,0),FALSE)</f>
        <v>1.6</v>
      </c>
      <c r="AZ29" s="92">
        <f>VLOOKUP($B29,坦克类型系数!$B$3:$AF$33,MATCH(AZ$18,坦克类型系数!$B$3:$AF$3,0),FALSE)</f>
        <v>1.2</v>
      </c>
      <c r="BA29" s="92">
        <f>VLOOKUP($B29,坦克类型系数!$B$3:$AF$33,MATCH(BA$18,坦克类型系数!$B$3:$AF$3,0),FALSE)</f>
        <v>0.85000000000000009</v>
      </c>
      <c r="BB29" s="92">
        <f>VLOOKUP($B29,坦克类型系数!$B$3:$AF$33,MATCH(BB$18,坦克类型系数!$B$3:$AF$3,0),FALSE)</f>
        <v>0.6</v>
      </c>
    </row>
    <row r="30" spans="2:54" x14ac:dyDescent="0.35">
      <c r="B30" s="77" t="s">
        <v>624</v>
      </c>
      <c r="C30" s="77" t="s">
        <v>555</v>
      </c>
      <c r="D30" s="177" t="str">
        <f>坦克类型系数!C15</f>
        <v>中坦</v>
      </c>
      <c r="E30" s="8" t="s">
        <v>921</v>
      </c>
      <c r="F30" s="8" t="s">
        <v>394</v>
      </c>
      <c r="G30" s="177">
        <f>坦克类型系数!D15</f>
        <v>5.58</v>
      </c>
      <c r="H30" s="177">
        <f>坦克类型系数!E15</f>
        <v>2.84</v>
      </c>
      <c r="I30" s="177">
        <f>坦克类型系数!F15</f>
        <v>6.26</v>
      </c>
      <c r="J30" s="89">
        <f>SQRT(I30/VLOOKUP(D30,坦克类型系数!$AH$3:$AK$6,4,FALSE))</f>
        <v>0.92730259888027378</v>
      </c>
      <c r="K30" s="8" t="s">
        <v>647</v>
      </c>
      <c r="L30" s="69">
        <f>VLOOKUP(D30,坦克类型系数!$AH$15:$AK$18,4,FALSE)</f>
        <v>0.71</v>
      </c>
      <c r="M30" s="8">
        <v>1.05</v>
      </c>
      <c r="N30" s="461">
        <f t="shared" si="5"/>
        <v>0.75</v>
      </c>
      <c r="O30" s="81">
        <f t="shared" si="6"/>
        <v>1.0563380281690142</v>
      </c>
      <c r="P30" s="81">
        <f t="shared" si="7"/>
        <v>0.9808324205914567</v>
      </c>
      <c r="Q30" s="89">
        <f t="shared" si="8"/>
        <v>1.0360905851318205</v>
      </c>
      <c r="R30" s="461">
        <f>VLOOKUP(F30,坦克类型系数!$AQ$3:$AX$10,MATCH("瞄准速度",坦克类型系数!$AQ$3:$AX$3,0),FALSE)</f>
        <v>1.2</v>
      </c>
      <c r="S30" s="8">
        <v>1</v>
      </c>
      <c r="T30" s="461">
        <f>(VLOOKUP(F30,坦克类型系数!$AM$3:$AO$10,MATCH("射击间隔max",坦克类型系数!$AM$3:$AO$3,0),FALSE)-VLOOKUP(F30,坦克类型系数!$AM$3:$AO$10,MATCH("射击间隔min",坦克类型系数!$AM$3:$AO$3,0),FALSE))*S30+VLOOKUP(F30,坦克类型系数!$AM$3:$AO$10,MATCH("射击间隔min",坦克类型系数!$AM$3:$AO$3,0),FALSE)</f>
        <v>1.2</v>
      </c>
      <c r="U30" s="89">
        <f>(T30-VLOOKUP(F30,标准坦克设计!$B$13:$K$20,MATCH("射击间隔",标准坦克设计!$B$13:$K$13,0),FALSE))/0.1*VLOOKUP($B$15,$B$3:$J$15,MATCH(F30,$B$3:$J$3,0),FALSE)+1</f>
        <v>1.2274831649831648</v>
      </c>
      <c r="V30" s="77">
        <f>VLOOKUP(D30,坦克类型系数!$BI$3:$BK$6,2,FALSE)</f>
        <v>0.75</v>
      </c>
      <c r="W30" s="81">
        <f>VLOOKUP(D30,坦克类型系数!$BI$3:$BK$6,3,FALSE)</f>
        <v>1.6422918151337649</v>
      </c>
      <c r="X30" s="8">
        <v>2</v>
      </c>
      <c r="Y30" s="8">
        <v>1</v>
      </c>
      <c r="Z30" s="81">
        <f>VLOOKUP(D30,坦克类型系数!$CQ$9:$CY$12,2,FALSE)*$M$4*Y30</f>
        <v>11.123020662806383</v>
      </c>
      <c r="AA30" s="81">
        <f>VLOOKUP(D30,坦克类型系数!$CQ$9:$CY$12,6,FALSE)*$M$4*Y30</f>
        <v>44.49208265122553</v>
      </c>
      <c r="AB30" s="81">
        <f>VLOOKUP(D30,坦克类型系数!$CQ$3:$CY$6,9,FALSE)</f>
        <v>55.61510331403192</v>
      </c>
      <c r="AC30" s="78">
        <f>VLOOKUP(F30,坦克类型系数!$BM$3:$BV$10,6,FALSE)</f>
        <v>1.42</v>
      </c>
      <c r="AD30" s="53">
        <f t="shared" si="3"/>
        <v>1</v>
      </c>
      <c r="AE30" s="81">
        <f>VLOOKUP(D30,坦克类型系数!$DE$3:$DH$6,3,FALSE)*AD30</f>
        <v>40</v>
      </c>
      <c r="AF30" s="8">
        <v>1</v>
      </c>
      <c r="AG30" s="89">
        <f t="shared" si="4"/>
        <v>1</v>
      </c>
      <c r="AH30" s="78">
        <f>VLOOKUP(D30,坦克类型系数!$BZ$21:$CF$24,2,FALSE)*AF30</f>
        <v>12.3</v>
      </c>
      <c r="AI30" s="81">
        <f>VLOOKUP(D30,坦克类型系数!$BZ$21:$CF$24,5,FALSE)*AF30</f>
        <v>12.3</v>
      </c>
      <c r="AJ30" s="81">
        <f>VLOOKUP(D30,坦克类型系数!$BZ$21:$CF$24,4,FALSE)</f>
        <v>10.214285714285715</v>
      </c>
      <c r="AK30" s="81">
        <f>VLOOKUP(D30,坦克类型系数!$BZ$21:$CF$24,7,FALSE)</f>
        <v>7.15</v>
      </c>
      <c r="AL30" s="81">
        <f>VLOOKUP(D30,坦克类型系数!$CH$21:$CN$24,4,FALSE)</f>
        <v>16.3</v>
      </c>
      <c r="AM30" s="81">
        <f>VLOOKUP(D30,坦克类型系数!$CH$21:$CN$24,7,FALSE)</f>
        <v>27.166666666666668</v>
      </c>
      <c r="AN30" s="78">
        <f>VLOOKUP(F30,坦克类型系数!$BM$13:$BV$20,6,FALSE)</f>
        <v>0.35499999999999998</v>
      </c>
      <c r="AO30" s="92">
        <f>基础属性系数!$C$56</f>
        <v>0.2</v>
      </c>
      <c r="AP30" s="92">
        <f>基础属性系数!$C$55</f>
        <v>0.3</v>
      </c>
      <c r="AQ30" s="78">
        <f>VLOOKUP(D30,坦克类型系数!$DE$9:$DH$12,2,FALSE)</f>
        <v>0.9</v>
      </c>
      <c r="AR30" s="78">
        <f>VLOOKUP(D30,坦克类型系数!$DE$9:$DH$12,3,FALSE)</f>
        <v>0.9</v>
      </c>
      <c r="AS30" s="78">
        <f>VLOOKUP(D30,坦克类型系数!$DE$9:$DH$12,4,FALSE)</f>
        <v>0.9</v>
      </c>
      <c r="AT30" s="78">
        <f>VLOOKUP(D30,坦克类型系数!$AH$9:$AK$12,3,FALSE)</f>
        <v>55</v>
      </c>
      <c r="AU30" s="78">
        <f>VLOOKUP(D30,坦克类型系数!$AH$9:$AK$12,4,FALSE)</f>
        <v>105</v>
      </c>
      <c r="AV30" s="92">
        <f>VLOOKUP($B30,坦克类型系数!$B$3:$AF$33,MATCH(AV$18,坦克类型系数!$B$3:$AF$3,0),FALSE)</f>
        <v>2.15</v>
      </c>
      <c r="AW30" s="92">
        <f>VLOOKUP($B30,坦克类型系数!$B$3:$AF$33,MATCH(AW$18,坦克类型系数!$B$3:$AF$3,0),FALSE)</f>
        <v>1.9</v>
      </c>
      <c r="AX30" s="92">
        <f>VLOOKUP($B30,坦克类型系数!$B$3:$AF$33,MATCH(AX$18,坦克类型系数!$B$3:$AF$3,0),FALSE)</f>
        <v>1.55</v>
      </c>
      <c r="AY30" s="92">
        <f>VLOOKUP($B30,坦克类型系数!$B$3:$AF$33,MATCH(AY$18,坦克类型系数!$B$3:$AF$3,0),FALSE)</f>
        <v>1.55</v>
      </c>
      <c r="AZ30" s="92">
        <f>VLOOKUP($B30,坦克类型系数!$B$3:$AF$33,MATCH(AZ$18,坦克类型系数!$B$3:$AF$3,0),FALSE)</f>
        <v>1.2</v>
      </c>
      <c r="BA30" s="92">
        <f>VLOOKUP($B30,坦克类型系数!$B$3:$AF$33,MATCH(BA$18,坦克类型系数!$B$3:$AF$3,0),FALSE)</f>
        <v>0.8</v>
      </c>
      <c r="BB30" s="92">
        <f>VLOOKUP($B30,坦克类型系数!$B$3:$AF$33,MATCH(BB$18,坦克类型系数!$B$3:$AF$3,0),FALSE)</f>
        <v>0.55000000000000004</v>
      </c>
    </row>
    <row r="31" spans="2:54" x14ac:dyDescent="0.35">
      <c r="B31" s="77" t="s">
        <v>626</v>
      </c>
      <c r="C31" s="77" t="s">
        <v>554</v>
      </c>
      <c r="D31" s="177" t="str">
        <f>坦克类型系数!C16</f>
        <v>中坦</v>
      </c>
      <c r="E31" s="8" t="s">
        <v>921</v>
      </c>
      <c r="F31" s="8" t="s">
        <v>393</v>
      </c>
      <c r="G31" s="177">
        <f>坦克类型系数!D16</f>
        <v>5.97</v>
      </c>
      <c r="H31" s="177">
        <f>坦克类型系数!E16</f>
        <v>2.96</v>
      </c>
      <c r="I31" s="177">
        <f>坦克类型系数!F16</f>
        <v>6.66</v>
      </c>
      <c r="J31" s="89">
        <f>SQRT(I31/VLOOKUP(D31,坦克类型系数!$AH$3:$AK$6,4,FALSE))</f>
        <v>0.95647015888378073</v>
      </c>
      <c r="K31" s="8" t="s">
        <v>648</v>
      </c>
      <c r="L31" s="69">
        <f>VLOOKUP(D31,坦克类型系数!$AH$15:$AK$18,4,FALSE)</f>
        <v>0.71</v>
      </c>
      <c r="M31" s="8">
        <v>0.9</v>
      </c>
      <c r="N31" s="461">
        <f t="shared" si="5"/>
        <v>0.64</v>
      </c>
      <c r="O31" s="81">
        <f t="shared" si="6"/>
        <v>0.90140845070422537</v>
      </c>
      <c r="P31" s="81">
        <f t="shared" si="7"/>
        <v>1.0233333333333334</v>
      </c>
      <c r="Q31" s="89">
        <f t="shared" si="8"/>
        <v>0.9224413145539907</v>
      </c>
      <c r="R31" s="461">
        <f>VLOOKUP(F31,坦克类型系数!$AQ$3:$AX$10,MATCH("瞄准速度",坦克类型系数!$AQ$3:$AX$3,0),FALSE)</f>
        <v>1</v>
      </c>
      <c r="S31" s="8">
        <v>1</v>
      </c>
      <c r="T31" s="461">
        <f>(VLOOKUP(F31,坦克类型系数!$AM$3:$AO$10,MATCH("射击间隔max",坦克类型系数!$AM$3:$AO$3,0),FALSE)-VLOOKUP(F31,坦克类型系数!$AM$3:$AO$10,MATCH("射击间隔min",坦克类型系数!$AM$3:$AO$3,0),FALSE))*S31+VLOOKUP(F31,坦克类型系数!$AM$3:$AO$10,MATCH("射击间隔min",坦克类型系数!$AM$3:$AO$3,0),FALSE)</f>
        <v>0</v>
      </c>
      <c r="U31" s="89">
        <f>(T31-VLOOKUP(F31,标准坦克设计!$B$13:$K$20,MATCH("射击间隔",标准坦克设计!$B$13:$K$13,0),FALSE))/0.1*VLOOKUP($B$15,$B$3:$J$15,MATCH(F31,$B$3:$J$3,0),FALSE)+1</f>
        <v>1</v>
      </c>
      <c r="V31" s="77">
        <f>VLOOKUP(D31,坦克类型系数!$BI$3:$BK$6,2,FALSE)</f>
        <v>0.75</v>
      </c>
      <c r="W31" s="81">
        <f>VLOOKUP(D31,坦克类型系数!$BI$3:$BK$6,3,FALSE)</f>
        <v>1.6422918151337649</v>
      </c>
      <c r="X31" s="8">
        <v>4</v>
      </c>
      <c r="Y31" s="8">
        <v>0.8</v>
      </c>
      <c r="Z31" s="81">
        <f>VLOOKUP(D31,坦克类型系数!$CQ$9:$CY$12,2,FALSE)*$M$4*Y31</f>
        <v>8.8984165302451057</v>
      </c>
      <c r="AA31" s="81">
        <f>VLOOKUP(D31,坦克类型系数!$CQ$9:$CY$12,6,FALSE)*$M$4*Y31</f>
        <v>35.593666120980423</v>
      </c>
      <c r="AB31" s="81">
        <f>VLOOKUP(D31,坦克类型系数!$CQ$3:$CY$6,9,FALSE)</f>
        <v>55.61510331403192</v>
      </c>
      <c r="AC31" s="78">
        <f>VLOOKUP(F31,坦克类型系数!$BM$3:$BV$10,6,FALSE)</f>
        <v>2.84</v>
      </c>
      <c r="AD31" s="53">
        <f t="shared" si="3"/>
        <v>1.25</v>
      </c>
      <c r="AE31" s="81">
        <f>VLOOKUP(D31,坦克类型系数!$DE$3:$DH$6,3,FALSE)*AD31</f>
        <v>50</v>
      </c>
      <c r="AF31" s="8">
        <v>0.9</v>
      </c>
      <c r="AG31" s="89">
        <f t="shared" si="4"/>
        <v>1.044162365957314</v>
      </c>
      <c r="AH31" s="78">
        <f>VLOOKUP(D31,坦克类型系数!$BZ$21:$CF$24,2,FALSE)*AF31</f>
        <v>11.07</v>
      </c>
      <c r="AI31" s="81">
        <f>VLOOKUP(D31,坦克类型系数!$BZ$21:$CF$24,5,FALSE)*AF31</f>
        <v>11.07</v>
      </c>
      <c r="AJ31" s="81">
        <f>VLOOKUP(D31,坦克类型系数!$BZ$21:$CF$24,4,FALSE)</f>
        <v>10.214285714285715</v>
      </c>
      <c r="AK31" s="81">
        <f>VLOOKUP(D31,坦克类型系数!$BZ$21:$CF$24,7,FALSE)</f>
        <v>7.15</v>
      </c>
      <c r="AL31" s="81">
        <f>VLOOKUP(D31,坦克类型系数!$CH$21:$CN$24,4,FALSE)</f>
        <v>16.3</v>
      </c>
      <c r="AM31" s="81">
        <f>VLOOKUP(D31,坦克类型系数!$CH$21:$CN$24,7,FALSE)</f>
        <v>27.166666666666668</v>
      </c>
      <c r="AN31" s="78">
        <f>VLOOKUP(F31,坦克类型系数!$BM$13:$BV$20,6,FALSE)</f>
        <v>1.0649999999999999</v>
      </c>
      <c r="AO31" s="92">
        <f>基础属性系数!$C$56</f>
        <v>0.2</v>
      </c>
      <c r="AP31" s="92">
        <f>基础属性系数!$C$55</f>
        <v>0.3</v>
      </c>
      <c r="AQ31" s="78">
        <f>VLOOKUP(D31,坦克类型系数!$DE$9:$DH$12,2,FALSE)</f>
        <v>0.9</v>
      </c>
      <c r="AR31" s="78">
        <f>VLOOKUP(D31,坦克类型系数!$DE$9:$DH$12,3,FALSE)</f>
        <v>0.9</v>
      </c>
      <c r="AS31" s="78">
        <f>VLOOKUP(D31,坦克类型系数!$DE$9:$DH$12,4,FALSE)</f>
        <v>0.9</v>
      </c>
      <c r="AT31" s="78">
        <f>VLOOKUP(D31,坦克类型系数!$AH$9:$AK$12,3,FALSE)</f>
        <v>55</v>
      </c>
      <c r="AU31" s="78">
        <f>VLOOKUP(D31,坦克类型系数!$AH$9:$AK$12,4,FALSE)</f>
        <v>105</v>
      </c>
      <c r="AV31" s="92">
        <f>VLOOKUP($B31,坦克类型系数!$B$3:$AF$33,MATCH(AV$18,坦克类型系数!$B$3:$AF$3,0),FALSE)</f>
        <v>2.2000000000000002</v>
      </c>
      <c r="AW31" s="92">
        <f>VLOOKUP($B31,坦克类型系数!$B$3:$AF$33,MATCH(AW$18,坦克类型系数!$B$3:$AF$3,0),FALSE)</f>
        <v>1.85</v>
      </c>
      <c r="AX31" s="92">
        <f>VLOOKUP($B31,坦克类型系数!$B$3:$AF$33,MATCH(AX$18,坦克类型系数!$B$3:$AF$3,0),FALSE)</f>
        <v>1.4000000000000001</v>
      </c>
      <c r="AY31" s="92">
        <f>VLOOKUP($B31,坦克类型系数!$B$3:$AF$33,MATCH(AY$18,坦克类型系数!$B$3:$AF$3,0),FALSE)</f>
        <v>1.4000000000000001</v>
      </c>
      <c r="AZ31" s="92">
        <f>VLOOKUP($B31,坦克类型系数!$B$3:$AF$33,MATCH(AZ$18,坦克类型系数!$B$3:$AF$3,0),FALSE)</f>
        <v>1.1500000000000001</v>
      </c>
      <c r="BA31" s="92">
        <f>VLOOKUP($B31,坦克类型系数!$B$3:$AF$33,MATCH(BA$18,坦克类型系数!$B$3:$AF$3,0),FALSE)</f>
        <v>0.8</v>
      </c>
      <c r="BB31" s="92">
        <f>VLOOKUP($B31,坦克类型系数!$B$3:$AF$33,MATCH(BB$18,坦克类型系数!$B$3:$AF$3,0),FALSE)</f>
        <v>0.55000000000000004</v>
      </c>
    </row>
    <row r="32" spans="2:54" x14ac:dyDescent="0.35">
      <c r="B32" s="77" t="s">
        <v>627</v>
      </c>
      <c r="C32" s="77" t="s">
        <v>552</v>
      </c>
      <c r="D32" s="177" t="str">
        <f>坦克类型系数!C17</f>
        <v>中坦</v>
      </c>
      <c r="E32" s="8" t="s">
        <v>922</v>
      </c>
      <c r="F32" s="8" t="s">
        <v>394</v>
      </c>
      <c r="G32" s="177">
        <f>坦克类型系数!D17</f>
        <v>6.05</v>
      </c>
      <c r="H32" s="177">
        <f>坦克类型系数!E17</f>
        <v>2.57</v>
      </c>
      <c r="I32" s="177">
        <f>坦克类型系数!F17</f>
        <v>6.57</v>
      </c>
      <c r="J32" s="89">
        <f>SQRT(I32/VLOOKUP(D32,坦克类型系数!$AH$3:$AK$6,4,FALSE))</f>
        <v>0.94998554066497642</v>
      </c>
      <c r="K32" s="8" t="s">
        <v>647</v>
      </c>
      <c r="L32" s="69">
        <f>VLOOKUP(D32,坦克类型系数!$AH$15:$AK$18,4,FALSE)</f>
        <v>0.71</v>
      </c>
      <c r="M32" s="8">
        <v>1.05</v>
      </c>
      <c r="N32" s="461">
        <f t="shared" si="5"/>
        <v>0.75</v>
      </c>
      <c r="O32" s="81">
        <f t="shared" si="6"/>
        <v>1.0563380281690142</v>
      </c>
      <c r="P32" s="81">
        <f t="shared" si="7"/>
        <v>0.97555439147895928</v>
      </c>
      <c r="Q32" s="89">
        <f t="shared" si="8"/>
        <v>1.0305152022665065</v>
      </c>
      <c r="R32" s="461">
        <f>VLOOKUP(F32,坦克类型系数!$AQ$3:$AX$10,MATCH("瞄准速度",坦克类型系数!$AQ$3:$AX$3,0),FALSE)</f>
        <v>1.2</v>
      </c>
      <c r="S32" s="8">
        <v>0.4</v>
      </c>
      <c r="T32" s="461">
        <f>(VLOOKUP(F32,坦克类型系数!$AM$3:$AO$10,MATCH("射击间隔max",坦克类型系数!$AM$3:$AO$3,0),FALSE)-VLOOKUP(F32,坦克类型系数!$AM$3:$AO$10,MATCH("射击间隔min",坦克类型系数!$AM$3:$AO$3,0),FALSE))*S32+VLOOKUP(F32,坦克类型系数!$AM$3:$AO$10,MATCH("射击间隔min",坦克类型系数!$AM$3:$AO$3,0),FALSE)</f>
        <v>0.72</v>
      </c>
      <c r="U32" s="89">
        <f>(T32-VLOOKUP(F32,标准坦克设计!$B$13:$K$20,MATCH("射击间隔",标准坦克设计!$B$13:$K$13,0),FALSE))/0.1*VLOOKUP($B$15,$B$3:$J$15,MATCH(F32,$B$3:$J$3,0),FALSE)+1</f>
        <v>0.95450336700336702</v>
      </c>
      <c r="V32" s="77">
        <f>VLOOKUP(D32,坦克类型系数!$BI$3:$BK$6,2,FALSE)</f>
        <v>0.75</v>
      </c>
      <c r="W32" s="81">
        <f>VLOOKUP(D32,坦克类型系数!$BI$3:$BK$6,3,FALSE)</f>
        <v>1.6422918151337649</v>
      </c>
      <c r="X32" s="8">
        <v>1</v>
      </c>
      <c r="Y32" s="8">
        <v>1</v>
      </c>
      <c r="Z32" s="81">
        <f>VLOOKUP(D32,坦克类型系数!$CQ$9:$CY$12,2,FALSE)*$M$4*Y32</f>
        <v>11.123020662806383</v>
      </c>
      <c r="AA32" s="81">
        <f>VLOOKUP(D32,坦克类型系数!$CQ$9:$CY$12,6,FALSE)*$M$4*Y32</f>
        <v>44.49208265122553</v>
      </c>
      <c r="AB32" s="81">
        <f>VLOOKUP(D32,坦克类型系数!$CQ$3:$CY$6,9,FALSE)</f>
        <v>55.61510331403192</v>
      </c>
      <c r="AC32" s="78">
        <f>VLOOKUP(F32,坦克类型系数!$BM$3:$BV$10,6,FALSE)</f>
        <v>1.42</v>
      </c>
      <c r="AD32" s="53">
        <f t="shared" si="3"/>
        <v>1</v>
      </c>
      <c r="AE32" s="81">
        <f>VLOOKUP(D32,坦克类型系数!$DE$3:$DH$6,3,FALSE)*AD32</f>
        <v>40</v>
      </c>
      <c r="AF32" s="8">
        <v>1</v>
      </c>
      <c r="AG32" s="89">
        <f t="shared" si="4"/>
        <v>1</v>
      </c>
      <c r="AH32" s="78">
        <f>VLOOKUP(D32,坦克类型系数!$BZ$21:$CF$24,2,FALSE)*AF32</f>
        <v>12.3</v>
      </c>
      <c r="AI32" s="81">
        <f>VLOOKUP(D32,坦克类型系数!$BZ$21:$CF$24,5,FALSE)*AF32</f>
        <v>12.3</v>
      </c>
      <c r="AJ32" s="81">
        <f>VLOOKUP(D32,坦克类型系数!$BZ$21:$CF$24,4,FALSE)</f>
        <v>10.214285714285715</v>
      </c>
      <c r="AK32" s="81">
        <f>VLOOKUP(D32,坦克类型系数!$BZ$21:$CF$24,7,FALSE)</f>
        <v>7.15</v>
      </c>
      <c r="AL32" s="81">
        <f>VLOOKUP(D32,坦克类型系数!$CH$21:$CN$24,4,FALSE)</f>
        <v>16.3</v>
      </c>
      <c r="AM32" s="81">
        <f>VLOOKUP(D32,坦克类型系数!$CH$21:$CN$24,7,FALSE)</f>
        <v>27.166666666666668</v>
      </c>
      <c r="AN32" s="78">
        <f>VLOOKUP(F32,坦克类型系数!$BM$13:$BV$20,6,FALSE)</f>
        <v>0.35499999999999998</v>
      </c>
      <c r="AO32" s="92">
        <f>基础属性系数!$C$56</f>
        <v>0.2</v>
      </c>
      <c r="AP32" s="92">
        <f>基础属性系数!$C$55</f>
        <v>0.3</v>
      </c>
      <c r="AQ32" s="78">
        <f>VLOOKUP(D32,坦克类型系数!$DE$9:$DH$12,2,FALSE)</f>
        <v>0.9</v>
      </c>
      <c r="AR32" s="78">
        <f>VLOOKUP(D32,坦克类型系数!$DE$9:$DH$12,3,FALSE)</f>
        <v>0.9</v>
      </c>
      <c r="AS32" s="78">
        <f>VLOOKUP(D32,坦克类型系数!$DE$9:$DH$12,4,FALSE)</f>
        <v>0.9</v>
      </c>
      <c r="AT32" s="78">
        <f>VLOOKUP(D32,坦克类型系数!$AH$9:$AK$12,3,FALSE)</f>
        <v>55</v>
      </c>
      <c r="AU32" s="78">
        <f>VLOOKUP(D32,坦克类型系数!$AH$9:$AK$12,4,FALSE)</f>
        <v>105</v>
      </c>
      <c r="AV32" s="92">
        <f>VLOOKUP($B32,坦克类型系数!$B$3:$AF$33,MATCH(AV$18,坦克类型系数!$B$3:$AF$3,0),FALSE)</f>
        <v>2.25</v>
      </c>
      <c r="AW32" s="92">
        <f>VLOOKUP($B32,坦克类型系数!$B$3:$AF$33,MATCH(AW$18,坦克类型系数!$B$3:$AF$3,0),FALSE)</f>
        <v>2</v>
      </c>
      <c r="AX32" s="92">
        <f>VLOOKUP($B32,坦克类型系数!$B$3:$AF$33,MATCH(AX$18,坦克类型系数!$B$3:$AF$3,0),FALSE)</f>
        <v>1.5</v>
      </c>
      <c r="AY32" s="92">
        <f>VLOOKUP($B32,坦克类型系数!$B$3:$AF$33,MATCH(AY$18,坦克类型系数!$B$3:$AF$3,0),FALSE)</f>
        <v>1.5</v>
      </c>
      <c r="AZ32" s="92">
        <f>VLOOKUP($B32,坦克类型系数!$B$3:$AF$33,MATCH(AZ$18,坦克类型系数!$B$3:$AF$3,0),FALSE)</f>
        <v>1.2</v>
      </c>
      <c r="BA32" s="92">
        <f>VLOOKUP($B32,坦克类型系数!$B$3:$AF$33,MATCH(BA$18,坦克类型系数!$B$3:$AF$3,0),FALSE)</f>
        <v>0.85000000000000009</v>
      </c>
      <c r="BB32" s="92">
        <f>VLOOKUP($B32,坦克类型系数!$B$3:$AF$33,MATCH(BB$18,坦克类型系数!$B$3:$AF$3,0),FALSE)</f>
        <v>0.6</v>
      </c>
    </row>
    <row r="33" spans="2:54" x14ac:dyDescent="0.35">
      <c r="B33" s="77" t="s">
        <v>573</v>
      </c>
      <c r="C33" s="77" t="s">
        <v>553</v>
      </c>
      <c r="D33" s="177" t="str">
        <f>坦克类型系数!C18</f>
        <v>中坦</v>
      </c>
      <c r="E33" s="8" t="s">
        <v>922</v>
      </c>
      <c r="F33" s="8" t="s">
        <v>393</v>
      </c>
      <c r="G33" s="177">
        <f>坦克类型系数!D18</f>
        <v>6.33</v>
      </c>
      <c r="H33" s="177">
        <f>坦克类型系数!E18</f>
        <v>2.85</v>
      </c>
      <c r="I33" s="177">
        <f>坦克类型系数!F18</f>
        <v>6.94</v>
      </c>
      <c r="J33" s="89">
        <f>SQRT(I33/VLOOKUP(D33,坦克类型系数!$AH$3:$AK$6,4,FALSE))</f>
        <v>0.97636914294579347</v>
      </c>
      <c r="K33" s="8" t="s">
        <v>648</v>
      </c>
      <c r="L33" s="69">
        <f>VLOOKUP(D33,坦克类型系数!$AH$15:$AK$18,4,FALSE)</f>
        <v>0.71</v>
      </c>
      <c r="M33" s="8">
        <v>1</v>
      </c>
      <c r="N33" s="461">
        <f t="shared" si="5"/>
        <v>0.71</v>
      </c>
      <c r="O33" s="81">
        <f t="shared" si="6"/>
        <v>1</v>
      </c>
      <c r="P33" s="81">
        <f t="shared" si="7"/>
        <v>1</v>
      </c>
      <c r="Q33" s="89">
        <f t="shared" si="8"/>
        <v>1</v>
      </c>
      <c r="R33" s="461">
        <f>VLOOKUP(F33,坦克类型系数!$AQ$3:$AX$10,MATCH("瞄准速度",坦克类型系数!$AQ$3:$AX$3,0),FALSE)</f>
        <v>1</v>
      </c>
      <c r="S33" s="8">
        <v>1</v>
      </c>
      <c r="T33" s="461">
        <f>(VLOOKUP(F33,坦克类型系数!$AM$3:$AO$10,MATCH("射击间隔max",坦克类型系数!$AM$3:$AO$3,0),FALSE)-VLOOKUP(F33,坦克类型系数!$AM$3:$AO$10,MATCH("射击间隔min",坦克类型系数!$AM$3:$AO$3,0),FALSE))*S33+VLOOKUP(F33,坦克类型系数!$AM$3:$AO$10,MATCH("射击间隔min",坦克类型系数!$AM$3:$AO$3,0),FALSE)</f>
        <v>0</v>
      </c>
      <c r="U33" s="89">
        <f>(T33-VLOOKUP(F33,标准坦克设计!$B$13:$K$20,MATCH("射击间隔",标准坦克设计!$B$13:$K$13,0),FALSE))/0.1*VLOOKUP($B$15,$B$3:$J$15,MATCH(F33,$B$3:$J$3,0),FALSE)+1</f>
        <v>1</v>
      </c>
      <c r="V33" s="77">
        <f>VLOOKUP(D33,坦克类型系数!$BI$3:$BK$6,2,FALSE)</f>
        <v>0.75</v>
      </c>
      <c r="W33" s="81">
        <f>VLOOKUP(D33,坦克类型系数!$BI$3:$BK$6,3,FALSE)</f>
        <v>1.6422918151337649</v>
      </c>
      <c r="X33" s="8">
        <v>4</v>
      </c>
      <c r="Y33" s="8">
        <v>0.8</v>
      </c>
      <c r="Z33" s="81">
        <f>VLOOKUP(D33,坦克类型系数!$CQ$9:$CY$12,2,FALSE)*$M$4*Y33</f>
        <v>8.8984165302451057</v>
      </c>
      <c r="AA33" s="81">
        <f>VLOOKUP(D33,坦克类型系数!$CQ$9:$CY$12,6,FALSE)*$M$4*Y33</f>
        <v>35.593666120980423</v>
      </c>
      <c r="AB33" s="81">
        <f>VLOOKUP(D33,坦克类型系数!$CQ$3:$CY$6,9,FALSE)</f>
        <v>55.61510331403192</v>
      </c>
      <c r="AC33" s="78">
        <f>VLOOKUP(F33,坦克类型系数!$BM$3:$BV$10,6,FALSE)</f>
        <v>2.84</v>
      </c>
      <c r="AD33" s="53">
        <f t="shared" si="3"/>
        <v>1.25</v>
      </c>
      <c r="AE33" s="81">
        <f>VLOOKUP(D33,坦克类型系数!$DE$3:$DH$6,3,FALSE)*AD33</f>
        <v>50</v>
      </c>
      <c r="AF33" s="8">
        <v>0.9</v>
      </c>
      <c r="AG33" s="89">
        <f t="shared" si="4"/>
        <v>1.044162365957314</v>
      </c>
      <c r="AH33" s="78">
        <f>VLOOKUP(D33,坦克类型系数!$BZ$21:$CF$24,2,FALSE)*AF33</f>
        <v>11.07</v>
      </c>
      <c r="AI33" s="81">
        <f>VLOOKUP(D33,坦克类型系数!$BZ$21:$CF$24,5,FALSE)*AF33</f>
        <v>11.07</v>
      </c>
      <c r="AJ33" s="81">
        <f>VLOOKUP(D33,坦克类型系数!$BZ$21:$CF$24,4,FALSE)</f>
        <v>10.214285714285715</v>
      </c>
      <c r="AK33" s="81">
        <f>VLOOKUP(D33,坦克类型系数!$BZ$21:$CF$24,7,FALSE)</f>
        <v>7.15</v>
      </c>
      <c r="AL33" s="81">
        <f>VLOOKUP(D33,坦克类型系数!$CH$21:$CN$24,4,FALSE)</f>
        <v>16.3</v>
      </c>
      <c r="AM33" s="81">
        <f>VLOOKUP(D33,坦克类型系数!$CH$21:$CN$24,7,FALSE)</f>
        <v>27.166666666666668</v>
      </c>
      <c r="AN33" s="78">
        <f>VLOOKUP(F33,坦克类型系数!$BM$13:$BV$20,6,FALSE)</f>
        <v>1.0649999999999999</v>
      </c>
      <c r="AO33" s="92">
        <f>基础属性系数!$C$56</f>
        <v>0.2</v>
      </c>
      <c r="AP33" s="92">
        <f>基础属性系数!$C$55</f>
        <v>0.3</v>
      </c>
      <c r="AQ33" s="78">
        <f>VLOOKUP(D33,坦克类型系数!$DE$9:$DH$12,2,FALSE)</f>
        <v>0.9</v>
      </c>
      <c r="AR33" s="78">
        <f>VLOOKUP(D33,坦克类型系数!$DE$9:$DH$12,3,FALSE)</f>
        <v>0.9</v>
      </c>
      <c r="AS33" s="78">
        <f>VLOOKUP(D33,坦克类型系数!$DE$9:$DH$12,4,FALSE)</f>
        <v>0.9</v>
      </c>
      <c r="AT33" s="78">
        <f>VLOOKUP(D33,坦克类型系数!$AH$9:$AK$12,3,FALSE)</f>
        <v>55</v>
      </c>
      <c r="AU33" s="78">
        <f>VLOOKUP(D33,坦克类型系数!$AH$9:$AK$12,4,FALSE)</f>
        <v>105</v>
      </c>
      <c r="AV33" s="92">
        <f>VLOOKUP($B33,坦克类型系数!$B$3:$AF$33,MATCH(AV$18,坦克类型系数!$B$3:$AF$3,0),FALSE)</f>
        <v>2.3000000000000003</v>
      </c>
      <c r="AW33" s="92">
        <f>VLOOKUP($B33,坦克类型系数!$B$3:$AF$33,MATCH(AW$18,坦克类型系数!$B$3:$AF$3,0),FALSE)</f>
        <v>1.9</v>
      </c>
      <c r="AX33" s="92">
        <f>VLOOKUP($B33,坦克类型系数!$B$3:$AF$33,MATCH(AX$18,坦克类型系数!$B$3:$AF$3,0),FALSE)</f>
        <v>1.45</v>
      </c>
      <c r="AY33" s="92">
        <f>VLOOKUP($B33,坦克类型系数!$B$3:$AF$33,MATCH(AY$18,坦克类型系数!$B$3:$AF$3,0),FALSE)</f>
        <v>1.45</v>
      </c>
      <c r="AZ33" s="92">
        <f>VLOOKUP($B33,坦克类型系数!$B$3:$AF$33,MATCH(AZ$18,坦克类型系数!$B$3:$AF$3,0),FALSE)</f>
        <v>1.2</v>
      </c>
      <c r="BA33" s="92">
        <f>VLOOKUP($B33,坦克类型系数!$B$3:$AF$33,MATCH(BA$18,坦克类型系数!$B$3:$AF$3,0),FALSE)</f>
        <v>0.8</v>
      </c>
      <c r="BB33" s="92">
        <f>VLOOKUP($B33,坦克类型系数!$B$3:$AF$33,MATCH(BB$18,坦克类型系数!$B$3:$AF$3,0),FALSE)</f>
        <v>0.6</v>
      </c>
    </row>
    <row r="34" spans="2:54" x14ac:dyDescent="0.35">
      <c r="B34" s="77" t="s">
        <v>625</v>
      </c>
      <c r="C34" s="77" t="s">
        <v>557</v>
      </c>
      <c r="D34" s="177" t="str">
        <f>坦克类型系数!C19</f>
        <v>中坦</v>
      </c>
      <c r="E34" s="8" t="s">
        <v>922</v>
      </c>
      <c r="F34" s="8" t="s">
        <v>393</v>
      </c>
      <c r="G34" s="177">
        <f>坦克类型系数!D19</f>
        <v>6.68</v>
      </c>
      <c r="H34" s="177">
        <f>坦克类型系数!E19</f>
        <v>3.1</v>
      </c>
      <c r="I34" s="177">
        <f>坦克类型系数!F19</f>
        <v>7.36</v>
      </c>
      <c r="J34" s="89">
        <f>SQRT(I34/VLOOKUP(D34,坦克类型系数!$AH$3:$AK$6,4,FALSE))</f>
        <v>1.0054794930723405</v>
      </c>
      <c r="K34" s="8" t="s">
        <v>648</v>
      </c>
      <c r="L34" s="69">
        <f>VLOOKUP(D34,坦克类型系数!$AH$15:$AK$18,4,FALSE)</f>
        <v>0.71</v>
      </c>
      <c r="M34" s="8">
        <v>0.95</v>
      </c>
      <c r="N34" s="461">
        <f t="shared" si="5"/>
        <v>0.67</v>
      </c>
      <c r="O34" s="81">
        <f>1+(N34-L34)/L34</f>
        <v>0.94366197183098599</v>
      </c>
      <c r="P34" s="81">
        <f t="shared" si="7"/>
        <v>1.0133333333333332</v>
      </c>
      <c r="Q34" s="89">
        <f>O34*P34</f>
        <v>0.95624413145539899</v>
      </c>
      <c r="R34" s="461">
        <f>VLOOKUP(F34,坦克类型系数!$AQ$3:$AX$10,MATCH("瞄准速度",坦克类型系数!$AQ$3:$AX$3,0),FALSE)</f>
        <v>1</v>
      </c>
      <c r="S34" s="8">
        <v>1</v>
      </c>
      <c r="T34" s="461">
        <f>(VLOOKUP(F34,坦克类型系数!$AM$3:$AO$10,MATCH("射击间隔max",坦克类型系数!$AM$3:$AO$3,0),FALSE)-VLOOKUP(F34,坦克类型系数!$AM$3:$AO$10,MATCH("射击间隔min",坦克类型系数!$AM$3:$AO$3,0),FALSE))*S34+VLOOKUP(F34,坦克类型系数!$AM$3:$AO$10,MATCH("射击间隔min",坦克类型系数!$AM$3:$AO$3,0),FALSE)</f>
        <v>0</v>
      </c>
      <c r="U34" s="89">
        <f>(T34-VLOOKUP(F34,标准坦克设计!$B$13:$K$20,MATCH("射击间隔",标准坦克设计!$B$13:$K$13,0),FALSE))/0.1*VLOOKUP($B$15,$B$3:$J$15,MATCH(F34,$B$3:$J$3,0),FALSE)+1</f>
        <v>1</v>
      </c>
      <c r="V34" s="77">
        <f>VLOOKUP(D34,坦克类型系数!$BI$3:$BK$6,2,FALSE)</f>
        <v>0.75</v>
      </c>
      <c r="W34" s="81">
        <f>VLOOKUP(D34,坦克类型系数!$BI$3:$BK$6,3,FALSE)</f>
        <v>1.6422918151337649</v>
      </c>
      <c r="X34" s="8">
        <v>4</v>
      </c>
      <c r="Y34" s="8">
        <v>0.8</v>
      </c>
      <c r="Z34" s="81">
        <f>VLOOKUP(D34,坦克类型系数!$CQ$9:$CY$12,2,FALSE)*$M$4*Y34</f>
        <v>8.8984165302451057</v>
      </c>
      <c r="AA34" s="81">
        <f>VLOOKUP(D34,坦克类型系数!$CQ$9:$CY$12,6,FALSE)*$M$4*Y34</f>
        <v>35.593666120980423</v>
      </c>
      <c r="AB34" s="81">
        <f>VLOOKUP(D34,坦克类型系数!$CQ$3:$CY$6,9,FALSE)</f>
        <v>55.61510331403192</v>
      </c>
      <c r="AC34" s="78">
        <f>VLOOKUP(F34,坦克类型系数!$BM$3:$BV$10,6,FALSE)</f>
        <v>2.84</v>
      </c>
      <c r="AD34" s="53">
        <f t="shared" si="3"/>
        <v>1.25</v>
      </c>
      <c r="AE34" s="81">
        <f>VLOOKUP(D34,坦克类型系数!$DE$3:$DH$6,3,FALSE)*AD34</f>
        <v>50</v>
      </c>
      <c r="AF34" s="8">
        <v>0.9</v>
      </c>
      <c r="AG34" s="89">
        <f t="shared" si="4"/>
        <v>1.044162365957314</v>
      </c>
      <c r="AH34" s="78">
        <f>VLOOKUP(D34,坦克类型系数!$BZ$21:$CF$24,2,FALSE)*AF34</f>
        <v>11.07</v>
      </c>
      <c r="AI34" s="81">
        <f>VLOOKUP(D34,坦克类型系数!$BZ$21:$CF$24,5,FALSE)*AF34</f>
        <v>11.07</v>
      </c>
      <c r="AJ34" s="81">
        <f>VLOOKUP(D34,坦克类型系数!$BZ$21:$CF$24,4,FALSE)</f>
        <v>10.214285714285715</v>
      </c>
      <c r="AK34" s="81">
        <f>VLOOKUP(D34,坦克类型系数!$BZ$21:$CF$24,7,FALSE)</f>
        <v>7.15</v>
      </c>
      <c r="AL34" s="81">
        <f>VLOOKUP(D34,坦克类型系数!$CH$21:$CN$24,4,FALSE)</f>
        <v>16.3</v>
      </c>
      <c r="AM34" s="81">
        <f>VLOOKUP(D34,坦克类型系数!$CH$21:$CN$24,7,FALSE)</f>
        <v>27.166666666666668</v>
      </c>
      <c r="AN34" s="78">
        <f>VLOOKUP(F34,坦克类型系数!$BM$13:$BV$20,6,FALSE)</f>
        <v>1.0649999999999999</v>
      </c>
      <c r="AO34" s="92">
        <f>基础属性系数!$C$56</f>
        <v>0.2</v>
      </c>
      <c r="AP34" s="92">
        <f>基础属性系数!$C$55</f>
        <v>0.3</v>
      </c>
      <c r="AQ34" s="78">
        <f>VLOOKUP(D34,坦克类型系数!$DE$9:$DH$12,2,FALSE)</f>
        <v>0.9</v>
      </c>
      <c r="AR34" s="78">
        <f>VLOOKUP(D34,坦克类型系数!$DE$9:$DH$12,3,FALSE)</f>
        <v>0.9</v>
      </c>
      <c r="AS34" s="78">
        <f>VLOOKUP(D34,坦克类型系数!$DE$9:$DH$12,4,FALSE)</f>
        <v>0.9</v>
      </c>
      <c r="AT34" s="78">
        <f>VLOOKUP(D34,坦克类型系数!$AH$9:$AK$12,3,FALSE)</f>
        <v>55</v>
      </c>
      <c r="AU34" s="78">
        <f>VLOOKUP(D34,坦克类型系数!$AH$9:$AK$12,4,FALSE)</f>
        <v>105</v>
      </c>
      <c r="AV34" s="92">
        <f>VLOOKUP($B34,坦克类型系数!$B$3:$AF$33,MATCH(AV$18,坦克类型系数!$B$3:$AF$3,0),FALSE)</f>
        <v>2.3000000000000003</v>
      </c>
      <c r="AW34" s="92">
        <f>VLOOKUP($B34,坦克类型系数!$B$3:$AF$33,MATCH(AW$18,坦克类型系数!$B$3:$AF$3,0),FALSE)</f>
        <v>1.9</v>
      </c>
      <c r="AX34" s="92">
        <f>VLOOKUP($B34,坦克类型系数!$B$3:$AF$33,MATCH(AX$18,坦克类型系数!$B$3:$AF$3,0),FALSE)</f>
        <v>1.4000000000000001</v>
      </c>
      <c r="AY34" s="92">
        <f>VLOOKUP($B34,坦克类型系数!$B$3:$AF$33,MATCH(AY$18,坦克类型系数!$B$3:$AF$3,0),FALSE)</f>
        <v>1.4000000000000001</v>
      </c>
      <c r="AZ34" s="92">
        <f>VLOOKUP($B34,坦克类型系数!$B$3:$AF$33,MATCH(AZ$18,坦克类型系数!$B$3:$AF$3,0),FALSE)</f>
        <v>1.2</v>
      </c>
      <c r="BA34" s="92">
        <f>VLOOKUP($B34,坦克类型系数!$B$3:$AF$33,MATCH(BA$18,坦克类型系数!$B$3:$AF$3,0),FALSE)</f>
        <v>0.8</v>
      </c>
      <c r="BB34" s="92">
        <f>VLOOKUP($B34,坦克类型系数!$B$3:$AF$33,MATCH(BB$18,坦克类型系数!$B$3:$AF$3,0),FALSE)</f>
        <v>0.6</v>
      </c>
    </row>
    <row r="35" spans="2:54" x14ac:dyDescent="0.35">
      <c r="B35" s="77" t="s">
        <v>641</v>
      </c>
      <c r="C35" s="77" t="s">
        <v>560</v>
      </c>
      <c r="D35" s="177" t="str">
        <f>坦克类型系数!C20</f>
        <v>中坦</v>
      </c>
      <c r="E35" s="8" t="s">
        <v>923</v>
      </c>
      <c r="F35" s="8" t="s">
        <v>394</v>
      </c>
      <c r="G35" s="177">
        <f>坦克类型系数!D20</f>
        <v>7.42</v>
      </c>
      <c r="H35" s="177">
        <f>坦克类型系数!E20</f>
        <v>3.89</v>
      </c>
      <c r="I35" s="177">
        <f>坦克类型系数!F20</f>
        <v>8.3800000000000008</v>
      </c>
      <c r="J35" s="89">
        <f>SQRT(I35/VLOOKUP(D35,坦克类型系数!$AH$3:$AK$6,4,FALSE))</f>
        <v>1.0728927724143271</v>
      </c>
      <c r="K35" s="8" t="s">
        <v>647</v>
      </c>
      <c r="L35" s="69">
        <f>VLOOKUP(D35,坦克类型系数!$AH$15:$AK$18,4,FALSE)</f>
        <v>0.71</v>
      </c>
      <c r="M35" s="8">
        <v>1</v>
      </c>
      <c r="N35" s="461">
        <f t="shared" si="5"/>
        <v>0.71</v>
      </c>
      <c r="O35" s="81">
        <f t="shared" si="6"/>
        <v>1</v>
      </c>
      <c r="P35" s="81">
        <f t="shared" si="7"/>
        <v>1</v>
      </c>
      <c r="Q35" s="89">
        <f t="shared" si="8"/>
        <v>1</v>
      </c>
      <c r="R35" s="461">
        <f>VLOOKUP(F35,坦克类型系数!$AQ$3:$AX$10,MATCH("瞄准速度",坦克类型系数!$AQ$3:$AX$3,0),FALSE)</f>
        <v>1.2</v>
      </c>
      <c r="S35" s="8">
        <v>0.6</v>
      </c>
      <c r="T35" s="461">
        <f>(VLOOKUP(F35,坦克类型系数!$AM$3:$AO$10,MATCH("射击间隔max",坦克类型系数!$AM$3:$AO$3,0),FALSE)-VLOOKUP(F35,坦克类型系数!$AM$3:$AO$10,MATCH("射击间隔min",坦克类型系数!$AM$3:$AO$3,0),FALSE))*S35+VLOOKUP(F35,坦克类型系数!$AM$3:$AO$10,MATCH("射击间隔min",坦克类型系数!$AM$3:$AO$3,0),FALSE)</f>
        <v>0.87999999999999989</v>
      </c>
      <c r="U35" s="89">
        <f>(T35-VLOOKUP(F35,标准坦克设计!$B$13:$K$20,MATCH("射击间隔",标准坦克设计!$B$13:$K$13,0),FALSE))/0.1*VLOOKUP($B$15,$B$3:$J$15,MATCH(F35,$B$3:$J$3,0),FALSE)+1</f>
        <v>1.0454966329966329</v>
      </c>
      <c r="V35" s="77">
        <f>VLOOKUP(D35,坦克类型系数!$BI$3:$BK$6,2,FALSE)</f>
        <v>0.75</v>
      </c>
      <c r="W35" s="81">
        <f>VLOOKUP(D35,坦克类型系数!$BI$3:$BK$6,3,FALSE)</f>
        <v>1.6422918151337649</v>
      </c>
      <c r="X35" s="8">
        <v>2</v>
      </c>
      <c r="Y35" s="8">
        <v>1</v>
      </c>
      <c r="Z35" s="81">
        <f>VLOOKUP(D35,坦克类型系数!$CQ$9:$CY$12,2,FALSE)*$M$4*Y35</f>
        <v>11.123020662806383</v>
      </c>
      <c r="AA35" s="81">
        <f>VLOOKUP(D35,坦克类型系数!$CQ$9:$CY$12,6,FALSE)*$M$4*Y35</f>
        <v>44.49208265122553</v>
      </c>
      <c r="AB35" s="81">
        <f>VLOOKUP(D35,坦克类型系数!$CQ$3:$CY$6,9,FALSE)</f>
        <v>55.61510331403192</v>
      </c>
      <c r="AC35" s="78">
        <f>VLOOKUP(F35,坦克类型系数!$BM$3:$BV$10,6,FALSE)</f>
        <v>1.42</v>
      </c>
      <c r="AD35" s="53">
        <f t="shared" si="3"/>
        <v>1</v>
      </c>
      <c r="AE35" s="81">
        <f>VLOOKUP(D35,坦克类型系数!$DE$3:$DH$6,3,FALSE)*AD35</f>
        <v>40</v>
      </c>
      <c r="AF35" s="8">
        <v>1</v>
      </c>
      <c r="AG35" s="89">
        <f t="shared" si="4"/>
        <v>1</v>
      </c>
      <c r="AH35" s="78">
        <f>VLOOKUP(D35,坦克类型系数!$BZ$21:$CF$24,2,FALSE)*AF35</f>
        <v>12.3</v>
      </c>
      <c r="AI35" s="81">
        <f>VLOOKUP(D35,坦克类型系数!$BZ$21:$CF$24,5,FALSE)*AF35</f>
        <v>12.3</v>
      </c>
      <c r="AJ35" s="81">
        <f>VLOOKUP(D35,坦克类型系数!$BZ$21:$CF$24,4,FALSE)</f>
        <v>10.214285714285715</v>
      </c>
      <c r="AK35" s="81">
        <f>VLOOKUP(D35,坦克类型系数!$BZ$21:$CF$24,7,FALSE)</f>
        <v>7.15</v>
      </c>
      <c r="AL35" s="81">
        <f>VLOOKUP(D35,坦克类型系数!$CH$21:$CN$24,4,FALSE)</f>
        <v>16.3</v>
      </c>
      <c r="AM35" s="81">
        <f>VLOOKUP(D35,坦克类型系数!$CH$21:$CN$24,7,FALSE)</f>
        <v>27.166666666666668</v>
      </c>
      <c r="AN35" s="78">
        <f>VLOOKUP(F35,坦克类型系数!$BM$13:$BV$20,6,FALSE)</f>
        <v>0.35499999999999998</v>
      </c>
      <c r="AO35" s="92">
        <f>基础属性系数!$C$56</f>
        <v>0.2</v>
      </c>
      <c r="AP35" s="92">
        <f>基础属性系数!$C$55</f>
        <v>0.3</v>
      </c>
      <c r="AQ35" s="78">
        <f>VLOOKUP(D35,坦克类型系数!$DE$9:$DH$12,2,FALSE)</f>
        <v>0.9</v>
      </c>
      <c r="AR35" s="78">
        <f>VLOOKUP(D35,坦克类型系数!$DE$9:$DH$12,3,FALSE)</f>
        <v>0.9</v>
      </c>
      <c r="AS35" s="78">
        <f>VLOOKUP(D35,坦克类型系数!$DE$9:$DH$12,4,FALSE)</f>
        <v>0.9</v>
      </c>
      <c r="AT35" s="78">
        <f>VLOOKUP(D35,坦克类型系数!$AH$9:$AK$12,3,FALSE)</f>
        <v>55</v>
      </c>
      <c r="AU35" s="78">
        <f>VLOOKUP(D35,坦克类型系数!$AH$9:$AK$12,4,FALSE)</f>
        <v>105</v>
      </c>
      <c r="AV35" s="92">
        <f>VLOOKUP($B35,坦克类型系数!$B$3:$AF$33,MATCH(AV$18,坦克类型系数!$B$3:$AF$3,0),FALSE)</f>
        <v>2.1</v>
      </c>
      <c r="AW35" s="92">
        <f>VLOOKUP($B35,坦克类型系数!$B$3:$AF$33,MATCH(AW$18,坦克类型系数!$B$3:$AF$3,0),FALSE)</f>
        <v>1.75</v>
      </c>
      <c r="AX35" s="92">
        <f>VLOOKUP($B35,坦克类型系数!$B$3:$AF$33,MATCH(AX$18,坦克类型系数!$B$3:$AF$3,0),FALSE)</f>
        <v>1.35</v>
      </c>
      <c r="AY35" s="92">
        <f>VLOOKUP($B35,坦克类型系数!$B$3:$AF$33,MATCH(AY$18,坦克类型系数!$B$3:$AF$3,0),FALSE)</f>
        <v>1.35</v>
      </c>
      <c r="AZ35" s="92">
        <f>VLOOKUP($B35,坦克类型系数!$B$3:$AF$33,MATCH(AZ$18,坦克类型系数!$B$3:$AF$3,0),FALSE)</f>
        <v>1.1000000000000001</v>
      </c>
      <c r="BA35" s="92">
        <f>VLOOKUP($B35,坦克类型系数!$B$3:$AF$33,MATCH(BA$18,坦克类型系数!$B$3:$AF$3,0),FALSE)</f>
        <v>0.8</v>
      </c>
      <c r="BB35" s="92">
        <f>VLOOKUP($B35,坦克类型系数!$B$3:$AF$33,MATCH(BB$18,坦克类型系数!$B$3:$AF$3,0),FALSE)</f>
        <v>0.55000000000000004</v>
      </c>
    </row>
    <row r="36" spans="2:54" x14ac:dyDescent="0.35">
      <c r="B36" s="77" t="s">
        <v>638</v>
      </c>
      <c r="C36" s="77" t="s">
        <v>558</v>
      </c>
      <c r="D36" s="177" t="str">
        <f>坦克类型系数!C21</f>
        <v>中坦</v>
      </c>
      <c r="E36" s="8" t="s">
        <v>923</v>
      </c>
      <c r="F36" s="8" t="s">
        <v>393</v>
      </c>
      <c r="G36" s="177">
        <f>坦克类型系数!D21</f>
        <v>6.34</v>
      </c>
      <c r="H36" s="177">
        <f>坦克类型系数!E21</f>
        <v>3.42</v>
      </c>
      <c r="I36" s="177">
        <f>坦克类型系数!F21</f>
        <v>7.2</v>
      </c>
      <c r="J36" s="89">
        <f>SQRT(I36/VLOOKUP(D36,坦克类型系数!$AH$3:$AK$6,4,FALSE))</f>
        <v>0.99449031619769379</v>
      </c>
      <c r="K36" s="8" t="s">
        <v>648</v>
      </c>
      <c r="L36" s="69">
        <f>VLOOKUP(D36,坦克类型系数!$AH$15:$AK$18,4,FALSE)</f>
        <v>0.71</v>
      </c>
      <c r="M36" s="8">
        <v>0.9</v>
      </c>
      <c r="N36" s="461">
        <f t="shared" si="5"/>
        <v>0.64</v>
      </c>
      <c r="O36" s="81">
        <f t="shared" si="6"/>
        <v>0.90140845070422537</v>
      </c>
      <c r="P36" s="81">
        <f t="shared" si="7"/>
        <v>1.0233333333333334</v>
      </c>
      <c r="Q36" s="89">
        <f t="shared" si="8"/>
        <v>0.9224413145539907</v>
      </c>
      <c r="R36" s="461">
        <f>VLOOKUP(F36,坦克类型系数!$AQ$3:$AX$10,MATCH("瞄准速度",坦克类型系数!$AQ$3:$AX$3,0),FALSE)</f>
        <v>1</v>
      </c>
      <c r="S36" s="8">
        <v>1</v>
      </c>
      <c r="T36" s="461">
        <f>(VLOOKUP(F36,坦克类型系数!$AM$3:$AO$10,MATCH("射击间隔max",坦克类型系数!$AM$3:$AO$3,0),FALSE)-VLOOKUP(F36,坦克类型系数!$AM$3:$AO$10,MATCH("射击间隔min",坦克类型系数!$AM$3:$AO$3,0),FALSE))*S36+VLOOKUP(F36,坦克类型系数!$AM$3:$AO$10,MATCH("射击间隔min",坦克类型系数!$AM$3:$AO$3,0),FALSE)</f>
        <v>0</v>
      </c>
      <c r="U36" s="89">
        <f>(T36-VLOOKUP(F36,标准坦克设计!$B$13:$K$20,MATCH("射击间隔",标准坦克设计!$B$13:$K$13,0),FALSE))/0.1*VLOOKUP($B$15,$B$3:$J$15,MATCH(F36,$B$3:$J$3,0),FALSE)+1</f>
        <v>1</v>
      </c>
      <c r="V36" s="77">
        <f>VLOOKUP(D36,坦克类型系数!$BI$3:$BK$6,2,FALSE)</f>
        <v>0.75</v>
      </c>
      <c r="W36" s="81">
        <f>VLOOKUP(D36,坦克类型系数!$BI$3:$BK$6,3,FALSE)</f>
        <v>1.6422918151337649</v>
      </c>
      <c r="X36" s="8">
        <v>4</v>
      </c>
      <c r="Y36" s="8">
        <v>0.8</v>
      </c>
      <c r="Z36" s="81">
        <f>VLOOKUP(D36,坦克类型系数!$CQ$9:$CY$12,2,FALSE)*$M$4*Y36</f>
        <v>8.8984165302451057</v>
      </c>
      <c r="AA36" s="81">
        <f>VLOOKUP(D36,坦克类型系数!$CQ$9:$CY$12,6,FALSE)*$M$4*Y36</f>
        <v>35.593666120980423</v>
      </c>
      <c r="AB36" s="81">
        <f>VLOOKUP(D36,坦克类型系数!$CQ$3:$CY$6,9,FALSE)</f>
        <v>55.61510331403192</v>
      </c>
      <c r="AC36" s="78">
        <f>VLOOKUP(F36,坦克类型系数!$BM$3:$BV$10,6,FALSE)</f>
        <v>2.84</v>
      </c>
      <c r="AD36" s="53">
        <f t="shared" si="3"/>
        <v>1.25</v>
      </c>
      <c r="AE36" s="81">
        <f>VLOOKUP(D36,坦克类型系数!$DE$3:$DH$6,3,FALSE)*AD36</f>
        <v>50</v>
      </c>
      <c r="AF36" s="8">
        <v>0.9</v>
      </c>
      <c r="AG36" s="89">
        <f t="shared" si="4"/>
        <v>1.044162365957314</v>
      </c>
      <c r="AH36" s="78">
        <f>VLOOKUP(D36,坦克类型系数!$BZ$21:$CF$24,2,FALSE)*AF36</f>
        <v>11.07</v>
      </c>
      <c r="AI36" s="81">
        <f>VLOOKUP(D36,坦克类型系数!$BZ$21:$CF$24,5,FALSE)*AF36</f>
        <v>11.07</v>
      </c>
      <c r="AJ36" s="81">
        <f>VLOOKUP(D36,坦克类型系数!$BZ$21:$CF$24,4,FALSE)</f>
        <v>10.214285714285715</v>
      </c>
      <c r="AK36" s="81">
        <f>VLOOKUP(D36,坦克类型系数!$BZ$21:$CF$24,7,FALSE)</f>
        <v>7.15</v>
      </c>
      <c r="AL36" s="81">
        <f>VLOOKUP(D36,坦克类型系数!$CH$21:$CN$24,4,FALSE)</f>
        <v>16.3</v>
      </c>
      <c r="AM36" s="81">
        <f>VLOOKUP(D36,坦克类型系数!$CH$21:$CN$24,7,FALSE)</f>
        <v>27.166666666666668</v>
      </c>
      <c r="AN36" s="78">
        <f>VLOOKUP(F36,坦克类型系数!$BM$13:$BV$20,6,FALSE)</f>
        <v>1.0649999999999999</v>
      </c>
      <c r="AO36" s="92">
        <f>基础属性系数!$C$56</f>
        <v>0.2</v>
      </c>
      <c r="AP36" s="92">
        <f>基础属性系数!$C$55</f>
        <v>0.3</v>
      </c>
      <c r="AQ36" s="78">
        <f>VLOOKUP(D36,坦克类型系数!$DE$9:$DH$12,2,FALSE)</f>
        <v>0.9</v>
      </c>
      <c r="AR36" s="78">
        <f>VLOOKUP(D36,坦克类型系数!$DE$9:$DH$12,3,FALSE)</f>
        <v>0.9</v>
      </c>
      <c r="AS36" s="78">
        <f>VLOOKUP(D36,坦克类型系数!$DE$9:$DH$12,4,FALSE)</f>
        <v>0.9</v>
      </c>
      <c r="AT36" s="78">
        <f>VLOOKUP(D36,坦克类型系数!$AH$9:$AK$12,3,FALSE)</f>
        <v>55</v>
      </c>
      <c r="AU36" s="78">
        <f>VLOOKUP(D36,坦克类型系数!$AH$9:$AK$12,4,FALSE)</f>
        <v>105</v>
      </c>
      <c r="AV36" s="92">
        <f>VLOOKUP($B36,坦克类型系数!$B$3:$AF$33,MATCH(AV$18,坦克类型系数!$B$3:$AF$3,0),FALSE)</f>
        <v>2.25</v>
      </c>
      <c r="AW36" s="92">
        <f>VLOOKUP($B36,坦克类型系数!$B$3:$AF$33,MATCH(AW$18,坦克类型系数!$B$3:$AF$3,0),FALSE)</f>
        <v>1.85</v>
      </c>
      <c r="AX36" s="92">
        <f>VLOOKUP($B36,坦克类型系数!$B$3:$AF$33,MATCH(AX$18,坦克类型系数!$B$3:$AF$3,0),FALSE)</f>
        <v>1.4000000000000001</v>
      </c>
      <c r="AY36" s="92">
        <f>VLOOKUP($B36,坦克类型系数!$B$3:$AF$33,MATCH(AY$18,坦克类型系数!$B$3:$AF$3,0),FALSE)</f>
        <v>1.4000000000000001</v>
      </c>
      <c r="AZ36" s="92">
        <f>VLOOKUP($B36,坦克类型系数!$B$3:$AF$33,MATCH(AZ$18,坦克类型系数!$B$3:$AF$3,0),FALSE)</f>
        <v>1.1500000000000001</v>
      </c>
      <c r="BA36" s="92">
        <f>VLOOKUP($B36,坦克类型系数!$B$3:$AF$33,MATCH(BA$18,坦克类型系数!$B$3:$AF$3,0),FALSE)</f>
        <v>0.8</v>
      </c>
      <c r="BB36" s="92">
        <f>VLOOKUP($B36,坦克类型系数!$B$3:$AF$33,MATCH(BB$18,坦克类型系数!$B$3:$AF$3,0),FALSE)</f>
        <v>0.55000000000000004</v>
      </c>
    </row>
    <row r="37" spans="2:54" x14ac:dyDescent="0.35">
      <c r="B37" s="77" t="s">
        <v>634</v>
      </c>
      <c r="C37" s="77" t="s">
        <v>559</v>
      </c>
      <c r="D37" s="177" t="str">
        <f>坦克类型系数!C22</f>
        <v>中坦</v>
      </c>
      <c r="E37" s="8" t="s">
        <v>923</v>
      </c>
      <c r="F37" s="8" t="s">
        <v>393</v>
      </c>
      <c r="G37" s="177">
        <f>坦克类型系数!D22</f>
        <v>8.4700000000000006</v>
      </c>
      <c r="H37" s="177">
        <f>坦克类型系数!E22</f>
        <v>3.68</v>
      </c>
      <c r="I37" s="177">
        <f>坦克类型系数!F22</f>
        <v>9.23</v>
      </c>
      <c r="J37" s="89">
        <f>SQRT(I37/VLOOKUP(D37,坦克类型系数!$AH$3:$AK$6,4,FALSE))</f>
        <v>1.1259916264596033</v>
      </c>
      <c r="K37" s="8" t="s">
        <v>648</v>
      </c>
      <c r="L37" s="69">
        <f>VLOOKUP(D37,坦克类型系数!$AH$15:$AK$18,4,FALSE)</f>
        <v>0.71</v>
      </c>
      <c r="M37" s="8">
        <v>1</v>
      </c>
      <c r="N37" s="461">
        <f t="shared" si="5"/>
        <v>0.71</v>
      </c>
      <c r="O37" s="81">
        <f>1+(N37-L37)/L37</f>
        <v>1</v>
      </c>
      <c r="P37" s="81">
        <f t="shared" si="7"/>
        <v>1</v>
      </c>
      <c r="Q37" s="89">
        <f>O37*P37</f>
        <v>1</v>
      </c>
      <c r="R37" s="461">
        <f>VLOOKUP(F37,坦克类型系数!$AQ$3:$AX$10,MATCH("瞄准速度",坦克类型系数!$AQ$3:$AX$3,0),FALSE)</f>
        <v>1</v>
      </c>
      <c r="S37" s="8">
        <v>0.3</v>
      </c>
      <c r="T37" s="461">
        <f>(VLOOKUP(F37,坦克类型系数!$AM$3:$AO$10,MATCH("射击间隔max",坦克类型系数!$AM$3:$AO$3,0),FALSE)-VLOOKUP(F37,坦克类型系数!$AM$3:$AO$10,MATCH("射击间隔min",坦克类型系数!$AM$3:$AO$3,0),FALSE))*S37+VLOOKUP(F37,坦克类型系数!$AM$3:$AO$10,MATCH("射击间隔min",坦克类型系数!$AM$3:$AO$3,0),FALSE)</f>
        <v>0</v>
      </c>
      <c r="U37" s="89">
        <f>(T37-VLOOKUP(F37,标准坦克设计!$B$13:$K$20,MATCH("射击间隔",标准坦克设计!$B$13:$K$13,0),FALSE))/0.1*VLOOKUP($B$15,$B$3:$J$15,MATCH(F37,$B$3:$J$3,0),FALSE)+1</f>
        <v>1</v>
      </c>
      <c r="V37" s="77">
        <f>VLOOKUP(D37,坦克类型系数!$BI$3:$BK$6,2,FALSE)</f>
        <v>0.75</v>
      </c>
      <c r="W37" s="81">
        <f>VLOOKUP(D37,坦克类型系数!$BI$3:$BK$6,3,FALSE)</f>
        <v>1.6422918151337649</v>
      </c>
      <c r="X37" s="8">
        <v>4</v>
      </c>
      <c r="Y37" s="8">
        <v>1</v>
      </c>
      <c r="Z37" s="81">
        <f>VLOOKUP(D37,坦克类型系数!$CQ$9:$CY$12,2,FALSE)*$M$4*Y37</f>
        <v>11.123020662806383</v>
      </c>
      <c r="AA37" s="81">
        <f>VLOOKUP(D37,坦克类型系数!$CQ$9:$CY$12,6,FALSE)*$M$4*Y37</f>
        <v>44.49208265122553</v>
      </c>
      <c r="AB37" s="81">
        <f>VLOOKUP(D37,坦克类型系数!$CQ$3:$CY$6,9,FALSE)</f>
        <v>55.61510331403192</v>
      </c>
      <c r="AC37" s="78">
        <f>VLOOKUP(F37,坦克类型系数!$BM$3:$BV$10,6,FALSE)</f>
        <v>2.84</v>
      </c>
      <c r="AD37" s="53">
        <f t="shared" si="3"/>
        <v>1</v>
      </c>
      <c r="AE37" s="81">
        <f>VLOOKUP(D37,坦克类型系数!$DE$3:$DH$6,3,FALSE)*AD37</f>
        <v>40</v>
      </c>
      <c r="AF37" s="8">
        <v>1</v>
      </c>
      <c r="AG37" s="89">
        <f t="shared" si="4"/>
        <v>1</v>
      </c>
      <c r="AH37" s="78">
        <f>VLOOKUP(D37,坦克类型系数!$BZ$21:$CF$24,2,FALSE)*AF37</f>
        <v>12.3</v>
      </c>
      <c r="AI37" s="81">
        <f>VLOOKUP(D37,坦克类型系数!$BZ$21:$CF$24,5,FALSE)*AF37</f>
        <v>12.3</v>
      </c>
      <c r="AJ37" s="81">
        <f>VLOOKUP(D37,坦克类型系数!$BZ$21:$CF$24,4,FALSE)</f>
        <v>10.214285714285715</v>
      </c>
      <c r="AK37" s="81">
        <f>VLOOKUP(D37,坦克类型系数!$BZ$21:$CF$24,7,FALSE)</f>
        <v>7.15</v>
      </c>
      <c r="AL37" s="81">
        <f>VLOOKUP(D37,坦克类型系数!$CH$21:$CN$24,4,FALSE)</f>
        <v>16.3</v>
      </c>
      <c r="AM37" s="81">
        <f>VLOOKUP(D37,坦克类型系数!$CH$21:$CN$24,7,FALSE)</f>
        <v>27.166666666666668</v>
      </c>
      <c r="AN37" s="78">
        <f>VLOOKUP(F37,坦克类型系数!$BM$13:$BV$20,6,FALSE)</f>
        <v>1.0649999999999999</v>
      </c>
      <c r="AO37" s="92">
        <f>基础属性系数!$C$56</f>
        <v>0.2</v>
      </c>
      <c r="AP37" s="92">
        <f>基础属性系数!$C$55</f>
        <v>0.3</v>
      </c>
      <c r="AQ37" s="78">
        <f>VLOOKUP(D37,坦克类型系数!$DE$9:$DH$12,2,FALSE)</f>
        <v>0.9</v>
      </c>
      <c r="AR37" s="78">
        <f>VLOOKUP(D37,坦克类型系数!$DE$9:$DH$12,3,FALSE)</f>
        <v>0.9</v>
      </c>
      <c r="AS37" s="78">
        <f>VLOOKUP(D37,坦克类型系数!$DE$9:$DH$12,4,FALSE)</f>
        <v>0.9</v>
      </c>
      <c r="AT37" s="78">
        <f>VLOOKUP(D37,坦克类型系数!$AH$9:$AK$12,3,FALSE)</f>
        <v>55</v>
      </c>
      <c r="AU37" s="78">
        <f>VLOOKUP(D37,坦克类型系数!$AH$9:$AK$12,4,FALSE)</f>
        <v>105</v>
      </c>
      <c r="AV37" s="92">
        <f>VLOOKUP($B37,坦克类型系数!$B$3:$AF$33,MATCH(AV$18,坦克类型系数!$B$3:$AF$3,0),FALSE)</f>
        <v>2.4</v>
      </c>
      <c r="AW37" s="92">
        <f>VLOOKUP($B37,坦克类型系数!$B$3:$AF$33,MATCH(AW$18,坦克类型系数!$B$3:$AF$3,0),FALSE)</f>
        <v>1.7999999999999998</v>
      </c>
      <c r="AX37" s="92">
        <f>VLOOKUP($B37,坦克类型系数!$B$3:$AF$33,MATCH(AX$18,坦克类型系数!$B$3:$AF$3,0),FALSE)</f>
        <v>1.35</v>
      </c>
      <c r="AY37" s="92">
        <f>VLOOKUP($B37,坦克类型系数!$B$3:$AF$33,MATCH(AY$18,坦克类型系数!$B$3:$AF$3,0),FALSE)</f>
        <v>1.35</v>
      </c>
      <c r="AZ37" s="92">
        <f>VLOOKUP($B37,坦克类型系数!$B$3:$AF$33,MATCH(AZ$18,坦克类型系数!$B$3:$AF$3,0),FALSE)</f>
        <v>1.1500000000000001</v>
      </c>
      <c r="BA37" s="92">
        <f>VLOOKUP($B37,坦克类型系数!$B$3:$AF$33,MATCH(BA$18,坦克类型系数!$B$3:$AF$3,0),FALSE)</f>
        <v>0.8</v>
      </c>
      <c r="BB37" s="92">
        <f>VLOOKUP($B37,坦克类型系数!$B$3:$AF$33,MATCH(BB$18,坦克类型系数!$B$3:$AF$3,0),FALSE)</f>
        <v>0.55000000000000004</v>
      </c>
    </row>
    <row r="38" spans="2:54" x14ac:dyDescent="0.35">
      <c r="B38" s="77" t="s">
        <v>636</v>
      </c>
      <c r="C38" s="77" t="s">
        <v>568</v>
      </c>
      <c r="D38" s="177" t="str">
        <f>坦克类型系数!C23</f>
        <v>中坦</v>
      </c>
      <c r="E38" s="8" t="s">
        <v>924</v>
      </c>
      <c r="F38" s="8" t="s">
        <v>393</v>
      </c>
      <c r="G38" s="177">
        <f>坦克类型系数!D23</f>
        <v>8.49</v>
      </c>
      <c r="H38" s="177">
        <f>坦克类型系数!E23</f>
        <v>3.73</v>
      </c>
      <c r="I38" s="177">
        <f>坦克类型系数!F23</f>
        <v>9.27</v>
      </c>
      <c r="J38" s="89">
        <f>SQRT(I38/VLOOKUP(D38,坦克类型系数!$AH$3:$AK$6,4,FALSE))</f>
        <v>1.1284288406238332</v>
      </c>
      <c r="K38" s="8" t="s">
        <v>648</v>
      </c>
      <c r="L38" s="69">
        <f>VLOOKUP(D38,坦克类型系数!$AH$15:$AK$18,4,FALSE)</f>
        <v>0.71</v>
      </c>
      <c r="M38" s="8">
        <v>1</v>
      </c>
      <c r="N38" s="461">
        <f t="shared" si="5"/>
        <v>0.71</v>
      </c>
      <c r="O38" s="81">
        <f>1+(N38-L38)/L38</f>
        <v>1</v>
      </c>
      <c r="P38" s="81">
        <f t="shared" si="7"/>
        <v>1</v>
      </c>
      <c r="Q38" s="89">
        <f>O38*P38</f>
        <v>1</v>
      </c>
      <c r="R38" s="461">
        <f>VLOOKUP(F38,坦克类型系数!$AQ$3:$AX$10,MATCH("瞄准速度",坦克类型系数!$AQ$3:$AX$3,0),FALSE)</f>
        <v>1</v>
      </c>
      <c r="S38" s="8">
        <v>1</v>
      </c>
      <c r="T38" s="461">
        <f>(VLOOKUP(F38,坦克类型系数!$AM$3:$AO$10,MATCH("射击间隔max",坦克类型系数!$AM$3:$AO$3,0),FALSE)-VLOOKUP(F38,坦克类型系数!$AM$3:$AO$10,MATCH("射击间隔min",坦克类型系数!$AM$3:$AO$3,0),FALSE))*S38+VLOOKUP(F38,坦克类型系数!$AM$3:$AO$10,MATCH("射击间隔min",坦克类型系数!$AM$3:$AO$3,0),FALSE)</f>
        <v>0</v>
      </c>
      <c r="U38" s="89">
        <f>(T38-VLOOKUP(F38,标准坦克设计!$B$13:$K$20,MATCH("射击间隔",标准坦克设计!$B$13:$K$13,0),FALSE))/0.1*VLOOKUP($B$15,$B$3:$J$15,MATCH(F38,$B$3:$J$3,0),FALSE)+1</f>
        <v>1</v>
      </c>
      <c r="V38" s="77">
        <f>VLOOKUP(D38,坦克类型系数!$BI$3:$BK$6,2,FALSE)</f>
        <v>0.75</v>
      </c>
      <c r="W38" s="81">
        <f>VLOOKUP(D38,坦克类型系数!$BI$3:$BK$6,3,FALSE)</f>
        <v>1.6422918151337649</v>
      </c>
      <c r="X38" s="8">
        <v>4</v>
      </c>
      <c r="Y38" s="8">
        <v>0.8</v>
      </c>
      <c r="Z38" s="81">
        <f>VLOOKUP(D38,坦克类型系数!$CQ$9:$CY$12,2,FALSE)*$M$4*Y38</f>
        <v>8.8984165302451057</v>
      </c>
      <c r="AA38" s="81">
        <f>VLOOKUP(D38,坦克类型系数!$CQ$9:$CY$12,6,FALSE)*$M$4*Y38</f>
        <v>35.593666120980423</v>
      </c>
      <c r="AB38" s="81">
        <f>VLOOKUP(D38,坦克类型系数!$CQ$3:$CY$6,9,FALSE)</f>
        <v>55.61510331403192</v>
      </c>
      <c r="AC38" s="78">
        <f>VLOOKUP(F38,坦克类型系数!$BM$3:$BV$10,6,FALSE)</f>
        <v>2.84</v>
      </c>
      <c r="AD38" s="53">
        <f t="shared" si="3"/>
        <v>1.25</v>
      </c>
      <c r="AE38" s="81">
        <f>VLOOKUP(D38,坦克类型系数!$DE$3:$DH$6,3,FALSE)*AD38</f>
        <v>50</v>
      </c>
      <c r="AF38" s="8">
        <v>0.9</v>
      </c>
      <c r="AG38" s="89">
        <f t="shared" si="4"/>
        <v>1.044162365957314</v>
      </c>
      <c r="AH38" s="78">
        <f>VLOOKUP(D38,坦克类型系数!$BZ$21:$CF$24,2,FALSE)*AF38</f>
        <v>11.07</v>
      </c>
      <c r="AI38" s="81">
        <f>VLOOKUP(D38,坦克类型系数!$BZ$21:$CF$24,5,FALSE)*AF38</f>
        <v>11.07</v>
      </c>
      <c r="AJ38" s="81">
        <f>VLOOKUP(D38,坦克类型系数!$BZ$21:$CF$24,4,FALSE)</f>
        <v>10.214285714285715</v>
      </c>
      <c r="AK38" s="81">
        <f>VLOOKUP(D38,坦克类型系数!$BZ$21:$CF$24,7,FALSE)</f>
        <v>7.15</v>
      </c>
      <c r="AL38" s="81">
        <f>VLOOKUP(D38,坦克类型系数!$CH$21:$CN$24,4,FALSE)</f>
        <v>16.3</v>
      </c>
      <c r="AM38" s="81">
        <f>VLOOKUP(D38,坦克类型系数!$CH$21:$CN$24,7,FALSE)</f>
        <v>27.166666666666668</v>
      </c>
      <c r="AN38" s="78">
        <f>VLOOKUP(F38,坦克类型系数!$BM$13:$BV$20,6,FALSE)</f>
        <v>1.0649999999999999</v>
      </c>
      <c r="AO38" s="92">
        <f>基础属性系数!$C$56</f>
        <v>0.2</v>
      </c>
      <c r="AP38" s="92">
        <f>基础属性系数!$C$55</f>
        <v>0.3</v>
      </c>
      <c r="AQ38" s="78">
        <f>VLOOKUP(D38,坦克类型系数!$DE$9:$DH$12,2,FALSE)</f>
        <v>0.9</v>
      </c>
      <c r="AR38" s="78">
        <f>VLOOKUP(D38,坦克类型系数!$DE$9:$DH$12,3,FALSE)</f>
        <v>0.9</v>
      </c>
      <c r="AS38" s="78">
        <f>VLOOKUP(D38,坦克类型系数!$DE$9:$DH$12,4,FALSE)</f>
        <v>0.9</v>
      </c>
      <c r="AT38" s="78">
        <f>VLOOKUP(D38,坦克类型系数!$AH$9:$AK$12,3,FALSE)</f>
        <v>55</v>
      </c>
      <c r="AU38" s="78">
        <f>VLOOKUP(D38,坦克类型系数!$AH$9:$AK$12,4,FALSE)</f>
        <v>105</v>
      </c>
      <c r="AV38" s="92">
        <f>VLOOKUP($B38,坦克类型系数!$B$3:$AF$33,MATCH(AV$18,坦克类型系数!$B$3:$AF$3,0),FALSE)</f>
        <v>2.2000000000000002</v>
      </c>
      <c r="AW38" s="92">
        <f>VLOOKUP($B38,坦克类型系数!$B$3:$AF$33,MATCH(AW$18,坦克类型系数!$B$3:$AF$3,0),FALSE)</f>
        <v>1.7000000000000002</v>
      </c>
      <c r="AX38" s="92">
        <f>VLOOKUP($B38,坦克类型系数!$B$3:$AF$33,MATCH(AX$18,坦克类型系数!$B$3:$AF$3,0),FALSE)</f>
        <v>1.3</v>
      </c>
      <c r="AY38" s="92">
        <f>VLOOKUP($B38,坦克类型系数!$B$3:$AF$33,MATCH(AY$18,坦克类型系数!$B$3:$AF$3,0),FALSE)</f>
        <v>1.3</v>
      </c>
      <c r="AZ38" s="92">
        <f>VLOOKUP($B38,坦克类型系数!$B$3:$AF$33,MATCH(AZ$18,坦克类型系数!$B$3:$AF$3,0),FALSE)</f>
        <v>1.1000000000000001</v>
      </c>
      <c r="BA38" s="92">
        <f>VLOOKUP($B38,坦克类型系数!$B$3:$AF$33,MATCH(BA$18,坦克类型系数!$B$3:$AF$3,0),FALSE)</f>
        <v>0.75</v>
      </c>
      <c r="BB38" s="92">
        <f>VLOOKUP($B38,坦克类型系数!$B$3:$AF$33,MATCH(BB$18,坦克类型系数!$B$3:$AF$3,0),FALSE)</f>
        <v>0.5</v>
      </c>
    </row>
    <row r="39" spans="2:54" x14ac:dyDescent="0.35">
      <c r="B39" s="77" t="s">
        <v>642</v>
      </c>
      <c r="C39" s="77" t="s">
        <v>561</v>
      </c>
      <c r="D39" s="177" t="str">
        <f>坦克类型系数!C24</f>
        <v>重坦</v>
      </c>
      <c r="E39" s="8" t="s">
        <v>987</v>
      </c>
      <c r="F39" s="8" t="s">
        <v>409</v>
      </c>
      <c r="G39" s="177">
        <f>坦克类型系数!D24</f>
        <v>6.6</v>
      </c>
      <c r="H39" s="177">
        <f>坦克类型系数!E24</f>
        <v>3.26</v>
      </c>
      <c r="I39" s="177">
        <f>坦克类型系数!F24</f>
        <v>7.36</v>
      </c>
      <c r="J39" s="89">
        <f>SQRT(I39/VLOOKUP(D39,坦克类型系数!$AH$3:$AK$6,4,FALSE))</f>
        <v>0.97830829810333375</v>
      </c>
      <c r="K39" s="8" t="s">
        <v>648</v>
      </c>
      <c r="L39" s="69">
        <f>VLOOKUP(D39,坦克类型系数!$AH$15:$AK$18,4,FALSE)</f>
        <v>0.64</v>
      </c>
      <c r="M39" s="8">
        <v>1.2000000000000002</v>
      </c>
      <c r="N39" s="461">
        <f t="shared" si="5"/>
        <v>0.77</v>
      </c>
      <c r="O39" s="81">
        <f t="shared" si="6"/>
        <v>1.203125</v>
      </c>
      <c r="P39" s="81">
        <f t="shared" si="7"/>
        <v>0.97513632764893743</v>
      </c>
      <c r="Q39" s="89">
        <f t="shared" si="8"/>
        <v>1.1732108942026278</v>
      </c>
      <c r="R39" s="461">
        <f>VLOOKUP(F39,坦克类型系数!$AQ$3:$AX$10,MATCH("瞄准速度",坦克类型系数!$AQ$3:$AX$3,0),FALSE)</f>
        <v>1.2</v>
      </c>
      <c r="S39" s="8">
        <v>3</v>
      </c>
      <c r="T39" s="461">
        <f>(VLOOKUP(F39,坦克类型系数!$AM$3:$AO$10,MATCH("射击间隔max",坦克类型系数!$AM$3:$AO$3,0),FALSE)-VLOOKUP(F39,坦克类型系数!$AM$3:$AO$10,MATCH("射击间隔min",坦克类型系数!$AM$3:$AO$3,0),FALSE))*S39+VLOOKUP(F39,坦克类型系数!$AM$3:$AO$10,MATCH("射击间隔min",坦克类型系数!$AM$3:$AO$3,0),FALSE)</f>
        <v>2.8</v>
      </c>
      <c r="U39" s="89">
        <f>(T39-VLOOKUP(F39,标准坦克设计!$B$13:$K$20,MATCH("射击间隔",标准坦克设计!$B$13:$K$13,0),FALSE))/0.1*VLOOKUP($B$15,$B$3:$J$15,MATCH(F39,$B$3:$J$3,0),FALSE)+1</f>
        <v>1.1146384479717812</v>
      </c>
      <c r="V39" s="77">
        <f>VLOOKUP(D39,坦克类型系数!$BI$3:$BK$6,2,FALSE)</f>
        <v>0.5</v>
      </c>
      <c r="W39" s="81">
        <f>VLOOKUP(D39,坦克类型系数!$BI$3:$BK$6,3,FALSE)</f>
        <v>1.3221033219826164</v>
      </c>
      <c r="X39" s="8">
        <v>2</v>
      </c>
      <c r="Y39" s="8">
        <v>1</v>
      </c>
      <c r="Z39" s="81">
        <f>VLOOKUP(D39,坦克类型系数!$CQ$9:$CY$12,2,FALSE)*$M$4*Y39</f>
        <v>9.7912120990134017</v>
      </c>
      <c r="AA39" s="81">
        <f>VLOOKUP(D39,坦克类型系数!$CQ$9:$CY$12,6,FALSE)*$M$4*Y39</f>
        <v>39.164848396053607</v>
      </c>
      <c r="AB39" s="81">
        <f>VLOOKUP(D39,坦克类型系数!$CQ$3:$CY$6,9,FALSE)</f>
        <v>48.956060495067014</v>
      </c>
      <c r="AC39" s="78">
        <f>VLOOKUP(F39,坦克类型系数!$BM$3:$BV$10,6,FALSE)</f>
        <v>1.92</v>
      </c>
      <c r="AD39" s="53">
        <f t="shared" si="3"/>
        <v>1</v>
      </c>
      <c r="AE39" s="81">
        <f>VLOOKUP(D39,坦克类型系数!$DE$3:$DH$6,3,FALSE)*AD39</f>
        <v>35</v>
      </c>
      <c r="AF39" s="8">
        <v>1</v>
      </c>
      <c r="AG39" s="89">
        <f t="shared" si="4"/>
        <v>1</v>
      </c>
      <c r="AH39" s="78">
        <f>VLOOKUP(D39,坦克类型系数!$BZ$21:$CF$24,2,FALSE)*AF39</f>
        <v>10.5</v>
      </c>
      <c r="AI39" s="81">
        <f>VLOOKUP(D39,坦克类型系数!$BZ$21:$CF$24,5,FALSE)*AF39</f>
        <v>10.5</v>
      </c>
      <c r="AJ39" s="81">
        <f>VLOOKUP(D39,坦克类型系数!$BZ$21:$CF$24,4,FALSE)</f>
        <v>5.9523809523809526</v>
      </c>
      <c r="AK39" s="81">
        <f>VLOOKUP(D39,坦克类型系数!$BZ$21:$CF$24,7,FALSE)</f>
        <v>4.166666666666667</v>
      </c>
      <c r="AL39" s="81">
        <f>VLOOKUP(D39,坦克类型系数!$CH$21:$CN$24,4,FALSE)</f>
        <v>9.6666666666666661</v>
      </c>
      <c r="AM39" s="81">
        <f>VLOOKUP(D39,坦克类型系数!$CH$21:$CN$24,7,FALSE)</f>
        <v>16.111111111111111</v>
      </c>
      <c r="AN39" s="78">
        <f>VLOOKUP(F39,坦克类型系数!$BM$13:$BV$20,6,FALSE)</f>
        <v>0.64</v>
      </c>
      <c r="AO39" s="92">
        <f>基础属性系数!$C$56</f>
        <v>0.2</v>
      </c>
      <c r="AP39" s="92">
        <f>基础属性系数!$C$55</f>
        <v>0.3</v>
      </c>
      <c r="AQ39" s="78">
        <f>VLOOKUP(D39,坦克类型系数!$DE$9:$DH$12,2,FALSE)</f>
        <v>0.8</v>
      </c>
      <c r="AR39" s="78">
        <f>VLOOKUP(D39,坦克类型系数!$DE$9:$DH$12,3,FALSE)</f>
        <v>0.8</v>
      </c>
      <c r="AS39" s="78">
        <f>VLOOKUP(D39,坦克类型系数!$DE$9:$DH$12,4,FALSE)</f>
        <v>0.8</v>
      </c>
      <c r="AT39" s="78">
        <f>VLOOKUP(D39,坦克类型系数!$AH$9:$AK$12,3,FALSE)</f>
        <v>70</v>
      </c>
      <c r="AU39" s="78">
        <f>VLOOKUP(D39,坦克类型系数!$AH$9:$AK$12,4,FALSE)</f>
        <v>110</v>
      </c>
      <c r="AV39" s="92">
        <f>VLOOKUP($B39,坦克类型系数!$B$3:$AF$33,MATCH(AV$18,坦克类型系数!$B$3:$AF$3,0),FALSE)</f>
        <v>2.5499999999999998</v>
      </c>
      <c r="AW39" s="92">
        <f>VLOOKUP($B39,坦克类型系数!$B$3:$AF$33,MATCH(AW$18,坦克类型系数!$B$3:$AF$3,0),FALSE)</f>
        <v>2.0499999999999998</v>
      </c>
      <c r="AX39" s="92">
        <f>VLOOKUP($B39,坦克类型系数!$B$3:$AF$33,MATCH(AX$18,坦克类型系数!$B$3:$AF$3,0),FALSE)</f>
        <v>1.5</v>
      </c>
      <c r="AY39" s="92">
        <f>VLOOKUP($B39,坦克类型系数!$B$3:$AF$33,MATCH(AY$18,坦克类型系数!$B$3:$AF$3,0),FALSE)</f>
        <v>1.5</v>
      </c>
      <c r="AZ39" s="92">
        <f>VLOOKUP($B39,坦克类型系数!$B$3:$AF$33,MATCH(AZ$18,坦克类型系数!$B$3:$AF$3,0),FALSE)</f>
        <v>1.1000000000000001</v>
      </c>
      <c r="BA39" s="92">
        <f>VLOOKUP($B39,坦克类型系数!$B$3:$AF$33,MATCH(BA$18,坦克类型系数!$B$3:$AF$3,0),FALSE)</f>
        <v>0.75</v>
      </c>
      <c r="BB39" s="92">
        <f>VLOOKUP($B39,坦克类型系数!$B$3:$AF$33,MATCH(BB$18,坦克类型系数!$B$3:$AF$3,0),FALSE)</f>
        <v>0.4</v>
      </c>
    </row>
    <row r="40" spans="2:54" x14ac:dyDescent="0.35">
      <c r="B40" s="77" t="s">
        <v>630</v>
      </c>
      <c r="C40" s="77" t="s">
        <v>562</v>
      </c>
      <c r="D40" s="177" t="str">
        <f>坦克类型系数!C25</f>
        <v>重坦</v>
      </c>
      <c r="E40" s="8" t="s">
        <v>921</v>
      </c>
      <c r="F40" s="8" t="s">
        <v>409</v>
      </c>
      <c r="G40" s="177">
        <f>坦克类型系数!D25</f>
        <v>6.44</v>
      </c>
      <c r="H40" s="177">
        <f>坦克类型系数!E25</f>
        <v>2.5099999999999998</v>
      </c>
      <c r="I40" s="177">
        <f>坦克类型系数!F25</f>
        <v>6.91</v>
      </c>
      <c r="J40" s="89">
        <f>SQRT(I40/VLOOKUP(D40,坦克类型系数!$AH$3:$AK$6,4,FALSE))</f>
        <v>0.94792909590921481</v>
      </c>
      <c r="K40" s="8" t="s">
        <v>648</v>
      </c>
      <c r="L40" s="69">
        <f>VLOOKUP(D40,坦克类型系数!$AH$15:$AK$18,4,FALSE)</f>
        <v>0.64</v>
      </c>
      <c r="M40" s="8">
        <v>1.1500000000000001</v>
      </c>
      <c r="N40" s="461">
        <f t="shared" si="5"/>
        <v>0.74</v>
      </c>
      <c r="O40" s="81">
        <f t="shared" si="6"/>
        <v>1.15625</v>
      </c>
      <c r="P40" s="81">
        <f t="shared" si="7"/>
        <v>0.9756718528995757</v>
      </c>
      <c r="Q40" s="89">
        <f t="shared" si="8"/>
        <v>1.1281205799151344</v>
      </c>
      <c r="R40" s="461">
        <f>VLOOKUP(F40,坦克类型系数!$AQ$3:$AX$10,MATCH("瞄准速度",坦克类型系数!$AQ$3:$AX$3,0),FALSE)</f>
        <v>1.2</v>
      </c>
      <c r="S40" s="8">
        <v>0.7</v>
      </c>
      <c r="T40" s="461">
        <f>(VLOOKUP(F40,坦克类型系数!$AM$3:$AO$10,MATCH("射击间隔max",坦克类型系数!$AM$3:$AO$3,0),FALSE)-VLOOKUP(F40,坦克类型系数!$AM$3:$AO$10,MATCH("射击间隔min",坦克类型系数!$AM$3:$AO$3,0),FALSE))*S40+VLOOKUP(F40,坦克类型系数!$AM$3:$AO$10,MATCH("射击间隔min",坦克类型系数!$AM$3:$AO$3,0),FALSE)</f>
        <v>1.88</v>
      </c>
      <c r="U40" s="89">
        <f>(T40-VLOOKUP(F40,标准坦克设计!$B$13:$K$20,MATCH("射击间隔",标准坦克设计!$B$13:$K$13,0),FALSE))/0.1*VLOOKUP($B$15,$B$3:$J$15,MATCH(F40,$B$3:$J$3,0),FALSE)+1</f>
        <v>1.0091710758377426</v>
      </c>
      <c r="V40" s="77">
        <f>VLOOKUP(D40,坦克类型系数!$BI$3:$BK$6,2,FALSE)</f>
        <v>0.5</v>
      </c>
      <c r="W40" s="81">
        <f>VLOOKUP(D40,坦克类型系数!$BI$3:$BK$6,3,FALSE)</f>
        <v>1.3221033219826164</v>
      </c>
      <c r="X40" s="8">
        <v>2</v>
      </c>
      <c r="Y40" s="8">
        <v>1</v>
      </c>
      <c r="Z40" s="81">
        <f>VLOOKUP(D40,坦克类型系数!$CQ$9:$CY$12,2,FALSE)*$M$4*Y40</f>
        <v>9.7912120990134017</v>
      </c>
      <c r="AA40" s="81">
        <f>VLOOKUP(D40,坦克类型系数!$CQ$9:$CY$12,6,FALSE)*$M$4*Y40</f>
        <v>39.164848396053607</v>
      </c>
      <c r="AB40" s="81">
        <f>VLOOKUP(D40,坦克类型系数!$CQ$3:$CY$6,9,FALSE)</f>
        <v>48.956060495067014</v>
      </c>
      <c r="AC40" s="78">
        <f>VLOOKUP(F40,坦克类型系数!$BM$3:$BV$10,6,FALSE)</f>
        <v>1.92</v>
      </c>
      <c r="AD40" s="53">
        <f t="shared" si="3"/>
        <v>1</v>
      </c>
      <c r="AE40" s="81">
        <f>VLOOKUP(D40,坦克类型系数!$DE$3:$DH$6,3,FALSE)*AD40</f>
        <v>35</v>
      </c>
      <c r="AF40" s="8">
        <v>1</v>
      </c>
      <c r="AG40" s="89">
        <f t="shared" si="4"/>
        <v>1</v>
      </c>
      <c r="AH40" s="78">
        <f>VLOOKUP(D40,坦克类型系数!$BZ$21:$CF$24,2,FALSE)*AF40</f>
        <v>10.5</v>
      </c>
      <c r="AI40" s="81">
        <f>VLOOKUP(D40,坦克类型系数!$BZ$21:$CF$24,5,FALSE)*AF40</f>
        <v>10.5</v>
      </c>
      <c r="AJ40" s="81">
        <f>VLOOKUP(D40,坦克类型系数!$BZ$21:$CF$24,4,FALSE)</f>
        <v>5.9523809523809526</v>
      </c>
      <c r="AK40" s="81">
        <f>VLOOKUP(D40,坦克类型系数!$BZ$21:$CF$24,7,FALSE)</f>
        <v>4.166666666666667</v>
      </c>
      <c r="AL40" s="81">
        <f>VLOOKUP(D40,坦克类型系数!$CH$21:$CN$24,4,FALSE)</f>
        <v>9.6666666666666661</v>
      </c>
      <c r="AM40" s="81">
        <f>VLOOKUP(D40,坦克类型系数!$CH$21:$CN$24,7,FALSE)</f>
        <v>16.111111111111111</v>
      </c>
      <c r="AN40" s="78">
        <f>VLOOKUP(F40,坦克类型系数!$BM$13:$BV$20,6,FALSE)</f>
        <v>0.64</v>
      </c>
      <c r="AO40" s="92">
        <f>基础属性系数!$C$56</f>
        <v>0.2</v>
      </c>
      <c r="AP40" s="92">
        <f>基础属性系数!$C$55</f>
        <v>0.3</v>
      </c>
      <c r="AQ40" s="78">
        <f>VLOOKUP(D40,坦克类型系数!$DE$9:$DH$12,2,FALSE)</f>
        <v>0.8</v>
      </c>
      <c r="AR40" s="78">
        <f>VLOOKUP(D40,坦克类型系数!$DE$9:$DH$12,3,FALSE)</f>
        <v>0.8</v>
      </c>
      <c r="AS40" s="78">
        <f>VLOOKUP(D40,坦克类型系数!$DE$9:$DH$12,4,FALSE)</f>
        <v>0.8</v>
      </c>
      <c r="AT40" s="78">
        <f>VLOOKUP(D40,坦克类型系数!$AH$9:$AK$12,3,FALSE)</f>
        <v>70</v>
      </c>
      <c r="AU40" s="78">
        <f>VLOOKUP(D40,坦克类型系数!$AH$9:$AK$12,4,FALSE)</f>
        <v>110</v>
      </c>
      <c r="AV40" s="92">
        <f>VLOOKUP($B40,坦克类型系数!$B$3:$AF$33,MATCH(AV$18,坦克类型系数!$B$3:$AF$3,0),FALSE)</f>
        <v>2.5499999999999998</v>
      </c>
      <c r="AW40" s="92">
        <f>VLOOKUP($B40,坦克类型系数!$B$3:$AF$33,MATCH(AW$18,坦克类型系数!$B$3:$AF$3,0),FALSE)</f>
        <v>2.3499999999999996</v>
      </c>
      <c r="AX40" s="92">
        <f>VLOOKUP($B40,坦克类型系数!$B$3:$AF$33,MATCH(AX$18,坦克类型系数!$B$3:$AF$3,0),FALSE)</f>
        <v>2.1</v>
      </c>
      <c r="AY40" s="92">
        <f>VLOOKUP($B40,坦克类型系数!$B$3:$AF$33,MATCH(AY$18,坦克类型系数!$B$3:$AF$3,0),FALSE)</f>
        <v>2.1</v>
      </c>
      <c r="AZ40" s="92">
        <f>VLOOKUP($B40,坦克类型系数!$B$3:$AF$33,MATCH(AZ$18,坦克类型系数!$B$3:$AF$3,0),FALSE)</f>
        <v>1.35</v>
      </c>
      <c r="BA40" s="92">
        <f>VLOOKUP($B40,坦克类型系数!$B$3:$AF$33,MATCH(BA$18,坦克类型系数!$B$3:$AF$3,0),FALSE)</f>
        <v>0.85000000000000009</v>
      </c>
      <c r="BB40" s="92">
        <f>VLOOKUP($B40,坦克类型系数!$B$3:$AF$33,MATCH(BB$18,坦克类型系数!$B$3:$AF$3,0),FALSE)</f>
        <v>0.5</v>
      </c>
    </row>
    <row r="41" spans="2:54" x14ac:dyDescent="0.35">
      <c r="B41" s="77" t="s">
        <v>631</v>
      </c>
      <c r="C41" s="77" t="s">
        <v>563</v>
      </c>
      <c r="D41" s="177" t="str">
        <f>坦克类型系数!C26</f>
        <v>重坦</v>
      </c>
      <c r="E41" s="8" t="s">
        <v>921</v>
      </c>
      <c r="F41" s="8" t="s">
        <v>395</v>
      </c>
      <c r="G41" s="177">
        <f>坦克类型系数!D26</f>
        <v>7.18</v>
      </c>
      <c r="H41" s="177">
        <f>坦克类型系数!E26</f>
        <v>3.28</v>
      </c>
      <c r="I41" s="177">
        <f>坦克类型系数!F26</f>
        <v>7.89</v>
      </c>
      <c r="J41" s="89">
        <f>SQRT(I41/VLOOKUP(D41,坦克类型系数!$AH$3:$AK$6,4,FALSE))</f>
        <v>1.0129204323838581</v>
      </c>
      <c r="K41" s="8" t="s">
        <v>648</v>
      </c>
      <c r="L41" s="69">
        <f>VLOOKUP(D41,坦克类型系数!$AH$15:$AK$18,4,FALSE)</f>
        <v>0.64</v>
      </c>
      <c r="M41" s="8">
        <v>1.1000000000000001</v>
      </c>
      <c r="N41" s="461">
        <f t="shared" si="5"/>
        <v>0.7</v>
      </c>
      <c r="O41" s="81">
        <f t="shared" si="6"/>
        <v>1.09375</v>
      </c>
      <c r="P41" s="81">
        <f t="shared" si="7"/>
        <v>1</v>
      </c>
      <c r="Q41" s="89">
        <f t="shared" si="8"/>
        <v>1.09375</v>
      </c>
      <c r="R41" s="461">
        <f>VLOOKUP(F41,坦克类型系数!$AQ$3:$AX$10,MATCH("瞄准速度",坦克类型系数!$AQ$3:$AX$3,0),FALSE)</f>
        <v>1</v>
      </c>
      <c r="S41" s="8">
        <v>1</v>
      </c>
      <c r="T41" s="461">
        <f>(VLOOKUP(F41,坦克类型系数!$AM$3:$AO$10,MATCH("射击间隔max",坦克类型系数!$AM$3:$AO$3,0),FALSE)-VLOOKUP(F41,坦克类型系数!$AM$3:$AO$10,MATCH("射击间隔min",坦克类型系数!$AM$3:$AO$3,0),FALSE))*S41+VLOOKUP(F41,坦克类型系数!$AM$3:$AO$10,MATCH("射击间隔min",坦克类型系数!$AM$3:$AO$3,0),FALSE)</f>
        <v>0</v>
      </c>
      <c r="U41" s="89">
        <f>(T41-VLOOKUP(F41,标准坦克设计!$B$13:$K$20,MATCH("射击间隔",标准坦克设计!$B$13:$K$13,0),FALSE))/0.1*VLOOKUP($B$15,$B$3:$J$15,MATCH(F41,$B$3:$J$3,0),FALSE)+1</f>
        <v>1</v>
      </c>
      <c r="V41" s="77">
        <f>VLOOKUP(D41,坦克类型系数!$BI$3:$BK$6,2,FALSE)</f>
        <v>0.5</v>
      </c>
      <c r="W41" s="81">
        <f>VLOOKUP(D41,坦克类型系数!$BI$3:$BK$6,3,FALSE)</f>
        <v>1.3221033219826164</v>
      </c>
      <c r="X41" s="8">
        <v>5</v>
      </c>
      <c r="Y41" s="8">
        <v>0.8</v>
      </c>
      <c r="Z41" s="81">
        <f>VLOOKUP(D41,坦克类型系数!$CQ$9:$CY$12,2,FALSE)*$M$4*Y41</f>
        <v>7.8329696792107217</v>
      </c>
      <c r="AA41" s="81">
        <f>VLOOKUP(D41,坦克类型系数!$CQ$9:$CY$12,6,FALSE)*$M$4*Y41</f>
        <v>31.331878716842887</v>
      </c>
      <c r="AB41" s="81">
        <f>VLOOKUP(D41,坦克类型系数!$CQ$3:$CY$6,9,FALSE)</f>
        <v>48.956060495067014</v>
      </c>
      <c r="AC41" s="78">
        <f>VLOOKUP(F41,坦克类型系数!$BM$3:$BV$10,6,FALSE)</f>
        <v>3.2</v>
      </c>
      <c r="AD41" s="53">
        <f t="shared" si="3"/>
        <v>1.25</v>
      </c>
      <c r="AE41" s="81">
        <f>VLOOKUP(D41,坦克类型系数!$DE$3:$DH$6,3,FALSE)*AD41</f>
        <v>43.75</v>
      </c>
      <c r="AF41" s="8">
        <v>0.9</v>
      </c>
      <c r="AG41" s="89">
        <f t="shared" si="4"/>
        <v>1</v>
      </c>
      <c r="AH41" s="78">
        <f>VLOOKUP(D41,坦克类型系数!$BZ$21:$CF$24,2,FALSE)*AF41</f>
        <v>9.4500000000000011</v>
      </c>
      <c r="AI41" s="81">
        <f>VLOOKUP(D41,坦克类型系数!$BZ$21:$CF$24,5,FALSE)*AF41</f>
        <v>9.4500000000000011</v>
      </c>
      <c r="AJ41" s="81">
        <f>VLOOKUP(D41,坦克类型系数!$BZ$21:$CF$24,4,FALSE)</f>
        <v>5.9523809523809526</v>
      </c>
      <c r="AK41" s="81">
        <f>VLOOKUP(D41,坦克类型系数!$BZ$21:$CF$24,7,FALSE)</f>
        <v>4.166666666666667</v>
      </c>
      <c r="AL41" s="81">
        <f>VLOOKUP(D41,坦克类型系数!$CH$21:$CN$24,4,FALSE)</f>
        <v>9.6666666666666661</v>
      </c>
      <c r="AM41" s="81">
        <f>VLOOKUP(D41,坦克类型系数!$CH$21:$CN$24,7,FALSE)</f>
        <v>16.111111111111111</v>
      </c>
      <c r="AN41" s="78">
        <f>VLOOKUP(F41,坦克类型系数!$BM$13:$BV$20,6,FALSE)</f>
        <v>1.28</v>
      </c>
      <c r="AO41" s="92">
        <f>基础属性系数!$C$56</f>
        <v>0.2</v>
      </c>
      <c r="AP41" s="92">
        <f>基础属性系数!$C$55</f>
        <v>0.3</v>
      </c>
      <c r="AQ41" s="78">
        <f>VLOOKUP(D41,坦克类型系数!$DE$9:$DH$12,2,FALSE)</f>
        <v>0.8</v>
      </c>
      <c r="AR41" s="78">
        <f>VLOOKUP(D41,坦克类型系数!$DE$9:$DH$12,3,FALSE)</f>
        <v>0.8</v>
      </c>
      <c r="AS41" s="78">
        <f>VLOOKUP(D41,坦克类型系数!$DE$9:$DH$12,4,FALSE)</f>
        <v>0.8</v>
      </c>
      <c r="AT41" s="78">
        <f>VLOOKUP(D41,坦克类型系数!$AH$9:$AK$12,3,FALSE)</f>
        <v>70</v>
      </c>
      <c r="AU41" s="78">
        <f>VLOOKUP(D41,坦克类型系数!$AH$9:$AK$12,4,FALSE)</f>
        <v>110</v>
      </c>
      <c r="AV41" s="92">
        <f>VLOOKUP($B41,坦克类型系数!$B$3:$AF$33,MATCH(AV$18,坦克类型系数!$B$3:$AF$3,0),FALSE)</f>
        <v>2.5</v>
      </c>
      <c r="AW41" s="92">
        <f>VLOOKUP($B41,坦克类型系数!$B$3:$AF$33,MATCH(AW$18,坦克类型系数!$B$3:$AF$3,0),FALSE)</f>
        <v>2.15</v>
      </c>
      <c r="AX41" s="92">
        <f>VLOOKUP($B41,坦克类型系数!$B$3:$AF$33,MATCH(AX$18,坦克类型系数!$B$3:$AF$3,0),FALSE)</f>
        <v>1.6500000000000001</v>
      </c>
      <c r="AY41" s="92">
        <f>VLOOKUP($B41,坦克类型系数!$B$3:$AF$33,MATCH(AY$18,坦克类型系数!$B$3:$AF$3,0),FALSE)</f>
        <v>1.6500000000000001</v>
      </c>
      <c r="AZ41" s="92">
        <f>VLOOKUP($B41,坦克类型系数!$B$3:$AF$33,MATCH(AZ$18,坦克类型系数!$B$3:$AF$3,0),FALSE)</f>
        <v>1.2</v>
      </c>
      <c r="BA41" s="92">
        <f>VLOOKUP($B41,坦克类型系数!$B$3:$AF$33,MATCH(BA$18,坦克类型系数!$B$3:$AF$3,0),FALSE)</f>
        <v>0.75</v>
      </c>
      <c r="BB41" s="92">
        <f>VLOOKUP($B41,坦克类型系数!$B$3:$AF$33,MATCH(BB$18,坦克类型系数!$B$3:$AF$3,0),FALSE)</f>
        <v>0.44999999999999996</v>
      </c>
    </row>
    <row r="42" spans="2:54" x14ac:dyDescent="0.35">
      <c r="B42" s="77" t="s">
        <v>628</v>
      </c>
      <c r="C42" s="77" t="s">
        <v>556</v>
      </c>
      <c r="D42" s="177" t="str">
        <f>坦克类型系数!C27</f>
        <v>重坦</v>
      </c>
      <c r="E42" s="8" t="s">
        <v>922</v>
      </c>
      <c r="F42" s="8" t="s">
        <v>395</v>
      </c>
      <c r="G42" s="177">
        <f>坦克类型系数!D27</f>
        <v>6.86</v>
      </c>
      <c r="H42" s="177">
        <f>坦克类型系数!E27</f>
        <v>3.3</v>
      </c>
      <c r="I42" s="177">
        <f>坦克类型系数!F27</f>
        <v>7.61</v>
      </c>
      <c r="J42" s="89">
        <f>SQRT(I42/VLOOKUP(D42,坦克类型系数!$AH$3:$AK$6,4,FALSE))</f>
        <v>0.99478484058801331</v>
      </c>
      <c r="K42" s="8" t="s">
        <v>648</v>
      </c>
      <c r="L42" s="69">
        <f>VLOOKUP(D42,坦克类型系数!$AH$15:$AK$18,4,FALSE)</f>
        <v>0.64</v>
      </c>
      <c r="M42" s="8">
        <v>1</v>
      </c>
      <c r="N42" s="461">
        <f t="shared" si="5"/>
        <v>0.64</v>
      </c>
      <c r="O42" s="81">
        <f>1+(N42-L42)/L42</f>
        <v>1</v>
      </c>
      <c r="P42" s="81">
        <f t="shared" si="7"/>
        <v>1</v>
      </c>
      <c r="Q42" s="89">
        <f>O42*P42</f>
        <v>1</v>
      </c>
      <c r="R42" s="461">
        <f>VLOOKUP(F42,坦克类型系数!$AQ$3:$AX$10,MATCH("瞄准速度",坦克类型系数!$AQ$3:$AX$3,0),FALSE)</f>
        <v>1</v>
      </c>
      <c r="S42" s="8">
        <v>1</v>
      </c>
      <c r="T42" s="461">
        <f>(VLOOKUP(F42,坦克类型系数!$AM$3:$AO$10,MATCH("射击间隔max",坦克类型系数!$AM$3:$AO$3,0),FALSE)-VLOOKUP(F42,坦克类型系数!$AM$3:$AO$10,MATCH("射击间隔min",坦克类型系数!$AM$3:$AO$3,0),FALSE))*S42+VLOOKUP(F42,坦克类型系数!$AM$3:$AO$10,MATCH("射击间隔min",坦克类型系数!$AM$3:$AO$3,0),FALSE)</f>
        <v>0</v>
      </c>
      <c r="U42" s="89">
        <f>(T42-VLOOKUP(F42,标准坦克设计!$B$13:$K$20,MATCH("射击间隔",标准坦克设计!$B$13:$K$13,0),FALSE))/0.1*VLOOKUP($B$15,$B$3:$J$15,MATCH(F42,$B$3:$J$3,0),FALSE)+1</f>
        <v>1</v>
      </c>
      <c r="V42" s="77">
        <f>VLOOKUP(D42,坦克类型系数!$BI$3:$BK$6,2,FALSE)</f>
        <v>0.5</v>
      </c>
      <c r="W42" s="81">
        <f>VLOOKUP(D42,坦克类型系数!$BI$3:$BK$6,3,FALSE)</f>
        <v>1.3221033219826164</v>
      </c>
      <c r="X42" s="8">
        <v>5</v>
      </c>
      <c r="Y42" s="8">
        <v>0.8</v>
      </c>
      <c r="Z42" s="81">
        <f>VLOOKUP(D42,坦克类型系数!$CQ$9:$CY$12,2,FALSE)*$M$4*Y42</f>
        <v>7.8329696792107217</v>
      </c>
      <c r="AA42" s="81">
        <f>VLOOKUP(D42,坦克类型系数!$CQ$9:$CY$12,6,FALSE)*$M$4*Y42</f>
        <v>31.331878716842887</v>
      </c>
      <c r="AB42" s="81">
        <f>VLOOKUP(D42,坦克类型系数!$CQ$3:$CY$6,9,FALSE)</f>
        <v>48.956060495067014</v>
      </c>
      <c r="AC42" s="78">
        <f>VLOOKUP(F42,坦克类型系数!$BM$3:$BV$10,6,FALSE)</f>
        <v>3.2</v>
      </c>
      <c r="AD42" s="53">
        <f t="shared" si="3"/>
        <v>1.25</v>
      </c>
      <c r="AE42" s="81">
        <f>VLOOKUP(D42,坦克类型系数!$DE$3:$DH$6,3,FALSE)*AD42</f>
        <v>43.75</v>
      </c>
      <c r="AF42" s="8">
        <v>0.9</v>
      </c>
      <c r="AG42" s="89">
        <f t="shared" si="4"/>
        <v>1</v>
      </c>
      <c r="AH42" s="78">
        <f>VLOOKUP(D42,坦克类型系数!$BZ$21:$CF$24,2,FALSE)*AF42</f>
        <v>9.4500000000000011</v>
      </c>
      <c r="AI42" s="81">
        <f>VLOOKUP(D42,坦克类型系数!$BZ$21:$CF$24,5,FALSE)*AF42</f>
        <v>9.4500000000000011</v>
      </c>
      <c r="AJ42" s="81">
        <f>VLOOKUP(D42,坦克类型系数!$BZ$21:$CF$24,4,FALSE)</f>
        <v>5.9523809523809526</v>
      </c>
      <c r="AK42" s="81">
        <f>VLOOKUP(D42,坦克类型系数!$BZ$21:$CF$24,7,FALSE)</f>
        <v>4.166666666666667</v>
      </c>
      <c r="AL42" s="81">
        <f>VLOOKUP(D42,坦克类型系数!$CH$21:$CN$24,4,FALSE)</f>
        <v>9.6666666666666661</v>
      </c>
      <c r="AM42" s="81">
        <f>VLOOKUP(D42,坦克类型系数!$CH$21:$CN$24,7,FALSE)</f>
        <v>16.111111111111111</v>
      </c>
      <c r="AN42" s="78">
        <f>VLOOKUP(F42,坦克类型系数!$BM$13:$BV$20,6,FALSE)</f>
        <v>1.28</v>
      </c>
      <c r="AO42" s="92">
        <f>基础属性系数!$C$56</f>
        <v>0.2</v>
      </c>
      <c r="AP42" s="92">
        <f>基础属性系数!$C$55</f>
        <v>0.3</v>
      </c>
      <c r="AQ42" s="78">
        <f>VLOOKUP(D42,坦克类型系数!$DE$9:$DH$12,2,FALSE)</f>
        <v>0.8</v>
      </c>
      <c r="AR42" s="78">
        <f>VLOOKUP(D42,坦克类型系数!$DE$9:$DH$12,3,FALSE)</f>
        <v>0.8</v>
      </c>
      <c r="AS42" s="78">
        <f>VLOOKUP(D42,坦克类型系数!$DE$9:$DH$12,4,FALSE)</f>
        <v>0.8</v>
      </c>
      <c r="AT42" s="78">
        <f>VLOOKUP(D42,坦克类型系数!$AH$9:$AK$12,3,FALSE)</f>
        <v>70</v>
      </c>
      <c r="AU42" s="78">
        <f>VLOOKUP(D42,坦克类型系数!$AH$9:$AK$12,4,FALSE)</f>
        <v>110</v>
      </c>
      <c r="AV42" s="92">
        <f>VLOOKUP($B42,坦克类型系数!$B$3:$AF$33,MATCH(AV$18,坦克类型系数!$B$3:$AF$3,0),FALSE)</f>
        <v>2.6500000000000004</v>
      </c>
      <c r="AW42" s="92">
        <f>VLOOKUP($B42,坦克类型系数!$B$3:$AF$33,MATCH(AW$18,坦克类型系数!$B$3:$AF$3,0),FALSE)</f>
        <v>2.1</v>
      </c>
      <c r="AX42" s="92">
        <f>VLOOKUP($B42,坦克类型系数!$B$3:$AF$33,MATCH(AX$18,坦克类型系数!$B$3:$AF$3,0),FALSE)</f>
        <v>1.55</v>
      </c>
      <c r="AY42" s="92">
        <f>VLOOKUP($B42,坦克类型系数!$B$3:$AF$33,MATCH(AY$18,坦克类型系数!$B$3:$AF$3,0),FALSE)</f>
        <v>1.55</v>
      </c>
      <c r="AZ42" s="92">
        <f>VLOOKUP($B42,坦克类型系数!$B$3:$AF$33,MATCH(AZ$18,坦克类型系数!$B$3:$AF$3,0),FALSE)</f>
        <v>1.1500000000000001</v>
      </c>
      <c r="BA42" s="92">
        <f>VLOOKUP($B42,坦克类型系数!$B$3:$AF$33,MATCH(BA$18,坦克类型系数!$B$3:$AF$3,0),FALSE)</f>
        <v>0.70000000000000007</v>
      </c>
      <c r="BB42" s="92">
        <f>VLOOKUP($B42,坦克类型系数!$B$3:$AF$33,MATCH(BB$18,坦克类型系数!$B$3:$AF$3,0),FALSE)</f>
        <v>0.44999999999999996</v>
      </c>
    </row>
    <row r="43" spans="2:54" x14ac:dyDescent="0.35">
      <c r="B43" s="77" t="s">
        <v>632</v>
      </c>
      <c r="C43" s="77" t="s">
        <v>565</v>
      </c>
      <c r="D43" s="177" t="str">
        <f>坦克类型系数!C28</f>
        <v>重坦</v>
      </c>
      <c r="E43" s="8" t="s">
        <v>922</v>
      </c>
      <c r="F43" s="8" t="s">
        <v>395</v>
      </c>
      <c r="G43" s="177">
        <f>坦克类型系数!D28</f>
        <v>6.1</v>
      </c>
      <c r="H43" s="177">
        <f>坦克类型系数!E28</f>
        <v>3.48</v>
      </c>
      <c r="I43" s="177">
        <f>坦克类型系数!F28</f>
        <v>7.02</v>
      </c>
      <c r="J43" s="89">
        <f>SQRT(I43/VLOOKUP(D43,坦克类型系数!$AH$3:$AK$6,4,FALSE))</f>
        <v>0.95544432708486349</v>
      </c>
      <c r="K43" s="8" t="s">
        <v>648</v>
      </c>
      <c r="L43" s="69">
        <f>VLOOKUP(D43,坦克类型系数!$AH$15:$AK$18,4,FALSE)</f>
        <v>0.64</v>
      </c>
      <c r="M43" s="8">
        <v>1.1000000000000001</v>
      </c>
      <c r="N43" s="461">
        <f t="shared" si="5"/>
        <v>0.7</v>
      </c>
      <c r="O43" s="81">
        <f t="shared" si="6"/>
        <v>1.09375</v>
      </c>
      <c r="P43" s="81">
        <f t="shared" si="7"/>
        <v>1</v>
      </c>
      <c r="Q43" s="89">
        <f t="shared" si="8"/>
        <v>1.09375</v>
      </c>
      <c r="R43" s="461">
        <f>VLOOKUP(F43,坦克类型系数!$AQ$3:$AX$10,MATCH("瞄准速度",坦克类型系数!$AQ$3:$AX$3,0),FALSE)</f>
        <v>1</v>
      </c>
      <c r="S43" s="8">
        <v>1</v>
      </c>
      <c r="T43" s="461">
        <f>(VLOOKUP(F43,坦克类型系数!$AM$3:$AO$10,MATCH("射击间隔max",坦克类型系数!$AM$3:$AO$3,0),FALSE)-VLOOKUP(F43,坦克类型系数!$AM$3:$AO$10,MATCH("射击间隔min",坦克类型系数!$AM$3:$AO$3,0),FALSE))*S43+VLOOKUP(F43,坦克类型系数!$AM$3:$AO$10,MATCH("射击间隔min",坦克类型系数!$AM$3:$AO$3,0),FALSE)</f>
        <v>0</v>
      </c>
      <c r="U43" s="89">
        <f>(T43-VLOOKUP(F43,标准坦克设计!$B$13:$K$20,MATCH("射击间隔",标准坦克设计!$B$13:$K$13,0),FALSE))/0.1*VLOOKUP($B$15,$B$3:$J$15,MATCH(F43,$B$3:$J$3,0),FALSE)+1</f>
        <v>1</v>
      </c>
      <c r="V43" s="77">
        <f>VLOOKUP(D43,坦克类型系数!$BI$3:$BK$6,2,FALSE)</f>
        <v>0.5</v>
      </c>
      <c r="W43" s="81">
        <f>VLOOKUP(D43,坦克类型系数!$BI$3:$BK$6,3,FALSE)</f>
        <v>1.3221033219826164</v>
      </c>
      <c r="X43" s="8">
        <v>5</v>
      </c>
      <c r="Y43" s="8">
        <v>0.8</v>
      </c>
      <c r="Z43" s="81">
        <f>VLOOKUP(D43,坦克类型系数!$CQ$9:$CY$12,2,FALSE)*$M$4*Y43</f>
        <v>7.8329696792107217</v>
      </c>
      <c r="AA43" s="81">
        <f>VLOOKUP(D43,坦克类型系数!$CQ$9:$CY$12,6,FALSE)*$M$4*Y43</f>
        <v>31.331878716842887</v>
      </c>
      <c r="AB43" s="81">
        <f>VLOOKUP(D43,坦克类型系数!$CQ$3:$CY$6,9,FALSE)</f>
        <v>48.956060495067014</v>
      </c>
      <c r="AC43" s="78">
        <f>VLOOKUP(F43,坦克类型系数!$BM$3:$BV$10,6,FALSE)</f>
        <v>3.2</v>
      </c>
      <c r="AD43" s="53">
        <f t="shared" si="3"/>
        <v>1.25</v>
      </c>
      <c r="AE43" s="81">
        <f>VLOOKUP(D43,坦克类型系数!$DE$3:$DH$6,3,FALSE)*AD43</f>
        <v>43.75</v>
      </c>
      <c r="AF43" s="8">
        <v>0.9</v>
      </c>
      <c r="AG43" s="89">
        <f t="shared" si="4"/>
        <v>1</v>
      </c>
      <c r="AH43" s="78">
        <f>VLOOKUP(D43,坦克类型系数!$BZ$21:$CF$24,2,FALSE)*AF43</f>
        <v>9.4500000000000011</v>
      </c>
      <c r="AI43" s="81">
        <f>VLOOKUP(D43,坦克类型系数!$BZ$21:$CF$24,5,FALSE)*AF43</f>
        <v>9.4500000000000011</v>
      </c>
      <c r="AJ43" s="81">
        <f>VLOOKUP(D43,坦克类型系数!$BZ$21:$CF$24,4,FALSE)</f>
        <v>5.9523809523809526</v>
      </c>
      <c r="AK43" s="81">
        <f>VLOOKUP(D43,坦克类型系数!$BZ$21:$CF$24,7,FALSE)</f>
        <v>4.166666666666667</v>
      </c>
      <c r="AL43" s="81">
        <f>VLOOKUP(D43,坦克类型系数!$CH$21:$CN$24,4,FALSE)</f>
        <v>9.6666666666666661</v>
      </c>
      <c r="AM43" s="81">
        <f>VLOOKUP(D43,坦克类型系数!$CH$21:$CN$24,7,FALSE)</f>
        <v>16.111111111111111</v>
      </c>
      <c r="AN43" s="78">
        <f>VLOOKUP(F43,坦克类型系数!$BM$13:$BV$20,6,FALSE)</f>
        <v>1.28</v>
      </c>
      <c r="AO43" s="92">
        <f>基础属性系数!$C$56</f>
        <v>0.2</v>
      </c>
      <c r="AP43" s="92">
        <f>基础属性系数!$C$55</f>
        <v>0.3</v>
      </c>
      <c r="AQ43" s="78">
        <f>VLOOKUP(D43,坦克类型系数!$DE$9:$DH$12,2,FALSE)</f>
        <v>0.8</v>
      </c>
      <c r="AR43" s="78">
        <f>VLOOKUP(D43,坦克类型系数!$DE$9:$DH$12,3,FALSE)</f>
        <v>0.8</v>
      </c>
      <c r="AS43" s="78">
        <f>VLOOKUP(D43,坦克类型系数!$DE$9:$DH$12,4,FALSE)</f>
        <v>0.8</v>
      </c>
      <c r="AT43" s="78">
        <f>VLOOKUP(D43,坦克类型系数!$AH$9:$AK$12,3,FALSE)</f>
        <v>70</v>
      </c>
      <c r="AU43" s="78">
        <f>VLOOKUP(D43,坦克类型系数!$AH$9:$AK$12,4,FALSE)</f>
        <v>110</v>
      </c>
      <c r="AV43" s="92">
        <f>VLOOKUP($B43,坦克类型系数!$B$3:$AF$33,MATCH(AV$18,坦克类型系数!$B$3:$AF$3,0),FALSE)</f>
        <v>2.4</v>
      </c>
      <c r="AW43" s="92">
        <f>VLOOKUP($B43,坦克类型系数!$B$3:$AF$33,MATCH(AW$18,坦克类型系数!$B$3:$AF$3,0),FALSE)</f>
        <v>1.9500000000000002</v>
      </c>
      <c r="AX43" s="92">
        <f>VLOOKUP($B43,坦克类型系数!$B$3:$AF$33,MATCH(AX$18,坦克类型系数!$B$3:$AF$3,0),FALSE)</f>
        <v>1.45</v>
      </c>
      <c r="AY43" s="92">
        <f>VLOOKUP($B43,坦克类型系数!$B$3:$AF$33,MATCH(AY$18,坦克类型系数!$B$3:$AF$3,0),FALSE)</f>
        <v>1.45</v>
      </c>
      <c r="AZ43" s="92">
        <f>VLOOKUP($B43,坦克类型系数!$B$3:$AF$33,MATCH(AZ$18,坦克类型系数!$B$3:$AF$3,0),FALSE)</f>
        <v>1.05</v>
      </c>
      <c r="BA43" s="92">
        <f>VLOOKUP($B43,坦克类型系数!$B$3:$AF$33,MATCH(BA$18,坦克类型系数!$B$3:$AF$3,0),FALSE)</f>
        <v>0.70000000000000007</v>
      </c>
      <c r="BB43" s="92">
        <f>VLOOKUP($B43,坦克类型系数!$B$3:$AF$33,MATCH(BB$18,坦克类型系数!$B$3:$AF$3,0),FALSE)</f>
        <v>0.35000000000000003</v>
      </c>
    </row>
    <row r="44" spans="2:54" x14ac:dyDescent="0.35">
      <c r="B44" s="77" t="s">
        <v>633</v>
      </c>
      <c r="C44" s="77" t="s">
        <v>564</v>
      </c>
      <c r="D44" s="177" t="str">
        <f>坦克类型系数!C29</f>
        <v>重坦</v>
      </c>
      <c r="E44" s="8" t="s">
        <v>922</v>
      </c>
      <c r="F44" s="8" t="s">
        <v>409</v>
      </c>
      <c r="G44" s="177">
        <f>坦克类型系数!D29</f>
        <v>6.54</v>
      </c>
      <c r="H44" s="177">
        <f>坦克类型系数!E29</f>
        <v>3.23</v>
      </c>
      <c r="I44" s="177">
        <f>坦克类型系数!F29</f>
        <v>7.29</v>
      </c>
      <c r="J44" s="89">
        <f>SQRT(I44/VLOOKUP(D44,坦克类型系数!$AH$3:$AK$6,4,FALSE))</f>
        <v>0.9736449020657354</v>
      </c>
      <c r="K44" s="8" t="s">
        <v>648</v>
      </c>
      <c r="L44" s="69">
        <f>VLOOKUP(D44,坦克类型系数!$AH$15:$AK$18,4,FALSE)</f>
        <v>0.64</v>
      </c>
      <c r="M44" s="8">
        <v>1.3</v>
      </c>
      <c r="N44" s="461">
        <f t="shared" si="5"/>
        <v>0.83</v>
      </c>
      <c r="O44" s="81">
        <f t="shared" si="6"/>
        <v>1.296875</v>
      </c>
      <c r="P44" s="81">
        <f t="shared" si="7"/>
        <v>0.95720048195295715</v>
      </c>
      <c r="Q44" s="89">
        <f t="shared" si="8"/>
        <v>1.2413693750327413</v>
      </c>
      <c r="R44" s="461">
        <f>VLOOKUP(F44,坦克类型系数!$AQ$3:$AX$10,MATCH("瞄准速度",坦克类型系数!$AQ$3:$AX$3,0),FALSE)</f>
        <v>1.2</v>
      </c>
      <c r="S44" s="8">
        <v>1</v>
      </c>
      <c r="T44" s="461">
        <f>(VLOOKUP(F44,坦克类型系数!$AM$3:$AO$10,MATCH("射击间隔max",坦克类型系数!$AM$3:$AO$3,0),FALSE)-VLOOKUP(F44,坦克类型系数!$AM$3:$AO$10,MATCH("射击间隔min",坦克类型系数!$AM$3:$AO$3,0),FALSE))*S44+VLOOKUP(F44,坦克类型系数!$AM$3:$AO$10,MATCH("射击间隔min",坦克类型系数!$AM$3:$AO$3,0),FALSE)</f>
        <v>2</v>
      </c>
      <c r="U44" s="89">
        <f>(T44-VLOOKUP(F44,标准坦克设计!$B$13:$K$20,MATCH("射击间隔",标准坦克设计!$B$13:$K$13,0),FALSE))/0.1*VLOOKUP($B$15,$B$3:$J$15,MATCH(F44,$B$3:$J$3,0),FALSE)+1</f>
        <v>1.0229276895943562</v>
      </c>
      <c r="V44" s="77">
        <f>VLOOKUP(D44,坦克类型系数!$BI$3:$BK$6,2,FALSE)</f>
        <v>0.5</v>
      </c>
      <c r="W44" s="81">
        <f>VLOOKUP(D44,坦克类型系数!$BI$3:$BK$6,3,FALSE)</f>
        <v>1.3221033219826164</v>
      </c>
      <c r="X44" s="8">
        <v>3</v>
      </c>
      <c r="Y44" s="8">
        <v>1</v>
      </c>
      <c r="Z44" s="81">
        <f>VLOOKUP(D44,坦克类型系数!$CQ$9:$CY$12,2,FALSE)*$M$4*Y44</f>
        <v>9.7912120990134017</v>
      </c>
      <c r="AA44" s="81">
        <f>VLOOKUP(D44,坦克类型系数!$CQ$9:$CY$12,6,FALSE)*$M$4*Y44</f>
        <v>39.164848396053607</v>
      </c>
      <c r="AB44" s="81">
        <f>VLOOKUP(D44,坦克类型系数!$CQ$3:$CY$6,9,FALSE)</f>
        <v>48.956060495067014</v>
      </c>
      <c r="AC44" s="78">
        <f>VLOOKUP(F44,坦克类型系数!$BM$3:$BV$10,6,FALSE)</f>
        <v>1.92</v>
      </c>
      <c r="AD44" s="53">
        <f t="shared" si="3"/>
        <v>1</v>
      </c>
      <c r="AE44" s="81">
        <f>VLOOKUP(D44,坦克类型系数!$DE$3:$DH$6,3,FALSE)*AD44</f>
        <v>35</v>
      </c>
      <c r="AF44" s="8">
        <v>1</v>
      </c>
      <c r="AG44" s="89">
        <f t="shared" si="4"/>
        <v>1</v>
      </c>
      <c r="AH44" s="78">
        <f>VLOOKUP(D44,坦克类型系数!$BZ$21:$CF$24,2,FALSE)*AF44</f>
        <v>10.5</v>
      </c>
      <c r="AI44" s="81">
        <f>VLOOKUP(D44,坦克类型系数!$BZ$21:$CF$24,5,FALSE)*AF44</f>
        <v>10.5</v>
      </c>
      <c r="AJ44" s="81">
        <f>VLOOKUP(D44,坦克类型系数!$BZ$21:$CF$24,4,FALSE)</f>
        <v>5.9523809523809526</v>
      </c>
      <c r="AK44" s="81">
        <f>VLOOKUP(D44,坦克类型系数!$BZ$21:$CF$24,7,FALSE)</f>
        <v>4.166666666666667</v>
      </c>
      <c r="AL44" s="81">
        <f>VLOOKUP(D44,坦克类型系数!$CH$21:$CN$24,4,FALSE)</f>
        <v>9.6666666666666661</v>
      </c>
      <c r="AM44" s="81">
        <f>VLOOKUP(D44,坦克类型系数!$CH$21:$CN$24,7,FALSE)</f>
        <v>16.111111111111111</v>
      </c>
      <c r="AN44" s="78">
        <f>VLOOKUP(F44,坦克类型系数!$BM$13:$BV$20,6,FALSE)</f>
        <v>0.64</v>
      </c>
      <c r="AO44" s="92">
        <f>基础属性系数!$C$56</f>
        <v>0.2</v>
      </c>
      <c r="AP44" s="92">
        <f>基础属性系数!$C$55</f>
        <v>0.3</v>
      </c>
      <c r="AQ44" s="78">
        <f>VLOOKUP(D44,坦克类型系数!$DE$9:$DH$12,2,FALSE)</f>
        <v>0.8</v>
      </c>
      <c r="AR44" s="78">
        <f>VLOOKUP(D44,坦克类型系数!$DE$9:$DH$12,3,FALSE)</f>
        <v>0.8</v>
      </c>
      <c r="AS44" s="78">
        <f>VLOOKUP(D44,坦克类型系数!$DE$9:$DH$12,4,FALSE)</f>
        <v>0.8</v>
      </c>
      <c r="AT44" s="78">
        <f>VLOOKUP(D44,坦克类型系数!$AH$9:$AK$12,3,FALSE)</f>
        <v>70</v>
      </c>
      <c r="AU44" s="78">
        <f>VLOOKUP(D44,坦克类型系数!$AH$9:$AK$12,4,FALSE)</f>
        <v>110</v>
      </c>
      <c r="AV44" s="92">
        <f>VLOOKUP($B44,坦克类型系数!$B$3:$AF$33,MATCH(AV$18,坦克类型系数!$B$3:$AF$3,0),FALSE)</f>
        <v>2.5</v>
      </c>
      <c r="AW44" s="92">
        <f>VLOOKUP($B44,坦克类型系数!$B$3:$AF$33,MATCH(AW$18,坦克类型系数!$B$3:$AF$3,0),FALSE)</f>
        <v>2</v>
      </c>
      <c r="AX44" s="92">
        <f>VLOOKUP($B44,坦克类型系数!$B$3:$AF$33,MATCH(AX$18,坦克类型系数!$B$3:$AF$3,0),FALSE)</f>
        <v>1.5</v>
      </c>
      <c r="AY44" s="92">
        <f>VLOOKUP($B44,坦克类型系数!$B$3:$AF$33,MATCH(AY$18,坦克类型系数!$B$3:$AF$3,0),FALSE)</f>
        <v>1.5</v>
      </c>
      <c r="AZ44" s="92">
        <f>VLOOKUP($B44,坦克类型系数!$B$3:$AF$33,MATCH(AZ$18,坦克类型系数!$B$3:$AF$3,0),FALSE)</f>
        <v>1.1000000000000001</v>
      </c>
      <c r="BA44" s="92">
        <f>VLOOKUP($B44,坦克类型系数!$B$3:$AF$33,MATCH(BA$18,坦克类型系数!$B$3:$AF$3,0),FALSE)</f>
        <v>0.70000000000000007</v>
      </c>
      <c r="BB44" s="92">
        <f>VLOOKUP($B44,坦克类型系数!$B$3:$AF$33,MATCH(BB$18,坦克类型系数!$B$3:$AF$3,0),FALSE)</f>
        <v>0.4</v>
      </c>
    </row>
    <row r="45" spans="2:54" x14ac:dyDescent="0.35">
      <c r="B45" s="77" t="s">
        <v>635</v>
      </c>
      <c r="C45" s="77" t="s">
        <v>567</v>
      </c>
      <c r="D45" s="177" t="str">
        <f>坦克类型系数!C30</f>
        <v>重坦</v>
      </c>
      <c r="E45" s="8" t="s">
        <v>923</v>
      </c>
      <c r="F45" s="8" t="s">
        <v>395</v>
      </c>
      <c r="G45" s="177">
        <f>坦克类型系数!D30</f>
        <v>7.74</v>
      </c>
      <c r="H45" s="177">
        <f>坦克类型系数!E30</f>
        <v>4.0199999999999996</v>
      </c>
      <c r="I45" s="177">
        <f>坦克类型系数!F30</f>
        <v>8.7200000000000006</v>
      </c>
      <c r="J45" s="89">
        <f>SQRT(I45/VLOOKUP(D45,坦克类型系数!$AH$3:$AK$6,4,FALSE))</f>
        <v>1.064866274259175</v>
      </c>
      <c r="K45" s="8" t="s">
        <v>648</v>
      </c>
      <c r="L45" s="69">
        <f>VLOOKUP(D45,坦克类型系数!$AH$15:$AK$18,4,FALSE)</f>
        <v>0.64</v>
      </c>
      <c r="M45" s="8">
        <v>1.05</v>
      </c>
      <c r="N45" s="461">
        <f t="shared" si="5"/>
        <v>0.67</v>
      </c>
      <c r="O45" s="81">
        <f>1+(N45-L45)/L45</f>
        <v>1.046875</v>
      </c>
      <c r="P45" s="81">
        <f t="shared" si="7"/>
        <v>1</v>
      </c>
      <c r="Q45" s="89">
        <f>O45*P45</f>
        <v>1.046875</v>
      </c>
      <c r="R45" s="461">
        <f>VLOOKUP(F45,坦克类型系数!$AQ$3:$AX$10,MATCH("瞄准速度",坦克类型系数!$AQ$3:$AX$3,0),FALSE)</f>
        <v>1</v>
      </c>
      <c r="S45" s="8">
        <v>1</v>
      </c>
      <c r="T45" s="461">
        <f>(VLOOKUP(F45,坦克类型系数!$AM$3:$AO$10,MATCH("射击间隔max",坦克类型系数!$AM$3:$AO$3,0),FALSE)-VLOOKUP(F45,坦克类型系数!$AM$3:$AO$10,MATCH("射击间隔min",坦克类型系数!$AM$3:$AO$3,0),FALSE))*S45+VLOOKUP(F45,坦克类型系数!$AM$3:$AO$10,MATCH("射击间隔min",坦克类型系数!$AM$3:$AO$3,0),FALSE)</f>
        <v>0</v>
      </c>
      <c r="U45" s="89">
        <f>(T45-VLOOKUP(F45,标准坦克设计!$B$13:$K$20,MATCH("射击间隔",标准坦克设计!$B$13:$K$13,0),FALSE))/0.1*VLOOKUP($B$15,$B$3:$J$15,MATCH(F45,$B$3:$J$3,0),FALSE)+1</f>
        <v>1</v>
      </c>
      <c r="V45" s="77">
        <f>VLOOKUP(D45,坦克类型系数!$BI$3:$BK$6,2,FALSE)</f>
        <v>0.5</v>
      </c>
      <c r="W45" s="81">
        <f>VLOOKUP(D45,坦克类型系数!$BI$3:$BK$6,3,FALSE)</f>
        <v>1.3221033219826164</v>
      </c>
      <c r="X45" s="8">
        <v>5</v>
      </c>
      <c r="Y45" s="8">
        <v>0.8</v>
      </c>
      <c r="Z45" s="81">
        <f>VLOOKUP(D45,坦克类型系数!$CQ$9:$CY$12,2,FALSE)*$M$4*Y45</f>
        <v>7.8329696792107217</v>
      </c>
      <c r="AA45" s="81">
        <f>VLOOKUP(D45,坦克类型系数!$CQ$9:$CY$12,6,FALSE)*$M$4*Y45</f>
        <v>31.331878716842887</v>
      </c>
      <c r="AB45" s="81">
        <f>VLOOKUP(D45,坦克类型系数!$CQ$3:$CY$6,9,FALSE)</f>
        <v>48.956060495067014</v>
      </c>
      <c r="AC45" s="78">
        <f>VLOOKUP(F45,坦克类型系数!$BM$3:$BV$10,6,FALSE)</f>
        <v>3.2</v>
      </c>
      <c r="AD45" s="53">
        <f t="shared" si="3"/>
        <v>1.25</v>
      </c>
      <c r="AE45" s="81">
        <f>VLOOKUP(D45,坦克类型系数!$DE$3:$DH$6,3,FALSE)*AD45</f>
        <v>43.75</v>
      </c>
      <c r="AF45" s="8">
        <v>0.9</v>
      </c>
      <c r="AG45" s="89">
        <f t="shared" si="4"/>
        <v>1</v>
      </c>
      <c r="AH45" s="78">
        <f>VLOOKUP(D45,坦克类型系数!$BZ$21:$CF$24,2,FALSE)*AF45</f>
        <v>9.4500000000000011</v>
      </c>
      <c r="AI45" s="81">
        <f>VLOOKUP(D45,坦克类型系数!$BZ$21:$CF$24,5,FALSE)*AF45</f>
        <v>9.4500000000000011</v>
      </c>
      <c r="AJ45" s="81">
        <f>VLOOKUP(D45,坦克类型系数!$BZ$21:$CF$24,4,FALSE)</f>
        <v>5.9523809523809526</v>
      </c>
      <c r="AK45" s="81">
        <f>VLOOKUP(D45,坦克类型系数!$BZ$21:$CF$24,7,FALSE)</f>
        <v>4.166666666666667</v>
      </c>
      <c r="AL45" s="81">
        <f>VLOOKUP(D45,坦克类型系数!$CH$21:$CN$24,4,FALSE)</f>
        <v>9.6666666666666661</v>
      </c>
      <c r="AM45" s="81">
        <f>VLOOKUP(D45,坦克类型系数!$CH$21:$CN$24,7,FALSE)</f>
        <v>16.111111111111111</v>
      </c>
      <c r="AN45" s="78">
        <f>VLOOKUP(F45,坦克类型系数!$BM$13:$BV$20,6,FALSE)</f>
        <v>1.28</v>
      </c>
      <c r="AO45" s="92">
        <f>基础属性系数!$C$56</f>
        <v>0.2</v>
      </c>
      <c r="AP45" s="92">
        <f>基础属性系数!$C$55</f>
        <v>0.3</v>
      </c>
      <c r="AQ45" s="78">
        <f>VLOOKUP(D45,坦克类型系数!$DE$9:$DH$12,2,FALSE)</f>
        <v>0.8</v>
      </c>
      <c r="AR45" s="78">
        <f>VLOOKUP(D45,坦克类型系数!$DE$9:$DH$12,3,FALSE)</f>
        <v>0.8</v>
      </c>
      <c r="AS45" s="78">
        <f>VLOOKUP(D45,坦克类型系数!$DE$9:$DH$12,4,FALSE)</f>
        <v>0.8</v>
      </c>
      <c r="AT45" s="78">
        <f>VLOOKUP(D45,坦克类型系数!$AH$9:$AK$12,3,FALSE)</f>
        <v>70</v>
      </c>
      <c r="AU45" s="78">
        <f>VLOOKUP(D45,坦克类型系数!$AH$9:$AK$12,4,FALSE)</f>
        <v>110</v>
      </c>
      <c r="AV45" s="92">
        <f>VLOOKUP($B45,坦克类型系数!$B$3:$AF$33,MATCH(AV$18,坦克类型系数!$B$3:$AF$3,0),FALSE)</f>
        <v>2.4500000000000002</v>
      </c>
      <c r="AW45" s="92">
        <f>VLOOKUP($B45,坦克类型系数!$B$3:$AF$33,MATCH(AW$18,坦克类型系数!$B$3:$AF$3,0),FALSE)</f>
        <v>2</v>
      </c>
      <c r="AX45" s="92">
        <f>VLOOKUP($B45,坦克类型系数!$B$3:$AF$33,MATCH(AX$18,坦克类型系数!$B$3:$AF$3,0),FALSE)</f>
        <v>1.4000000000000001</v>
      </c>
      <c r="AY45" s="92">
        <f>VLOOKUP($B45,坦克类型系数!$B$3:$AF$33,MATCH(AY$18,坦克类型系数!$B$3:$AF$3,0),FALSE)</f>
        <v>1.4000000000000001</v>
      </c>
      <c r="AZ45" s="92">
        <f>VLOOKUP($B45,坦克类型系数!$B$3:$AF$33,MATCH(AZ$18,坦克类型系数!$B$3:$AF$3,0),FALSE)</f>
        <v>1.05</v>
      </c>
      <c r="BA45" s="92">
        <f>VLOOKUP($B45,坦克类型系数!$B$3:$AF$33,MATCH(BA$18,坦克类型系数!$B$3:$AF$3,0),FALSE)</f>
        <v>0.70000000000000007</v>
      </c>
      <c r="BB45" s="92">
        <f>VLOOKUP($B45,坦克类型系数!$B$3:$AF$33,MATCH(BB$18,坦克类型系数!$B$3:$AF$3,0),FALSE)</f>
        <v>0.4</v>
      </c>
    </row>
    <row r="46" spans="2:54" x14ac:dyDescent="0.35">
      <c r="B46" s="77" t="s">
        <v>629</v>
      </c>
      <c r="C46" s="77" t="s">
        <v>566</v>
      </c>
      <c r="D46" s="177" t="str">
        <f>坦克类型系数!C31</f>
        <v>重坦</v>
      </c>
      <c r="E46" s="8" t="s">
        <v>923</v>
      </c>
      <c r="F46" s="8" t="s">
        <v>409</v>
      </c>
      <c r="G46" s="177">
        <f>坦克类型系数!D31</f>
        <v>6.6</v>
      </c>
      <c r="H46" s="177">
        <f>坦克类型系数!E31</f>
        <v>3.35</v>
      </c>
      <c r="I46" s="177">
        <f>坦克类型系数!F31</f>
        <v>7.4</v>
      </c>
      <c r="J46" s="89">
        <f>SQRT(I46/VLOOKUP(D46,坦克类型系数!$AH$3:$AK$6,4,FALSE))</f>
        <v>0.98096314232797843</v>
      </c>
      <c r="K46" s="8" t="s">
        <v>648</v>
      </c>
      <c r="L46" s="69">
        <f>VLOOKUP(D46,坦克类型系数!$AH$15:$AK$18,4,FALSE)</f>
        <v>0.64</v>
      </c>
      <c r="M46" s="8">
        <v>1.05</v>
      </c>
      <c r="N46" s="461">
        <f t="shared" si="5"/>
        <v>0.67</v>
      </c>
      <c r="O46" s="81">
        <f>1+(N46-L46)/L46</f>
        <v>1.046875</v>
      </c>
      <c r="P46" s="81">
        <f t="shared" si="7"/>
        <v>0.99324218136099318</v>
      </c>
      <c r="Q46" s="89">
        <f>O46*P46</f>
        <v>1.0398004086122898</v>
      </c>
      <c r="R46" s="461">
        <f>VLOOKUP(F46,坦克类型系数!$AQ$3:$AX$10,MATCH("瞄准速度",坦克类型系数!$AQ$3:$AX$3,0),FALSE)</f>
        <v>1.2</v>
      </c>
      <c r="S46" s="8">
        <v>1</v>
      </c>
      <c r="T46" s="461">
        <f>(VLOOKUP(F46,坦克类型系数!$AM$3:$AO$10,MATCH("射击间隔max",坦克类型系数!$AM$3:$AO$3,0),FALSE)-VLOOKUP(F46,坦克类型系数!$AM$3:$AO$10,MATCH("射击间隔min",坦克类型系数!$AM$3:$AO$3,0),FALSE))*S46+VLOOKUP(F46,坦克类型系数!$AM$3:$AO$10,MATCH("射击间隔min",坦克类型系数!$AM$3:$AO$3,0),FALSE)</f>
        <v>2</v>
      </c>
      <c r="U46" s="89">
        <f>(T46-VLOOKUP(F46,标准坦克设计!$B$13:$K$20,MATCH("射击间隔",标准坦克设计!$B$13:$K$13,0),FALSE))/0.1*VLOOKUP($B$15,$B$3:$J$15,MATCH(F46,$B$3:$J$3,0),FALSE)+1</f>
        <v>1.0229276895943562</v>
      </c>
      <c r="V46" s="77">
        <f>VLOOKUP(D46,坦克类型系数!$BI$3:$BK$6,2,FALSE)</f>
        <v>0.5</v>
      </c>
      <c r="W46" s="81">
        <f>VLOOKUP(D46,坦克类型系数!$BI$3:$BK$6,3,FALSE)</f>
        <v>1.3221033219826164</v>
      </c>
      <c r="X46" s="8">
        <v>3</v>
      </c>
      <c r="Y46" s="8">
        <v>0.8</v>
      </c>
      <c r="Z46" s="81">
        <f>VLOOKUP(D46,坦克类型系数!$CQ$9:$CY$12,2,FALSE)*$M$4*Y46</f>
        <v>7.8329696792107217</v>
      </c>
      <c r="AA46" s="81">
        <f>VLOOKUP(D46,坦克类型系数!$CQ$9:$CY$12,6,FALSE)*$M$4*Y46</f>
        <v>31.331878716842887</v>
      </c>
      <c r="AB46" s="81">
        <f>VLOOKUP(D46,坦克类型系数!$CQ$3:$CY$6,9,FALSE)</f>
        <v>48.956060495067014</v>
      </c>
      <c r="AC46" s="78">
        <f>VLOOKUP(F46,坦克类型系数!$BM$3:$BV$10,6,FALSE)</f>
        <v>1.92</v>
      </c>
      <c r="AD46" s="53">
        <f t="shared" si="3"/>
        <v>1.25</v>
      </c>
      <c r="AE46" s="81">
        <f>VLOOKUP(D46,坦克类型系数!$DE$3:$DH$6,3,FALSE)*AD46</f>
        <v>43.75</v>
      </c>
      <c r="AF46" s="8">
        <v>0.9</v>
      </c>
      <c r="AG46" s="89">
        <f t="shared" si="4"/>
        <v>1.0272600672294456</v>
      </c>
      <c r="AH46" s="78">
        <f>VLOOKUP(D46,坦克类型系数!$BZ$21:$CF$24,2,FALSE)*AF46</f>
        <v>9.4500000000000011</v>
      </c>
      <c r="AI46" s="81">
        <f>VLOOKUP(D46,坦克类型系数!$BZ$21:$CF$24,5,FALSE)*AF46</f>
        <v>9.4500000000000011</v>
      </c>
      <c r="AJ46" s="81">
        <f>VLOOKUP(D46,坦克类型系数!$BZ$21:$CF$24,4,FALSE)</f>
        <v>5.9523809523809526</v>
      </c>
      <c r="AK46" s="81">
        <f>VLOOKUP(D46,坦克类型系数!$BZ$21:$CF$24,7,FALSE)</f>
        <v>4.166666666666667</v>
      </c>
      <c r="AL46" s="81">
        <f>VLOOKUP(D46,坦克类型系数!$CH$21:$CN$24,4,FALSE)</f>
        <v>9.6666666666666661</v>
      </c>
      <c r="AM46" s="81">
        <f>VLOOKUP(D46,坦克类型系数!$CH$21:$CN$24,7,FALSE)</f>
        <v>16.111111111111111</v>
      </c>
      <c r="AN46" s="78">
        <f>VLOOKUP(F46,坦克类型系数!$BM$13:$BV$20,6,FALSE)</f>
        <v>0.64</v>
      </c>
      <c r="AO46" s="92">
        <f>基础属性系数!$C$56</f>
        <v>0.2</v>
      </c>
      <c r="AP46" s="92">
        <f>基础属性系数!$C$55</f>
        <v>0.3</v>
      </c>
      <c r="AQ46" s="78">
        <f>VLOOKUP(D46,坦克类型系数!$DE$9:$DH$12,2,FALSE)</f>
        <v>0.8</v>
      </c>
      <c r="AR46" s="78">
        <f>VLOOKUP(D46,坦克类型系数!$DE$9:$DH$12,3,FALSE)</f>
        <v>0.8</v>
      </c>
      <c r="AS46" s="78">
        <f>VLOOKUP(D46,坦克类型系数!$DE$9:$DH$12,4,FALSE)</f>
        <v>0.8</v>
      </c>
      <c r="AT46" s="78">
        <f>VLOOKUP(D46,坦克类型系数!$AH$9:$AK$12,3,FALSE)</f>
        <v>70</v>
      </c>
      <c r="AU46" s="78">
        <f>VLOOKUP(D46,坦克类型系数!$AH$9:$AK$12,4,FALSE)</f>
        <v>110</v>
      </c>
      <c r="AV46" s="92">
        <f>VLOOKUP($B46,坦克类型系数!$B$3:$AF$33,MATCH(AV$18,坦克类型系数!$B$3:$AF$3,0),FALSE)</f>
        <v>2.4</v>
      </c>
      <c r="AW46" s="92">
        <f>VLOOKUP($B46,坦克类型系数!$B$3:$AF$33,MATCH(AW$18,坦克类型系数!$B$3:$AF$3,0),FALSE)</f>
        <v>1.9500000000000002</v>
      </c>
      <c r="AX46" s="92">
        <f>VLOOKUP($B46,坦克类型系数!$B$3:$AF$33,MATCH(AX$18,坦克类型系数!$B$3:$AF$3,0),FALSE)</f>
        <v>1.45</v>
      </c>
      <c r="AY46" s="92">
        <f>VLOOKUP($B46,坦克类型系数!$B$3:$AF$33,MATCH(AY$18,坦克类型系数!$B$3:$AF$3,0),FALSE)</f>
        <v>1.45</v>
      </c>
      <c r="AZ46" s="92">
        <f>VLOOKUP($B46,坦克类型系数!$B$3:$AF$33,MATCH(AZ$18,坦克类型系数!$B$3:$AF$3,0),FALSE)</f>
        <v>1.1000000000000001</v>
      </c>
      <c r="BA46" s="92">
        <f>VLOOKUP($B46,坦克类型系数!$B$3:$AF$33,MATCH(BA$18,坦克类型系数!$B$3:$AF$3,0),FALSE)</f>
        <v>0.65</v>
      </c>
      <c r="BB46" s="92">
        <f>VLOOKUP($B46,坦克类型系数!$B$3:$AF$33,MATCH(BB$18,坦克类型系数!$B$3:$AF$3,0),FALSE)</f>
        <v>0.4</v>
      </c>
    </row>
    <row r="47" spans="2:54" x14ac:dyDescent="0.35">
      <c r="B47" s="77" t="s">
        <v>643</v>
      </c>
      <c r="C47" s="321" t="s">
        <v>1644</v>
      </c>
      <c r="D47" s="177" t="str">
        <f>坦克类型系数!C32</f>
        <v>重坦</v>
      </c>
      <c r="E47" s="8" t="s">
        <v>923</v>
      </c>
      <c r="F47" s="8" t="s">
        <v>395</v>
      </c>
      <c r="G47" s="177">
        <f>坦克类型系数!D32</f>
        <v>7.26</v>
      </c>
      <c r="H47" s="177">
        <f>坦克类型系数!E32</f>
        <v>3.78</v>
      </c>
      <c r="I47" s="177">
        <f>坦克类型系数!F32</f>
        <v>8.19</v>
      </c>
      <c r="J47" s="89">
        <f>SQRT(I47/VLOOKUP(D47,坦克类型系数!$AH$3:$AK$6,4,FALSE))</f>
        <v>1.0319978226002975</v>
      </c>
      <c r="K47" s="8" t="s">
        <v>648</v>
      </c>
      <c r="L47" s="69">
        <f>VLOOKUP(D47,坦克类型系数!$AH$15:$AK$18,4,FALSE)</f>
        <v>0.64</v>
      </c>
      <c r="M47" s="8">
        <v>1</v>
      </c>
      <c r="N47" s="461">
        <f t="shared" si="5"/>
        <v>0.64</v>
      </c>
      <c r="O47" s="81">
        <f t="shared" si="6"/>
        <v>1</v>
      </c>
      <c r="P47" s="81">
        <f t="shared" si="7"/>
        <v>1</v>
      </c>
      <c r="Q47" s="89">
        <f t="shared" si="8"/>
        <v>1</v>
      </c>
      <c r="R47" s="461">
        <f>VLOOKUP(F47,坦克类型系数!$AQ$3:$AX$10,MATCH("瞄准速度",坦克类型系数!$AQ$3:$AX$3,0),FALSE)</f>
        <v>1</v>
      </c>
      <c r="S47" s="8">
        <v>1</v>
      </c>
      <c r="T47" s="461">
        <f>(VLOOKUP(F47,坦克类型系数!$AM$3:$AO$10,MATCH("射击间隔max",坦克类型系数!$AM$3:$AO$3,0),FALSE)-VLOOKUP(F47,坦克类型系数!$AM$3:$AO$10,MATCH("射击间隔min",坦克类型系数!$AM$3:$AO$3,0),FALSE))*S47+VLOOKUP(F47,坦克类型系数!$AM$3:$AO$10,MATCH("射击间隔min",坦克类型系数!$AM$3:$AO$3,0),FALSE)</f>
        <v>0</v>
      </c>
      <c r="U47" s="89">
        <f>(T47-VLOOKUP(F47,标准坦克设计!$B$13:$K$20,MATCH("射击间隔",标准坦克设计!$B$13:$K$13,0),FALSE))/0.1*VLOOKUP($B$15,$B$3:$J$15,MATCH(F47,$B$3:$J$3,0),FALSE)+1</f>
        <v>1</v>
      </c>
      <c r="V47" s="77">
        <f>VLOOKUP(D47,坦克类型系数!$BI$3:$BK$6,2,FALSE)</f>
        <v>0.5</v>
      </c>
      <c r="W47" s="81">
        <f>VLOOKUP(D47,坦克类型系数!$BI$3:$BK$6,3,FALSE)</f>
        <v>1.3221033219826164</v>
      </c>
      <c r="X47" s="8">
        <v>5</v>
      </c>
      <c r="Y47" s="8">
        <v>0.8</v>
      </c>
      <c r="Z47" s="81">
        <f>VLOOKUP(D47,坦克类型系数!$CQ$9:$CY$12,2,FALSE)*$M$4*Y47</f>
        <v>7.8329696792107217</v>
      </c>
      <c r="AA47" s="81">
        <f>VLOOKUP(D47,坦克类型系数!$CQ$9:$CY$12,6,FALSE)*$M$4*Y47</f>
        <v>31.331878716842887</v>
      </c>
      <c r="AB47" s="81">
        <f>VLOOKUP(D47,坦克类型系数!$CQ$3:$CY$6,9,FALSE)</f>
        <v>48.956060495067014</v>
      </c>
      <c r="AC47" s="78">
        <f>VLOOKUP(F47,坦克类型系数!$BM$3:$BV$10,6,FALSE)</f>
        <v>3.2</v>
      </c>
      <c r="AD47" s="53">
        <f t="shared" si="3"/>
        <v>1.25</v>
      </c>
      <c r="AE47" s="81">
        <f>VLOOKUP(D47,坦克类型系数!$DE$3:$DH$6,3,FALSE)*AD47</f>
        <v>43.75</v>
      </c>
      <c r="AF47" s="8">
        <v>0.9</v>
      </c>
      <c r="AG47" s="89">
        <f t="shared" si="4"/>
        <v>1</v>
      </c>
      <c r="AH47" s="78">
        <f>VLOOKUP(D47,坦克类型系数!$BZ$21:$CF$24,2,FALSE)*AF47</f>
        <v>9.4500000000000011</v>
      </c>
      <c r="AI47" s="81">
        <f>VLOOKUP(D47,坦克类型系数!$BZ$21:$CF$24,5,FALSE)*AF47</f>
        <v>9.4500000000000011</v>
      </c>
      <c r="AJ47" s="81">
        <f>VLOOKUP(D47,坦克类型系数!$BZ$21:$CF$24,4,FALSE)</f>
        <v>5.9523809523809526</v>
      </c>
      <c r="AK47" s="81">
        <f>VLOOKUP(D47,坦克类型系数!$BZ$21:$CF$24,7,FALSE)</f>
        <v>4.166666666666667</v>
      </c>
      <c r="AL47" s="81">
        <f>VLOOKUP(D47,坦克类型系数!$CH$21:$CN$24,4,FALSE)</f>
        <v>9.6666666666666661</v>
      </c>
      <c r="AM47" s="81">
        <f>VLOOKUP(D47,坦克类型系数!$CH$21:$CN$24,7,FALSE)</f>
        <v>16.111111111111111</v>
      </c>
      <c r="AN47" s="78">
        <f>VLOOKUP(F47,坦克类型系数!$BM$13:$BV$20,6,FALSE)</f>
        <v>1.28</v>
      </c>
      <c r="AO47" s="92">
        <f>基础属性系数!$C$56</f>
        <v>0.2</v>
      </c>
      <c r="AP47" s="92">
        <f>基础属性系数!$C$55</f>
        <v>0.3</v>
      </c>
      <c r="AQ47" s="78">
        <f>VLOOKUP(D47,坦克类型系数!$DE$9:$DH$12,2,FALSE)</f>
        <v>0.8</v>
      </c>
      <c r="AR47" s="78">
        <f>VLOOKUP(D47,坦克类型系数!$DE$9:$DH$12,3,FALSE)</f>
        <v>0.8</v>
      </c>
      <c r="AS47" s="78">
        <f>VLOOKUP(D47,坦克类型系数!$DE$9:$DH$12,4,FALSE)</f>
        <v>0.8</v>
      </c>
      <c r="AT47" s="78">
        <f>VLOOKUP(D47,坦克类型系数!$AH$9:$AK$12,3,FALSE)</f>
        <v>70</v>
      </c>
      <c r="AU47" s="78">
        <f>VLOOKUP(D47,坦克类型系数!$AH$9:$AK$12,4,FALSE)</f>
        <v>110</v>
      </c>
      <c r="AV47" s="92">
        <f>VLOOKUP($B47,坦克类型系数!$B$3:$AF$33,MATCH(AV$18,坦克类型系数!$B$3:$AF$3,0),FALSE)</f>
        <v>2.5499999999999998</v>
      </c>
      <c r="AW47" s="92">
        <f>VLOOKUP($B47,坦克类型系数!$B$3:$AF$33,MATCH(AW$18,坦克类型系数!$B$3:$AF$3,0),FALSE)</f>
        <v>2.0499999999999998</v>
      </c>
      <c r="AX47" s="92">
        <f>VLOOKUP($B47,坦克类型系数!$B$3:$AF$33,MATCH(AX$18,坦克类型系数!$B$3:$AF$3,0),FALSE)</f>
        <v>1.5</v>
      </c>
      <c r="AY47" s="92">
        <f>VLOOKUP($B47,坦克类型系数!$B$3:$AF$33,MATCH(AY$18,坦克类型系数!$B$3:$AF$3,0),FALSE)</f>
        <v>1.5</v>
      </c>
      <c r="AZ47" s="92">
        <f>VLOOKUP($B47,坦克类型系数!$B$3:$AF$33,MATCH(AZ$18,坦克类型系数!$B$3:$AF$3,0),FALSE)</f>
        <v>1.1000000000000001</v>
      </c>
      <c r="BA47" s="92">
        <f>VLOOKUP($B47,坦克类型系数!$B$3:$AF$33,MATCH(BA$18,坦克类型系数!$B$3:$AF$3,0),FALSE)</f>
        <v>0.75</v>
      </c>
      <c r="BB47" s="92">
        <f>VLOOKUP($B47,坦克类型系数!$B$3:$AF$33,MATCH(BB$18,坦克类型系数!$B$3:$AF$3,0),FALSE)</f>
        <v>0.4</v>
      </c>
    </row>
    <row r="48" spans="2:54" x14ac:dyDescent="0.35">
      <c r="B48" s="77" t="s">
        <v>637</v>
      </c>
      <c r="C48" s="77" t="s">
        <v>569</v>
      </c>
      <c r="D48" s="177" t="str">
        <f>坦克类型系数!C33</f>
        <v>重坦</v>
      </c>
      <c r="E48" s="8" t="s">
        <v>924</v>
      </c>
      <c r="F48" s="8" t="s">
        <v>395</v>
      </c>
      <c r="G48" s="177">
        <f>坦克类型系数!D33</f>
        <v>7.75</v>
      </c>
      <c r="H48" s="177">
        <f>坦克类型系数!E33</f>
        <v>3.46</v>
      </c>
      <c r="I48" s="177">
        <f>坦克类型系数!F33</f>
        <v>8.49</v>
      </c>
      <c r="J48" s="89">
        <f>SQRT(I48/VLOOKUP(D48,坦克类型系数!$AH$3:$AK$6,4,FALSE))</f>
        <v>1.050728894321846</v>
      </c>
      <c r="K48" s="8" t="s">
        <v>648</v>
      </c>
      <c r="L48" s="69">
        <f>VLOOKUP(D48,坦克类型系数!$AH$15:$AK$18,4,FALSE)</f>
        <v>0.64</v>
      </c>
      <c r="M48" s="8">
        <v>1.1500000000000001</v>
      </c>
      <c r="N48" s="461">
        <f t="shared" si="5"/>
        <v>0.74</v>
      </c>
      <c r="O48" s="81">
        <f t="shared" si="6"/>
        <v>1.15625</v>
      </c>
      <c r="P48" s="81">
        <f t="shared" si="7"/>
        <v>1</v>
      </c>
      <c r="Q48" s="89">
        <f t="shared" si="8"/>
        <v>1.15625</v>
      </c>
      <c r="R48" s="461">
        <f>VLOOKUP(F48,坦克类型系数!$AQ$3:$AX$10,MATCH("瞄准速度",坦克类型系数!$AQ$3:$AX$3,0),FALSE)</f>
        <v>1</v>
      </c>
      <c r="S48" s="8">
        <v>1</v>
      </c>
      <c r="T48" s="461">
        <f>(VLOOKUP(F48,坦克类型系数!$AM$3:$AO$10,MATCH("射击间隔max",坦克类型系数!$AM$3:$AO$3,0),FALSE)-VLOOKUP(F48,坦克类型系数!$AM$3:$AO$10,MATCH("射击间隔min",坦克类型系数!$AM$3:$AO$3,0),FALSE))*S48+VLOOKUP(F48,坦克类型系数!$AM$3:$AO$10,MATCH("射击间隔min",坦克类型系数!$AM$3:$AO$3,0),FALSE)</f>
        <v>0</v>
      </c>
      <c r="U48" s="89">
        <f>(T48-VLOOKUP(F48,标准坦克设计!$B$13:$K$20,MATCH("射击间隔",标准坦克设计!$B$13:$K$13,0),FALSE))/0.1*VLOOKUP($B$15,$B$3:$J$15,MATCH(F48,$B$3:$J$3,0),FALSE)+1</f>
        <v>1</v>
      </c>
      <c r="V48" s="77">
        <f>VLOOKUP(D48,坦克类型系数!$BI$3:$BK$6,2,FALSE)</f>
        <v>0.5</v>
      </c>
      <c r="W48" s="81">
        <f>VLOOKUP(D48,坦克类型系数!$BI$3:$BK$6,3,FALSE)</f>
        <v>1.3221033219826164</v>
      </c>
      <c r="X48" s="8">
        <v>5</v>
      </c>
      <c r="Y48" s="8">
        <v>0.8</v>
      </c>
      <c r="Z48" s="81">
        <f>VLOOKUP(D48,坦克类型系数!$CQ$9:$CY$12,2,FALSE)*$M$4*Y48</f>
        <v>7.8329696792107217</v>
      </c>
      <c r="AA48" s="81">
        <f>VLOOKUP(D48,坦克类型系数!$CQ$9:$CY$12,6,FALSE)*$M$4*Y48</f>
        <v>31.331878716842887</v>
      </c>
      <c r="AB48" s="81">
        <f>VLOOKUP(D48,坦克类型系数!$CQ$3:$CY$6,9,FALSE)</f>
        <v>48.956060495067014</v>
      </c>
      <c r="AC48" s="78">
        <f>VLOOKUP(F48,坦克类型系数!$BM$3:$BV$10,6,FALSE)</f>
        <v>3.2</v>
      </c>
      <c r="AD48" s="53">
        <f t="shared" si="3"/>
        <v>1.25</v>
      </c>
      <c r="AE48" s="81">
        <f>VLOOKUP(D48,坦克类型系数!$DE$3:$DH$6,3,FALSE)*AD48</f>
        <v>43.75</v>
      </c>
      <c r="AF48" s="8">
        <v>0.9</v>
      </c>
      <c r="AG48" s="89">
        <f t="shared" si="4"/>
        <v>1</v>
      </c>
      <c r="AH48" s="78">
        <f>VLOOKUP(D48,坦克类型系数!$BZ$21:$CF$24,2,FALSE)*AF48</f>
        <v>9.4500000000000011</v>
      </c>
      <c r="AI48" s="81">
        <f>VLOOKUP(D48,坦克类型系数!$BZ$21:$CF$24,5,FALSE)*AF48</f>
        <v>9.4500000000000011</v>
      </c>
      <c r="AJ48" s="81">
        <f>VLOOKUP(D48,坦克类型系数!$BZ$21:$CF$24,4,FALSE)</f>
        <v>5.9523809523809526</v>
      </c>
      <c r="AK48" s="81">
        <f>VLOOKUP(D48,坦克类型系数!$BZ$21:$CF$24,7,FALSE)</f>
        <v>4.166666666666667</v>
      </c>
      <c r="AL48" s="81">
        <f>VLOOKUP(D48,坦克类型系数!$CH$21:$CN$24,4,FALSE)</f>
        <v>9.6666666666666661</v>
      </c>
      <c r="AM48" s="81">
        <f>VLOOKUP(D48,坦克类型系数!$CH$21:$CN$24,7,FALSE)</f>
        <v>16.111111111111111</v>
      </c>
      <c r="AN48" s="78">
        <f>VLOOKUP(F48,坦克类型系数!$BM$13:$BV$20,6,FALSE)</f>
        <v>1.28</v>
      </c>
      <c r="AO48" s="92">
        <f>基础属性系数!$C$56</f>
        <v>0.2</v>
      </c>
      <c r="AP48" s="92">
        <f>基础属性系数!$C$55</f>
        <v>0.3</v>
      </c>
      <c r="AQ48" s="78">
        <f>VLOOKUP(D48,坦克类型系数!$DE$9:$DH$12,2,FALSE)</f>
        <v>0.8</v>
      </c>
      <c r="AR48" s="78">
        <f>VLOOKUP(D48,坦克类型系数!$DE$9:$DH$12,3,FALSE)</f>
        <v>0.8</v>
      </c>
      <c r="AS48" s="78">
        <f>VLOOKUP(D48,坦克类型系数!$DE$9:$DH$12,4,FALSE)</f>
        <v>0.8</v>
      </c>
      <c r="AT48" s="78">
        <f>VLOOKUP(D48,坦克类型系数!$AH$9:$AK$12,3,FALSE)</f>
        <v>70</v>
      </c>
      <c r="AU48" s="78">
        <f>VLOOKUP(D48,坦克类型系数!$AH$9:$AK$12,4,FALSE)</f>
        <v>110</v>
      </c>
      <c r="AV48" s="92">
        <f>VLOOKUP($B48,坦克类型系数!$B$3:$AF$33,MATCH(AV$18,坦克类型系数!$B$3:$AF$3,0),FALSE)</f>
        <v>2.4</v>
      </c>
      <c r="AW48" s="92">
        <f>VLOOKUP($B48,坦克类型系数!$B$3:$AF$33,MATCH(AW$18,坦克类型系数!$B$3:$AF$3,0),FALSE)</f>
        <v>1.6500000000000001</v>
      </c>
      <c r="AX48" s="92">
        <f>VLOOKUP($B48,坦克类型系数!$B$3:$AF$33,MATCH(AX$18,坦克类型系数!$B$3:$AF$3,0),FALSE)</f>
        <v>1.25</v>
      </c>
      <c r="AY48" s="92">
        <f>VLOOKUP($B48,坦克类型系数!$B$3:$AF$33,MATCH(AY$18,坦克类型系数!$B$3:$AF$3,0),FALSE)</f>
        <v>1.25</v>
      </c>
      <c r="AZ48" s="92">
        <f>VLOOKUP($B48,坦克类型系数!$B$3:$AF$33,MATCH(AZ$18,坦克类型系数!$B$3:$AF$3,0),FALSE)</f>
        <v>0.95</v>
      </c>
      <c r="BA48" s="92">
        <f>VLOOKUP($B48,坦克类型系数!$B$3:$AF$33,MATCH(BA$18,坦克类型系数!$B$3:$AF$3,0),FALSE)</f>
        <v>0.65</v>
      </c>
      <c r="BB48" s="92">
        <f>VLOOKUP($B48,坦克类型系数!$B$3:$AF$33,MATCH(BB$18,坦克类型系数!$B$3:$AF$3,0),FALSE)</f>
        <v>0.4</v>
      </c>
    </row>
    <row r="49" spans="2:23" x14ac:dyDescent="0.35">
      <c r="M49" s="83"/>
    </row>
    <row r="50" spans="2:23" x14ac:dyDescent="0.35">
      <c r="B50" s="791" t="s">
        <v>714</v>
      </c>
      <c r="C50" s="824"/>
      <c r="D50" s="824"/>
      <c r="E50" s="824"/>
      <c r="F50" s="824"/>
      <c r="G50" s="824"/>
      <c r="H50" s="824"/>
      <c r="I50" s="824"/>
      <c r="J50" s="824"/>
      <c r="K50" s="824"/>
      <c r="L50" s="824"/>
      <c r="M50" s="824"/>
      <c r="N50" s="824"/>
      <c r="O50" s="824"/>
      <c r="P50" s="824"/>
      <c r="Q50" s="824"/>
      <c r="R50" s="824"/>
      <c r="S50" s="824"/>
      <c r="T50" s="825"/>
      <c r="U50" s="731" t="s">
        <v>3289</v>
      </c>
      <c r="V50" s="787"/>
      <c r="W50" s="787"/>
    </row>
    <row r="51" spans="2:23" x14ac:dyDescent="0.35">
      <c r="B51" s="78" t="s">
        <v>571</v>
      </c>
      <c r="C51" s="78" t="s">
        <v>576</v>
      </c>
      <c r="D51" s="78" t="s">
        <v>700</v>
      </c>
      <c r="E51" s="91" t="s">
        <v>706</v>
      </c>
      <c r="F51" s="91" t="s">
        <v>707</v>
      </c>
      <c r="G51" s="78" t="s">
        <v>60</v>
      </c>
      <c r="H51" s="78" t="s">
        <v>701</v>
      </c>
      <c r="I51" s="91" t="s">
        <v>708</v>
      </c>
      <c r="J51" s="78" t="s">
        <v>702</v>
      </c>
      <c r="K51" s="78" t="s">
        <v>703</v>
      </c>
      <c r="L51" s="78" t="s">
        <v>704</v>
      </c>
      <c r="M51" s="91" t="s">
        <v>709</v>
      </c>
      <c r="N51" s="471" t="s">
        <v>2125</v>
      </c>
      <c r="O51" s="78" t="s">
        <v>705</v>
      </c>
      <c r="P51" s="262" t="s">
        <v>1206</v>
      </c>
      <c r="Q51" s="262" t="s">
        <v>1207</v>
      </c>
      <c r="R51" s="91" t="s">
        <v>710</v>
      </c>
      <c r="S51" s="91" t="s">
        <v>712</v>
      </c>
      <c r="T51" s="91" t="s">
        <v>713</v>
      </c>
      <c r="U51" s="693" t="s">
        <v>3076</v>
      </c>
      <c r="V51" s="693" t="s">
        <v>3077</v>
      </c>
      <c r="W51" s="693" t="s">
        <v>3078</v>
      </c>
    </row>
    <row r="52" spans="2:23" x14ac:dyDescent="0.35">
      <c r="B52" s="78" t="str">
        <f t="shared" ref="B52:B81" si="9">B19</f>
        <v>雷诺FT</v>
      </c>
      <c r="C52" s="78" t="str">
        <f t="shared" ref="C52:C81" si="10">E19</f>
        <v>T1</v>
      </c>
      <c r="D52" s="78" t="str">
        <f t="shared" ref="D52:D81" si="11">F19</f>
        <v>轻坦弹夹</v>
      </c>
      <c r="E52" s="78">
        <f>VLOOKUP(D52,标准坦克设计!$B$13:$K$20,MATCH("弹夹容量",标准坦克设计!$B$13:$K$13,0),FALSE)</f>
        <v>9</v>
      </c>
      <c r="F52" s="53">
        <v>2</v>
      </c>
      <c r="G52" s="78">
        <f t="shared" ref="G52:G57" si="12">E52*F52</f>
        <v>18</v>
      </c>
      <c r="H52" s="78">
        <f>VLOOKUP(D52,标准坦克设计!$B$13:$K$20,MATCH(H$51,标准坦克设计!$B$13:$K$13,0),FALSE)</f>
        <v>0.7</v>
      </c>
      <c r="I52" s="8">
        <v>0.6</v>
      </c>
      <c r="J52" s="78">
        <f>IF(RIGHT(D52,2)="弹夹",0,H52*I52)</f>
        <v>0</v>
      </c>
      <c r="K52" s="78">
        <f>IF(J52&gt;0,0,H52*I52*G52)</f>
        <v>7.56</v>
      </c>
      <c r="L52" s="78">
        <f t="shared" ref="L52:L81" si="13">VLOOKUP(B52,$B$18:$BB$48,MATCH(L$51,$B$18:$BB$18,0),FALSE)</f>
        <v>0.30000000000000004</v>
      </c>
      <c r="M52" s="78">
        <f>ROUND(((G52/VLOOKUP(D52,坦克类型系数!$AQ$3:$AX$10,MATCH("标准轮次数",坦克类型系数!$AQ$3:$AX$3,0),FALSE)-1)*L52*O52+VLOOKUP(D52,坦克类型系数!$AQ$3:$AX$10,MATCH("累积偏移角",坦克类型系数!$AQ$3:$AX$3,0),FALSE))/(G52/VLOOKUP(D52,坦克类型系数!$AQ$3:$AX$10,MATCH("标准轮次数",坦克类型系数!$AQ$3:$AX$3,0),FALSE)),2)</f>
        <v>0.6</v>
      </c>
      <c r="N52" s="461">
        <f>VLOOKUP(D52,坦克类型系数!$AZ$3:$BE$10,4,FALSE)/F52</f>
        <v>0.24</v>
      </c>
      <c r="O52" s="78">
        <f t="shared" ref="O52:O81" si="14">VLOOKUP(B52,$B$18:$BB$48,MATCH(O$51,$B$18:$BB$18,0),FALSE)</f>
        <v>1.2</v>
      </c>
      <c r="P52" s="28">
        <f>IF(LEN(D52)=5,(60-(G52-1)*L52)/J52+G52,IF(RIGHT(D52,2)="弹夹",((60-(G52-1)*L52)/(K52+(G52-1)*L52)+1)*G52,60/J52+G52))</f>
        <v>96.056872037914687</v>
      </c>
      <c r="Q52" s="81">
        <f>VLOOKUP(D52,标准坦克设计!$B$13:$K$20,MATCH("60S射速",标准坦克设计!$B$13:$K$13,0),FALSE)/P52</f>
        <v>0.7863221440294984</v>
      </c>
      <c r="R52" s="81">
        <f>IF(LEN(D52)=5,(30-(G52-1)*L52)/J52+G52,IF(RIGHT(D52,2)="弹夹",((30-(G52-1)*L52)/(K52+(G52-1)*L52)+1)*G52,30/J52+G52))</f>
        <v>53.402843601895732</v>
      </c>
      <c r="S52" s="81">
        <f>VLOOKUP(D52,标准坦克设计!$B$13:$K$20,MATCH("半分连射数",标准坦克设计!$B$13:$K$13,0),FALSE)</f>
        <v>41.35443037974683</v>
      </c>
      <c r="T52" s="81">
        <f>S52/R52</f>
        <v>0.77438629837829087</v>
      </c>
      <c r="U52" s="92">
        <v>0.25</v>
      </c>
      <c r="V52" s="666">
        <f>ROUNDDOWN(SQRT(G52),0)</f>
        <v>4</v>
      </c>
      <c r="W52" s="666">
        <f>ROUND((IF(LEN(D52)=5,(60-(G52-1)*L52)/(P52*(1-U52)-G52)-J52,IF(RIGHT(D52,2)="弹夹",(60-(P52*(1-U52)/G52-1)*K52)/(P52*(1-U52)/G52)/((G52-1))-L52,60/(P52*(1-U52)-G52)-J52)))*V52,2)</f>
        <v>0.99</v>
      </c>
    </row>
    <row r="53" spans="2:23" x14ac:dyDescent="0.35">
      <c r="B53" s="78" t="str">
        <f t="shared" si="9"/>
        <v>二号</v>
      </c>
      <c r="C53" s="78" t="str">
        <f t="shared" si="10"/>
        <v>T2</v>
      </c>
      <c r="D53" s="78" t="str">
        <f t="shared" si="11"/>
        <v>轻坦弹夹</v>
      </c>
      <c r="E53" s="248">
        <f>VLOOKUP(D53,标准坦克设计!$B$13:$K$20,MATCH("弹夹容量",标准坦克设计!$B$13:$K$13,0),FALSE)</f>
        <v>9</v>
      </c>
      <c r="F53" s="53">
        <f>1+2/3</f>
        <v>1.6666666666666665</v>
      </c>
      <c r="G53" s="78">
        <f t="shared" si="12"/>
        <v>14.999999999999998</v>
      </c>
      <c r="H53" s="248">
        <f>VLOOKUP(D53,标准坦克设计!$B$13:$K$20,MATCH(H$51,标准坦克设计!$B$13:$K$13,0),FALSE)</f>
        <v>0.7</v>
      </c>
      <c r="I53" s="8">
        <v>0.8</v>
      </c>
      <c r="J53" s="78">
        <f t="shared" ref="J53:J81" si="15">IF(RIGHT(D53,2)="弹夹",0,H53*I53)</f>
        <v>0</v>
      </c>
      <c r="K53" s="78">
        <f t="shared" ref="K53:K81" si="16">IF(J53&gt;0,0,H53*I53*G53)</f>
        <v>8.3999999999999986</v>
      </c>
      <c r="L53" s="78">
        <f t="shared" si="13"/>
        <v>0.2</v>
      </c>
      <c r="M53" s="461">
        <f>ROUND(((G53/VLOOKUP(D53,坦克类型系数!$AQ$3:$AX$10,MATCH("标准轮次数",坦克类型系数!$AQ$3:$AX$3,0),FALSE)-1)*L53*O53+VLOOKUP(D53,坦克类型系数!$AQ$3:$AX$10,MATCH("累积偏移角",坦克类型系数!$AQ$3:$AX$3,0),FALSE))/(G53/VLOOKUP(D53,坦克类型系数!$AQ$3:$AX$10,MATCH("标准轮次数",坦克类型系数!$AQ$3:$AX$3,0),FALSE)),2)</f>
        <v>0.55000000000000004</v>
      </c>
      <c r="N53" s="461">
        <f>VLOOKUP(D53,坦克类型系数!$AZ$3:$BE$10,4,FALSE)/F53</f>
        <v>0.28800000000000003</v>
      </c>
      <c r="O53" s="78">
        <f t="shared" si="14"/>
        <v>1.2</v>
      </c>
      <c r="P53" s="28">
        <f t="shared" ref="P53:P81" si="17">IF(LEN(D53)=5,(60-(G53-1)*L53)/J53+G53,IF(RIGHT(D53,2)="弹夹",((60-(G53-1)*L53)/(K53+(G53-1)*L53)+1)*G53,60/J53+G53))</f>
        <v>91.607142857142847</v>
      </c>
      <c r="Q53" s="81">
        <f>VLOOKUP(D53,标准坦克设计!$B$13:$K$20,MATCH("60S射速",标准坦克设计!$B$13:$K$13,0),FALSE)/P53</f>
        <v>0.8245169886742173</v>
      </c>
      <c r="R53" s="81">
        <f t="shared" ref="R53:R81" si="18">IF(LEN(D53)=5,(30-(G53-1)*L53)/J53+G53,IF(RIGHT(D53,2)="弹夹",((30-(G53-1)*L53)/(K53+(G53-1)*L53)+1)*G53,30/J53+G53))</f>
        <v>51.428571428571423</v>
      </c>
      <c r="S53" s="81">
        <f>VLOOKUP(D53,标准坦克设计!$B$13:$K$20,MATCH("半分连射数",标准坦克设计!$B$13:$K$13,0),FALSE)</f>
        <v>41.35443037974683</v>
      </c>
      <c r="T53" s="81">
        <f t="shared" ref="T53:T81" si="19">S53/R53</f>
        <v>0.80411392405063287</v>
      </c>
      <c r="U53" s="92">
        <v>0.25</v>
      </c>
      <c r="V53" s="666">
        <f t="shared" ref="V53:V81" si="20">ROUNDDOWN(SQRT(G53),0)</f>
        <v>3</v>
      </c>
      <c r="W53" s="666">
        <f t="shared" ref="W53:W81" si="21">ROUND((IF(LEN(D53)=5,(60-(G53-1)*L53)/(P53*(1-U53)-G53)-J53,IF(RIGHT(D53,2)="弹夹",(60-(P53*(1-U53)/G53-1)*K53)/(P53*(1-U53)/G53)/((G53-1))-L53,60/(P53*(1-U53)-G53)-J53)))*V53,2)</f>
        <v>0.8</v>
      </c>
    </row>
    <row r="54" spans="2:23" x14ac:dyDescent="0.35">
      <c r="B54" s="78" t="str">
        <f t="shared" si="9"/>
        <v>Puma</v>
      </c>
      <c r="C54" s="78" t="str">
        <f t="shared" si="10"/>
        <v>T2</v>
      </c>
      <c r="D54" s="78" t="str">
        <f t="shared" si="11"/>
        <v>轻坦半自动</v>
      </c>
      <c r="E54" s="248">
        <f>VLOOKUP(D54,标准坦克设计!$B$13:$K$20,MATCH("弹夹容量",标准坦克设计!$B$13:$K$13,0),FALSE)</f>
        <v>6</v>
      </c>
      <c r="F54" s="53">
        <f>2/3</f>
        <v>0.66666666666666663</v>
      </c>
      <c r="G54" s="78">
        <f t="shared" si="12"/>
        <v>4</v>
      </c>
      <c r="H54" s="248">
        <f>VLOOKUP(D54,标准坦克设计!$B$13:$K$20,MATCH(H$51,标准坦克设计!$B$13:$K$13,0),FALSE)</f>
        <v>1.4</v>
      </c>
      <c r="I54" s="8">
        <v>0.75</v>
      </c>
      <c r="J54" s="78">
        <f t="shared" si="15"/>
        <v>1.0499999999999998</v>
      </c>
      <c r="K54" s="78">
        <f t="shared" si="16"/>
        <v>0</v>
      </c>
      <c r="L54" s="78">
        <f t="shared" si="13"/>
        <v>0.4</v>
      </c>
      <c r="M54" s="461">
        <f>ROUND(((G54/VLOOKUP(D54,坦克类型系数!$AQ$3:$AX$10,MATCH("标准轮次数",坦克类型系数!$AQ$3:$AX$3,0),FALSE)-1)*L54*O54+VLOOKUP(D54,坦克类型系数!$AQ$3:$AX$10,MATCH("累积偏移角",坦克类型系数!$AQ$3:$AX$3,0),FALSE))/(G54/VLOOKUP(D54,坦克类型系数!$AQ$3:$AX$10,MATCH("标准轮次数",坦克类型系数!$AQ$3:$AX$3,0),FALSE)),2)</f>
        <v>1.47</v>
      </c>
      <c r="N54" s="461">
        <f>VLOOKUP(D54,坦克类型系数!$AZ$3:$BE$10,4,FALSE)/F54</f>
        <v>0.9</v>
      </c>
      <c r="O54" s="78">
        <f t="shared" si="14"/>
        <v>1.2</v>
      </c>
      <c r="P54" s="28">
        <f t="shared" si="17"/>
        <v>60.000000000000007</v>
      </c>
      <c r="Q54" s="81">
        <f>VLOOKUP(D54,标准坦克设计!$B$13:$K$20,MATCH("60S射速",标准坦克设计!$B$13:$K$13,0),FALSE)/P54</f>
        <v>0.79047619047619044</v>
      </c>
      <c r="R54" s="81">
        <f t="shared" si="18"/>
        <v>31.428571428571434</v>
      </c>
      <c r="S54" s="81">
        <f>VLOOKUP(D54,标准坦克设计!$B$13:$K$20,MATCH("半分连射数",标准坦克设计!$B$13:$K$13,0),FALSE)</f>
        <v>26</v>
      </c>
      <c r="T54" s="81">
        <f t="shared" si="19"/>
        <v>0.82727272727272716</v>
      </c>
      <c r="U54" s="92">
        <v>0.25</v>
      </c>
      <c r="V54" s="666">
        <v>1</v>
      </c>
      <c r="W54" s="666">
        <f t="shared" si="21"/>
        <v>0.38</v>
      </c>
    </row>
    <row r="55" spans="2:23" x14ac:dyDescent="0.35">
      <c r="B55" s="78" t="str">
        <f t="shared" si="9"/>
        <v>35(t)</v>
      </c>
      <c r="C55" s="78" t="str">
        <f t="shared" si="10"/>
        <v>T3</v>
      </c>
      <c r="D55" s="78" t="str">
        <f t="shared" si="11"/>
        <v>轻坦半自动</v>
      </c>
      <c r="E55" s="248">
        <f>VLOOKUP(D55,标准坦克设计!$B$13:$K$20,MATCH("弹夹容量",标准坦克设计!$B$13:$K$13,0),FALSE)</f>
        <v>6</v>
      </c>
      <c r="F55" s="53">
        <v>1</v>
      </c>
      <c r="G55" s="78">
        <f t="shared" si="12"/>
        <v>6</v>
      </c>
      <c r="H55" s="248">
        <f>VLOOKUP(D55,标准坦克设计!$B$13:$K$20,MATCH(H$51,标准坦克设计!$B$13:$K$13,0),FALSE)</f>
        <v>1.4</v>
      </c>
      <c r="I55" s="8">
        <v>1</v>
      </c>
      <c r="J55" s="78">
        <f t="shared" si="15"/>
        <v>1.4</v>
      </c>
      <c r="K55" s="78">
        <f t="shared" si="16"/>
        <v>0</v>
      </c>
      <c r="L55" s="78">
        <f t="shared" si="13"/>
        <v>0.4</v>
      </c>
      <c r="M55" s="461">
        <f>ROUND(((G55/VLOOKUP(D55,坦克类型系数!$AQ$3:$AX$10,MATCH("标准轮次数",坦克类型系数!$AQ$3:$AX$3,0),FALSE)-1)*L55*O55+VLOOKUP(D55,坦克类型系数!$AQ$3:$AX$10,MATCH("累积偏移角",坦克类型系数!$AQ$3:$AX$3,0),FALSE))/(G55/VLOOKUP(D55,坦克类型系数!$AQ$3:$AX$10,MATCH("标准轮次数",坦克类型系数!$AQ$3:$AX$3,0),FALSE)),2)</f>
        <v>1.1399999999999999</v>
      </c>
      <c r="N55" s="461">
        <f>VLOOKUP(D55,坦克类型系数!$AZ$3:$BE$10,4,FALSE)/F55</f>
        <v>0.6</v>
      </c>
      <c r="O55" s="78">
        <f t="shared" si="14"/>
        <v>1.2</v>
      </c>
      <c r="P55" s="28">
        <f t="shared" si="17"/>
        <v>47.428571428571431</v>
      </c>
      <c r="Q55" s="81">
        <f>VLOOKUP(D55,标准坦克设计!$B$13:$K$20,MATCH("60S射速",标准坦克设计!$B$13:$K$13,0),FALSE)/P55</f>
        <v>1</v>
      </c>
      <c r="R55" s="81">
        <f t="shared" si="18"/>
        <v>26</v>
      </c>
      <c r="S55" s="81">
        <f>VLOOKUP(D55,标准坦克设计!$B$13:$K$20,MATCH("半分连射数",标准坦克设计!$B$13:$K$13,0),FALSE)</f>
        <v>26</v>
      </c>
      <c r="T55" s="81">
        <f t="shared" si="19"/>
        <v>1</v>
      </c>
      <c r="U55" s="92">
        <v>0.25</v>
      </c>
      <c r="V55" s="666">
        <v>1</v>
      </c>
      <c r="W55" s="666">
        <f t="shared" si="21"/>
        <v>0.56000000000000005</v>
      </c>
    </row>
    <row r="56" spans="2:23" x14ac:dyDescent="0.35">
      <c r="B56" s="78" t="str">
        <f t="shared" si="9"/>
        <v>十字军</v>
      </c>
      <c r="C56" s="78" t="str">
        <f t="shared" si="10"/>
        <v>T3</v>
      </c>
      <c r="D56" s="78" t="str">
        <f t="shared" si="11"/>
        <v>轻坦弹夹</v>
      </c>
      <c r="E56" s="248">
        <f>VLOOKUP(D56,标准坦克设计!$B$13:$K$20,MATCH("弹夹容量",标准坦克设计!$B$13:$K$13,0),FALSE)</f>
        <v>9</v>
      </c>
      <c r="F56" s="53">
        <v>1</v>
      </c>
      <c r="G56" s="78">
        <f t="shared" si="12"/>
        <v>9</v>
      </c>
      <c r="H56" s="248">
        <f>VLOOKUP(D56,标准坦克设计!$B$13:$K$20,MATCH(H$51,标准坦克设计!$B$13:$K$13,0),FALSE)</f>
        <v>0.7</v>
      </c>
      <c r="I56" s="8">
        <v>1</v>
      </c>
      <c r="J56" s="78">
        <f t="shared" si="15"/>
        <v>0</v>
      </c>
      <c r="K56" s="78">
        <f t="shared" si="16"/>
        <v>6.3</v>
      </c>
      <c r="L56" s="78">
        <f t="shared" si="13"/>
        <v>0.30000000000000004</v>
      </c>
      <c r="M56" s="461">
        <f>ROUND(((G56/VLOOKUP(D56,坦克类型系数!$AQ$3:$AX$10,MATCH("标准轮次数",坦克类型系数!$AQ$3:$AX$3,0),FALSE)-1)*L56*O56+VLOOKUP(D56,坦克类型系数!$AQ$3:$AX$10,MATCH("累积偏移角",坦克类型系数!$AQ$3:$AX$3,0),FALSE))/(G56/VLOOKUP(D56,坦克类型系数!$AQ$3:$AX$10,MATCH("标准轮次数",坦克类型系数!$AQ$3:$AX$3,0),FALSE)),2)</f>
        <v>0.84</v>
      </c>
      <c r="N56" s="461">
        <f>VLOOKUP(D56,坦克类型系数!$AZ$3:$BE$10,4,FALSE)/F56</f>
        <v>0.48</v>
      </c>
      <c r="O56" s="78">
        <f t="shared" si="14"/>
        <v>1.2</v>
      </c>
      <c r="P56" s="28">
        <f t="shared" si="17"/>
        <v>68.58620689655173</v>
      </c>
      <c r="Q56" s="81">
        <f>VLOOKUP(D56,标准坦克设计!$B$13:$K$20,MATCH("60S射速",标准坦克设计!$B$13:$K$13,0),FALSE)/P56</f>
        <v>1.10126582278481</v>
      </c>
      <c r="R56" s="81">
        <f t="shared" si="18"/>
        <v>37.551724137931032</v>
      </c>
      <c r="S56" s="81">
        <f>VLOOKUP(D56,标准坦克设计!$B$13:$K$20,MATCH("半分连射数",标准坦克设计!$B$13:$K$13,0),FALSE)</f>
        <v>41.35443037974683</v>
      </c>
      <c r="T56" s="81">
        <f t="shared" si="19"/>
        <v>1.10126582278481</v>
      </c>
      <c r="U56" s="92">
        <v>0.25</v>
      </c>
      <c r="V56" s="666">
        <f t="shared" si="20"/>
        <v>3</v>
      </c>
      <c r="W56" s="666">
        <f t="shared" si="21"/>
        <v>1.0900000000000001</v>
      </c>
    </row>
    <row r="57" spans="2:23" x14ac:dyDescent="0.35">
      <c r="B57" s="78" t="str">
        <f t="shared" si="9"/>
        <v>AMX-13</v>
      </c>
      <c r="C57" s="78" t="str">
        <f t="shared" si="10"/>
        <v>T3</v>
      </c>
      <c r="D57" s="78" t="str">
        <f t="shared" si="11"/>
        <v>轻坦单发</v>
      </c>
      <c r="E57" s="248">
        <f>VLOOKUP(D57,标准坦克设计!$B$13:$K$20,MATCH("弹夹容量",标准坦克设计!$B$13:$K$13,0),FALSE)</f>
        <v>1</v>
      </c>
      <c r="F57" s="53">
        <v>1</v>
      </c>
      <c r="G57" s="78">
        <f t="shared" si="12"/>
        <v>1</v>
      </c>
      <c r="H57" s="248">
        <f>VLOOKUP(D57,标准坦克设计!$B$13:$K$20,MATCH(H$51,标准坦克设计!$B$13:$K$13,0),FALSE)</f>
        <v>3</v>
      </c>
      <c r="I57" s="8">
        <v>1</v>
      </c>
      <c r="J57" s="78">
        <f t="shared" si="15"/>
        <v>3</v>
      </c>
      <c r="K57" s="78">
        <f t="shared" si="16"/>
        <v>0</v>
      </c>
      <c r="L57" s="78">
        <f t="shared" si="13"/>
        <v>0</v>
      </c>
      <c r="M57" s="461">
        <f>ROUND(((G57/VLOOKUP(D57,坦克类型系数!$AQ$3:$AX$10,MATCH("标准轮次数",坦克类型系数!$AQ$3:$AX$3,0),FALSE)-1)*L57*O57+VLOOKUP(D57,坦克类型系数!$AQ$3:$AX$10,MATCH("累积偏移角",坦克类型系数!$AQ$3:$AX$3,0),FALSE))/(G57/VLOOKUP(D57,坦克类型系数!$AQ$3:$AX$10,MATCH("标准轮次数",坦克类型系数!$AQ$3:$AX$3,0),FALSE)),2)</f>
        <v>1.8</v>
      </c>
      <c r="N57" s="461">
        <f>VLOOKUP(D57,坦克类型系数!$AZ$3:$BE$10,4,FALSE)/F57</f>
        <v>1.7999999999999998</v>
      </c>
      <c r="O57" s="78">
        <f t="shared" si="14"/>
        <v>1</v>
      </c>
      <c r="P57" s="28">
        <f t="shared" si="17"/>
        <v>21</v>
      </c>
      <c r="Q57" s="81">
        <f>VLOOKUP(D57,标准坦克设计!$B$13:$K$20,MATCH("60S射速",标准坦克设计!$B$13:$K$13,0),FALSE)/P57</f>
        <v>1</v>
      </c>
      <c r="R57" s="81">
        <f t="shared" si="18"/>
        <v>11</v>
      </c>
      <c r="S57" s="81">
        <f>VLOOKUP(D57,标准坦克设计!$B$13:$K$20,MATCH("半分连射数",标准坦克设计!$B$13:$K$13,0),FALSE)</f>
        <v>11</v>
      </c>
      <c r="T57" s="81">
        <f t="shared" si="19"/>
        <v>1</v>
      </c>
      <c r="U57" s="92">
        <v>0.25</v>
      </c>
      <c r="V57" s="666">
        <f t="shared" si="20"/>
        <v>1</v>
      </c>
      <c r="W57" s="666">
        <f t="shared" si="21"/>
        <v>1.07</v>
      </c>
    </row>
    <row r="58" spans="2:23" x14ac:dyDescent="0.35">
      <c r="B58" s="78" t="str">
        <f t="shared" si="9"/>
        <v>霞飞</v>
      </c>
      <c r="C58" s="78" t="str">
        <f t="shared" si="10"/>
        <v>T4</v>
      </c>
      <c r="D58" s="78" t="str">
        <f t="shared" si="11"/>
        <v>轻坦半自动</v>
      </c>
      <c r="E58" s="248">
        <f>VLOOKUP(D58,标准坦克设计!$B$13:$K$20,MATCH("弹夹容量",标准坦克设计!$B$13:$K$13,0),FALSE)</f>
        <v>6</v>
      </c>
      <c r="F58" s="53">
        <v>1</v>
      </c>
      <c r="G58" s="78">
        <f t="shared" ref="G58:G81" si="22">E58*F58</f>
        <v>6</v>
      </c>
      <c r="H58" s="248">
        <f>VLOOKUP(D58,标准坦克设计!$B$13:$K$20,MATCH(H$51,标准坦克设计!$B$13:$K$13,0),FALSE)</f>
        <v>1.4</v>
      </c>
      <c r="I58" s="8">
        <v>1</v>
      </c>
      <c r="J58" s="78">
        <f t="shared" si="15"/>
        <v>1.4</v>
      </c>
      <c r="K58" s="78">
        <f t="shared" si="16"/>
        <v>0</v>
      </c>
      <c r="L58" s="78">
        <f t="shared" si="13"/>
        <v>0.30000000000000004</v>
      </c>
      <c r="M58" s="461">
        <f>ROUND(((G58/VLOOKUP(D58,坦克类型系数!$AQ$3:$AX$10,MATCH("标准轮次数",坦克类型系数!$AQ$3:$AX$3,0),FALSE)-1)*L58*O58+VLOOKUP(D58,坦克类型系数!$AQ$3:$AX$10,MATCH("累积偏移角",坦克类型系数!$AQ$3:$AX$3,0),FALSE))/(G58/VLOOKUP(D58,坦克类型系数!$AQ$3:$AX$10,MATCH("标准轮次数",坦克类型系数!$AQ$3:$AX$3,0),FALSE)),2)</f>
        <v>1.08</v>
      </c>
      <c r="N58" s="461">
        <f>VLOOKUP(D58,坦克类型系数!$AZ$3:$BE$10,4,FALSE)/F58</f>
        <v>0.6</v>
      </c>
      <c r="O58" s="78">
        <f t="shared" si="14"/>
        <v>1.2</v>
      </c>
      <c r="P58" s="28">
        <f t="shared" si="17"/>
        <v>47.785714285714292</v>
      </c>
      <c r="Q58" s="81">
        <f>VLOOKUP(D58,标准坦克设计!$B$13:$K$20,MATCH("60S射速",标准坦克设计!$B$13:$K$13,0),FALSE)/P58</f>
        <v>0.9925261584454409</v>
      </c>
      <c r="R58" s="81">
        <f t="shared" si="18"/>
        <v>26.357142857142858</v>
      </c>
      <c r="S58" s="81">
        <f>VLOOKUP(D58,标准坦克设计!$B$13:$K$20,MATCH("半分连射数",标准坦克设计!$B$13:$K$13,0),FALSE)</f>
        <v>26</v>
      </c>
      <c r="T58" s="81">
        <f t="shared" si="19"/>
        <v>0.98644986449864491</v>
      </c>
      <c r="U58" s="92">
        <v>0.25</v>
      </c>
      <c r="V58" s="666">
        <v>1</v>
      </c>
      <c r="W58" s="666">
        <f t="shared" si="21"/>
        <v>0.56000000000000005</v>
      </c>
    </row>
    <row r="59" spans="2:23" x14ac:dyDescent="0.35">
      <c r="B59" s="78" t="str">
        <f t="shared" si="9"/>
        <v>M-41</v>
      </c>
      <c r="C59" s="78" t="str">
        <f t="shared" si="10"/>
        <v>T4</v>
      </c>
      <c r="D59" s="78" t="str">
        <f t="shared" si="11"/>
        <v>轻坦单发</v>
      </c>
      <c r="E59" s="248">
        <f>VLOOKUP(D59,标准坦克设计!$B$13:$K$20,MATCH("弹夹容量",标准坦克设计!$B$13:$K$13,0),FALSE)</f>
        <v>1</v>
      </c>
      <c r="F59" s="53">
        <v>1</v>
      </c>
      <c r="G59" s="78">
        <f t="shared" si="22"/>
        <v>1</v>
      </c>
      <c r="H59" s="248">
        <f>VLOOKUP(D59,标准坦克设计!$B$13:$K$20,MATCH(H$51,标准坦克设计!$B$13:$K$13,0),FALSE)</f>
        <v>3</v>
      </c>
      <c r="I59" s="8">
        <v>1</v>
      </c>
      <c r="J59" s="78">
        <f t="shared" si="15"/>
        <v>3</v>
      </c>
      <c r="K59" s="78">
        <f t="shared" si="16"/>
        <v>0</v>
      </c>
      <c r="L59" s="78">
        <f t="shared" si="13"/>
        <v>0</v>
      </c>
      <c r="M59" s="461">
        <f>ROUND(((G59/VLOOKUP(D59,坦克类型系数!$AQ$3:$AX$10,MATCH("标准轮次数",坦克类型系数!$AQ$3:$AX$3,0),FALSE)-1)*L59*O59+VLOOKUP(D59,坦克类型系数!$AQ$3:$AX$10,MATCH("累积偏移角",坦克类型系数!$AQ$3:$AX$3,0),FALSE))/(G59/VLOOKUP(D59,坦克类型系数!$AQ$3:$AX$10,MATCH("标准轮次数",坦克类型系数!$AQ$3:$AX$3,0),FALSE)),2)</f>
        <v>1.8</v>
      </c>
      <c r="N59" s="461">
        <f>VLOOKUP(D59,坦克类型系数!$AZ$3:$BE$10,4,FALSE)/F59</f>
        <v>1.7999999999999998</v>
      </c>
      <c r="O59" s="78">
        <f t="shared" si="14"/>
        <v>1</v>
      </c>
      <c r="P59" s="28">
        <f t="shared" si="17"/>
        <v>21</v>
      </c>
      <c r="Q59" s="81">
        <f>VLOOKUP(D59,标准坦克设计!$B$13:$K$20,MATCH("60S射速",标准坦克设计!$B$13:$K$13,0),FALSE)/P59</f>
        <v>1</v>
      </c>
      <c r="R59" s="81">
        <f t="shared" si="18"/>
        <v>11</v>
      </c>
      <c r="S59" s="81">
        <f>VLOOKUP(D59,标准坦克设计!$B$13:$K$20,MATCH("半分连射数",标准坦克设计!$B$13:$K$13,0),FALSE)</f>
        <v>11</v>
      </c>
      <c r="T59" s="81">
        <f t="shared" si="19"/>
        <v>1</v>
      </c>
      <c r="U59" s="92">
        <v>0.25</v>
      </c>
      <c r="V59" s="666">
        <f t="shared" si="20"/>
        <v>1</v>
      </c>
      <c r="W59" s="666">
        <f t="shared" si="21"/>
        <v>1.07</v>
      </c>
    </row>
    <row r="60" spans="2:23" x14ac:dyDescent="0.35">
      <c r="B60" s="78" t="str">
        <f t="shared" si="9"/>
        <v>BMP-3</v>
      </c>
      <c r="C60" s="78" t="str">
        <f t="shared" si="10"/>
        <v>T4</v>
      </c>
      <c r="D60" s="78" t="str">
        <f t="shared" si="11"/>
        <v>轻坦半自动</v>
      </c>
      <c r="E60" s="248">
        <f>VLOOKUP(D60,标准坦克设计!$B$13:$K$20,MATCH("弹夹容量",标准坦克设计!$B$13:$K$13,0),FALSE)</f>
        <v>6</v>
      </c>
      <c r="F60" s="53">
        <f>2/3</f>
        <v>0.66666666666666663</v>
      </c>
      <c r="G60" s="78">
        <f t="shared" si="22"/>
        <v>4</v>
      </c>
      <c r="H60" s="248">
        <f>VLOOKUP(D60,标准坦克设计!$B$13:$K$20,MATCH(H$51,标准坦克设计!$B$13:$K$13,0),FALSE)</f>
        <v>1.4</v>
      </c>
      <c r="I60" s="8">
        <v>1</v>
      </c>
      <c r="J60" s="78">
        <f t="shared" si="15"/>
        <v>1.4</v>
      </c>
      <c r="K60" s="78">
        <f t="shared" si="16"/>
        <v>0</v>
      </c>
      <c r="L60" s="78">
        <f t="shared" si="13"/>
        <v>0.4</v>
      </c>
      <c r="M60" s="461">
        <f>ROUND(((G60/VLOOKUP(D60,坦克类型系数!$AQ$3:$AX$10,MATCH("标准轮次数",坦克类型系数!$AQ$3:$AX$3,0),FALSE)-1)*L60*O60+VLOOKUP(D60,坦克类型系数!$AQ$3:$AX$10,MATCH("累积偏移角",坦克类型系数!$AQ$3:$AX$3,0),FALSE))/(G60/VLOOKUP(D60,坦克类型系数!$AQ$3:$AX$10,MATCH("标准轮次数",坦克类型系数!$AQ$3:$AX$3,0),FALSE)),2)</f>
        <v>1.47</v>
      </c>
      <c r="N60" s="461">
        <f>VLOOKUP(D60,坦克类型系数!$AZ$3:$BE$10,4,FALSE)/F60</f>
        <v>0.9</v>
      </c>
      <c r="O60" s="78">
        <f t="shared" si="14"/>
        <v>1.2</v>
      </c>
      <c r="P60" s="28">
        <f t="shared" si="17"/>
        <v>46</v>
      </c>
      <c r="Q60" s="81">
        <f>VLOOKUP(D60,标准坦克设计!$B$13:$K$20,MATCH("60S射速",标准坦克设计!$B$13:$K$13,0),FALSE)/P60</f>
        <v>1.031055900621118</v>
      </c>
      <c r="R60" s="81">
        <f t="shared" si="18"/>
        <v>24.571428571428573</v>
      </c>
      <c r="S60" s="81">
        <f>VLOOKUP(D60,标准坦克设计!$B$13:$K$20,MATCH("半分连射数",标准坦克设计!$B$13:$K$13,0),FALSE)</f>
        <v>26</v>
      </c>
      <c r="T60" s="81">
        <f t="shared" si="19"/>
        <v>1.0581395348837208</v>
      </c>
      <c r="U60" s="92">
        <v>0.25</v>
      </c>
      <c r="V60" s="666">
        <v>1</v>
      </c>
      <c r="W60" s="666">
        <f t="shared" si="21"/>
        <v>0.53</v>
      </c>
    </row>
    <row r="61" spans="2:23" x14ac:dyDescent="0.35">
      <c r="B61" s="78" t="str">
        <f t="shared" si="9"/>
        <v>59式</v>
      </c>
      <c r="C61" s="78" t="str">
        <f t="shared" si="10"/>
        <v>T5</v>
      </c>
      <c r="D61" s="78" t="str">
        <f t="shared" si="11"/>
        <v>轻坦单发</v>
      </c>
      <c r="E61" s="248">
        <f>VLOOKUP(D61,标准坦克设计!$B$13:$K$20,MATCH("弹夹容量",标准坦克设计!$B$13:$K$13,0),FALSE)</f>
        <v>1</v>
      </c>
      <c r="F61" s="53">
        <v>1</v>
      </c>
      <c r="G61" s="78">
        <f t="shared" si="22"/>
        <v>1</v>
      </c>
      <c r="H61" s="248">
        <f>VLOOKUP(D61,标准坦克设计!$B$13:$K$20,MATCH(H$51,标准坦克设计!$B$13:$K$13,0),FALSE)</f>
        <v>3</v>
      </c>
      <c r="I61" s="8">
        <v>1</v>
      </c>
      <c r="J61" s="78">
        <f t="shared" si="15"/>
        <v>3</v>
      </c>
      <c r="K61" s="78">
        <f t="shared" si="16"/>
        <v>0</v>
      </c>
      <c r="L61" s="78">
        <f t="shared" si="13"/>
        <v>0</v>
      </c>
      <c r="M61" s="461">
        <f>ROUND(((G61/VLOOKUP(D61,坦克类型系数!$AQ$3:$AX$10,MATCH("标准轮次数",坦克类型系数!$AQ$3:$AX$3,0),FALSE)-1)*L61*O61+VLOOKUP(D61,坦克类型系数!$AQ$3:$AX$10,MATCH("累积偏移角",坦克类型系数!$AQ$3:$AX$3,0),FALSE))/(G61/VLOOKUP(D61,坦克类型系数!$AQ$3:$AX$10,MATCH("标准轮次数",坦克类型系数!$AQ$3:$AX$3,0),FALSE)),2)</f>
        <v>1.8</v>
      </c>
      <c r="N61" s="461">
        <f>VLOOKUP(D61,坦克类型系数!$AZ$3:$BE$10,4,FALSE)/F61</f>
        <v>1.7999999999999998</v>
      </c>
      <c r="O61" s="78">
        <f t="shared" si="14"/>
        <v>1</v>
      </c>
      <c r="P61" s="28">
        <f t="shared" si="17"/>
        <v>21</v>
      </c>
      <c r="Q61" s="81">
        <f>VLOOKUP(D61,标准坦克设计!$B$13:$K$20,MATCH("60S射速",标准坦克设计!$B$13:$K$13,0),FALSE)/P61</f>
        <v>1</v>
      </c>
      <c r="R61" s="81">
        <f t="shared" si="18"/>
        <v>11</v>
      </c>
      <c r="S61" s="81">
        <f>VLOOKUP(D61,标准坦克设计!$B$13:$K$20,MATCH("半分连射数",标准坦克设计!$B$13:$K$13,0),FALSE)</f>
        <v>11</v>
      </c>
      <c r="T61" s="81">
        <f t="shared" si="19"/>
        <v>1</v>
      </c>
      <c r="U61" s="92">
        <v>0.25</v>
      </c>
      <c r="V61" s="666">
        <f t="shared" si="20"/>
        <v>1</v>
      </c>
      <c r="W61" s="666">
        <f t="shared" si="21"/>
        <v>1.07</v>
      </c>
    </row>
    <row r="62" spans="2:23" x14ac:dyDescent="0.35">
      <c r="B62" s="78" t="str">
        <f t="shared" si="9"/>
        <v>Stuart</v>
      </c>
      <c r="C62" s="78" t="str">
        <f t="shared" si="10"/>
        <v>T1</v>
      </c>
      <c r="D62" s="78" t="str">
        <f t="shared" si="11"/>
        <v>中坦弹夹</v>
      </c>
      <c r="E62" s="248">
        <f>VLOOKUP(D62,标准坦克设计!$B$13:$K$20,MATCH("弹夹容量",标准坦克设计!$B$13:$K$13,0),FALSE)</f>
        <v>4</v>
      </c>
      <c r="F62" s="53">
        <v>1.5</v>
      </c>
      <c r="G62" s="78">
        <f t="shared" si="22"/>
        <v>6</v>
      </c>
      <c r="H62" s="248">
        <f>VLOOKUP(D62,标准坦克设计!$B$13:$K$20,MATCH(H$51,标准坦克设计!$B$13:$K$13,0),FALSE)</f>
        <v>1</v>
      </c>
      <c r="I62" s="8">
        <v>0.8</v>
      </c>
      <c r="J62" s="78">
        <f t="shared" si="15"/>
        <v>0</v>
      </c>
      <c r="K62" s="78">
        <f t="shared" si="16"/>
        <v>4.8000000000000007</v>
      </c>
      <c r="L62" s="78">
        <f t="shared" si="13"/>
        <v>0.4</v>
      </c>
      <c r="M62" s="461">
        <f>ROUND(((G62/VLOOKUP(D62,坦克类型系数!$AQ$3:$AX$10,MATCH("标准轮次数",坦克类型系数!$AQ$3:$AX$3,0),FALSE)-1)*L62*O62+VLOOKUP(D62,坦克类型系数!$AQ$3:$AX$10,MATCH("累积偏移角",坦克类型系数!$AQ$3:$AX$3,0),FALSE))/(G62/VLOOKUP(D62,坦克类型系数!$AQ$3:$AX$10,MATCH("标准轮次数",坦克类型系数!$AQ$3:$AX$3,0),FALSE)),2)</f>
        <v>1.1200000000000001</v>
      </c>
      <c r="N62" s="461">
        <f>VLOOKUP(D62,坦克类型系数!$AZ$3:$BE$10,4,FALSE)/F62</f>
        <v>0.79999999999999993</v>
      </c>
      <c r="O62" s="78">
        <f t="shared" si="14"/>
        <v>1.2</v>
      </c>
      <c r="P62" s="28">
        <f t="shared" si="17"/>
        <v>57.17647058823529</v>
      </c>
      <c r="Q62" s="81">
        <f>VLOOKUP(D62,标准坦克设计!$B$13:$K$20,MATCH("60S射速",标准坦克设计!$B$13:$K$13,0),FALSE)/P62</f>
        <v>0.69958847736625518</v>
      </c>
      <c r="R62" s="81">
        <f t="shared" si="18"/>
        <v>30.705882352941174</v>
      </c>
      <c r="S62" s="81">
        <f>VLOOKUP(D62,标准坦克设计!$B$13:$K$20,MATCH("半分连射数",标准坦克设计!$B$13:$K$13,0),FALSE)</f>
        <v>21.25</v>
      </c>
      <c r="T62" s="81">
        <f t="shared" si="19"/>
        <v>0.69204980842911878</v>
      </c>
      <c r="U62" s="92">
        <v>0.25</v>
      </c>
      <c r="V62" s="666">
        <f t="shared" si="20"/>
        <v>2</v>
      </c>
      <c r="W62" s="666">
        <f t="shared" si="21"/>
        <v>0.91</v>
      </c>
    </row>
    <row r="63" spans="2:23" x14ac:dyDescent="0.35">
      <c r="B63" s="78" t="str">
        <f t="shared" si="9"/>
        <v>T-34</v>
      </c>
      <c r="C63" s="78" t="str">
        <f t="shared" si="10"/>
        <v>T2</v>
      </c>
      <c r="D63" s="78" t="str">
        <f t="shared" si="11"/>
        <v>中坦弹夹</v>
      </c>
      <c r="E63" s="248">
        <f>VLOOKUP(D63,标准坦克设计!$B$13:$K$20,MATCH("弹夹容量",标准坦克设计!$B$13:$K$13,0),FALSE)</f>
        <v>4</v>
      </c>
      <c r="F63" s="53">
        <v>1.5</v>
      </c>
      <c r="G63" s="78">
        <f t="shared" si="22"/>
        <v>6</v>
      </c>
      <c r="H63" s="248">
        <f>VLOOKUP(D63,标准坦克设计!$B$13:$K$20,MATCH(H$51,标准坦克设计!$B$13:$K$13,0),FALSE)</f>
        <v>1</v>
      </c>
      <c r="I63" s="8">
        <v>0.5</v>
      </c>
      <c r="J63" s="78">
        <f t="shared" si="15"/>
        <v>0</v>
      </c>
      <c r="K63" s="78">
        <f t="shared" si="16"/>
        <v>3</v>
      </c>
      <c r="L63" s="78">
        <f t="shared" si="13"/>
        <v>1.2</v>
      </c>
      <c r="M63" s="461">
        <f>ROUND(((G63/VLOOKUP(D63,坦克类型系数!$AQ$3:$AX$10,MATCH("标准轮次数",坦克类型系数!$AQ$3:$AX$3,0),FALSE)-1)*L63*O63+VLOOKUP(D63,坦克类型系数!$AQ$3:$AX$10,MATCH("累积偏移角",坦克类型系数!$AQ$3:$AX$3,0),FALSE))/(G63/VLOOKUP(D63,坦克类型系数!$AQ$3:$AX$10,MATCH("标准轮次数",坦克类型系数!$AQ$3:$AX$3,0),FALSE)),2)</f>
        <v>1.76</v>
      </c>
      <c r="N63" s="461">
        <f>VLOOKUP(D63,坦克类型系数!$AZ$3:$BE$10,4,FALSE)/F63</f>
        <v>0.79999999999999993</v>
      </c>
      <c r="O63" s="78">
        <f t="shared" si="14"/>
        <v>1.2</v>
      </c>
      <c r="P63" s="28">
        <f t="shared" si="17"/>
        <v>42</v>
      </c>
      <c r="Q63" s="81">
        <f>VLOOKUP(D63,标准坦克设计!$B$13:$K$20,MATCH("60S射速",标准坦克设计!$B$13:$K$13,0),FALSE)/P63</f>
        <v>0.95238095238095233</v>
      </c>
      <c r="R63" s="81">
        <f t="shared" si="18"/>
        <v>22</v>
      </c>
      <c r="S63" s="81">
        <f>VLOOKUP(D63,标准坦克设计!$B$13:$K$20,MATCH("半分连射数",标准坦克设计!$B$13:$K$13,0),FALSE)</f>
        <v>21.25</v>
      </c>
      <c r="T63" s="81">
        <f t="shared" si="19"/>
        <v>0.96590909090909094</v>
      </c>
      <c r="U63" s="92">
        <v>0.25</v>
      </c>
      <c r="V63" s="666">
        <f t="shared" si="20"/>
        <v>2</v>
      </c>
      <c r="W63" s="666">
        <f t="shared" si="21"/>
        <v>1.2</v>
      </c>
    </row>
    <row r="64" spans="2:23" x14ac:dyDescent="0.35">
      <c r="B64" s="78" t="str">
        <f t="shared" si="9"/>
        <v>四号</v>
      </c>
      <c r="C64" s="78" t="str">
        <f t="shared" si="10"/>
        <v>T2</v>
      </c>
      <c r="D64" s="78" t="str">
        <f t="shared" si="11"/>
        <v>中坦单发</v>
      </c>
      <c r="E64" s="248">
        <f>VLOOKUP(D64,标准坦克设计!$B$13:$K$20,MATCH("弹夹容量",标准坦克设计!$B$13:$K$13,0),FALSE)</f>
        <v>1</v>
      </c>
      <c r="F64" s="53">
        <v>1</v>
      </c>
      <c r="G64" s="78">
        <f t="shared" si="22"/>
        <v>1</v>
      </c>
      <c r="H64" s="248">
        <f>VLOOKUP(D64,标准坦克设计!$B$13:$K$20,MATCH(H$51,标准坦克设计!$B$13:$K$13,0),FALSE)</f>
        <v>4.5</v>
      </c>
      <c r="I64" s="8">
        <v>1</v>
      </c>
      <c r="J64" s="78">
        <f t="shared" si="15"/>
        <v>4.5</v>
      </c>
      <c r="K64" s="78">
        <f t="shared" si="16"/>
        <v>0</v>
      </c>
      <c r="L64" s="78">
        <f t="shared" si="13"/>
        <v>0</v>
      </c>
      <c r="M64" s="461">
        <f>ROUND(((G64/VLOOKUP(D64,坦克类型系数!$AQ$3:$AX$10,MATCH("标准轮次数",坦克类型系数!$AQ$3:$AX$3,0),FALSE)-1)*L64*O64+VLOOKUP(D64,坦克类型系数!$AQ$3:$AX$10,MATCH("累积偏移角",坦克类型系数!$AQ$3:$AX$3,0),FALSE))/(G64/VLOOKUP(D64,坦克类型系数!$AQ$3:$AX$10,MATCH("标准轮次数",坦克类型系数!$AQ$3:$AX$3,0),FALSE)),2)</f>
        <v>2.4</v>
      </c>
      <c r="N64" s="461">
        <f>VLOOKUP(D64,坦克类型系数!$AZ$3:$BE$10,4,FALSE)/F64</f>
        <v>2.4</v>
      </c>
      <c r="O64" s="78">
        <f t="shared" si="14"/>
        <v>1</v>
      </c>
      <c r="P64" s="28">
        <f t="shared" si="17"/>
        <v>14.333333333333334</v>
      </c>
      <c r="Q64" s="81">
        <f>VLOOKUP(D64,标准坦克设计!$B$13:$K$20,MATCH("60S射速",标准坦克设计!$B$13:$K$13,0),FALSE)/P64</f>
        <v>1</v>
      </c>
      <c r="R64" s="81">
        <f t="shared" si="18"/>
        <v>7.666666666666667</v>
      </c>
      <c r="S64" s="81">
        <f>VLOOKUP(D64,标准坦克设计!$B$13:$K$20,MATCH("半分连射数",标准坦克设计!$B$13:$K$13,0),FALSE)</f>
        <v>7.666666666666667</v>
      </c>
      <c r="T64" s="81">
        <f t="shared" si="19"/>
        <v>1</v>
      </c>
      <c r="U64" s="92">
        <v>0.25</v>
      </c>
      <c r="V64" s="666">
        <f t="shared" si="20"/>
        <v>1</v>
      </c>
      <c r="W64" s="666">
        <f t="shared" si="21"/>
        <v>1.65</v>
      </c>
    </row>
    <row r="65" spans="2:23" x14ac:dyDescent="0.35">
      <c r="B65" s="78" t="str">
        <f t="shared" si="9"/>
        <v>玛蒂尔达</v>
      </c>
      <c r="C65" s="78" t="str">
        <f t="shared" si="10"/>
        <v>T3</v>
      </c>
      <c r="D65" s="78" t="str">
        <f t="shared" si="11"/>
        <v>中坦弹夹</v>
      </c>
      <c r="E65" s="248">
        <f>VLOOKUP(D65,标准坦克设计!$B$13:$K$20,MATCH("弹夹容量",标准坦克设计!$B$13:$K$13,0),FALSE)</f>
        <v>4</v>
      </c>
      <c r="F65" s="53">
        <v>1.5</v>
      </c>
      <c r="G65" s="78">
        <f t="shared" si="22"/>
        <v>6</v>
      </c>
      <c r="H65" s="248">
        <f>VLOOKUP(D65,标准坦克设计!$B$13:$K$20,MATCH(H$51,标准坦克设计!$B$13:$K$13,0),FALSE)</f>
        <v>1</v>
      </c>
      <c r="I65" s="8">
        <v>0.5</v>
      </c>
      <c r="J65" s="78">
        <f t="shared" si="15"/>
        <v>0</v>
      </c>
      <c r="K65" s="78">
        <f t="shared" si="16"/>
        <v>3</v>
      </c>
      <c r="L65" s="78">
        <f t="shared" si="13"/>
        <v>0.72</v>
      </c>
      <c r="M65" s="461">
        <f>ROUND(((G65/VLOOKUP(D65,坦克类型系数!$AQ$3:$AX$10,MATCH("标准轮次数",坦克类型系数!$AQ$3:$AX$3,0),FALSE)-1)*L65*O65+VLOOKUP(D65,坦克类型系数!$AQ$3:$AX$10,MATCH("累积偏移角",坦克类型系数!$AQ$3:$AX$3,0),FALSE))/(G65/VLOOKUP(D65,坦克类型系数!$AQ$3:$AX$10,MATCH("标准轮次数",坦克类型系数!$AQ$3:$AX$3,0),FALSE)),2)</f>
        <v>1.38</v>
      </c>
      <c r="N65" s="461">
        <f>VLOOKUP(D65,坦克类型系数!$AZ$3:$BE$10,4,FALSE)/F65</f>
        <v>0.79999999999999993</v>
      </c>
      <c r="O65" s="78">
        <f t="shared" si="14"/>
        <v>1.2</v>
      </c>
      <c r="P65" s="28">
        <f t="shared" si="17"/>
        <v>57.272727272727266</v>
      </c>
      <c r="Q65" s="81">
        <f>VLOOKUP(D65,标准坦克设计!$B$13:$K$20,MATCH("60S射速",标准坦克设计!$B$13:$K$13,0),FALSE)/P65</f>
        <v>0.69841269841269848</v>
      </c>
      <c r="R65" s="81">
        <f t="shared" si="18"/>
        <v>30</v>
      </c>
      <c r="S65" s="81">
        <f>VLOOKUP(D65,标准坦克设计!$B$13:$K$20,MATCH("半分连射数",标准坦克设计!$B$13:$K$13,0),FALSE)</f>
        <v>21.25</v>
      </c>
      <c r="T65" s="81">
        <f t="shared" si="19"/>
        <v>0.70833333333333337</v>
      </c>
      <c r="U65" s="92">
        <v>0.25</v>
      </c>
      <c r="V65" s="666">
        <f t="shared" si="20"/>
        <v>2</v>
      </c>
      <c r="W65" s="666">
        <f t="shared" si="21"/>
        <v>0.88</v>
      </c>
    </row>
    <row r="66" spans="2:23" x14ac:dyDescent="0.35">
      <c r="B66" s="78" t="str">
        <f t="shared" si="9"/>
        <v>谢尔曼</v>
      </c>
      <c r="C66" s="78" t="str">
        <f t="shared" si="10"/>
        <v>T3</v>
      </c>
      <c r="D66" s="78" t="str">
        <f t="shared" si="11"/>
        <v>中坦单发</v>
      </c>
      <c r="E66" s="248">
        <f>VLOOKUP(D66,标准坦克设计!$B$13:$K$20,MATCH("弹夹容量",标准坦克设计!$B$13:$K$13,0),FALSE)</f>
        <v>1</v>
      </c>
      <c r="F66" s="53">
        <v>1</v>
      </c>
      <c r="G66" s="78">
        <f t="shared" si="22"/>
        <v>1</v>
      </c>
      <c r="H66" s="248">
        <f>VLOOKUP(D66,标准坦克设计!$B$13:$K$20,MATCH(H$51,标准坦克设计!$B$13:$K$13,0),FALSE)</f>
        <v>4.5</v>
      </c>
      <c r="I66" s="8">
        <v>1</v>
      </c>
      <c r="J66" s="78">
        <f t="shared" si="15"/>
        <v>4.5</v>
      </c>
      <c r="K66" s="78">
        <f t="shared" si="16"/>
        <v>0</v>
      </c>
      <c r="L66" s="78">
        <f t="shared" si="13"/>
        <v>0</v>
      </c>
      <c r="M66" s="461">
        <f>ROUND(((G66/VLOOKUP(D66,坦克类型系数!$AQ$3:$AX$10,MATCH("标准轮次数",坦克类型系数!$AQ$3:$AX$3,0),FALSE)-1)*L66*O66+VLOOKUP(D66,坦克类型系数!$AQ$3:$AX$10,MATCH("累积偏移角",坦克类型系数!$AQ$3:$AX$3,0),FALSE))/(G66/VLOOKUP(D66,坦克类型系数!$AQ$3:$AX$10,MATCH("标准轮次数",坦克类型系数!$AQ$3:$AX$3,0),FALSE)),2)</f>
        <v>2.4</v>
      </c>
      <c r="N66" s="461">
        <f>VLOOKUP(D66,坦克类型系数!$AZ$3:$BE$10,4,FALSE)/F66</f>
        <v>2.4</v>
      </c>
      <c r="O66" s="78">
        <f t="shared" si="14"/>
        <v>1</v>
      </c>
      <c r="P66" s="28">
        <f t="shared" si="17"/>
        <v>14.333333333333334</v>
      </c>
      <c r="Q66" s="81">
        <f>VLOOKUP(D66,标准坦克设计!$B$13:$K$20,MATCH("60S射速",标准坦克设计!$B$13:$K$13,0),FALSE)/P66</f>
        <v>1</v>
      </c>
      <c r="R66" s="81">
        <f t="shared" si="18"/>
        <v>7.666666666666667</v>
      </c>
      <c r="S66" s="81">
        <f>VLOOKUP(D66,标准坦克设计!$B$13:$K$20,MATCH("半分连射数",标准坦克设计!$B$13:$K$13,0),FALSE)</f>
        <v>7.666666666666667</v>
      </c>
      <c r="T66" s="81">
        <f t="shared" si="19"/>
        <v>1</v>
      </c>
      <c r="U66" s="92">
        <v>0.25</v>
      </c>
      <c r="V66" s="666">
        <f t="shared" si="20"/>
        <v>1</v>
      </c>
      <c r="W66" s="666">
        <f t="shared" si="21"/>
        <v>1.65</v>
      </c>
    </row>
    <row r="67" spans="2:23" x14ac:dyDescent="0.35">
      <c r="B67" s="78" t="str">
        <f t="shared" si="9"/>
        <v>彗星</v>
      </c>
      <c r="C67" s="78" t="str">
        <f t="shared" si="10"/>
        <v>T3</v>
      </c>
      <c r="D67" s="78" t="str">
        <f t="shared" si="11"/>
        <v>中坦单发</v>
      </c>
      <c r="E67" s="248">
        <f>VLOOKUP(D67,标准坦克设计!$B$13:$K$20,MATCH("弹夹容量",标准坦克设计!$B$13:$K$13,0),FALSE)</f>
        <v>1</v>
      </c>
      <c r="F67" s="53">
        <v>1</v>
      </c>
      <c r="G67" s="78">
        <f>E67*F67</f>
        <v>1</v>
      </c>
      <c r="H67" s="248">
        <f>VLOOKUP(D67,标准坦克设计!$B$13:$K$20,MATCH(H$51,标准坦克设计!$B$13:$K$13,0),FALSE)</f>
        <v>4.5</v>
      </c>
      <c r="I67" s="8">
        <v>1</v>
      </c>
      <c r="J67" s="78">
        <f>IF(RIGHT(D67,2)="弹夹",0,H67*I67)</f>
        <v>4.5</v>
      </c>
      <c r="K67" s="78">
        <f>IF(J67&gt;0,0,H67*I67*G67)</f>
        <v>0</v>
      </c>
      <c r="L67" s="78">
        <f t="shared" si="13"/>
        <v>0</v>
      </c>
      <c r="M67" s="461">
        <f>ROUND(((G67/VLOOKUP(D67,坦克类型系数!$AQ$3:$AX$10,MATCH("标准轮次数",坦克类型系数!$AQ$3:$AX$3,0),FALSE)-1)*L67*O67+VLOOKUP(D67,坦克类型系数!$AQ$3:$AX$10,MATCH("累积偏移角",坦克类型系数!$AQ$3:$AX$3,0),FALSE))/(G67/VLOOKUP(D67,坦克类型系数!$AQ$3:$AX$10,MATCH("标准轮次数",坦克类型系数!$AQ$3:$AX$3,0),FALSE)),2)</f>
        <v>2.4</v>
      </c>
      <c r="N67" s="461">
        <f>VLOOKUP(D67,坦克类型系数!$AZ$3:$BE$10,4,FALSE)/F67</f>
        <v>2.4</v>
      </c>
      <c r="O67" s="78">
        <f t="shared" si="14"/>
        <v>1</v>
      </c>
      <c r="P67" s="28">
        <f t="shared" si="17"/>
        <v>14.333333333333334</v>
      </c>
      <c r="Q67" s="81">
        <f>VLOOKUP(D67,标准坦克设计!$B$13:$K$20,MATCH("60S射速",标准坦克设计!$B$13:$K$13,0),FALSE)/P67</f>
        <v>1</v>
      </c>
      <c r="R67" s="81">
        <f t="shared" si="18"/>
        <v>7.666666666666667</v>
      </c>
      <c r="S67" s="81">
        <f>VLOOKUP(D67,标准坦克设计!$B$13:$K$20,MATCH("半分连射数",标准坦克设计!$B$13:$K$13,0),FALSE)</f>
        <v>7.666666666666667</v>
      </c>
      <c r="T67" s="81">
        <f>S67/R67</f>
        <v>1</v>
      </c>
      <c r="U67" s="92">
        <v>0.25</v>
      </c>
      <c r="V67" s="666">
        <f t="shared" si="20"/>
        <v>1</v>
      </c>
      <c r="W67" s="666">
        <f t="shared" si="21"/>
        <v>1.65</v>
      </c>
    </row>
    <row r="68" spans="2:23" x14ac:dyDescent="0.35">
      <c r="B68" s="78" t="str">
        <f t="shared" si="9"/>
        <v>M-48</v>
      </c>
      <c r="C68" s="78" t="str">
        <f t="shared" si="10"/>
        <v>T4</v>
      </c>
      <c r="D68" s="78" t="str">
        <f t="shared" si="11"/>
        <v>中坦弹夹</v>
      </c>
      <c r="E68" s="248">
        <f>VLOOKUP(D68,标准坦克设计!$B$13:$K$20,MATCH("弹夹容量",标准坦克设计!$B$13:$K$13,0),FALSE)</f>
        <v>4</v>
      </c>
      <c r="F68" s="53">
        <v>1</v>
      </c>
      <c r="G68" s="78">
        <f t="shared" si="22"/>
        <v>4</v>
      </c>
      <c r="H68" s="248">
        <f>VLOOKUP(D68,标准坦克设计!$B$13:$K$20,MATCH(H$51,标准坦克设计!$B$13:$K$13,0),FALSE)</f>
        <v>1</v>
      </c>
      <c r="I68" s="8">
        <v>1</v>
      </c>
      <c r="J68" s="78">
        <f t="shared" si="15"/>
        <v>0</v>
      </c>
      <c r="K68" s="78">
        <f t="shared" si="16"/>
        <v>4</v>
      </c>
      <c r="L68" s="78">
        <f t="shared" si="13"/>
        <v>0.87999999999999989</v>
      </c>
      <c r="M68" s="461">
        <f>ROUND(((G68/VLOOKUP(D68,坦克类型系数!$AQ$3:$AX$10,MATCH("标准轮次数",坦克类型系数!$AQ$3:$AX$3,0),FALSE)-1)*L68*O68+VLOOKUP(D68,坦克类型系数!$AQ$3:$AX$10,MATCH("累积偏移角",坦克类型系数!$AQ$3:$AX$3,0),FALSE))/(G68/VLOOKUP(D68,坦克类型系数!$AQ$3:$AX$10,MATCH("标准轮次数",坦克类型系数!$AQ$3:$AX$3,0),FALSE)),2)</f>
        <v>1.73</v>
      </c>
      <c r="N68" s="461">
        <f>VLOOKUP(D68,坦克类型系数!$AZ$3:$BE$10,4,FALSE)/F68</f>
        <v>1.2</v>
      </c>
      <c r="O68" s="78">
        <f t="shared" si="14"/>
        <v>1.2</v>
      </c>
      <c r="P68" s="28">
        <f t="shared" si="17"/>
        <v>38.554216867469883</v>
      </c>
      <c r="Q68" s="81">
        <f>VLOOKUP(D68,标准坦克设计!$B$13:$K$20,MATCH("60S射速",标准坦克设计!$B$13:$K$13,0),FALSE)/P68</f>
        <v>1.0374999999999999</v>
      </c>
      <c r="R68" s="81">
        <f t="shared" si="18"/>
        <v>20.481927710843372</v>
      </c>
      <c r="S68" s="81">
        <f>VLOOKUP(D68,标准坦克设计!$B$13:$K$20,MATCH("半分连射数",标准坦克设计!$B$13:$K$13,0),FALSE)</f>
        <v>21.25</v>
      </c>
      <c r="T68" s="81">
        <f t="shared" si="19"/>
        <v>1.0375000000000001</v>
      </c>
      <c r="U68" s="92">
        <v>0.25</v>
      </c>
      <c r="V68" s="666">
        <f t="shared" si="20"/>
        <v>2</v>
      </c>
      <c r="W68" s="666">
        <f t="shared" si="21"/>
        <v>1.48</v>
      </c>
    </row>
    <row r="69" spans="2:23" x14ac:dyDescent="0.35">
      <c r="B69" s="78" t="str">
        <f t="shared" si="9"/>
        <v>潘兴</v>
      </c>
      <c r="C69" s="78" t="str">
        <f t="shared" si="10"/>
        <v>T4</v>
      </c>
      <c r="D69" s="78" t="str">
        <f t="shared" si="11"/>
        <v>中坦单发</v>
      </c>
      <c r="E69" s="248">
        <f>VLOOKUP(D69,标准坦克设计!$B$13:$K$20,MATCH("弹夹容量",标准坦克设计!$B$13:$K$13,0),FALSE)</f>
        <v>1</v>
      </c>
      <c r="F69" s="53">
        <v>1</v>
      </c>
      <c r="G69" s="78">
        <f t="shared" si="22"/>
        <v>1</v>
      </c>
      <c r="H69" s="248">
        <f>VLOOKUP(D69,标准坦克设计!$B$13:$K$20,MATCH(H$51,标准坦克设计!$B$13:$K$13,0),FALSE)</f>
        <v>4.5</v>
      </c>
      <c r="I69" s="8">
        <v>1</v>
      </c>
      <c r="J69" s="78">
        <f t="shared" si="15"/>
        <v>4.5</v>
      </c>
      <c r="K69" s="78">
        <f t="shared" si="16"/>
        <v>0</v>
      </c>
      <c r="L69" s="78">
        <f t="shared" si="13"/>
        <v>0</v>
      </c>
      <c r="M69" s="461">
        <f>ROUND(((G69/VLOOKUP(D69,坦克类型系数!$AQ$3:$AX$10,MATCH("标准轮次数",坦克类型系数!$AQ$3:$AX$3,0),FALSE)-1)*L69*O69+VLOOKUP(D69,坦克类型系数!$AQ$3:$AX$10,MATCH("累积偏移角",坦克类型系数!$AQ$3:$AX$3,0),FALSE))/(G69/VLOOKUP(D69,坦克类型系数!$AQ$3:$AX$10,MATCH("标准轮次数",坦克类型系数!$AQ$3:$AX$3,0),FALSE)),2)</f>
        <v>2.4</v>
      </c>
      <c r="N69" s="461">
        <f>VLOOKUP(D69,坦克类型系数!$AZ$3:$BE$10,4,FALSE)/F69</f>
        <v>2.4</v>
      </c>
      <c r="O69" s="78">
        <f t="shared" si="14"/>
        <v>1</v>
      </c>
      <c r="P69" s="28">
        <f t="shared" si="17"/>
        <v>14.333333333333334</v>
      </c>
      <c r="Q69" s="81">
        <f>VLOOKUP(D69,标准坦克设计!$B$13:$K$20,MATCH("60S射速",标准坦克设计!$B$13:$K$13,0),FALSE)/P69</f>
        <v>1</v>
      </c>
      <c r="R69" s="81">
        <f t="shared" si="18"/>
        <v>7.666666666666667</v>
      </c>
      <c r="S69" s="81">
        <f>VLOOKUP(D69,标准坦克设计!$B$13:$K$20,MATCH("半分连射数",标准坦克设计!$B$13:$K$13,0),FALSE)</f>
        <v>7.666666666666667</v>
      </c>
      <c r="T69" s="81">
        <f t="shared" si="19"/>
        <v>1</v>
      </c>
      <c r="U69" s="92">
        <v>0.25</v>
      </c>
      <c r="V69" s="666">
        <f t="shared" si="20"/>
        <v>1</v>
      </c>
      <c r="W69" s="666">
        <f t="shared" si="21"/>
        <v>1.65</v>
      </c>
    </row>
    <row r="70" spans="2:23" x14ac:dyDescent="0.35">
      <c r="B70" s="78" t="str">
        <f t="shared" si="9"/>
        <v>百夫长</v>
      </c>
      <c r="C70" s="78" t="str">
        <f t="shared" si="10"/>
        <v>T4</v>
      </c>
      <c r="D70" s="176" t="str">
        <f t="shared" si="11"/>
        <v>中坦单发</v>
      </c>
      <c r="E70" s="248">
        <f>VLOOKUP(D70,标准坦克设计!$B$13:$K$20,MATCH("弹夹容量",标准坦克设计!$B$13:$K$13,0),FALSE)</f>
        <v>1</v>
      </c>
      <c r="F70" s="53">
        <v>1</v>
      </c>
      <c r="G70" s="78">
        <f>E70*F70</f>
        <v>1</v>
      </c>
      <c r="H70" s="248">
        <f>VLOOKUP(D70,标准坦克设计!$B$13:$K$20,MATCH(H$51,标准坦克设计!$B$13:$K$13,0),FALSE)</f>
        <v>4.5</v>
      </c>
      <c r="I70" s="8">
        <v>1</v>
      </c>
      <c r="J70" s="78">
        <f>IF(RIGHT(D70,2)="弹夹",0,H70*I70)</f>
        <v>4.5</v>
      </c>
      <c r="K70" s="78">
        <f>IF(J70&gt;0,0,H70*I70*G70)</f>
        <v>0</v>
      </c>
      <c r="L70" s="78">
        <f t="shared" si="13"/>
        <v>0</v>
      </c>
      <c r="M70" s="461">
        <f>ROUND(((G70/VLOOKUP(D70,坦克类型系数!$AQ$3:$AX$10,MATCH("标准轮次数",坦克类型系数!$AQ$3:$AX$3,0),FALSE)-1)*L70*O70+VLOOKUP(D70,坦克类型系数!$AQ$3:$AX$10,MATCH("累积偏移角",坦克类型系数!$AQ$3:$AX$3,0),FALSE))/(G70/VLOOKUP(D70,坦克类型系数!$AQ$3:$AX$10,MATCH("标准轮次数",坦克类型系数!$AQ$3:$AX$3,0),FALSE)),2)</f>
        <v>2.4</v>
      </c>
      <c r="N70" s="461">
        <f>VLOOKUP(D70,坦克类型系数!$AZ$3:$BE$10,4,FALSE)/F70</f>
        <v>2.4</v>
      </c>
      <c r="O70" s="78">
        <f t="shared" si="14"/>
        <v>1</v>
      </c>
      <c r="P70" s="28">
        <f t="shared" si="17"/>
        <v>14.333333333333334</v>
      </c>
      <c r="Q70" s="81">
        <f>VLOOKUP(D70,标准坦克设计!$B$13:$K$20,MATCH("60S射速",标准坦克设计!$B$13:$K$13,0),FALSE)/P70</f>
        <v>1</v>
      </c>
      <c r="R70" s="81">
        <f t="shared" si="18"/>
        <v>7.666666666666667</v>
      </c>
      <c r="S70" s="81">
        <f>VLOOKUP(D70,标准坦克设计!$B$13:$K$20,MATCH("半分连射数",标准坦克设计!$B$13:$K$13,0),FALSE)</f>
        <v>7.666666666666667</v>
      </c>
      <c r="T70" s="81">
        <f>S70/R70</f>
        <v>1</v>
      </c>
      <c r="U70" s="92">
        <v>0.25</v>
      </c>
      <c r="V70" s="666">
        <f t="shared" si="20"/>
        <v>1</v>
      </c>
      <c r="W70" s="666">
        <f t="shared" si="21"/>
        <v>1.65</v>
      </c>
    </row>
    <row r="71" spans="2:23" x14ac:dyDescent="0.35">
      <c r="B71" s="78" t="str">
        <f t="shared" si="9"/>
        <v>挑战者</v>
      </c>
      <c r="C71" s="78" t="str">
        <f t="shared" si="10"/>
        <v>T5</v>
      </c>
      <c r="D71" s="78" t="str">
        <f t="shared" si="11"/>
        <v>中坦单发</v>
      </c>
      <c r="E71" s="248">
        <f>VLOOKUP(D71,标准坦克设计!$B$13:$K$20,MATCH("弹夹容量",标准坦克设计!$B$13:$K$13,0),FALSE)</f>
        <v>1</v>
      </c>
      <c r="F71" s="53">
        <v>1</v>
      </c>
      <c r="G71" s="78">
        <f>E71*F71</f>
        <v>1</v>
      </c>
      <c r="H71" s="248">
        <f>VLOOKUP(D71,标准坦克设计!$B$13:$K$20,MATCH(H$51,标准坦克设计!$B$13:$K$13,0),FALSE)</f>
        <v>4.5</v>
      </c>
      <c r="I71" s="8">
        <v>1</v>
      </c>
      <c r="J71" s="78">
        <f>IF(RIGHT(D71,2)="弹夹",0,H71*I71)</f>
        <v>4.5</v>
      </c>
      <c r="K71" s="78">
        <f>IF(J71&gt;0,0,H71*I71*G71)</f>
        <v>0</v>
      </c>
      <c r="L71" s="78">
        <f t="shared" si="13"/>
        <v>0</v>
      </c>
      <c r="M71" s="461">
        <f>ROUND(((G71/VLOOKUP(D71,坦克类型系数!$AQ$3:$AX$10,MATCH("标准轮次数",坦克类型系数!$AQ$3:$AX$3,0),FALSE)-1)*L71*O71+VLOOKUP(D71,坦克类型系数!$AQ$3:$AX$10,MATCH("累积偏移角",坦克类型系数!$AQ$3:$AX$3,0),FALSE))/(G71/VLOOKUP(D71,坦克类型系数!$AQ$3:$AX$10,MATCH("标准轮次数",坦克类型系数!$AQ$3:$AX$3,0),FALSE)),2)</f>
        <v>2.4</v>
      </c>
      <c r="N71" s="461">
        <f>VLOOKUP(D71,坦克类型系数!$AZ$3:$BE$10,4,FALSE)/F71</f>
        <v>2.4</v>
      </c>
      <c r="O71" s="78">
        <f t="shared" si="14"/>
        <v>1</v>
      </c>
      <c r="P71" s="28">
        <f t="shared" si="17"/>
        <v>14.333333333333334</v>
      </c>
      <c r="Q71" s="81">
        <f>VLOOKUP(D71,标准坦克设计!$B$13:$K$20,MATCH("60S射速",标准坦克设计!$B$13:$K$13,0),FALSE)/P71</f>
        <v>1</v>
      </c>
      <c r="R71" s="81">
        <f t="shared" si="18"/>
        <v>7.666666666666667</v>
      </c>
      <c r="S71" s="81">
        <f>VLOOKUP(D71,标准坦克设计!$B$13:$K$20,MATCH("半分连射数",标准坦克设计!$B$13:$K$13,0),FALSE)</f>
        <v>7.666666666666667</v>
      </c>
      <c r="T71" s="81">
        <f>S71/R71</f>
        <v>1</v>
      </c>
      <c r="U71" s="92">
        <v>0.25</v>
      </c>
      <c r="V71" s="666">
        <f t="shared" si="20"/>
        <v>1</v>
      </c>
      <c r="W71" s="666">
        <f t="shared" si="21"/>
        <v>1.65</v>
      </c>
    </row>
    <row r="72" spans="2:23" x14ac:dyDescent="0.35">
      <c r="B72" s="78" t="str">
        <f t="shared" si="9"/>
        <v>B-1</v>
      </c>
      <c r="C72" s="78" t="str">
        <f t="shared" si="10"/>
        <v>T1</v>
      </c>
      <c r="D72" s="78" t="str">
        <f t="shared" si="11"/>
        <v>重坦自动</v>
      </c>
      <c r="E72" s="248">
        <f>VLOOKUP(D72,标准坦克设计!$B$13:$K$20,MATCH("弹夹容量",标准坦克设计!$B$13:$K$13,0),FALSE)</f>
        <v>2</v>
      </c>
      <c r="F72" s="53">
        <v>1</v>
      </c>
      <c r="G72" s="78">
        <f t="shared" si="22"/>
        <v>2</v>
      </c>
      <c r="H72" s="248">
        <f>VLOOKUP(D72,标准坦克设计!$B$13:$K$20,MATCH(H$51,标准坦克设计!$B$13:$K$13,0),FALSE)</f>
        <v>4.5</v>
      </c>
      <c r="I72" s="8">
        <v>1.2</v>
      </c>
      <c r="J72" s="78">
        <f t="shared" si="15"/>
        <v>5.3999999999999995</v>
      </c>
      <c r="K72" s="78">
        <f t="shared" si="16"/>
        <v>0</v>
      </c>
      <c r="L72" s="78">
        <f t="shared" si="13"/>
        <v>2.8</v>
      </c>
      <c r="M72" s="461">
        <f>ROUND(((G72/VLOOKUP(D72,坦克类型系数!$AQ$3:$AX$10,MATCH("标准轮次数",坦克类型系数!$AQ$3:$AX$3,0),FALSE)-1)*L72*O72+VLOOKUP(D72,坦克类型系数!$AQ$3:$AX$10,MATCH("累积偏移角",坦克类型系数!$AQ$3:$AX$3,0),FALSE))/(G72/VLOOKUP(D72,坦克类型系数!$AQ$3:$AX$10,MATCH("标准轮次数",坦克类型系数!$AQ$3:$AX$3,0),FALSE)),2)</f>
        <v>3.18</v>
      </c>
      <c r="N72" s="461">
        <f>VLOOKUP(D72,坦克类型系数!$AZ$3:$BE$10,4,FALSE)/F72</f>
        <v>1.7999999999999998</v>
      </c>
      <c r="O72" s="78">
        <f t="shared" si="14"/>
        <v>1.2</v>
      </c>
      <c r="P72" s="28">
        <f t="shared" si="17"/>
        <v>13.111111111111112</v>
      </c>
      <c r="Q72" s="81">
        <f>VLOOKUP(D72,标准坦克设计!$B$13:$K$20,MATCH("60S射速",标准坦克设计!$B$13:$K$13,0),FALSE)/P72</f>
        <v>1.1694915254237288</v>
      </c>
      <c r="R72" s="81">
        <f t="shared" si="18"/>
        <v>7.5555555555555562</v>
      </c>
      <c r="S72" s="81">
        <f>VLOOKUP(D72,标准坦克设计!$B$13:$K$20,MATCH("半分连射数",标准坦克设计!$B$13:$K$13,0),FALSE)</f>
        <v>8.6666666666666679</v>
      </c>
      <c r="T72" s="81">
        <f t="shared" si="19"/>
        <v>1.1470588235294119</v>
      </c>
      <c r="U72" s="92">
        <v>0.25</v>
      </c>
      <c r="V72" s="666">
        <f t="shared" si="20"/>
        <v>1</v>
      </c>
      <c r="W72" s="666">
        <f t="shared" si="21"/>
        <v>2.2599999999999998</v>
      </c>
    </row>
    <row r="73" spans="2:23" x14ac:dyDescent="0.35">
      <c r="B73" s="78" t="str">
        <f t="shared" si="9"/>
        <v>KV-1</v>
      </c>
      <c r="C73" s="78" t="str">
        <f t="shared" si="10"/>
        <v>T2</v>
      </c>
      <c r="D73" s="78" t="str">
        <f t="shared" si="11"/>
        <v>重坦自动</v>
      </c>
      <c r="E73" s="248">
        <f>VLOOKUP(D73,标准坦克设计!$B$13:$K$20,MATCH("弹夹容量",标准坦克设计!$B$13:$K$13,0),FALSE)</f>
        <v>2</v>
      </c>
      <c r="F73" s="53">
        <v>1.5</v>
      </c>
      <c r="G73" s="78">
        <f t="shared" si="22"/>
        <v>3</v>
      </c>
      <c r="H73" s="248">
        <f>VLOOKUP(D73,标准坦克设计!$B$13:$K$20,MATCH(H$51,标准坦克设计!$B$13:$K$13,0),FALSE)</f>
        <v>4.5</v>
      </c>
      <c r="I73" s="8">
        <v>0.8</v>
      </c>
      <c r="J73" s="78">
        <f t="shared" si="15"/>
        <v>3.6</v>
      </c>
      <c r="K73" s="78">
        <f t="shared" si="16"/>
        <v>0</v>
      </c>
      <c r="L73" s="78">
        <f t="shared" si="13"/>
        <v>1.88</v>
      </c>
      <c r="M73" s="461">
        <f>ROUND(((G73/VLOOKUP(D73,坦克类型系数!$AQ$3:$AX$10,MATCH("标准轮次数",坦克类型系数!$AQ$3:$AX$3,0),FALSE)-1)*L73*O73+VLOOKUP(D73,坦克类型系数!$AQ$3:$AX$10,MATCH("累积偏移角",坦克类型系数!$AQ$3:$AX$3,0),FALSE))/(G73/VLOOKUP(D73,坦克类型系数!$AQ$3:$AX$10,MATCH("标准轮次数",坦克类型系数!$AQ$3:$AX$3,0),FALSE)),2)</f>
        <v>2.5</v>
      </c>
      <c r="N73" s="461">
        <f>VLOOKUP(D73,坦克类型系数!$AZ$3:$BE$10,4,FALSE)/F73</f>
        <v>1.2</v>
      </c>
      <c r="O73" s="78">
        <f t="shared" si="14"/>
        <v>1.2</v>
      </c>
      <c r="P73" s="28">
        <f t="shared" si="17"/>
        <v>19.666666666666668</v>
      </c>
      <c r="Q73" s="81">
        <f>VLOOKUP(D73,标准坦克设计!$B$13:$K$20,MATCH("60S射速",标准坦克设计!$B$13:$K$13,0),FALSE)/P73</f>
        <v>0.77966101694915257</v>
      </c>
      <c r="R73" s="81">
        <f t="shared" si="18"/>
        <v>11.333333333333334</v>
      </c>
      <c r="S73" s="81">
        <f>VLOOKUP(D73,标准坦克设计!$B$13:$K$20,MATCH("半分连射数",标准坦克设计!$B$13:$K$13,0),FALSE)</f>
        <v>8.6666666666666679</v>
      </c>
      <c r="T73" s="81">
        <f t="shared" si="19"/>
        <v>0.76470588235294124</v>
      </c>
      <c r="U73" s="92">
        <v>0.25</v>
      </c>
      <c r="V73" s="666">
        <f t="shared" si="20"/>
        <v>1</v>
      </c>
      <c r="W73" s="666">
        <f t="shared" si="21"/>
        <v>1.51</v>
      </c>
    </row>
    <row r="74" spans="2:23" x14ac:dyDescent="0.35">
      <c r="B74" s="78" t="str">
        <f t="shared" si="9"/>
        <v>丘吉尔</v>
      </c>
      <c r="C74" s="78" t="str">
        <f t="shared" si="10"/>
        <v>T2</v>
      </c>
      <c r="D74" s="78" t="str">
        <f t="shared" si="11"/>
        <v>重坦单发</v>
      </c>
      <c r="E74" s="248">
        <f>VLOOKUP(D74,标准坦克设计!$B$13:$K$20,MATCH("弹夹容量",标准坦克设计!$B$13:$K$13,0),FALSE)</f>
        <v>1</v>
      </c>
      <c r="F74" s="53">
        <v>1</v>
      </c>
      <c r="G74" s="78">
        <f t="shared" si="22"/>
        <v>1</v>
      </c>
      <c r="H74" s="248">
        <f>VLOOKUP(D74,标准坦克设计!$B$13:$K$20,MATCH(H$51,标准坦克设计!$B$13:$K$13,0),FALSE)</f>
        <v>6</v>
      </c>
      <c r="I74" s="8">
        <v>1</v>
      </c>
      <c r="J74" s="78">
        <f t="shared" si="15"/>
        <v>6</v>
      </c>
      <c r="K74" s="78">
        <f t="shared" si="16"/>
        <v>0</v>
      </c>
      <c r="L74" s="78">
        <f t="shared" si="13"/>
        <v>0</v>
      </c>
      <c r="M74" s="461">
        <f>ROUND(((G74/VLOOKUP(D74,坦克类型系数!$AQ$3:$AX$10,MATCH("标准轮次数",坦克类型系数!$AQ$3:$AX$3,0),FALSE)-1)*L74*O74+VLOOKUP(D74,坦克类型系数!$AQ$3:$AX$10,MATCH("累积偏移角",坦克类型系数!$AQ$3:$AX$3,0),FALSE))/(G74/VLOOKUP(D74,坦克类型系数!$AQ$3:$AX$10,MATCH("标准轮次数",坦克类型系数!$AQ$3:$AX$3,0),FALSE)),2)</f>
        <v>3</v>
      </c>
      <c r="N74" s="461">
        <f>VLOOKUP(D74,坦克类型系数!$AZ$3:$BE$10,4,FALSE)/F74</f>
        <v>3</v>
      </c>
      <c r="O74" s="78">
        <f t="shared" si="14"/>
        <v>1</v>
      </c>
      <c r="P74" s="28">
        <f t="shared" si="17"/>
        <v>11</v>
      </c>
      <c r="Q74" s="81">
        <f>VLOOKUP(D74,标准坦克设计!$B$13:$K$20,MATCH("60S射速",标准坦克设计!$B$13:$K$13,0),FALSE)/P74</f>
        <v>1</v>
      </c>
      <c r="R74" s="81">
        <f t="shared" si="18"/>
        <v>6</v>
      </c>
      <c r="S74" s="81">
        <f>VLOOKUP(D74,标准坦克设计!$B$13:$K$20,MATCH("半分连射数",标准坦克设计!$B$13:$K$13,0),FALSE)</f>
        <v>6</v>
      </c>
      <c r="T74" s="81">
        <f t="shared" si="19"/>
        <v>1</v>
      </c>
      <c r="U74" s="92">
        <v>0.25</v>
      </c>
      <c r="V74" s="666">
        <f t="shared" si="20"/>
        <v>1</v>
      </c>
      <c r="W74" s="666">
        <f t="shared" si="21"/>
        <v>2.2799999999999998</v>
      </c>
    </row>
    <row r="75" spans="2:23" x14ac:dyDescent="0.35">
      <c r="B75" s="78" t="str">
        <f t="shared" si="9"/>
        <v>黑豹</v>
      </c>
      <c r="C75" s="78" t="str">
        <f t="shared" si="10"/>
        <v>T3</v>
      </c>
      <c r="D75" s="78" t="str">
        <f t="shared" si="11"/>
        <v>重坦单发</v>
      </c>
      <c r="E75" s="248">
        <f>VLOOKUP(D75,标准坦克设计!$B$13:$K$20,MATCH("弹夹容量",标准坦克设计!$B$13:$K$13,0),FALSE)</f>
        <v>1</v>
      </c>
      <c r="F75" s="53">
        <v>1</v>
      </c>
      <c r="G75" s="78">
        <f>E75*F75</f>
        <v>1</v>
      </c>
      <c r="H75" s="248">
        <f>VLOOKUP(D75,标准坦克设计!$B$13:$K$20,MATCH(H$51,标准坦克设计!$B$13:$K$13,0),FALSE)</f>
        <v>6</v>
      </c>
      <c r="I75" s="8">
        <v>1</v>
      </c>
      <c r="J75" s="78">
        <f>IF(RIGHT(D75,2)="弹夹",0,H75*I75)</f>
        <v>6</v>
      </c>
      <c r="K75" s="78">
        <f>IF(J75&gt;0,0,H75*I75*G75)</f>
        <v>0</v>
      </c>
      <c r="L75" s="78">
        <f t="shared" si="13"/>
        <v>0</v>
      </c>
      <c r="M75" s="461">
        <f>ROUND(((G75/VLOOKUP(D75,坦克类型系数!$AQ$3:$AX$10,MATCH("标准轮次数",坦克类型系数!$AQ$3:$AX$3,0),FALSE)-1)*L75*O75+VLOOKUP(D75,坦克类型系数!$AQ$3:$AX$10,MATCH("累积偏移角",坦克类型系数!$AQ$3:$AX$3,0),FALSE))/(G75/VLOOKUP(D75,坦克类型系数!$AQ$3:$AX$10,MATCH("标准轮次数",坦克类型系数!$AQ$3:$AX$3,0),FALSE)),2)</f>
        <v>3</v>
      </c>
      <c r="N75" s="461">
        <f>VLOOKUP(D75,坦克类型系数!$AZ$3:$BE$10,4,FALSE)/F75</f>
        <v>3</v>
      </c>
      <c r="O75" s="78">
        <f t="shared" si="14"/>
        <v>1</v>
      </c>
      <c r="P75" s="28">
        <f t="shared" si="17"/>
        <v>11</v>
      </c>
      <c r="Q75" s="81">
        <f>VLOOKUP(D75,标准坦克设计!$B$13:$K$20,MATCH("60S射速",标准坦克设计!$B$13:$K$13,0),FALSE)/P75</f>
        <v>1</v>
      </c>
      <c r="R75" s="81">
        <f t="shared" si="18"/>
        <v>6</v>
      </c>
      <c r="S75" s="81">
        <f>VLOOKUP(D75,标准坦克设计!$B$13:$K$20,MATCH("半分连射数",标准坦克设计!$B$13:$K$13,0),FALSE)</f>
        <v>6</v>
      </c>
      <c r="T75" s="81">
        <f>S75/R75</f>
        <v>1</v>
      </c>
      <c r="U75" s="92">
        <v>0.25</v>
      </c>
      <c r="V75" s="666">
        <f t="shared" si="20"/>
        <v>1</v>
      </c>
      <c r="W75" s="666">
        <f t="shared" si="21"/>
        <v>2.2799999999999998</v>
      </c>
    </row>
    <row r="76" spans="2:23" x14ac:dyDescent="0.35">
      <c r="B76" s="78" t="str">
        <f t="shared" si="9"/>
        <v>虎式</v>
      </c>
      <c r="C76" s="78" t="str">
        <f t="shared" si="10"/>
        <v>T3</v>
      </c>
      <c r="D76" s="78" t="str">
        <f t="shared" si="11"/>
        <v>重坦单发</v>
      </c>
      <c r="E76" s="248">
        <f>VLOOKUP(D76,标准坦克设计!$B$13:$K$20,MATCH("弹夹容量",标准坦克设计!$B$13:$K$13,0),FALSE)</f>
        <v>1</v>
      </c>
      <c r="F76" s="53">
        <v>1</v>
      </c>
      <c r="G76" s="78">
        <f t="shared" si="22"/>
        <v>1</v>
      </c>
      <c r="H76" s="248">
        <f>VLOOKUP(D76,标准坦克设计!$B$13:$K$20,MATCH(H$51,标准坦克设计!$B$13:$K$13,0),FALSE)</f>
        <v>6</v>
      </c>
      <c r="I76" s="8">
        <v>1</v>
      </c>
      <c r="J76" s="78">
        <f t="shared" si="15"/>
        <v>6</v>
      </c>
      <c r="K76" s="78">
        <f t="shared" si="16"/>
        <v>0</v>
      </c>
      <c r="L76" s="78">
        <f t="shared" si="13"/>
        <v>0</v>
      </c>
      <c r="M76" s="461">
        <f>ROUND(((G76/VLOOKUP(D76,坦克类型系数!$AQ$3:$AX$10,MATCH("标准轮次数",坦克类型系数!$AQ$3:$AX$3,0),FALSE)-1)*L76*O76+VLOOKUP(D76,坦克类型系数!$AQ$3:$AX$10,MATCH("累积偏移角",坦克类型系数!$AQ$3:$AX$3,0),FALSE))/(G76/VLOOKUP(D76,坦克类型系数!$AQ$3:$AX$10,MATCH("标准轮次数",坦克类型系数!$AQ$3:$AX$3,0),FALSE)),2)</f>
        <v>3</v>
      </c>
      <c r="N76" s="461">
        <f>VLOOKUP(D76,坦克类型系数!$AZ$3:$BE$10,4,FALSE)/F76</f>
        <v>3</v>
      </c>
      <c r="O76" s="78">
        <f t="shared" si="14"/>
        <v>1</v>
      </c>
      <c r="P76" s="28">
        <f t="shared" si="17"/>
        <v>11</v>
      </c>
      <c r="Q76" s="81">
        <f>VLOOKUP(D76,标准坦克设计!$B$13:$K$20,MATCH("60S射速",标准坦克设计!$B$13:$K$13,0),FALSE)/P76</f>
        <v>1</v>
      </c>
      <c r="R76" s="81">
        <f t="shared" si="18"/>
        <v>6</v>
      </c>
      <c r="S76" s="81">
        <f>VLOOKUP(D76,标准坦克设计!$B$13:$K$20,MATCH("半分连射数",标准坦克设计!$B$13:$K$13,0),FALSE)</f>
        <v>6</v>
      </c>
      <c r="T76" s="81">
        <f t="shared" si="19"/>
        <v>1</v>
      </c>
      <c r="U76" s="92">
        <v>0.25</v>
      </c>
      <c r="V76" s="666">
        <f t="shared" si="20"/>
        <v>1</v>
      </c>
      <c r="W76" s="666">
        <f t="shared" si="21"/>
        <v>2.2799999999999998</v>
      </c>
    </row>
    <row r="77" spans="2:23" x14ac:dyDescent="0.35">
      <c r="B77" s="78" t="str">
        <f t="shared" si="9"/>
        <v>KV-2</v>
      </c>
      <c r="C77" s="78" t="str">
        <f t="shared" si="10"/>
        <v>T3</v>
      </c>
      <c r="D77" s="78" t="str">
        <f t="shared" si="11"/>
        <v>重坦自动</v>
      </c>
      <c r="E77" s="248">
        <f>VLOOKUP(D77,标准坦克设计!$B$13:$K$20,MATCH("弹夹容量",标准坦克设计!$B$13:$K$13,0),FALSE)</f>
        <v>2</v>
      </c>
      <c r="F77" s="53">
        <v>1</v>
      </c>
      <c r="G77" s="78">
        <f t="shared" si="22"/>
        <v>2</v>
      </c>
      <c r="H77" s="248">
        <f>VLOOKUP(D77,标准坦克设计!$B$13:$K$20,MATCH(H$51,标准坦克设计!$B$13:$K$13,0),FALSE)</f>
        <v>4.5</v>
      </c>
      <c r="I77" s="8">
        <v>0.9</v>
      </c>
      <c r="J77" s="78">
        <f t="shared" si="15"/>
        <v>4.05</v>
      </c>
      <c r="K77" s="78">
        <f t="shared" si="16"/>
        <v>0</v>
      </c>
      <c r="L77" s="78">
        <f t="shared" si="13"/>
        <v>2</v>
      </c>
      <c r="M77" s="461">
        <f>ROUND(((G77/VLOOKUP(D77,坦克类型系数!$AQ$3:$AX$10,MATCH("标准轮次数",坦克类型系数!$AQ$3:$AX$3,0),FALSE)-1)*L77*O77+VLOOKUP(D77,坦克类型系数!$AQ$3:$AX$10,MATCH("累积偏移角",坦克类型系数!$AQ$3:$AX$3,0),FALSE))/(G77/VLOOKUP(D77,坦克类型系数!$AQ$3:$AX$10,MATCH("标准轮次数",坦克类型系数!$AQ$3:$AX$3,0),FALSE)),2)</f>
        <v>2.7</v>
      </c>
      <c r="N77" s="461">
        <f>VLOOKUP(D77,坦克类型系数!$AZ$3:$BE$10,4,FALSE)/F77</f>
        <v>1.7999999999999998</v>
      </c>
      <c r="O77" s="78">
        <f t="shared" si="14"/>
        <v>1.2</v>
      </c>
      <c r="P77" s="28">
        <f t="shared" si="17"/>
        <v>16.814814814814817</v>
      </c>
      <c r="Q77" s="81">
        <f>VLOOKUP(D77,标准坦克设计!$B$13:$K$20,MATCH("60S射速",标准坦克设计!$B$13:$K$13,0),FALSE)/P77</f>
        <v>0.91189427312775329</v>
      </c>
      <c r="R77" s="81">
        <f t="shared" si="18"/>
        <v>9.4074074074074083</v>
      </c>
      <c r="S77" s="81">
        <f>VLOOKUP(D77,标准坦克设计!$B$13:$K$20,MATCH("半分连射数",标准坦克设计!$B$13:$K$13,0),FALSE)</f>
        <v>8.6666666666666679</v>
      </c>
      <c r="T77" s="81">
        <f t="shared" si="19"/>
        <v>0.92125984251968507</v>
      </c>
      <c r="U77" s="92">
        <v>0.25</v>
      </c>
      <c r="V77" s="666">
        <f t="shared" si="20"/>
        <v>1</v>
      </c>
      <c r="W77" s="666">
        <f t="shared" si="21"/>
        <v>1.6</v>
      </c>
    </row>
    <row r="78" spans="2:23" x14ac:dyDescent="0.35">
      <c r="B78" s="78" t="str">
        <f t="shared" si="9"/>
        <v>征服者</v>
      </c>
      <c r="C78" s="78" t="str">
        <f t="shared" si="10"/>
        <v>T4</v>
      </c>
      <c r="D78" s="78" t="str">
        <f t="shared" si="11"/>
        <v>重坦单发</v>
      </c>
      <c r="E78" s="248">
        <f>VLOOKUP(D78,标准坦克设计!$B$13:$K$20,MATCH("弹夹容量",标准坦克设计!$B$13:$K$13,0),FALSE)</f>
        <v>1</v>
      </c>
      <c r="F78" s="53">
        <v>1</v>
      </c>
      <c r="G78" s="78">
        <f t="shared" si="22"/>
        <v>1</v>
      </c>
      <c r="H78" s="248">
        <f>VLOOKUP(D78,标准坦克设计!$B$13:$K$20,MATCH(H$51,标准坦克设计!$B$13:$K$13,0),FALSE)</f>
        <v>6</v>
      </c>
      <c r="I78" s="8">
        <v>1</v>
      </c>
      <c r="J78" s="78">
        <f t="shared" si="15"/>
        <v>6</v>
      </c>
      <c r="K78" s="78">
        <f t="shared" si="16"/>
        <v>0</v>
      </c>
      <c r="L78" s="78">
        <f t="shared" si="13"/>
        <v>0</v>
      </c>
      <c r="M78" s="461">
        <f>ROUND(((G78/VLOOKUP(D78,坦克类型系数!$AQ$3:$AX$10,MATCH("标准轮次数",坦克类型系数!$AQ$3:$AX$3,0),FALSE)-1)*L78*O78+VLOOKUP(D78,坦克类型系数!$AQ$3:$AX$10,MATCH("累积偏移角",坦克类型系数!$AQ$3:$AX$3,0),FALSE))/(G78/VLOOKUP(D78,坦克类型系数!$AQ$3:$AX$10,MATCH("标准轮次数",坦克类型系数!$AQ$3:$AX$3,0),FALSE)),2)</f>
        <v>3</v>
      </c>
      <c r="N78" s="461">
        <f>VLOOKUP(D78,坦克类型系数!$AZ$3:$BE$10,4,FALSE)/F78</f>
        <v>3</v>
      </c>
      <c r="O78" s="78">
        <f t="shared" si="14"/>
        <v>1</v>
      </c>
      <c r="P78" s="28">
        <f t="shared" si="17"/>
        <v>11</v>
      </c>
      <c r="Q78" s="81">
        <f>VLOOKUP(D78,标准坦克设计!$B$13:$K$20,MATCH("60S射速",标准坦克设计!$B$13:$K$13,0),FALSE)/P78</f>
        <v>1</v>
      </c>
      <c r="R78" s="81">
        <f t="shared" si="18"/>
        <v>6</v>
      </c>
      <c r="S78" s="81">
        <f>VLOOKUP(D78,标准坦克设计!$B$13:$K$20,MATCH("半分连射数",标准坦克设计!$B$13:$K$13,0),FALSE)</f>
        <v>6</v>
      </c>
      <c r="T78" s="81">
        <f t="shared" si="19"/>
        <v>1</v>
      </c>
      <c r="U78" s="92">
        <v>0.25</v>
      </c>
      <c r="V78" s="666">
        <f t="shared" si="20"/>
        <v>1</v>
      </c>
      <c r="W78" s="666">
        <f t="shared" si="21"/>
        <v>2.2799999999999998</v>
      </c>
    </row>
    <row r="79" spans="2:23" x14ac:dyDescent="0.35">
      <c r="B79" s="78" t="str">
        <f t="shared" si="9"/>
        <v>IS-4</v>
      </c>
      <c r="C79" s="78" t="str">
        <f t="shared" si="10"/>
        <v>T4</v>
      </c>
      <c r="D79" s="78" t="str">
        <f t="shared" si="11"/>
        <v>重坦自动</v>
      </c>
      <c r="E79" s="248">
        <f>VLOOKUP(D79,标准坦克设计!$B$13:$K$20,MATCH("弹夹容量",标准坦克设计!$B$13:$K$13,0),FALSE)</f>
        <v>2</v>
      </c>
      <c r="F79" s="53">
        <v>1</v>
      </c>
      <c r="G79" s="78">
        <f>E79*F79</f>
        <v>2</v>
      </c>
      <c r="H79" s="248">
        <f>VLOOKUP(D79,标准坦克设计!$B$13:$K$20,MATCH(H$51,标准坦克设计!$B$13:$K$13,0),FALSE)</f>
        <v>4.5</v>
      </c>
      <c r="I79" s="8">
        <v>1</v>
      </c>
      <c r="J79" s="78">
        <f>IF(RIGHT(D79,2)="弹夹",0,H79*I79)</f>
        <v>4.5</v>
      </c>
      <c r="K79" s="78">
        <f>IF(J79&gt;0,0,H79*I79*G79)</f>
        <v>0</v>
      </c>
      <c r="L79" s="78">
        <f t="shared" si="13"/>
        <v>2</v>
      </c>
      <c r="M79" s="461">
        <f>ROUND(((G79/VLOOKUP(D79,坦克类型系数!$AQ$3:$AX$10,MATCH("标准轮次数",坦克类型系数!$AQ$3:$AX$3,0),FALSE)-1)*L79*O79+VLOOKUP(D79,坦克类型系数!$AQ$3:$AX$10,MATCH("累积偏移角",坦克类型系数!$AQ$3:$AX$3,0),FALSE))/(G79/VLOOKUP(D79,坦克类型系数!$AQ$3:$AX$10,MATCH("标准轮次数",坦克类型系数!$AQ$3:$AX$3,0),FALSE)),2)</f>
        <v>2.7</v>
      </c>
      <c r="N79" s="461">
        <f>VLOOKUP(D79,坦克类型系数!$AZ$3:$BE$10,4,FALSE)/F79</f>
        <v>1.7999999999999998</v>
      </c>
      <c r="O79" s="78">
        <f t="shared" si="14"/>
        <v>1.2</v>
      </c>
      <c r="P79" s="28">
        <f t="shared" si="17"/>
        <v>15.333333333333334</v>
      </c>
      <c r="Q79" s="81">
        <f>VLOOKUP(D79,标准坦克设计!$B$13:$K$20,MATCH("60S射速",标准坦克设计!$B$13:$K$13,0),FALSE)/P79</f>
        <v>1</v>
      </c>
      <c r="R79" s="81">
        <f t="shared" si="18"/>
        <v>8.6666666666666679</v>
      </c>
      <c r="S79" s="81">
        <f>VLOOKUP(D79,标准坦克设计!$B$13:$K$20,MATCH("半分连射数",标准坦克设计!$B$13:$K$13,0),FALSE)</f>
        <v>8.6666666666666679</v>
      </c>
      <c r="T79" s="81">
        <f>S79/R79</f>
        <v>1</v>
      </c>
      <c r="U79" s="92">
        <v>0.25</v>
      </c>
      <c r="V79" s="666">
        <f t="shared" si="20"/>
        <v>1</v>
      </c>
      <c r="W79" s="666">
        <f t="shared" si="21"/>
        <v>1.82</v>
      </c>
    </row>
    <row r="80" spans="2:23" x14ac:dyDescent="0.35">
      <c r="B80" s="78" t="str">
        <f t="shared" si="9"/>
        <v>T-32</v>
      </c>
      <c r="C80" s="78" t="str">
        <f t="shared" si="10"/>
        <v>T4</v>
      </c>
      <c r="D80" s="78" t="str">
        <f t="shared" si="11"/>
        <v>重坦单发</v>
      </c>
      <c r="E80" s="248">
        <f>VLOOKUP(D80,标准坦克设计!$B$13:$K$20,MATCH("弹夹容量",标准坦克设计!$B$13:$K$13,0),FALSE)</f>
        <v>1</v>
      </c>
      <c r="F80" s="53">
        <v>1</v>
      </c>
      <c r="G80" s="78">
        <f>E80*F80</f>
        <v>1</v>
      </c>
      <c r="H80" s="248">
        <f>VLOOKUP(D80,标准坦克设计!$B$13:$K$20,MATCH(H$51,标准坦克设计!$B$13:$K$13,0),FALSE)</f>
        <v>6</v>
      </c>
      <c r="I80" s="8">
        <v>1</v>
      </c>
      <c r="J80" s="78">
        <f>IF(RIGHT(D80,2)="弹夹",0,H80*I80)</f>
        <v>6</v>
      </c>
      <c r="K80" s="78">
        <f>IF(J80&gt;0,0,H80*I80*G80)</f>
        <v>0</v>
      </c>
      <c r="L80" s="78">
        <f t="shared" si="13"/>
        <v>0</v>
      </c>
      <c r="M80" s="461">
        <f>ROUND(((G80/VLOOKUP(D80,坦克类型系数!$AQ$3:$AX$10,MATCH("标准轮次数",坦克类型系数!$AQ$3:$AX$3,0),FALSE)-1)*L80*O80+VLOOKUP(D80,坦克类型系数!$AQ$3:$AX$10,MATCH("累积偏移角",坦克类型系数!$AQ$3:$AX$3,0),FALSE))/(G80/VLOOKUP(D80,坦克类型系数!$AQ$3:$AX$10,MATCH("标准轮次数",坦克类型系数!$AQ$3:$AX$3,0),FALSE)),2)</f>
        <v>3</v>
      </c>
      <c r="N80" s="461">
        <f>VLOOKUP(D80,坦克类型系数!$AZ$3:$BE$10,4,FALSE)/F80</f>
        <v>3</v>
      </c>
      <c r="O80" s="78">
        <f t="shared" si="14"/>
        <v>1</v>
      </c>
      <c r="P80" s="28">
        <f t="shared" si="17"/>
        <v>11</v>
      </c>
      <c r="Q80" s="81">
        <f>VLOOKUP(D80,标准坦克设计!$B$13:$K$20,MATCH("60S射速",标准坦克设计!$B$13:$K$13,0),FALSE)/P80</f>
        <v>1</v>
      </c>
      <c r="R80" s="81">
        <f t="shared" si="18"/>
        <v>6</v>
      </c>
      <c r="S80" s="81">
        <f>VLOOKUP(D80,标准坦克设计!$B$13:$K$20,MATCH("半分连射数",标准坦克设计!$B$13:$K$13,0),FALSE)</f>
        <v>6</v>
      </c>
      <c r="T80" s="81">
        <f>S80/R80</f>
        <v>1</v>
      </c>
      <c r="U80" s="92">
        <v>0.25</v>
      </c>
      <c r="V80" s="666">
        <f t="shared" si="20"/>
        <v>1</v>
      </c>
      <c r="W80" s="666">
        <f t="shared" si="21"/>
        <v>2.2799999999999998</v>
      </c>
    </row>
    <row r="81" spans="2:23" x14ac:dyDescent="0.35">
      <c r="B81" s="78" t="str">
        <f t="shared" si="9"/>
        <v>M1A2</v>
      </c>
      <c r="C81" s="78" t="str">
        <f t="shared" si="10"/>
        <v>T5</v>
      </c>
      <c r="D81" s="78" t="str">
        <f t="shared" si="11"/>
        <v>重坦单发</v>
      </c>
      <c r="E81" s="248">
        <f>VLOOKUP(D81,标准坦克设计!$B$13:$K$20,MATCH("弹夹容量",标准坦克设计!$B$13:$K$13,0),FALSE)</f>
        <v>1</v>
      </c>
      <c r="F81" s="53">
        <v>1</v>
      </c>
      <c r="G81" s="78">
        <f t="shared" si="22"/>
        <v>1</v>
      </c>
      <c r="H81" s="248">
        <f>VLOOKUP(D81,标准坦克设计!$B$13:$K$20,MATCH(H$51,标准坦克设计!$B$13:$K$13,0),FALSE)</f>
        <v>6</v>
      </c>
      <c r="I81" s="8">
        <v>1</v>
      </c>
      <c r="J81" s="78">
        <f t="shared" si="15"/>
        <v>6</v>
      </c>
      <c r="K81" s="78">
        <f t="shared" si="16"/>
        <v>0</v>
      </c>
      <c r="L81" s="78">
        <f t="shared" si="13"/>
        <v>0</v>
      </c>
      <c r="M81" s="461">
        <f>ROUND(((G81/VLOOKUP(D81,坦克类型系数!$AQ$3:$AX$10,MATCH("标准轮次数",坦克类型系数!$AQ$3:$AX$3,0),FALSE)-1)*L81*O81+VLOOKUP(D81,坦克类型系数!$AQ$3:$AX$10,MATCH("累积偏移角",坦克类型系数!$AQ$3:$AX$3,0),FALSE))/(G81/VLOOKUP(D81,坦克类型系数!$AQ$3:$AX$10,MATCH("标准轮次数",坦克类型系数!$AQ$3:$AX$3,0),FALSE)),2)</f>
        <v>3</v>
      </c>
      <c r="N81" s="461">
        <f>VLOOKUP(D81,坦克类型系数!$AZ$3:$BE$10,4,FALSE)/F81</f>
        <v>3</v>
      </c>
      <c r="O81" s="78">
        <f t="shared" si="14"/>
        <v>1</v>
      </c>
      <c r="P81" s="28">
        <f t="shared" si="17"/>
        <v>11</v>
      </c>
      <c r="Q81" s="81">
        <f>VLOOKUP(D81,标准坦克设计!$B$13:$K$20,MATCH("60S射速",标准坦克设计!$B$13:$K$13,0),FALSE)/P81</f>
        <v>1</v>
      </c>
      <c r="R81" s="81">
        <f t="shared" si="18"/>
        <v>6</v>
      </c>
      <c r="S81" s="81">
        <f>VLOOKUP(D81,标准坦克设计!$B$13:$K$20,MATCH("半分连射数",标准坦克设计!$B$13:$K$13,0),FALSE)</f>
        <v>6</v>
      </c>
      <c r="T81" s="81">
        <f t="shared" si="19"/>
        <v>1</v>
      </c>
      <c r="U81" s="92">
        <v>0.25</v>
      </c>
      <c r="V81" s="666">
        <f t="shared" si="20"/>
        <v>1</v>
      </c>
      <c r="W81" s="666">
        <f t="shared" si="21"/>
        <v>2.2799999999999998</v>
      </c>
    </row>
    <row r="83" spans="2:23" x14ac:dyDescent="0.35">
      <c r="B83" s="793" t="s">
        <v>699</v>
      </c>
      <c r="C83" s="787"/>
      <c r="D83" s="787"/>
      <c r="F83" s="823" t="s">
        <v>731</v>
      </c>
      <c r="G83" s="787"/>
      <c r="H83" s="787"/>
      <c r="I83" s="787"/>
      <c r="J83" s="787"/>
      <c r="K83" s="787"/>
      <c r="L83" s="787"/>
      <c r="M83" s="787"/>
      <c r="N83" s="823" t="s">
        <v>732</v>
      </c>
      <c r="O83" s="823"/>
      <c r="P83" s="823"/>
      <c r="Q83" s="823"/>
      <c r="R83" s="823"/>
      <c r="S83" s="823"/>
    </row>
    <row r="84" spans="2:23" x14ac:dyDescent="0.35">
      <c r="B84" s="78" t="s">
        <v>571</v>
      </c>
      <c r="C84" s="91" t="s">
        <v>697</v>
      </c>
      <c r="D84" s="91" t="s">
        <v>698</v>
      </c>
      <c r="F84" s="97" t="s">
        <v>571</v>
      </c>
      <c r="G84" s="103" t="s">
        <v>728</v>
      </c>
      <c r="H84" s="103" t="s">
        <v>726</v>
      </c>
      <c r="I84" s="103" t="s">
        <v>727</v>
      </c>
      <c r="J84" s="97" t="s">
        <v>729</v>
      </c>
      <c r="K84" s="97" t="s">
        <v>730</v>
      </c>
      <c r="L84" s="97" t="s">
        <v>99</v>
      </c>
      <c r="M84" s="97" t="s">
        <v>101</v>
      </c>
      <c r="N84" s="97" t="s">
        <v>60</v>
      </c>
      <c r="O84" s="97" t="s">
        <v>702</v>
      </c>
      <c r="P84" s="97" t="s">
        <v>703</v>
      </c>
      <c r="Q84" s="97" t="s">
        <v>705</v>
      </c>
      <c r="R84" s="98" t="s">
        <v>709</v>
      </c>
      <c r="S84" s="103" t="s">
        <v>733</v>
      </c>
    </row>
    <row r="85" spans="2:23" x14ac:dyDescent="0.35">
      <c r="B85" s="78" t="str">
        <f>B19</f>
        <v>雷诺FT</v>
      </c>
      <c r="C85" s="81">
        <f>J19</f>
        <v>0.91715153425752061</v>
      </c>
      <c r="D85" s="81">
        <f t="shared" ref="D85:D114" si="23">AG19*T52*1/C85</f>
        <v>0.84433844294355864</v>
      </c>
      <c r="F85" s="97" t="str">
        <f>B85</f>
        <v>雷诺FT</v>
      </c>
      <c r="G85" s="81">
        <f t="shared" ref="G85:M94" si="24">VLOOKUP($F85,$B$18:$BB$48,MATCH(G$84,$B$18:$BB$18,0),FALSE)</f>
        <v>11.783831986523932</v>
      </c>
      <c r="H85" s="81">
        <f t="shared" si="24"/>
        <v>47.135327946095728</v>
      </c>
      <c r="I85" s="81">
        <f t="shared" si="24"/>
        <v>45</v>
      </c>
      <c r="J85" s="81">
        <f t="shared" si="24"/>
        <v>14.6</v>
      </c>
      <c r="K85" s="81">
        <f t="shared" si="24"/>
        <v>14.6</v>
      </c>
      <c r="L85" s="81">
        <f t="shared" si="24"/>
        <v>23.714285714285719</v>
      </c>
      <c r="M85" s="81">
        <f t="shared" si="24"/>
        <v>16.600000000000001</v>
      </c>
      <c r="N85" s="97">
        <f t="shared" ref="N85:R94" si="25">VLOOKUP($F85,$B$51:$T$81,MATCH(N$84,$B$51:$T$51,0),FALSE)</f>
        <v>18</v>
      </c>
      <c r="O85" s="97">
        <f t="shared" si="25"/>
        <v>0</v>
      </c>
      <c r="P85" s="97">
        <f t="shared" si="25"/>
        <v>7.56</v>
      </c>
      <c r="Q85" s="97">
        <f t="shared" si="25"/>
        <v>1.2</v>
      </c>
      <c r="R85" s="97">
        <f t="shared" si="25"/>
        <v>0.6</v>
      </c>
      <c r="S85" s="81">
        <f>R85/Q85</f>
        <v>0.5</v>
      </c>
    </row>
    <row r="86" spans="2:23" x14ac:dyDescent="0.35">
      <c r="B86" s="176" t="str">
        <f t="shared" ref="B86:B114" si="26">B20</f>
        <v>二号</v>
      </c>
      <c r="C86" s="81">
        <f t="shared" ref="C86:C114" si="27">J20</f>
        <v>0.92769385214429489</v>
      </c>
      <c r="D86" s="81">
        <f t="shared" si="23"/>
        <v>0.86678802731308791</v>
      </c>
      <c r="F86" s="97" t="str">
        <f t="shared" ref="F86:F114" si="28">B86</f>
        <v>二号</v>
      </c>
      <c r="G86" s="81">
        <f t="shared" si="24"/>
        <v>11.783831986523932</v>
      </c>
      <c r="H86" s="81">
        <f t="shared" si="24"/>
        <v>47.135327946095728</v>
      </c>
      <c r="I86" s="81">
        <f t="shared" si="24"/>
        <v>45</v>
      </c>
      <c r="J86" s="81">
        <f t="shared" si="24"/>
        <v>14.6</v>
      </c>
      <c r="K86" s="81">
        <f t="shared" si="24"/>
        <v>14.6</v>
      </c>
      <c r="L86" s="81">
        <f t="shared" si="24"/>
        <v>23.714285714285719</v>
      </c>
      <c r="M86" s="81">
        <f t="shared" si="24"/>
        <v>16.600000000000001</v>
      </c>
      <c r="N86" s="97">
        <f t="shared" si="25"/>
        <v>14.999999999999998</v>
      </c>
      <c r="O86" s="97">
        <f t="shared" si="25"/>
        <v>0</v>
      </c>
      <c r="P86" s="97">
        <f t="shared" si="25"/>
        <v>8.3999999999999986</v>
      </c>
      <c r="Q86" s="97">
        <f t="shared" si="25"/>
        <v>1.2</v>
      </c>
      <c r="R86" s="97">
        <f t="shared" si="25"/>
        <v>0.55000000000000004</v>
      </c>
      <c r="S86" s="81">
        <f t="shared" ref="S86:S114" si="29">R86/Q86</f>
        <v>0.45833333333333337</v>
      </c>
    </row>
    <row r="87" spans="2:23" x14ac:dyDescent="0.35">
      <c r="B87" s="176" t="str">
        <f t="shared" si="26"/>
        <v>Puma</v>
      </c>
      <c r="C87" s="81">
        <f t="shared" si="27"/>
        <v>1.0794980525137019</v>
      </c>
      <c r="D87" s="81">
        <f t="shared" si="23"/>
        <v>0.79122985104062604</v>
      </c>
      <c r="F87" s="97" t="str">
        <f t="shared" si="28"/>
        <v>Puma</v>
      </c>
      <c r="G87" s="81">
        <f t="shared" si="24"/>
        <v>10.60544878787154</v>
      </c>
      <c r="H87" s="81">
        <f t="shared" si="24"/>
        <v>42.421795151486158</v>
      </c>
      <c r="I87" s="81">
        <f t="shared" si="24"/>
        <v>50</v>
      </c>
      <c r="J87" s="81">
        <f t="shared" si="24"/>
        <v>13.87</v>
      </c>
      <c r="K87" s="81">
        <f t="shared" si="24"/>
        <v>13.87</v>
      </c>
      <c r="L87" s="81">
        <f t="shared" si="24"/>
        <v>23.714285714285719</v>
      </c>
      <c r="M87" s="81">
        <f t="shared" si="24"/>
        <v>16.600000000000001</v>
      </c>
      <c r="N87" s="97">
        <f t="shared" si="25"/>
        <v>4</v>
      </c>
      <c r="O87" s="97">
        <f t="shared" si="25"/>
        <v>1.0499999999999998</v>
      </c>
      <c r="P87" s="97">
        <f t="shared" si="25"/>
        <v>0</v>
      </c>
      <c r="Q87" s="97">
        <f t="shared" si="25"/>
        <v>1.2</v>
      </c>
      <c r="R87" s="97">
        <f t="shared" si="25"/>
        <v>1.47</v>
      </c>
      <c r="S87" s="81">
        <f t="shared" si="29"/>
        <v>1.2250000000000001</v>
      </c>
    </row>
    <row r="88" spans="2:23" x14ac:dyDescent="0.35">
      <c r="B88" s="176" t="str">
        <f t="shared" si="26"/>
        <v>35(t)</v>
      </c>
      <c r="C88" s="81">
        <f t="shared" si="27"/>
        <v>0.92419310814056699</v>
      </c>
      <c r="D88" s="81">
        <f t="shared" si="23"/>
        <v>1.1171541267088689</v>
      </c>
      <c r="F88" s="97" t="str">
        <f t="shared" si="28"/>
        <v>35(t)</v>
      </c>
      <c r="G88" s="81">
        <f t="shared" si="24"/>
        <v>10.60544878787154</v>
      </c>
      <c r="H88" s="81">
        <f t="shared" si="24"/>
        <v>42.421795151486158</v>
      </c>
      <c r="I88" s="81">
        <f t="shared" si="24"/>
        <v>50</v>
      </c>
      <c r="J88" s="81">
        <f t="shared" si="24"/>
        <v>13.87</v>
      </c>
      <c r="K88" s="81">
        <f t="shared" si="24"/>
        <v>13.87</v>
      </c>
      <c r="L88" s="81">
        <f t="shared" si="24"/>
        <v>23.714285714285719</v>
      </c>
      <c r="M88" s="81">
        <f t="shared" si="24"/>
        <v>16.600000000000001</v>
      </c>
      <c r="N88" s="97">
        <f t="shared" si="25"/>
        <v>6</v>
      </c>
      <c r="O88" s="97">
        <f t="shared" si="25"/>
        <v>1.4</v>
      </c>
      <c r="P88" s="97">
        <f t="shared" si="25"/>
        <v>0</v>
      </c>
      <c r="Q88" s="97">
        <f t="shared" si="25"/>
        <v>1.2</v>
      </c>
      <c r="R88" s="97">
        <f t="shared" si="25"/>
        <v>1.1399999999999999</v>
      </c>
      <c r="S88" s="81">
        <f t="shared" si="29"/>
        <v>0.95</v>
      </c>
    </row>
    <row r="89" spans="2:23" x14ac:dyDescent="0.35">
      <c r="B89" s="176" t="str">
        <f t="shared" si="26"/>
        <v>十字军</v>
      </c>
      <c r="C89" s="81">
        <f t="shared" si="27"/>
        <v>1.0256041426273552</v>
      </c>
      <c r="D89" s="81">
        <f t="shared" si="23"/>
        <v>1.0737727910923092</v>
      </c>
      <c r="F89" s="97" t="str">
        <f t="shared" si="28"/>
        <v>十字军</v>
      </c>
      <c r="G89" s="81">
        <f t="shared" si="24"/>
        <v>11.783831986523932</v>
      </c>
      <c r="H89" s="81">
        <f t="shared" si="24"/>
        <v>47.135327946095728</v>
      </c>
      <c r="I89" s="81">
        <f t="shared" si="24"/>
        <v>45</v>
      </c>
      <c r="J89" s="81">
        <f t="shared" si="24"/>
        <v>14.6</v>
      </c>
      <c r="K89" s="81">
        <f t="shared" si="24"/>
        <v>14.6</v>
      </c>
      <c r="L89" s="81">
        <f t="shared" si="24"/>
        <v>23.714285714285719</v>
      </c>
      <c r="M89" s="81">
        <f t="shared" si="24"/>
        <v>16.600000000000001</v>
      </c>
      <c r="N89" s="97">
        <f t="shared" si="25"/>
        <v>9</v>
      </c>
      <c r="O89" s="97">
        <f t="shared" si="25"/>
        <v>0</v>
      </c>
      <c r="P89" s="97">
        <f t="shared" si="25"/>
        <v>6.3</v>
      </c>
      <c r="Q89" s="97">
        <f t="shared" si="25"/>
        <v>1.2</v>
      </c>
      <c r="R89" s="97">
        <f t="shared" si="25"/>
        <v>0.84</v>
      </c>
      <c r="S89" s="81">
        <f t="shared" si="29"/>
        <v>0.7</v>
      </c>
    </row>
    <row r="90" spans="2:23" x14ac:dyDescent="0.35">
      <c r="B90" s="176" t="str">
        <f t="shared" si="26"/>
        <v>AMX-13</v>
      </c>
      <c r="C90" s="81">
        <f t="shared" si="27"/>
        <v>0.94842700105865552</v>
      </c>
      <c r="D90" s="81">
        <f t="shared" si="23"/>
        <v>1.0543774047805234</v>
      </c>
      <c r="F90" s="97" t="str">
        <f t="shared" si="28"/>
        <v>AMX-13</v>
      </c>
      <c r="G90" s="81">
        <f t="shared" si="24"/>
        <v>9.4270655892191453</v>
      </c>
      <c r="H90" s="81">
        <f t="shared" si="24"/>
        <v>37.708262356876581</v>
      </c>
      <c r="I90" s="81">
        <f t="shared" si="24"/>
        <v>56.25</v>
      </c>
      <c r="J90" s="81">
        <f t="shared" si="24"/>
        <v>13.14</v>
      </c>
      <c r="K90" s="81">
        <f t="shared" si="24"/>
        <v>13.14</v>
      </c>
      <c r="L90" s="81">
        <f t="shared" si="24"/>
        <v>23.714285714285719</v>
      </c>
      <c r="M90" s="81">
        <f t="shared" si="24"/>
        <v>16.600000000000001</v>
      </c>
      <c r="N90" s="97">
        <f t="shared" si="25"/>
        <v>1</v>
      </c>
      <c r="O90" s="97">
        <f t="shared" si="25"/>
        <v>3</v>
      </c>
      <c r="P90" s="97">
        <f t="shared" si="25"/>
        <v>0</v>
      </c>
      <c r="Q90" s="97">
        <f t="shared" si="25"/>
        <v>1</v>
      </c>
      <c r="R90" s="97">
        <f t="shared" si="25"/>
        <v>1.8</v>
      </c>
      <c r="S90" s="81">
        <f t="shared" si="29"/>
        <v>1.8</v>
      </c>
    </row>
    <row r="91" spans="2:23" x14ac:dyDescent="0.35">
      <c r="B91" s="176" t="str">
        <f t="shared" si="26"/>
        <v>霞飞</v>
      </c>
      <c r="C91" s="81">
        <f t="shared" si="27"/>
        <v>0.95523805445591059</v>
      </c>
      <c r="D91" s="81">
        <f t="shared" si="23"/>
        <v>1.0662013345509687</v>
      </c>
      <c r="F91" s="97" t="str">
        <f t="shared" si="28"/>
        <v>霞飞</v>
      </c>
      <c r="G91" s="81">
        <f t="shared" si="24"/>
        <v>10.60544878787154</v>
      </c>
      <c r="H91" s="81">
        <f t="shared" si="24"/>
        <v>42.421795151486158</v>
      </c>
      <c r="I91" s="81">
        <f t="shared" si="24"/>
        <v>50</v>
      </c>
      <c r="J91" s="81">
        <f t="shared" si="24"/>
        <v>13.87</v>
      </c>
      <c r="K91" s="81">
        <f t="shared" si="24"/>
        <v>13.87</v>
      </c>
      <c r="L91" s="81">
        <f t="shared" si="24"/>
        <v>23.714285714285719</v>
      </c>
      <c r="M91" s="81">
        <f t="shared" si="24"/>
        <v>16.600000000000001</v>
      </c>
      <c r="N91" s="97">
        <f t="shared" si="25"/>
        <v>6</v>
      </c>
      <c r="O91" s="97">
        <f t="shared" si="25"/>
        <v>1.4</v>
      </c>
      <c r="P91" s="97">
        <f t="shared" si="25"/>
        <v>0</v>
      </c>
      <c r="Q91" s="97">
        <f t="shared" si="25"/>
        <v>1.2</v>
      </c>
      <c r="R91" s="97">
        <f t="shared" si="25"/>
        <v>1.08</v>
      </c>
      <c r="S91" s="81">
        <f t="shared" si="29"/>
        <v>0.90000000000000013</v>
      </c>
    </row>
    <row r="92" spans="2:23" x14ac:dyDescent="0.35">
      <c r="B92" s="176" t="str">
        <f t="shared" si="26"/>
        <v>M-41</v>
      </c>
      <c r="C92" s="81">
        <f t="shared" si="27"/>
        <v>1.0232309713576613</v>
      </c>
      <c r="D92" s="81">
        <f t="shared" si="23"/>
        <v>0.97729645406761134</v>
      </c>
      <c r="F92" s="97" t="str">
        <f t="shared" si="28"/>
        <v>M-41</v>
      </c>
      <c r="G92" s="81">
        <f t="shared" si="24"/>
        <v>9.4270655892191453</v>
      </c>
      <c r="H92" s="81">
        <f t="shared" si="24"/>
        <v>37.708262356876581</v>
      </c>
      <c r="I92" s="81">
        <f t="shared" si="24"/>
        <v>56.25</v>
      </c>
      <c r="J92" s="81">
        <f t="shared" si="24"/>
        <v>13.14</v>
      </c>
      <c r="K92" s="81">
        <f t="shared" si="24"/>
        <v>13.14</v>
      </c>
      <c r="L92" s="81">
        <f t="shared" si="24"/>
        <v>23.714285714285719</v>
      </c>
      <c r="M92" s="81">
        <f t="shared" si="24"/>
        <v>16.600000000000001</v>
      </c>
      <c r="N92" s="97">
        <f t="shared" si="25"/>
        <v>1</v>
      </c>
      <c r="O92" s="97">
        <f t="shared" si="25"/>
        <v>3</v>
      </c>
      <c r="P92" s="97">
        <f t="shared" si="25"/>
        <v>0</v>
      </c>
      <c r="Q92" s="97">
        <f t="shared" si="25"/>
        <v>1</v>
      </c>
      <c r="R92" s="97">
        <f t="shared" si="25"/>
        <v>1.8</v>
      </c>
      <c r="S92" s="81">
        <f t="shared" si="29"/>
        <v>1.8</v>
      </c>
    </row>
    <row r="93" spans="2:23" x14ac:dyDescent="0.35">
      <c r="B93" s="176" t="str">
        <f t="shared" si="26"/>
        <v>BMP-3</v>
      </c>
      <c r="C93" s="81">
        <f t="shared" si="27"/>
        <v>1.1171275970413197</v>
      </c>
      <c r="D93" s="81">
        <f t="shared" si="23"/>
        <v>0.97794848946605761</v>
      </c>
      <c r="F93" s="97" t="str">
        <f t="shared" si="28"/>
        <v>BMP-3</v>
      </c>
      <c r="G93" s="81">
        <f t="shared" si="24"/>
        <v>10.60544878787154</v>
      </c>
      <c r="H93" s="81">
        <f t="shared" si="24"/>
        <v>42.421795151486158</v>
      </c>
      <c r="I93" s="81">
        <f t="shared" si="24"/>
        <v>50</v>
      </c>
      <c r="J93" s="81">
        <f t="shared" si="24"/>
        <v>13.87</v>
      </c>
      <c r="K93" s="81">
        <f t="shared" si="24"/>
        <v>13.87</v>
      </c>
      <c r="L93" s="81">
        <f t="shared" si="24"/>
        <v>23.714285714285719</v>
      </c>
      <c r="M93" s="81">
        <f t="shared" si="24"/>
        <v>16.600000000000001</v>
      </c>
      <c r="N93" s="97">
        <f t="shared" si="25"/>
        <v>4</v>
      </c>
      <c r="O93" s="97">
        <f t="shared" si="25"/>
        <v>1.4</v>
      </c>
      <c r="P93" s="97">
        <f t="shared" si="25"/>
        <v>0</v>
      </c>
      <c r="Q93" s="97">
        <f t="shared" si="25"/>
        <v>1.2</v>
      </c>
      <c r="R93" s="97">
        <f t="shared" si="25"/>
        <v>1.47</v>
      </c>
      <c r="S93" s="81">
        <f t="shared" si="29"/>
        <v>1.2250000000000001</v>
      </c>
    </row>
    <row r="94" spans="2:23" x14ac:dyDescent="0.35">
      <c r="B94" s="176" t="str">
        <f t="shared" si="26"/>
        <v>59式</v>
      </c>
      <c r="C94" s="81">
        <f t="shared" si="27"/>
        <v>1.0544341811908098</v>
      </c>
      <c r="D94" s="81">
        <f t="shared" si="23"/>
        <v>0.94837593264537823</v>
      </c>
      <c r="F94" s="97" t="str">
        <f t="shared" si="28"/>
        <v>59式</v>
      </c>
      <c r="G94" s="81">
        <f t="shared" si="24"/>
        <v>9.4270655892191453</v>
      </c>
      <c r="H94" s="81">
        <f t="shared" si="24"/>
        <v>37.708262356876581</v>
      </c>
      <c r="I94" s="81">
        <f t="shared" si="24"/>
        <v>56.25</v>
      </c>
      <c r="J94" s="81">
        <f t="shared" si="24"/>
        <v>13.14</v>
      </c>
      <c r="K94" s="81">
        <f t="shared" si="24"/>
        <v>13.14</v>
      </c>
      <c r="L94" s="81">
        <f t="shared" si="24"/>
        <v>23.714285714285719</v>
      </c>
      <c r="M94" s="81">
        <f t="shared" si="24"/>
        <v>16.600000000000001</v>
      </c>
      <c r="N94" s="97">
        <f t="shared" si="25"/>
        <v>1</v>
      </c>
      <c r="O94" s="97">
        <f t="shared" si="25"/>
        <v>3</v>
      </c>
      <c r="P94" s="97">
        <f t="shared" si="25"/>
        <v>0</v>
      </c>
      <c r="Q94" s="97">
        <f t="shared" si="25"/>
        <v>1</v>
      </c>
      <c r="R94" s="97">
        <f t="shared" si="25"/>
        <v>1.8</v>
      </c>
      <c r="S94" s="81">
        <f t="shared" si="29"/>
        <v>1.8</v>
      </c>
    </row>
    <row r="95" spans="2:23" x14ac:dyDescent="0.35">
      <c r="B95" s="176" t="str">
        <f t="shared" si="26"/>
        <v>Stuart</v>
      </c>
      <c r="C95" s="81">
        <f t="shared" si="27"/>
        <v>0.8229202890911137</v>
      </c>
      <c r="D95" s="81">
        <f t="shared" si="23"/>
        <v>0.84096821721756709</v>
      </c>
      <c r="F95" s="97" t="str">
        <f t="shared" si="28"/>
        <v>Stuart</v>
      </c>
      <c r="G95" s="81">
        <f t="shared" ref="G95:M104" si="30">VLOOKUP($F95,$B$18:$BB$48,MATCH(G$84,$B$18:$BB$18,0),FALSE)</f>
        <v>11.123020662806383</v>
      </c>
      <c r="H95" s="81">
        <f t="shared" si="30"/>
        <v>44.49208265122553</v>
      </c>
      <c r="I95" s="81">
        <f t="shared" si="30"/>
        <v>40</v>
      </c>
      <c r="J95" s="81">
        <f t="shared" si="30"/>
        <v>12.3</v>
      </c>
      <c r="K95" s="81">
        <f t="shared" si="30"/>
        <v>12.3</v>
      </c>
      <c r="L95" s="81">
        <f t="shared" si="30"/>
        <v>10.214285714285715</v>
      </c>
      <c r="M95" s="81">
        <f t="shared" si="30"/>
        <v>7.15</v>
      </c>
      <c r="N95" s="97">
        <f t="shared" ref="N95:R104" si="31">VLOOKUP($F95,$B$51:$T$81,MATCH(N$84,$B$51:$T$51,0),FALSE)</f>
        <v>6</v>
      </c>
      <c r="O95" s="97">
        <f t="shared" si="31"/>
        <v>0</v>
      </c>
      <c r="P95" s="97">
        <f t="shared" si="31"/>
        <v>4.8000000000000007</v>
      </c>
      <c r="Q95" s="97">
        <f t="shared" si="31"/>
        <v>1.2</v>
      </c>
      <c r="R95" s="97">
        <f t="shared" si="31"/>
        <v>1.1200000000000001</v>
      </c>
      <c r="S95" s="81">
        <f t="shared" si="29"/>
        <v>0.93333333333333346</v>
      </c>
    </row>
    <row r="96" spans="2:23" x14ac:dyDescent="0.35">
      <c r="B96" s="176" t="str">
        <f t="shared" si="26"/>
        <v>T-34</v>
      </c>
      <c r="C96" s="81">
        <f t="shared" si="27"/>
        <v>0.92730259888027378</v>
      </c>
      <c r="D96" s="81">
        <f t="shared" si="23"/>
        <v>1.0416331109989714</v>
      </c>
      <c r="F96" s="97" t="str">
        <f t="shared" si="28"/>
        <v>T-34</v>
      </c>
      <c r="G96" s="81">
        <f t="shared" si="30"/>
        <v>11.123020662806383</v>
      </c>
      <c r="H96" s="81">
        <f t="shared" si="30"/>
        <v>44.49208265122553</v>
      </c>
      <c r="I96" s="81">
        <f t="shared" si="30"/>
        <v>40</v>
      </c>
      <c r="J96" s="81">
        <f t="shared" si="30"/>
        <v>12.3</v>
      </c>
      <c r="K96" s="81">
        <f t="shared" si="30"/>
        <v>12.3</v>
      </c>
      <c r="L96" s="81">
        <f t="shared" si="30"/>
        <v>10.214285714285715</v>
      </c>
      <c r="M96" s="81">
        <f t="shared" si="30"/>
        <v>7.15</v>
      </c>
      <c r="N96" s="97">
        <f t="shared" si="31"/>
        <v>6</v>
      </c>
      <c r="O96" s="97">
        <f t="shared" si="31"/>
        <v>0</v>
      </c>
      <c r="P96" s="97">
        <f t="shared" si="31"/>
        <v>3</v>
      </c>
      <c r="Q96" s="97">
        <f t="shared" si="31"/>
        <v>1.2</v>
      </c>
      <c r="R96" s="97">
        <f t="shared" si="31"/>
        <v>1.76</v>
      </c>
      <c r="S96" s="81">
        <f t="shared" si="29"/>
        <v>1.4666666666666668</v>
      </c>
    </row>
    <row r="97" spans="2:19" x14ac:dyDescent="0.35">
      <c r="B97" s="176" t="str">
        <f t="shared" si="26"/>
        <v>四号</v>
      </c>
      <c r="C97" s="81">
        <f t="shared" si="27"/>
        <v>0.95647015888378073</v>
      </c>
      <c r="D97" s="81">
        <f t="shared" si="23"/>
        <v>1.0916831604823634</v>
      </c>
      <c r="F97" s="97" t="str">
        <f t="shared" si="28"/>
        <v>四号</v>
      </c>
      <c r="G97" s="81">
        <f t="shared" si="30"/>
        <v>8.8984165302451057</v>
      </c>
      <c r="H97" s="81">
        <f t="shared" si="30"/>
        <v>35.593666120980423</v>
      </c>
      <c r="I97" s="81">
        <f t="shared" si="30"/>
        <v>50</v>
      </c>
      <c r="J97" s="81">
        <f t="shared" si="30"/>
        <v>11.07</v>
      </c>
      <c r="K97" s="81">
        <f t="shared" si="30"/>
        <v>11.07</v>
      </c>
      <c r="L97" s="81">
        <f t="shared" si="30"/>
        <v>10.214285714285715</v>
      </c>
      <c r="M97" s="81">
        <f t="shared" si="30"/>
        <v>7.15</v>
      </c>
      <c r="N97" s="97">
        <f t="shared" si="31"/>
        <v>1</v>
      </c>
      <c r="O97" s="97">
        <f t="shared" si="31"/>
        <v>4.5</v>
      </c>
      <c r="P97" s="97">
        <f t="shared" si="31"/>
        <v>0</v>
      </c>
      <c r="Q97" s="97">
        <f t="shared" si="31"/>
        <v>1</v>
      </c>
      <c r="R97" s="97">
        <f t="shared" si="31"/>
        <v>2.4</v>
      </c>
      <c r="S97" s="81">
        <f t="shared" si="29"/>
        <v>2.4</v>
      </c>
    </row>
    <row r="98" spans="2:19" x14ac:dyDescent="0.35">
      <c r="B98" s="176" t="str">
        <f t="shared" si="26"/>
        <v>玛蒂尔达</v>
      </c>
      <c r="C98" s="81">
        <f t="shared" si="27"/>
        <v>0.94998554066497642</v>
      </c>
      <c r="D98" s="81">
        <f t="shared" si="23"/>
        <v>0.74562538376900989</v>
      </c>
      <c r="F98" s="97" t="str">
        <f t="shared" si="28"/>
        <v>玛蒂尔达</v>
      </c>
      <c r="G98" s="81">
        <f t="shared" si="30"/>
        <v>11.123020662806383</v>
      </c>
      <c r="H98" s="81">
        <f t="shared" si="30"/>
        <v>44.49208265122553</v>
      </c>
      <c r="I98" s="81">
        <f t="shared" si="30"/>
        <v>40</v>
      </c>
      <c r="J98" s="81">
        <f t="shared" si="30"/>
        <v>12.3</v>
      </c>
      <c r="K98" s="81">
        <f t="shared" si="30"/>
        <v>12.3</v>
      </c>
      <c r="L98" s="81">
        <f t="shared" si="30"/>
        <v>10.214285714285715</v>
      </c>
      <c r="M98" s="81">
        <f t="shared" si="30"/>
        <v>7.15</v>
      </c>
      <c r="N98" s="97">
        <f t="shared" si="31"/>
        <v>6</v>
      </c>
      <c r="O98" s="97">
        <f t="shared" si="31"/>
        <v>0</v>
      </c>
      <c r="P98" s="97">
        <f t="shared" si="31"/>
        <v>3</v>
      </c>
      <c r="Q98" s="97">
        <f t="shared" si="31"/>
        <v>1.2</v>
      </c>
      <c r="R98" s="97">
        <f t="shared" si="31"/>
        <v>1.38</v>
      </c>
      <c r="S98" s="81">
        <f t="shared" si="29"/>
        <v>1.1499999999999999</v>
      </c>
    </row>
    <row r="99" spans="2:19" x14ac:dyDescent="0.35">
      <c r="B99" s="176" t="str">
        <f t="shared" si="26"/>
        <v>谢尔曼</v>
      </c>
      <c r="C99" s="81">
        <f t="shared" si="27"/>
        <v>0.97636914294579347</v>
      </c>
      <c r="D99" s="81">
        <f t="shared" si="23"/>
        <v>1.0694340081323979</v>
      </c>
      <c r="F99" s="97" t="str">
        <f t="shared" si="28"/>
        <v>谢尔曼</v>
      </c>
      <c r="G99" s="81">
        <f t="shared" si="30"/>
        <v>8.8984165302451057</v>
      </c>
      <c r="H99" s="81">
        <f t="shared" si="30"/>
        <v>35.593666120980423</v>
      </c>
      <c r="I99" s="81">
        <f t="shared" si="30"/>
        <v>50</v>
      </c>
      <c r="J99" s="81">
        <f t="shared" si="30"/>
        <v>11.07</v>
      </c>
      <c r="K99" s="81">
        <f t="shared" si="30"/>
        <v>11.07</v>
      </c>
      <c r="L99" s="81">
        <f t="shared" si="30"/>
        <v>10.214285714285715</v>
      </c>
      <c r="M99" s="81">
        <f t="shared" si="30"/>
        <v>7.15</v>
      </c>
      <c r="N99" s="97">
        <f t="shared" si="31"/>
        <v>1</v>
      </c>
      <c r="O99" s="97">
        <f t="shared" si="31"/>
        <v>4.5</v>
      </c>
      <c r="P99" s="97">
        <f t="shared" si="31"/>
        <v>0</v>
      </c>
      <c r="Q99" s="97">
        <f t="shared" si="31"/>
        <v>1</v>
      </c>
      <c r="R99" s="97">
        <f t="shared" si="31"/>
        <v>2.4</v>
      </c>
      <c r="S99" s="81">
        <f t="shared" si="29"/>
        <v>2.4</v>
      </c>
    </row>
    <row r="100" spans="2:19" x14ac:dyDescent="0.35">
      <c r="B100" s="176" t="str">
        <f t="shared" si="26"/>
        <v>彗星</v>
      </c>
      <c r="C100" s="81">
        <f t="shared" si="27"/>
        <v>1.0054794930723405</v>
      </c>
      <c r="D100" s="81">
        <f t="shared" si="23"/>
        <v>1.0384720654687589</v>
      </c>
      <c r="F100" s="97" t="str">
        <f t="shared" si="28"/>
        <v>彗星</v>
      </c>
      <c r="G100" s="81">
        <f t="shared" si="30"/>
        <v>8.8984165302451057</v>
      </c>
      <c r="H100" s="81">
        <f t="shared" si="30"/>
        <v>35.593666120980423</v>
      </c>
      <c r="I100" s="81">
        <f t="shared" si="30"/>
        <v>50</v>
      </c>
      <c r="J100" s="81">
        <f t="shared" si="30"/>
        <v>11.07</v>
      </c>
      <c r="K100" s="81">
        <f t="shared" si="30"/>
        <v>11.07</v>
      </c>
      <c r="L100" s="81">
        <f t="shared" si="30"/>
        <v>10.214285714285715</v>
      </c>
      <c r="M100" s="81">
        <f t="shared" si="30"/>
        <v>7.15</v>
      </c>
      <c r="N100" s="97">
        <f t="shared" si="31"/>
        <v>1</v>
      </c>
      <c r="O100" s="97">
        <f t="shared" si="31"/>
        <v>4.5</v>
      </c>
      <c r="P100" s="97">
        <f t="shared" si="31"/>
        <v>0</v>
      </c>
      <c r="Q100" s="97">
        <f t="shared" si="31"/>
        <v>1</v>
      </c>
      <c r="R100" s="97">
        <f t="shared" si="31"/>
        <v>2.4</v>
      </c>
      <c r="S100" s="81">
        <f t="shared" si="29"/>
        <v>2.4</v>
      </c>
    </row>
    <row r="101" spans="2:19" x14ac:dyDescent="0.35">
      <c r="B101" s="176" t="str">
        <f t="shared" si="26"/>
        <v>M-48</v>
      </c>
      <c r="C101" s="81">
        <f t="shared" si="27"/>
        <v>1.0728927724143271</v>
      </c>
      <c r="D101" s="81">
        <f t="shared" si="23"/>
        <v>0.96701182697439303</v>
      </c>
      <c r="F101" s="97" t="str">
        <f t="shared" si="28"/>
        <v>M-48</v>
      </c>
      <c r="G101" s="81">
        <f t="shared" si="30"/>
        <v>11.123020662806383</v>
      </c>
      <c r="H101" s="81">
        <f t="shared" si="30"/>
        <v>44.49208265122553</v>
      </c>
      <c r="I101" s="81">
        <f t="shared" si="30"/>
        <v>40</v>
      </c>
      <c r="J101" s="81">
        <f t="shared" si="30"/>
        <v>12.3</v>
      </c>
      <c r="K101" s="81">
        <f t="shared" si="30"/>
        <v>12.3</v>
      </c>
      <c r="L101" s="81">
        <f t="shared" si="30"/>
        <v>10.214285714285715</v>
      </c>
      <c r="M101" s="81">
        <f t="shared" si="30"/>
        <v>7.15</v>
      </c>
      <c r="N101" s="97">
        <f t="shared" si="31"/>
        <v>4</v>
      </c>
      <c r="O101" s="97">
        <f t="shared" si="31"/>
        <v>0</v>
      </c>
      <c r="P101" s="97">
        <f t="shared" si="31"/>
        <v>4</v>
      </c>
      <c r="Q101" s="97">
        <f t="shared" si="31"/>
        <v>1.2</v>
      </c>
      <c r="R101" s="97">
        <f t="shared" si="31"/>
        <v>1.73</v>
      </c>
      <c r="S101" s="81">
        <f t="shared" si="29"/>
        <v>1.4416666666666667</v>
      </c>
    </row>
    <row r="102" spans="2:19" x14ac:dyDescent="0.35">
      <c r="B102" s="176" t="str">
        <f t="shared" si="26"/>
        <v>潘兴</v>
      </c>
      <c r="C102" s="81">
        <f t="shared" si="27"/>
        <v>0.99449031619769379</v>
      </c>
      <c r="D102" s="81">
        <f t="shared" si="23"/>
        <v>1.0499472432768726</v>
      </c>
      <c r="F102" s="97" t="str">
        <f t="shared" si="28"/>
        <v>潘兴</v>
      </c>
      <c r="G102" s="81">
        <f t="shared" si="30"/>
        <v>8.8984165302451057</v>
      </c>
      <c r="H102" s="81">
        <f t="shared" si="30"/>
        <v>35.593666120980423</v>
      </c>
      <c r="I102" s="81">
        <f t="shared" si="30"/>
        <v>50</v>
      </c>
      <c r="J102" s="81">
        <f t="shared" si="30"/>
        <v>11.07</v>
      </c>
      <c r="K102" s="81">
        <f t="shared" si="30"/>
        <v>11.07</v>
      </c>
      <c r="L102" s="81">
        <f t="shared" si="30"/>
        <v>10.214285714285715</v>
      </c>
      <c r="M102" s="81">
        <f t="shared" si="30"/>
        <v>7.15</v>
      </c>
      <c r="N102" s="97">
        <f t="shared" si="31"/>
        <v>1</v>
      </c>
      <c r="O102" s="97">
        <f t="shared" si="31"/>
        <v>4.5</v>
      </c>
      <c r="P102" s="97">
        <f t="shared" si="31"/>
        <v>0</v>
      </c>
      <c r="Q102" s="97">
        <f t="shared" si="31"/>
        <v>1</v>
      </c>
      <c r="R102" s="97">
        <f t="shared" si="31"/>
        <v>2.4</v>
      </c>
      <c r="S102" s="81">
        <f t="shared" si="29"/>
        <v>2.4</v>
      </c>
    </row>
    <row r="103" spans="2:19" x14ac:dyDescent="0.35">
      <c r="B103" s="176" t="str">
        <f t="shared" si="26"/>
        <v>百夫长</v>
      </c>
      <c r="C103" s="81">
        <f t="shared" si="27"/>
        <v>1.1259916264596033</v>
      </c>
      <c r="D103" s="81">
        <f t="shared" si="23"/>
        <v>0.88810607157377164</v>
      </c>
      <c r="F103" s="97" t="str">
        <f t="shared" si="28"/>
        <v>百夫长</v>
      </c>
      <c r="G103" s="81">
        <f t="shared" si="30"/>
        <v>11.123020662806383</v>
      </c>
      <c r="H103" s="81">
        <f t="shared" si="30"/>
        <v>44.49208265122553</v>
      </c>
      <c r="I103" s="81">
        <f t="shared" si="30"/>
        <v>40</v>
      </c>
      <c r="J103" s="81">
        <f t="shared" si="30"/>
        <v>12.3</v>
      </c>
      <c r="K103" s="81">
        <f t="shared" si="30"/>
        <v>12.3</v>
      </c>
      <c r="L103" s="81">
        <f t="shared" si="30"/>
        <v>10.214285714285715</v>
      </c>
      <c r="M103" s="81">
        <f t="shared" si="30"/>
        <v>7.15</v>
      </c>
      <c r="N103" s="97">
        <f t="shared" si="31"/>
        <v>1</v>
      </c>
      <c r="O103" s="97">
        <f t="shared" si="31"/>
        <v>4.5</v>
      </c>
      <c r="P103" s="97">
        <f t="shared" si="31"/>
        <v>0</v>
      </c>
      <c r="Q103" s="97">
        <f t="shared" si="31"/>
        <v>1</v>
      </c>
      <c r="R103" s="97">
        <f t="shared" si="31"/>
        <v>2.4</v>
      </c>
      <c r="S103" s="81">
        <f t="shared" si="29"/>
        <v>2.4</v>
      </c>
    </row>
    <row r="104" spans="2:19" x14ac:dyDescent="0.35">
      <c r="B104" s="176" t="str">
        <f t="shared" si="26"/>
        <v>挑战者</v>
      </c>
      <c r="C104" s="81">
        <f t="shared" si="27"/>
        <v>1.1284288406238332</v>
      </c>
      <c r="D104" s="81">
        <f t="shared" si="23"/>
        <v>0.92532406862276417</v>
      </c>
      <c r="F104" s="97" t="str">
        <f t="shared" si="28"/>
        <v>挑战者</v>
      </c>
      <c r="G104" s="81">
        <f t="shared" si="30"/>
        <v>8.8984165302451057</v>
      </c>
      <c r="H104" s="81">
        <f t="shared" si="30"/>
        <v>35.593666120980423</v>
      </c>
      <c r="I104" s="81">
        <f t="shared" si="30"/>
        <v>50</v>
      </c>
      <c r="J104" s="81">
        <f t="shared" si="30"/>
        <v>11.07</v>
      </c>
      <c r="K104" s="81">
        <f t="shared" si="30"/>
        <v>11.07</v>
      </c>
      <c r="L104" s="81">
        <f t="shared" si="30"/>
        <v>10.214285714285715</v>
      </c>
      <c r="M104" s="81">
        <f t="shared" si="30"/>
        <v>7.15</v>
      </c>
      <c r="N104" s="97">
        <f t="shared" si="31"/>
        <v>1</v>
      </c>
      <c r="O104" s="97">
        <f t="shared" si="31"/>
        <v>4.5</v>
      </c>
      <c r="P104" s="97">
        <f t="shared" si="31"/>
        <v>0</v>
      </c>
      <c r="Q104" s="97">
        <f t="shared" si="31"/>
        <v>1</v>
      </c>
      <c r="R104" s="97">
        <f t="shared" si="31"/>
        <v>2.4</v>
      </c>
      <c r="S104" s="81">
        <f t="shared" si="29"/>
        <v>2.4</v>
      </c>
    </row>
    <row r="105" spans="2:19" x14ac:dyDescent="0.35">
      <c r="B105" s="176" t="str">
        <f t="shared" si="26"/>
        <v>B-1</v>
      </c>
      <c r="C105" s="81">
        <f t="shared" si="27"/>
        <v>0.97830829810333375</v>
      </c>
      <c r="D105" s="81">
        <f t="shared" si="23"/>
        <v>1.1724921742494041</v>
      </c>
      <c r="F105" s="97" t="str">
        <f t="shared" si="28"/>
        <v>B-1</v>
      </c>
      <c r="G105" s="81">
        <f t="shared" ref="G105:M114" si="32">VLOOKUP($F105,$B$18:$BB$48,MATCH(G$84,$B$18:$BB$18,0),FALSE)</f>
        <v>9.7912120990134017</v>
      </c>
      <c r="H105" s="81">
        <f t="shared" si="32"/>
        <v>39.164848396053607</v>
      </c>
      <c r="I105" s="81">
        <f t="shared" si="32"/>
        <v>35</v>
      </c>
      <c r="J105" s="81">
        <f t="shared" si="32"/>
        <v>10.5</v>
      </c>
      <c r="K105" s="81">
        <f t="shared" si="32"/>
        <v>10.5</v>
      </c>
      <c r="L105" s="81">
        <f t="shared" si="32"/>
        <v>5.9523809523809526</v>
      </c>
      <c r="M105" s="81">
        <f t="shared" si="32"/>
        <v>4.166666666666667</v>
      </c>
      <c r="N105" s="97">
        <f t="shared" ref="N105:R114" si="33">VLOOKUP($F105,$B$51:$T$81,MATCH(N$84,$B$51:$T$51,0),FALSE)</f>
        <v>2</v>
      </c>
      <c r="O105" s="97">
        <f t="shared" si="33"/>
        <v>5.3999999999999995</v>
      </c>
      <c r="P105" s="97">
        <f t="shared" si="33"/>
        <v>0</v>
      </c>
      <c r="Q105" s="97">
        <f t="shared" si="33"/>
        <v>1.2</v>
      </c>
      <c r="R105" s="97">
        <f t="shared" si="33"/>
        <v>3.18</v>
      </c>
      <c r="S105" s="81">
        <f t="shared" si="29"/>
        <v>2.6500000000000004</v>
      </c>
    </row>
    <row r="106" spans="2:19" x14ac:dyDescent="0.35">
      <c r="B106" s="176" t="str">
        <f t="shared" si="26"/>
        <v>KV-1</v>
      </c>
      <c r="C106" s="81">
        <f t="shared" si="27"/>
        <v>0.94792909590921481</v>
      </c>
      <c r="D106" s="81">
        <f t="shared" si="23"/>
        <v>0.8067121113309289</v>
      </c>
      <c r="F106" s="97" t="str">
        <f t="shared" si="28"/>
        <v>KV-1</v>
      </c>
      <c r="G106" s="81">
        <f t="shared" si="32"/>
        <v>9.7912120990134017</v>
      </c>
      <c r="H106" s="81">
        <f t="shared" si="32"/>
        <v>39.164848396053607</v>
      </c>
      <c r="I106" s="81">
        <f t="shared" si="32"/>
        <v>35</v>
      </c>
      <c r="J106" s="81">
        <f t="shared" si="32"/>
        <v>10.5</v>
      </c>
      <c r="K106" s="81">
        <f t="shared" si="32"/>
        <v>10.5</v>
      </c>
      <c r="L106" s="81">
        <f t="shared" si="32"/>
        <v>5.9523809523809526</v>
      </c>
      <c r="M106" s="81">
        <f t="shared" si="32"/>
        <v>4.166666666666667</v>
      </c>
      <c r="N106" s="97">
        <f t="shared" si="33"/>
        <v>3</v>
      </c>
      <c r="O106" s="97">
        <f t="shared" si="33"/>
        <v>3.6</v>
      </c>
      <c r="P106" s="97">
        <f t="shared" si="33"/>
        <v>0</v>
      </c>
      <c r="Q106" s="97">
        <f t="shared" si="33"/>
        <v>1.2</v>
      </c>
      <c r="R106" s="97">
        <f t="shared" si="33"/>
        <v>2.5</v>
      </c>
      <c r="S106" s="81">
        <f t="shared" si="29"/>
        <v>2.0833333333333335</v>
      </c>
    </row>
    <row r="107" spans="2:19" x14ac:dyDescent="0.35">
      <c r="B107" s="176" t="str">
        <f t="shared" si="26"/>
        <v>丘吉尔</v>
      </c>
      <c r="C107" s="81">
        <f t="shared" si="27"/>
        <v>1.0129204323838581</v>
      </c>
      <c r="D107" s="81">
        <f t="shared" si="23"/>
        <v>0.98724437579618129</v>
      </c>
      <c r="F107" s="97" t="str">
        <f t="shared" si="28"/>
        <v>丘吉尔</v>
      </c>
      <c r="G107" s="81">
        <f t="shared" si="32"/>
        <v>7.8329696792107217</v>
      </c>
      <c r="H107" s="81">
        <f t="shared" si="32"/>
        <v>31.331878716842887</v>
      </c>
      <c r="I107" s="81">
        <f t="shared" si="32"/>
        <v>43.75</v>
      </c>
      <c r="J107" s="81">
        <f t="shared" si="32"/>
        <v>9.4500000000000011</v>
      </c>
      <c r="K107" s="81">
        <f t="shared" si="32"/>
        <v>9.4500000000000011</v>
      </c>
      <c r="L107" s="81">
        <f t="shared" si="32"/>
        <v>5.9523809523809526</v>
      </c>
      <c r="M107" s="81">
        <f t="shared" si="32"/>
        <v>4.166666666666667</v>
      </c>
      <c r="N107" s="97">
        <f t="shared" si="33"/>
        <v>1</v>
      </c>
      <c r="O107" s="97">
        <f t="shared" si="33"/>
        <v>6</v>
      </c>
      <c r="P107" s="97">
        <f t="shared" si="33"/>
        <v>0</v>
      </c>
      <c r="Q107" s="97">
        <f t="shared" si="33"/>
        <v>1</v>
      </c>
      <c r="R107" s="97">
        <f t="shared" si="33"/>
        <v>3</v>
      </c>
      <c r="S107" s="81">
        <f t="shared" si="29"/>
        <v>3</v>
      </c>
    </row>
    <row r="108" spans="2:19" x14ac:dyDescent="0.35">
      <c r="B108" s="176" t="str">
        <f t="shared" si="26"/>
        <v>黑豹</v>
      </c>
      <c r="C108" s="81">
        <f t="shared" si="27"/>
        <v>0.99478484058801331</v>
      </c>
      <c r="D108" s="81">
        <f t="shared" si="23"/>
        <v>1.0052424998846021</v>
      </c>
      <c r="F108" s="97" t="str">
        <f t="shared" si="28"/>
        <v>黑豹</v>
      </c>
      <c r="G108" s="81">
        <f t="shared" si="32"/>
        <v>7.8329696792107217</v>
      </c>
      <c r="H108" s="81">
        <f t="shared" si="32"/>
        <v>31.331878716842887</v>
      </c>
      <c r="I108" s="81">
        <f t="shared" si="32"/>
        <v>43.75</v>
      </c>
      <c r="J108" s="81">
        <f t="shared" si="32"/>
        <v>9.4500000000000011</v>
      </c>
      <c r="K108" s="81">
        <f t="shared" si="32"/>
        <v>9.4500000000000011</v>
      </c>
      <c r="L108" s="81">
        <f t="shared" si="32"/>
        <v>5.9523809523809526</v>
      </c>
      <c r="M108" s="81">
        <f t="shared" si="32"/>
        <v>4.166666666666667</v>
      </c>
      <c r="N108" s="97">
        <f t="shared" si="33"/>
        <v>1</v>
      </c>
      <c r="O108" s="97">
        <f t="shared" si="33"/>
        <v>6</v>
      </c>
      <c r="P108" s="97">
        <f t="shared" si="33"/>
        <v>0</v>
      </c>
      <c r="Q108" s="97">
        <f t="shared" si="33"/>
        <v>1</v>
      </c>
      <c r="R108" s="97">
        <f t="shared" si="33"/>
        <v>3</v>
      </c>
      <c r="S108" s="81">
        <f t="shared" si="29"/>
        <v>3</v>
      </c>
    </row>
    <row r="109" spans="2:19" x14ac:dyDescent="0.35">
      <c r="B109" s="176" t="str">
        <f t="shared" si="26"/>
        <v>虎式</v>
      </c>
      <c r="C109" s="81">
        <f t="shared" si="27"/>
        <v>0.95544432708486349</v>
      </c>
      <c r="D109" s="81">
        <f t="shared" si="23"/>
        <v>1.0466334580174643</v>
      </c>
      <c r="F109" s="97" t="str">
        <f t="shared" si="28"/>
        <v>虎式</v>
      </c>
      <c r="G109" s="81">
        <f t="shared" si="32"/>
        <v>7.8329696792107217</v>
      </c>
      <c r="H109" s="81">
        <f t="shared" si="32"/>
        <v>31.331878716842887</v>
      </c>
      <c r="I109" s="81">
        <f t="shared" si="32"/>
        <v>43.75</v>
      </c>
      <c r="J109" s="81">
        <f t="shared" si="32"/>
        <v>9.4500000000000011</v>
      </c>
      <c r="K109" s="81">
        <f t="shared" si="32"/>
        <v>9.4500000000000011</v>
      </c>
      <c r="L109" s="81">
        <f t="shared" si="32"/>
        <v>5.9523809523809526</v>
      </c>
      <c r="M109" s="81">
        <f t="shared" si="32"/>
        <v>4.166666666666667</v>
      </c>
      <c r="N109" s="97">
        <f t="shared" si="33"/>
        <v>1</v>
      </c>
      <c r="O109" s="97">
        <f t="shared" si="33"/>
        <v>6</v>
      </c>
      <c r="P109" s="97">
        <f t="shared" si="33"/>
        <v>0</v>
      </c>
      <c r="Q109" s="97">
        <f t="shared" si="33"/>
        <v>1</v>
      </c>
      <c r="R109" s="97">
        <f t="shared" si="33"/>
        <v>3</v>
      </c>
      <c r="S109" s="81">
        <f t="shared" si="29"/>
        <v>3</v>
      </c>
    </row>
    <row r="110" spans="2:19" x14ac:dyDescent="0.35">
      <c r="B110" s="176" t="str">
        <f t="shared" si="26"/>
        <v>KV-2</v>
      </c>
      <c r="C110" s="81">
        <f t="shared" si="27"/>
        <v>0.9736449020657354</v>
      </c>
      <c r="D110" s="81">
        <f t="shared" si="23"/>
        <v>0.94619695595908992</v>
      </c>
      <c r="F110" s="97" t="str">
        <f t="shared" si="28"/>
        <v>KV-2</v>
      </c>
      <c r="G110" s="81">
        <f t="shared" si="32"/>
        <v>9.7912120990134017</v>
      </c>
      <c r="H110" s="81">
        <f t="shared" si="32"/>
        <v>39.164848396053607</v>
      </c>
      <c r="I110" s="81">
        <f t="shared" si="32"/>
        <v>35</v>
      </c>
      <c r="J110" s="81">
        <f t="shared" si="32"/>
        <v>10.5</v>
      </c>
      <c r="K110" s="81">
        <f t="shared" si="32"/>
        <v>10.5</v>
      </c>
      <c r="L110" s="81">
        <f t="shared" si="32"/>
        <v>5.9523809523809526</v>
      </c>
      <c r="M110" s="81">
        <f t="shared" si="32"/>
        <v>4.166666666666667</v>
      </c>
      <c r="N110" s="97">
        <f t="shared" si="33"/>
        <v>2</v>
      </c>
      <c r="O110" s="97">
        <f t="shared" si="33"/>
        <v>4.05</v>
      </c>
      <c r="P110" s="97">
        <f t="shared" si="33"/>
        <v>0</v>
      </c>
      <c r="Q110" s="97">
        <f t="shared" si="33"/>
        <v>1.2</v>
      </c>
      <c r="R110" s="97">
        <f t="shared" si="33"/>
        <v>2.7</v>
      </c>
      <c r="S110" s="81">
        <f t="shared" si="29"/>
        <v>2.2500000000000004</v>
      </c>
    </row>
    <row r="111" spans="2:19" x14ac:dyDescent="0.35">
      <c r="B111" s="176" t="str">
        <f t="shared" si="26"/>
        <v>征服者</v>
      </c>
      <c r="C111" s="81">
        <f t="shared" si="27"/>
        <v>1.064866274259175</v>
      </c>
      <c r="D111" s="81">
        <f t="shared" si="23"/>
        <v>0.93908505149690991</v>
      </c>
      <c r="F111" s="97" t="str">
        <f t="shared" si="28"/>
        <v>征服者</v>
      </c>
      <c r="G111" s="81">
        <f t="shared" si="32"/>
        <v>7.8329696792107217</v>
      </c>
      <c r="H111" s="81">
        <f t="shared" si="32"/>
        <v>31.331878716842887</v>
      </c>
      <c r="I111" s="81">
        <f t="shared" si="32"/>
        <v>43.75</v>
      </c>
      <c r="J111" s="81">
        <f t="shared" si="32"/>
        <v>9.4500000000000011</v>
      </c>
      <c r="K111" s="81">
        <f t="shared" si="32"/>
        <v>9.4500000000000011</v>
      </c>
      <c r="L111" s="81">
        <f t="shared" si="32"/>
        <v>5.9523809523809526</v>
      </c>
      <c r="M111" s="81">
        <f t="shared" si="32"/>
        <v>4.166666666666667</v>
      </c>
      <c r="N111" s="97">
        <f t="shared" si="33"/>
        <v>1</v>
      </c>
      <c r="O111" s="97">
        <f t="shared" si="33"/>
        <v>6</v>
      </c>
      <c r="P111" s="97">
        <f t="shared" si="33"/>
        <v>0</v>
      </c>
      <c r="Q111" s="97">
        <f t="shared" si="33"/>
        <v>1</v>
      </c>
      <c r="R111" s="97">
        <f t="shared" si="33"/>
        <v>3</v>
      </c>
      <c r="S111" s="81">
        <f t="shared" si="29"/>
        <v>3</v>
      </c>
    </row>
    <row r="112" spans="2:19" x14ac:dyDescent="0.35">
      <c r="B112" s="176" t="str">
        <f t="shared" si="26"/>
        <v>IS-4</v>
      </c>
      <c r="C112" s="81">
        <f t="shared" si="27"/>
        <v>0.98096314232797843</v>
      </c>
      <c r="D112" s="81">
        <f t="shared" si="23"/>
        <v>1.0471953765679691</v>
      </c>
      <c r="F112" s="97" t="str">
        <f t="shared" si="28"/>
        <v>IS-4</v>
      </c>
      <c r="G112" s="81">
        <f t="shared" si="32"/>
        <v>7.8329696792107217</v>
      </c>
      <c r="H112" s="81">
        <f t="shared" si="32"/>
        <v>31.331878716842887</v>
      </c>
      <c r="I112" s="81">
        <f t="shared" si="32"/>
        <v>43.75</v>
      </c>
      <c r="J112" s="81">
        <f t="shared" si="32"/>
        <v>9.4500000000000011</v>
      </c>
      <c r="K112" s="81">
        <f t="shared" si="32"/>
        <v>9.4500000000000011</v>
      </c>
      <c r="L112" s="81">
        <f t="shared" si="32"/>
        <v>5.9523809523809526</v>
      </c>
      <c r="M112" s="81">
        <f t="shared" si="32"/>
        <v>4.166666666666667</v>
      </c>
      <c r="N112" s="97">
        <f t="shared" si="33"/>
        <v>2</v>
      </c>
      <c r="O112" s="97">
        <f t="shared" si="33"/>
        <v>4.5</v>
      </c>
      <c r="P112" s="97">
        <f t="shared" si="33"/>
        <v>0</v>
      </c>
      <c r="Q112" s="97">
        <f t="shared" si="33"/>
        <v>1.2</v>
      </c>
      <c r="R112" s="97">
        <f t="shared" si="33"/>
        <v>2.7</v>
      </c>
      <c r="S112" s="81">
        <f t="shared" si="29"/>
        <v>2.2500000000000004</v>
      </c>
    </row>
    <row r="113" spans="2:19" x14ac:dyDescent="0.35">
      <c r="B113" s="176" t="str">
        <f t="shared" si="26"/>
        <v>T-32</v>
      </c>
      <c r="C113" s="81">
        <f t="shared" si="27"/>
        <v>1.0319978226002975</v>
      </c>
      <c r="D113" s="81">
        <f t="shared" si="23"/>
        <v>0.96899429252701963</v>
      </c>
      <c r="F113" s="97" t="str">
        <f t="shared" si="28"/>
        <v>T-32</v>
      </c>
      <c r="G113" s="81">
        <f t="shared" si="32"/>
        <v>7.8329696792107217</v>
      </c>
      <c r="H113" s="81">
        <f t="shared" si="32"/>
        <v>31.331878716842887</v>
      </c>
      <c r="I113" s="81">
        <f t="shared" si="32"/>
        <v>43.75</v>
      </c>
      <c r="J113" s="81">
        <f t="shared" si="32"/>
        <v>9.4500000000000011</v>
      </c>
      <c r="K113" s="81">
        <f t="shared" si="32"/>
        <v>9.4500000000000011</v>
      </c>
      <c r="L113" s="81">
        <f t="shared" si="32"/>
        <v>5.9523809523809526</v>
      </c>
      <c r="M113" s="81">
        <f t="shared" si="32"/>
        <v>4.166666666666667</v>
      </c>
      <c r="N113" s="97">
        <f t="shared" si="33"/>
        <v>1</v>
      </c>
      <c r="O113" s="97">
        <f t="shared" si="33"/>
        <v>6</v>
      </c>
      <c r="P113" s="97">
        <f t="shared" si="33"/>
        <v>0</v>
      </c>
      <c r="Q113" s="97">
        <f t="shared" si="33"/>
        <v>1</v>
      </c>
      <c r="R113" s="97">
        <f t="shared" si="33"/>
        <v>3</v>
      </c>
      <c r="S113" s="81">
        <f t="shared" si="29"/>
        <v>3</v>
      </c>
    </row>
    <row r="114" spans="2:19" x14ac:dyDescent="0.35">
      <c r="B114" s="176" t="str">
        <f t="shared" si="26"/>
        <v>M1A2</v>
      </c>
      <c r="C114" s="81">
        <f t="shared" si="27"/>
        <v>1.050728894321846</v>
      </c>
      <c r="D114" s="81">
        <f t="shared" si="23"/>
        <v>0.95172028237161299</v>
      </c>
      <c r="F114" s="97" t="str">
        <f t="shared" si="28"/>
        <v>M1A2</v>
      </c>
      <c r="G114" s="81">
        <f t="shared" si="32"/>
        <v>7.8329696792107217</v>
      </c>
      <c r="H114" s="81">
        <f t="shared" si="32"/>
        <v>31.331878716842887</v>
      </c>
      <c r="I114" s="81">
        <f t="shared" si="32"/>
        <v>43.75</v>
      </c>
      <c r="J114" s="81">
        <f t="shared" si="32"/>
        <v>9.4500000000000011</v>
      </c>
      <c r="K114" s="81">
        <f t="shared" si="32"/>
        <v>9.4500000000000011</v>
      </c>
      <c r="L114" s="81">
        <f t="shared" si="32"/>
        <v>5.9523809523809526</v>
      </c>
      <c r="M114" s="81">
        <f t="shared" si="32"/>
        <v>4.166666666666667</v>
      </c>
      <c r="N114" s="97">
        <f t="shared" si="33"/>
        <v>1</v>
      </c>
      <c r="O114" s="97">
        <f t="shared" si="33"/>
        <v>6</v>
      </c>
      <c r="P114" s="97">
        <f t="shared" si="33"/>
        <v>0</v>
      </c>
      <c r="Q114" s="97">
        <f t="shared" si="33"/>
        <v>1</v>
      </c>
      <c r="R114" s="97">
        <f t="shared" si="33"/>
        <v>3</v>
      </c>
      <c r="S114" s="81">
        <f t="shared" si="29"/>
        <v>3</v>
      </c>
    </row>
    <row r="116" spans="2:19" x14ac:dyDescent="0.35">
      <c r="C116" s="82"/>
      <c r="D116" s="82"/>
    </row>
    <row r="117" spans="2:19" x14ac:dyDescent="0.35">
      <c r="C117" s="82"/>
      <c r="D117" s="82"/>
    </row>
  </sheetData>
  <mergeCells count="8">
    <mergeCell ref="B2:J2"/>
    <mergeCell ref="L2:M2"/>
    <mergeCell ref="B83:D83"/>
    <mergeCell ref="B17:BB17"/>
    <mergeCell ref="F83:M83"/>
    <mergeCell ref="N83:S83"/>
    <mergeCell ref="B50:T50"/>
    <mergeCell ref="U50:W50"/>
  </mergeCells>
  <phoneticPr fontId="101" type="noConversion"/>
  <pageMargins left="0.7" right="0.7" top="0.75" bottom="0.75" header="0.3" footer="0.3"/>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7"/>
  <dimension ref="B1:AP36"/>
  <sheetViews>
    <sheetView topLeftCell="E1" workbookViewId="0">
      <selection activeCell="B8" sqref="B8:C8"/>
    </sheetView>
  </sheetViews>
  <sheetFormatPr defaultColWidth="9" defaultRowHeight="13" x14ac:dyDescent="0.35"/>
  <cols>
    <col min="1" max="16384" width="9" style="102"/>
  </cols>
  <sheetData>
    <row r="1" spans="2:42" x14ac:dyDescent="0.35">
      <c r="B1" s="105"/>
      <c r="AP1" s="200"/>
    </row>
    <row r="2" spans="2:42" x14ac:dyDescent="0.35">
      <c r="B2" s="816" t="s">
        <v>1079</v>
      </c>
      <c r="C2" s="823"/>
      <c r="D2" s="201"/>
      <c r="E2" s="828" t="s">
        <v>768</v>
      </c>
      <c r="F2" s="828"/>
      <c r="G2" s="828"/>
      <c r="I2" s="823" t="s">
        <v>740</v>
      </c>
      <c r="J2" s="823"/>
      <c r="K2" s="823"/>
      <c r="L2" s="823"/>
      <c r="M2" s="823"/>
      <c r="N2" s="823"/>
      <c r="O2" s="823"/>
      <c r="P2" s="823"/>
      <c r="R2" s="823" t="s">
        <v>741</v>
      </c>
      <c r="S2" s="823"/>
      <c r="T2" s="823"/>
      <c r="U2" s="823"/>
      <c r="V2" s="823"/>
      <c r="W2" s="823"/>
      <c r="X2" s="823"/>
      <c r="Y2" s="823"/>
      <c r="AA2" s="828" t="s">
        <v>745</v>
      </c>
      <c r="AB2" s="823"/>
      <c r="AC2" s="823"/>
      <c r="AD2" s="823"/>
      <c r="AE2" s="823"/>
      <c r="AF2" s="823"/>
      <c r="AG2" s="823"/>
      <c r="AH2" s="823"/>
      <c r="AI2" s="823"/>
      <c r="AJ2" s="823"/>
      <c r="AK2" s="823"/>
      <c r="AL2" s="823"/>
      <c r="AM2" s="823"/>
      <c r="AN2" s="823"/>
      <c r="AO2" s="823"/>
      <c r="AP2" s="823"/>
    </row>
    <row r="3" spans="2:42" x14ac:dyDescent="0.35">
      <c r="B3" s="104" t="s">
        <v>582</v>
      </c>
      <c r="C3" s="103" t="s">
        <v>734</v>
      </c>
      <c r="D3" s="201"/>
      <c r="E3" s="104" t="s">
        <v>736</v>
      </c>
      <c r="F3" s="100" t="s">
        <v>702</v>
      </c>
      <c r="G3" s="100" t="s">
        <v>703</v>
      </c>
      <c r="I3" s="103" t="s">
        <v>736</v>
      </c>
      <c r="J3" s="103" t="s">
        <v>582</v>
      </c>
      <c r="K3" s="103" t="s">
        <v>726</v>
      </c>
      <c r="L3" s="103" t="s">
        <v>737</v>
      </c>
      <c r="M3" s="103" t="s">
        <v>727</v>
      </c>
      <c r="N3" s="103" t="s">
        <v>738</v>
      </c>
      <c r="O3" s="97" t="s">
        <v>729</v>
      </c>
      <c r="P3" s="103" t="s">
        <v>739</v>
      </c>
      <c r="R3" s="103" t="s">
        <v>736</v>
      </c>
      <c r="S3" s="97" t="s">
        <v>60</v>
      </c>
      <c r="T3" s="97" t="s">
        <v>702</v>
      </c>
      <c r="U3" s="97" t="s">
        <v>703</v>
      </c>
      <c r="V3" s="97" t="s">
        <v>704</v>
      </c>
      <c r="W3" s="98" t="s">
        <v>709</v>
      </c>
      <c r="X3" s="97" t="s">
        <v>705</v>
      </c>
      <c r="Y3" s="262" t="s">
        <v>1206</v>
      </c>
      <c r="AA3" s="104" t="s">
        <v>736</v>
      </c>
      <c r="AB3" s="100" t="s">
        <v>60</v>
      </c>
      <c r="AC3" s="100" t="s">
        <v>704</v>
      </c>
      <c r="AD3" s="101" t="s">
        <v>709</v>
      </c>
      <c r="AE3" s="196" t="s">
        <v>1078</v>
      </c>
      <c r="AF3" s="100" t="s">
        <v>705</v>
      </c>
      <c r="AG3" s="113" t="s">
        <v>746</v>
      </c>
      <c r="AH3" s="113" t="s">
        <v>747</v>
      </c>
      <c r="AI3" s="113" t="s">
        <v>749</v>
      </c>
      <c r="AJ3" s="104" t="s">
        <v>744</v>
      </c>
      <c r="AK3" s="104" t="s">
        <v>743</v>
      </c>
      <c r="AL3" s="262" t="s">
        <v>1206</v>
      </c>
      <c r="AM3" s="471" t="s">
        <v>2131</v>
      </c>
      <c r="AN3" s="262" t="s">
        <v>1209</v>
      </c>
      <c r="AO3" s="262" t="s">
        <v>1210</v>
      </c>
      <c r="AP3" s="113" t="s">
        <v>748</v>
      </c>
    </row>
    <row r="4" spans="2:42" x14ac:dyDescent="0.35">
      <c r="B4" s="196" t="s">
        <v>1076</v>
      </c>
      <c r="C4" s="8">
        <v>1</v>
      </c>
      <c r="D4" s="10"/>
      <c r="E4" s="100" t="s">
        <v>615</v>
      </c>
      <c r="F4" s="104">
        <f>VLOOKUP($E4,坦克个性化设定!$B$51:$T$81,MATCH(F$3,坦克个性化设定!$B$51:$T$51,0),FALSE)</f>
        <v>0</v>
      </c>
      <c r="G4" s="104">
        <f>VLOOKUP($E4,坦克个性化设定!$B$51:$T$81,MATCH(G$3,坦克个性化设定!$B$51:$T$51,0),FALSE)</f>
        <v>7.56</v>
      </c>
      <c r="I4" s="103" t="s">
        <v>615</v>
      </c>
      <c r="J4" s="8" t="s">
        <v>1855</v>
      </c>
      <c r="K4" s="103">
        <f>ROUND(VLOOKUP(I4,坦克个性化设定!$F$84:$S$114,MATCH(K$3,坦克个性化设定!$F$84:$S$84,0),FALSE)*VLOOKUP(J4,$B$3:$C$6,2,FALSE),1)</f>
        <v>47.1</v>
      </c>
      <c r="L4" s="103">
        <f>K4/坦克个性化设定!$M$4*坦克个性化设定!$M$5/VLOOKUP(J4,$B$3:$C$6,2,FALSE)</f>
        <v>11.774999999999997</v>
      </c>
      <c r="M4" s="103">
        <f>ROUND(VLOOKUP(I4,坦克个性化设定!$F$84:$S$114,MATCH(M$3,坦克个性化设定!$F$84:$S$84,0),FALSE)*VLOOKUP(J4,$B$3:$C$6,2,FALSE),1)</f>
        <v>45</v>
      </c>
      <c r="N4" s="103">
        <f>M4/坦克个性化设定!$M$4*坦克个性化设定!$M$5</f>
        <v>11.249999999999998</v>
      </c>
      <c r="O4" s="103">
        <f>ROUND(VLOOKUP(I4,坦克个性化设定!$F$84:$S$114,MATCH(O$3,坦克个性化设定!$F$84:$S$84,0),FALSE)*VLOOKUP(J4,$B$3:$C$6,2,FALSE),1)</f>
        <v>14.6</v>
      </c>
      <c r="P4" s="103">
        <f>ROUND(O4*($C$12-1),2)</f>
        <v>4.7699999999999996</v>
      </c>
      <c r="R4" s="97" t="str">
        <f>I4</f>
        <v>雷诺FT</v>
      </c>
      <c r="S4" s="103">
        <f>VLOOKUP($R4,坦克个性化设定!$B$51:$T$81,MATCH(S$3,坦克个性化设定!$B$51:$T$51,0),FALSE)</f>
        <v>18</v>
      </c>
      <c r="T4" s="103">
        <f>VLOOKUP($R4,坦克个性化设定!$B$51:$T$81,MATCH(T$3,坦克个性化设定!$B$51:$T$51,0),FALSE)</f>
        <v>0</v>
      </c>
      <c r="U4" s="103">
        <f>VLOOKUP($R4,坦克个性化设定!$B$51:$T$81,MATCH(U$3,坦克个性化设定!$B$51:$T$51,0),FALSE)</f>
        <v>7.56</v>
      </c>
      <c r="V4" s="103">
        <f>VLOOKUP($R4,坦克个性化设定!$B$51:$T$81,MATCH(V$3,坦克个性化设定!$B$51:$T$51,0),FALSE)</f>
        <v>0.30000000000000004</v>
      </c>
      <c r="W4" s="103">
        <f>VLOOKUP($R4,坦克个性化设定!$B$51:$T$81,MATCH(W$3,坦克个性化设定!$B$51:$T$51,0),FALSE)</f>
        <v>0.6</v>
      </c>
      <c r="X4" s="103">
        <f>VLOOKUP($R4,坦克个性化设定!$B$51:$T$81,MATCH(X$3,坦克个性化设定!$B$51:$T$51,0),FALSE)</f>
        <v>1.2</v>
      </c>
      <c r="Y4" s="106">
        <f>VLOOKUP($R4,坦克个性化设定!$B$51:$T$81,MATCH(Y$3,坦克个性化设定!$B$51:$T$51,0),FALSE)</f>
        <v>96.056872037914687</v>
      </c>
      <c r="AA4" s="100" t="str">
        <f t="shared" ref="AA4:AA33" si="0">I4</f>
        <v>雷诺FT</v>
      </c>
      <c r="AB4" s="104">
        <f t="shared" ref="AB4:AB33" si="1">S4</f>
        <v>18</v>
      </c>
      <c r="AC4" s="104">
        <f t="shared" ref="AC4:AC33" si="2">V4</f>
        <v>0.30000000000000004</v>
      </c>
      <c r="AD4" s="104">
        <f t="shared" ref="AD4:AD33" si="3">W4</f>
        <v>0.6</v>
      </c>
      <c r="AE4" s="181">
        <f t="shared" ref="AE4:AE33" si="4">X4</f>
        <v>1.2</v>
      </c>
      <c r="AF4" s="106">
        <f>AE4*AH4</f>
        <v>1.44</v>
      </c>
      <c r="AG4" s="106">
        <f>AD4/AF4</f>
        <v>0.41666666666666669</v>
      </c>
      <c r="AH4" s="53">
        <v>1.2</v>
      </c>
      <c r="AI4" s="106">
        <f>AD4/AE4-AG4</f>
        <v>8.3333333333333315E-2</v>
      </c>
      <c r="AJ4" s="104">
        <f>IF(VLOOKUP(AA4,坦克个性化设定!$B$51:$T$81,9,FALSE)=0,VLOOKUP(AA4,坦克个性化设定!$B$51:$T$81,10,FALSE),VLOOKUP(AA4,坦克个性化设定!$B$51:$T$81,9,FALSE))</f>
        <v>7.56</v>
      </c>
      <c r="AK4" s="181" t="str">
        <f>IF(LEN(VLOOKUP(AA4,坦克个性化设定!$B$18:$F$48,5,FALSE))=5,"单发",RIGHT(VLOOKUP(AA4,坦克个性化设定!$B$18:$F$48,5,FALSE),2))</f>
        <v>弹夹</v>
      </c>
      <c r="AL4" s="106">
        <f t="shared" ref="AL4:AL33" si="5">Y4*$C$9</f>
        <v>124.8739336492891</v>
      </c>
      <c r="AM4" s="472">
        <v>0.25</v>
      </c>
      <c r="AN4" s="106">
        <f>IF(AK4="弹夹",(60-(AB4-1)*AM4)/(AL4/AB4-1)-(AB4-1)*AM4,IF(AK4="单发",(60-(AB4-1)*AM4)/(AL4-AB4),60/(AL4-AB4)))</f>
        <v>5.139567369093232</v>
      </c>
      <c r="AO4" s="106">
        <f t="shared" ref="AO4:AO33" si="6">(AJ4-AN4)/AJ4</f>
        <v>0.32016304641623911</v>
      </c>
      <c r="AP4" s="106">
        <f>AJ4-AN4</f>
        <v>2.4204326309067676</v>
      </c>
    </row>
    <row r="5" spans="2:42" x14ac:dyDescent="0.35">
      <c r="B5" s="196" t="s">
        <v>1077</v>
      </c>
      <c r="C5" s="8">
        <v>1.02</v>
      </c>
      <c r="D5" s="10"/>
      <c r="E5" s="100" t="s">
        <v>616</v>
      </c>
      <c r="F5" s="104">
        <f>VLOOKUP($E5,坦克个性化设定!$B$51:$T$81,MATCH(F$3,坦克个性化设定!$B$51:$T$51,0),FALSE)</f>
        <v>0</v>
      </c>
      <c r="G5" s="104">
        <f>VLOOKUP($E5,坦克个性化设定!$B$51:$T$81,MATCH(G$3,坦克个性化设定!$B$51:$T$51,0),FALSE)</f>
        <v>8.3999999999999986</v>
      </c>
      <c r="I5" s="103" t="s">
        <v>616</v>
      </c>
      <c r="J5" s="8" t="s">
        <v>12</v>
      </c>
      <c r="K5" s="103">
        <f>ROUND(VLOOKUP(I5,坦克个性化设定!$F$84:$S$114,MATCH(K$3,坦克个性化设定!$F$84:$S$84,0),FALSE)*VLOOKUP(J5,$B$3:$C$6,2,FALSE),1)</f>
        <v>47.1</v>
      </c>
      <c r="L5" s="103">
        <f>K5/坦克个性化设定!$M$4*坦克个性化设定!$M$5</f>
        <v>11.774999999999997</v>
      </c>
      <c r="M5" s="103">
        <f>ROUND(VLOOKUP(I5,坦克个性化设定!$F$84:$S$114,MATCH(M$3,坦克个性化设定!$F$84:$S$84,0),FALSE)*VLOOKUP(J5,$B$3:$C$6,2,FALSE),1)</f>
        <v>45</v>
      </c>
      <c r="N5" s="103">
        <f>M5/坦克个性化设定!$M$4*坦克个性化设定!$M$5</f>
        <v>11.249999999999998</v>
      </c>
      <c r="O5" s="103">
        <f>ROUND(VLOOKUP(I5,坦克个性化设定!$F$84:$S$114,MATCH(O$3,坦克个性化设定!$F$84:$S$84,0),FALSE)*VLOOKUP(J5,$B$3:$C$6,2,FALSE),1)</f>
        <v>14.6</v>
      </c>
      <c r="P5" s="393">
        <f t="shared" ref="P5:P33" si="7">ROUND(O5*($C$12-1),2)</f>
        <v>4.7699999999999996</v>
      </c>
      <c r="R5" s="176" t="str">
        <f t="shared" ref="R5:R33" si="8">I5</f>
        <v>二号</v>
      </c>
      <c r="S5" s="103">
        <f>VLOOKUP($R5,坦克个性化设定!$B$51:$T$81,MATCH(S$3,坦克个性化设定!$B$51:$T$51,0),FALSE)</f>
        <v>14.999999999999998</v>
      </c>
      <c r="T5" s="103">
        <f>VLOOKUP($R5,坦克个性化设定!$B$51:$T$81,MATCH(T$3,坦克个性化设定!$B$51:$T$51,0),FALSE)</f>
        <v>0</v>
      </c>
      <c r="U5" s="103">
        <f>VLOOKUP($R5,坦克个性化设定!$B$51:$T$81,MATCH(U$3,坦克个性化设定!$B$51:$T$51,0),FALSE)</f>
        <v>8.3999999999999986</v>
      </c>
      <c r="V5" s="103">
        <f>VLOOKUP($R5,坦克个性化设定!$B$51:$T$81,MATCH(V$3,坦克个性化设定!$B$51:$T$51,0),FALSE)</f>
        <v>0.2</v>
      </c>
      <c r="W5" s="103">
        <f>VLOOKUP($R5,坦克个性化设定!$B$51:$T$81,MATCH(W$3,坦克个性化设定!$B$51:$T$51,0),FALSE)</f>
        <v>0.55000000000000004</v>
      </c>
      <c r="X5" s="103">
        <f>VLOOKUP($R5,坦克个性化设定!$B$51:$T$81,MATCH(X$3,坦克个性化设定!$B$51:$T$51,0),FALSE)</f>
        <v>1.2</v>
      </c>
      <c r="Y5" s="106">
        <f>VLOOKUP($R5,坦克个性化设定!$B$51:$T$81,MATCH(Y$3,坦克个性化设定!$B$51:$T$51,0),FALSE)</f>
        <v>91.607142857142847</v>
      </c>
      <c r="AA5" s="176" t="str">
        <f t="shared" si="0"/>
        <v>二号</v>
      </c>
      <c r="AB5" s="181">
        <f t="shared" si="1"/>
        <v>14.999999999999998</v>
      </c>
      <c r="AC5" s="181">
        <f t="shared" si="2"/>
        <v>0.2</v>
      </c>
      <c r="AD5" s="181">
        <f t="shared" si="3"/>
        <v>0.55000000000000004</v>
      </c>
      <c r="AE5" s="181">
        <f t="shared" si="4"/>
        <v>1.2</v>
      </c>
      <c r="AF5" s="106">
        <f t="shared" ref="AF5:AF33" si="9">AE5*AH5</f>
        <v>1.44</v>
      </c>
      <c r="AG5" s="106">
        <f t="shared" ref="AG5:AG33" si="10">AD5/AF5</f>
        <v>0.38194444444444448</v>
      </c>
      <c r="AH5" s="53">
        <v>1.2</v>
      </c>
      <c r="AI5" s="106">
        <f t="shared" ref="AI5:AI33" si="11">AD5/AE5-AG5</f>
        <v>7.6388888888888895E-2</v>
      </c>
      <c r="AJ5" s="104">
        <f>IF(VLOOKUP(AA5,坦克个性化设定!$B$51:$T$81,9,FALSE)=0,VLOOKUP(AA5,坦克个性化设定!$B$51:$T$81,10,FALSE),VLOOKUP(AA5,坦克个性化设定!$B$51:$T$81,9,FALSE))</f>
        <v>8.3999999999999986</v>
      </c>
      <c r="AK5" s="181" t="str">
        <f>IF(LEN(VLOOKUP(AA5,坦克个性化设定!$B$18:$F$48,5,FALSE))=5,"单发",RIGHT(VLOOKUP(AA5,坦克个性化设定!$B$18:$F$48,5,FALSE),2))</f>
        <v>弹夹</v>
      </c>
      <c r="AL5" s="106">
        <f t="shared" si="5"/>
        <v>119.08928571428571</v>
      </c>
      <c r="AM5" s="106">
        <f t="shared" ref="AM5:AM33" si="12">AC5</f>
        <v>0.2</v>
      </c>
      <c r="AN5" s="106">
        <f t="shared" ref="AN5:AN33" si="13">IF(AK5="弹夹",(60-(AB5-1)*AM5)/(AL5/AB5-1)-(AB5-1)*AM5,IF(AK5="单发",(60-(AB5-1)*AM5)/(AL5-AB5),60/(AL5-AB5)))</f>
        <v>5.4429233144621714</v>
      </c>
      <c r="AO5" s="106">
        <f t="shared" si="6"/>
        <v>0.35203293875450331</v>
      </c>
      <c r="AP5" s="106">
        <f t="shared" ref="AP5:AP33" si="14">AJ5-AN5</f>
        <v>2.9570766855378272</v>
      </c>
    </row>
    <row r="6" spans="2:42" x14ac:dyDescent="0.35">
      <c r="B6" s="196" t="s">
        <v>14</v>
      </c>
      <c r="C6" s="8">
        <v>1.05</v>
      </c>
      <c r="D6" s="10"/>
      <c r="E6" s="100" t="s">
        <v>617</v>
      </c>
      <c r="F6" s="104">
        <f>VLOOKUP($E6,坦克个性化设定!$B$51:$T$81,MATCH(F$3,坦克个性化设定!$B$51:$T$51,0),FALSE)</f>
        <v>1.0499999999999998</v>
      </c>
      <c r="G6" s="104">
        <f>VLOOKUP($E6,坦克个性化设定!$B$51:$T$81,MATCH(G$3,坦克个性化设定!$B$51:$T$51,0),FALSE)</f>
        <v>0</v>
      </c>
      <c r="I6" s="103" t="s">
        <v>617</v>
      </c>
      <c r="J6" s="8" t="s">
        <v>1077</v>
      </c>
      <c r="K6" s="103">
        <f>ROUND(VLOOKUP(I6,坦克个性化设定!$F$84:$S$114,MATCH(K$3,坦克个性化设定!$F$84:$S$84,0),FALSE)*VLOOKUP(J6,$B$3:$C$6,2,FALSE),1)</f>
        <v>43.3</v>
      </c>
      <c r="L6" s="103">
        <f>K6/坦克个性化设定!$M$4*坦克个性化设定!$M$5</f>
        <v>10.824999999999996</v>
      </c>
      <c r="M6" s="103">
        <f>ROUND(VLOOKUP(I6,坦克个性化设定!$F$84:$S$114,MATCH(M$3,坦克个性化设定!$F$84:$S$84,0),FALSE)*VLOOKUP(J6,$B$3:$C$6,2,FALSE),1)</f>
        <v>51</v>
      </c>
      <c r="N6" s="103">
        <f>M6/坦克个性化设定!$M$4*坦克个性化设定!$M$5</f>
        <v>12.749999999999996</v>
      </c>
      <c r="O6" s="103">
        <f>ROUND(VLOOKUP(I6,坦克个性化设定!$F$84:$S$114,MATCH(O$3,坦克个性化设定!$F$84:$S$84,0),FALSE)*VLOOKUP(J6,$B$3:$C$6,2,FALSE),1)</f>
        <v>14.1</v>
      </c>
      <c r="P6" s="393">
        <f t="shared" si="7"/>
        <v>4.6100000000000003</v>
      </c>
      <c r="R6" s="176" t="str">
        <f t="shared" si="8"/>
        <v>Puma</v>
      </c>
      <c r="S6" s="103">
        <f>VLOOKUP($R6,坦克个性化设定!$B$51:$T$81,MATCH(S$3,坦克个性化设定!$B$51:$T$51,0),FALSE)</f>
        <v>4</v>
      </c>
      <c r="T6" s="103">
        <f>VLOOKUP($R6,坦克个性化设定!$B$51:$T$81,MATCH(T$3,坦克个性化设定!$B$51:$T$51,0),FALSE)</f>
        <v>1.0499999999999998</v>
      </c>
      <c r="U6" s="103">
        <f>VLOOKUP($R6,坦克个性化设定!$B$51:$T$81,MATCH(U$3,坦克个性化设定!$B$51:$T$51,0),FALSE)</f>
        <v>0</v>
      </c>
      <c r="V6" s="103">
        <f>VLOOKUP($R6,坦克个性化设定!$B$51:$T$81,MATCH(V$3,坦克个性化设定!$B$51:$T$51,0),FALSE)</f>
        <v>0.4</v>
      </c>
      <c r="W6" s="103">
        <f>VLOOKUP($R6,坦克个性化设定!$B$51:$T$81,MATCH(W$3,坦克个性化设定!$B$51:$T$51,0),FALSE)</f>
        <v>1.47</v>
      </c>
      <c r="X6" s="103">
        <f>VLOOKUP($R6,坦克个性化设定!$B$51:$T$81,MATCH(X$3,坦克个性化设定!$B$51:$T$51,0),FALSE)</f>
        <v>1.2</v>
      </c>
      <c r="Y6" s="106">
        <f>VLOOKUP($R6,坦克个性化设定!$B$51:$T$81,MATCH(Y$3,坦克个性化设定!$B$51:$T$51,0),FALSE)</f>
        <v>60.000000000000007</v>
      </c>
      <c r="AA6" s="176" t="str">
        <f t="shared" si="0"/>
        <v>Puma</v>
      </c>
      <c r="AB6" s="181">
        <f t="shared" si="1"/>
        <v>4</v>
      </c>
      <c r="AC6" s="181">
        <f t="shared" si="2"/>
        <v>0.4</v>
      </c>
      <c r="AD6" s="181">
        <f t="shared" si="3"/>
        <v>1.47</v>
      </c>
      <c r="AE6" s="181">
        <f t="shared" si="4"/>
        <v>1.2</v>
      </c>
      <c r="AF6" s="106">
        <f t="shared" si="9"/>
        <v>1.44</v>
      </c>
      <c r="AG6" s="106">
        <f t="shared" si="10"/>
        <v>1.0208333333333333</v>
      </c>
      <c r="AH6" s="53">
        <v>1.2</v>
      </c>
      <c r="AI6" s="106">
        <f t="shared" si="11"/>
        <v>0.20416666666666683</v>
      </c>
      <c r="AJ6" s="104">
        <f>IF(VLOOKUP(AA6,坦克个性化设定!$B$51:$T$81,9,FALSE)=0,VLOOKUP(AA6,坦克个性化设定!$B$51:$T$81,10,FALSE),VLOOKUP(AA6,坦克个性化设定!$B$51:$T$81,9,FALSE))</f>
        <v>1.0499999999999998</v>
      </c>
      <c r="AK6" s="181" t="str">
        <f>IF(LEN(VLOOKUP(AA6,坦克个性化设定!$B$18:$F$48,5,FALSE))=5,"单发",RIGHT(VLOOKUP(AA6,坦克个性化设定!$B$18:$F$48,5,FALSE),2))</f>
        <v>单发</v>
      </c>
      <c r="AL6" s="106">
        <f t="shared" si="5"/>
        <v>78.000000000000014</v>
      </c>
      <c r="AM6" s="106">
        <f t="shared" si="12"/>
        <v>0.4</v>
      </c>
      <c r="AN6" s="106">
        <f t="shared" si="13"/>
        <v>0.79459459459459436</v>
      </c>
      <c r="AO6" s="106">
        <f t="shared" si="6"/>
        <v>0.24324324324324334</v>
      </c>
      <c r="AP6" s="106">
        <f t="shared" si="14"/>
        <v>0.25540540540540546</v>
      </c>
    </row>
    <row r="7" spans="2:42" x14ac:dyDescent="0.35">
      <c r="E7" s="100" t="s">
        <v>618</v>
      </c>
      <c r="F7" s="104">
        <f>VLOOKUP($E7,坦克个性化设定!$B$51:$T$81,MATCH(F$3,坦克个性化设定!$B$51:$T$51,0),FALSE)</f>
        <v>1.4</v>
      </c>
      <c r="G7" s="104">
        <f>VLOOKUP($E7,坦克个性化设定!$B$51:$T$81,MATCH(G$3,坦克个性化设定!$B$51:$T$51,0),FALSE)</f>
        <v>0</v>
      </c>
      <c r="I7" s="103" t="s">
        <v>618</v>
      </c>
      <c r="J7" s="8" t="s">
        <v>1076</v>
      </c>
      <c r="K7" s="103">
        <f>ROUND(VLOOKUP(I7,坦克个性化设定!$F$84:$S$114,MATCH(K$3,坦克个性化设定!$F$84:$S$84,0),FALSE)*VLOOKUP(J7,$B$3:$C$6,2,FALSE),1)</f>
        <v>42.4</v>
      </c>
      <c r="L7" s="103">
        <f>K7/坦克个性化设定!$M$4*坦克个性化设定!$M$5</f>
        <v>10.599999999999996</v>
      </c>
      <c r="M7" s="103">
        <f>ROUND(VLOOKUP(I7,坦克个性化设定!$F$84:$S$114,MATCH(M$3,坦克个性化设定!$F$84:$S$84,0),FALSE)*VLOOKUP(J7,$B$3:$C$6,2,FALSE),1)</f>
        <v>50</v>
      </c>
      <c r="N7" s="103">
        <f>M7/坦克个性化设定!$M$4*坦克个性化设定!$M$5</f>
        <v>12.499999999999996</v>
      </c>
      <c r="O7" s="103">
        <f>ROUND(VLOOKUP(I7,坦克个性化设定!$F$84:$S$114,MATCH(O$3,坦克个性化设定!$F$84:$S$84,0),FALSE)*VLOOKUP(J7,$B$3:$C$6,2,FALSE),1)</f>
        <v>13.9</v>
      </c>
      <c r="P7" s="393">
        <f t="shared" si="7"/>
        <v>4.54</v>
      </c>
      <c r="R7" s="176" t="str">
        <f t="shared" si="8"/>
        <v>35(t)</v>
      </c>
      <c r="S7" s="103">
        <f>VLOOKUP($R7,坦克个性化设定!$B$51:$T$81,MATCH(S$3,坦克个性化设定!$B$51:$T$51,0),FALSE)</f>
        <v>6</v>
      </c>
      <c r="T7" s="103">
        <f>VLOOKUP($R7,坦克个性化设定!$B$51:$T$81,MATCH(T$3,坦克个性化设定!$B$51:$T$51,0),FALSE)</f>
        <v>1.4</v>
      </c>
      <c r="U7" s="103">
        <f>VLOOKUP($R7,坦克个性化设定!$B$51:$T$81,MATCH(U$3,坦克个性化设定!$B$51:$T$51,0),FALSE)</f>
        <v>0</v>
      </c>
      <c r="V7" s="103">
        <f>VLOOKUP($R7,坦克个性化设定!$B$51:$T$81,MATCH(V$3,坦克个性化设定!$B$51:$T$51,0),FALSE)</f>
        <v>0.4</v>
      </c>
      <c r="W7" s="103">
        <f>VLOOKUP($R7,坦克个性化设定!$B$51:$T$81,MATCH(W$3,坦克个性化设定!$B$51:$T$51,0),FALSE)</f>
        <v>1.1399999999999999</v>
      </c>
      <c r="X7" s="103">
        <f>VLOOKUP($R7,坦克个性化设定!$B$51:$T$81,MATCH(X$3,坦克个性化设定!$B$51:$T$51,0),FALSE)</f>
        <v>1.2</v>
      </c>
      <c r="Y7" s="106">
        <f>VLOOKUP($R7,坦克个性化设定!$B$51:$T$81,MATCH(Y$3,坦克个性化设定!$B$51:$T$51,0),FALSE)</f>
        <v>47.428571428571431</v>
      </c>
      <c r="AA7" s="176" t="str">
        <f t="shared" si="0"/>
        <v>35(t)</v>
      </c>
      <c r="AB7" s="181">
        <f t="shared" si="1"/>
        <v>6</v>
      </c>
      <c r="AC7" s="181">
        <f t="shared" si="2"/>
        <v>0.4</v>
      </c>
      <c r="AD7" s="181">
        <f t="shared" si="3"/>
        <v>1.1399999999999999</v>
      </c>
      <c r="AE7" s="181">
        <f t="shared" si="4"/>
        <v>1.2</v>
      </c>
      <c r="AF7" s="106">
        <f t="shared" si="9"/>
        <v>1.44</v>
      </c>
      <c r="AG7" s="106">
        <f t="shared" si="10"/>
        <v>0.79166666666666663</v>
      </c>
      <c r="AH7" s="53">
        <v>1.2</v>
      </c>
      <c r="AI7" s="106">
        <f t="shared" si="11"/>
        <v>0.15833333333333333</v>
      </c>
      <c r="AJ7" s="104">
        <f>IF(VLOOKUP(AA7,坦克个性化设定!$B$51:$T$81,9,FALSE)=0,VLOOKUP(AA7,坦克个性化设定!$B$51:$T$81,10,FALSE),VLOOKUP(AA7,坦克个性化设定!$B$51:$T$81,9,FALSE))</f>
        <v>1.4</v>
      </c>
      <c r="AK7" s="181" t="str">
        <f>IF(LEN(VLOOKUP(AA7,坦克个性化设定!$B$18:$F$48,5,FALSE))=5,"单发",RIGHT(VLOOKUP(AA7,坦克个性化设定!$B$18:$F$48,5,FALSE),2))</f>
        <v>单发</v>
      </c>
      <c r="AL7" s="106">
        <f t="shared" si="5"/>
        <v>61.657142857142858</v>
      </c>
      <c r="AM7" s="106">
        <f t="shared" si="12"/>
        <v>0.4</v>
      </c>
      <c r="AN7" s="106">
        <f t="shared" si="13"/>
        <v>1.0420944558521561</v>
      </c>
      <c r="AO7" s="106">
        <f t="shared" si="6"/>
        <v>0.25564681724845989</v>
      </c>
      <c r="AP7" s="106">
        <f t="shared" si="14"/>
        <v>0.35790554414784381</v>
      </c>
    </row>
    <row r="8" spans="2:42" x14ac:dyDescent="0.35">
      <c r="B8" s="816" t="s">
        <v>1080</v>
      </c>
      <c r="C8" s="823"/>
      <c r="D8" s="201"/>
      <c r="E8" s="100" t="s">
        <v>619</v>
      </c>
      <c r="F8" s="104">
        <f>VLOOKUP($E8,坦克个性化设定!$B$51:$T$81,MATCH(F$3,坦克个性化设定!$B$51:$T$51,0),FALSE)</f>
        <v>0</v>
      </c>
      <c r="G8" s="104">
        <f>VLOOKUP($E8,坦克个性化设定!$B$51:$T$81,MATCH(G$3,坦克个性化设定!$B$51:$T$51,0),FALSE)</f>
        <v>6.3</v>
      </c>
      <c r="I8" s="103" t="s">
        <v>619</v>
      </c>
      <c r="J8" s="8" t="s">
        <v>1077</v>
      </c>
      <c r="K8" s="103">
        <f>ROUND(VLOOKUP(I8,坦克个性化设定!$F$84:$S$114,MATCH(K$3,坦克个性化设定!$F$84:$S$84,0),FALSE)*VLOOKUP(J8,$B$3:$C$6,2,FALSE),1)</f>
        <v>48.1</v>
      </c>
      <c r="L8" s="103">
        <f>K8/坦克个性化设定!$M$4*坦克个性化设定!$M$5</f>
        <v>12.024999999999997</v>
      </c>
      <c r="M8" s="103">
        <f>ROUND(VLOOKUP(I8,坦克个性化设定!$F$84:$S$114,MATCH(M$3,坦克个性化设定!$F$84:$S$84,0),FALSE)*VLOOKUP(J8,$B$3:$C$6,2,FALSE),1)</f>
        <v>45.9</v>
      </c>
      <c r="N8" s="103">
        <f>M8/坦克个性化设定!$M$4*坦克个性化设定!$M$5</f>
        <v>11.474999999999996</v>
      </c>
      <c r="O8" s="103">
        <f>ROUND(VLOOKUP(I8,坦克个性化设定!$F$84:$S$114,MATCH(O$3,坦克个性化设定!$F$84:$S$84,0),FALSE)*VLOOKUP(J8,$B$3:$C$6,2,FALSE),1)</f>
        <v>14.9</v>
      </c>
      <c r="P8" s="393">
        <f t="shared" si="7"/>
        <v>4.87</v>
      </c>
      <c r="R8" s="176" t="str">
        <f t="shared" si="8"/>
        <v>十字军</v>
      </c>
      <c r="S8" s="103">
        <f>VLOOKUP($R8,坦克个性化设定!$B$51:$T$81,MATCH(S$3,坦克个性化设定!$B$51:$T$51,0),FALSE)</f>
        <v>9</v>
      </c>
      <c r="T8" s="103">
        <f>VLOOKUP($R8,坦克个性化设定!$B$51:$T$81,MATCH(T$3,坦克个性化设定!$B$51:$T$51,0),FALSE)</f>
        <v>0</v>
      </c>
      <c r="U8" s="103">
        <f>VLOOKUP($R8,坦克个性化设定!$B$51:$T$81,MATCH(U$3,坦克个性化设定!$B$51:$T$51,0),FALSE)</f>
        <v>6.3</v>
      </c>
      <c r="V8" s="103">
        <f>VLOOKUP($R8,坦克个性化设定!$B$51:$T$81,MATCH(V$3,坦克个性化设定!$B$51:$T$51,0),FALSE)</f>
        <v>0.30000000000000004</v>
      </c>
      <c r="W8" s="103">
        <f>VLOOKUP($R8,坦克个性化设定!$B$51:$T$81,MATCH(W$3,坦克个性化设定!$B$51:$T$51,0),FALSE)</f>
        <v>0.84</v>
      </c>
      <c r="X8" s="103">
        <f>VLOOKUP($R8,坦克个性化设定!$B$51:$T$81,MATCH(X$3,坦克个性化设定!$B$51:$T$51,0),FALSE)</f>
        <v>1.2</v>
      </c>
      <c r="Y8" s="106">
        <f>VLOOKUP($R8,坦克个性化设定!$B$51:$T$81,MATCH(Y$3,坦克个性化设定!$B$51:$T$51,0),FALSE)</f>
        <v>68.58620689655173</v>
      </c>
      <c r="AA8" s="176" t="str">
        <f t="shared" si="0"/>
        <v>十字军</v>
      </c>
      <c r="AB8" s="181">
        <f t="shared" si="1"/>
        <v>9</v>
      </c>
      <c r="AC8" s="181">
        <f t="shared" si="2"/>
        <v>0.30000000000000004</v>
      </c>
      <c r="AD8" s="181">
        <f t="shared" si="3"/>
        <v>0.84</v>
      </c>
      <c r="AE8" s="181">
        <f t="shared" si="4"/>
        <v>1.2</v>
      </c>
      <c r="AF8" s="106">
        <f t="shared" si="9"/>
        <v>1.44</v>
      </c>
      <c r="AG8" s="106">
        <f t="shared" si="10"/>
        <v>0.58333333333333337</v>
      </c>
      <c r="AH8" s="53">
        <v>1.2</v>
      </c>
      <c r="AI8" s="106">
        <f t="shared" si="11"/>
        <v>0.11666666666666659</v>
      </c>
      <c r="AJ8" s="104">
        <f>IF(VLOOKUP(AA8,坦克个性化设定!$B$51:$T$81,9,FALSE)=0,VLOOKUP(AA8,坦克个性化设定!$B$51:$T$81,10,FALSE),VLOOKUP(AA8,坦克个性化设定!$B$51:$T$81,9,FALSE))</f>
        <v>6.3</v>
      </c>
      <c r="AK8" s="181" t="str">
        <f>IF(LEN(VLOOKUP(AA8,坦克个性化设定!$B$18:$F$48,5,FALSE))=5,"单发",RIGHT(VLOOKUP(AA8,坦克个性化设定!$B$18:$F$48,5,FALSE),2))</f>
        <v>弹夹</v>
      </c>
      <c r="AL8" s="106">
        <f t="shared" si="5"/>
        <v>89.16206896551725</v>
      </c>
      <c r="AM8" s="106">
        <f t="shared" si="12"/>
        <v>0.30000000000000004</v>
      </c>
      <c r="AN8" s="106">
        <f t="shared" si="13"/>
        <v>4.0668989547038326</v>
      </c>
      <c r="AO8" s="106">
        <f t="shared" si="6"/>
        <v>0.35446048338034403</v>
      </c>
      <c r="AP8" s="106">
        <f t="shared" si="14"/>
        <v>2.2331010452961673</v>
      </c>
    </row>
    <row r="9" spans="2:42" x14ac:dyDescent="0.35">
      <c r="B9" s="103" t="s">
        <v>735</v>
      </c>
      <c r="C9" s="8">
        <v>1.3</v>
      </c>
      <c r="D9" s="201"/>
      <c r="E9" s="100" t="s">
        <v>716</v>
      </c>
      <c r="F9" s="104">
        <f>VLOOKUP($E9,坦克个性化设定!$B$51:$T$81,MATCH(F$3,坦克个性化设定!$B$51:$T$51,0),FALSE)</f>
        <v>3</v>
      </c>
      <c r="G9" s="104">
        <f>VLOOKUP($E9,坦克个性化设定!$B$51:$T$81,MATCH(G$3,坦克个性化设定!$B$51:$T$51,0),FALSE)</f>
        <v>0</v>
      </c>
      <c r="I9" s="103" t="s">
        <v>716</v>
      </c>
      <c r="J9" s="8" t="s">
        <v>14</v>
      </c>
      <c r="K9" s="103">
        <f>ROUND(VLOOKUP(I9,坦克个性化设定!$F$84:$S$114,MATCH(K$3,坦克个性化设定!$F$84:$S$84,0),FALSE)*VLOOKUP(J9,$B$3:$C$6,2,FALSE),1)</f>
        <v>39.6</v>
      </c>
      <c r="L9" s="103">
        <f>K9/坦克个性化设定!$M$4*坦克个性化设定!$M$5</f>
        <v>9.8999999999999986</v>
      </c>
      <c r="M9" s="103">
        <f>ROUND(VLOOKUP(I9,坦克个性化设定!$F$84:$S$114,MATCH(M$3,坦克个性化设定!$F$84:$S$84,0),FALSE)*VLOOKUP(J9,$B$3:$C$6,2,FALSE),1)</f>
        <v>59.1</v>
      </c>
      <c r="N9" s="103">
        <f>M9/坦克个性化设定!$M$4*坦克个性化设定!$M$5</f>
        <v>14.774999999999997</v>
      </c>
      <c r="O9" s="103">
        <f>ROUND(VLOOKUP(I9,坦克个性化设定!$F$84:$S$114,MATCH(O$3,坦克个性化设定!$F$84:$S$84,0),FALSE)*VLOOKUP(J9,$B$3:$C$6,2,FALSE),1)</f>
        <v>13.8</v>
      </c>
      <c r="P9" s="393">
        <f t="shared" si="7"/>
        <v>4.51</v>
      </c>
      <c r="R9" s="176" t="str">
        <f t="shared" si="8"/>
        <v>AMX-13</v>
      </c>
      <c r="S9" s="103">
        <f>VLOOKUP($R9,坦克个性化设定!$B$51:$T$81,MATCH(S$3,坦克个性化设定!$B$51:$T$51,0),FALSE)</f>
        <v>1</v>
      </c>
      <c r="T9" s="103">
        <f>VLOOKUP($R9,坦克个性化设定!$B$51:$T$81,MATCH(T$3,坦克个性化设定!$B$51:$T$51,0),FALSE)</f>
        <v>3</v>
      </c>
      <c r="U9" s="103">
        <f>VLOOKUP($R9,坦克个性化设定!$B$51:$T$81,MATCH(U$3,坦克个性化设定!$B$51:$T$51,0),FALSE)</f>
        <v>0</v>
      </c>
      <c r="V9" s="103">
        <f>VLOOKUP($R9,坦克个性化设定!$B$51:$T$81,MATCH(V$3,坦克个性化设定!$B$51:$T$51,0),FALSE)</f>
        <v>0</v>
      </c>
      <c r="W9" s="103">
        <f>VLOOKUP($R9,坦克个性化设定!$B$51:$T$81,MATCH(W$3,坦克个性化设定!$B$51:$T$51,0),FALSE)</f>
        <v>1.8</v>
      </c>
      <c r="X9" s="103">
        <f>VLOOKUP($R9,坦克个性化设定!$B$51:$T$81,MATCH(X$3,坦克个性化设定!$B$51:$T$51,0),FALSE)</f>
        <v>1</v>
      </c>
      <c r="Y9" s="106">
        <f>VLOOKUP($R9,坦克个性化设定!$B$51:$T$81,MATCH(Y$3,坦克个性化设定!$B$51:$T$51,0),FALSE)</f>
        <v>21</v>
      </c>
      <c r="AA9" s="176" t="str">
        <f t="shared" si="0"/>
        <v>AMX-13</v>
      </c>
      <c r="AB9" s="181">
        <f t="shared" si="1"/>
        <v>1</v>
      </c>
      <c r="AC9" s="181">
        <f t="shared" si="2"/>
        <v>0</v>
      </c>
      <c r="AD9" s="181">
        <f t="shared" si="3"/>
        <v>1.8</v>
      </c>
      <c r="AE9" s="181">
        <f t="shared" si="4"/>
        <v>1</v>
      </c>
      <c r="AF9" s="106">
        <f t="shared" si="9"/>
        <v>1.2</v>
      </c>
      <c r="AG9" s="106">
        <f t="shared" si="10"/>
        <v>1.5</v>
      </c>
      <c r="AH9" s="53">
        <v>1.2</v>
      </c>
      <c r="AI9" s="106">
        <f t="shared" si="11"/>
        <v>0.30000000000000004</v>
      </c>
      <c r="AJ9" s="104">
        <f>IF(VLOOKUP(AA9,坦克个性化设定!$B$51:$T$81,9,FALSE)=0,VLOOKUP(AA9,坦克个性化设定!$B$51:$T$81,10,FALSE),VLOOKUP(AA9,坦克个性化设定!$B$51:$T$81,9,FALSE))</f>
        <v>3</v>
      </c>
      <c r="AK9" s="181" t="str">
        <f>IF(LEN(VLOOKUP(AA9,坦克个性化设定!$B$18:$F$48,5,FALSE))=5,"单发",RIGHT(VLOOKUP(AA9,坦克个性化设定!$B$18:$F$48,5,FALSE),2))</f>
        <v>单发</v>
      </c>
      <c r="AL9" s="106">
        <f t="shared" si="5"/>
        <v>27.3</v>
      </c>
      <c r="AM9" s="106">
        <f t="shared" si="12"/>
        <v>0</v>
      </c>
      <c r="AN9" s="106">
        <f t="shared" si="13"/>
        <v>2.2813688212927756</v>
      </c>
      <c r="AO9" s="106">
        <f t="shared" si="6"/>
        <v>0.23954372623574147</v>
      </c>
      <c r="AP9" s="106">
        <f t="shared" si="14"/>
        <v>0.71863117870722437</v>
      </c>
    </row>
    <row r="10" spans="2:42" x14ac:dyDescent="0.35">
      <c r="D10" s="10"/>
      <c r="E10" s="100" t="s">
        <v>620</v>
      </c>
      <c r="F10" s="104">
        <f>VLOOKUP($E10,坦克个性化设定!$B$51:$T$81,MATCH(F$3,坦克个性化设定!$B$51:$T$51,0),FALSE)</f>
        <v>1.4</v>
      </c>
      <c r="G10" s="104">
        <f>VLOOKUP($E10,坦克个性化设定!$B$51:$T$81,MATCH(G$3,坦克个性化设定!$B$51:$T$51,0),FALSE)</f>
        <v>0</v>
      </c>
      <c r="I10" s="103" t="s">
        <v>620</v>
      </c>
      <c r="J10" s="8" t="s">
        <v>1076</v>
      </c>
      <c r="K10" s="103">
        <f>ROUND(VLOOKUP(I10,坦克个性化设定!$F$84:$S$114,MATCH(K$3,坦克个性化设定!$F$84:$S$84,0),FALSE)*VLOOKUP(J10,$B$3:$C$6,2,FALSE),1)</f>
        <v>42.4</v>
      </c>
      <c r="L10" s="103">
        <f>K10/坦克个性化设定!$M$4*坦克个性化设定!$M$5</f>
        <v>10.599999999999996</v>
      </c>
      <c r="M10" s="103">
        <f>ROUND(VLOOKUP(I10,坦克个性化设定!$F$84:$S$114,MATCH(M$3,坦克个性化设定!$F$84:$S$84,0),FALSE)*VLOOKUP(J10,$B$3:$C$6,2,FALSE),1)</f>
        <v>50</v>
      </c>
      <c r="N10" s="103">
        <f>M10/坦克个性化设定!$M$4*坦克个性化设定!$M$5</f>
        <v>12.499999999999996</v>
      </c>
      <c r="O10" s="103">
        <f>ROUND(VLOOKUP(I10,坦克个性化设定!$F$84:$S$114,MATCH(O$3,坦克个性化设定!$F$84:$S$84,0),FALSE)*VLOOKUP(J10,$B$3:$C$6,2,FALSE),1)</f>
        <v>13.9</v>
      </c>
      <c r="P10" s="393">
        <f t="shared" si="7"/>
        <v>4.54</v>
      </c>
      <c r="R10" s="176" t="str">
        <f t="shared" si="8"/>
        <v>霞飞</v>
      </c>
      <c r="S10" s="103">
        <f>VLOOKUP($R10,坦克个性化设定!$B$51:$T$81,MATCH(S$3,坦克个性化设定!$B$51:$T$51,0),FALSE)</f>
        <v>6</v>
      </c>
      <c r="T10" s="103">
        <f>VLOOKUP($R10,坦克个性化设定!$B$51:$T$81,MATCH(T$3,坦克个性化设定!$B$51:$T$51,0),FALSE)</f>
        <v>1.4</v>
      </c>
      <c r="U10" s="103">
        <f>VLOOKUP($R10,坦克个性化设定!$B$51:$T$81,MATCH(U$3,坦克个性化设定!$B$51:$T$51,0),FALSE)</f>
        <v>0</v>
      </c>
      <c r="V10" s="103">
        <f>VLOOKUP($R10,坦克个性化设定!$B$51:$T$81,MATCH(V$3,坦克个性化设定!$B$51:$T$51,0),FALSE)</f>
        <v>0.30000000000000004</v>
      </c>
      <c r="W10" s="103">
        <f>VLOOKUP($R10,坦克个性化设定!$B$51:$T$81,MATCH(W$3,坦克个性化设定!$B$51:$T$51,0),FALSE)</f>
        <v>1.08</v>
      </c>
      <c r="X10" s="103">
        <f>VLOOKUP($R10,坦克个性化设定!$B$51:$T$81,MATCH(X$3,坦克个性化设定!$B$51:$T$51,0),FALSE)</f>
        <v>1.2</v>
      </c>
      <c r="Y10" s="106">
        <f>VLOOKUP($R10,坦克个性化设定!$B$51:$T$81,MATCH(Y$3,坦克个性化设定!$B$51:$T$51,0),FALSE)</f>
        <v>47.785714285714292</v>
      </c>
      <c r="AA10" s="176" t="str">
        <f t="shared" si="0"/>
        <v>霞飞</v>
      </c>
      <c r="AB10" s="181">
        <f t="shared" si="1"/>
        <v>6</v>
      </c>
      <c r="AC10" s="181">
        <f t="shared" si="2"/>
        <v>0.30000000000000004</v>
      </c>
      <c r="AD10" s="181">
        <f t="shared" si="3"/>
        <v>1.08</v>
      </c>
      <c r="AE10" s="181">
        <f t="shared" si="4"/>
        <v>1.2</v>
      </c>
      <c r="AF10" s="106">
        <f t="shared" si="9"/>
        <v>1.44</v>
      </c>
      <c r="AG10" s="106">
        <f t="shared" si="10"/>
        <v>0.75000000000000011</v>
      </c>
      <c r="AH10" s="53">
        <v>1.2</v>
      </c>
      <c r="AI10" s="106">
        <f t="shared" si="11"/>
        <v>0.15000000000000002</v>
      </c>
      <c r="AJ10" s="104">
        <f>IF(VLOOKUP(AA10,坦克个性化设定!$B$51:$T$81,9,FALSE)=0,VLOOKUP(AA10,坦克个性化设定!$B$51:$T$81,10,FALSE),VLOOKUP(AA10,坦克个性化设定!$B$51:$T$81,9,FALSE))</f>
        <v>1.4</v>
      </c>
      <c r="AK10" s="181" t="str">
        <f>IF(LEN(VLOOKUP(AA10,坦克个性化设定!$B$18:$F$48,5,FALSE))=5,"单发",RIGHT(VLOOKUP(AA10,坦克个性化设定!$B$18:$F$48,5,FALSE),2))</f>
        <v>单发</v>
      </c>
      <c r="AL10" s="106">
        <f t="shared" si="5"/>
        <v>62.121428571428581</v>
      </c>
      <c r="AM10" s="106">
        <f t="shared" si="12"/>
        <v>0.30000000000000004</v>
      </c>
      <c r="AN10" s="106">
        <f t="shared" si="13"/>
        <v>1.0423825887743412</v>
      </c>
      <c r="AO10" s="106">
        <f t="shared" si="6"/>
        <v>0.25544100801832764</v>
      </c>
      <c r="AP10" s="106">
        <f t="shared" si="14"/>
        <v>0.35761741122565871</v>
      </c>
    </row>
    <row r="11" spans="2:42" x14ac:dyDescent="0.35">
      <c r="B11" s="826" t="s">
        <v>1841</v>
      </c>
      <c r="C11" s="827"/>
      <c r="D11" s="10"/>
      <c r="E11" s="100" t="s">
        <v>717</v>
      </c>
      <c r="F11" s="104">
        <f>VLOOKUP($E11,坦克个性化设定!$B$51:$T$81,MATCH(F$3,坦克个性化设定!$B$51:$T$51,0),FALSE)</f>
        <v>3</v>
      </c>
      <c r="G11" s="104">
        <f>VLOOKUP($E11,坦克个性化设定!$B$51:$T$81,MATCH(G$3,坦克个性化设定!$B$51:$T$51,0),FALSE)</f>
        <v>0</v>
      </c>
      <c r="I11" s="103" t="s">
        <v>717</v>
      </c>
      <c r="J11" s="8" t="s">
        <v>1077</v>
      </c>
      <c r="K11" s="103">
        <f>ROUND(VLOOKUP(I11,坦克个性化设定!$F$84:$S$114,MATCH(K$3,坦克个性化设定!$F$84:$S$84,0),FALSE)*VLOOKUP(J11,$B$3:$C$6,2,FALSE),1)</f>
        <v>38.5</v>
      </c>
      <c r="L11" s="103">
        <f>K11/坦克个性化设定!$M$4*坦克个性化设定!$M$5</f>
        <v>9.6249999999999982</v>
      </c>
      <c r="M11" s="103">
        <f>ROUND(VLOOKUP(I11,坦克个性化设定!$F$84:$S$114,MATCH(M$3,坦克个性化设定!$F$84:$S$84,0),FALSE)*VLOOKUP(J11,$B$3:$C$6,2,FALSE),1)</f>
        <v>57.4</v>
      </c>
      <c r="N11" s="103">
        <f>M11/坦克个性化设定!$M$4*坦克个性化设定!$M$5</f>
        <v>14.349999999999996</v>
      </c>
      <c r="O11" s="103">
        <f>ROUND(VLOOKUP(I11,坦克个性化设定!$F$84:$S$114,MATCH(O$3,坦克个性化设定!$F$84:$S$84,0),FALSE)*VLOOKUP(J11,$B$3:$C$6,2,FALSE),1)</f>
        <v>13.4</v>
      </c>
      <c r="P11" s="393">
        <f t="shared" si="7"/>
        <v>4.38</v>
      </c>
      <c r="R11" s="176" t="str">
        <f t="shared" si="8"/>
        <v>M-41</v>
      </c>
      <c r="S11" s="103">
        <f>VLOOKUP($R11,坦克个性化设定!$B$51:$T$81,MATCH(S$3,坦克个性化设定!$B$51:$T$51,0),FALSE)</f>
        <v>1</v>
      </c>
      <c r="T11" s="103">
        <f>VLOOKUP($R11,坦克个性化设定!$B$51:$T$81,MATCH(T$3,坦克个性化设定!$B$51:$T$51,0),FALSE)</f>
        <v>3</v>
      </c>
      <c r="U11" s="103">
        <f>VLOOKUP($R11,坦克个性化设定!$B$51:$T$81,MATCH(U$3,坦克个性化设定!$B$51:$T$51,0),FALSE)</f>
        <v>0</v>
      </c>
      <c r="V11" s="103">
        <f>VLOOKUP($R11,坦克个性化设定!$B$51:$T$81,MATCH(V$3,坦克个性化设定!$B$51:$T$51,0),FALSE)</f>
        <v>0</v>
      </c>
      <c r="W11" s="103">
        <f>VLOOKUP($R11,坦克个性化设定!$B$51:$T$81,MATCH(W$3,坦克个性化设定!$B$51:$T$51,0),FALSE)</f>
        <v>1.8</v>
      </c>
      <c r="X11" s="103">
        <f>VLOOKUP($R11,坦克个性化设定!$B$51:$T$81,MATCH(X$3,坦克个性化设定!$B$51:$T$51,0),FALSE)</f>
        <v>1</v>
      </c>
      <c r="Y11" s="106">
        <f>VLOOKUP($R11,坦克个性化设定!$B$51:$T$81,MATCH(Y$3,坦克个性化设定!$B$51:$T$51,0),FALSE)</f>
        <v>21</v>
      </c>
      <c r="AA11" s="176" t="str">
        <f t="shared" si="0"/>
        <v>M-41</v>
      </c>
      <c r="AB11" s="181">
        <f t="shared" si="1"/>
        <v>1</v>
      </c>
      <c r="AC11" s="181">
        <f t="shared" si="2"/>
        <v>0</v>
      </c>
      <c r="AD11" s="181">
        <f t="shared" si="3"/>
        <v>1.8</v>
      </c>
      <c r="AE11" s="181">
        <f t="shared" si="4"/>
        <v>1</v>
      </c>
      <c r="AF11" s="106">
        <f t="shared" si="9"/>
        <v>1.2</v>
      </c>
      <c r="AG11" s="106">
        <f t="shared" si="10"/>
        <v>1.5</v>
      </c>
      <c r="AH11" s="53">
        <v>1.2</v>
      </c>
      <c r="AI11" s="106">
        <f t="shared" si="11"/>
        <v>0.30000000000000004</v>
      </c>
      <c r="AJ11" s="104">
        <f>IF(VLOOKUP(AA11,坦克个性化设定!$B$51:$T$81,9,FALSE)=0,VLOOKUP(AA11,坦克个性化设定!$B$51:$T$81,10,FALSE),VLOOKUP(AA11,坦克个性化设定!$B$51:$T$81,9,FALSE))</f>
        <v>3</v>
      </c>
      <c r="AK11" s="181" t="str">
        <f>IF(LEN(VLOOKUP(AA11,坦克个性化设定!$B$18:$F$48,5,FALSE))=5,"单发",RIGHT(VLOOKUP(AA11,坦克个性化设定!$B$18:$F$48,5,FALSE),2))</f>
        <v>单发</v>
      </c>
      <c r="AL11" s="106">
        <f t="shared" si="5"/>
        <v>27.3</v>
      </c>
      <c r="AM11" s="106">
        <f t="shared" si="12"/>
        <v>0</v>
      </c>
      <c r="AN11" s="106">
        <f t="shared" si="13"/>
        <v>2.2813688212927756</v>
      </c>
      <c r="AO11" s="106">
        <f t="shared" si="6"/>
        <v>0.23954372623574147</v>
      </c>
      <c r="AP11" s="106">
        <f t="shared" si="14"/>
        <v>0.71863117870722437</v>
      </c>
    </row>
    <row r="12" spans="2:42" x14ac:dyDescent="0.35">
      <c r="B12" s="399" t="s">
        <v>1842</v>
      </c>
      <c r="C12" s="106">
        <f>AVERAGE(坦克类型系数!CB10/坦克类型系数!CA10,坦克类型系数!CB11/坦克类型系数!CA11,坦克类型系数!CB12/坦克类型系数!CA12)</f>
        <v>1.3267094119082092</v>
      </c>
      <c r="D12" s="10"/>
      <c r="E12" s="100" t="s">
        <v>621</v>
      </c>
      <c r="F12" s="104">
        <f>VLOOKUP($E12,坦克个性化设定!$B$51:$T$81,MATCH(F$3,坦克个性化设定!$B$51:$T$51,0),FALSE)</f>
        <v>1.4</v>
      </c>
      <c r="G12" s="104">
        <f>VLOOKUP($E12,坦克个性化设定!$B$51:$T$81,MATCH(G$3,坦克个性化设定!$B$51:$T$51,0),FALSE)</f>
        <v>0</v>
      </c>
      <c r="I12" s="103" t="s">
        <v>621</v>
      </c>
      <c r="J12" s="8" t="s">
        <v>14</v>
      </c>
      <c r="K12" s="103">
        <f>ROUND(VLOOKUP(I12,坦克个性化设定!$F$84:$S$114,MATCH(K$3,坦克个性化设定!$F$84:$S$84,0),FALSE)*VLOOKUP(J12,$B$3:$C$6,2,FALSE),1)</f>
        <v>44.5</v>
      </c>
      <c r="L12" s="103">
        <f>K12/坦克个性化设定!$M$4*坦克个性化设定!$M$5</f>
        <v>11.124999999999998</v>
      </c>
      <c r="M12" s="103">
        <f>ROUND(VLOOKUP(I12,坦克个性化设定!$F$84:$S$114,MATCH(M$3,坦克个性化设定!$F$84:$S$84,0),FALSE)*VLOOKUP(J12,$B$3:$C$6,2,FALSE),1)</f>
        <v>52.5</v>
      </c>
      <c r="N12" s="103">
        <f>M12/坦克个性化设定!$M$4*坦克个性化设定!$M$5</f>
        <v>13.124999999999996</v>
      </c>
      <c r="O12" s="103">
        <f>ROUND(VLOOKUP(I12,坦克个性化设定!$F$84:$S$114,MATCH(O$3,坦克个性化设定!$F$84:$S$84,0),FALSE)*VLOOKUP(J12,$B$3:$C$6,2,FALSE),1)</f>
        <v>14.6</v>
      </c>
      <c r="P12" s="393">
        <f t="shared" si="7"/>
        <v>4.7699999999999996</v>
      </c>
      <c r="R12" s="176" t="str">
        <f t="shared" si="8"/>
        <v>BMP-3</v>
      </c>
      <c r="S12" s="103">
        <f>VLOOKUP($R12,坦克个性化设定!$B$51:$T$81,MATCH(S$3,坦克个性化设定!$B$51:$T$51,0),FALSE)</f>
        <v>4</v>
      </c>
      <c r="T12" s="103">
        <f>VLOOKUP($R12,坦克个性化设定!$B$51:$T$81,MATCH(T$3,坦克个性化设定!$B$51:$T$51,0),FALSE)</f>
        <v>1.4</v>
      </c>
      <c r="U12" s="103">
        <f>VLOOKUP($R12,坦克个性化设定!$B$51:$T$81,MATCH(U$3,坦克个性化设定!$B$51:$T$51,0),FALSE)</f>
        <v>0</v>
      </c>
      <c r="V12" s="103">
        <f>VLOOKUP($R12,坦克个性化设定!$B$51:$T$81,MATCH(V$3,坦克个性化设定!$B$51:$T$51,0),FALSE)</f>
        <v>0.4</v>
      </c>
      <c r="W12" s="103">
        <f>VLOOKUP($R12,坦克个性化设定!$B$51:$T$81,MATCH(W$3,坦克个性化设定!$B$51:$T$51,0),FALSE)</f>
        <v>1.47</v>
      </c>
      <c r="X12" s="103">
        <f>VLOOKUP($R12,坦克个性化设定!$B$51:$T$81,MATCH(X$3,坦克个性化设定!$B$51:$T$51,0),FALSE)</f>
        <v>1.2</v>
      </c>
      <c r="Y12" s="106">
        <f>VLOOKUP($R12,坦克个性化设定!$B$51:$T$81,MATCH(Y$3,坦克个性化设定!$B$51:$T$51,0),FALSE)</f>
        <v>46</v>
      </c>
      <c r="AA12" s="176" t="str">
        <f t="shared" si="0"/>
        <v>BMP-3</v>
      </c>
      <c r="AB12" s="181">
        <f t="shared" si="1"/>
        <v>4</v>
      </c>
      <c r="AC12" s="181">
        <f t="shared" si="2"/>
        <v>0.4</v>
      </c>
      <c r="AD12" s="181">
        <f t="shared" si="3"/>
        <v>1.47</v>
      </c>
      <c r="AE12" s="181">
        <f t="shared" si="4"/>
        <v>1.2</v>
      </c>
      <c r="AF12" s="106">
        <f t="shared" si="9"/>
        <v>1.44</v>
      </c>
      <c r="AG12" s="106">
        <f t="shared" si="10"/>
        <v>1.0208333333333333</v>
      </c>
      <c r="AH12" s="53">
        <v>1.2</v>
      </c>
      <c r="AI12" s="106">
        <f t="shared" si="11"/>
        <v>0.20416666666666683</v>
      </c>
      <c r="AJ12" s="104">
        <f>IF(VLOOKUP(AA12,坦克个性化设定!$B$51:$T$81,9,FALSE)=0,VLOOKUP(AA12,坦克个性化设定!$B$51:$T$81,10,FALSE),VLOOKUP(AA12,坦克个性化设定!$B$51:$T$81,9,FALSE))</f>
        <v>1.4</v>
      </c>
      <c r="AK12" s="181" t="str">
        <f>IF(LEN(VLOOKUP(AA12,坦克个性化设定!$B$18:$F$48,5,FALSE))=5,"单发",RIGHT(VLOOKUP(AA12,坦克个性化设定!$B$18:$F$48,5,FALSE),2))</f>
        <v>单发</v>
      </c>
      <c r="AL12" s="106">
        <f t="shared" si="5"/>
        <v>59.800000000000004</v>
      </c>
      <c r="AM12" s="106">
        <f t="shared" si="12"/>
        <v>0.4</v>
      </c>
      <c r="AN12" s="106">
        <f t="shared" si="13"/>
        <v>1.053763440860215</v>
      </c>
      <c r="AO12" s="106">
        <f t="shared" si="6"/>
        <v>0.24731182795698922</v>
      </c>
      <c r="AP12" s="106">
        <f t="shared" si="14"/>
        <v>0.34623655913978491</v>
      </c>
    </row>
    <row r="13" spans="2:42" x14ac:dyDescent="0.35">
      <c r="E13" s="100" t="s">
        <v>622</v>
      </c>
      <c r="F13" s="104">
        <f>VLOOKUP($E13,坦克个性化设定!$B$51:$T$81,MATCH(F$3,坦克个性化设定!$B$51:$T$51,0),FALSE)</f>
        <v>3</v>
      </c>
      <c r="G13" s="104">
        <f>VLOOKUP($E13,坦克个性化设定!$B$51:$T$81,MATCH(G$3,坦克个性化设定!$B$51:$T$51,0),FALSE)</f>
        <v>0</v>
      </c>
      <c r="I13" s="103" t="s">
        <v>622</v>
      </c>
      <c r="J13" s="8" t="s">
        <v>12</v>
      </c>
      <c r="K13" s="103">
        <f>ROUND(VLOOKUP(I13,坦克个性化设定!$F$84:$S$114,MATCH(K$3,坦克个性化设定!$F$84:$S$84,0),FALSE)*VLOOKUP(J13,$B$3:$C$6,2,FALSE),1)</f>
        <v>37.700000000000003</v>
      </c>
      <c r="L13" s="103">
        <f>K13/坦克个性化设定!$M$4*坦克个性化设定!$M$5</f>
        <v>9.4249999999999972</v>
      </c>
      <c r="M13" s="103">
        <f>ROUND(VLOOKUP(I13,坦克个性化设定!$F$84:$S$114,MATCH(M$3,坦克个性化设定!$F$84:$S$84,0),FALSE)*VLOOKUP(J13,$B$3:$C$6,2,FALSE),1)</f>
        <v>56.3</v>
      </c>
      <c r="N13" s="103">
        <f>M13/坦克个性化设定!$M$4*坦克个性化设定!$M$5</f>
        <v>14.074999999999994</v>
      </c>
      <c r="O13" s="103">
        <f>ROUND(VLOOKUP(I13,坦克个性化设定!$F$84:$S$114,MATCH(O$3,坦克个性化设定!$F$84:$S$84,0),FALSE)*VLOOKUP(J13,$B$3:$C$6,2,FALSE),1)</f>
        <v>13.1</v>
      </c>
      <c r="P13" s="393">
        <f t="shared" si="7"/>
        <v>4.28</v>
      </c>
      <c r="R13" s="176" t="str">
        <f t="shared" si="8"/>
        <v>59式</v>
      </c>
      <c r="S13" s="103">
        <f>VLOOKUP($R13,坦克个性化设定!$B$51:$T$81,MATCH(S$3,坦克个性化设定!$B$51:$T$51,0),FALSE)</f>
        <v>1</v>
      </c>
      <c r="T13" s="103">
        <f>VLOOKUP($R13,坦克个性化设定!$B$51:$T$81,MATCH(T$3,坦克个性化设定!$B$51:$T$51,0),FALSE)</f>
        <v>3</v>
      </c>
      <c r="U13" s="103">
        <f>VLOOKUP($R13,坦克个性化设定!$B$51:$T$81,MATCH(U$3,坦克个性化设定!$B$51:$T$51,0),FALSE)</f>
        <v>0</v>
      </c>
      <c r="V13" s="103">
        <f>VLOOKUP($R13,坦克个性化设定!$B$51:$T$81,MATCH(V$3,坦克个性化设定!$B$51:$T$51,0),FALSE)</f>
        <v>0</v>
      </c>
      <c r="W13" s="103">
        <f>VLOOKUP($R13,坦克个性化设定!$B$51:$T$81,MATCH(W$3,坦克个性化设定!$B$51:$T$51,0),FALSE)</f>
        <v>1.8</v>
      </c>
      <c r="X13" s="103">
        <f>VLOOKUP($R13,坦克个性化设定!$B$51:$T$81,MATCH(X$3,坦克个性化设定!$B$51:$T$51,0),FALSE)</f>
        <v>1</v>
      </c>
      <c r="Y13" s="106">
        <f>VLOOKUP($R13,坦克个性化设定!$B$51:$T$81,MATCH(Y$3,坦克个性化设定!$B$51:$T$51,0),FALSE)</f>
        <v>21</v>
      </c>
      <c r="AA13" s="176" t="str">
        <f t="shared" si="0"/>
        <v>59式</v>
      </c>
      <c r="AB13" s="181">
        <f t="shared" si="1"/>
        <v>1</v>
      </c>
      <c r="AC13" s="181">
        <f t="shared" si="2"/>
        <v>0</v>
      </c>
      <c r="AD13" s="181">
        <f t="shared" si="3"/>
        <v>1.8</v>
      </c>
      <c r="AE13" s="181">
        <f t="shared" si="4"/>
        <v>1</v>
      </c>
      <c r="AF13" s="106">
        <f t="shared" si="9"/>
        <v>1.2</v>
      </c>
      <c r="AG13" s="106">
        <f t="shared" si="10"/>
        <v>1.5</v>
      </c>
      <c r="AH13" s="53">
        <v>1.2</v>
      </c>
      <c r="AI13" s="106">
        <f t="shared" si="11"/>
        <v>0.30000000000000004</v>
      </c>
      <c r="AJ13" s="104">
        <f>IF(VLOOKUP(AA13,坦克个性化设定!$B$51:$T$81,9,FALSE)=0,VLOOKUP(AA13,坦克个性化设定!$B$51:$T$81,10,FALSE),VLOOKUP(AA13,坦克个性化设定!$B$51:$T$81,9,FALSE))</f>
        <v>3</v>
      </c>
      <c r="AK13" s="181" t="str">
        <f>IF(LEN(VLOOKUP(AA13,坦克个性化设定!$B$18:$F$48,5,FALSE))=5,"单发",RIGHT(VLOOKUP(AA13,坦克个性化设定!$B$18:$F$48,5,FALSE),2))</f>
        <v>单发</v>
      </c>
      <c r="AL13" s="106">
        <f t="shared" si="5"/>
        <v>27.3</v>
      </c>
      <c r="AM13" s="106">
        <f t="shared" si="12"/>
        <v>0</v>
      </c>
      <c r="AN13" s="106">
        <f t="shared" si="13"/>
        <v>2.2813688212927756</v>
      </c>
      <c r="AO13" s="106">
        <f t="shared" si="6"/>
        <v>0.23954372623574147</v>
      </c>
      <c r="AP13" s="106">
        <f t="shared" si="14"/>
        <v>0.71863117870722437</v>
      </c>
    </row>
    <row r="14" spans="2:42" x14ac:dyDescent="0.35">
      <c r="E14" s="100" t="s">
        <v>623</v>
      </c>
      <c r="F14" s="104">
        <f>VLOOKUP($E14,坦克个性化设定!$B$51:$T$81,MATCH(F$3,坦克个性化设定!$B$51:$T$51,0),FALSE)</f>
        <v>0</v>
      </c>
      <c r="G14" s="104">
        <f>VLOOKUP($E14,坦克个性化设定!$B$51:$T$81,MATCH(G$3,坦克个性化设定!$B$51:$T$51,0),FALSE)</f>
        <v>4.8000000000000007</v>
      </c>
      <c r="I14" s="103" t="s">
        <v>623</v>
      </c>
      <c r="J14" s="8" t="s">
        <v>12</v>
      </c>
      <c r="K14" s="103">
        <f>ROUND(VLOOKUP(I14,坦克个性化设定!$F$84:$S$114,MATCH(K$3,坦克个性化设定!$F$84:$S$84,0),FALSE)*VLOOKUP(J14,$B$3:$C$6,2,FALSE),1)</f>
        <v>44.5</v>
      </c>
      <c r="L14" s="103">
        <f>K14/坦克个性化设定!$M$4*坦克个性化设定!$M$5</f>
        <v>11.124999999999998</v>
      </c>
      <c r="M14" s="103">
        <f>ROUND(VLOOKUP(I14,坦克个性化设定!$F$84:$S$114,MATCH(M$3,坦克个性化设定!$F$84:$S$84,0),FALSE)*VLOOKUP(J14,$B$3:$C$6,2,FALSE),1)</f>
        <v>40</v>
      </c>
      <c r="N14" s="103">
        <f>M14/坦克个性化设定!$M$4*坦克个性化设定!$M$5</f>
        <v>9.9999999999999982</v>
      </c>
      <c r="O14" s="103">
        <f>ROUND(VLOOKUP(I14,坦克个性化设定!$F$84:$S$114,MATCH(O$3,坦克个性化设定!$F$84:$S$84,0),FALSE)*VLOOKUP(J14,$B$3:$C$6,2,FALSE),1)</f>
        <v>12.3</v>
      </c>
      <c r="P14" s="393">
        <f t="shared" si="7"/>
        <v>4.0199999999999996</v>
      </c>
      <c r="R14" s="176" t="str">
        <f t="shared" si="8"/>
        <v>Stuart</v>
      </c>
      <c r="S14" s="103">
        <f>VLOOKUP($R14,坦克个性化设定!$B$51:$T$81,MATCH(S$3,坦克个性化设定!$B$51:$T$51,0),FALSE)</f>
        <v>6</v>
      </c>
      <c r="T14" s="103">
        <f>VLOOKUP($R14,坦克个性化设定!$B$51:$T$81,MATCH(T$3,坦克个性化设定!$B$51:$T$51,0),FALSE)</f>
        <v>0</v>
      </c>
      <c r="U14" s="103">
        <f>VLOOKUP($R14,坦克个性化设定!$B$51:$T$81,MATCH(U$3,坦克个性化设定!$B$51:$T$51,0),FALSE)</f>
        <v>4.8000000000000007</v>
      </c>
      <c r="V14" s="103">
        <f>VLOOKUP($R14,坦克个性化设定!$B$51:$T$81,MATCH(V$3,坦克个性化设定!$B$51:$T$51,0),FALSE)</f>
        <v>0.4</v>
      </c>
      <c r="W14" s="103">
        <f>VLOOKUP($R14,坦克个性化设定!$B$51:$T$81,MATCH(W$3,坦克个性化设定!$B$51:$T$51,0),FALSE)</f>
        <v>1.1200000000000001</v>
      </c>
      <c r="X14" s="103">
        <f>VLOOKUP($R14,坦克个性化设定!$B$51:$T$81,MATCH(X$3,坦克个性化设定!$B$51:$T$51,0),FALSE)</f>
        <v>1.2</v>
      </c>
      <c r="Y14" s="106">
        <f>VLOOKUP($R14,坦克个性化设定!$B$51:$T$81,MATCH(Y$3,坦克个性化设定!$B$51:$T$51,0),FALSE)</f>
        <v>57.17647058823529</v>
      </c>
      <c r="AA14" s="176" t="str">
        <f t="shared" si="0"/>
        <v>Stuart</v>
      </c>
      <c r="AB14" s="181">
        <f t="shared" si="1"/>
        <v>6</v>
      </c>
      <c r="AC14" s="181">
        <f t="shared" si="2"/>
        <v>0.4</v>
      </c>
      <c r="AD14" s="181">
        <f t="shared" si="3"/>
        <v>1.1200000000000001</v>
      </c>
      <c r="AE14" s="181">
        <f t="shared" si="4"/>
        <v>1.2</v>
      </c>
      <c r="AF14" s="106">
        <f t="shared" si="9"/>
        <v>1.44</v>
      </c>
      <c r="AG14" s="106">
        <f t="shared" si="10"/>
        <v>0.7777777777777779</v>
      </c>
      <c r="AH14" s="53">
        <v>1.2</v>
      </c>
      <c r="AI14" s="106">
        <f t="shared" si="11"/>
        <v>0.15555555555555556</v>
      </c>
      <c r="AJ14" s="104">
        <f>IF(VLOOKUP(AA14,坦克个性化设定!$B$51:$T$81,9,FALSE)=0,VLOOKUP(AA14,坦克个性化设定!$B$51:$T$81,10,FALSE),VLOOKUP(AA14,坦克个性化设定!$B$51:$T$81,9,FALSE))</f>
        <v>4.8000000000000007</v>
      </c>
      <c r="AK14" s="181" t="str">
        <f>IF(LEN(VLOOKUP(AA14,坦克个性化设定!$B$18:$F$48,5,FALSE))=5,"单发",RIGHT(VLOOKUP(AA14,坦克个性化设定!$B$18:$F$48,5,FALSE),2))</f>
        <v>弹夹</v>
      </c>
      <c r="AL14" s="106">
        <f t="shared" si="5"/>
        <v>74.329411764705881</v>
      </c>
      <c r="AM14" s="106">
        <f t="shared" si="12"/>
        <v>0.4</v>
      </c>
      <c r="AN14" s="106">
        <f t="shared" si="13"/>
        <v>3.0929752066115697</v>
      </c>
      <c r="AO14" s="106">
        <f t="shared" si="6"/>
        <v>0.35563016528925639</v>
      </c>
      <c r="AP14" s="106">
        <f t="shared" si="14"/>
        <v>1.707024793388431</v>
      </c>
    </row>
    <row r="15" spans="2:42" x14ac:dyDescent="0.35">
      <c r="E15" s="100" t="s">
        <v>624</v>
      </c>
      <c r="F15" s="104">
        <f>VLOOKUP($E15,坦克个性化设定!$B$51:$T$81,MATCH(F$3,坦克个性化设定!$B$51:$T$51,0),FALSE)</f>
        <v>0</v>
      </c>
      <c r="G15" s="104">
        <f>VLOOKUP($E15,坦克个性化设定!$B$51:$T$81,MATCH(G$3,坦克个性化设定!$B$51:$T$51,0),FALSE)</f>
        <v>3</v>
      </c>
      <c r="I15" s="103" t="s">
        <v>624</v>
      </c>
      <c r="J15" s="8" t="s">
        <v>12</v>
      </c>
      <c r="K15" s="103">
        <f>ROUND(VLOOKUP(I15,坦克个性化设定!$F$84:$S$114,MATCH(K$3,坦克个性化设定!$F$84:$S$84,0),FALSE)*VLOOKUP(J15,$B$3:$C$6,2,FALSE),1)</f>
        <v>44.5</v>
      </c>
      <c r="L15" s="103">
        <f>K15/坦克个性化设定!$M$4*坦克个性化设定!$M$5</f>
        <v>11.124999999999998</v>
      </c>
      <c r="M15" s="103">
        <f>ROUND(VLOOKUP(I15,坦克个性化设定!$F$84:$S$114,MATCH(M$3,坦克个性化设定!$F$84:$S$84,0),FALSE)*VLOOKUP(J15,$B$3:$C$6,2,FALSE),1)</f>
        <v>40</v>
      </c>
      <c r="N15" s="103">
        <f>M15/坦克个性化设定!$M$4*坦克个性化设定!$M$5</f>
        <v>9.9999999999999982</v>
      </c>
      <c r="O15" s="103">
        <f>ROUND(VLOOKUP(I15,坦克个性化设定!$F$84:$S$114,MATCH(O$3,坦克个性化设定!$F$84:$S$84,0),FALSE)*VLOOKUP(J15,$B$3:$C$6,2,FALSE),1)</f>
        <v>12.3</v>
      </c>
      <c r="P15" s="393">
        <f t="shared" si="7"/>
        <v>4.0199999999999996</v>
      </c>
      <c r="R15" s="176" t="str">
        <f t="shared" si="8"/>
        <v>T-34</v>
      </c>
      <c r="S15" s="103">
        <f>VLOOKUP($R15,坦克个性化设定!$B$51:$T$81,MATCH(S$3,坦克个性化设定!$B$51:$T$51,0),FALSE)</f>
        <v>6</v>
      </c>
      <c r="T15" s="103">
        <f>VLOOKUP($R15,坦克个性化设定!$B$51:$T$81,MATCH(T$3,坦克个性化设定!$B$51:$T$51,0),FALSE)</f>
        <v>0</v>
      </c>
      <c r="U15" s="103">
        <f>VLOOKUP($R15,坦克个性化设定!$B$51:$T$81,MATCH(U$3,坦克个性化设定!$B$51:$T$51,0),FALSE)</f>
        <v>3</v>
      </c>
      <c r="V15" s="103">
        <f>VLOOKUP($R15,坦克个性化设定!$B$51:$T$81,MATCH(V$3,坦克个性化设定!$B$51:$T$51,0),FALSE)</f>
        <v>1.2</v>
      </c>
      <c r="W15" s="103">
        <f>VLOOKUP($R15,坦克个性化设定!$B$51:$T$81,MATCH(W$3,坦克个性化设定!$B$51:$T$51,0),FALSE)</f>
        <v>1.76</v>
      </c>
      <c r="X15" s="103">
        <f>VLOOKUP($R15,坦克个性化设定!$B$51:$T$81,MATCH(X$3,坦克个性化设定!$B$51:$T$51,0),FALSE)</f>
        <v>1.2</v>
      </c>
      <c r="Y15" s="106">
        <f>VLOOKUP($R15,坦克个性化设定!$B$51:$T$81,MATCH(Y$3,坦克个性化设定!$B$51:$T$51,0),FALSE)</f>
        <v>42</v>
      </c>
      <c r="AA15" s="176" t="str">
        <f t="shared" si="0"/>
        <v>T-34</v>
      </c>
      <c r="AB15" s="181">
        <f t="shared" si="1"/>
        <v>6</v>
      </c>
      <c r="AC15" s="181">
        <f t="shared" si="2"/>
        <v>1.2</v>
      </c>
      <c r="AD15" s="181">
        <f t="shared" si="3"/>
        <v>1.76</v>
      </c>
      <c r="AE15" s="181">
        <f t="shared" si="4"/>
        <v>1.2</v>
      </c>
      <c r="AF15" s="106">
        <f t="shared" si="9"/>
        <v>1.44</v>
      </c>
      <c r="AG15" s="106">
        <f t="shared" si="10"/>
        <v>1.2222222222222223</v>
      </c>
      <c r="AH15" s="53">
        <v>1.2</v>
      </c>
      <c r="AI15" s="106">
        <f t="shared" si="11"/>
        <v>0.24444444444444446</v>
      </c>
      <c r="AJ15" s="104">
        <f>IF(VLOOKUP(AA15,坦克个性化设定!$B$51:$T$81,9,FALSE)=0,VLOOKUP(AA15,坦克个性化设定!$B$51:$T$81,10,FALSE),VLOOKUP(AA15,坦克个性化设定!$B$51:$T$81,9,FALSE))</f>
        <v>3</v>
      </c>
      <c r="AK15" s="181" t="str">
        <f>IF(LEN(VLOOKUP(AA15,坦克个性化设定!$B$18:$F$48,5,FALSE))=5,"单发",RIGHT(VLOOKUP(AA15,坦克个性化设定!$B$18:$F$48,5,FALSE),2))</f>
        <v>弹夹</v>
      </c>
      <c r="AL15" s="106">
        <f t="shared" si="5"/>
        <v>54.6</v>
      </c>
      <c r="AM15" s="472">
        <v>1</v>
      </c>
      <c r="AN15" s="106">
        <f t="shared" si="13"/>
        <v>1.7901234567901234</v>
      </c>
      <c r="AO15" s="106">
        <f t="shared" si="6"/>
        <v>0.40329218106995884</v>
      </c>
      <c r="AP15" s="106">
        <f t="shared" si="14"/>
        <v>1.2098765432098766</v>
      </c>
    </row>
    <row r="16" spans="2:42" x14ac:dyDescent="0.35">
      <c r="E16" s="100" t="s">
        <v>626</v>
      </c>
      <c r="F16" s="104">
        <f>VLOOKUP($E16,坦克个性化设定!$B$51:$T$81,MATCH(F$3,坦克个性化设定!$B$51:$T$51,0),FALSE)</f>
        <v>4.5</v>
      </c>
      <c r="G16" s="104">
        <f>VLOOKUP($E16,坦克个性化设定!$B$51:$T$81,MATCH(G$3,坦克个性化设定!$B$51:$T$51,0),FALSE)</f>
        <v>0</v>
      </c>
      <c r="I16" s="103" t="s">
        <v>626</v>
      </c>
      <c r="J16" s="8" t="s">
        <v>1077</v>
      </c>
      <c r="K16" s="103">
        <f>ROUND(VLOOKUP(I16,坦克个性化设定!$F$84:$S$114,MATCH(K$3,坦克个性化设定!$F$84:$S$84,0),FALSE)*VLOOKUP(J16,$B$3:$C$6,2,FALSE),1)</f>
        <v>36.299999999999997</v>
      </c>
      <c r="L16" s="103">
        <f>K16/坦克个性化设定!$M$4*坦克个性化设定!$M$5</f>
        <v>9.0749999999999957</v>
      </c>
      <c r="M16" s="103">
        <f>ROUND(VLOOKUP(I16,坦克个性化设定!$F$84:$S$114,MATCH(M$3,坦克个性化设定!$F$84:$S$84,0),FALSE)*VLOOKUP(J16,$B$3:$C$6,2,FALSE),1)</f>
        <v>51</v>
      </c>
      <c r="N16" s="103">
        <f>M16/坦克个性化设定!$M$4*坦克个性化设定!$M$5</f>
        <v>12.749999999999996</v>
      </c>
      <c r="O16" s="103">
        <f>ROUND(VLOOKUP(I16,坦克个性化设定!$F$84:$S$114,MATCH(O$3,坦克个性化设定!$F$84:$S$84,0),FALSE)*VLOOKUP(J16,$B$3:$C$6,2,FALSE),1)</f>
        <v>11.3</v>
      </c>
      <c r="P16" s="393">
        <f t="shared" si="7"/>
        <v>3.69</v>
      </c>
      <c r="R16" s="176" t="str">
        <f t="shared" si="8"/>
        <v>四号</v>
      </c>
      <c r="S16" s="103">
        <f>VLOOKUP($R16,坦克个性化设定!$B$51:$T$81,MATCH(S$3,坦克个性化设定!$B$51:$T$51,0),FALSE)</f>
        <v>1</v>
      </c>
      <c r="T16" s="103">
        <f>VLOOKUP($R16,坦克个性化设定!$B$51:$T$81,MATCH(T$3,坦克个性化设定!$B$51:$T$51,0),FALSE)</f>
        <v>4.5</v>
      </c>
      <c r="U16" s="103">
        <f>VLOOKUP($R16,坦克个性化设定!$B$51:$T$81,MATCH(U$3,坦克个性化设定!$B$51:$T$51,0),FALSE)</f>
        <v>0</v>
      </c>
      <c r="V16" s="103">
        <f>VLOOKUP($R16,坦克个性化设定!$B$51:$T$81,MATCH(V$3,坦克个性化设定!$B$51:$T$51,0),FALSE)</f>
        <v>0</v>
      </c>
      <c r="W16" s="103">
        <f>VLOOKUP($R16,坦克个性化设定!$B$51:$T$81,MATCH(W$3,坦克个性化设定!$B$51:$T$51,0),FALSE)</f>
        <v>2.4</v>
      </c>
      <c r="X16" s="103">
        <f>VLOOKUP($R16,坦克个性化设定!$B$51:$T$81,MATCH(X$3,坦克个性化设定!$B$51:$T$51,0),FALSE)</f>
        <v>1</v>
      </c>
      <c r="Y16" s="106">
        <f>VLOOKUP($R16,坦克个性化设定!$B$51:$T$81,MATCH(Y$3,坦克个性化设定!$B$51:$T$51,0),FALSE)</f>
        <v>14.333333333333334</v>
      </c>
      <c r="AA16" s="176" t="str">
        <f t="shared" si="0"/>
        <v>四号</v>
      </c>
      <c r="AB16" s="181">
        <f t="shared" si="1"/>
        <v>1</v>
      </c>
      <c r="AC16" s="181">
        <f t="shared" si="2"/>
        <v>0</v>
      </c>
      <c r="AD16" s="181">
        <f t="shared" si="3"/>
        <v>2.4</v>
      </c>
      <c r="AE16" s="181">
        <f t="shared" si="4"/>
        <v>1</v>
      </c>
      <c r="AF16" s="106">
        <f t="shared" si="9"/>
        <v>1.2</v>
      </c>
      <c r="AG16" s="106">
        <f t="shared" si="10"/>
        <v>2</v>
      </c>
      <c r="AH16" s="53">
        <v>1.2</v>
      </c>
      <c r="AI16" s="106">
        <f t="shared" si="11"/>
        <v>0.39999999999999991</v>
      </c>
      <c r="AJ16" s="104">
        <f>IF(VLOOKUP(AA16,坦克个性化设定!$B$51:$T$81,9,FALSE)=0,VLOOKUP(AA16,坦克个性化设定!$B$51:$T$81,10,FALSE),VLOOKUP(AA16,坦克个性化设定!$B$51:$T$81,9,FALSE))</f>
        <v>4.5</v>
      </c>
      <c r="AK16" s="181" t="str">
        <f>IF(LEN(VLOOKUP(AA16,坦克个性化设定!$B$18:$F$48,5,FALSE))=5,"单发",RIGHT(VLOOKUP(AA16,坦克个性化设定!$B$18:$F$48,5,FALSE),2))</f>
        <v>单发</v>
      </c>
      <c r="AL16" s="106">
        <f t="shared" si="5"/>
        <v>18.633333333333336</v>
      </c>
      <c r="AM16" s="106">
        <f t="shared" si="12"/>
        <v>0</v>
      </c>
      <c r="AN16" s="106">
        <f t="shared" si="13"/>
        <v>3.4026465028355384</v>
      </c>
      <c r="AO16" s="106">
        <f t="shared" si="6"/>
        <v>0.24385633270321369</v>
      </c>
      <c r="AP16" s="106">
        <f t="shared" si="14"/>
        <v>1.0973534971644616</v>
      </c>
    </row>
    <row r="17" spans="5:42" x14ac:dyDescent="0.35">
      <c r="E17" s="100" t="s">
        <v>627</v>
      </c>
      <c r="F17" s="104">
        <f>VLOOKUP($E17,坦克个性化设定!$B$51:$T$81,MATCH(F$3,坦克个性化设定!$B$51:$T$51,0),FALSE)</f>
        <v>0</v>
      </c>
      <c r="G17" s="104">
        <f>VLOOKUP($E17,坦克个性化设定!$B$51:$T$81,MATCH(G$3,坦克个性化设定!$B$51:$T$51,0),FALSE)</f>
        <v>3</v>
      </c>
      <c r="I17" s="103" t="s">
        <v>627</v>
      </c>
      <c r="J17" s="8" t="s">
        <v>1076</v>
      </c>
      <c r="K17" s="103">
        <f>ROUND(VLOOKUP(I17,坦克个性化设定!$F$84:$S$114,MATCH(K$3,坦克个性化设定!$F$84:$S$84,0),FALSE)*VLOOKUP(J17,$B$3:$C$6,2,FALSE),1)</f>
        <v>44.5</v>
      </c>
      <c r="L17" s="103">
        <f>K17/坦克个性化设定!$M$4*坦克个性化设定!$M$5</f>
        <v>11.124999999999998</v>
      </c>
      <c r="M17" s="103">
        <f>ROUND(VLOOKUP(I17,坦克个性化设定!$F$84:$S$114,MATCH(M$3,坦克个性化设定!$F$84:$S$84,0),FALSE)*VLOOKUP(J17,$B$3:$C$6,2,FALSE),1)</f>
        <v>40</v>
      </c>
      <c r="N17" s="103">
        <f>M17/坦克个性化设定!$M$4*坦克个性化设定!$M$5</f>
        <v>9.9999999999999982</v>
      </c>
      <c r="O17" s="103">
        <f>ROUND(VLOOKUP(I17,坦克个性化设定!$F$84:$S$114,MATCH(O$3,坦克个性化设定!$F$84:$S$84,0),FALSE)*VLOOKUP(J17,$B$3:$C$6,2,FALSE),1)</f>
        <v>12.3</v>
      </c>
      <c r="P17" s="393">
        <f t="shared" si="7"/>
        <v>4.0199999999999996</v>
      </c>
      <c r="R17" s="176" t="str">
        <f t="shared" si="8"/>
        <v>玛蒂尔达</v>
      </c>
      <c r="S17" s="103">
        <f>VLOOKUP($R17,坦克个性化设定!$B$51:$T$81,MATCH(S$3,坦克个性化设定!$B$51:$T$51,0),FALSE)</f>
        <v>6</v>
      </c>
      <c r="T17" s="103">
        <f>VLOOKUP($R17,坦克个性化设定!$B$51:$T$81,MATCH(T$3,坦克个性化设定!$B$51:$T$51,0),FALSE)</f>
        <v>0</v>
      </c>
      <c r="U17" s="103">
        <f>VLOOKUP($R17,坦克个性化设定!$B$51:$T$81,MATCH(U$3,坦克个性化设定!$B$51:$T$51,0),FALSE)</f>
        <v>3</v>
      </c>
      <c r="V17" s="103">
        <f>VLOOKUP($R17,坦克个性化设定!$B$51:$T$81,MATCH(V$3,坦克个性化设定!$B$51:$T$51,0),FALSE)</f>
        <v>0.72</v>
      </c>
      <c r="W17" s="103">
        <f>VLOOKUP($R17,坦克个性化设定!$B$51:$T$81,MATCH(W$3,坦克个性化设定!$B$51:$T$51,0),FALSE)</f>
        <v>1.38</v>
      </c>
      <c r="X17" s="103">
        <f>VLOOKUP($R17,坦克个性化设定!$B$51:$T$81,MATCH(X$3,坦克个性化设定!$B$51:$T$51,0),FALSE)</f>
        <v>1.2</v>
      </c>
      <c r="Y17" s="106">
        <f>VLOOKUP($R17,坦克个性化设定!$B$51:$T$81,MATCH(Y$3,坦克个性化设定!$B$51:$T$51,0),FALSE)</f>
        <v>57.272727272727266</v>
      </c>
      <c r="AA17" s="176" t="str">
        <f t="shared" si="0"/>
        <v>玛蒂尔达</v>
      </c>
      <c r="AB17" s="181">
        <f t="shared" si="1"/>
        <v>6</v>
      </c>
      <c r="AC17" s="181">
        <f t="shared" si="2"/>
        <v>0.72</v>
      </c>
      <c r="AD17" s="181">
        <f t="shared" si="3"/>
        <v>1.38</v>
      </c>
      <c r="AE17" s="181">
        <f t="shared" si="4"/>
        <v>1.2</v>
      </c>
      <c r="AF17" s="106">
        <f t="shared" si="9"/>
        <v>1.44</v>
      </c>
      <c r="AG17" s="106">
        <f t="shared" si="10"/>
        <v>0.95833333333333326</v>
      </c>
      <c r="AH17" s="53">
        <v>1.2</v>
      </c>
      <c r="AI17" s="106">
        <f t="shared" si="11"/>
        <v>0.19166666666666665</v>
      </c>
      <c r="AJ17" s="104">
        <f>IF(VLOOKUP(AA17,坦克个性化设定!$B$51:$T$81,9,FALSE)=0,VLOOKUP(AA17,坦克个性化设定!$B$51:$T$81,10,FALSE),VLOOKUP(AA17,坦克个性化设定!$B$51:$T$81,9,FALSE))</f>
        <v>3</v>
      </c>
      <c r="AK17" s="181" t="str">
        <f>IF(LEN(VLOOKUP(AA17,坦克个性化设定!$B$18:$F$48,5,FALSE))=5,"单发",RIGHT(VLOOKUP(AA17,坦克个性化设定!$B$18:$F$48,5,FALSE),2))</f>
        <v>弹夹</v>
      </c>
      <c r="AL17" s="106">
        <f t="shared" si="5"/>
        <v>74.454545454545453</v>
      </c>
      <c r="AM17" s="472">
        <v>0.6</v>
      </c>
      <c r="AN17" s="106">
        <f t="shared" si="13"/>
        <v>1.9960159362549801</v>
      </c>
      <c r="AO17" s="106">
        <f t="shared" si="6"/>
        <v>0.33466135458167329</v>
      </c>
      <c r="AP17" s="106">
        <f t="shared" si="14"/>
        <v>1.0039840637450199</v>
      </c>
    </row>
    <row r="18" spans="5:42" x14ac:dyDescent="0.35">
      <c r="E18" s="100" t="s">
        <v>718</v>
      </c>
      <c r="F18" s="104">
        <f>VLOOKUP($E18,坦克个性化设定!$B$51:$T$81,MATCH(F$3,坦克个性化设定!$B$51:$T$51,0),FALSE)</f>
        <v>4.5</v>
      </c>
      <c r="G18" s="104">
        <f>VLOOKUP($E18,坦克个性化设定!$B$51:$T$81,MATCH(G$3,坦克个性化设定!$B$51:$T$51,0),FALSE)</f>
        <v>0</v>
      </c>
      <c r="I18" s="103" t="s">
        <v>718</v>
      </c>
      <c r="J18" s="8" t="s">
        <v>1077</v>
      </c>
      <c r="K18" s="103">
        <f>ROUND(VLOOKUP(I18,坦克个性化设定!$F$84:$S$114,MATCH(K$3,坦克个性化设定!$F$84:$S$84,0),FALSE)*VLOOKUP(J18,$B$3:$C$6,2,FALSE),1)</f>
        <v>36.299999999999997</v>
      </c>
      <c r="L18" s="103">
        <f>K18/坦克个性化设定!$M$4*坦克个性化设定!$M$5</f>
        <v>9.0749999999999957</v>
      </c>
      <c r="M18" s="103">
        <f>ROUND(VLOOKUP(I18,坦克个性化设定!$F$84:$S$114,MATCH(M$3,坦克个性化设定!$F$84:$S$84,0),FALSE)*VLOOKUP(J18,$B$3:$C$6,2,FALSE),1)</f>
        <v>51</v>
      </c>
      <c r="N18" s="103">
        <f>M18/坦克个性化设定!$M$4*坦克个性化设定!$M$5</f>
        <v>12.749999999999996</v>
      </c>
      <c r="O18" s="103">
        <f>ROUND(VLOOKUP(I18,坦克个性化设定!$F$84:$S$114,MATCH(O$3,坦克个性化设定!$F$84:$S$84,0),FALSE)*VLOOKUP(J18,$B$3:$C$6,2,FALSE),1)</f>
        <v>11.3</v>
      </c>
      <c r="P18" s="393">
        <f t="shared" si="7"/>
        <v>3.69</v>
      </c>
      <c r="R18" s="176" t="str">
        <f t="shared" si="8"/>
        <v>谢尔曼</v>
      </c>
      <c r="S18" s="103">
        <f>VLOOKUP($R18,坦克个性化设定!$B$51:$T$81,MATCH(S$3,坦克个性化设定!$B$51:$T$51,0),FALSE)</f>
        <v>1</v>
      </c>
      <c r="T18" s="103">
        <f>VLOOKUP($R18,坦克个性化设定!$B$51:$T$81,MATCH(T$3,坦克个性化设定!$B$51:$T$51,0),FALSE)</f>
        <v>4.5</v>
      </c>
      <c r="U18" s="103">
        <f>VLOOKUP($R18,坦克个性化设定!$B$51:$T$81,MATCH(U$3,坦克个性化设定!$B$51:$T$51,0),FALSE)</f>
        <v>0</v>
      </c>
      <c r="V18" s="103">
        <f>VLOOKUP($R18,坦克个性化设定!$B$51:$T$81,MATCH(V$3,坦克个性化设定!$B$51:$T$51,0),FALSE)</f>
        <v>0</v>
      </c>
      <c r="W18" s="103">
        <f>VLOOKUP($R18,坦克个性化设定!$B$51:$T$81,MATCH(W$3,坦克个性化设定!$B$51:$T$51,0),FALSE)</f>
        <v>2.4</v>
      </c>
      <c r="X18" s="103">
        <f>VLOOKUP($R18,坦克个性化设定!$B$51:$T$81,MATCH(X$3,坦克个性化设定!$B$51:$T$51,0),FALSE)</f>
        <v>1</v>
      </c>
      <c r="Y18" s="106">
        <f>VLOOKUP($R18,坦克个性化设定!$B$51:$T$81,MATCH(Y$3,坦克个性化设定!$B$51:$T$51,0),FALSE)</f>
        <v>14.333333333333334</v>
      </c>
      <c r="AA18" s="176" t="str">
        <f t="shared" si="0"/>
        <v>谢尔曼</v>
      </c>
      <c r="AB18" s="181">
        <f t="shared" si="1"/>
        <v>1</v>
      </c>
      <c r="AC18" s="181">
        <f t="shared" si="2"/>
        <v>0</v>
      </c>
      <c r="AD18" s="181">
        <f t="shared" si="3"/>
        <v>2.4</v>
      </c>
      <c r="AE18" s="181">
        <f t="shared" si="4"/>
        <v>1</v>
      </c>
      <c r="AF18" s="106">
        <f t="shared" si="9"/>
        <v>1.2</v>
      </c>
      <c r="AG18" s="106">
        <f t="shared" si="10"/>
        <v>2</v>
      </c>
      <c r="AH18" s="53">
        <v>1.2</v>
      </c>
      <c r="AI18" s="106">
        <f t="shared" si="11"/>
        <v>0.39999999999999991</v>
      </c>
      <c r="AJ18" s="104">
        <f>IF(VLOOKUP(AA18,坦克个性化设定!$B$51:$T$81,9,FALSE)=0,VLOOKUP(AA18,坦克个性化设定!$B$51:$T$81,10,FALSE),VLOOKUP(AA18,坦克个性化设定!$B$51:$T$81,9,FALSE))</f>
        <v>4.5</v>
      </c>
      <c r="AK18" s="181" t="str">
        <f>IF(LEN(VLOOKUP(AA18,坦克个性化设定!$B$18:$F$48,5,FALSE))=5,"单发",RIGHT(VLOOKUP(AA18,坦克个性化设定!$B$18:$F$48,5,FALSE),2))</f>
        <v>单发</v>
      </c>
      <c r="AL18" s="106">
        <f t="shared" si="5"/>
        <v>18.633333333333336</v>
      </c>
      <c r="AM18" s="106">
        <f t="shared" si="12"/>
        <v>0</v>
      </c>
      <c r="AN18" s="106">
        <f t="shared" si="13"/>
        <v>3.4026465028355384</v>
      </c>
      <c r="AO18" s="106">
        <f t="shared" si="6"/>
        <v>0.24385633270321369</v>
      </c>
      <c r="AP18" s="106">
        <f t="shared" si="14"/>
        <v>1.0973534971644616</v>
      </c>
    </row>
    <row r="19" spans="5:42" x14ac:dyDescent="0.35">
      <c r="E19" s="100" t="s">
        <v>625</v>
      </c>
      <c r="F19" s="104">
        <f>VLOOKUP($E19,坦克个性化设定!$B$51:$T$81,MATCH(F$3,坦克个性化设定!$B$51:$T$51,0),FALSE)</f>
        <v>4.5</v>
      </c>
      <c r="G19" s="104">
        <f>VLOOKUP($E19,坦克个性化设定!$B$51:$T$81,MATCH(G$3,坦克个性化设定!$B$51:$T$51,0),FALSE)</f>
        <v>0</v>
      </c>
      <c r="I19" s="103" t="s">
        <v>625</v>
      </c>
      <c r="J19" s="8" t="s">
        <v>14</v>
      </c>
      <c r="K19" s="103">
        <f>ROUND(VLOOKUP(I19,坦克个性化设定!$F$84:$S$114,MATCH(K$3,坦克个性化设定!$F$84:$S$84,0),FALSE)*VLOOKUP(J19,$B$3:$C$6,2,FALSE),1)</f>
        <v>37.4</v>
      </c>
      <c r="L19" s="103">
        <f>K19/坦克个性化设定!$M$4*坦克个性化设定!$M$5</f>
        <v>9.3499999999999961</v>
      </c>
      <c r="M19" s="103">
        <f>ROUND(VLOOKUP(I19,坦克个性化设定!$F$84:$S$114,MATCH(M$3,坦克个性化设定!$F$84:$S$84,0),FALSE)*VLOOKUP(J19,$B$3:$C$6,2,FALSE),1)</f>
        <v>52.5</v>
      </c>
      <c r="N19" s="103">
        <f>M19/坦克个性化设定!$M$4*坦克个性化设定!$M$5</f>
        <v>13.124999999999996</v>
      </c>
      <c r="O19" s="103">
        <f>ROUND(VLOOKUP(I19,坦克个性化设定!$F$84:$S$114,MATCH(O$3,坦克个性化设定!$F$84:$S$84,0),FALSE)*VLOOKUP(J19,$B$3:$C$6,2,FALSE),1)</f>
        <v>11.6</v>
      </c>
      <c r="P19" s="393">
        <f t="shared" si="7"/>
        <v>3.79</v>
      </c>
      <c r="R19" s="176" t="str">
        <f t="shared" si="8"/>
        <v>彗星</v>
      </c>
      <c r="S19" s="103">
        <f>VLOOKUP($R19,坦克个性化设定!$B$51:$T$81,MATCH(S$3,坦克个性化设定!$B$51:$T$51,0),FALSE)</f>
        <v>1</v>
      </c>
      <c r="T19" s="103">
        <f>VLOOKUP($R19,坦克个性化设定!$B$51:$T$81,MATCH(T$3,坦克个性化设定!$B$51:$T$51,0),FALSE)</f>
        <v>4.5</v>
      </c>
      <c r="U19" s="103">
        <f>VLOOKUP($R19,坦克个性化设定!$B$51:$T$81,MATCH(U$3,坦克个性化设定!$B$51:$T$51,0),FALSE)</f>
        <v>0</v>
      </c>
      <c r="V19" s="103">
        <f>VLOOKUP($R19,坦克个性化设定!$B$51:$T$81,MATCH(V$3,坦克个性化设定!$B$51:$T$51,0),FALSE)</f>
        <v>0</v>
      </c>
      <c r="W19" s="103">
        <f>VLOOKUP($R19,坦克个性化设定!$B$51:$T$81,MATCH(W$3,坦克个性化设定!$B$51:$T$51,0),FALSE)</f>
        <v>2.4</v>
      </c>
      <c r="X19" s="103">
        <f>VLOOKUP($R19,坦克个性化设定!$B$51:$T$81,MATCH(X$3,坦克个性化设定!$B$51:$T$51,0),FALSE)</f>
        <v>1</v>
      </c>
      <c r="Y19" s="106">
        <f>VLOOKUP($R19,坦克个性化设定!$B$51:$T$81,MATCH(Y$3,坦克个性化设定!$B$51:$T$51,0),FALSE)</f>
        <v>14.333333333333334</v>
      </c>
      <c r="AA19" s="176" t="str">
        <f t="shared" si="0"/>
        <v>彗星</v>
      </c>
      <c r="AB19" s="181">
        <f t="shared" si="1"/>
        <v>1</v>
      </c>
      <c r="AC19" s="181">
        <f t="shared" si="2"/>
        <v>0</v>
      </c>
      <c r="AD19" s="181">
        <f t="shared" si="3"/>
        <v>2.4</v>
      </c>
      <c r="AE19" s="181">
        <f t="shared" si="4"/>
        <v>1</v>
      </c>
      <c r="AF19" s="106">
        <f t="shared" si="9"/>
        <v>1.2</v>
      </c>
      <c r="AG19" s="106">
        <f t="shared" si="10"/>
        <v>2</v>
      </c>
      <c r="AH19" s="53">
        <v>1.2</v>
      </c>
      <c r="AI19" s="106">
        <f t="shared" si="11"/>
        <v>0.39999999999999991</v>
      </c>
      <c r="AJ19" s="104">
        <f>IF(VLOOKUP(AA19,坦克个性化设定!$B$51:$T$81,9,FALSE)=0,VLOOKUP(AA19,坦克个性化设定!$B$51:$T$81,10,FALSE),VLOOKUP(AA19,坦克个性化设定!$B$51:$T$81,9,FALSE))</f>
        <v>4.5</v>
      </c>
      <c r="AK19" s="181" t="str">
        <f>IF(LEN(VLOOKUP(AA19,坦克个性化设定!$B$18:$F$48,5,FALSE))=5,"单发",RIGHT(VLOOKUP(AA19,坦克个性化设定!$B$18:$F$48,5,FALSE),2))</f>
        <v>单发</v>
      </c>
      <c r="AL19" s="106">
        <f t="shared" si="5"/>
        <v>18.633333333333336</v>
      </c>
      <c r="AM19" s="106">
        <f t="shared" si="12"/>
        <v>0</v>
      </c>
      <c r="AN19" s="106">
        <f t="shared" si="13"/>
        <v>3.4026465028355384</v>
      </c>
      <c r="AO19" s="106">
        <f t="shared" si="6"/>
        <v>0.24385633270321369</v>
      </c>
      <c r="AP19" s="106">
        <f t="shared" si="14"/>
        <v>1.0973534971644616</v>
      </c>
    </row>
    <row r="20" spans="5:42" x14ac:dyDescent="0.35">
      <c r="E20" s="100" t="s">
        <v>719</v>
      </c>
      <c r="F20" s="104">
        <f>VLOOKUP($E20,坦克个性化设定!$B$51:$T$81,MATCH(F$3,坦克个性化设定!$B$51:$T$51,0),FALSE)</f>
        <v>0</v>
      </c>
      <c r="G20" s="104">
        <f>VLOOKUP($E20,坦克个性化设定!$B$51:$T$81,MATCH(G$3,坦克个性化设定!$B$51:$T$51,0),FALSE)</f>
        <v>4</v>
      </c>
      <c r="I20" s="103" t="s">
        <v>719</v>
      </c>
      <c r="J20" s="8" t="s">
        <v>1076</v>
      </c>
      <c r="K20" s="103">
        <f>ROUND(VLOOKUP(I20,坦克个性化设定!$F$84:$S$114,MATCH(K$3,坦克个性化设定!$F$84:$S$84,0),FALSE)*VLOOKUP(J20,$B$3:$C$6,2,FALSE),1)</f>
        <v>44.5</v>
      </c>
      <c r="L20" s="103">
        <f>K20/坦克个性化设定!$M$4*坦克个性化设定!$M$5</f>
        <v>11.124999999999998</v>
      </c>
      <c r="M20" s="103">
        <f>ROUND(VLOOKUP(I20,坦克个性化设定!$F$84:$S$114,MATCH(M$3,坦克个性化设定!$F$84:$S$84,0),FALSE)*VLOOKUP(J20,$B$3:$C$6,2,FALSE),1)</f>
        <v>40</v>
      </c>
      <c r="N20" s="103">
        <f>M20/坦克个性化设定!$M$4*坦克个性化设定!$M$5</f>
        <v>9.9999999999999982</v>
      </c>
      <c r="O20" s="103">
        <f>ROUND(VLOOKUP(I20,坦克个性化设定!$F$84:$S$114,MATCH(O$3,坦克个性化设定!$F$84:$S$84,0),FALSE)*VLOOKUP(J20,$B$3:$C$6,2,FALSE),1)</f>
        <v>12.3</v>
      </c>
      <c r="P20" s="393">
        <f t="shared" si="7"/>
        <v>4.0199999999999996</v>
      </c>
      <c r="R20" s="176" t="str">
        <f t="shared" si="8"/>
        <v>M-48</v>
      </c>
      <c r="S20" s="103">
        <f>VLOOKUP($R20,坦克个性化设定!$B$51:$T$81,MATCH(S$3,坦克个性化设定!$B$51:$T$51,0),FALSE)</f>
        <v>4</v>
      </c>
      <c r="T20" s="103">
        <f>VLOOKUP($R20,坦克个性化设定!$B$51:$T$81,MATCH(T$3,坦克个性化设定!$B$51:$T$51,0),FALSE)</f>
        <v>0</v>
      </c>
      <c r="U20" s="103">
        <f>VLOOKUP($R20,坦克个性化设定!$B$51:$T$81,MATCH(U$3,坦克个性化设定!$B$51:$T$51,0),FALSE)</f>
        <v>4</v>
      </c>
      <c r="V20" s="103">
        <f>VLOOKUP($R20,坦克个性化设定!$B$51:$T$81,MATCH(V$3,坦克个性化设定!$B$51:$T$51,0),FALSE)</f>
        <v>0.87999999999999989</v>
      </c>
      <c r="W20" s="103">
        <f>VLOOKUP($R20,坦克个性化设定!$B$51:$T$81,MATCH(W$3,坦克个性化设定!$B$51:$T$51,0),FALSE)</f>
        <v>1.73</v>
      </c>
      <c r="X20" s="103">
        <f>VLOOKUP($R20,坦克个性化设定!$B$51:$T$81,MATCH(X$3,坦克个性化设定!$B$51:$T$51,0),FALSE)</f>
        <v>1.2</v>
      </c>
      <c r="Y20" s="106">
        <f>VLOOKUP($R20,坦克个性化设定!$B$51:$T$81,MATCH(Y$3,坦克个性化设定!$B$51:$T$51,0),FALSE)</f>
        <v>38.554216867469883</v>
      </c>
      <c r="AA20" s="176" t="str">
        <f t="shared" si="0"/>
        <v>M-48</v>
      </c>
      <c r="AB20" s="181">
        <f t="shared" si="1"/>
        <v>4</v>
      </c>
      <c r="AC20" s="181">
        <f t="shared" si="2"/>
        <v>0.87999999999999989</v>
      </c>
      <c r="AD20" s="181">
        <f t="shared" si="3"/>
        <v>1.73</v>
      </c>
      <c r="AE20" s="181">
        <f t="shared" si="4"/>
        <v>1.2</v>
      </c>
      <c r="AF20" s="106">
        <f t="shared" si="9"/>
        <v>1.44</v>
      </c>
      <c r="AG20" s="106">
        <f t="shared" si="10"/>
        <v>1.2013888888888888</v>
      </c>
      <c r="AH20" s="53">
        <v>1.2</v>
      </c>
      <c r="AI20" s="106">
        <f t="shared" si="11"/>
        <v>0.24027777777777781</v>
      </c>
      <c r="AJ20" s="104">
        <f>IF(VLOOKUP(AA20,坦克个性化设定!$B$51:$T$81,9,FALSE)=0,VLOOKUP(AA20,坦克个性化设定!$B$51:$T$81,10,FALSE),VLOOKUP(AA20,坦克个性化设定!$B$51:$T$81,9,FALSE))</f>
        <v>4</v>
      </c>
      <c r="AK20" s="181" t="str">
        <f>IF(LEN(VLOOKUP(AA20,坦克个性化设定!$B$18:$F$48,5,FALSE))=5,"单发",RIGHT(VLOOKUP(AA20,坦克个性化设定!$B$18:$F$48,5,FALSE),2))</f>
        <v>弹夹</v>
      </c>
      <c r="AL20" s="106">
        <f t="shared" si="5"/>
        <v>50.120481927710848</v>
      </c>
      <c r="AM20" s="472">
        <v>0.75</v>
      </c>
      <c r="AN20" s="106">
        <f t="shared" si="13"/>
        <v>2.7586206896551717</v>
      </c>
      <c r="AO20" s="106">
        <f t="shared" si="6"/>
        <v>0.31034482758620707</v>
      </c>
      <c r="AP20" s="106">
        <f t="shared" si="14"/>
        <v>1.2413793103448283</v>
      </c>
    </row>
    <row r="21" spans="5:42" x14ac:dyDescent="0.35">
      <c r="E21" s="100" t="s">
        <v>720</v>
      </c>
      <c r="F21" s="104">
        <f>VLOOKUP($E21,坦克个性化设定!$B$51:$T$81,MATCH(F$3,坦克个性化设定!$B$51:$T$51,0),FALSE)</f>
        <v>4.5</v>
      </c>
      <c r="G21" s="104">
        <f>VLOOKUP($E21,坦克个性化设定!$B$51:$T$81,MATCH(G$3,坦克个性化设定!$B$51:$T$51,0),FALSE)</f>
        <v>0</v>
      </c>
      <c r="I21" s="103" t="s">
        <v>720</v>
      </c>
      <c r="J21" s="8" t="s">
        <v>1077</v>
      </c>
      <c r="K21" s="103">
        <f>ROUND(VLOOKUP(I21,坦克个性化设定!$F$84:$S$114,MATCH(K$3,坦克个性化设定!$F$84:$S$84,0),FALSE)*VLOOKUP(J21,$B$3:$C$6,2,FALSE),1)</f>
        <v>36.299999999999997</v>
      </c>
      <c r="L21" s="103">
        <f>K21/坦克个性化设定!$M$4*坦克个性化设定!$M$5</f>
        <v>9.0749999999999957</v>
      </c>
      <c r="M21" s="103">
        <f>ROUND(VLOOKUP(I21,坦克个性化设定!$F$84:$S$114,MATCH(M$3,坦克个性化设定!$F$84:$S$84,0),FALSE)*VLOOKUP(J21,$B$3:$C$6,2,FALSE),1)</f>
        <v>51</v>
      </c>
      <c r="N21" s="103">
        <f>M21/坦克个性化设定!$M$4*坦克个性化设定!$M$5</f>
        <v>12.749999999999996</v>
      </c>
      <c r="O21" s="103">
        <f>ROUND(VLOOKUP(I21,坦克个性化设定!$F$84:$S$114,MATCH(O$3,坦克个性化设定!$F$84:$S$84,0),FALSE)*VLOOKUP(J21,$B$3:$C$6,2,FALSE),1)</f>
        <v>11.3</v>
      </c>
      <c r="P21" s="393">
        <f t="shared" si="7"/>
        <v>3.69</v>
      </c>
      <c r="R21" s="176" t="str">
        <f t="shared" si="8"/>
        <v>潘兴</v>
      </c>
      <c r="S21" s="103">
        <f>VLOOKUP($R21,坦克个性化设定!$B$51:$T$81,MATCH(S$3,坦克个性化设定!$B$51:$T$51,0),FALSE)</f>
        <v>1</v>
      </c>
      <c r="T21" s="103">
        <f>VLOOKUP($R21,坦克个性化设定!$B$51:$T$81,MATCH(T$3,坦克个性化设定!$B$51:$T$51,0),FALSE)</f>
        <v>4.5</v>
      </c>
      <c r="U21" s="103">
        <f>VLOOKUP($R21,坦克个性化设定!$B$51:$T$81,MATCH(U$3,坦克个性化设定!$B$51:$T$51,0),FALSE)</f>
        <v>0</v>
      </c>
      <c r="V21" s="103">
        <f>VLOOKUP($R21,坦克个性化设定!$B$51:$T$81,MATCH(V$3,坦克个性化设定!$B$51:$T$51,0),FALSE)</f>
        <v>0</v>
      </c>
      <c r="W21" s="103">
        <f>VLOOKUP($R21,坦克个性化设定!$B$51:$T$81,MATCH(W$3,坦克个性化设定!$B$51:$T$51,0),FALSE)</f>
        <v>2.4</v>
      </c>
      <c r="X21" s="103">
        <f>VLOOKUP($R21,坦克个性化设定!$B$51:$T$81,MATCH(X$3,坦克个性化设定!$B$51:$T$51,0),FALSE)</f>
        <v>1</v>
      </c>
      <c r="Y21" s="106">
        <f>VLOOKUP($R21,坦克个性化设定!$B$51:$T$81,MATCH(Y$3,坦克个性化设定!$B$51:$T$51,0),FALSE)</f>
        <v>14.333333333333334</v>
      </c>
      <c r="AA21" s="176" t="str">
        <f t="shared" si="0"/>
        <v>潘兴</v>
      </c>
      <c r="AB21" s="181">
        <f t="shared" si="1"/>
        <v>1</v>
      </c>
      <c r="AC21" s="181">
        <f t="shared" si="2"/>
        <v>0</v>
      </c>
      <c r="AD21" s="181">
        <f t="shared" si="3"/>
        <v>2.4</v>
      </c>
      <c r="AE21" s="181">
        <f t="shared" si="4"/>
        <v>1</v>
      </c>
      <c r="AF21" s="106">
        <f t="shared" si="9"/>
        <v>1.2</v>
      </c>
      <c r="AG21" s="106">
        <f t="shared" si="10"/>
        <v>2</v>
      </c>
      <c r="AH21" s="53">
        <v>1.2</v>
      </c>
      <c r="AI21" s="106">
        <f t="shared" si="11"/>
        <v>0.39999999999999991</v>
      </c>
      <c r="AJ21" s="104">
        <f>IF(VLOOKUP(AA21,坦克个性化设定!$B$51:$T$81,9,FALSE)=0,VLOOKUP(AA21,坦克个性化设定!$B$51:$T$81,10,FALSE),VLOOKUP(AA21,坦克个性化设定!$B$51:$T$81,9,FALSE))</f>
        <v>4.5</v>
      </c>
      <c r="AK21" s="181" t="str">
        <f>IF(LEN(VLOOKUP(AA21,坦克个性化设定!$B$18:$F$48,5,FALSE))=5,"单发",RIGHT(VLOOKUP(AA21,坦克个性化设定!$B$18:$F$48,5,FALSE),2))</f>
        <v>单发</v>
      </c>
      <c r="AL21" s="106">
        <f t="shared" si="5"/>
        <v>18.633333333333336</v>
      </c>
      <c r="AM21" s="106">
        <f t="shared" si="12"/>
        <v>0</v>
      </c>
      <c r="AN21" s="106">
        <f t="shared" si="13"/>
        <v>3.4026465028355384</v>
      </c>
      <c r="AO21" s="106">
        <f t="shared" si="6"/>
        <v>0.24385633270321369</v>
      </c>
      <c r="AP21" s="106">
        <f t="shared" si="14"/>
        <v>1.0973534971644616</v>
      </c>
    </row>
    <row r="22" spans="5:42" x14ac:dyDescent="0.35">
      <c r="E22" s="100" t="s">
        <v>634</v>
      </c>
      <c r="F22" s="104">
        <f>VLOOKUP($E22,坦克个性化设定!$B$51:$T$81,MATCH(F$3,坦克个性化设定!$B$51:$T$51,0),FALSE)</f>
        <v>4.5</v>
      </c>
      <c r="G22" s="104">
        <f>VLOOKUP($E22,坦克个性化设定!$B$51:$T$81,MATCH(G$3,坦克个性化设定!$B$51:$T$51,0),FALSE)</f>
        <v>0</v>
      </c>
      <c r="I22" s="103" t="s">
        <v>634</v>
      </c>
      <c r="J22" s="8" t="s">
        <v>14</v>
      </c>
      <c r="K22" s="103">
        <f>ROUND(VLOOKUP(I22,坦克个性化设定!$F$84:$S$114,MATCH(K$3,坦克个性化设定!$F$84:$S$84,0),FALSE)*VLOOKUP(J22,$B$3:$C$6,2,FALSE),1)</f>
        <v>46.7</v>
      </c>
      <c r="L22" s="103">
        <f>K22/坦克个性化设定!$M$4*坦克个性化设定!$M$5</f>
        <v>11.674999999999997</v>
      </c>
      <c r="M22" s="103">
        <f>ROUND(VLOOKUP(I22,坦克个性化设定!$F$84:$S$114,MATCH(M$3,坦克个性化设定!$F$84:$S$84,0),FALSE)*VLOOKUP(J22,$B$3:$C$6,2,FALSE),1)</f>
        <v>42</v>
      </c>
      <c r="N22" s="103">
        <f>M22/坦克个性化设定!$M$4*坦克个性化设定!$M$5</f>
        <v>10.499999999999998</v>
      </c>
      <c r="O22" s="103">
        <f>ROUND(VLOOKUP(I22,坦克个性化设定!$F$84:$S$114,MATCH(O$3,坦克个性化设定!$F$84:$S$84,0),FALSE)*VLOOKUP(J22,$B$3:$C$6,2,FALSE),1)</f>
        <v>12.9</v>
      </c>
      <c r="P22" s="393">
        <f t="shared" si="7"/>
        <v>4.21</v>
      </c>
      <c r="R22" s="176" t="str">
        <f t="shared" si="8"/>
        <v>百夫长</v>
      </c>
      <c r="S22" s="103">
        <f>VLOOKUP($R22,坦克个性化设定!$B$51:$T$81,MATCH(S$3,坦克个性化设定!$B$51:$T$51,0),FALSE)</f>
        <v>1</v>
      </c>
      <c r="T22" s="103">
        <f>VLOOKUP($R22,坦克个性化设定!$B$51:$T$81,MATCH(T$3,坦克个性化设定!$B$51:$T$51,0),FALSE)</f>
        <v>4.5</v>
      </c>
      <c r="U22" s="103">
        <f>VLOOKUP($R22,坦克个性化设定!$B$51:$T$81,MATCH(U$3,坦克个性化设定!$B$51:$T$51,0),FALSE)</f>
        <v>0</v>
      </c>
      <c r="V22" s="103">
        <f>VLOOKUP($R22,坦克个性化设定!$B$51:$T$81,MATCH(V$3,坦克个性化设定!$B$51:$T$51,0),FALSE)</f>
        <v>0</v>
      </c>
      <c r="W22" s="103">
        <f>VLOOKUP($R22,坦克个性化设定!$B$51:$T$81,MATCH(W$3,坦克个性化设定!$B$51:$T$51,0),FALSE)</f>
        <v>2.4</v>
      </c>
      <c r="X22" s="103">
        <f>VLOOKUP($R22,坦克个性化设定!$B$51:$T$81,MATCH(X$3,坦克个性化设定!$B$51:$T$51,0),FALSE)</f>
        <v>1</v>
      </c>
      <c r="Y22" s="106">
        <f>VLOOKUP($R22,坦克个性化设定!$B$51:$T$81,MATCH(Y$3,坦克个性化设定!$B$51:$T$51,0),FALSE)</f>
        <v>14.333333333333334</v>
      </c>
      <c r="AA22" s="176" t="str">
        <f t="shared" si="0"/>
        <v>百夫长</v>
      </c>
      <c r="AB22" s="181">
        <f t="shared" si="1"/>
        <v>1</v>
      </c>
      <c r="AC22" s="181">
        <f t="shared" si="2"/>
        <v>0</v>
      </c>
      <c r="AD22" s="181">
        <f t="shared" si="3"/>
        <v>2.4</v>
      </c>
      <c r="AE22" s="181">
        <f t="shared" si="4"/>
        <v>1</v>
      </c>
      <c r="AF22" s="106">
        <f t="shared" si="9"/>
        <v>1.2</v>
      </c>
      <c r="AG22" s="106">
        <f t="shared" si="10"/>
        <v>2</v>
      </c>
      <c r="AH22" s="53">
        <v>1.2</v>
      </c>
      <c r="AI22" s="106">
        <f t="shared" si="11"/>
        <v>0.39999999999999991</v>
      </c>
      <c r="AJ22" s="104">
        <f>IF(VLOOKUP(AA22,坦克个性化设定!$B$51:$T$81,9,FALSE)=0,VLOOKUP(AA22,坦克个性化设定!$B$51:$T$81,10,FALSE),VLOOKUP(AA22,坦克个性化设定!$B$51:$T$81,9,FALSE))</f>
        <v>4.5</v>
      </c>
      <c r="AK22" s="181" t="str">
        <f>IF(LEN(VLOOKUP(AA22,坦克个性化设定!$B$18:$F$48,5,FALSE))=5,"单发",RIGHT(VLOOKUP(AA22,坦克个性化设定!$B$18:$F$48,5,FALSE),2))</f>
        <v>单发</v>
      </c>
      <c r="AL22" s="106">
        <f t="shared" si="5"/>
        <v>18.633333333333336</v>
      </c>
      <c r="AM22" s="106">
        <f t="shared" si="12"/>
        <v>0</v>
      </c>
      <c r="AN22" s="106">
        <f t="shared" si="13"/>
        <v>3.4026465028355384</v>
      </c>
      <c r="AO22" s="106">
        <f t="shared" si="6"/>
        <v>0.24385633270321369</v>
      </c>
      <c r="AP22" s="106">
        <f t="shared" si="14"/>
        <v>1.0973534971644616</v>
      </c>
    </row>
    <row r="23" spans="5:42" x14ac:dyDescent="0.35">
      <c r="E23" s="100" t="s">
        <v>636</v>
      </c>
      <c r="F23" s="104">
        <f>VLOOKUP($E23,坦克个性化设定!$B$51:$T$81,MATCH(F$3,坦克个性化设定!$B$51:$T$51,0),FALSE)</f>
        <v>4.5</v>
      </c>
      <c r="G23" s="104">
        <f>VLOOKUP($E23,坦克个性化设定!$B$51:$T$81,MATCH(G$3,坦克个性化设定!$B$51:$T$51,0),FALSE)</f>
        <v>0</v>
      </c>
      <c r="I23" s="103" t="s">
        <v>636</v>
      </c>
      <c r="J23" s="8" t="s">
        <v>12</v>
      </c>
      <c r="K23" s="103">
        <f>ROUND(VLOOKUP(I23,坦克个性化设定!$F$84:$S$114,MATCH(K$3,坦克个性化设定!$F$84:$S$84,0),FALSE)*VLOOKUP(J23,$B$3:$C$6,2,FALSE),1)</f>
        <v>35.6</v>
      </c>
      <c r="L23" s="103">
        <f>K23/坦克个性化设定!$M$4*坦克个性化设定!$M$5</f>
        <v>8.8999999999999986</v>
      </c>
      <c r="M23" s="103">
        <f>ROUND(VLOOKUP(I23,坦克个性化设定!$F$84:$S$114,MATCH(M$3,坦克个性化设定!$F$84:$S$84,0),FALSE)*VLOOKUP(J23,$B$3:$C$6,2,FALSE),1)</f>
        <v>50</v>
      </c>
      <c r="N23" s="103">
        <f>M23/坦克个性化设定!$M$4*坦克个性化设定!$M$5</f>
        <v>12.499999999999996</v>
      </c>
      <c r="O23" s="103">
        <f>ROUND(VLOOKUP(I23,坦克个性化设定!$F$84:$S$114,MATCH(O$3,坦克个性化设定!$F$84:$S$84,0),FALSE)*VLOOKUP(J23,$B$3:$C$6,2,FALSE),1)</f>
        <v>11.1</v>
      </c>
      <c r="P23" s="393">
        <f t="shared" si="7"/>
        <v>3.63</v>
      </c>
      <c r="R23" s="176" t="str">
        <f t="shared" si="8"/>
        <v>挑战者</v>
      </c>
      <c r="S23" s="103">
        <f>VLOOKUP($R23,坦克个性化设定!$B$51:$T$81,MATCH(S$3,坦克个性化设定!$B$51:$T$51,0),FALSE)</f>
        <v>1</v>
      </c>
      <c r="T23" s="103">
        <f>VLOOKUP($R23,坦克个性化设定!$B$51:$T$81,MATCH(T$3,坦克个性化设定!$B$51:$T$51,0),FALSE)</f>
        <v>4.5</v>
      </c>
      <c r="U23" s="103">
        <f>VLOOKUP($R23,坦克个性化设定!$B$51:$T$81,MATCH(U$3,坦克个性化设定!$B$51:$T$51,0),FALSE)</f>
        <v>0</v>
      </c>
      <c r="V23" s="103">
        <f>VLOOKUP($R23,坦克个性化设定!$B$51:$T$81,MATCH(V$3,坦克个性化设定!$B$51:$T$51,0),FALSE)</f>
        <v>0</v>
      </c>
      <c r="W23" s="103">
        <f>VLOOKUP($R23,坦克个性化设定!$B$51:$T$81,MATCH(W$3,坦克个性化设定!$B$51:$T$51,0),FALSE)</f>
        <v>2.4</v>
      </c>
      <c r="X23" s="103">
        <f>VLOOKUP($R23,坦克个性化设定!$B$51:$T$81,MATCH(X$3,坦克个性化设定!$B$51:$T$51,0),FALSE)</f>
        <v>1</v>
      </c>
      <c r="Y23" s="106">
        <f>VLOOKUP($R23,坦克个性化设定!$B$51:$T$81,MATCH(Y$3,坦克个性化设定!$B$51:$T$51,0),FALSE)</f>
        <v>14.333333333333334</v>
      </c>
      <c r="AA23" s="176" t="str">
        <f t="shared" si="0"/>
        <v>挑战者</v>
      </c>
      <c r="AB23" s="181">
        <f t="shared" si="1"/>
        <v>1</v>
      </c>
      <c r="AC23" s="181">
        <f t="shared" si="2"/>
        <v>0</v>
      </c>
      <c r="AD23" s="181">
        <f t="shared" si="3"/>
        <v>2.4</v>
      </c>
      <c r="AE23" s="181">
        <f t="shared" si="4"/>
        <v>1</v>
      </c>
      <c r="AF23" s="106">
        <f t="shared" si="9"/>
        <v>1.2</v>
      </c>
      <c r="AG23" s="106">
        <f t="shared" si="10"/>
        <v>2</v>
      </c>
      <c r="AH23" s="53">
        <v>1.2</v>
      </c>
      <c r="AI23" s="106">
        <f t="shared" si="11"/>
        <v>0.39999999999999991</v>
      </c>
      <c r="AJ23" s="104">
        <f>IF(VLOOKUP(AA23,坦克个性化设定!$B$51:$T$81,9,FALSE)=0,VLOOKUP(AA23,坦克个性化设定!$B$51:$T$81,10,FALSE),VLOOKUP(AA23,坦克个性化设定!$B$51:$T$81,9,FALSE))</f>
        <v>4.5</v>
      </c>
      <c r="AK23" s="181" t="str">
        <f>IF(LEN(VLOOKUP(AA23,坦克个性化设定!$B$18:$F$48,5,FALSE))=5,"单发",RIGHT(VLOOKUP(AA23,坦克个性化设定!$B$18:$F$48,5,FALSE),2))</f>
        <v>单发</v>
      </c>
      <c r="AL23" s="106">
        <f t="shared" si="5"/>
        <v>18.633333333333336</v>
      </c>
      <c r="AM23" s="106">
        <f t="shared" si="12"/>
        <v>0</v>
      </c>
      <c r="AN23" s="106">
        <f t="shared" si="13"/>
        <v>3.4026465028355384</v>
      </c>
      <c r="AO23" s="106">
        <f t="shared" si="6"/>
        <v>0.24385633270321369</v>
      </c>
      <c r="AP23" s="106">
        <f t="shared" si="14"/>
        <v>1.0973534971644616</v>
      </c>
    </row>
    <row r="24" spans="5:42" x14ac:dyDescent="0.35">
      <c r="E24" s="100" t="s">
        <v>721</v>
      </c>
      <c r="F24" s="104">
        <f>VLOOKUP($E24,坦克个性化设定!$B$51:$T$81,MATCH(F$3,坦克个性化设定!$B$51:$T$51,0),FALSE)</f>
        <v>5.3999999999999995</v>
      </c>
      <c r="G24" s="104">
        <f>VLOOKUP($E24,坦克个性化设定!$B$51:$T$81,MATCH(G$3,坦克个性化设定!$B$51:$T$51,0),FALSE)</f>
        <v>0</v>
      </c>
      <c r="I24" s="103" t="s">
        <v>721</v>
      </c>
      <c r="J24" s="8" t="s">
        <v>12</v>
      </c>
      <c r="K24" s="103">
        <f>ROUND(VLOOKUP(I24,坦克个性化设定!$F$84:$S$114,MATCH(K$3,坦克个性化设定!$F$84:$S$84,0),FALSE)*VLOOKUP(J24,$B$3:$C$6,2,FALSE),1)</f>
        <v>39.200000000000003</v>
      </c>
      <c r="L24" s="103">
        <f>K24/坦克个性化设定!$M$4*坦克个性化设定!$M$5</f>
        <v>9.7999999999999972</v>
      </c>
      <c r="M24" s="103">
        <f>ROUND(VLOOKUP(I24,坦克个性化设定!$F$84:$S$114,MATCH(M$3,坦克个性化设定!$F$84:$S$84,0),FALSE)*VLOOKUP(J24,$B$3:$C$6,2,FALSE),1)</f>
        <v>35</v>
      </c>
      <c r="N24" s="103">
        <f>M24/坦克个性化设定!$M$4*坦克个性化设定!$M$5</f>
        <v>8.7499999999999982</v>
      </c>
      <c r="O24" s="103">
        <f>ROUND(VLOOKUP(I24,坦克个性化设定!$F$84:$S$114,MATCH(O$3,坦克个性化设定!$F$84:$S$84,0),FALSE)*VLOOKUP(J24,$B$3:$C$6,2,FALSE),1)</f>
        <v>10.5</v>
      </c>
      <c r="P24" s="393">
        <f t="shared" si="7"/>
        <v>3.43</v>
      </c>
      <c r="R24" s="176" t="str">
        <f t="shared" si="8"/>
        <v>B-1</v>
      </c>
      <c r="S24" s="103">
        <f>VLOOKUP($R24,坦克个性化设定!$B$51:$T$81,MATCH(S$3,坦克个性化设定!$B$51:$T$51,0),FALSE)</f>
        <v>2</v>
      </c>
      <c r="T24" s="103">
        <f>VLOOKUP($R24,坦克个性化设定!$B$51:$T$81,MATCH(T$3,坦克个性化设定!$B$51:$T$51,0),FALSE)</f>
        <v>5.3999999999999995</v>
      </c>
      <c r="U24" s="103">
        <f>VLOOKUP($R24,坦克个性化设定!$B$51:$T$81,MATCH(U$3,坦克个性化设定!$B$51:$T$51,0),FALSE)</f>
        <v>0</v>
      </c>
      <c r="V24" s="103">
        <f>VLOOKUP($R24,坦克个性化设定!$B$51:$T$81,MATCH(V$3,坦克个性化设定!$B$51:$T$51,0),FALSE)</f>
        <v>2.8</v>
      </c>
      <c r="W24" s="103">
        <f>VLOOKUP($R24,坦克个性化设定!$B$51:$T$81,MATCH(W$3,坦克个性化设定!$B$51:$T$51,0),FALSE)</f>
        <v>3.18</v>
      </c>
      <c r="X24" s="103">
        <f>VLOOKUP($R24,坦克个性化设定!$B$51:$T$81,MATCH(X$3,坦克个性化设定!$B$51:$T$51,0),FALSE)</f>
        <v>1.2</v>
      </c>
      <c r="Y24" s="106">
        <f>VLOOKUP($R24,坦克个性化设定!$B$51:$T$81,MATCH(Y$3,坦克个性化设定!$B$51:$T$51,0),FALSE)</f>
        <v>13.111111111111112</v>
      </c>
      <c r="AA24" s="176" t="str">
        <f t="shared" si="0"/>
        <v>B-1</v>
      </c>
      <c r="AB24" s="181">
        <f t="shared" si="1"/>
        <v>2</v>
      </c>
      <c r="AC24" s="181">
        <f t="shared" si="2"/>
        <v>2.8</v>
      </c>
      <c r="AD24" s="181">
        <f t="shared" si="3"/>
        <v>3.18</v>
      </c>
      <c r="AE24" s="181">
        <f t="shared" si="4"/>
        <v>1.2</v>
      </c>
      <c r="AF24" s="106">
        <f t="shared" si="9"/>
        <v>1.44</v>
      </c>
      <c r="AG24" s="106">
        <f t="shared" si="10"/>
        <v>2.2083333333333335</v>
      </c>
      <c r="AH24" s="53">
        <v>1.2</v>
      </c>
      <c r="AI24" s="106">
        <f t="shared" si="11"/>
        <v>0.44166666666666687</v>
      </c>
      <c r="AJ24" s="104">
        <f>IF(VLOOKUP(AA24,坦克个性化设定!$B$51:$T$81,9,FALSE)=0,VLOOKUP(AA24,坦克个性化设定!$B$51:$T$81,10,FALSE),VLOOKUP(AA24,坦克个性化设定!$B$51:$T$81,9,FALSE))</f>
        <v>5.3999999999999995</v>
      </c>
      <c r="AK24" s="181" t="str">
        <f>IF(LEN(VLOOKUP(AA24,坦克个性化设定!$B$18:$F$48,5,FALSE))=5,"单发",RIGHT(VLOOKUP(AA24,坦克个性化设定!$B$18:$F$48,5,FALSE),2))</f>
        <v>自动</v>
      </c>
      <c r="AL24" s="106">
        <f t="shared" si="5"/>
        <v>17.044444444444448</v>
      </c>
      <c r="AM24" s="106">
        <f t="shared" si="12"/>
        <v>2.8</v>
      </c>
      <c r="AN24" s="106">
        <f t="shared" si="13"/>
        <v>3.9881831610044305</v>
      </c>
      <c r="AO24" s="106">
        <f t="shared" si="6"/>
        <v>0.26144756277695724</v>
      </c>
      <c r="AP24" s="106">
        <f t="shared" si="14"/>
        <v>1.411816838995569</v>
      </c>
    </row>
    <row r="25" spans="5:42" x14ac:dyDescent="0.35">
      <c r="E25" s="100" t="s">
        <v>630</v>
      </c>
      <c r="F25" s="104">
        <f>VLOOKUP($E25,坦克个性化设定!$B$51:$T$81,MATCH(F$3,坦克个性化设定!$B$51:$T$51,0),FALSE)</f>
        <v>3.6</v>
      </c>
      <c r="G25" s="104">
        <f>VLOOKUP($E25,坦克个性化设定!$B$51:$T$81,MATCH(G$3,坦克个性化设定!$B$51:$T$51,0),FALSE)</f>
        <v>0</v>
      </c>
      <c r="I25" s="103" t="s">
        <v>630</v>
      </c>
      <c r="J25" s="8" t="s">
        <v>12</v>
      </c>
      <c r="K25" s="103">
        <f>ROUND(VLOOKUP(I25,坦克个性化设定!$F$84:$S$114,MATCH(K$3,坦克个性化设定!$F$84:$S$84,0),FALSE)*VLOOKUP(J25,$B$3:$C$6,2,FALSE),1)</f>
        <v>39.200000000000003</v>
      </c>
      <c r="L25" s="103">
        <f>K25/坦克个性化设定!$M$4*坦克个性化设定!$M$5</f>
        <v>9.7999999999999972</v>
      </c>
      <c r="M25" s="103">
        <f>ROUND(VLOOKUP(I25,坦克个性化设定!$F$84:$S$114,MATCH(M$3,坦克个性化设定!$F$84:$S$84,0),FALSE)*VLOOKUP(J25,$B$3:$C$6,2,FALSE),1)</f>
        <v>35</v>
      </c>
      <c r="N25" s="103">
        <f>M25/坦克个性化设定!$M$4*坦克个性化设定!$M$5</f>
        <v>8.7499999999999982</v>
      </c>
      <c r="O25" s="103">
        <f>ROUND(VLOOKUP(I25,坦克个性化设定!$F$84:$S$114,MATCH(O$3,坦克个性化设定!$F$84:$S$84,0),FALSE)*VLOOKUP(J25,$B$3:$C$6,2,FALSE),1)</f>
        <v>10.5</v>
      </c>
      <c r="P25" s="393">
        <f t="shared" si="7"/>
        <v>3.43</v>
      </c>
      <c r="R25" s="176" t="str">
        <f t="shared" si="8"/>
        <v>KV-1</v>
      </c>
      <c r="S25" s="103">
        <f>VLOOKUP($R25,坦克个性化设定!$B$51:$T$81,MATCH(S$3,坦克个性化设定!$B$51:$T$51,0),FALSE)</f>
        <v>3</v>
      </c>
      <c r="T25" s="103">
        <f>VLOOKUP($R25,坦克个性化设定!$B$51:$T$81,MATCH(T$3,坦克个性化设定!$B$51:$T$51,0),FALSE)</f>
        <v>3.6</v>
      </c>
      <c r="U25" s="103">
        <f>VLOOKUP($R25,坦克个性化设定!$B$51:$T$81,MATCH(U$3,坦克个性化设定!$B$51:$T$51,0),FALSE)</f>
        <v>0</v>
      </c>
      <c r="V25" s="103">
        <f>VLOOKUP($R25,坦克个性化设定!$B$51:$T$81,MATCH(V$3,坦克个性化设定!$B$51:$T$51,0),FALSE)</f>
        <v>1.88</v>
      </c>
      <c r="W25" s="103">
        <f>VLOOKUP($R25,坦克个性化设定!$B$51:$T$81,MATCH(W$3,坦克个性化设定!$B$51:$T$51,0),FALSE)</f>
        <v>2.5</v>
      </c>
      <c r="X25" s="103">
        <f>VLOOKUP($R25,坦克个性化设定!$B$51:$T$81,MATCH(X$3,坦克个性化设定!$B$51:$T$51,0),FALSE)</f>
        <v>1.2</v>
      </c>
      <c r="Y25" s="106">
        <f>VLOOKUP($R25,坦克个性化设定!$B$51:$T$81,MATCH(Y$3,坦克个性化设定!$B$51:$T$51,0),FALSE)</f>
        <v>19.666666666666668</v>
      </c>
      <c r="AA25" s="176" t="str">
        <f t="shared" si="0"/>
        <v>KV-1</v>
      </c>
      <c r="AB25" s="181">
        <f t="shared" si="1"/>
        <v>3</v>
      </c>
      <c r="AC25" s="181">
        <f t="shared" si="2"/>
        <v>1.88</v>
      </c>
      <c r="AD25" s="181">
        <f t="shared" si="3"/>
        <v>2.5</v>
      </c>
      <c r="AE25" s="181">
        <f t="shared" si="4"/>
        <v>1.2</v>
      </c>
      <c r="AF25" s="106">
        <f t="shared" si="9"/>
        <v>1.44</v>
      </c>
      <c r="AG25" s="106">
        <f t="shared" si="10"/>
        <v>1.7361111111111112</v>
      </c>
      <c r="AH25" s="53">
        <v>1.2</v>
      </c>
      <c r="AI25" s="106">
        <f t="shared" si="11"/>
        <v>0.34722222222222232</v>
      </c>
      <c r="AJ25" s="104">
        <f>IF(VLOOKUP(AA25,坦克个性化设定!$B$51:$T$81,9,FALSE)=0,VLOOKUP(AA25,坦克个性化设定!$B$51:$T$81,10,FALSE),VLOOKUP(AA25,坦克个性化设定!$B$51:$T$81,9,FALSE))</f>
        <v>3.6</v>
      </c>
      <c r="AK25" s="181" t="str">
        <f>IF(LEN(VLOOKUP(AA25,坦克个性化设定!$B$18:$F$48,5,FALSE))=5,"单发",RIGHT(VLOOKUP(AA25,坦克个性化设定!$B$18:$F$48,5,FALSE),2))</f>
        <v>自动</v>
      </c>
      <c r="AL25" s="106">
        <f t="shared" si="5"/>
        <v>25.56666666666667</v>
      </c>
      <c r="AM25" s="106">
        <f t="shared" si="12"/>
        <v>1.88</v>
      </c>
      <c r="AN25" s="106">
        <f t="shared" si="13"/>
        <v>2.6587887740029537</v>
      </c>
      <c r="AO25" s="106">
        <f t="shared" si="6"/>
        <v>0.26144756277695735</v>
      </c>
      <c r="AP25" s="106">
        <f t="shared" si="14"/>
        <v>0.94121122599704643</v>
      </c>
    </row>
    <row r="26" spans="5:42" x14ac:dyDescent="0.35">
      <c r="E26" s="100" t="s">
        <v>631</v>
      </c>
      <c r="F26" s="104">
        <f>VLOOKUP($E26,坦克个性化设定!$B$51:$T$81,MATCH(F$3,坦克个性化设定!$B$51:$T$51,0),FALSE)</f>
        <v>6</v>
      </c>
      <c r="G26" s="104">
        <f>VLOOKUP($E26,坦克个性化设定!$B$51:$T$81,MATCH(G$3,坦克个性化设定!$B$51:$T$51,0),FALSE)</f>
        <v>0</v>
      </c>
      <c r="I26" s="103" t="s">
        <v>631</v>
      </c>
      <c r="J26" s="8" t="s">
        <v>1077</v>
      </c>
      <c r="K26" s="103">
        <f>ROUND(VLOOKUP(I26,坦克个性化设定!$F$84:$S$114,MATCH(K$3,坦克个性化设定!$F$84:$S$84,0),FALSE)*VLOOKUP(J26,$B$3:$C$6,2,FALSE),1)</f>
        <v>32</v>
      </c>
      <c r="L26" s="103">
        <f>K26/坦克个性化设定!$M$4*坦克个性化设定!$M$5</f>
        <v>7.9999999999999982</v>
      </c>
      <c r="M26" s="103">
        <f>ROUND(VLOOKUP(I26,坦克个性化设定!$F$84:$S$114,MATCH(M$3,坦克个性化设定!$F$84:$S$84,0),FALSE)*VLOOKUP(J26,$B$3:$C$6,2,FALSE),1)</f>
        <v>44.6</v>
      </c>
      <c r="N26" s="103">
        <f>M26/坦克个性化设定!$M$4*坦克个性化设定!$M$5</f>
        <v>11.149999999999997</v>
      </c>
      <c r="O26" s="103">
        <f>ROUND(VLOOKUP(I26,坦克个性化设定!$F$84:$S$114,MATCH(O$3,坦克个性化设定!$F$84:$S$84,0),FALSE)*VLOOKUP(J26,$B$3:$C$6,2,FALSE),1)</f>
        <v>9.6</v>
      </c>
      <c r="P26" s="393">
        <f t="shared" si="7"/>
        <v>3.14</v>
      </c>
      <c r="R26" s="176" t="str">
        <f t="shared" si="8"/>
        <v>丘吉尔</v>
      </c>
      <c r="S26" s="103">
        <f>VLOOKUP($R26,坦克个性化设定!$B$51:$T$81,MATCH(S$3,坦克个性化设定!$B$51:$T$51,0),FALSE)</f>
        <v>1</v>
      </c>
      <c r="T26" s="103">
        <f>VLOOKUP($R26,坦克个性化设定!$B$51:$T$81,MATCH(T$3,坦克个性化设定!$B$51:$T$51,0),FALSE)</f>
        <v>6</v>
      </c>
      <c r="U26" s="103">
        <f>VLOOKUP($R26,坦克个性化设定!$B$51:$T$81,MATCH(U$3,坦克个性化设定!$B$51:$T$51,0),FALSE)</f>
        <v>0</v>
      </c>
      <c r="V26" s="103">
        <f>VLOOKUP($R26,坦克个性化设定!$B$51:$T$81,MATCH(V$3,坦克个性化设定!$B$51:$T$51,0),FALSE)</f>
        <v>0</v>
      </c>
      <c r="W26" s="103">
        <f>VLOOKUP($R26,坦克个性化设定!$B$51:$T$81,MATCH(W$3,坦克个性化设定!$B$51:$T$51,0),FALSE)</f>
        <v>3</v>
      </c>
      <c r="X26" s="103">
        <f>VLOOKUP($R26,坦克个性化设定!$B$51:$T$81,MATCH(X$3,坦克个性化设定!$B$51:$T$51,0),FALSE)</f>
        <v>1</v>
      </c>
      <c r="Y26" s="106">
        <f>VLOOKUP($R26,坦克个性化设定!$B$51:$T$81,MATCH(Y$3,坦克个性化设定!$B$51:$T$51,0),FALSE)</f>
        <v>11</v>
      </c>
      <c r="AA26" s="176" t="str">
        <f t="shared" si="0"/>
        <v>丘吉尔</v>
      </c>
      <c r="AB26" s="181">
        <f t="shared" si="1"/>
        <v>1</v>
      </c>
      <c r="AC26" s="181">
        <f t="shared" si="2"/>
        <v>0</v>
      </c>
      <c r="AD26" s="181">
        <f t="shared" si="3"/>
        <v>3</v>
      </c>
      <c r="AE26" s="181">
        <f t="shared" si="4"/>
        <v>1</v>
      </c>
      <c r="AF26" s="106">
        <f t="shared" si="9"/>
        <v>1.2</v>
      </c>
      <c r="AG26" s="106">
        <f t="shared" si="10"/>
        <v>2.5</v>
      </c>
      <c r="AH26" s="53">
        <v>1.2</v>
      </c>
      <c r="AI26" s="106">
        <f t="shared" si="11"/>
        <v>0.5</v>
      </c>
      <c r="AJ26" s="104">
        <f>IF(VLOOKUP(AA26,坦克个性化设定!$B$51:$T$81,9,FALSE)=0,VLOOKUP(AA26,坦克个性化设定!$B$51:$T$81,10,FALSE),VLOOKUP(AA26,坦克个性化设定!$B$51:$T$81,9,FALSE))</f>
        <v>6</v>
      </c>
      <c r="AK26" s="181" t="str">
        <f>IF(LEN(VLOOKUP(AA26,坦克个性化设定!$B$18:$F$48,5,FALSE))=5,"单发",RIGHT(VLOOKUP(AA26,坦克个性化设定!$B$18:$F$48,5,FALSE),2))</f>
        <v>单发</v>
      </c>
      <c r="AL26" s="106">
        <f t="shared" si="5"/>
        <v>14.3</v>
      </c>
      <c r="AM26" s="106">
        <f t="shared" si="12"/>
        <v>0</v>
      </c>
      <c r="AN26" s="106">
        <f t="shared" si="13"/>
        <v>4.511278195488722</v>
      </c>
      <c r="AO26" s="106">
        <f t="shared" si="6"/>
        <v>0.24812030075187966</v>
      </c>
      <c r="AP26" s="106">
        <f t="shared" si="14"/>
        <v>1.488721804511278</v>
      </c>
    </row>
    <row r="27" spans="5:42" x14ac:dyDescent="0.35">
      <c r="E27" s="100" t="s">
        <v>628</v>
      </c>
      <c r="F27" s="104">
        <f>VLOOKUP($E27,坦克个性化设定!$B$51:$T$81,MATCH(F$3,坦克个性化设定!$B$51:$T$51,0),FALSE)</f>
        <v>6</v>
      </c>
      <c r="G27" s="104">
        <f>VLOOKUP($E27,坦克个性化设定!$B$51:$T$81,MATCH(G$3,坦克个性化设定!$B$51:$T$51,0),FALSE)</f>
        <v>0</v>
      </c>
      <c r="I27" s="103" t="s">
        <v>628</v>
      </c>
      <c r="J27" s="8" t="s">
        <v>1076</v>
      </c>
      <c r="K27" s="103">
        <f>ROUND(VLOOKUP(I27,坦克个性化设定!$F$84:$S$114,MATCH(K$3,坦克个性化设定!$F$84:$S$84,0),FALSE)*VLOOKUP(J27,$B$3:$C$6,2,FALSE),1)</f>
        <v>31.3</v>
      </c>
      <c r="L27" s="103">
        <f>K27/坦克个性化设定!$M$4*坦克个性化设定!$M$5</f>
        <v>7.8249999999999984</v>
      </c>
      <c r="M27" s="103">
        <f>ROUND(VLOOKUP(I27,坦克个性化设定!$F$84:$S$114,MATCH(M$3,坦克个性化设定!$F$84:$S$84,0),FALSE)*VLOOKUP(J27,$B$3:$C$6,2,FALSE),1)</f>
        <v>43.8</v>
      </c>
      <c r="N27" s="103">
        <f>M27/坦克个性化设定!$M$4*坦克个性化设定!$M$5</f>
        <v>10.949999999999996</v>
      </c>
      <c r="O27" s="103">
        <f>ROUND(VLOOKUP(I27,坦克个性化设定!$F$84:$S$114,MATCH(O$3,坦克个性化设定!$F$84:$S$84,0),FALSE)*VLOOKUP(J27,$B$3:$C$6,2,FALSE),1)</f>
        <v>9.5</v>
      </c>
      <c r="P27" s="393">
        <f t="shared" si="7"/>
        <v>3.1</v>
      </c>
      <c r="R27" s="176" t="str">
        <f t="shared" si="8"/>
        <v>黑豹</v>
      </c>
      <c r="S27" s="103">
        <f>VLOOKUP($R27,坦克个性化设定!$B$51:$T$81,MATCH(S$3,坦克个性化设定!$B$51:$T$51,0),FALSE)</f>
        <v>1</v>
      </c>
      <c r="T27" s="103">
        <f>VLOOKUP($R27,坦克个性化设定!$B$51:$T$81,MATCH(T$3,坦克个性化设定!$B$51:$T$51,0),FALSE)</f>
        <v>6</v>
      </c>
      <c r="U27" s="103">
        <f>VLOOKUP($R27,坦克个性化设定!$B$51:$T$81,MATCH(U$3,坦克个性化设定!$B$51:$T$51,0),FALSE)</f>
        <v>0</v>
      </c>
      <c r="V27" s="103">
        <f>VLOOKUP($R27,坦克个性化设定!$B$51:$T$81,MATCH(V$3,坦克个性化设定!$B$51:$T$51,0),FALSE)</f>
        <v>0</v>
      </c>
      <c r="W27" s="103">
        <f>VLOOKUP($R27,坦克个性化设定!$B$51:$T$81,MATCH(W$3,坦克个性化设定!$B$51:$T$51,0),FALSE)</f>
        <v>3</v>
      </c>
      <c r="X27" s="103">
        <f>VLOOKUP($R27,坦克个性化设定!$B$51:$T$81,MATCH(X$3,坦克个性化设定!$B$51:$T$51,0),FALSE)</f>
        <v>1</v>
      </c>
      <c r="Y27" s="106">
        <f>VLOOKUP($R27,坦克个性化设定!$B$51:$T$81,MATCH(Y$3,坦克个性化设定!$B$51:$T$51,0),FALSE)</f>
        <v>11</v>
      </c>
      <c r="AA27" s="176" t="str">
        <f t="shared" si="0"/>
        <v>黑豹</v>
      </c>
      <c r="AB27" s="181">
        <f t="shared" si="1"/>
        <v>1</v>
      </c>
      <c r="AC27" s="181">
        <f t="shared" si="2"/>
        <v>0</v>
      </c>
      <c r="AD27" s="181">
        <f t="shared" si="3"/>
        <v>3</v>
      </c>
      <c r="AE27" s="181">
        <f t="shared" si="4"/>
        <v>1</v>
      </c>
      <c r="AF27" s="106">
        <f t="shared" si="9"/>
        <v>1.2</v>
      </c>
      <c r="AG27" s="106">
        <f t="shared" si="10"/>
        <v>2.5</v>
      </c>
      <c r="AH27" s="53">
        <v>1.2</v>
      </c>
      <c r="AI27" s="106">
        <f t="shared" si="11"/>
        <v>0.5</v>
      </c>
      <c r="AJ27" s="104">
        <f>IF(VLOOKUP(AA27,坦克个性化设定!$B$51:$T$81,9,FALSE)=0,VLOOKUP(AA27,坦克个性化设定!$B$51:$T$81,10,FALSE),VLOOKUP(AA27,坦克个性化设定!$B$51:$T$81,9,FALSE))</f>
        <v>6</v>
      </c>
      <c r="AK27" s="181" t="str">
        <f>IF(LEN(VLOOKUP(AA27,坦克个性化设定!$B$18:$F$48,5,FALSE))=5,"单发",RIGHT(VLOOKUP(AA27,坦克个性化设定!$B$18:$F$48,5,FALSE),2))</f>
        <v>单发</v>
      </c>
      <c r="AL27" s="106">
        <f t="shared" si="5"/>
        <v>14.3</v>
      </c>
      <c r="AM27" s="106">
        <f t="shared" si="12"/>
        <v>0</v>
      </c>
      <c r="AN27" s="106">
        <f t="shared" si="13"/>
        <v>4.511278195488722</v>
      </c>
      <c r="AO27" s="106">
        <f t="shared" si="6"/>
        <v>0.24812030075187966</v>
      </c>
      <c r="AP27" s="106">
        <f t="shared" si="14"/>
        <v>1.488721804511278</v>
      </c>
    </row>
    <row r="28" spans="5:42" x14ac:dyDescent="0.35">
      <c r="E28" s="100" t="s">
        <v>632</v>
      </c>
      <c r="F28" s="104">
        <f>VLOOKUP($E28,坦克个性化设定!$B$51:$T$81,MATCH(F$3,坦克个性化设定!$B$51:$T$51,0),FALSE)</f>
        <v>6</v>
      </c>
      <c r="G28" s="104">
        <f>VLOOKUP($E28,坦克个性化设定!$B$51:$T$81,MATCH(G$3,坦克个性化设定!$B$51:$T$51,0),FALSE)</f>
        <v>0</v>
      </c>
      <c r="I28" s="103" t="s">
        <v>632</v>
      </c>
      <c r="J28" s="8" t="s">
        <v>1077</v>
      </c>
      <c r="K28" s="103">
        <f>ROUND(VLOOKUP(I28,坦克个性化设定!$F$84:$S$114,MATCH(K$3,坦克个性化设定!$F$84:$S$84,0),FALSE)*VLOOKUP(J28,$B$3:$C$6,2,FALSE),1)</f>
        <v>32</v>
      </c>
      <c r="L28" s="103">
        <f>K28/坦克个性化设定!$M$4*坦克个性化设定!$M$5</f>
        <v>7.9999999999999982</v>
      </c>
      <c r="M28" s="103">
        <f>ROUND(VLOOKUP(I28,坦克个性化设定!$F$84:$S$114,MATCH(M$3,坦克个性化设定!$F$84:$S$84,0),FALSE)*VLOOKUP(J28,$B$3:$C$6,2,FALSE),1)</f>
        <v>44.6</v>
      </c>
      <c r="N28" s="103">
        <f>M28/坦克个性化设定!$M$4*坦克个性化设定!$M$5</f>
        <v>11.149999999999997</v>
      </c>
      <c r="O28" s="103">
        <f>ROUND(VLOOKUP(I28,坦克个性化设定!$F$84:$S$114,MATCH(O$3,坦克个性化设定!$F$84:$S$84,0),FALSE)*VLOOKUP(J28,$B$3:$C$6,2,FALSE),1)</f>
        <v>9.6</v>
      </c>
      <c r="P28" s="393">
        <f t="shared" si="7"/>
        <v>3.14</v>
      </c>
      <c r="R28" s="176" t="str">
        <f t="shared" si="8"/>
        <v>虎式</v>
      </c>
      <c r="S28" s="103">
        <f>VLOOKUP($R28,坦克个性化设定!$B$51:$T$81,MATCH(S$3,坦克个性化设定!$B$51:$T$51,0),FALSE)</f>
        <v>1</v>
      </c>
      <c r="T28" s="103">
        <f>VLOOKUP($R28,坦克个性化设定!$B$51:$T$81,MATCH(T$3,坦克个性化设定!$B$51:$T$51,0),FALSE)</f>
        <v>6</v>
      </c>
      <c r="U28" s="103">
        <f>VLOOKUP($R28,坦克个性化设定!$B$51:$T$81,MATCH(U$3,坦克个性化设定!$B$51:$T$51,0),FALSE)</f>
        <v>0</v>
      </c>
      <c r="V28" s="103">
        <f>VLOOKUP($R28,坦克个性化设定!$B$51:$T$81,MATCH(V$3,坦克个性化设定!$B$51:$T$51,0),FALSE)</f>
        <v>0</v>
      </c>
      <c r="W28" s="103">
        <f>VLOOKUP($R28,坦克个性化设定!$B$51:$T$81,MATCH(W$3,坦克个性化设定!$B$51:$T$51,0),FALSE)</f>
        <v>3</v>
      </c>
      <c r="X28" s="103">
        <f>VLOOKUP($R28,坦克个性化设定!$B$51:$T$81,MATCH(X$3,坦克个性化设定!$B$51:$T$51,0),FALSE)</f>
        <v>1</v>
      </c>
      <c r="Y28" s="106">
        <f>VLOOKUP($R28,坦克个性化设定!$B$51:$T$81,MATCH(Y$3,坦克个性化设定!$B$51:$T$51,0),FALSE)</f>
        <v>11</v>
      </c>
      <c r="AA28" s="176" t="str">
        <f t="shared" si="0"/>
        <v>虎式</v>
      </c>
      <c r="AB28" s="181">
        <f t="shared" si="1"/>
        <v>1</v>
      </c>
      <c r="AC28" s="181">
        <f t="shared" si="2"/>
        <v>0</v>
      </c>
      <c r="AD28" s="181">
        <f t="shared" si="3"/>
        <v>3</v>
      </c>
      <c r="AE28" s="181">
        <f t="shared" si="4"/>
        <v>1</v>
      </c>
      <c r="AF28" s="106">
        <f t="shared" si="9"/>
        <v>1.2</v>
      </c>
      <c r="AG28" s="106">
        <f t="shared" si="10"/>
        <v>2.5</v>
      </c>
      <c r="AH28" s="53">
        <v>1.2</v>
      </c>
      <c r="AI28" s="106">
        <f t="shared" si="11"/>
        <v>0.5</v>
      </c>
      <c r="AJ28" s="104">
        <f>IF(VLOOKUP(AA28,坦克个性化设定!$B$51:$T$81,9,FALSE)=0,VLOOKUP(AA28,坦克个性化设定!$B$51:$T$81,10,FALSE),VLOOKUP(AA28,坦克个性化设定!$B$51:$T$81,9,FALSE))</f>
        <v>6</v>
      </c>
      <c r="AK28" s="181" t="str">
        <f>IF(LEN(VLOOKUP(AA28,坦克个性化设定!$B$18:$F$48,5,FALSE))=5,"单发",RIGHT(VLOOKUP(AA28,坦克个性化设定!$B$18:$F$48,5,FALSE),2))</f>
        <v>单发</v>
      </c>
      <c r="AL28" s="106">
        <f t="shared" si="5"/>
        <v>14.3</v>
      </c>
      <c r="AM28" s="106">
        <f t="shared" si="12"/>
        <v>0</v>
      </c>
      <c r="AN28" s="106">
        <f t="shared" si="13"/>
        <v>4.511278195488722</v>
      </c>
      <c r="AO28" s="106">
        <f t="shared" si="6"/>
        <v>0.24812030075187966</v>
      </c>
      <c r="AP28" s="106">
        <f t="shared" si="14"/>
        <v>1.488721804511278</v>
      </c>
    </row>
    <row r="29" spans="5:42" x14ac:dyDescent="0.35">
      <c r="E29" s="100" t="s">
        <v>633</v>
      </c>
      <c r="F29" s="104">
        <f>VLOOKUP($E29,坦克个性化设定!$B$51:$T$81,MATCH(F$3,坦克个性化设定!$B$51:$T$51,0),FALSE)</f>
        <v>4.05</v>
      </c>
      <c r="G29" s="104">
        <f>VLOOKUP($E29,坦克个性化设定!$B$51:$T$81,MATCH(G$3,坦克个性化设定!$B$51:$T$51,0),FALSE)</f>
        <v>0</v>
      </c>
      <c r="I29" s="103" t="s">
        <v>633</v>
      </c>
      <c r="J29" s="8" t="s">
        <v>14</v>
      </c>
      <c r="K29" s="103">
        <f>ROUND(VLOOKUP(I29,坦克个性化设定!$F$84:$S$114,MATCH(K$3,坦克个性化设定!$F$84:$S$84,0),FALSE)*VLOOKUP(J29,$B$3:$C$6,2,FALSE),1)</f>
        <v>41.1</v>
      </c>
      <c r="L29" s="103">
        <f>K29/坦克个性化设定!$M$4*坦克个性化设定!$M$5</f>
        <v>10.274999999999999</v>
      </c>
      <c r="M29" s="103">
        <f>ROUND(VLOOKUP(I29,坦克个性化设定!$F$84:$S$114,MATCH(M$3,坦克个性化设定!$F$84:$S$84,0),FALSE)*VLOOKUP(J29,$B$3:$C$6,2,FALSE),1)</f>
        <v>36.799999999999997</v>
      </c>
      <c r="N29" s="103">
        <f>M29/坦克个性化设定!$M$4*坦克个性化设定!$M$5</f>
        <v>9.1999999999999957</v>
      </c>
      <c r="O29" s="103">
        <f>ROUND(VLOOKUP(I29,坦克个性化设定!$F$84:$S$114,MATCH(O$3,坦克个性化设定!$F$84:$S$84,0),FALSE)*VLOOKUP(J29,$B$3:$C$6,2,FALSE),1)</f>
        <v>11</v>
      </c>
      <c r="P29" s="393">
        <f t="shared" si="7"/>
        <v>3.59</v>
      </c>
      <c r="R29" s="176" t="str">
        <f t="shared" si="8"/>
        <v>KV-2</v>
      </c>
      <c r="S29" s="103">
        <f>VLOOKUP($R29,坦克个性化设定!$B$51:$T$81,MATCH(S$3,坦克个性化设定!$B$51:$T$51,0),FALSE)</f>
        <v>2</v>
      </c>
      <c r="T29" s="103">
        <f>VLOOKUP($R29,坦克个性化设定!$B$51:$T$81,MATCH(T$3,坦克个性化设定!$B$51:$T$51,0),FALSE)</f>
        <v>4.05</v>
      </c>
      <c r="U29" s="103">
        <f>VLOOKUP($R29,坦克个性化设定!$B$51:$T$81,MATCH(U$3,坦克个性化设定!$B$51:$T$51,0),FALSE)</f>
        <v>0</v>
      </c>
      <c r="V29" s="103">
        <f>VLOOKUP($R29,坦克个性化设定!$B$51:$T$81,MATCH(V$3,坦克个性化设定!$B$51:$T$51,0),FALSE)</f>
        <v>2</v>
      </c>
      <c r="W29" s="103">
        <f>VLOOKUP($R29,坦克个性化设定!$B$51:$T$81,MATCH(W$3,坦克个性化设定!$B$51:$T$51,0),FALSE)</f>
        <v>2.7</v>
      </c>
      <c r="X29" s="103">
        <f>VLOOKUP($R29,坦克个性化设定!$B$51:$T$81,MATCH(X$3,坦克个性化设定!$B$51:$T$51,0),FALSE)</f>
        <v>1.2</v>
      </c>
      <c r="Y29" s="106">
        <f>VLOOKUP($R29,坦克个性化设定!$B$51:$T$81,MATCH(Y$3,坦克个性化设定!$B$51:$T$51,0),FALSE)</f>
        <v>16.814814814814817</v>
      </c>
      <c r="AA29" s="176" t="str">
        <f t="shared" si="0"/>
        <v>KV-2</v>
      </c>
      <c r="AB29" s="181">
        <f t="shared" si="1"/>
        <v>2</v>
      </c>
      <c r="AC29" s="181">
        <f t="shared" si="2"/>
        <v>2</v>
      </c>
      <c r="AD29" s="181">
        <f t="shared" si="3"/>
        <v>2.7</v>
      </c>
      <c r="AE29" s="181">
        <f t="shared" si="4"/>
        <v>1.2</v>
      </c>
      <c r="AF29" s="106">
        <f t="shared" si="9"/>
        <v>1.44</v>
      </c>
      <c r="AG29" s="106">
        <f t="shared" si="10"/>
        <v>1.8750000000000002</v>
      </c>
      <c r="AH29" s="53">
        <v>1.2</v>
      </c>
      <c r="AI29" s="106">
        <f t="shared" si="11"/>
        <v>0.37500000000000022</v>
      </c>
      <c r="AJ29" s="104">
        <f>IF(VLOOKUP(AA29,坦克个性化设定!$B$51:$T$81,9,FALSE)=0,VLOOKUP(AA29,坦克个性化设定!$B$51:$T$81,10,FALSE),VLOOKUP(AA29,坦克个性化设定!$B$51:$T$81,9,FALSE))</f>
        <v>4.05</v>
      </c>
      <c r="AK29" s="181" t="str">
        <f>IF(LEN(VLOOKUP(AA29,坦克个性化设定!$B$18:$F$48,5,FALSE))=5,"单发",RIGHT(VLOOKUP(AA29,坦克个性化设定!$B$18:$F$48,5,FALSE),2))</f>
        <v>自动</v>
      </c>
      <c r="AL29" s="106">
        <f t="shared" si="5"/>
        <v>21.859259259259261</v>
      </c>
      <c r="AM29" s="106">
        <f t="shared" si="12"/>
        <v>2</v>
      </c>
      <c r="AN29" s="106">
        <f t="shared" si="13"/>
        <v>3.0212607236105926</v>
      </c>
      <c r="AO29" s="106">
        <f t="shared" si="6"/>
        <v>0.25400969787392774</v>
      </c>
      <c r="AP29" s="106">
        <f t="shared" si="14"/>
        <v>1.0287392763894072</v>
      </c>
    </row>
    <row r="30" spans="5:42" x14ac:dyDescent="0.35">
      <c r="E30" s="100" t="s">
        <v>635</v>
      </c>
      <c r="F30" s="104">
        <f>VLOOKUP($E30,坦克个性化设定!$B$51:$T$81,MATCH(F$3,坦克个性化设定!$B$51:$T$51,0),FALSE)</f>
        <v>6</v>
      </c>
      <c r="G30" s="104">
        <f>VLOOKUP($E30,坦克个性化设定!$B$51:$T$81,MATCH(G$3,坦克个性化设定!$B$51:$T$51,0),FALSE)</f>
        <v>0</v>
      </c>
      <c r="I30" s="103" t="s">
        <v>635</v>
      </c>
      <c r="J30" s="8" t="s">
        <v>1076</v>
      </c>
      <c r="K30" s="103">
        <f>ROUND(VLOOKUP(I30,坦克个性化设定!$F$84:$S$114,MATCH(K$3,坦克个性化设定!$F$84:$S$84,0),FALSE)*VLOOKUP(J30,$B$3:$C$6,2,FALSE),1)</f>
        <v>31.3</v>
      </c>
      <c r="L30" s="103">
        <f>K30/坦克个性化设定!$M$4*坦克个性化设定!$M$5</f>
        <v>7.8249999999999984</v>
      </c>
      <c r="M30" s="103">
        <f>ROUND(VLOOKUP(I30,坦克个性化设定!$F$84:$S$114,MATCH(M$3,坦克个性化设定!$F$84:$S$84,0),FALSE)*VLOOKUP(J30,$B$3:$C$6,2,FALSE),1)</f>
        <v>43.8</v>
      </c>
      <c r="N30" s="103">
        <f>M30/坦克个性化设定!$M$4*坦克个性化设定!$M$5</f>
        <v>10.949999999999996</v>
      </c>
      <c r="O30" s="103">
        <f>ROUND(VLOOKUP(I30,坦克个性化设定!$F$84:$S$114,MATCH(O$3,坦克个性化设定!$F$84:$S$84,0),FALSE)*VLOOKUP(J30,$B$3:$C$6,2,FALSE),1)</f>
        <v>9.5</v>
      </c>
      <c r="P30" s="393">
        <f t="shared" si="7"/>
        <v>3.1</v>
      </c>
      <c r="R30" s="176" t="str">
        <f t="shared" si="8"/>
        <v>征服者</v>
      </c>
      <c r="S30" s="103">
        <f>VLOOKUP($R30,坦克个性化设定!$B$51:$T$81,MATCH(S$3,坦克个性化设定!$B$51:$T$51,0),FALSE)</f>
        <v>1</v>
      </c>
      <c r="T30" s="103">
        <f>VLOOKUP($R30,坦克个性化设定!$B$51:$T$81,MATCH(T$3,坦克个性化设定!$B$51:$T$51,0),FALSE)</f>
        <v>6</v>
      </c>
      <c r="U30" s="103">
        <f>VLOOKUP($R30,坦克个性化设定!$B$51:$T$81,MATCH(U$3,坦克个性化设定!$B$51:$T$51,0),FALSE)</f>
        <v>0</v>
      </c>
      <c r="V30" s="103">
        <f>VLOOKUP($R30,坦克个性化设定!$B$51:$T$81,MATCH(V$3,坦克个性化设定!$B$51:$T$51,0),FALSE)</f>
        <v>0</v>
      </c>
      <c r="W30" s="103">
        <f>VLOOKUP($R30,坦克个性化设定!$B$51:$T$81,MATCH(W$3,坦克个性化设定!$B$51:$T$51,0),FALSE)</f>
        <v>3</v>
      </c>
      <c r="X30" s="103">
        <f>VLOOKUP($R30,坦克个性化设定!$B$51:$T$81,MATCH(X$3,坦克个性化设定!$B$51:$T$51,0),FALSE)</f>
        <v>1</v>
      </c>
      <c r="Y30" s="106">
        <f>VLOOKUP($R30,坦克个性化设定!$B$51:$T$81,MATCH(Y$3,坦克个性化设定!$B$51:$T$51,0),FALSE)</f>
        <v>11</v>
      </c>
      <c r="AA30" s="176" t="str">
        <f t="shared" si="0"/>
        <v>征服者</v>
      </c>
      <c r="AB30" s="181">
        <f t="shared" si="1"/>
        <v>1</v>
      </c>
      <c r="AC30" s="181">
        <f t="shared" si="2"/>
        <v>0</v>
      </c>
      <c r="AD30" s="181">
        <f t="shared" si="3"/>
        <v>3</v>
      </c>
      <c r="AE30" s="181">
        <f t="shared" si="4"/>
        <v>1</v>
      </c>
      <c r="AF30" s="106">
        <f t="shared" si="9"/>
        <v>1.2</v>
      </c>
      <c r="AG30" s="106">
        <f t="shared" si="10"/>
        <v>2.5</v>
      </c>
      <c r="AH30" s="53">
        <v>1.2</v>
      </c>
      <c r="AI30" s="106">
        <f t="shared" si="11"/>
        <v>0.5</v>
      </c>
      <c r="AJ30" s="104">
        <f>IF(VLOOKUP(AA30,坦克个性化设定!$B$51:$T$81,9,FALSE)=0,VLOOKUP(AA30,坦克个性化设定!$B$51:$T$81,10,FALSE),VLOOKUP(AA30,坦克个性化设定!$B$51:$T$81,9,FALSE))</f>
        <v>6</v>
      </c>
      <c r="AK30" s="181" t="str">
        <f>IF(LEN(VLOOKUP(AA30,坦克个性化设定!$B$18:$F$48,5,FALSE))=5,"单发",RIGHT(VLOOKUP(AA30,坦克个性化设定!$B$18:$F$48,5,FALSE),2))</f>
        <v>单发</v>
      </c>
      <c r="AL30" s="106">
        <f t="shared" si="5"/>
        <v>14.3</v>
      </c>
      <c r="AM30" s="106">
        <f t="shared" si="12"/>
        <v>0</v>
      </c>
      <c r="AN30" s="106">
        <f t="shared" si="13"/>
        <v>4.511278195488722</v>
      </c>
      <c r="AO30" s="106">
        <f t="shared" si="6"/>
        <v>0.24812030075187966</v>
      </c>
      <c r="AP30" s="106">
        <f t="shared" si="14"/>
        <v>1.488721804511278</v>
      </c>
    </row>
    <row r="31" spans="5:42" x14ac:dyDescent="0.35">
      <c r="E31" s="100" t="s">
        <v>629</v>
      </c>
      <c r="F31" s="104">
        <f>VLOOKUP($E31,坦克个性化设定!$B$51:$T$81,MATCH(F$3,坦克个性化设定!$B$51:$T$51,0),FALSE)</f>
        <v>4.5</v>
      </c>
      <c r="G31" s="104">
        <f>VLOOKUP($E31,坦克个性化设定!$B$51:$T$81,MATCH(G$3,坦克个性化设定!$B$51:$T$51,0),FALSE)</f>
        <v>0</v>
      </c>
      <c r="I31" s="103" t="s">
        <v>629</v>
      </c>
      <c r="J31" s="8" t="s">
        <v>1077</v>
      </c>
      <c r="K31" s="103">
        <f>ROUND(VLOOKUP(I31,坦克个性化设定!$F$84:$S$114,MATCH(K$3,坦克个性化设定!$F$84:$S$84,0),FALSE)*VLOOKUP(J31,$B$3:$C$6,2,FALSE),1)</f>
        <v>32</v>
      </c>
      <c r="L31" s="103">
        <f>K31/坦克个性化设定!$M$4*坦克个性化设定!$M$5</f>
        <v>7.9999999999999982</v>
      </c>
      <c r="M31" s="103">
        <f>ROUND(VLOOKUP(I31,坦克个性化设定!$F$84:$S$114,MATCH(M$3,坦克个性化设定!$F$84:$S$84,0),FALSE)*VLOOKUP(J31,$B$3:$C$6,2,FALSE),1)</f>
        <v>44.6</v>
      </c>
      <c r="N31" s="103">
        <f>M31/坦克个性化设定!$M$4*坦克个性化设定!$M$5</f>
        <v>11.149999999999997</v>
      </c>
      <c r="O31" s="103">
        <f>ROUND(VLOOKUP(I31,坦克个性化设定!$F$84:$S$114,MATCH(O$3,坦克个性化设定!$F$84:$S$84,0),FALSE)*VLOOKUP(J31,$B$3:$C$6,2,FALSE),1)</f>
        <v>9.6</v>
      </c>
      <c r="P31" s="393">
        <f t="shared" si="7"/>
        <v>3.14</v>
      </c>
      <c r="R31" s="176" t="str">
        <f t="shared" si="8"/>
        <v>IS-4</v>
      </c>
      <c r="S31" s="103">
        <f>VLOOKUP($R31,坦克个性化设定!$B$51:$T$81,MATCH(S$3,坦克个性化设定!$B$51:$T$51,0),FALSE)</f>
        <v>2</v>
      </c>
      <c r="T31" s="103">
        <f>VLOOKUP($R31,坦克个性化设定!$B$51:$T$81,MATCH(T$3,坦克个性化设定!$B$51:$T$51,0),FALSE)</f>
        <v>4.5</v>
      </c>
      <c r="U31" s="103">
        <f>VLOOKUP($R31,坦克个性化设定!$B$51:$T$81,MATCH(U$3,坦克个性化设定!$B$51:$T$51,0),FALSE)</f>
        <v>0</v>
      </c>
      <c r="V31" s="103">
        <f>VLOOKUP($R31,坦克个性化设定!$B$51:$T$81,MATCH(V$3,坦克个性化设定!$B$51:$T$51,0),FALSE)</f>
        <v>2</v>
      </c>
      <c r="W31" s="103">
        <f>VLOOKUP($R31,坦克个性化设定!$B$51:$T$81,MATCH(W$3,坦克个性化设定!$B$51:$T$51,0),FALSE)</f>
        <v>2.7</v>
      </c>
      <c r="X31" s="103">
        <f>VLOOKUP($R31,坦克个性化设定!$B$51:$T$81,MATCH(X$3,坦克个性化设定!$B$51:$T$51,0),FALSE)</f>
        <v>1.2</v>
      </c>
      <c r="Y31" s="106">
        <f>VLOOKUP($R31,坦克个性化设定!$B$51:$T$81,MATCH(Y$3,坦克个性化设定!$B$51:$T$51,0),FALSE)</f>
        <v>15.333333333333334</v>
      </c>
      <c r="AA31" s="176" t="str">
        <f t="shared" si="0"/>
        <v>IS-4</v>
      </c>
      <c r="AB31" s="181">
        <f t="shared" si="1"/>
        <v>2</v>
      </c>
      <c r="AC31" s="181">
        <f t="shared" si="2"/>
        <v>2</v>
      </c>
      <c r="AD31" s="181">
        <f t="shared" si="3"/>
        <v>2.7</v>
      </c>
      <c r="AE31" s="181">
        <f t="shared" si="4"/>
        <v>1.2</v>
      </c>
      <c r="AF31" s="106">
        <f t="shared" si="9"/>
        <v>1.44</v>
      </c>
      <c r="AG31" s="106">
        <f t="shared" si="10"/>
        <v>1.8750000000000002</v>
      </c>
      <c r="AH31" s="53">
        <v>1.2</v>
      </c>
      <c r="AI31" s="106">
        <f t="shared" si="11"/>
        <v>0.37500000000000022</v>
      </c>
      <c r="AJ31" s="104">
        <f>IF(VLOOKUP(AA31,坦克个性化设定!$B$51:$T$81,9,FALSE)=0,VLOOKUP(AA31,坦克个性化设定!$B$51:$T$81,10,FALSE),VLOOKUP(AA31,坦克个性化设定!$B$51:$T$81,9,FALSE))</f>
        <v>4.5</v>
      </c>
      <c r="AK31" s="181" t="str">
        <f>IF(LEN(VLOOKUP(AA31,坦克个性化设定!$B$18:$F$48,5,FALSE))=5,"单发",RIGHT(VLOOKUP(AA31,坦克个性化设定!$B$18:$F$48,5,FALSE),2))</f>
        <v>自动</v>
      </c>
      <c r="AL31" s="106">
        <f t="shared" si="5"/>
        <v>19.933333333333334</v>
      </c>
      <c r="AM31" s="106">
        <f t="shared" si="12"/>
        <v>2</v>
      </c>
      <c r="AN31" s="106">
        <f t="shared" si="13"/>
        <v>3.3457249070631971</v>
      </c>
      <c r="AO31" s="106">
        <f t="shared" si="6"/>
        <v>0.25650557620817843</v>
      </c>
      <c r="AP31" s="106">
        <f t="shared" si="14"/>
        <v>1.1542750929368029</v>
      </c>
    </row>
    <row r="32" spans="5:42" x14ac:dyDescent="0.35">
      <c r="E32" s="100" t="s">
        <v>722</v>
      </c>
      <c r="F32" s="104">
        <f>VLOOKUP($E32,坦克个性化设定!$B$51:$T$81,MATCH(F$3,坦克个性化设定!$B$51:$T$51,0),FALSE)</f>
        <v>6</v>
      </c>
      <c r="G32" s="104">
        <f>VLOOKUP($E32,坦克个性化设定!$B$51:$T$81,MATCH(G$3,坦克个性化设定!$B$51:$T$51,0),FALSE)</f>
        <v>0</v>
      </c>
      <c r="I32" s="103" t="s">
        <v>722</v>
      </c>
      <c r="J32" s="8" t="s">
        <v>14</v>
      </c>
      <c r="K32" s="103">
        <f>ROUND(VLOOKUP(I32,坦克个性化设定!$F$84:$S$114,MATCH(K$3,坦克个性化设定!$F$84:$S$84,0),FALSE)*VLOOKUP(J32,$B$3:$C$6,2,FALSE),1)</f>
        <v>32.9</v>
      </c>
      <c r="L32" s="103">
        <f>K32/坦克个性化设定!$M$4*坦克个性化设定!$M$5</f>
        <v>8.2249999999999961</v>
      </c>
      <c r="M32" s="103">
        <f>ROUND(VLOOKUP(I32,坦克个性化设定!$F$84:$S$114,MATCH(M$3,坦克个性化设定!$F$84:$S$84,0),FALSE)*VLOOKUP(J32,$B$3:$C$6,2,FALSE),1)</f>
        <v>45.9</v>
      </c>
      <c r="N32" s="103">
        <f>M32/坦克个性化设定!$M$4*坦克个性化设定!$M$5</f>
        <v>11.474999999999996</v>
      </c>
      <c r="O32" s="103">
        <f>ROUND(VLOOKUP(I32,坦克个性化设定!$F$84:$S$114,MATCH(O$3,坦克个性化设定!$F$84:$S$84,0),FALSE)*VLOOKUP(J32,$B$3:$C$6,2,FALSE),1)</f>
        <v>9.9</v>
      </c>
      <c r="P32" s="393">
        <f t="shared" si="7"/>
        <v>3.23</v>
      </c>
      <c r="R32" s="176" t="str">
        <f t="shared" si="8"/>
        <v>T-32</v>
      </c>
      <c r="S32" s="103">
        <f>VLOOKUP($R32,坦克个性化设定!$B$51:$T$81,MATCH(S$3,坦克个性化设定!$B$51:$T$51,0),FALSE)</f>
        <v>1</v>
      </c>
      <c r="T32" s="103">
        <f>VLOOKUP($R32,坦克个性化设定!$B$51:$T$81,MATCH(T$3,坦克个性化设定!$B$51:$T$51,0),FALSE)</f>
        <v>6</v>
      </c>
      <c r="U32" s="103">
        <f>VLOOKUP($R32,坦克个性化设定!$B$51:$T$81,MATCH(U$3,坦克个性化设定!$B$51:$T$51,0),FALSE)</f>
        <v>0</v>
      </c>
      <c r="V32" s="103">
        <f>VLOOKUP($R32,坦克个性化设定!$B$51:$T$81,MATCH(V$3,坦克个性化设定!$B$51:$T$51,0),FALSE)</f>
        <v>0</v>
      </c>
      <c r="W32" s="103">
        <f>VLOOKUP($R32,坦克个性化设定!$B$51:$T$81,MATCH(W$3,坦克个性化设定!$B$51:$T$51,0),FALSE)</f>
        <v>3</v>
      </c>
      <c r="X32" s="103">
        <f>VLOOKUP($R32,坦克个性化设定!$B$51:$T$81,MATCH(X$3,坦克个性化设定!$B$51:$T$51,0),FALSE)</f>
        <v>1</v>
      </c>
      <c r="Y32" s="106">
        <f>VLOOKUP($R32,坦克个性化设定!$B$51:$T$81,MATCH(Y$3,坦克个性化设定!$B$51:$T$51,0),FALSE)</f>
        <v>11</v>
      </c>
      <c r="AA32" s="176" t="str">
        <f t="shared" si="0"/>
        <v>T-32</v>
      </c>
      <c r="AB32" s="181">
        <f t="shared" si="1"/>
        <v>1</v>
      </c>
      <c r="AC32" s="181">
        <f t="shared" si="2"/>
        <v>0</v>
      </c>
      <c r="AD32" s="181">
        <f t="shared" si="3"/>
        <v>3</v>
      </c>
      <c r="AE32" s="181">
        <f t="shared" si="4"/>
        <v>1</v>
      </c>
      <c r="AF32" s="106">
        <f t="shared" si="9"/>
        <v>1.2</v>
      </c>
      <c r="AG32" s="106">
        <f t="shared" si="10"/>
        <v>2.5</v>
      </c>
      <c r="AH32" s="53">
        <v>1.2</v>
      </c>
      <c r="AI32" s="106">
        <f t="shared" si="11"/>
        <v>0.5</v>
      </c>
      <c r="AJ32" s="104">
        <f>IF(VLOOKUP(AA32,坦克个性化设定!$B$51:$T$81,9,FALSE)=0,VLOOKUP(AA32,坦克个性化设定!$B$51:$T$81,10,FALSE),VLOOKUP(AA32,坦克个性化设定!$B$51:$T$81,9,FALSE))</f>
        <v>6</v>
      </c>
      <c r="AK32" s="181" t="str">
        <f>IF(LEN(VLOOKUP(AA32,坦克个性化设定!$B$18:$F$48,5,FALSE))=5,"单发",RIGHT(VLOOKUP(AA32,坦克个性化设定!$B$18:$F$48,5,FALSE),2))</f>
        <v>单发</v>
      </c>
      <c r="AL32" s="106">
        <f t="shared" si="5"/>
        <v>14.3</v>
      </c>
      <c r="AM32" s="106">
        <f t="shared" si="12"/>
        <v>0</v>
      </c>
      <c r="AN32" s="106">
        <f t="shared" si="13"/>
        <v>4.511278195488722</v>
      </c>
      <c r="AO32" s="106">
        <f t="shared" si="6"/>
        <v>0.24812030075187966</v>
      </c>
      <c r="AP32" s="106">
        <f t="shared" si="14"/>
        <v>1.488721804511278</v>
      </c>
    </row>
    <row r="33" spans="5:42" x14ac:dyDescent="0.35">
      <c r="E33" s="100" t="s">
        <v>637</v>
      </c>
      <c r="F33" s="104">
        <f>VLOOKUP($E33,坦克个性化设定!$B$51:$T$81,MATCH(F$3,坦克个性化设定!$B$51:$T$51,0),FALSE)</f>
        <v>6</v>
      </c>
      <c r="G33" s="104">
        <f>VLOOKUP($E33,坦克个性化设定!$B$51:$T$81,MATCH(G$3,坦克个性化设定!$B$51:$T$51,0),FALSE)</f>
        <v>0</v>
      </c>
      <c r="I33" s="103" t="s">
        <v>637</v>
      </c>
      <c r="J33" s="8" t="s">
        <v>12</v>
      </c>
      <c r="K33" s="103">
        <f>ROUND(VLOOKUP(I33,坦克个性化设定!$F$84:$S$114,MATCH(K$3,坦克个性化设定!$F$84:$S$84,0),FALSE)*VLOOKUP(J33,$B$3:$C$6,2,FALSE),1)</f>
        <v>31.3</v>
      </c>
      <c r="L33" s="103">
        <f>K33/坦克个性化设定!$M$4*坦克个性化设定!$M$5</f>
        <v>7.8249999999999984</v>
      </c>
      <c r="M33" s="103">
        <f>ROUND(VLOOKUP(I33,坦克个性化设定!$F$84:$S$114,MATCH(M$3,坦克个性化设定!$F$84:$S$84,0),FALSE)*VLOOKUP(J33,$B$3:$C$6,2,FALSE),1)</f>
        <v>43.8</v>
      </c>
      <c r="N33" s="103">
        <f>M33/坦克个性化设定!$M$4*坦克个性化设定!$M$5</f>
        <v>10.949999999999996</v>
      </c>
      <c r="O33" s="103">
        <f>ROUND(VLOOKUP(I33,坦克个性化设定!$F$84:$S$114,MATCH(O$3,坦克个性化设定!$F$84:$S$84,0),FALSE)*VLOOKUP(J33,$B$3:$C$6,2,FALSE),1)</f>
        <v>9.5</v>
      </c>
      <c r="P33" s="393">
        <f t="shared" si="7"/>
        <v>3.1</v>
      </c>
      <c r="R33" s="176" t="str">
        <f t="shared" si="8"/>
        <v>M1A2</v>
      </c>
      <c r="S33" s="103">
        <f>VLOOKUP($R33,坦克个性化设定!$B$51:$T$81,MATCH(S$3,坦克个性化设定!$B$51:$T$51,0),FALSE)</f>
        <v>1</v>
      </c>
      <c r="T33" s="103">
        <f>VLOOKUP($R33,坦克个性化设定!$B$51:$T$81,MATCH(T$3,坦克个性化设定!$B$51:$T$51,0),FALSE)</f>
        <v>6</v>
      </c>
      <c r="U33" s="103">
        <f>VLOOKUP($R33,坦克个性化设定!$B$51:$T$81,MATCH(U$3,坦克个性化设定!$B$51:$T$51,0),FALSE)</f>
        <v>0</v>
      </c>
      <c r="V33" s="103">
        <f>VLOOKUP($R33,坦克个性化设定!$B$51:$T$81,MATCH(V$3,坦克个性化设定!$B$51:$T$51,0),FALSE)</f>
        <v>0</v>
      </c>
      <c r="W33" s="103">
        <f>VLOOKUP($R33,坦克个性化设定!$B$51:$T$81,MATCH(W$3,坦克个性化设定!$B$51:$T$51,0),FALSE)</f>
        <v>3</v>
      </c>
      <c r="X33" s="103">
        <f>VLOOKUP($R33,坦克个性化设定!$B$51:$T$81,MATCH(X$3,坦克个性化设定!$B$51:$T$51,0),FALSE)</f>
        <v>1</v>
      </c>
      <c r="Y33" s="106">
        <f>VLOOKUP($R33,坦克个性化设定!$B$51:$T$81,MATCH(Y$3,坦克个性化设定!$B$51:$T$51,0),FALSE)</f>
        <v>11</v>
      </c>
      <c r="AA33" s="176" t="str">
        <f t="shared" si="0"/>
        <v>M1A2</v>
      </c>
      <c r="AB33" s="181">
        <f t="shared" si="1"/>
        <v>1</v>
      </c>
      <c r="AC33" s="181">
        <f t="shared" si="2"/>
        <v>0</v>
      </c>
      <c r="AD33" s="181">
        <f t="shared" si="3"/>
        <v>3</v>
      </c>
      <c r="AE33" s="181">
        <f t="shared" si="4"/>
        <v>1</v>
      </c>
      <c r="AF33" s="106">
        <f t="shared" si="9"/>
        <v>1.2</v>
      </c>
      <c r="AG33" s="106">
        <f t="shared" si="10"/>
        <v>2.5</v>
      </c>
      <c r="AH33" s="53">
        <v>1.2</v>
      </c>
      <c r="AI33" s="106">
        <f t="shared" si="11"/>
        <v>0.5</v>
      </c>
      <c r="AJ33" s="104">
        <f>IF(VLOOKUP(AA33,坦克个性化设定!$B$51:$T$81,9,FALSE)=0,VLOOKUP(AA33,坦克个性化设定!$B$51:$T$81,10,FALSE),VLOOKUP(AA33,坦克个性化设定!$B$51:$T$81,9,FALSE))</f>
        <v>6</v>
      </c>
      <c r="AK33" s="181" t="str">
        <f>IF(LEN(VLOOKUP(AA33,坦克个性化设定!$B$18:$F$48,5,FALSE))=5,"单发",RIGHT(VLOOKUP(AA33,坦克个性化设定!$B$18:$F$48,5,FALSE),2))</f>
        <v>单发</v>
      </c>
      <c r="AL33" s="106">
        <f t="shared" si="5"/>
        <v>14.3</v>
      </c>
      <c r="AM33" s="106">
        <f t="shared" si="12"/>
        <v>0</v>
      </c>
      <c r="AN33" s="106">
        <f t="shared" si="13"/>
        <v>4.511278195488722</v>
      </c>
      <c r="AO33" s="106">
        <f t="shared" si="6"/>
        <v>0.24812030075187966</v>
      </c>
      <c r="AP33" s="106">
        <f t="shared" si="14"/>
        <v>1.488721804511278</v>
      </c>
    </row>
    <row r="36" spans="5:42" x14ac:dyDescent="0.35">
      <c r="AL36" s="200"/>
      <c r="AM36" s="200"/>
    </row>
  </sheetData>
  <mergeCells count="7">
    <mergeCell ref="B11:C11"/>
    <mergeCell ref="AA2:AP2"/>
    <mergeCell ref="B2:C2"/>
    <mergeCell ref="B8:C8"/>
    <mergeCell ref="I2:P2"/>
    <mergeCell ref="R2:Y2"/>
    <mergeCell ref="E2:G2"/>
  </mergeCells>
  <phoneticPr fontId="101" type="noConversion"/>
  <pageMargins left="0.7" right="0.7" top="0.75" bottom="0.75" header="0.3" footer="0.3"/>
  <ignoredErrors>
    <ignoredError sqref="M4:M33 O4:O33" formula="1"/>
  </ignoredErrors>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B2:AG168"/>
  <sheetViews>
    <sheetView workbookViewId="0">
      <selection activeCell="N4" sqref="N4"/>
    </sheetView>
  </sheetViews>
  <sheetFormatPr defaultColWidth="9" defaultRowHeight="13" x14ac:dyDescent="0.35"/>
  <cols>
    <col min="1" max="16384" width="9" style="186"/>
  </cols>
  <sheetData>
    <row r="2" spans="2:17" ht="15.75" customHeight="1" x14ac:dyDescent="0.35">
      <c r="B2" s="829" t="s">
        <v>970</v>
      </c>
      <c r="C2" s="829"/>
      <c r="D2" s="829"/>
      <c r="E2" s="829"/>
      <c r="F2" s="829"/>
      <c r="G2" s="829"/>
      <c r="H2" s="829"/>
      <c r="J2" s="830" t="s">
        <v>974</v>
      </c>
      <c r="K2" s="831"/>
      <c r="L2" s="831"/>
      <c r="M2" s="831"/>
      <c r="N2" s="832"/>
    </row>
    <row r="3" spans="2:17" x14ac:dyDescent="0.35">
      <c r="B3" s="185" t="s">
        <v>969</v>
      </c>
      <c r="C3" s="173" t="s">
        <v>586</v>
      </c>
      <c r="D3" s="174" t="s">
        <v>785</v>
      </c>
      <c r="E3" s="174" t="s">
        <v>796</v>
      </c>
      <c r="F3" s="493" t="s">
        <v>2126</v>
      </c>
      <c r="G3" s="185" t="s">
        <v>885</v>
      </c>
      <c r="H3" s="185" t="s">
        <v>968</v>
      </c>
      <c r="J3" s="185" t="s">
        <v>971</v>
      </c>
      <c r="K3" s="185" t="s">
        <v>973</v>
      </c>
      <c r="L3" s="173" t="s">
        <v>586</v>
      </c>
      <c r="M3" s="185" t="s">
        <v>972</v>
      </c>
      <c r="N3" s="185" t="s">
        <v>351</v>
      </c>
      <c r="P3" s="185" t="s">
        <v>973</v>
      </c>
      <c r="Q3" s="185" t="s">
        <v>351</v>
      </c>
    </row>
    <row r="4" spans="2:17" x14ac:dyDescent="0.35">
      <c r="B4" s="185">
        <v>1</v>
      </c>
      <c r="C4" s="172" t="str">
        <f>坦克等级成长!B13&amp;坦克等级成长!C13</f>
        <v>T1低</v>
      </c>
      <c r="D4" s="172">
        <f>坦克标准养成属性!F4</f>
        <v>4</v>
      </c>
      <c r="E4" s="175">
        <f>坦克标准养成属性!L4</f>
        <v>0.66999999999999993</v>
      </c>
      <c r="F4" s="175">
        <f>坦克标准养成属性!M4</f>
        <v>0.33000000000000007</v>
      </c>
      <c r="G4" s="188">
        <f>坦克等级成长!J13</f>
        <v>1</v>
      </c>
      <c r="H4" s="188">
        <f>坦克等级成长!K13</f>
        <v>1.4</v>
      </c>
      <c r="I4" s="213"/>
      <c r="J4" s="185">
        <v>1</v>
      </c>
      <c r="K4" s="185" t="str">
        <f>L4&amp;M4</f>
        <v>T1低0</v>
      </c>
      <c r="L4" s="185" t="str">
        <f t="shared" ref="L4:L35" si="0">VLOOKUP(J4,$B$3:$H$15,2,FALSE)</f>
        <v>T1低</v>
      </c>
      <c r="M4" s="185">
        <f>IF(J4&lt;&gt;J3,0,M3+1)</f>
        <v>0</v>
      </c>
      <c r="N4" s="188">
        <f t="shared" ref="N4:N35" si="1">VLOOKUP(J4,$B$3:$H$15,6,FALSE)+M4/VLOOKUP(J4,$B$3:$H$15,3,FALSE)*(VLOOKUP(J4,$B$3:$H$15,7,FALSE)-VLOOKUP(J4,$B$3:$H$15,6,FALSE))</f>
        <v>1</v>
      </c>
      <c r="P4" s="653" t="s">
        <v>991</v>
      </c>
      <c r="Q4" s="188">
        <v>1</v>
      </c>
    </row>
    <row r="5" spans="2:17" x14ac:dyDescent="0.35">
      <c r="B5" s="185">
        <v>2</v>
      </c>
      <c r="C5" s="175" t="str">
        <f>坦克等级成长!B14&amp;坦克等级成长!C14</f>
        <v>T2低</v>
      </c>
      <c r="D5" s="175">
        <f>坦克标准养成属性!F5</f>
        <v>6</v>
      </c>
      <c r="E5" s="175">
        <f>坦克标准养成属性!L5</f>
        <v>0.55600000000000005</v>
      </c>
      <c r="F5" s="175">
        <f>坦克标准养成属性!M5</f>
        <v>0.44399999999999989</v>
      </c>
      <c r="G5" s="188">
        <f>坦克等级成长!J14</f>
        <v>1.2</v>
      </c>
      <c r="H5" s="188">
        <f>坦克等级成长!K14</f>
        <v>1.8</v>
      </c>
      <c r="I5" s="213"/>
      <c r="J5" s="185">
        <f t="shared" ref="J5:J36" si="2">IF(M4=VLOOKUP(J4,$B$3:$H$15,3,FALSE),J4+1,J4)</f>
        <v>1</v>
      </c>
      <c r="K5" s="185" t="str">
        <f t="shared" ref="K5:K68" si="3">L5&amp;M5</f>
        <v>T1低1</v>
      </c>
      <c r="L5" s="185" t="str">
        <f t="shared" si="0"/>
        <v>T1低</v>
      </c>
      <c r="M5" s="185">
        <f t="shared" ref="M5:M27" si="4">IF(J5&lt;&gt;J4,0,M4+1)</f>
        <v>1</v>
      </c>
      <c r="N5" s="188">
        <f t="shared" si="1"/>
        <v>1.1000000000000001</v>
      </c>
      <c r="P5" s="653" t="s">
        <v>992</v>
      </c>
      <c r="Q5" s="188">
        <v>1.2</v>
      </c>
    </row>
    <row r="6" spans="2:17" x14ac:dyDescent="0.35">
      <c r="B6" s="185">
        <v>3</v>
      </c>
      <c r="C6" s="175" t="str">
        <f>坦克等级成长!B15&amp;坦克等级成长!C15</f>
        <v>T2中</v>
      </c>
      <c r="D6" s="175">
        <f>坦克标准养成属性!F6</f>
        <v>11</v>
      </c>
      <c r="E6" s="175">
        <f>坦克标准养成属性!L6</f>
        <v>0.67977586206896556</v>
      </c>
      <c r="F6" s="175">
        <f>坦克标准养成属性!M6</f>
        <v>0.32022413793103438</v>
      </c>
      <c r="G6" s="188">
        <f>坦克等级成长!J15</f>
        <v>1.23</v>
      </c>
      <c r="H6" s="188">
        <f>坦克等级成长!K15</f>
        <v>2.39</v>
      </c>
      <c r="I6" s="213"/>
      <c r="J6" s="185">
        <f t="shared" si="2"/>
        <v>1</v>
      </c>
      <c r="K6" s="185" t="str">
        <f t="shared" si="3"/>
        <v>T1低2</v>
      </c>
      <c r="L6" s="185" t="str">
        <f t="shared" si="0"/>
        <v>T1低</v>
      </c>
      <c r="M6" s="185">
        <f t="shared" si="4"/>
        <v>2</v>
      </c>
      <c r="N6" s="188">
        <f t="shared" si="1"/>
        <v>1.2</v>
      </c>
      <c r="P6" s="653" t="s">
        <v>993</v>
      </c>
      <c r="Q6" s="188">
        <v>1.4</v>
      </c>
    </row>
    <row r="7" spans="2:17" x14ac:dyDescent="0.35">
      <c r="B7" s="185">
        <v>4</v>
      </c>
      <c r="C7" s="175" t="str">
        <f>坦克等级成长!B16&amp;坦克等级成长!C16</f>
        <v>T3低</v>
      </c>
      <c r="D7" s="175">
        <f>坦克标准养成属性!F7</f>
        <v>8</v>
      </c>
      <c r="E7" s="175">
        <f>坦克标准养成属性!L7</f>
        <v>0.43374999999999997</v>
      </c>
      <c r="F7" s="175">
        <f>坦克标准养成属性!M7</f>
        <v>0.56625000000000003</v>
      </c>
      <c r="G7" s="188">
        <f>坦克等级成长!J16</f>
        <v>1.5</v>
      </c>
      <c r="H7" s="188">
        <f>坦克等级成长!K16</f>
        <v>2.2999999999999998</v>
      </c>
      <c r="I7" s="213"/>
      <c r="J7" s="185">
        <f t="shared" si="2"/>
        <v>1</v>
      </c>
      <c r="K7" s="185" t="str">
        <f t="shared" si="3"/>
        <v>T1低3</v>
      </c>
      <c r="L7" s="185" t="str">
        <f t="shared" si="0"/>
        <v>T1低</v>
      </c>
      <c r="M7" s="185">
        <f t="shared" si="4"/>
        <v>3</v>
      </c>
      <c r="N7" s="188">
        <f t="shared" si="1"/>
        <v>1.2999999999999998</v>
      </c>
      <c r="P7" s="653" t="s">
        <v>995</v>
      </c>
      <c r="Q7" s="188">
        <v>1.4</v>
      </c>
    </row>
    <row r="8" spans="2:17" x14ac:dyDescent="0.35">
      <c r="B8" s="185">
        <v>5</v>
      </c>
      <c r="C8" s="175" t="str">
        <f>坦克等级成长!B17&amp;坦克等级成长!C17</f>
        <v>T3中</v>
      </c>
      <c r="D8" s="175">
        <f>坦克标准养成属性!F8</f>
        <v>14</v>
      </c>
      <c r="E8" s="175">
        <f>坦克标准养成属性!L8</f>
        <v>0.57682711864406788</v>
      </c>
      <c r="F8" s="175">
        <f>坦克标准养成属性!M8</f>
        <v>0.42317288135593217</v>
      </c>
      <c r="G8" s="188">
        <f>坦克等级成长!J17</f>
        <v>1.5449999999999999</v>
      </c>
      <c r="H8" s="188">
        <f>坦克等级成长!K17</f>
        <v>3.02</v>
      </c>
      <c r="I8" s="213"/>
      <c r="J8" s="185">
        <f t="shared" si="2"/>
        <v>1</v>
      </c>
      <c r="K8" s="185" t="str">
        <f t="shared" si="3"/>
        <v>T1低4</v>
      </c>
      <c r="L8" s="185" t="str">
        <f t="shared" si="0"/>
        <v>T1低</v>
      </c>
      <c r="M8" s="185">
        <f t="shared" si="4"/>
        <v>4</v>
      </c>
      <c r="N8" s="188">
        <f t="shared" si="1"/>
        <v>1.4</v>
      </c>
      <c r="P8" s="653" t="s">
        <v>1002</v>
      </c>
      <c r="Q8" s="188">
        <v>1.48</v>
      </c>
    </row>
    <row r="9" spans="2:17" x14ac:dyDescent="0.35">
      <c r="B9" s="185">
        <v>6</v>
      </c>
      <c r="C9" s="175" t="str">
        <f>坦克等级成长!B18&amp;坦克等级成长!C18</f>
        <v>T3高</v>
      </c>
      <c r="D9" s="175">
        <f>坦克标准养成属性!F9</f>
        <v>14</v>
      </c>
      <c r="E9" s="175">
        <f>坦克标准养成属性!L9</f>
        <v>0.59094999999999998</v>
      </c>
      <c r="F9" s="175">
        <f>坦克标准养成属性!M9</f>
        <v>0.40905000000000002</v>
      </c>
      <c r="G9" s="188">
        <f>坦克等级成长!J18</f>
        <v>1.62</v>
      </c>
      <c r="H9" s="188">
        <f>坦克等级成长!K18</f>
        <v>3.22</v>
      </c>
      <c r="I9" s="213"/>
      <c r="J9" s="185">
        <f t="shared" si="2"/>
        <v>2</v>
      </c>
      <c r="K9" s="185" t="str">
        <f t="shared" si="3"/>
        <v>T2低0</v>
      </c>
      <c r="L9" s="185" t="str">
        <f t="shared" si="0"/>
        <v>T2低</v>
      </c>
      <c r="M9" s="185">
        <f t="shared" si="4"/>
        <v>0</v>
      </c>
      <c r="N9" s="188">
        <f t="shared" si="1"/>
        <v>1.2</v>
      </c>
      <c r="P9" s="653" t="s">
        <v>994</v>
      </c>
      <c r="Q9" s="188">
        <v>1.5999999999999999</v>
      </c>
    </row>
    <row r="10" spans="2:17" x14ac:dyDescent="0.35">
      <c r="B10" s="185">
        <v>7</v>
      </c>
      <c r="C10" s="175" t="str">
        <f>坦克等级成长!B19&amp;坦克等级成长!C19</f>
        <v>T4低</v>
      </c>
      <c r="D10" s="175">
        <f>坦克标准养成属性!F10</f>
        <v>10</v>
      </c>
      <c r="E10" s="175">
        <f>坦克标准养成属性!L10</f>
        <v>0.23239999999999994</v>
      </c>
      <c r="F10" s="175">
        <f>坦克标准养成属性!M10</f>
        <v>0.76760000000000006</v>
      </c>
      <c r="G10" s="188">
        <f>坦克等级成长!J19</f>
        <v>1.9</v>
      </c>
      <c r="H10" s="188">
        <f>坦克等级成长!K19</f>
        <v>2.9</v>
      </c>
      <c r="I10" s="213"/>
      <c r="J10" s="185">
        <f t="shared" si="2"/>
        <v>2</v>
      </c>
      <c r="K10" s="185" t="str">
        <f t="shared" si="3"/>
        <v>T2低1</v>
      </c>
      <c r="L10" s="185" t="str">
        <f t="shared" si="0"/>
        <v>T2低</v>
      </c>
      <c r="M10" s="185">
        <f t="shared" si="4"/>
        <v>1</v>
      </c>
      <c r="N10" s="188">
        <f t="shared" si="1"/>
        <v>1.3</v>
      </c>
      <c r="P10" s="653" t="s">
        <v>996</v>
      </c>
      <c r="Q10" s="188">
        <v>1.5999999999999999</v>
      </c>
    </row>
    <row r="11" spans="2:17" x14ac:dyDescent="0.35">
      <c r="B11" s="185">
        <v>8</v>
      </c>
      <c r="C11" s="175" t="str">
        <f>坦克等级成长!B20&amp;坦克等级成长!C20</f>
        <v>T4中</v>
      </c>
      <c r="D11" s="175">
        <f>坦克标准养成属性!F11</f>
        <v>17</v>
      </c>
      <c r="E11" s="175">
        <f>坦克标准养成属性!L11</f>
        <v>0.45251396648044695</v>
      </c>
      <c r="F11" s="175">
        <f>坦克标准养成属性!M11</f>
        <v>0.54748603351955305</v>
      </c>
      <c r="G11" s="188">
        <f>坦克等级成长!J20</f>
        <v>1.96</v>
      </c>
      <c r="H11" s="188">
        <f>坦克等级成长!K20</f>
        <v>3.75</v>
      </c>
      <c r="I11" s="213"/>
      <c r="J11" s="185">
        <f t="shared" si="2"/>
        <v>2</v>
      </c>
      <c r="K11" s="185" t="str">
        <f t="shared" si="3"/>
        <v>T2低2</v>
      </c>
      <c r="L11" s="185" t="str">
        <f t="shared" si="0"/>
        <v>T2低</v>
      </c>
      <c r="M11" s="185">
        <f t="shared" si="4"/>
        <v>2</v>
      </c>
      <c r="N11" s="188">
        <f t="shared" si="1"/>
        <v>1.4</v>
      </c>
      <c r="P11" s="653" t="s">
        <v>1003</v>
      </c>
      <c r="Q11" s="188">
        <v>1.6945454545454546</v>
      </c>
    </row>
    <row r="12" spans="2:17" x14ac:dyDescent="0.35">
      <c r="B12" s="185">
        <v>9</v>
      </c>
      <c r="C12" s="175" t="str">
        <f>坦克等级成长!B21&amp;坦克等级成长!C21</f>
        <v>T4高</v>
      </c>
      <c r="D12" s="175">
        <f>坦克标准养成属性!F12</f>
        <v>17</v>
      </c>
      <c r="E12" s="175">
        <f>坦克标准养成属性!L12</f>
        <v>0.46907216494845361</v>
      </c>
      <c r="F12" s="175">
        <f>坦克标准养成属性!M12</f>
        <v>0.53092783505154639</v>
      </c>
      <c r="G12" s="188">
        <f>坦克等级成长!J21</f>
        <v>2.06</v>
      </c>
      <c r="H12" s="188">
        <f>坦克等级成长!K21</f>
        <v>4</v>
      </c>
      <c r="I12" s="213"/>
      <c r="J12" s="185">
        <f t="shared" si="2"/>
        <v>2</v>
      </c>
      <c r="K12" s="185" t="str">
        <f t="shared" si="3"/>
        <v>T2低3</v>
      </c>
      <c r="L12" s="185" t="str">
        <f t="shared" si="0"/>
        <v>T2低</v>
      </c>
      <c r="M12" s="185">
        <f t="shared" si="4"/>
        <v>3</v>
      </c>
      <c r="N12" s="188">
        <f t="shared" si="1"/>
        <v>1.5</v>
      </c>
      <c r="P12" s="653" t="s">
        <v>3084</v>
      </c>
      <c r="Q12" s="188">
        <v>1.7999999999999998</v>
      </c>
    </row>
    <row r="13" spans="2:17" x14ac:dyDescent="0.35">
      <c r="B13" s="185">
        <v>10</v>
      </c>
      <c r="C13" s="175" t="str">
        <f>坦克等级成长!B22&amp;坦克等级成长!C22</f>
        <v>T5低</v>
      </c>
      <c r="D13" s="175">
        <f>坦克标准养成属性!F13</f>
        <v>12</v>
      </c>
      <c r="E13" s="175">
        <f>坦克标准养成属性!L13</f>
        <v>0</v>
      </c>
      <c r="F13" s="175">
        <f>坦克标准养成属性!M13</f>
        <v>0.99999999999999978</v>
      </c>
      <c r="G13" s="188">
        <f>坦克等级成长!J22</f>
        <v>2.4</v>
      </c>
      <c r="H13" s="188">
        <f>坦克等级成长!K22</f>
        <v>3.6</v>
      </c>
      <c r="I13" s="213"/>
      <c r="J13" s="185">
        <f t="shared" si="2"/>
        <v>2</v>
      </c>
      <c r="K13" s="185" t="str">
        <f t="shared" si="3"/>
        <v>T2低4</v>
      </c>
      <c r="L13" s="185" t="str">
        <f t="shared" si="0"/>
        <v>T2低</v>
      </c>
      <c r="M13" s="185">
        <f t="shared" si="4"/>
        <v>4</v>
      </c>
      <c r="N13" s="188">
        <f t="shared" si="1"/>
        <v>1.6</v>
      </c>
      <c r="P13" s="653" t="s">
        <v>997</v>
      </c>
      <c r="Q13" s="188">
        <v>1.7999999999999998</v>
      </c>
    </row>
    <row r="14" spans="2:17" x14ac:dyDescent="0.35">
      <c r="B14" s="185">
        <v>11</v>
      </c>
      <c r="C14" s="175" t="str">
        <f>坦克等级成长!B23&amp;坦克等级成长!C23</f>
        <v>T5中</v>
      </c>
      <c r="D14" s="175">
        <f>坦克标准养成属性!F14</f>
        <v>20</v>
      </c>
      <c r="E14" s="175">
        <f>坦克标准养成属性!L14</f>
        <v>0.4121140142517814</v>
      </c>
      <c r="F14" s="175">
        <f>坦克标准养成属性!M14</f>
        <v>0.5878859857482186</v>
      </c>
      <c r="G14" s="188">
        <f>坦克等级成长!J23</f>
        <v>2.4750000000000001</v>
      </c>
      <c r="H14" s="188">
        <f>坦克等级成长!K23</f>
        <v>4.58</v>
      </c>
      <c r="I14" s="213"/>
      <c r="J14" s="185">
        <f t="shared" si="2"/>
        <v>2</v>
      </c>
      <c r="K14" s="185" t="str">
        <f t="shared" si="3"/>
        <v>T2低5</v>
      </c>
      <c r="L14" s="185" t="str">
        <f t="shared" si="0"/>
        <v>T2低</v>
      </c>
      <c r="M14" s="185">
        <f t="shared" si="4"/>
        <v>5</v>
      </c>
      <c r="N14" s="188">
        <f t="shared" si="1"/>
        <v>1.7000000000000002</v>
      </c>
      <c r="P14" s="653" t="s">
        <v>1004</v>
      </c>
      <c r="Q14" s="188">
        <v>1.9090909090909092</v>
      </c>
    </row>
    <row r="15" spans="2:17" x14ac:dyDescent="0.35">
      <c r="B15" s="185">
        <v>12</v>
      </c>
      <c r="C15" s="175" t="str">
        <f>坦克等级成长!B24&amp;坦克等级成长!C24</f>
        <v>T5高</v>
      </c>
      <c r="D15" s="175">
        <f>坦克标准养成属性!F15</f>
        <v>20</v>
      </c>
      <c r="E15" s="175">
        <f>坦克标准养成属性!L15</f>
        <v>0.42982456140350889</v>
      </c>
      <c r="F15" s="175">
        <f>坦克标准养成属性!M15</f>
        <v>0.57017543859649111</v>
      </c>
      <c r="G15" s="188">
        <f>坦克等级成长!J24</f>
        <v>2.6</v>
      </c>
      <c r="H15" s="188">
        <f>坦克等级成长!K24</f>
        <v>4.8800000000000008</v>
      </c>
      <c r="I15" s="213"/>
      <c r="J15" s="185">
        <f t="shared" si="2"/>
        <v>2</v>
      </c>
      <c r="K15" s="185" t="str">
        <f t="shared" si="3"/>
        <v>T2低6</v>
      </c>
      <c r="L15" s="185" t="str">
        <f t="shared" si="0"/>
        <v>T2低</v>
      </c>
      <c r="M15" s="185">
        <f t="shared" si="4"/>
        <v>6</v>
      </c>
      <c r="N15" s="188">
        <f t="shared" si="1"/>
        <v>1.8</v>
      </c>
      <c r="P15" s="653" t="s">
        <v>998</v>
      </c>
      <c r="Q15" s="188">
        <v>2</v>
      </c>
    </row>
    <row r="16" spans="2:17" x14ac:dyDescent="0.35">
      <c r="J16" s="185">
        <f t="shared" si="2"/>
        <v>3</v>
      </c>
      <c r="K16" s="185" t="str">
        <f t="shared" si="3"/>
        <v>T2中0</v>
      </c>
      <c r="L16" s="185" t="str">
        <f t="shared" si="0"/>
        <v>T2中</v>
      </c>
      <c r="M16" s="185">
        <f t="shared" si="4"/>
        <v>0</v>
      </c>
      <c r="N16" s="188">
        <f t="shared" si="1"/>
        <v>1.23</v>
      </c>
      <c r="P16" s="653" t="s">
        <v>1006</v>
      </c>
      <c r="Q16" s="188">
        <v>2</v>
      </c>
    </row>
    <row r="17" spans="10:33" x14ac:dyDescent="0.35">
      <c r="J17" s="185">
        <f t="shared" si="2"/>
        <v>3</v>
      </c>
      <c r="K17" s="185" t="str">
        <f t="shared" si="3"/>
        <v>T2中1</v>
      </c>
      <c r="L17" s="185" t="str">
        <f t="shared" si="0"/>
        <v>T2中</v>
      </c>
      <c r="M17" s="185">
        <f t="shared" si="4"/>
        <v>1</v>
      </c>
      <c r="N17" s="188">
        <f t="shared" si="1"/>
        <v>1.3354545454545454</v>
      </c>
      <c r="P17" s="653" t="s">
        <v>1015</v>
      </c>
      <c r="Q17" s="188">
        <v>2.1199999999999997</v>
      </c>
    </row>
    <row r="18" spans="10:33" x14ac:dyDescent="0.35">
      <c r="J18" s="185">
        <f t="shared" si="2"/>
        <v>3</v>
      </c>
      <c r="K18" s="185" t="str">
        <f t="shared" si="3"/>
        <v>T2中2</v>
      </c>
      <c r="L18" s="185" t="str">
        <f t="shared" si="0"/>
        <v>T2中</v>
      </c>
      <c r="M18" s="185">
        <f t="shared" si="4"/>
        <v>2</v>
      </c>
      <c r="N18" s="188">
        <f t="shared" si="1"/>
        <v>1.4409090909090909</v>
      </c>
      <c r="P18" s="653" t="s">
        <v>1005</v>
      </c>
      <c r="Q18" s="188">
        <v>2.1236363636363635</v>
      </c>
    </row>
    <row r="19" spans="10:33" x14ac:dyDescent="0.35">
      <c r="J19" s="185">
        <f t="shared" si="2"/>
        <v>3</v>
      </c>
      <c r="K19" s="185" t="str">
        <f t="shared" si="3"/>
        <v>T2中3</v>
      </c>
      <c r="L19" s="185" t="str">
        <f t="shared" si="0"/>
        <v>T2中</v>
      </c>
      <c r="M19" s="185">
        <f t="shared" si="4"/>
        <v>3</v>
      </c>
      <c r="N19" s="188">
        <f t="shared" si="1"/>
        <v>1.5463636363636364</v>
      </c>
      <c r="P19" s="653" t="s">
        <v>999</v>
      </c>
      <c r="Q19" s="188">
        <v>2.2000000000000002</v>
      </c>
    </row>
    <row r="20" spans="10:33" x14ac:dyDescent="0.35">
      <c r="J20" s="185">
        <f t="shared" si="2"/>
        <v>3</v>
      </c>
      <c r="K20" s="185" t="str">
        <f t="shared" si="3"/>
        <v>T2中4</v>
      </c>
      <c r="L20" s="185" t="str">
        <f t="shared" si="0"/>
        <v>T2中</v>
      </c>
      <c r="M20" s="185">
        <f t="shared" si="4"/>
        <v>4</v>
      </c>
      <c r="N20" s="188">
        <f t="shared" si="1"/>
        <v>1.6518181818181819</v>
      </c>
      <c r="P20" s="653" t="s">
        <v>1007</v>
      </c>
      <c r="Q20" s="188">
        <v>2.2000000000000002</v>
      </c>
    </row>
    <row r="21" spans="10:33" x14ac:dyDescent="0.35">
      <c r="J21" s="185">
        <f t="shared" si="2"/>
        <v>3</v>
      </c>
      <c r="K21" s="185" t="str">
        <f t="shared" si="3"/>
        <v>T2中5</v>
      </c>
      <c r="L21" s="185" t="str">
        <f t="shared" si="0"/>
        <v>T2中</v>
      </c>
      <c r="M21" s="185">
        <f t="shared" si="4"/>
        <v>5</v>
      </c>
      <c r="N21" s="188">
        <f t="shared" si="1"/>
        <v>1.7572727272727273</v>
      </c>
      <c r="P21" s="653" t="s">
        <v>1022</v>
      </c>
      <c r="Q21" s="188">
        <v>2.2399999999999998</v>
      </c>
      <c r="AG21" s="656"/>
    </row>
    <row r="22" spans="10:33" x14ac:dyDescent="0.35">
      <c r="J22" s="185">
        <f t="shared" si="2"/>
        <v>3</v>
      </c>
      <c r="K22" s="185" t="str">
        <f t="shared" si="3"/>
        <v>T2中6</v>
      </c>
      <c r="L22" s="185" t="str">
        <f t="shared" si="0"/>
        <v>T2中</v>
      </c>
      <c r="M22" s="185">
        <f t="shared" si="4"/>
        <v>6</v>
      </c>
      <c r="N22" s="188">
        <f t="shared" si="1"/>
        <v>1.8627272727272728</v>
      </c>
      <c r="P22" s="653" t="s">
        <v>1016</v>
      </c>
      <c r="Q22" s="188">
        <v>2.3342857142857141</v>
      </c>
      <c r="AG22" s="656"/>
    </row>
    <row r="23" spans="10:33" x14ac:dyDescent="0.35">
      <c r="J23" s="185">
        <f t="shared" si="2"/>
        <v>3</v>
      </c>
      <c r="K23" s="185" t="str">
        <f t="shared" si="3"/>
        <v>T2中7</v>
      </c>
      <c r="L23" s="185" t="str">
        <f t="shared" si="0"/>
        <v>T2中</v>
      </c>
      <c r="M23" s="185">
        <f t="shared" si="4"/>
        <v>7</v>
      </c>
      <c r="N23" s="188">
        <f t="shared" si="1"/>
        <v>1.9681818181818183</v>
      </c>
      <c r="P23" s="653" t="s">
        <v>3081</v>
      </c>
      <c r="Q23" s="188">
        <v>2.3381818181818179</v>
      </c>
    </row>
    <row r="24" spans="10:33" x14ac:dyDescent="0.35">
      <c r="J24" s="185">
        <f t="shared" si="2"/>
        <v>3</v>
      </c>
      <c r="K24" s="185" t="str">
        <f t="shared" si="3"/>
        <v>T2中8</v>
      </c>
      <c r="L24" s="185" t="str">
        <f t="shared" si="0"/>
        <v>T2中</v>
      </c>
      <c r="M24" s="185">
        <f t="shared" si="4"/>
        <v>8</v>
      </c>
      <c r="N24" s="188">
        <f t="shared" si="1"/>
        <v>2.0736363636363637</v>
      </c>
      <c r="P24" s="653" t="s">
        <v>1008</v>
      </c>
      <c r="Q24" s="188">
        <v>2.4</v>
      </c>
    </row>
    <row r="25" spans="10:33" x14ac:dyDescent="0.35">
      <c r="J25" s="185">
        <f t="shared" si="2"/>
        <v>3</v>
      </c>
      <c r="K25" s="185" t="str">
        <f t="shared" si="3"/>
        <v>T2中9</v>
      </c>
      <c r="L25" s="185" t="str">
        <f t="shared" si="0"/>
        <v>T2中</v>
      </c>
      <c r="M25" s="185">
        <f t="shared" si="4"/>
        <v>9</v>
      </c>
      <c r="N25" s="188">
        <f t="shared" si="1"/>
        <v>2.1790909090909092</v>
      </c>
      <c r="P25" s="653" t="s">
        <v>1000</v>
      </c>
      <c r="Q25" s="188">
        <v>2.4000000000000004</v>
      </c>
    </row>
    <row r="26" spans="10:33" x14ac:dyDescent="0.35">
      <c r="J26" s="185">
        <f t="shared" si="2"/>
        <v>3</v>
      </c>
      <c r="K26" s="185" t="str">
        <f t="shared" si="3"/>
        <v>T2中10</v>
      </c>
      <c r="L26" s="185" t="str">
        <f t="shared" si="0"/>
        <v>T2中</v>
      </c>
      <c r="M26" s="185">
        <f t="shared" si="4"/>
        <v>10</v>
      </c>
      <c r="N26" s="188">
        <f t="shared" si="1"/>
        <v>2.2845454545454547</v>
      </c>
      <c r="P26" s="653" t="s">
        <v>1023</v>
      </c>
      <c r="Q26" s="188">
        <v>2.4685714285714284</v>
      </c>
    </row>
    <row r="27" spans="10:33" x14ac:dyDescent="0.35">
      <c r="J27" s="185">
        <f t="shared" si="2"/>
        <v>3</v>
      </c>
      <c r="K27" s="185" t="str">
        <f t="shared" si="3"/>
        <v>T2中11</v>
      </c>
      <c r="L27" s="185" t="str">
        <f t="shared" si="0"/>
        <v>T2中</v>
      </c>
      <c r="M27" s="185">
        <f t="shared" si="4"/>
        <v>11</v>
      </c>
      <c r="N27" s="188">
        <f t="shared" si="1"/>
        <v>2.39</v>
      </c>
      <c r="P27" s="653" t="s">
        <v>1017</v>
      </c>
      <c r="Q27" s="188">
        <v>2.548571428571428</v>
      </c>
    </row>
    <row r="28" spans="10:33" x14ac:dyDescent="0.35">
      <c r="J28" s="185">
        <f t="shared" si="2"/>
        <v>4</v>
      </c>
      <c r="K28" s="185" t="str">
        <f t="shared" si="3"/>
        <v>T3低0</v>
      </c>
      <c r="L28" s="185" t="str">
        <f t="shared" si="0"/>
        <v>T3低</v>
      </c>
      <c r="M28" s="185">
        <f t="shared" ref="M28:M59" si="5">IF(J28&lt;&gt;J27,0,M27+1)</f>
        <v>0</v>
      </c>
      <c r="N28" s="188">
        <f t="shared" si="1"/>
        <v>1.5</v>
      </c>
      <c r="P28" s="653" t="s">
        <v>3085</v>
      </c>
      <c r="Q28" s="188">
        <v>2.5527272727272727</v>
      </c>
    </row>
    <row r="29" spans="10:33" x14ac:dyDescent="0.35">
      <c r="J29" s="185">
        <f t="shared" si="2"/>
        <v>4</v>
      </c>
      <c r="K29" s="185" t="str">
        <f t="shared" si="3"/>
        <v>T3低1</v>
      </c>
      <c r="L29" s="185" t="str">
        <f t="shared" si="0"/>
        <v>T3低</v>
      </c>
      <c r="M29" s="185">
        <f t="shared" si="5"/>
        <v>1</v>
      </c>
      <c r="N29" s="188">
        <f t="shared" si="1"/>
        <v>1.6</v>
      </c>
      <c r="P29" s="653" t="s">
        <v>1009</v>
      </c>
      <c r="Q29" s="188">
        <v>2.5999999999999996</v>
      </c>
    </row>
    <row r="30" spans="10:33" x14ac:dyDescent="0.35">
      <c r="J30" s="185">
        <f t="shared" si="2"/>
        <v>4</v>
      </c>
      <c r="K30" s="185" t="str">
        <f t="shared" si="3"/>
        <v>T3低2</v>
      </c>
      <c r="L30" s="185" t="str">
        <f t="shared" si="0"/>
        <v>T3低</v>
      </c>
      <c r="M30" s="185">
        <f t="shared" si="5"/>
        <v>2</v>
      </c>
      <c r="N30" s="188">
        <f t="shared" si="1"/>
        <v>1.7</v>
      </c>
      <c r="P30" s="653" t="s">
        <v>1001</v>
      </c>
      <c r="Q30" s="188">
        <v>2.6</v>
      </c>
    </row>
    <row r="31" spans="10:33" x14ac:dyDescent="0.35">
      <c r="J31" s="185">
        <f t="shared" si="2"/>
        <v>4</v>
      </c>
      <c r="K31" s="185" t="str">
        <f t="shared" si="3"/>
        <v>T3低3</v>
      </c>
      <c r="L31" s="185" t="str">
        <f t="shared" si="0"/>
        <v>T3低</v>
      </c>
      <c r="M31" s="185">
        <f t="shared" si="5"/>
        <v>3</v>
      </c>
      <c r="N31" s="188">
        <f t="shared" si="1"/>
        <v>1.7999999999999998</v>
      </c>
      <c r="P31" s="653" t="s">
        <v>1024</v>
      </c>
      <c r="Q31" s="188">
        <v>2.6971428571428566</v>
      </c>
    </row>
    <row r="32" spans="10:33" x14ac:dyDescent="0.35">
      <c r="J32" s="185">
        <f t="shared" si="2"/>
        <v>4</v>
      </c>
      <c r="K32" s="185" t="str">
        <f t="shared" si="3"/>
        <v>T3低4</v>
      </c>
      <c r="L32" s="185" t="str">
        <f t="shared" si="0"/>
        <v>T3低</v>
      </c>
      <c r="M32" s="185">
        <f t="shared" si="5"/>
        <v>4</v>
      </c>
      <c r="N32" s="188">
        <f t="shared" si="1"/>
        <v>1.9</v>
      </c>
      <c r="P32" s="653" t="s">
        <v>1018</v>
      </c>
      <c r="Q32" s="188">
        <v>2.7628571428571425</v>
      </c>
    </row>
    <row r="33" spans="10:17" x14ac:dyDescent="0.35">
      <c r="J33" s="185">
        <f t="shared" si="2"/>
        <v>4</v>
      </c>
      <c r="K33" s="185" t="str">
        <f t="shared" si="3"/>
        <v>T3低5</v>
      </c>
      <c r="L33" s="185" t="str">
        <f t="shared" si="0"/>
        <v>T3低</v>
      </c>
      <c r="M33" s="185">
        <f t="shared" si="5"/>
        <v>5</v>
      </c>
      <c r="N33" s="188">
        <f t="shared" si="1"/>
        <v>2</v>
      </c>
      <c r="P33" s="653" t="s">
        <v>3086</v>
      </c>
      <c r="Q33" s="188">
        <v>2.7672727272727271</v>
      </c>
    </row>
    <row r="34" spans="10:17" x14ac:dyDescent="0.35">
      <c r="J34" s="185">
        <f t="shared" si="2"/>
        <v>4</v>
      </c>
      <c r="K34" s="185" t="str">
        <f t="shared" si="3"/>
        <v>T3低6</v>
      </c>
      <c r="L34" s="185" t="str">
        <f t="shared" si="0"/>
        <v>T3低</v>
      </c>
      <c r="M34" s="185">
        <f t="shared" si="5"/>
        <v>6</v>
      </c>
      <c r="N34" s="188">
        <f t="shared" si="1"/>
        <v>2.0999999999999996</v>
      </c>
      <c r="P34" s="653" t="s">
        <v>1010</v>
      </c>
      <c r="Q34" s="188">
        <v>2.8</v>
      </c>
    </row>
    <row r="35" spans="10:17" x14ac:dyDescent="0.35">
      <c r="J35" s="185">
        <f t="shared" si="2"/>
        <v>4</v>
      </c>
      <c r="K35" s="185" t="str">
        <f t="shared" si="3"/>
        <v>T3低7</v>
      </c>
      <c r="L35" s="185" t="str">
        <f t="shared" si="0"/>
        <v>T3低</v>
      </c>
      <c r="M35" s="185">
        <f t="shared" si="5"/>
        <v>7</v>
      </c>
      <c r="N35" s="188">
        <f t="shared" si="1"/>
        <v>2.1999999999999997</v>
      </c>
      <c r="P35" s="653" t="s">
        <v>1026</v>
      </c>
      <c r="Q35" s="188">
        <v>2.8</v>
      </c>
    </row>
    <row r="36" spans="10:17" x14ac:dyDescent="0.35">
      <c r="J36" s="185">
        <f t="shared" si="2"/>
        <v>4</v>
      </c>
      <c r="K36" s="185" t="str">
        <f t="shared" si="3"/>
        <v>T3低8</v>
      </c>
      <c r="L36" s="185" t="str">
        <f t="shared" ref="L36:L67" si="6">VLOOKUP(J36,$B$3:$H$15,2,FALSE)</f>
        <v>T3低</v>
      </c>
      <c r="M36" s="185">
        <f t="shared" si="5"/>
        <v>8</v>
      </c>
      <c r="N36" s="188">
        <f t="shared" ref="N36:N67" si="7">VLOOKUP(J36,$B$3:$H$15,6,FALSE)+M36/VLOOKUP(J36,$B$3:$H$15,3,FALSE)*(VLOOKUP(J36,$B$3:$H$15,7,FALSE)-VLOOKUP(J36,$B$3:$H$15,6,FALSE))</f>
        <v>2.2999999999999998</v>
      </c>
      <c r="P36" s="653" t="s">
        <v>1025</v>
      </c>
      <c r="Q36" s="188">
        <v>2.9257142857142853</v>
      </c>
    </row>
    <row r="37" spans="10:17" x14ac:dyDescent="0.35">
      <c r="J37" s="185">
        <f t="shared" ref="J37:J68" si="8">IF(M36=VLOOKUP(J36,$B$3:$H$15,3,FALSE),J36+1,J36)</f>
        <v>5</v>
      </c>
      <c r="K37" s="185" t="str">
        <f t="shared" si="3"/>
        <v>T3中0</v>
      </c>
      <c r="L37" s="185" t="str">
        <f t="shared" si="6"/>
        <v>T3中</v>
      </c>
      <c r="M37" s="185">
        <f t="shared" si="5"/>
        <v>0</v>
      </c>
      <c r="N37" s="188">
        <f t="shared" si="7"/>
        <v>1.5449999999999999</v>
      </c>
      <c r="P37" s="653" t="s">
        <v>1036</v>
      </c>
      <c r="Q37" s="188">
        <v>2.96</v>
      </c>
    </row>
    <row r="38" spans="10:17" x14ac:dyDescent="0.35">
      <c r="J38" s="185">
        <f t="shared" si="8"/>
        <v>5</v>
      </c>
      <c r="K38" s="185" t="str">
        <f t="shared" si="3"/>
        <v>T3中1</v>
      </c>
      <c r="L38" s="185" t="str">
        <f t="shared" si="6"/>
        <v>T3中</v>
      </c>
      <c r="M38" s="185">
        <f t="shared" si="5"/>
        <v>1</v>
      </c>
      <c r="N38" s="188">
        <f t="shared" si="7"/>
        <v>1.6503571428571429</v>
      </c>
      <c r="P38" s="653" t="s">
        <v>1019</v>
      </c>
      <c r="Q38" s="188">
        <v>2.9771428571428569</v>
      </c>
    </row>
    <row r="39" spans="10:17" x14ac:dyDescent="0.35">
      <c r="J39" s="185">
        <f t="shared" si="8"/>
        <v>5</v>
      </c>
      <c r="K39" s="185" t="str">
        <f t="shared" si="3"/>
        <v>T3中2</v>
      </c>
      <c r="L39" s="185" t="str">
        <f t="shared" si="6"/>
        <v>T3中</v>
      </c>
      <c r="M39" s="185">
        <f t="shared" si="5"/>
        <v>2</v>
      </c>
      <c r="N39" s="188">
        <f t="shared" si="7"/>
        <v>1.7557142857142856</v>
      </c>
      <c r="P39" s="653" t="s">
        <v>3087</v>
      </c>
      <c r="Q39" s="188">
        <v>2.9818181818181815</v>
      </c>
    </row>
    <row r="40" spans="10:17" x14ac:dyDescent="0.35">
      <c r="J40" s="185">
        <f t="shared" si="8"/>
        <v>5</v>
      </c>
      <c r="K40" s="185" t="str">
        <f t="shared" si="3"/>
        <v>T3中3</v>
      </c>
      <c r="L40" s="185" t="str">
        <f t="shared" si="6"/>
        <v>T3中</v>
      </c>
      <c r="M40" s="185">
        <f t="shared" si="5"/>
        <v>3</v>
      </c>
      <c r="N40" s="188">
        <f t="shared" si="7"/>
        <v>1.8610714285714285</v>
      </c>
      <c r="P40" s="653" t="s">
        <v>1011</v>
      </c>
      <c r="Q40" s="188">
        <v>3</v>
      </c>
    </row>
    <row r="41" spans="10:17" x14ac:dyDescent="0.35">
      <c r="J41" s="185">
        <f t="shared" si="8"/>
        <v>5</v>
      </c>
      <c r="K41" s="185" t="str">
        <f t="shared" si="3"/>
        <v>T3中4</v>
      </c>
      <c r="L41" s="185" t="str">
        <f t="shared" si="6"/>
        <v>T3中</v>
      </c>
      <c r="M41" s="185">
        <f t="shared" si="5"/>
        <v>4</v>
      </c>
      <c r="N41" s="188">
        <f t="shared" si="7"/>
        <v>1.9664285714285714</v>
      </c>
      <c r="P41" s="653" t="s">
        <v>1027</v>
      </c>
      <c r="Q41" s="188">
        <v>3</v>
      </c>
    </row>
    <row r="42" spans="10:17" x14ac:dyDescent="0.35">
      <c r="J42" s="185">
        <f t="shared" si="8"/>
        <v>5</v>
      </c>
      <c r="K42" s="185" t="str">
        <f t="shared" si="3"/>
        <v>T3中5</v>
      </c>
      <c r="L42" s="185" t="str">
        <f t="shared" si="6"/>
        <v>T3中</v>
      </c>
      <c r="M42" s="185">
        <f t="shared" si="5"/>
        <v>5</v>
      </c>
      <c r="N42" s="188">
        <f t="shared" si="7"/>
        <v>2.0717857142857143</v>
      </c>
      <c r="P42" s="653" t="s">
        <v>1043</v>
      </c>
      <c r="Q42" s="653">
        <v>3.12</v>
      </c>
    </row>
    <row r="43" spans="10:17" x14ac:dyDescent="0.35">
      <c r="J43" s="185">
        <f t="shared" si="8"/>
        <v>5</v>
      </c>
      <c r="K43" s="185" t="str">
        <f t="shared" si="3"/>
        <v>T3中6</v>
      </c>
      <c r="L43" s="185" t="str">
        <f t="shared" si="6"/>
        <v>T3中</v>
      </c>
      <c r="M43" s="185">
        <f t="shared" si="5"/>
        <v>6</v>
      </c>
      <c r="N43" s="188">
        <f t="shared" si="7"/>
        <v>2.177142857142857</v>
      </c>
      <c r="P43" s="653" t="s">
        <v>1072</v>
      </c>
      <c r="Q43" s="188">
        <v>3.1542857142857139</v>
      </c>
    </row>
    <row r="44" spans="10:17" x14ac:dyDescent="0.35">
      <c r="J44" s="185">
        <f t="shared" si="8"/>
        <v>5</v>
      </c>
      <c r="K44" s="185" t="str">
        <f t="shared" si="3"/>
        <v>T3中7</v>
      </c>
      <c r="L44" s="185" t="str">
        <f t="shared" si="6"/>
        <v>T3中</v>
      </c>
      <c r="M44" s="185">
        <f t="shared" si="5"/>
        <v>7</v>
      </c>
      <c r="N44" s="188">
        <f t="shared" si="7"/>
        <v>2.2824999999999998</v>
      </c>
      <c r="P44" s="653" t="s">
        <v>1037</v>
      </c>
      <c r="Q44" s="188">
        <v>3.1741176470588233</v>
      </c>
    </row>
    <row r="45" spans="10:17" x14ac:dyDescent="0.35">
      <c r="J45" s="185">
        <f t="shared" si="8"/>
        <v>5</v>
      </c>
      <c r="K45" s="185" t="str">
        <f t="shared" si="3"/>
        <v>T3中8</v>
      </c>
      <c r="L45" s="185" t="str">
        <f t="shared" si="6"/>
        <v>T3中</v>
      </c>
      <c r="M45" s="185">
        <f t="shared" si="5"/>
        <v>8</v>
      </c>
      <c r="N45" s="188">
        <f t="shared" si="7"/>
        <v>2.3878571428571429</v>
      </c>
      <c r="P45" s="653" t="s">
        <v>1020</v>
      </c>
      <c r="Q45" s="188">
        <v>3.1914285714285713</v>
      </c>
    </row>
    <row r="46" spans="10:17" x14ac:dyDescent="0.35">
      <c r="J46" s="185">
        <f t="shared" si="8"/>
        <v>5</v>
      </c>
      <c r="K46" s="185" t="str">
        <f t="shared" si="3"/>
        <v>T3中9</v>
      </c>
      <c r="L46" s="185" t="str">
        <f t="shared" si="6"/>
        <v>T3中</v>
      </c>
      <c r="M46" s="185">
        <f t="shared" si="5"/>
        <v>9</v>
      </c>
      <c r="N46" s="188">
        <f t="shared" si="7"/>
        <v>2.4932142857142856</v>
      </c>
      <c r="P46" s="653" t="s">
        <v>3088</v>
      </c>
      <c r="Q46" s="188">
        <v>3.1963636363636363</v>
      </c>
    </row>
    <row r="47" spans="10:17" x14ac:dyDescent="0.35">
      <c r="J47" s="185">
        <f t="shared" si="8"/>
        <v>5</v>
      </c>
      <c r="K47" s="185" t="str">
        <f t="shared" si="3"/>
        <v>T3中10</v>
      </c>
      <c r="L47" s="185" t="str">
        <f t="shared" si="6"/>
        <v>T3中</v>
      </c>
      <c r="M47" s="185">
        <f t="shared" si="5"/>
        <v>10</v>
      </c>
      <c r="N47" s="188">
        <f t="shared" si="7"/>
        <v>2.5985714285714288</v>
      </c>
      <c r="P47" s="653" t="s">
        <v>1012</v>
      </c>
      <c r="Q47" s="188">
        <v>3.1999999999999997</v>
      </c>
    </row>
    <row r="48" spans="10:17" x14ac:dyDescent="0.35">
      <c r="J48" s="185">
        <f t="shared" si="8"/>
        <v>5</v>
      </c>
      <c r="K48" s="185" t="str">
        <f t="shared" si="3"/>
        <v>T3中11</v>
      </c>
      <c r="L48" s="185" t="str">
        <f t="shared" si="6"/>
        <v>T3中</v>
      </c>
      <c r="M48" s="185">
        <f t="shared" si="5"/>
        <v>11</v>
      </c>
      <c r="N48" s="188">
        <f t="shared" si="7"/>
        <v>2.7039285714285715</v>
      </c>
      <c r="P48" s="653" t="s">
        <v>1028</v>
      </c>
      <c r="Q48" s="188">
        <v>3.1999999999999997</v>
      </c>
    </row>
    <row r="49" spans="10:17" x14ac:dyDescent="0.35">
      <c r="J49" s="185">
        <f t="shared" si="8"/>
        <v>5</v>
      </c>
      <c r="K49" s="185" t="str">
        <f t="shared" si="3"/>
        <v>T3中12</v>
      </c>
      <c r="L49" s="185" t="str">
        <f t="shared" si="6"/>
        <v>T3中</v>
      </c>
      <c r="M49" s="185">
        <f t="shared" si="5"/>
        <v>12</v>
      </c>
      <c r="N49" s="188">
        <f t="shared" si="7"/>
        <v>2.8092857142857142</v>
      </c>
      <c r="P49" s="653" t="s">
        <v>1044</v>
      </c>
      <c r="Q49" s="653">
        <v>3.348235294117647</v>
      </c>
    </row>
    <row r="50" spans="10:17" x14ac:dyDescent="0.35">
      <c r="J50" s="185">
        <f t="shared" si="8"/>
        <v>5</v>
      </c>
      <c r="K50" s="185" t="str">
        <f t="shared" si="3"/>
        <v>T3中13</v>
      </c>
      <c r="L50" s="185" t="str">
        <f t="shared" si="6"/>
        <v>T3中</v>
      </c>
      <c r="M50" s="185">
        <f t="shared" si="5"/>
        <v>13</v>
      </c>
      <c r="N50" s="188">
        <f t="shared" si="7"/>
        <v>2.9146428571428569</v>
      </c>
      <c r="P50" s="653" t="s">
        <v>3082</v>
      </c>
      <c r="Q50" s="188">
        <v>3.3828571428571426</v>
      </c>
    </row>
    <row r="51" spans="10:17" x14ac:dyDescent="0.35">
      <c r="J51" s="185">
        <f t="shared" si="8"/>
        <v>5</v>
      </c>
      <c r="K51" s="185" t="str">
        <f t="shared" si="3"/>
        <v>T3中14</v>
      </c>
      <c r="L51" s="185" t="str">
        <f t="shared" si="6"/>
        <v>T3中</v>
      </c>
      <c r="M51" s="185">
        <f t="shared" si="5"/>
        <v>14</v>
      </c>
      <c r="N51" s="188">
        <f t="shared" si="7"/>
        <v>3.02</v>
      </c>
      <c r="P51" s="653" t="s">
        <v>1038</v>
      </c>
      <c r="Q51" s="188">
        <v>3.388235294117647</v>
      </c>
    </row>
    <row r="52" spans="10:17" x14ac:dyDescent="0.35">
      <c r="J52" s="185">
        <f t="shared" si="8"/>
        <v>6</v>
      </c>
      <c r="K52" s="185" t="str">
        <f t="shared" si="3"/>
        <v>T3高0</v>
      </c>
      <c r="L52" s="185" t="str">
        <f t="shared" si="6"/>
        <v>T3高</v>
      </c>
      <c r="M52" s="185">
        <f t="shared" si="5"/>
        <v>0</v>
      </c>
      <c r="N52" s="188">
        <f t="shared" si="7"/>
        <v>1.62</v>
      </c>
      <c r="P52" s="653" t="s">
        <v>1013</v>
      </c>
      <c r="Q52" s="188">
        <v>3.3999999999999995</v>
      </c>
    </row>
    <row r="53" spans="10:17" x14ac:dyDescent="0.35">
      <c r="J53" s="185">
        <f t="shared" si="8"/>
        <v>6</v>
      </c>
      <c r="K53" s="185" t="str">
        <f t="shared" si="3"/>
        <v>T3高1</v>
      </c>
      <c r="L53" s="185" t="str">
        <f t="shared" si="6"/>
        <v>T3高</v>
      </c>
      <c r="M53" s="185">
        <f t="shared" si="5"/>
        <v>1</v>
      </c>
      <c r="N53" s="188">
        <f t="shared" si="7"/>
        <v>1.7342857142857144</v>
      </c>
      <c r="P53" s="653" t="s">
        <v>1029</v>
      </c>
      <c r="Q53" s="188">
        <v>3.4</v>
      </c>
    </row>
    <row r="54" spans="10:17" x14ac:dyDescent="0.35">
      <c r="J54" s="185">
        <f t="shared" si="8"/>
        <v>6</v>
      </c>
      <c r="K54" s="185" t="str">
        <f t="shared" si="3"/>
        <v>T3高2</v>
      </c>
      <c r="L54" s="185" t="str">
        <f t="shared" si="6"/>
        <v>T3高</v>
      </c>
      <c r="M54" s="185">
        <f t="shared" si="5"/>
        <v>2</v>
      </c>
      <c r="N54" s="188">
        <f t="shared" si="7"/>
        <v>1.8485714285714288</v>
      </c>
      <c r="P54" s="653" t="s">
        <v>1021</v>
      </c>
      <c r="Q54" s="188">
        <v>3.4057142857142848</v>
      </c>
    </row>
    <row r="55" spans="10:17" x14ac:dyDescent="0.35">
      <c r="J55" s="185">
        <f t="shared" si="8"/>
        <v>6</v>
      </c>
      <c r="K55" s="185" t="str">
        <f t="shared" si="3"/>
        <v>T3高3</v>
      </c>
      <c r="L55" s="185" t="str">
        <f t="shared" si="6"/>
        <v>T3高</v>
      </c>
      <c r="M55" s="185">
        <f t="shared" si="5"/>
        <v>3</v>
      </c>
      <c r="N55" s="188">
        <f t="shared" si="7"/>
        <v>1.9628571428571431</v>
      </c>
      <c r="P55" s="653" t="s">
        <v>3089</v>
      </c>
      <c r="Q55" s="188">
        <v>3.4109090909090911</v>
      </c>
    </row>
    <row r="56" spans="10:17" x14ac:dyDescent="0.35">
      <c r="J56" s="185">
        <f t="shared" si="8"/>
        <v>6</v>
      </c>
      <c r="K56" s="185" t="str">
        <f t="shared" si="3"/>
        <v>T3高4</v>
      </c>
      <c r="L56" s="185" t="str">
        <f t="shared" si="6"/>
        <v>T3高</v>
      </c>
      <c r="M56" s="185">
        <f t="shared" si="5"/>
        <v>4</v>
      </c>
      <c r="N56" s="188">
        <f t="shared" si="7"/>
        <v>2.0771428571428574</v>
      </c>
      <c r="P56" s="653" t="s">
        <v>1045</v>
      </c>
      <c r="Q56" s="653">
        <v>3.5764705882352943</v>
      </c>
    </row>
    <row r="57" spans="10:17" x14ac:dyDescent="0.35">
      <c r="J57" s="185">
        <f t="shared" si="8"/>
        <v>6</v>
      </c>
      <c r="K57" s="185" t="str">
        <f t="shared" si="3"/>
        <v>T3高5</v>
      </c>
      <c r="L57" s="185" t="str">
        <f t="shared" si="6"/>
        <v>T3高</v>
      </c>
      <c r="M57" s="185">
        <f t="shared" si="5"/>
        <v>5</v>
      </c>
      <c r="N57" s="188">
        <f t="shared" si="7"/>
        <v>2.1914285714285717</v>
      </c>
      <c r="P57" s="653" t="s">
        <v>1014</v>
      </c>
      <c r="Q57" s="188">
        <v>3.5999999999999996</v>
      </c>
    </row>
    <row r="58" spans="10:17" x14ac:dyDescent="0.35">
      <c r="J58" s="185">
        <f t="shared" si="8"/>
        <v>6</v>
      </c>
      <c r="K58" s="185" t="str">
        <f t="shared" si="3"/>
        <v>T3高6</v>
      </c>
      <c r="L58" s="185" t="str">
        <f t="shared" si="6"/>
        <v>T3高</v>
      </c>
      <c r="M58" s="185">
        <f t="shared" si="5"/>
        <v>6</v>
      </c>
      <c r="N58" s="188">
        <f t="shared" si="7"/>
        <v>2.305714285714286</v>
      </c>
      <c r="P58" s="653" t="s">
        <v>1030</v>
      </c>
      <c r="Q58" s="188">
        <v>3.5999999999999996</v>
      </c>
    </row>
    <row r="59" spans="10:17" x14ac:dyDescent="0.35">
      <c r="J59" s="185">
        <f t="shared" si="8"/>
        <v>6</v>
      </c>
      <c r="K59" s="185" t="str">
        <f t="shared" si="3"/>
        <v>T3高7</v>
      </c>
      <c r="L59" s="185" t="str">
        <f t="shared" si="6"/>
        <v>T3高</v>
      </c>
      <c r="M59" s="185">
        <f t="shared" si="5"/>
        <v>7</v>
      </c>
      <c r="N59" s="188">
        <f t="shared" si="7"/>
        <v>2.42</v>
      </c>
      <c r="P59" s="653" t="s">
        <v>1039</v>
      </c>
      <c r="Q59" s="188">
        <v>3.6023529411764708</v>
      </c>
    </row>
    <row r="60" spans="10:17" x14ac:dyDescent="0.35">
      <c r="J60" s="185">
        <f t="shared" si="8"/>
        <v>6</v>
      </c>
      <c r="K60" s="185" t="str">
        <f t="shared" si="3"/>
        <v>T3高8</v>
      </c>
      <c r="L60" s="185" t="str">
        <f t="shared" si="6"/>
        <v>T3高</v>
      </c>
      <c r="M60" s="185">
        <f t="shared" ref="M60:M76" si="9">IF(J60&lt;&gt;J59,0,M59+1)</f>
        <v>8</v>
      </c>
      <c r="N60" s="188">
        <f t="shared" si="7"/>
        <v>2.5342857142857143</v>
      </c>
      <c r="P60" s="653" t="s">
        <v>3100</v>
      </c>
      <c r="Q60" s="188">
        <v>3.6114285714285712</v>
      </c>
    </row>
    <row r="61" spans="10:17" x14ac:dyDescent="0.35">
      <c r="J61" s="185">
        <f t="shared" si="8"/>
        <v>6</v>
      </c>
      <c r="K61" s="185" t="str">
        <f t="shared" si="3"/>
        <v>T3高9</v>
      </c>
      <c r="L61" s="185" t="str">
        <f t="shared" si="6"/>
        <v>T3高</v>
      </c>
      <c r="M61" s="185">
        <f t="shared" si="9"/>
        <v>9</v>
      </c>
      <c r="N61" s="188">
        <f t="shared" si="7"/>
        <v>2.6485714285714286</v>
      </c>
      <c r="P61" s="653" t="s">
        <v>3092</v>
      </c>
      <c r="Q61" s="188">
        <v>3.6199999999999992</v>
      </c>
    </row>
    <row r="62" spans="10:17" x14ac:dyDescent="0.35">
      <c r="J62" s="185">
        <f t="shared" si="8"/>
        <v>6</v>
      </c>
      <c r="K62" s="185" t="str">
        <f t="shared" si="3"/>
        <v>T3高10</v>
      </c>
      <c r="L62" s="185" t="str">
        <f t="shared" si="6"/>
        <v>T3高</v>
      </c>
      <c r="M62" s="185">
        <f t="shared" si="9"/>
        <v>10</v>
      </c>
      <c r="N62" s="188">
        <f t="shared" si="7"/>
        <v>2.7628571428571433</v>
      </c>
      <c r="P62" s="653" t="s">
        <v>3090</v>
      </c>
      <c r="Q62" s="188">
        <v>3.625454545454545</v>
      </c>
    </row>
    <row r="63" spans="10:17" x14ac:dyDescent="0.35">
      <c r="J63" s="185">
        <f t="shared" si="8"/>
        <v>6</v>
      </c>
      <c r="K63" s="185" t="str">
        <f t="shared" si="3"/>
        <v>T3高11</v>
      </c>
      <c r="L63" s="185" t="str">
        <f t="shared" si="6"/>
        <v>T3高</v>
      </c>
      <c r="M63" s="185">
        <f t="shared" si="9"/>
        <v>11</v>
      </c>
      <c r="N63" s="188">
        <f t="shared" si="7"/>
        <v>2.8771428571428572</v>
      </c>
      <c r="P63" s="653" t="s">
        <v>1031</v>
      </c>
      <c r="Q63" s="188">
        <v>3.8</v>
      </c>
    </row>
    <row r="64" spans="10:17" x14ac:dyDescent="0.35">
      <c r="J64" s="185">
        <f t="shared" si="8"/>
        <v>6</v>
      </c>
      <c r="K64" s="185" t="str">
        <f t="shared" si="3"/>
        <v>T3高12</v>
      </c>
      <c r="L64" s="185" t="str">
        <f t="shared" si="6"/>
        <v>T3高</v>
      </c>
      <c r="M64" s="185">
        <f t="shared" si="9"/>
        <v>12</v>
      </c>
      <c r="N64" s="188">
        <f t="shared" si="7"/>
        <v>2.9914285714285715</v>
      </c>
      <c r="P64" s="653" t="s">
        <v>1047</v>
      </c>
      <c r="Q64" s="653">
        <v>3.8</v>
      </c>
    </row>
    <row r="65" spans="10:17" x14ac:dyDescent="0.35">
      <c r="J65" s="185">
        <f t="shared" si="8"/>
        <v>6</v>
      </c>
      <c r="K65" s="185" t="str">
        <f t="shared" si="3"/>
        <v>T3高13</v>
      </c>
      <c r="L65" s="185" t="str">
        <f t="shared" si="6"/>
        <v>T3高</v>
      </c>
      <c r="M65" s="185">
        <f t="shared" si="9"/>
        <v>13</v>
      </c>
      <c r="N65" s="188">
        <f t="shared" si="7"/>
        <v>3.1057142857142859</v>
      </c>
      <c r="P65" s="653" t="s">
        <v>1046</v>
      </c>
      <c r="Q65" s="653">
        <v>3.8047058823529412</v>
      </c>
    </row>
    <row r="66" spans="10:17" x14ac:dyDescent="0.35">
      <c r="J66" s="185">
        <f t="shared" si="8"/>
        <v>6</v>
      </c>
      <c r="K66" s="185" t="str">
        <f t="shared" si="3"/>
        <v>T3高14</v>
      </c>
      <c r="L66" s="185" t="str">
        <f t="shared" si="6"/>
        <v>T3高</v>
      </c>
      <c r="M66" s="185">
        <f t="shared" si="9"/>
        <v>14</v>
      </c>
      <c r="N66" s="188">
        <f t="shared" si="7"/>
        <v>3.22</v>
      </c>
      <c r="P66" s="653" t="s">
        <v>1040</v>
      </c>
      <c r="Q66" s="653">
        <v>3.8164705882352941</v>
      </c>
    </row>
    <row r="67" spans="10:17" x14ac:dyDescent="0.35">
      <c r="J67" s="185">
        <f t="shared" si="8"/>
        <v>7</v>
      </c>
      <c r="K67" s="185" t="str">
        <f t="shared" si="3"/>
        <v>T4低0</v>
      </c>
      <c r="L67" s="185" t="str">
        <f t="shared" si="6"/>
        <v>T4低</v>
      </c>
      <c r="M67" s="185">
        <f t="shared" si="9"/>
        <v>0</v>
      </c>
      <c r="N67" s="188">
        <f t="shared" si="7"/>
        <v>1.9</v>
      </c>
      <c r="P67" s="653" t="s">
        <v>3093</v>
      </c>
      <c r="Q67" s="188">
        <v>3.8342857142857136</v>
      </c>
    </row>
    <row r="68" spans="10:17" x14ac:dyDescent="0.35">
      <c r="J68" s="185">
        <f t="shared" si="8"/>
        <v>7</v>
      </c>
      <c r="K68" s="185" t="str">
        <f t="shared" si="3"/>
        <v>T4低1</v>
      </c>
      <c r="L68" s="185" t="str">
        <f t="shared" ref="L68:L76" si="10">VLOOKUP(J68,$B$3:$H$15,2,FALSE)</f>
        <v>T4低</v>
      </c>
      <c r="M68" s="185">
        <f t="shared" si="9"/>
        <v>1</v>
      </c>
      <c r="N68" s="188">
        <f t="shared" ref="N68:N76" si="11">VLOOKUP(J68,$B$3:$H$15,6,FALSE)+M68/VLOOKUP(J68,$B$3:$H$15,3,FALSE)*(VLOOKUP(J68,$B$3:$H$15,7,FALSE)-VLOOKUP(J68,$B$3:$H$15,6,FALSE))</f>
        <v>2</v>
      </c>
      <c r="P68" s="653" t="s">
        <v>3091</v>
      </c>
      <c r="Q68" s="188">
        <v>3.84</v>
      </c>
    </row>
    <row r="69" spans="10:17" x14ac:dyDescent="0.35">
      <c r="J69" s="185">
        <f t="shared" ref="J69:J76" si="12">IF(M68=VLOOKUP(J68,$B$3:$H$15,3,FALSE),J68+1,J68)</f>
        <v>7</v>
      </c>
      <c r="K69" s="185" t="str">
        <f t="shared" ref="K69:K76" si="13">L69&amp;M69</f>
        <v>T4低2</v>
      </c>
      <c r="L69" s="185" t="str">
        <f t="shared" si="10"/>
        <v>T4低</v>
      </c>
      <c r="M69" s="185">
        <f t="shared" si="9"/>
        <v>2</v>
      </c>
      <c r="N69" s="188">
        <f t="shared" si="11"/>
        <v>2.1</v>
      </c>
      <c r="P69" s="653" t="s">
        <v>3101</v>
      </c>
      <c r="Q69" s="188">
        <v>3.84</v>
      </c>
    </row>
    <row r="70" spans="10:17" x14ac:dyDescent="0.35">
      <c r="J70" s="185">
        <f t="shared" si="12"/>
        <v>7</v>
      </c>
      <c r="K70" s="185" t="str">
        <f t="shared" si="13"/>
        <v>T4低3</v>
      </c>
      <c r="L70" s="185" t="str">
        <f t="shared" si="10"/>
        <v>T4低</v>
      </c>
      <c r="M70" s="185">
        <f t="shared" si="9"/>
        <v>3</v>
      </c>
      <c r="N70" s="188">
        <f t="shared" si="11"/>
        <v>2.1999999999999997</v>
      </c>
      <c r="P70" s="653" t="s">
        <v>1057</v>
      </c>
      <c r="Q70" s="653">
        <v>3.9999999999999996</v>
      </c>
    </row>
    <row r="71" spans="10:17" x14ac:dyDescent="0.35">
      <c r="J71" s="185">
        <f t="shared" si="12"/>
        <v>7</v>
      </c>
      <c r="K71" s="185" t="str">
        <f t="shared" si="13"/>
        <v>T4低4</v>
      </c>
      <c r="L71" s="185" t="str">
        <f t="shared" si="10"/>
        <v>T4低</v>
      </c>
      <c r="M71" s="185">
        <f t="shared" si="9"/>
        <v>4</v>
      </c>
      <c r="N71" s="188">
        <f t="shared" si="11"/>
        <v>2.2999999999999998</v>
      </c>
      <c r="P71" s="653" t="s">
        <v>1032</v>
      </c>
      <c r="Q71" s="188">
        <v>4</v>
      </c>
    </row>
    <row r="72" spans="10:17" x14ac:dyDescent="0.35">
      <c r="J72" s="185">
        <f t="shared" si="12"/>
        <v>7</v>
      </c>
      <c r="K72" s="185" t="str">
        <f t="shared" si="13"/>
        <v>T4低5</v>
      </c>
      <c r="L72" s="185" t="str">
        <f t="shared" si="10"/>
        <v>T4低</v>
      </c>
      <c r="M72" s="185">
        <f t="shared" si="9"/>
        <v>5</v>
      </c>
      <c r="N72" s="188">
        <f t="shared" si="11"/>
        <v>2.4</v>
      </c>
      <c r="P72" s="653" t="s">
        <v>1048</v>
      </c>
      <c r="Q72" s="653">
        <v>4</v>
      </c>
    </row>
    <row r="73" spans="10:17" x14ac:dyDescent="0.35">
      <c r="J73" s="185">
        <f t="shared" si="12"/>
        <v>7</v>
      </c>
      <c r="K73" s="185" t="str">
        <f t="shared" si="13"/>
        <v>T4低6</v>
      </c>
      <c r="L73" s="185" t="str">
        <f t="shared" si="10"/>
        <v>T4低</v>
      </c>
      <c r="M73" s="185">
        <f t="shared" si="9"/>
        <v>6</v>
      </c>
      <c r="N73" s="188">
        <f t="shared" si="11"/>
        <v>2.5</v>
      </c>
      <c r="P73" s="653" t="s">
        <v>1041</v>
      </c>
      <c r="Q73" s="653">
        <v>4.0305882352941174</v>
      </c>
    </row>
    <row r="74" spans="10:17" x14ac:dyDescent="0.35">
      <c r="J74" s="185">
        <f t="shared" si="12"/>
        <v>7</v>
      </c>
      <c r="K74" s="185" t="str">
        <f t="shared" si="13"/>
        <v>T4低7</v>
      </c>
      <c r="L74" s="185" t="str">
        <f t="shared" si="10"/>
        <v>T4低</v>
      </c>
      <c r="M74" s="185">
        <f t="shared" si="9"/>
        <v>7</v>
      </c>
      <c r="N74" s="188">
        <f t="shared" si="11"/>
        <v>2.5999999999999996</v>
      </c>
      <c r="P74" s="653" t="s">
        <v>1071</v>
      </c>
      <c r="Q74" s="653">
        <v>4.0329411764705885</v>
      </c>
    </row>
    <row r="75" spans="10:17" x14ac:dyDescent="0.35">
      <c r="J75" s="185">
        <f t="shared" si="12"/>
        <v>7</v>
      </c>
      <c r="K75" s="185" t="str">
        <f t="shared" si="13"/>
        <v>T4低8</v>
      </c>
      <c r="L75" s="185" t="str">
        <f t="shared" si="10"/>
        <v>T4低</v>
      </c>
      <c r="M75" s="185">
        <f t="shared" si="9"/>
        <v>8</v>
      </c>
      <c r="N75" s="188">
        <f t="shared" si="11"/>
        <v>2.7</v>
      </c>
      <c r="P75" s="653" t="s">
        <v>3094</v>
      </c>
      <c r="Q75" s="188">
        <v>4.048571428571428</v>
      </c>
    </row>
    <row r="76" spans="10:17" x14ac:dyDescent="0.35">
      <c r="J76" s="185">
        <f t="shared" si="12"/>
        <v>7</v>
      </c>
      <c r="K76" s="185" t="str">
        <f t="shared" si="13"/>
        <v>T4低9</v>
      </c>
      <c r="L76" s="185" t="str">
        <f t="shared" si="10"/>
        <v>T4低</v>
      </c>
      <c r="M76" s="185">
        <f t="shared" si="9"/>
        <v>9</v>
      </c>
      <c r="N76" s="188">
        <f t="shared" si="11"/>
        <v>2.8</v>
      </c>
      <c r="P76" s="653" t="s">
        <v>3102</v>
      </c>
      <c r="Q76" s="188">
        <v>4.0685714285714276</v>
      </c>
    </row>
    <row r="77" spans="10:17" x14ac:dyDescent="0.35">
      <c r="J77" s="187">
        <f>IF(M76=VLOOKUP(J76,$B$3:$H$15,3,FALSE),J76+1,J76)</f>
        <v>7</v>
      </c>
      <c r="K77" s="187" t="str">
        <f>L77&amp;M77</f>
        <v>T4低10</v>
      </c>
      <c r="L77" s="187" t="str">
        <f>VLOOKUP(J77,$B$3:$H$15,2,FALSE)</f>
        <v>T4低</v>
      </c>
      <c r="M77" s="187">
        <f>IF(J77&lt;&gt;J76,0,M76+1)</f>
        <v>10</v>
      </c>
      <c r="N77" s="188">
        <f>VLOOKUP(J77,$B$3:$H$15,6,FALSE)+M77/VLOOKUP(J77,$B$3:$H$15,3,FALSE)*(VLOOKUP(J77,$B$3:$H$15,7,FALSE)-VLOOKUP(J77,$B$3:$H$15,6,FALSE))</f>
        <v>2.9</v>
      </c>
      <c r="P77" s="653" t="s">
        <v>1033</v>
      </c>
      <c r="Q77" s="188">
        <v>4.1999999999999993</v>
      </c>
    </row>
    <row r="78" spans="10:17" x14ac:dyDescent="0.35">
      <c r="J78" s="187">
        <f>IF(M77=VLOOKUP(J77,$B$3:$H$15,3,FALSE),J77+1,J77)</f>
        <v>8</v>
      </c>
      <c r="K78" s="187" t="str">
        <f>L78&amp;M78</f>
        <v>T4中0</v>
      </c>
      <c r="L78" s="187" t="str">
        <f>VLOOKUP(J78,$B$3:$H$15,2,FALSE)</f>
        <v>T4中</v>
      </c>
      <c r="M78" s="187">
        <f>IF(J78&lt;&gt;J77,0,M77+1)</f>
        <v>0</v>
      </c>
      <c r="N78" s="188">
        <f>VLOOKUP(J78,$B$3:$H$15,6,FALSE)+M78/VLOOKUP(J78,$B$3:$H$15,3,FALSE)*(VLOOKUP(J78,$B$3:$H$15,7,FALSE)-VLOOKUP(J78,$B$3:$H$15,6,FALSE))</f>
        <v>1.96</v>
      </c>
      <c r="P78" s="653" t="s">
        <v>1064</v>
      </c>
      <c r="Q78" s="653">
        <v>4.1999999999999993</v>
      </c>
    </row>
    <row r="79" spans="10:17" x14ac:dyDescent="0.35">
      <c r="J79" s="187">
        <f>IF(M78=VLOOKUP(J78,$B$3:$H$15,3,FALSE),J78+1,J78)</f>
        <v>8</v>
      </c>
      <c r="K79" s="187" t="str">
        <f>L79&amp;M79</f>
        <v>T4中1</v>
      </c>
      <c r="L79" s="187" t="str">
        <f>VLOOKUP(J79,$B$3:$H$15,2,FALSE)</f>
        <v>T4中</v>
      </c>
      <c r="M79" s="187">
        <f>IF(J79&lt;&gt;J78,0,M78+1)</f>
        <v>1</v>
      </c>
      <c r="N79" s="188">
        <f>VLOOKUP(J79,$B$3:$H$15,6,FALSE)+M79/VLOOKUP(J79,$B$3:$H$15,3,FALSE)*(VLOOKUP(J79,$B$3:$H$15,7,FALSE)-VLOOKUP(J79,$B$3:$H$15,6,FALSE))</f>
        <v>2.0652941176470589</v>
      </c>
      <c r="P79" s="653" t="s">
        <v>1049</v>
      </c>
      <c r="Q79" s="653">
        <v>4.2</v>
      </c>
    </row>
    <row r="80" spans="10:17" x14ac:dyDescent="0.35">
      <c r="J80" s="187">
        <f>IF(M79=VLOOKUP(J79,$B$3:$H$15,3,FALSE),J79+1,J79)</f>
        <v>8</v>
      </c>
      <c r="K80" s="187" t="str">
        <f>L80&amp;M80</f>
        <v>T4中2</v>
      </c>
      <c r="L80" s="187" t="str">
        <f>VLOOKUP(J80,$B$3:$H$15,2,FALSE)</f>
        <v>T4中</v>
      </c>
      <c r="M80" s="187">
        <f>IF(J80&lt;&gt;J79,0,M79+1)</f>
        <v>2</v>
      </c>
      <c r="N80" s="188">
        <f>VLOOKUP(J80,$B$3:$H$15,6,FALSE)+M80/VLOOKUP(J80,$B$3:$H$15,3,FALSE)*(VLOOKUP(J80,$B$3:$H$15,7,FALSE)-VLOOKUP(J80,$B$3:$H$15,6,FALSE))</f>
        <v>2.1705882352941175</v>
      </c>
      <c r="P80" s="653" t="s">
        <v>1058</v>
      </c>
      <c r="Q80" s="653">
        <v>4.2139999999999995</v>
      </c>
    </row>
    <row r="81" spans="10:17" x14ac:dyDescent="0.35">
      <c r="J81" s="187">
        <f>IF(M80=VLOOKUP(J80,$B$3:$H$15,3,FALSE),J80+1,J80)</f>
        <v>8</v>
      </c>
      <c r="K81" s="187" t="str">
        <f>L81&amp;M81</f>
        <v>T4中3</v>
      </c>
      <c r="L81" s="187" t="str">
        <f>VLOOKUP(J81,$B$3:$H$15,2,FALSE)</f>
        <v>T4中</v>
      </c>
      <c r="M81" s="187">
        <f>IF(J81&lt;&gt;J80,0,M80+1)</f>
        <v>3</v>
      </c>
      <c r="N81" s="188">
        <f>VLOOKUP(J81,$B$3:$H$15,6,FALSE)+M81/VLOOKUP(J81,$B$3:$H$15,3,FALSE)*(VLOOKUP(J81,$B$3:$H$15,7,FALSE)-VLOOKUP(J81,$B$3:$H$15,6,FALSE))</f>
        <v>2.2758823529411765</v>
      </c>
      <c r="P81" s="653" t="s">
        <v>1042</v>
      </c>
      <c r="Q81" s="653">
        <v>4.2447058823529407</v>
      </c>
    </row>
    <row r="82" spans="10:17" x14ac:dyDescent="0.35">
      <c r="J82" s="653">
        <f t="shared" ref="J82:J127" si="14">IF(M81=VLOOKUP(J81,$B$3:$H$15,3,FALSE),J81+1,J81)</f>
        <v>8</v>
      </c>
      <c r="K82" s="653" t="str">
        <f t="shared" ref="K82:K127" si="15">L82&amp;M82</f>
        <v>T4中4</v>
      </c>
      <c r="L82" s="653" t="str">
        <f t="shared" ref="L82:L127" si="16">VLOOKUP(J82,$B$3:$H$15,2,FALSE)</f>
        <v>T4中</v>
      </c>
      <c r="M82" s="653">
        <f t="shared" ref="M82:M127" si="17">IF(J82&lt;&gt;J81,0,M81+1)</f>
        <v>4</v>
      </c>
      <c r="N82" s="188">
        <f t="shared" ref="N82:N127" si="18">VLOOKUP(J82,$B$3:$H$15,6,FALSE)+M82/VLOOKUP(J82,$B$3:$H$15,3,FALSE)*(VLOOKUP(J82,$B$3:$H$15,7,FALSE)-VLOOKUP(J82,$B$3:$H$15,6,FALSE))</f>
        <v>2.3811764705882354</v>
      </c>
      <c r="P82" s="653" t="s">
        <v>1074</v>
      </c>
      <c r="Q82" s="653">
        <v>4.2611764705882358</v>
      </c>
    </row>
    <row r="83" spans="10:17" x14ac:dyDescent="0.35">
      <c r="J83" s="653">
        <f t="shared" si="14"/>
        <v>8</v>
      </c>
      <c r="K83" s="653" t="str">
        <f t="shared" si="15"/>
        <v>T4中5</v>
      </c>
      <c r="L83" s="653" t="str">
        <f t="shared" si="16"/>
        <v>T4中</v>
      </c>
      <c r="M83" s="653">
        <f t="shared" si="17"/>
        <v>5</v>
      </c>
      <c r="N83" s="188">
        <f t="shared" si="18"/>
        <v>2.486470588235294</v>
      </c>
      <c r="P83" s="653" t="s">
        <v>3095</v>
      </c>
      <c r="Q83" s="188">
        <v>4.2628571428571425</v>
      </c>
    </row>
    <row r="84" spans="10:17" x14ac:dyDescent="0.35">
      <c r="J84" s="653">
        <f t="shared" si="14"/>
        <v>8</v>
      </c>
      <c r="K84" s="653" t="str">
        <f t="shared" si="15"/>
        <v>T4中6</v>
      </c>
      <c r="L84" s="653" t="str">
        <f t="shared" si="16"/>
        <v>T4中</v>
      </c>
      <c r="M84" s="653">
        <f t="shared" si="17"/>
        <v>6</v>
      </c>
      <c r="N84" s="188">
        <f t="shared" si="18"/>
        <v>2.591764705882353</v>
      </c>
      <c r="P84" s="653" t="s">
        <v>3103</v>
      </c>
      <c r="Q84" s="188">
        <v>4.2971428571428572</v>
      </c>
    </row>
    <row r="85" spans="10:17" x14ac:dyDescent="0.35">
      <c r="J85" s="653">
        <f t="shared" si="14"/>
        <v>8</v>
      </c>
      <c r="K85" s="653" t="str">
        <f t="shared" si="15"/>
        <v>T4中7</v>
      </c>
      <c r="L85" s="653" t="str">
        <f t="shared" si="16"/>
        <v>T4中</v>
      </c>
      <c r="M85" s="653">
        <f t="shared" si="17"/>
        <v>7</v>
      </c>
      <c r="N85" s="188">
        <f t="shared" si="18"/>
        <v>2.697058823529412</v>
      </c>
      <c r="P85" s="653" t="s">
        <v>1034</v>
      </c>
      <c r="Q85" s="188">
        <v>4.4000000000000004</v>
      </c>
    </row>
    <row r="86" spans="10:17" x14ac:dyDescent="0.35">
      <c r="J86" s="653">
        <f t="shared" si="14"/>
        <v>8</v>
      </c>
      <c r="K86" s="653" t="str">
        <f t="shared" si="15"/>
        <v>T4中8</v>
      </c>
      <c r="L86" s="653" t="str">
        <f t="shared" si="16"/>
        <v>T4中</v>
      </c>
      <c r="M86" s="653">
        <f t="shared" si="17"/>
        <v>8</v>
      </c>
      <c r="N86" s="188">
        <f t="shared" si="18"/>
        <v>2.8023529411764705</v>
      </c>
      <c r="P86" s="653" t="s">
        <v>1050</v>
      </c>
      <c r="Q86" s="653">
        <v>4.4000000000000004</v>
      </c>
    </row>
    <row r="87" spans="10:17" x14ac:dyDescent="0.35">
      <c r="J87" s="653">
        <f t="shared" si="14"/>
        <v>8</v>
      </c>
      <c r="K87" s="653" t="str">
        <f t="shared" si="15"/>
        <v>T4中9</v>
      </c>
      <c r="L87" s="653" t="str">
        <f t="shared" si="16"/>
        <v>T4中</v>
      </c>
      <c r="M87" s="653">
        <f t="shared" si="17"/>
        <v>9</v>
      </c>
      <c r="N87" s="188">
        <f t="shared" si="18"/>
        <v>2.9076470588235295</v>
      </c>
      <c r="P87" s="653" t="s">
        <v>1059</v>
      </c>
      <c r="Q87" s="653">
        <v>4.427999999999999</v>
      </c>
    </row>
    <row r="88" spans="10:17" x14ac:dyDescent="0.35">
      <c r="J88" s="653">
        <f t="shared" si="14"/>
        <v>8</v>
      </c>
      <c r="K88" s="653" t="str">
        <f t="shared" si="15"/>
        <v>T4中10</v>
      </c>
      <c r="L88" s="653" t="str">
        <f t="shared" si="16"/>
        <v>T4中</v>
      </c>
      <c r="M88" s="653">
        <f t="shared" si="17"/>
        <v>10</v>
      </c>
      <c r="N88" s="188">
        <f t="shared" si="18"/>
        <v>3.012941176470588</v>
      </c>
      <c r="P88" s="653" t="s">
        <v>1065</v>
      </c>
      <c r="Q88" s="653">
        <v>4.427999999999999</v>
      </c>
    </row>
    <row r="89" spans="10:17" x14ac:dyDescent="0.35">
      <c r="J89" s="653">
        <f t="shared" si="14"/>
        <v>8</v>
      </c>
      <c r="K89" s="653" t="str">
        <f t="shared" si="15"/>
        <v>T4中11</v>
      </c>
      <c r="L89" s="653" t="str">
        <f t="shared" si="16"/>
        <v>T4中</v>
      </c>
      <c r="M89" s="653">
        <f t="shared" si="17"/>
        <v>11</v>
      </c>
      <c r="N89" s="188">
        <f t="shared" si="18"/>
        <v>3.118235294117647</v>
      </c>
      <c r="P89" s="653" t="s">
        <v>3110</v>
      </c>
      <c r="Q89" s="653">
        <v>4.4588235294117649</v>
      </c>
    </row>
    <row r="90" spans="10:17" x14ac:dyDescent="0.35">
      <c r="J90" s="653">
        <f t="shared" si="14"/>
        <v>8</v>
      </c>
      <c r="K90" s="653" t="str">
        <f t="shared" si="15"/>
        <v>T4中12</v>
      </c>
      <c r="L90" s="653" t="str">
        <f t="shared" si="16"/>
        <v>T4中</v>
      </c>
      <c r="M90" s="653">
        <f t="shared" si="17"/>
        <v>12</v>
      </c>
      <c r="N90" s="188">
        <f t="shared" si="18"/>
        <v>3.223529411764706</v>
      </c>
      <c r="P90" s="653" t="s">
        <v>3096</v>
      </c>
      <c r="Q90" s="188">
        <v>4.4771428571428569</v>
      </c>
    </row>
    <row r="91" spans="10:17" x14ac:dyDescent="0.35">
      <c r="J91" s="653">
        <f t="shared" si="14"/>
        <v>8</v>
      </c>
      <c r="K91" s="653" t="str">
        <f t="shared" si="15"/>
        <v>T4中13</v>
      </c>
      <c r="L91" s="653" t="str">
        <f t="shared" si="16"/>
        <v>T4中</v>
      </c>
      <c r="M91" s="653">
        <f t="shared" si="17"/>
        <v>13</v>
      </c>
      <c r="N91" s="188">
        <f t="shared" si="18"/>
        <v>3.3288235294117645</v>
      </c>
      <c r="P91" s="653" t="s">
        <v>3083</v>
      </c>
      <c r="Q91" s="653">
        <v>4.4894117647058822</v>
      </c>
    </row>
    <row r="92" spans="10:17" x14ac:dyDescent="0.35">
      <c r="J92" s="653">
        <f t="shared" si="14"/>
        <v>8</v>
      </c>
      <c r="K92" s="653" t="str">
        <f t="shared" si="15"/>
        <v>T4中14</v>
      </c>
      <c r="L92" s="653" t="str">
        <f t="shared" si="16"/>
        <v>T4中</v>
      </c>
      <c r="M92" s="653">
        <f t="shared" si="17"/>
        <v>14</v>
      </c>
      <c r="N92" s="188">
        <f t="shared" si="18"/>
        <v>3.4341176470588235</v>
      </c>
      <c r="P92" s="653" t="s">
        <v>3104</v>
      </c>
      <c r="Q92" s="188">
        <v>4.5257142857142849</v>
      </c>
    </row>
    <row r="93" spans="10:17" x14ac:dyDescent="0.35">
      <c r="J93" s="653">
        <f t="shared" si="14"/>
        <v>8</v>
      </c>
      <c r="K93" s="653" t="str">
        <f t="shared" si="15"/>
        <v>T4中15</v>
      </c>
      <c r="L93" s="653" t="str">
        <f t="shared" si="16"/>
        <v>T4中</v>
      </c>
      <c r="M93" s="653">
        <f t="shared" si="17"/>
        <v>15</v>
      </c>
      <c r="N93" s="188">
        <f t="shared" si="18"/>
        <v>3.539411764705882</v>
      </c>
      <c r="P93" s="653" t="s">
        <v>1035</v>
      </c>
      <c r="Q93" s="188">
        <v>4.5999999999999996</v>
      </c>
    </row>
    <row r="94" spans="10:17" x14ac:dyDescent="0.35">
      <c r="J94" s="653">
        <f t="shared" si="14"/>
        <v>8</v>
      </c>
      <c r="K94" s="653" t="str">
        <f t="shared" si="15"/>
        <v>T4中16</v>
      </c>
      <c r="L94" s="653" t="str">
        <f t="shared" si="16"/>
        <v>T4中</v>
      </c>
      <c r="M94" s="653">
        <f t="shared" si="17"/>
        <v>16</v>
      </c>
      <c r="N94" s="188">
        <f t="shared" si="18"/>
        <v>3.644705882352941</v>
      </c>
      <c r="P94" s="653" t="s">
        <v>1051</v>
      </c>
      <c r="Q94" s="653">
        <v>4.5999999999999996</v>
      </c>
    </row>
    <row r="95" spans="10:17" x14ac:dyDescent="0.35">
      <c r="J95" s="653">
        <f t="shared" si="14"/>
        <v>8</v>
      </c>
      <c r="K95" s="653" t="str">
        <f t="shared" si="15"/>
        <v>T4中17</v>
      </c>
      <c r="L95" s="653" t="str">
        <f t="shared" si="16"/>
        <v>T4中</v>
      </c>
      <c r="M95" s="653">
        <f t="shared" si="17"/>
        <v>17</v>
      </c>
      <c r="N95" s="188">
        <f t="shared" si="18"/>
        <v>3.75</v>
      </c>
      <c r="P95" s="653" t="s">
        <v>1060</v>
      </c>
      <c r="Q95" s="653">
        <v>4.6419999999999995</v>
      </c>
    </row>
    <row r="96" spans="10:17" x14ac:dyDescent="0.35">
      <c r="J96" s="653">
        <f t="shared" si="14"/>
        <v>9</v>
      </c>
      <c r="K96" s="653" t="str">
        <f t="shared" si="15"/>
        <v>T4高0</v>
      </c>
      <c r="L96" s="653" t="str">
        <f t="shared" si="16"/>
        <v>T4高</v>
      </c>
      <c r="M96" s="653">
        <f t="shared" si="17"/>
        <v>0</v>
      </c>
      <c r="N96" s="188">
        <f t="shared" si="18"/>
        <v>2.06</v>
      </c>
      <c r="P96" s="653" t="s">
        <v>1066</v>
      </c>
      <c r="Q96" s="653">
        <v>4.6559999999999988</v>
      </c>
    </row>
    <row r="97" spans="10:17" x14ac:dyDescent="0.35">
      <c r="J97" s="653">
        <f t="shared" si="14"/>
        <v>9</v>
      </c>
      <c r="K97" s="653" t="str">
        <f t="shared" si="15"/>
        <v>T4高1</v>
      </c>
      <c r="L97" s="653" t="str">
        <f t="shared" si="16"/>
        <v>T4高</v>
      </c>
      <c r="M97" s="653">
        <f t="shared" si="17"/>
        <v>1</v>
      </c>
      <c r="N97" s="188">
        <f t="shared" si="18"/>
        <v>2.1741176470588237</v>
      </c>
      <c r="P97" s="653" t="s">
        <v>3111</v>
      </c>
      <c r="Q97" s="653">
        <v>4.6729411764705882</v>
      </c>
    </row>
    <row r="98" spans="10:17" x14ac:dyDescent="0.35">
      <c r="J98" s="653">
        <f t="shared" si="14"/>
        <v>9</v>
      </c>
      <c r="K98" s="653" t="str">
        <f t="shared" si="15"/>
        <v>T4高2</v>
      </c>
      <c r="L98" s="653" t="str">
        <f t="shared" si="16"/>
        <v>T4高</v>
      </c>
      <c r="M98" s="653">
        <f t="shared" si="17"/>
        <v>2</v>
      </c>
      <c r="N98" s="188">
        <f t="shared" si="18"/>
        <v>2.2882352941176469</v>
      </c>
      <c r="P98" s="653" t="s">
        <v>3097</v>
      </c>
      <c r="Q98" s="188">
        <v>4.6914285714285704</v>
      </c>
    </row>
    <row r="99" spans="10:17" x14ac:dyDescent="0.35">
      <c r="J99" s="653">
        <f t="shared" si="14"/>
        <v>9</v>
      </c>
      <c r="K99" s="653" t="str">
        <f t="shared" si="15"/>
        <v>T4高3</v>
      </c>
      <c r="L99" s="653" t="str">
        <f t="shared" si="16"/>
        <v>T4高</v>
      </c>
      <c r="M99" s="653">
        <f t="shared" si="17"/>
        <v>3</v>
      </c>
      <c r="N99" s="188">
        <f t="shared" si="18"/>
        <v>2.4023529411764706</v>
      </c>
      <c r="P99" s="653" t="s">
        <v>3121</v>
      </c>
      <c r="Q99" s="653">
        <v>4.7176470588235295</v>
      </c>
    </row>
    <row r="100" spans="10:17" x14ac:dyDescent="0.35">
      <c r="J100" s="653">
        <f t="shared" si="14"/>
        <v>9</v>
      </c>
      <c r="K100" s="653" t="str">
        <f t="shared" si="15"/>
        <v>T4高4</v>
      </c>
      <c r="L100" s="653" t="str">
        <f t="shared" si="16"/>
        <v>T4高</v>
      </c>
      <c r="M100" s="653">
        <f t="shared" si="17"/>
        <v>4</v>
      </c>
      <c r="N100" s="188">
        <f t="shared" si="18"/>
        <v>2.5164705882352942</v>
      </c>
      <c r="P100" s="653" t="s">
        <v>3105</v>
      </c>
      <c r="Q100" s="188">
        <v>4.7542857142857144</v>
      </c>
    </row>
    <row r="101" spans="10:17" x14ac:dyDescent="0.35">
      <c r="J101" s="653">
        <f t="shared" si="14"/>
        <v>9</v>
      </c>
      <c r="K101" s="653" t="str">
        <f t="shared" si="15"/>
        <v>T4高5</v>
      </c>
      <c r="L101" s="653" t="str">
        <f t="shared" si="16"/>
        <v>T4高</v>
      </c>
      <c r="M101" s="653">
        <f t="shared" si="17"/>
        <v>5</v>
      </c>
      <c r="N101" s="188">
        <f t="shared" si="18"/>
        <v>2.6305882352941179</v>
      </c>
      <c r="P101" s="653" t="s">
        <v>3109</v>
      </c>
      <c r="Q101" s="188">
        <v>4.8</v>
      </c>
    </row>
    <row r="102" spans="10:17" x14ac:dyDescent="0.35">
      <c r="J102" s="653">
        <f t="shared" si="14"/>
        <v>9</v>
      </c>
      <c r="K102" s="653" t="str">
        <f t="shared" si="15"/>
        <v>T4高6</v>
      </c>
      <c r="L102" s="653" t="str">
        <f t="shared" si="16"/>
        <v>T4高</v>
      </c>
      <c r="M102" s="653">
        <f t="shared" si="17"/>
        <v>6</v>
      </c>
      <c r="N102" s="188">
        <f t="shared" si="18"/>
        <v>2.7447058823529411</v>
      </c>
      <c r="P102" s="653" t="s">
        <v>1052</v>
      </c>
      <c r="Q102" s="653">
        <v>4.8</v>
      </c>
    </row>
    <row r="103" spans="10:17" x14ac:dyDescent="0.35">
      <c r="J103" s="653">
        <f t="shared" si="14"/>
        <v>9</v>
      </c>
      <c r="K103" s="653" t="str">
        <f t="shared" si="15"/>
        <v>T4高7</v>
      </c>
      <c r="L103" s="653" t="str">
        <f t="shared" si="16"/>
        <v>T4高</v>
      </c>
      <c r="M103" s="653">
        <f t="shared" si="17"/>
        <v>7</v>
      </c>
      <c r="N103" s="188">
        <f t="shared" si="18"/>
        <v>2.8588235294117648</v>
      </c>
      <c r="P103" s="653" t="s">
        <v>1061</v>
      </c>
      <c r="Q103" s="653">
        <v>4.8559999999999999</v>
      </c>
    </row>
    <row r="104" spans="10:17" x14ac:dyDescent="0.35">
      <c r="J104" s="653">
        <f t="shared" si="14"/>
        <v>9</v>
      </c>
      <c r="K104" s="653" t="str">
        <f t="shared" si="15"/>
        <v>T4高8</v>
      </c>
      <c r="L104" s="653" t="str">
        <f t="shared" si="16"/>
        <v>T4高</v>
      </c>
      <c r="M104" s="653">
        <f t="shared" si="17"/>
        <v>8</v>
      </c>
      <c r="N104" s="188">
        <f t="shared" si="18"/>
        <v>2.972941176470588</v>
      </c>
      <c r="P104" s="653" t="s">
        <v>1067</v>
      </c>
      <c r="Q104" s="653">
        <v>4.8839999999999995</v>
      </c>
    </row>
    <row r="105" spans="10:17" x14ac:dyDescent="0.35">
      <c r="J105" s="653">
        <f t="shared" si="14"/>
        <v>9</v>
      </c>
      <c r="K105" s="653" t="str">
        <f t="shared" si="15"/>
        <v>T4高9</v>
      </c>
      <c r="L105" s="653" t="str">
        <f t="shared" si="16"/>
        <v>T4高</v>
      </c>
      <c r="M105" s="653">
        <f t="shared" si="17"/>
        <v>9</v>
      </c>
      <c r="N105" s="188">
        <f t="shared" si="18"/>
        <v>3.0870588235294116</v>
      </c>
      <c r="P105" s="653" t="s">
        <v>3112</v>
      </c>
      <c r="Q105" s="653">
        <v>4.8870588235294115</v>
      </c>
    </row>
    <row r="106" spans="10:17" x14ac:dyDescent="0.35">
      <c r="J106" s="653">
        <f t="shared" si="14"/>
        <v>9</v>
      </c>
      <c r="K106" s="653" t="str">
        <f t="shared" si="15"/>
        <v>T4高10</v>
      </c>
      <c r="L106" s="653" t="str">
        <f t="shared" si="16"/>
        <v>T4高</v>
      </c>
      <c r="M106" s="653">
        <f t="shared" si="17"/>
        <v>10</v>
      </c>
      <c r="N106" s="188">
        <f t="shared" si="18"/>
        <v>3.2011764705882353</v>
      </c>
      <c r="P106" s="653" t="s">
        <v>3098</v>
      </c>
      <c r="Q106" s="188">
        <v>4.9057142857142857</v>
      </c>
    </row>
    <row r="107" spans="10:17" x14ac:dyDescent="0.35">
      <c r="J107" s="653">
        <f t="shared" si="14"/>
        <v>9</v>
      </c>
      <c r="K107" s="653" t="str">
        <f t="shared" si="15"/>
        <v>T4高11</v>
      </c>
      <c r="L107" s="653" t="str">
        <f t="shared" si="16"/>
        <v>T4高</v>
      </c>
      <c r="M107" s="653">
        <f t="shared" si="17"/>
        <v>11</v>
      </c>
      <c r="N107" s="188">
        <f t="shared" si="18"/>
        <v>3.3152941176470589</v>
      </c>
      <c r="P107" s="653" t="s">
        <v>3122</v>
      </c>
      <c r="Q107" s="653">
        <v>4.945882352941176</v>
      </c>
    </row>
    <row r="108" spans="10:17" x14ac:dyDescent="0.35">
      <c r="J108" s="653">
        <f t="shared" si="14"/>
        <v>9</v>
      </c>
      <c r="K108" s="653" t="str">
        <f t="shared" si="15"/>
        <v>T4高12</v>
      </c>
      <c r="L108" s="653" t="str">
        <f t="shared" si="16"/>
        <v>T4高</v>
      </c>
      <c r="M108" s="653">
        <f t="shared" si="17"/>
        <v>12</v>
      </c>
      <c r="N108" s="188">
        <f t="shared" si="18"/>
        <v>3.4294117647058826</v>
      </c>
      <c r="P108" s="653" t="s">
        <v>3106</v>
      </c>
      <c r="Q108" s="188">
        <v>4.9828571428571422</v>
      </c>
    </row>
    <row r="109" spans="10:17" x14ac:dyDescent="0.35">
      <c r="J109" s="653">
        <f t="shared" si="14"/>
        <v>9</v>
      </c>
      <c r="K109" s="653" t="str">
        <f t="shared" si="15"/>
        <v>T4高13</v>
      </c>
      <c r="L109" s="653" t="str">
        <f t="shared" si="16"/>
        <v>T4高</v>
      </c>
      <c r="M109" s="653">
        <f t="shared" si="17"/>
        <v>13</v>
      </c>
      <c r="N109" s="188">
        <f t="shared" si="18"/>
        <v>3.5435294117647058</v>
      </c>
      <c r="P109" s="653" t="s">
        <v>1053</v>
      </c>
      <c r="Q109" s="653">
        <v>5</v>
      </c>
    </row>
    <row r="110" spans="10:17" x14ac:dyDescent="0.35">
      <c r="J110" s="653">
        <f t="shared" si="14"/>
        <v>9</v>
      </c>
      <c r="K110" s="653" t="str">
        <f t="shared" si="15"/>
        <v>T4高14</v>
      </c>
      <c r="L110" s="653" t="str">
        <f t="shared" si="16"/>
        <v>T4高</v>
      </c>
      <c r="M110" s="653">
        <f t="shared" si="17"/>
        <v>14</v>
      </c>
      <c r="N110" s="188">
        <f t="shared" si="18"/>
        <v>3.657647058823529</v>
      </c>
      <c r="P110" s="653" t="s">
        <v>1062</v>
      </c>
      <c r="Q110" s="653">
        <v>5.0699999999999994</v>
      </c>
    </row>
    <row r="111" spans="10:17" x14ac:dyDescent="0.35">
      <c r="J111" s="653">
        <f t="shared" si="14"/>
        <v>9</v>
      </c>
      <c r="K111" s="653" t="str">
        <f t="shared" si="15"/>
        <v>T4高15</v>
      </c>
      <c r="L111" s="653" t="str">
        <f t="shared" si="16"/>
        <v>T4高</v>
      </c>
      <c r="M111" s="653">
        <f t="shared" si="17"/>
        <v>15</v>
      </c>
      <c r="N111" s="188">
        <f t="shared" si="18"/>
        <v>3.7717647058823527</v>
      </c>
      <c r="P111" s="653" t="s">
        <v>3113</v>
      </c>
      <c r="Q111" s="653">
        <v>5.1011764705882356</v>
      </c>
    </row>
    <row r="112" spans="10:17" x14ac:dyDescent="0.35">
      <c r="J112" s="653">
        <f t="shared" si="14"/>
        <v>9</v>
      </c>
      <c r="K112" s="653" t="str">
        <f t="shared" si="15"/>
        <v>T4高16</v>
      </c>
      <c r="L112" s="653" t="str">
        <f t="shared" si="16"/>
        <v>T4高</v>
      </c>
      <c r="M112" s="653">
        <f t="shared" si="17"/>
        <v>16</v>
      </c>
      <c r="N112" s="188">
        <f t="shared" si="18"/>
        <v>3.8858823529411763</v>
      </c>
      <c r="P112" s="653" t="s">
        <v>3149</v>
      </c>
      <c r="Q112" s="653">
        <v>5.1119999999999992</v>
      </c>
    </row>
    <row r="113" spans="10:17" x14ac:dyDescent="0.35">
      <c r="J113" s="653">
        <f t="shared" si="14"/>
        <v>9</v>
      </c>
      <c r="K113" s="653" t="str">
        <f t="shared" si="15"/>
        <v>T4高17</v>
      </c>
      <c r="L113" s="653" t="str">
        <f t="shared" si="16"/>
        <v>T4高</v>
      </c>
      <c r="M113" s="653">
        <f t="shared" si="17"/>
        <v>17</v>
      </c>
      <c r="N113" s="188">
        <f t="shared" si="18"/>
        <v>4</v>
      </c>
      <c r="P113" s="653" t="s">
        <v>3099</v>
      </c>
      <c r="Q113" s="188">
        <v>5.1199999999999992</v>
      </c>
    </row>
    <row r="114" spans="10:17" x14ac:dyDescent="0.35">
      <c r="J114" s="653">
        <f t="shared" si="14"/>
        <v>10</v>
      </c>
      <c r="K114" s="653" t="str">
        <f t="shared" si="15"/>
        <v>T5低0</v>
      </c>
      <c r="L114" s="653" t="str">
        <f t="shared" si="16"/>
        <v>T5低</v>
      </c>
      <c r="M114" s="653">
        <f t="shared" si="17"/>
        <v>0</v>
      </c>
      <c r="N114" s="188">
        <f t="shared" si="18"/>
        <v>2.4</v>
      </c>
      <c r="P114" s="653" t="s">
        <v>3123</v>
      </c>
      <c r="Q114" s="653">
        <v>5.1741176470588233</v>
      </c>
    </row>
    <row r="115" spans="10:17" x14ac:dyDescent="0.35">
      <c r="J115" s="653">
        <f t="shared" si="14"/>
        <v>10</v>
      </c>
      <c r="K115" s="653" t="str">
        <f t="shared" si="15"/>
        <v>T5低1</v>
      </c>
      <c r="L115" s="653" t="str">
        <f t="shared" si="16"/>
        <v>T5低</v>
      </c>
      <c r="M115" s="653">
        <f t="shared" si="17"/>
        <v>1</v>
      </c>
      <c r="N115" s="188">
        <f t="shared" si="18"/>
        <v>2.5</v>
      </c>
      <c r="P115" s="653" t="s">
        <v>1054</v>
      </c>
      <c r="Q115" s="653">
        <v>5.2</v>
      </c>
    </row>
    <row r="116" spans="10:17" x14ac:dyDescent="0.35">
      <c r="J116" s="653">
        <f t="shared" si="14"/>
        <v>10</v>
      </c>
      <c r="K116" s="653" t="str">
        <f t="shared" si="15"/>
        <v>T5低2</v>
      </c>
      <c r="L116" s="653" t="str">
        <f t="shared" si="16"/>
        <v>T5低</v>
      </c>
      <c r="M116" s="653">
        <f t="shared" si="17"/>
        <v>2</v>
      </c>
      <c r="N116" s="188">
        <f t="shared" si="18"/>
        <v>2.6</v>
      </c>
      <c r="P116" s="653" t="s">
        <v>3107</v>
      </c>
      <c r="Q116" s="188">
        <v>5.2114285714285709</v>
      </c>
    </row>
    <row r="117" spans="10:17" x14ac:dyDescent="0.35">
      <c r="J117" s="653">
        <f t="shared" si="14"/>
        <v>10</v>
      </c>
      <c r="K117" s="653" t="str">
        <f t="shared" si="15"/>
        <v>T5低3</v>
      </c>
      <c r="L117" s="653" t="str">
        <f t="shared" si="16"/>
        <v>T5低</v>
      </c>
      <c r="M117" s="653">
        <f t="shared" si="17"/>
        <v>3</v>
      </c>
      <c r="N117" s="188">
        <f t="shared" si="18"/>
        <v>2.7</v>
      </c>
      <c r="P117" s="653" t="s">
        <v>1063</v>
      </c>
      <c r="Q117" s="653">
        <v>5.2839999999999989</v>
      </c>
    </row>
    <row r="118" spans="10:17" x14ac:dyDescent="0.35">
      <c r="J118" s="653">
        <f t="shared" si="14"/>
        <v>10</v>
      </c>
      <c r="K118" s="653" t="str">
        <f t="shared" si="15"/>
        <v>T5低4</v>
      </c>
      <c r="L118" s="653" t="str">
        <f t="shared" si="16"/>
        <v>T5低</v>
      </c>
      <c r="M118" s="653">
        <f t="shared" si="17"/>
        <v>4</v>
      </c>
      <c r="N118" s="188">
        <f t="shared" si="18"/>
        <v>2.8</v>
      </c>
      <c r="P118" s="653" t="s">
        <v>3114</v>
      </c>
      <c r="Q118" s="653">
        <v>5.3152941176470581</v>
      </c>
    </row>
    <row r="119" spans="10:17" x14ac:dyDescent="0.35">
      <c r="J119" s="653">
        <f t="shared" si="14"/>
        <v>10</v>
      </c>
      <c r="K119" s="653" t="str">
        <f t="shared" si="15"/>
        <v>T5低5</v>
      </c>
      <c r="L119" s="653" t="str">
        <f t="shared" si="16"/>
        <v>T5低</v>
      </c>
      <c r="M119" s="653">
        <f t="shared" si="17"/>
        <v>5</v>
      </c>
      <c r="N119" s="188">
        <f t="shared" si="18"/>
        <v>2.9</v>
      </c>
      <c r="P119" s="653" t="s">
        <v>1073</v>
      </c>
      <c r="Q119" s="653">
        <v>5.339999999999999</v>
      </c>
    </row>
    <row r="120" spans="10:17" x14ac:dyDescent="0.35">
      <c r="J120" s="653">
        <f t="shared" si="14"/>
        <v>10</v>
      </c>
      <c r="K120" s="653" t="str">
        <f t="shared" si="15"/>
        <v>T5低6</v>
      </c>
      <c r="L120" s="653" t="str">
        <f t="shared" si="16"/>
        <v>T5低</v>
      </c>
      <c r="M120" s="653">
        <f t="shared" si="17"/>
        <v>6</v>
      </c>
      <c r="N120" s="188">
        <f t="shared" si="18"/>
        <v>3</v>
      </c>
      <c r="P120" s="653" t="s">
        <v>1055</v>
      </c>
      <c r="Q120" s="653">
        <v>5.4</v>
      </c>
    </row>
    <row r="121" spans="10:17" x14ac:dyDescent="0.35">
      <c r="J121" s="653">
        <f t="shared" si="14"/>
        <v>10</v>
      </c>
      <c r="K121" s="653" t="str">
        <f t="shared" si="15"/>
        <v>T5低7</v>
      </c>
      <c r="L121" s="653" t="str">
        <f t="shared" si="16"/>
        <v>T5低</v>
      </c>
      <c r="M121" s="653">
        <f t="shared" si="17"/>
        <v>7</v>
      </c>
      <c r="N121" s="188">
        <f t="shared" si="18"/>
        <v>3.1</v>
      </c>
      <c r="P121" s="653" t="s">
        <v>3124</v>
      </c>
      <c r="Q121" s="653">
        <v>5.4023529411764706</v>
      </c>
    </row>
    <row r="122" spans="10:17" x14ac:dyDescent="0.35">
      <c r="J122" s="653">
        <f t="shared" si="14"/>
        <v>10</v>
      </c>
      <c r="K122" s="653" t="str">
        <f t="shared" si="15"/>
        <v>T5低8</v>
      </c>
      <c r="L122" s="653" t="str">
        <f t="shared" si="16"/>
        <v>T5低</v>
      </c>
      <c r="M122" s="653">
        <f t="shared" si="17"/>
        <v>8</v>
      </c>
      <c r="N122" s="188">
        <f t="shared" si="18"/>
        <v>3.2</v>
      </c>
      <c r="P122" s="653" t="s">
        <v>3108</v>
      </c>
      <c r="Q122" s="188">
        <v>5.4399999999999995</v>
      </c>
    </row>
    <row r="123" spans="10:17" x14ac:dyDescent="0.35">
      <c r="J123" s="653">
        <f t="shared" si="14"/>
        <v>10</v>
      </c>
      <c r="K123" s="653" t="str">
        <f t="shared" si="15"/>
        <v>T5低9</v>
      </c>
      <c r="L123" s="653" t="str">
        <f t="shared" si="16"/>
        <v>T5低</v>
      </c>
      <c r="M123" s="653">
        <f t="shared" si="17"/>
        <v>9</v>
      </c>
      <c r="N123" s="188">
        <f t="shared" si="18"/>
        <v>3.3</v>
      </c>
      <c r="P123" s="653" t="s">
        <v>3135</v>
      </c>
      <c r="Q123" s="653">
        <v>5.4979999999999993</v>
      </c>
    </row>
    <row r="124" spans="10:17" x14ac:dyDescent="0.35">
      <c r="J124" s="653">
        <f t="shared" si="14"/>
        <v>10</v>
      </c>
      <c r="K124" s="653" t="str">
        <f t="shared" si="15"/>
        <v>T5低10</v>
      </c>
      <c r="L124" s="653" t="str">
        <f t="shared" si="16"/>
        <v>T5低</v>
      </c>
      <c r="M124" s="653">
        <f t="shared" si="17"/>
        <v>10</v>
      </c>
      <c r="N124" s="188">
        <f t="shared" si="18"/>
        <v>3.4000000000000004</v>
      </c>
      <c r="P124" s="653" t="s">
        <v>3115</v>
      </c>
      <c r="Q124" s="653">
        <v>5.5294117647058822</v>
      </c>
    </row>
    <row r="125" spans="10:17" x14ac:dyDescent="0.35">
      <c r="J125" s="653">
        <f t="shared" si="14"/>
        <v>10</v>
      </c>
      <c r="K125" s="653" t="str">
        <f t="shared" si="15"/>
        <v>T5低11</v>
      </c>
      <c r="L125" s="653" t="str">
        <f t="shared" si="16"/>
        <v>T5低</v>
      </c>
      <c r="M125" s="653">
        <f t="shared" si="17"/>
        <v>11</v>
      </c>
      <c r="N125" s="188">
        <f t="shared" si="18"/>
        <v>3.5</v>
      </c>
      <c r="P125" s="653" t="s">
        <v>1075</v>
      </c>
      <c r="Q125" s="653">
        <v>5.5679999999999987</v>
      </c>
    </row>
    <row r="126" spans="10:17" x14ac:dyDescent="0.35">
      <c r="J126" s="653">
        <f t="shared" si="14"/>
        <v>10</v>
      </c>
      <c r="K126" s="653" t="str">
        <f t="shared" si="15"/>
        <v>T5低12</v>
      </c>
      <c r="L126" s="653" t="str">
        <f t="shared" si="16"/>
        <v>T5低</v>
      </c>
      <c r="M126" s="653">
        <f t="shared" si="17"/>
        <v>12</v>
      </c>
      <c r="N126" s="188">
        <f t="shared" si="18"/>
        <v>3.6</v>
      </c>
      <c r="P126" s="653" t="s">
        <v>1056</v>
      </c>
      <c r="Q126" s="653">
        <v>5.6</v>
      </c>
    </row>
    <row r="127" spans="10:17" x14ac:dyDescent="0.35">
      <c r="J127" s="653">
        <f t="shared" si="14"/>
        <v>11</v>
      </c>
      <c r="K127" s="653" t="str">
        <f t="shared" si="15"/>
        <v>T5中0</v>
      </c>
      <c r="L127" s="653" t="str">
        <f t="shared" si="16"/>
        <v>T5中</v>
      </c>
      <c r="M127" s="653">
        <f t="shared" si="17"/>
        <v>0</v>
      </c>
      <c r="N127" s="188">
        <f t="shared" si="18"/>
        <v>2.4750000000000001</v>
      </c>
      <c r="P127" s="653" t="s">
        <v>3125</v>
      </c>
      <c r="Q127" s="653">
        <v>5.6305882352941179</v>
      </c>
    </row>
    <row r="128" spans="10:17" x14ac:dyDescent="0.35">
      <c r="J128" s="653">
        <f>IF(M127=VLOOKUP(J127,$B$3:$H$15,3,FALSE),J127+1,J127)</f>
        <v>11</v>
      </c>
      <c r="K128" s="653" t="str">
        <f>L128&amp;M128</f>
        <v>T5中1</v>
      </c>
      <c r="L128" s="653" t="str">
        <f>VLOOKUP(J128,$B$3:$H$15,2,FALSE)</f>
        <v>T5中</v>
      </c>
      <c r="M128" s="653">
        <f>IF(J128&lt;&gt;J127,0,M127+1)</f>
        <v>1</v>
      </c>
      <c r="N128" s="188">
        <f>VLOOKUP(J128,$B$3:$H$15,6,FALSE)+M128/VLOOKUP(J128,$B$3:$H$15,3,FALSE)*(VLOOKUP(J128,$B$3:$H$15,7,FALSE)-VLOOKUP(J128,$B$3:$H$15,6,FALSE))</f>
        <v>2.5802499999999999</v>
      </c>
      <c r="P128" s="653" t="s">
        <v>3136</v>
      </c>
      <c r="Q128" s="653">
        <v>5.7119999999999997</v>
      </c>
    </row>
    <row r="129" spans="10:17" x14ac:dyDescent="0.35">
      <c r="J129" s="653">
        <f t="shared" ref="J129:J151" si="19">IF(M128=VLOOKUP(J128,$B$3:$H$15,3,FALSE),J128+1,J128)</f>
        <v>11</v>
      </c>
      <c r="K129" s="653" t="str">
        <f t="shared" ref="K129:K151" si="20">L129&amp;M129</f>
        <v>T5中2</v>
      </c>
      <c r="L129" s="653" t="str">
        <f t="shared" ref="L129:L151" si="21">VLOOKUP(J129,$B$3:$H$15,2,FALSE)</f>
        <v>T5中</v>
      </c>
      <c r="M129" s="653">
        <f t="shared" ref="M129:M151" si="22">IF(J129&lt;&gt;J128,0,M128+1)</f>
        <v>2</v>
      </c>
      <c r="N129" s="188">
        <f t="shared" ref="N129:N151" si="23">VLOOKUP(J129,$B$3:$H$15,6,FALSE)+M129/VLOOKUP(J129,$B$3:$H$15,3,FALSE)*(VLOOKUP(J129,$B$3:$H$15,7,FALSE)-VLOOKUP(J129,$B$3:$H$15,6,FALSE))</f>
        <v>2.6855000000000002</v>
      </c>
      <c r="P129" s="653" t="s">
        <v>3116</v>
      </c>
      <c r="Q129" s="653">
        <v>5.7435294117647056</v>
      </c>
    </row>
    <row r="130" spans="10:17" x14ac:dyDescent="0.35">
      <c r="J130" s="653">
        <f t="shared" si="19"/>
        <v>11</v>
      </c>
      <c r="K130" s="653" t="str">
        <f t="shared" si="20"/>
        <v>T5中3</v>
      </c>
      <c r="L130" s="653" t="str">
        <f t="shared" si="21"/>
        <v>T5中</v>
      </c>
      <c r="M130" s="653">
        <f t="shared" si="22"/>
        <v>3</v>
      </c>
      <c r="N130" s="188">
        <f t="shared" si="23"/>
        <v>2.7907500000000001</v>
      </c>
      <c r="P130" s="653" t="s">
        <v>3150</v>
      </c>
      <c r="Q130" s="653">
        <v>5.7959999999999985</v>
      </c>
    </row>
    <row r="131" spans="10:17" x14ac:dyDescent="0.35">
      <c r="J131" s="653">
        <f t="shared" si="19"/>
        <v>11</v>
      </c>
      <c r="K131" s="653" t="str">
        <f t="shared" si="20"/>
        <v>T5中4</v>
      </c>
      <c r="L131" s="653" t="str">
        <f t="shared" si="21"/>
        <v>T5中</v>
      </c>
      <c r="M131" s="653">
        <f t="shared" si="22"/>
        <v>4</v>
      </c>
      <c r="N131" s="188">
        <f t="shared" si="23"/>
        <v>2.8959999999999999</v>
      </c>
      <c r="P131" s="653" t="s">
        <v>3132</v>
      </c>
      <c r="Q131" s="653">
        <v>5.8000000000000007</v>
      </c>
    </row>
    <row r="132" spans="10:17" x14ac:dyDescent="0.35">
      <c r="J132" s="653">
        <f t="shared" si="19"/>
        <v>11</v>
      </c>
      <c r="K132" s="653" t="str">
        <f t="shared" si="20"/>
        <v>T5中5</v>
      </c>
      <c r="L132" s="653" t="str">
        <f t="shared" si="21"/>
        <v>T5中</v>
      </c>
      <c r="M132" s="653">
        <f t="shared" si="22"/>
        <v>5</v>
      </c>
      <c r="N132" s="188">
        <f t="shared" si="23"/>
        <v>3.0012500000000002</v>
      </c>
      <c r="P132" s="653" t="s">
        <v>3126</v>
      </c>
      <c r="Q132" s="653">
        <v>5.8588235294117652</v>
      </c>
    </row>
    <row r="133" spans="10:17" x14ac:dyDescent="0.35">
      <c r="J133" s="653">
        <f t="shared" si="19"/>
        <v>11</v>
      </c>
      <c r="K133" s="653" t="str">
        <f t="shared" si="20"/>
        <v>T5中6</v>
      </c>
      <c r="L133" s="653" t="str">
        <f t="shared" si="21"/>
        <v>T5中</v>
      </c>
      <c r="M133" s="653">
        <f t="shared" si="22"/>
        <v>6</v>
      </c>
      <c r="N133" s="188">
        <f t="shared" si="23"/>
        <v>3.1065</v>
      </c>
      <c r="P133" s="653" t="s">
        <v>3137</v>
      </c>
      <c r="Q133" s="653">
        <v>5.9259999999999993</v>
      </c>
    </row>
    <row r="134" spans="10:17" x14ac:dyDescent="0.35">
      <c r="J134" s="653">
        <f t="shared" si="19"/>
        <v>11</v>
      </c>
      <c r="K134" s="653" t="str">
        <f t="shared" si="20"/>
        <v>T5中7</v>
      </c>
      <c r="L134" s="653" t="str">
        <f t="shared" si="21"/>
        <v>T5中</v>
      </c>
      <c r="M134" s="653">
        <f t="shared" si="22"/>
        <v>7</v>
      </c>
      <c r="N134" s="188">
        <f t="shared" si="23"/>
        <v>3.2117499999999999</v>
      </c>
      <c r="P134" s="653" t="s">
        <v>3117</v>
      </c>
      <c r="Q134" s="653">
        <v>5.9576470588235289</v>
      </c>
    </row>
    <row r="135" spans="10:17" x14ac:dyDescent="0.35">
      <c r="J135" s="653">
        <f t="shared" si="19"/>
        <v>11</v>
      </c>
      <c r="K135" s="653" t="str">
        <f t="shared" si="20"/>
        <v>T5中8</v>
      </c>
      <c r="L135" s="653" t="str">
        <f t="shared" si="21"/>
        <v>T5中</v>
      </c>
      <c r="M135" s="653">
        <f t="shared" si="22"/>
        <v>8</v>
      </c>
      <c r="N135" s="188">
        <f t="shared" si="23"/>
        <v>3.3170000000000002</v>
      </c>
      <c r="P135" s="653" t="s">
        <v>3133</v>
      </c>
      <c r="Q135" s="653">
        <v>6</v>
      </c>
    </row>
    <row r="136" spans="10:17" x14ac:dyDescent="0.35">
      <c r="J136" s="653">
        <f t="shared" si="19"/>
        <v>11</v>
      </c>
      <c r="K136" s="653" t="str">
        <f t="shared" si="20"/>
        <v>T5中9</v>
      </c>
      <c r="L136" s="653" t="str">
        <f t="shared" si="21"/>
        <v>T5中</v>
      </c>
      <c r="M136" s="653">
        <f t="shared" si="22"/>
        <v>9</v>
      </c>
      <c r="N136" s="188">
        <f t="shared" si="23"/>
        <v>3.42225</v>
      </c>
      <c r="P136" s="653" t="s">
        <v>3151</v>
      </c>
      <c r="Q136" s="653">
        <v>6.0239999999999991</v>
      </c>
    </row>
    <row r="137" spans="10:17" x14ac:dyDescent="0.35">
      <c r="J137" s="653">
        <f t="shared" si="19"/>
        <v>11</v>
      </c>
      <c r="K137" s="653" t="str">
        <f t="shared" si="20"/>
        <v>T5中10</v>
      </c>
      <c r="L137" s="653" t="str">
        <f t="shared" si="21"/>
        <v>T5中</v>
      </c>
      <c r="M137" s="653">
        <f t="shared" si="22"/>
        <v>10</v>
      </c>
      <c r="N137" s="188">
        <f t="shared" si="23"/>
        <v>3.5274999999999999</v>
      </c>
      <c r="P137" s="653" t="s">
        <v>3127</v>
      </c>
      <c r="Q137" s="653">
        <v>6.0870588235294116</v>
      </c>
    </row>
    <row r="138" spans="10:17" x14ac:dyDescent="0.35">
      <c r="J138" s="653">
        <f t="shared" si="19"/>
        <v>11</v>
      </c>
      <c r="K138" s="653" t="str">
        <f t="shared" si="20"/>
        <v>T5中11</v>
      </c>
      <c r="L138" s="653" t="str">
        <f t="shared" si="21"/>
        <v>T5中</v>
      </c>
      <c r="M138" s="653">
        <f t="shared" si="22"/>
        <v>11</v>
      </c>
      <c r="N138" s="188">
        <f t="shared" si="23"/>
        <v>3.6327500000000001</v>
      </c>
      <c r="P138" s="653" t="s">
        <v>3138</v>
      </c>
      <c r="Q138" s="653">
        <v>6.1399999999999988</v>
      </c>
    </row>
    <row r="139" spans="10:17" x14ac:dyDescent="0.35">
      <c r="J139" s="653">
        <f t="shared" si="19"/>
        <v>11</v>
      </c>
      <c r="K139" s="653" t="str">
        <f t="shared" si="20"/>
        <v>T5中12</v>
      </c>
      <c r="L139" s="653" t="str">
        <f t="shared" si="21"/>
        <v>T5中</v>
      </c>
      <c r="M139" s="653">
        <f t="shared" si="22"/>
        <v>12</v>
      </c>
      <c r="N139" s="188">
        <f t="shared" si="23"/>
        <v>3.738</v>
      </c>
      <c r="P139" s="653" t="s">
        <v>3118</v>
      </c>
      <c r="Q139" s="653">
        <v>6.171764705882353</v>
      </c>
    </row>
    <row r="140" spans="10:17" x14ac:dyDescent="0.35">
      <c r="J140" s="653">
        <f t="shared" si="19"/>
        <v>11</v>
      </c>
      <c r="K140" s="653" t="str">
        <f t="shared" si="20"/>
        <v>T5中13</v>
      </c>
      <c r="L140" s="653" t="str">
        <f t="shared" si="21"/>
        <v>T5中</v>
      </c>
      <c r="M140" s="653">
        <f t="shared" si="22"/>
        <v>13</v>
      </c>
      <c r="N140" s="188">
        <f t="shared" si="23"/>
        <v>3.8432500000000003</v>
      </c>
      <c r="P140" s="653" t="s">
        <v>3134</v>
      </c>
      <c r="Q140" s="653">
        <v>6.2</v>
      </c>
    </row>
    <row r="141" spans="10:17" x14ac:dyDescent="0.35">
      <c r="J141" s="653">
        <f t="shared" si="19"/>
        <v>11</v>
      </c>
      <c r="K141" s="653" t="str">
        <f t="shared" si="20"/>
        <v>T5中14</v>
      </c>
      <c r="L141" s="653" t="str">
        <f t="shared" si="21"/>
        <v>T5中</v>
      </c>
      <c r="M141" s="653">
        <f t="shared" si="22"/>
        <v>14</v>
      </c>
      <c r="N141" s="188">
        <f t="shared" si="23"/>
        <v>3.9485000000000001</v>
      </c>
      <c r="P141" s="653" t="s">
        <v>3152</v>
      </c>
      <c r="Q141" s="653">
        <v>6.2519999999999989</v>
      </c>
    </row>
    <row r="142" spans="10:17" x14ac:dyDescent="0.35">
      <c r="J142" s="653">
        <f t="shared" si="19"/>
        <v>11</v>
      </c>
      <c r="K142" s="653" t="str">
        <f t="shared" si="20"/>
        <v>T5中15</v>
      </c>
      <c r="L142" s="653" t="str">
        <f t="shared" si="21"/>
        <v>T5中</v>
      </c>
      <c r="M142" s="653">
        <f t="shared" si="22"/>
        <v>15</v>
      </c>
      <c r="N142" s="188">
        <f t="shared" si="23"/>
        <v>4.05375</v>
      </c>
      <c r="P142" s="653" t="s">
        <v>3128</v>
      </c>
      <c r="Q142" s="653">
        <v>6.3152941176470581</v>
      </c>
    </row>
    <row r="143" spans="10:17" x14ac:dyDescent="0.35">
      <c r="J143" s="653">
        <f t="shared" si="19"/>
        <v>11</v>
      </c>
      <c r="K143" s="653" t="str">
        <f t="shared" si="20"/>
        <v>T5中16</v>
      </c>
      <c r="L143" s="653" t="str">
        <f t="shared" si="21"/>
        <v>T5中</v>
      </c>
      <c r="M143" s="653">
        <f t="shared" si="22"/>
        <v>16</v>
      </c>
      <c r="N143" s="188">
        <f t="shared" si="23"/>
        <v>4.1590000000000007</v>
      </c>
      <c r="P143" s="653" t="s">
        <v>3139</v>
      </c>
      <c r="Q143" s="653">
        <v>6.3539999999999992</v>
      </c>
    </row>
    <row r="144" spans="10:17" x14ac:dyDescent="0.35">
      <c r="J144" s="653">
        <f t="shared" si="19"/>
        <v>11</v>
      </c>
      <c r="K144" s="653" t="str">
        <f t="shared" si="20"/>
        <v>T5中17</v>
      </c>
      <c r="L144" s="653" t="str">
        <f t="shared" si="21"/>
        <v>T5中</v>
      </c>
      <c r="M144" s="653">
        <f t="shared" si="22"/>
        <v>17</v>
      </c>
      <c r="N144" s="188">
        <f t="shared" si="23"/>
        <v>4.2642500000000005</v>
      </c>
      <c r="P144" s="653" t="s">
        <v>3119</v>
      </c>
      <c r="Q144" s="653">
        <v>6.3858823529411755</v>
      </c>
    </row>
    <row r="145" spans="10:17" x14ac:dyDescent="0.35">
      <c r="J145" s="653">
        <f t="shared" si="19"/>
        <v>11</v>
      </c>
      <c r="K145" s="653" t="str">
        <f t="shared" si="20"/>
        <v>T5中18</v>
      </c>
      <c r="L145" s="653" t="str">
        <f t="shared" si="21"/>
        <v>T5中</v>
      </c>
      <c r="M145" s="653">
        <f t="shared" si="22"/>
        <v>18</v>
      </c>
      <c r="N145" s="188">
        <f t="shared" si="23"/>
        <v>4.3695000000000004</v>
      </c>
      <c r="P145" s="653" t="s">
        <v>3153</v>
      </c>
      <c r="Q145" s="653">
        <v>6.4799999999999986</v>
      </c>
    </row>
    <row r="146" spans="10:17" x14ac:dyDescent="0.35">
      <c r="J146" s="653">
        <f t="shared" si="19"/>
        <v>11</v>
      </c>
      <c r="K146" s="653" t="str">
        <f t="shared" si="20"/>
        <v>T5中19</v>
      </c>
      <c r="L146" s="653" t="str">
        <f t="shared" si="21"/>
        <v>T5中</v>
      </c>
      <c r="M146" s="653">
        <f t="shared" si="22"/>
        <v>19</v>
      </c>
      <c r="N146" s="188">
        <f t="shared" si="23"/>
        <v>4.4747500000000002</v>
      </c>
      <c r="P146" s="653" t="s">
        <v>3129</v>
      </c>
      <c r="Q146" s="653">
        <v>6.5435294117647054</v>
      </c>
    </row>
    <row r="147" spans="10:17" x14ac:dyDescent="0.35">
      <c r="J147" s="653">
        <f t="shared" si="19"/>
        <v>11</v>
      </c>
      <c r="K147" s="653" t="str">
        <f t="shared" si="20"/>
        <v>T5中20</v>
      </c>
      <c r="L147" s="653" t="str">
        <f t="shared" si="21"/>
        <v>T5中</v>
      </c>
      <c r="M147" s="653">
        <f t="shared" si="22"/>
        <v>20</v>
      </c>
      <c r="N147" s="188">
        <f t="shared" si="23"/>
        <v>4.58</v>
      </c>
      <c r="P147" s="653" t="s">
        <v>3140</v>
      </c>
      <c r="Q147" s="653">
        <v>6.5679999999999996</v>
      </c>
    </row>
    <row r="148" spans="10:17" x14ac:dyDescent="0.35">
      <c r="J148" s="653">
        <f t="shared" si="19"/>
        <v>12</v>
      </c>
      <c r="K148" s="653" t="str">
        <f t="shared" si="20"/>
        <v>T5高0</v>
      </c>
      <c r="L148" s="653" t="str">
        <f t="shared" si="21"/>
        <v>T5高</v>
      </c>
      <c r="M148" s="653">
        <f t="shared" si="22"/>
        <v>0</v>
      </c>
      <c r="N148" s="188">
        <f t="shared" si="23"/>
        <v>2.6</v>
      </c>
      <c r="P148" s="653" t="s">
        <v>3120</v>
      </c>
      <c r="Q148" s="653">
        <v>6.6</v>
      </c>
    </row>
    <row r="149" spans="10:17" x14ac:dyDescent="0.35">
      <c r="J149" s="653">
        <f t="shared" si="19"/>
        <v>12</v>
      </c>
      <c r="K149" s="653" t="str">
        <f t="shared" si="20"/>
        <v>T5高1</v>
      </c>
      <c r="L149" s="653" t="str">
        <f t="shared" si="21"/>
        <v>T5高</v>
      </c>
      <c r="M149" s="653">
        <f t="shared" si="22"/>
        <v>1</v>
      </c>
      <c r="N149" s="188">
        <f t="shared" si="23"/>
        <v>2.714</v>
      </c>
      <c r="P149" s="653" t="s">
        <v>3154</v>
      </c>
      <c r="Q149" s="653">
        <v>6.7079999999999984</v>
      </c>
    </row>
    <row r="150" spans="10:17" x14ac:dyDescent="0.35">
      <c r="J150" s="653">
        <f t="shared" si="19"/>
        <v>12</v>
      </c>
      <c r="K150" s="653" t="str">
        <f t="shared" si="20"/>
        <v>T5高2</v>
      </c>
      <c r="L150" s="653" t="str">
        <f t="shared" si="21"/>
        <v>T5高</v>
      </c>
      <c r="M150" s="653">
        <f t="shared" si="22"/>
        <v>2</v>
      </c>
      <c r="N150" s="188">
        <f t="shared" si="23"/>
        <v>2.8280000000000003</v>
      </c>
      <c r="P150" s="653" t="s">
        <v>3130</v>
      </c>
      <c r="Q150" s="653">
        <v>6.7717647058823527</v>
      </c>
    </row>
    <row r="151" spans="10:17" x14ac:dyDescent="0.35">
      <c r="J151" s="653">
        <f t="shared" si="19"/>
        <v>12</v>
      </c>
      <c r="K151" s="653" t="str">
        <f t="shared" si="20"/>
        <v>T5高3</v>
      </c>
      <c r="L151" s="653" t="str">
        <f t="shared" si="21"/>
        <v>T5高</v>
      </c>
      <c r="M151" s="653">
        <f t="shared" si="22"/>
        <v>3</v>
      </c>
      <c r="N151" s="188">
        <f t="shared" si="23"/>
        <v>2.9420000000000002</v>
      </c>
      <c r="P151" s="653" t="s">
        <v>3141</v>
      </c>
      <c r="Q151" s="653">
        <v>6.7819999999999991</v>
      </c>
    </row>
    <row r="152" spans="10:17" x14ac:dyDescent="0.35">
      <c r="J152" s="653">
        <f>IF(M151=VLOOKUP(J151,$B$3:$H$15,3,FALSE),J151+1,J151)</f>
        <v>12</v>
      </c>
      <c r="K152" s="653" t="str">
        <f>L152&amp;M152</f>
        <v>T5高4</v>
      </c>
      <c r="L152" s="653" t="str">
        <f>VLOOKUP(J152,$B$3:$H$15,2,FALSE)</f>
        <v>T5高</v>
      </c>
      <c r="M152" s="653">
        <f>IF(J152&lt;&gt;J151,0,M151+1)</f>
        <v>4</v>
      </c>
      <c r="N152" s="188">
        <f>VLOOKUP(J152,$B$3:$H$15,6,FALSE)+M152/VLOOKUP(J152,$B$3:$H$15,3,FALSE)*(VLOOKUP(J152,$B$3:$H$15,7,FALSE)-VLOOKUP(J152,$B$3:$H$15,6,FALSE))</f>
        <v>3.056</v>
      </c>
      <c r="P152" s="653" t="s">
        <v>3155</v>
      </c>
      <c r="Q152" s="653">
        <v>6.9359999999999982</v>
      </c>
    </row>
    <row r="153" spans="10:17" x14ac:dyDescent="0.35">
      <c r="J153" s="653">
        <f t="shared" ref="J153:J168" si="24">IF(M152=VLOOKUP(J152,$B$3:$H$15,3,FALSE),J152+1,J152)</f>
        <v>12</v>
      </c>
      <c r="K153" s="653" t="str">
        <f t="shared" ref="K153:K168" si="25">L153&amp;M153</f>
        <v>T5高5</v>
      </c>
      <c r="L153" s="653" t="str">
        <f t="shared" ref="L153:L168" si="26">VLOOKUP(J153,$B$3:$H$15,2,FALSE)</f>
        <v>T5高</v>
      </c>
      <c r="M153" s="653">
        <f t="shared" ref="M153:M168" si="27">IF(J153&lt;&gt;J152,0,M152+1)</f>
        <v>5</v>
      </c>
      <c r="N153" s="188">
        <f t="shared" ref="N153:N168" si="28">VLOOKUP(J153,$B$3:$H$15,6,FALSE)+M153/VLOOKUP(J153,$B$3:$H$15,3,FALSE)*(VLOOKUP(J153,$B$3:$H$15,7,FALSE)-VLOOKUP(J153,$B$3:$H$15,6,FALSE))</f>
        <v>3.1700000000000004</v>
      </c>
      <c r="P153" s="653" t="s">
        <v>3142</v>
      </c>
      <c r="Q153" s="653">
        <v>6.9959999999999987</v>
      </c>
    </row>
    <row r="154" spans="10:17" x14ac:dyDescent="0.35">
      <c r="J154" s="653">
        <f t="shared" si="24"/>
        <v>12</v>
      </c>
      <c r="K154" s="653" t="str">
        <f t="shared" si="25"/>
        <v>T5高6</v>
      </c>
      <c r="L154" s="653" t="str">
        <f t="shared" si="26"/>
        <v>T5高</v>
      </c>
      <c r="M154" s="653">
        <f t="shared" si="27"/>
        <v>6</v>
      </c>
      <c r="N154" s="188">
        <f t="shared" si="28"/>
        <v>3.2840000000000003</v>
      </c>
      <c r="P154" s="653" t="s">
        <v>3131</v>
      </c>
      <c r="Q154" s="653">
        <v>7</v>
      </c>
    </row>
    <row r="155" spans="10:17" x14ac:dyDescent="0.35">
      <c r="J155" s="653">
        <f t="shared" si="24"/>
        <v>12</v>
      </c>
      <c r="K155" s="653" t="str">
        <f t="shared" si="25"/>
        <v>T5高7</v>
      </c>
      <c r="L155" s="653" t="str">
        <f t="shared" si="26"/>
        <v>T5高</v>
      </c>
      <c r="M155" s="653">
        <f t="shared" si="27"/>
        <v>7</v>
      </c>
      <c r="N155" s="188">
        <f t="shared" si="28"/>
        <v>3.3980000000000001</v>
      </c>
      <c r="P155" s="653" t="s">
        <v>3156</v>
      </c>
      <c r="Q155" s="653">
        <v>7.1639999999999979</v>
      </c>
    </row>
    <row r="156" spans="10:17" x14ac:dyDescent="0.35">
      <c r="J156" s="653">
        <f t="shared" si="24"/>
        <v>12</v>
      </c>
      <c r="K156" s="653" t="str">
        <f t="shared" si="25"/>
        <v>T5高8</v>
      </c>
      <c r="L156" s="653" t="str">
        <f t="shared" si="26"/>
        <v>T5高</v>
      </c>
      <c r="M156" s="653">
        <f t="shared" si="27"/>
        <v>8</v>
      </c>
      <c r="N156" s="188">
        <f t="shared" si="28"/>
        <v>3.5120000000000005</v>
      </c>
      <c r="P156" s="653" t="s">
        <v>3143</v>
      </c>
      <c r="Q156" s="653">
        <v>7.2099999999999991</v>
      </c>
    </row>
    <row r="157" spans="10:17" x14ac:dyDescent="0.35">
      <c r="J157" s="653">
        <f t="shared" si="24"/>
        <v>12</v>
      </c>
      <c r="K157" s="653" t="str">
        <f t="shared" si="25"/>
        <v>T5高9</v>
      </c>
      <c r="L157" s="653" t="str">
        <f t="shared" si="26"/>
        <v>T5高</v>
      </c>
      <c r="M157" s="653">
        <f t="shared" si="27"/>
        <v>9</v>
      </c>
      <c r="N157" s="188">
        <f t="shared" si="28"/>
        <v>3.6260000000000003</v>
      </c>
      <c r="P157" s="653" t="s">
        <v>3157</v>
      </c>
      <c r="Q157" s="653">
        <v>7.3919999999999977</v>
      </c>
    </row>
    <row r="158" spans="10:17" x14ac:dyDescent="0.35">
      <c r="J158" s="653">
        <f t="shared" si="24"/>
        <v>12</v>
      </c>
      <c r="K158" s="653" t="str">
        <f t="shared" si="25"/>
        <v>T5高10</v>
      </c>
      <c r="L158" s="653" t="str">
        <f t="shared" si="26"/>
        <v>T5高</v>
      </c>
      <c r="M158" s="653">
        <f t="shared" si="27"/>
        <v>10</v>
      </c>
      <c r="N158" s="188">
        <f t="shared" si="28"/>
        <v>3.74</v>
      </c>
      <c r="P158" s="653" t="s">
        <v>3144</v>
      </c>
      <c r="Q158" s="653">
        <v>7.4239999999999995</v>
      </c>
    </row>
    <row r="159" spans="10:17" x14ac:dyDescent="0.35">
      <c r="J159" s="653">
        <f t="shared" si="24"/>
        <v>12</v>
      </c>
      <c r="K159" s="653" t="str">
        <f t="shared" si="25"/>
        <v>T5高11</v>
      </c>
      <c r="L159" s="653" t="str">
        <f t="shared" si="26"/>
        <v>T5高</v>
      </c>
      <c r="M159" s="653">
        <f t="shared" si="27"/>
        <v>11</v>
      </c>
      <c r="N159" s="188">
        <f t="shared" si="28"/>
        <v>3.8540000000000005</v>
      </c>
      <c r="P159" s="653" t="s">
        <v>3158</v>
      </c>
      <c r="Q159" s="653">
        <v>7.6199999999999983</v>
      </c>
    </row>
    <row r="160" spans="10:17" x14ac:dyDescent="0.35">
      <c r="J160" s="653">
        <f t="shared" si="24"/>
        <v>12</v>
      </c>
      <c r="K160" s="653" t="str">
        <f t="shared" si="25"/>
        <v>T5高12</v>
      </c>
      <c r="L160" s="653" t="str">
        <f t="shared" si="26"/>
        <v>T5高</v>
      </c>
      <c r="M160" s="653">
        <f t="shared" si="27"/>
        <v>12</v>
      </c>
      <c r="N160" s="188">
        <f t="shared" si="28"/>
        <v>3.9680000000000004</v>
      </c>
      <c r="P160" s="653" t="s">
        <v>3145</v>
      </c>
      <c r="Q160" s="653">
        <v>7.637999999999999</v>
      </c>
    </row>
    <row r="161" spans="10:17" x14ac:dyDescent="0.35">
      <c r="J161" s="653">
        <f t="shared" si="24"/>
        <v>12</v>
      </c>
      <c r="K161" s="653" t="str">
        <f t="shared" si="25"/>
        <v>T5高13</v>
      </c>
      <c r="L161" s="653" t="str">
        <f t="shared" si="26"/>
        <v>T5高</v>
      </c>
      <c r="M161" s="653">
        <f t="shared" si="27"/>
        <v>13</v>
      </c>
      <c r="N161" s="188">
        <f t="shared" si="28"/>
        <v>4.0820000000000007</v>
      </c>
      <c r="P161" s="653" t="s">
        <v>3159</v>
      </c>
      <c r="Q161" s="653">
        <v>7.847999999999999</v>
      </c>
    </row>
    <row r="162" spans="10:17" x14ac:dyDescent="0.35">
      <c r="J162" s="653">
        <f t="shared" si="24"/>
        <v>12</v>
      </c>
      <c r="K162" s="653" t="str">
        <f t="shared" si="25"/>
        <v>T5高14</v>
      </c>
      <c r="L162" s="653" t="str">
        <f t="shared" si="26"/>
        <v>T5高</v>
      </c>
      <c r="M162" s="653">
        <f t="shared" si="27"/>
        <v>14</v>
      </c>
      <c r="N162" s="188">
        <f t="shared" si="28"/>
        <v>4.1960000000000006</v>
      </c>
      <c r="P162" s="653" t="s">
        <v>3146</v>
      </c>
      <c r="Q162" s="653">
        <v>7.8519999999999985</v>
      </c>
    </row>
    <row r="163" spans="10:17" x14ac:dyDescent="0.35">
      <c r="J163" s="653">
        <f t="shared" si="24"/>
        <v>12</v>
      </c>
      <c r="K163" s="653" t="str">
        <f t="shared" si="25"/>
        <v>T5高15</v>
      </c>
      <c r="L163" s="653" t="str">
        <f t="shared" si="26"/>
        <v>T5高</v>
      </c>
      <c r="M163" s="653">
        <f t="shared" si="27"/>
        <v>15</v>
      </c>
      <c r="N163" s="188">
        <f t="shared" si="28"/>
        <v>4.3100000000000005</v>
      </c>
      <c r="P163" s="653" t="s">
        <v>3147</v>
      </c>
      <c r="Q163" s="653">
        <v>8.0659999999999989</v>
      </c>
    </row>
    <row r="164" spans="10:17" x14ac:dyDescent="0.35">
      <c r="J164" s="653">
        <f t="shared" si="24"/>
        <v>12</v>
      </c>
      <c r="K164" s="653" t="str">
        <f t="shared" si="25"/>
        <v>T5高16</v>
      </c>
      <c r="L164" s="653" t="str">
        <f t="shared" si="26"/>
        <v>T5高</v>
      </c>
      <c r="M164" s="653">
        <f t="shared" si="27"/>
        <v>16</v>
      </c>
      <c r="N164" s="188">
        <f t="shared" si="28"/>
        <v>4.4240000000000013</v>
      </c>
      <c r="P164" s="653" t="s">
        <v>3160</v>
      </c>
      <c r="Q164" s="653">
        <v>8.0759999999999987</v>
      </c>
    </row>
    <row r="165" spans="10:17" x14ac:dyDescent="0.35">
      <c r="J165" s="653">
        <f t="shared" si="24"/>
        <v>12</v>
      </c>
      <c r="K165" s="653" t="str">
        <f t="shared" si="25"/>
        <v>T5高17</v>
      </c>
      <c r="L165" s="653" t="str">
        <f t="shared" si="26"/>
        <v>T5高</v>
      </c>
      <c r="M165" s="653">
        <f t="shared" si="27"/>
        <v>17</v>
      </c>
      <c r="N165" s="188">
        <f t="shared" si="28"/>
        <v>4.5380000000000003</v>
      </c>
      <c r="P165" s="653" t="s">
        <v>3148</v>
      </c>
      <c r="Q165" s="653">
        <v>8.2799999999999994</v>
      </c>
    </row>
    <row r="166" spans="10:17" x14ac:dyDescent="0.35">
      <c r="J166" s="653">
        <f t="shared" si="24"/>
        <v>12</v>
      </c>
      <c r="K166" s="653" t="str">
        <f t="shared" si="25"/>
        <v>T5高18</v>
      </c>
      <c r="L166" s="653" t="str">
        <f t="shared" si="26"/>
        <v>T5高</v>
      </c>
      <c r="M166" s="653">
        <f t="shared" si="27"/>
        <v>18</v>
      </c>
      <c r="N166" s="188">
        <f t="shared" si="28"/>
        <v>4.652000000000001</v>
      </c>
      <c r="P166" s="653" t="s">
        <v>3161</v>
      </c>
      <c r="Q166" s="653">
        <v>8.3039999999999985</v>
      </c>
    </row>
    <row r="167" spans="10:17" x14ac:dyDescent="0.35">
      <c r="J167" s="653">
        <f t="shared" si="24"/>
        <v>12</v>
      </c>
      <c r="K167" s="653" t="str">
        <f t="shared" si="25"/>
        <v>T5高19</v>
      </c>
      <c r="L167" s="653" t="str">
        <f t="shared" si="26"/>
        <v>T5高</v>
      </c>
      <c r="M167" s="653">
        <f t="shared" si="27"/>
        <v>19</v>
      </c>
      <c r="N167" s="188">
        <f t="shared" si="28"/>
        <v>4.766</v>
      </c>
      <c r="P167" s="653" t="s">
        <v>3162</v>
      </c>
      <c r="Q167" s="653">
        <v>8.5319999999999983</v>
      </c>
    </row>
    <row r="168" spans="10:17" x14ac:dyDescent="0.35">
      <c r="J168" s="653">
        <f t="shared" si="24"/>
        <v>12</v>
      </c>
      <c r="K168" s="653" t="str">
        <f t="shared" si="25"/>
        <v>T5高20</v>
      </c>
      <c r="L168" s="653" t="str">
        <f t="shared" si="26"/>
        <v>T5高</v>
      </c>
      <c r="M168" s="653">
        <f t="shared" si="27"/>
        <v>20</v>
      </c>
      <c r="N168" s="188">
        <f t="shared" si="28"/>
        <v>4.8800000000000008</v>
      </c>
      <c r="P168" s="653" t="s">
        <v>3163</v>
      </c>
      <c r="Q168" s="653">
        <v>8.759999999999998</v>
      </c>
    </row>
  </sheetData>
  <sortState xmlns:xlrd2="http://schemas.microsoft.com/office/spreadsheetml/2017/richdata2" ref="P2:Q172">
    <sortCondition ref="Q2:Q172"/>
  </sortState>
  <mergeCells count="2">
    <mergeCell ref="B2:H2"/>
    <mergeCell ref="J2:N2"/>
  </mergeCells>
  <phoneticPr fontId="101" type="noConversion"/>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dimension ref="B2:AQ63"/>
  <sheetViews>
    <sheetView workbookViewId="0">
      <selection activeCell="J5" sqref="J5"/>
    </sheetView>
  </sheetViews>
  <sheetFormatPr defaultColWidth="9" defaultRowHeight="13" x14ac:dyDescent="0.35"/>
  <cols>
    <col min="1" max="1" width="9" style="492"/>
    <col min="2" max="2" width="10.453125" style="492" bestFit="1" customWidth="1"/>
    <col min="3" max="6" width="9" style="492" customWidth="1"/>
    <col min="7" max="7" width="10.453125" style="492" bestFit="1" customWidth="1"/>
    <col min="8" max="8" width="9" style="492" customWidth="1"/>
    <col min="9" max="10" width="9" style="492"/>
    <col min="11" max="11" width="11.26953125" style="492" bestFit="1" customWidth="1"/>
    <col min="12" max="12" width="8.81640625" style="492" customWidth="1"/>
    <col min="13" max="16384" width="9" style="492"/>
  </cols>
  <sheetData>
    <row r="2" spans="2:43" ht="15.75" customHeight="1" x14ac:dyDescent="0.35">
      <c r="B2" s="493" t="s">
        <v>2139</v>
      </c>
      <c r="C2" s="495"/>
      <c r="D2" s="750" t="s">
        <v>3222</v>
      </c>
      <c r="E2" s="784"/>
      <c r="F2" s="784"/>
      <c r="G2" s="785"/>
      <c r="H2" s="495"/>
      <c r="I2" s="833" t="s">
        <v>3223</v>
      </c>
      <c r="J2" s="761"/>
      <c r="K2" s="761"/>
      <c r="M2" s="833" t="s">
        <v>3224</v>
      </c>
      <c r="N2" s="761"/>
      <c r="O2" s="761"/>
      <c r="P2" s="761"/>
      <c r="Q2" s="761"/>
      <c r="R2" s="761"/>
      <c r="S2" s="761"/>
      <c r="T2" s="761"/>
      <c r="U2" s="761"/>
      <c r="V2" s="495"/>
      <c r="W2" s="833" t="s">
        <v>3225</v>
      </c>
      <c r="X2" s="833"/>
      <c r="Y2" s="761"/>
      <c r="Z2" s="761"/>
      <c r="AA2" s="761"/>
      <c r="AB2" s="495"/>
      <c r="AC2" s="495"/>
      <c r="AD2" s="750" t="s">
        <v>3226</v>
      </c>
      <c r="AE2" s="784"/>
      <c r="AF2" s="784"/>
      <c r="AG2" s="784"/>
      <c r="AH2" s="785"/>
      <c r="AI2" s="495"/>
    </row>
    <row r="3" spans="2:43" x14ac:dyDescent="0.35">
      <c r="B3" s="228">
        <v>2</v>
      </c>
      <c r="C3" s="499"/>
      <c r="D3" s="671" t="s">
        <v>3218</v>
      </c>
      <c r="E3" s="650" t="s">
        <v>3220</v>
      </c>
      <c r="F3" s="650" t="s">
        <v>3221</v>
      </c>
      <c r="G3" s="650" t="s">
        <v>3240</v>
      </c>
      <c r="H3" s="499"/>
      <c r="I3" s="689" t="s">
        <v>3303</v>
      </c>
      <c r="J3" s="689" t="s">
        <v>3299</v>
      </c>
      <c r="K3" s="679" t="s">
        <v>3206</v>
      </c>
      <c r="M3" s="671" t="s">
        <v>3177</v>
      </c>
      <c r="N3" s="671" t="s">
        <v>3178</v>
      </c>
      <c r="O3" s="671" t="s">
        <v>3180</v>
      </c>
      <c r="P3" s="671" t="s">
        <v>3181</v>
      </c>
      <c r="Q3" s="671" t="s">
        <v>3182</v>
      </c>
      <c r="R3" s="671" t="s">
        <v>3211</v>
      </c>
      <c r="S3" s="703" t="s">
        <v>3405</v>
      </c>
      <c r="T3" s="671" t="s">
        <v>3209</v>
      </c>
      <c r="U3" s="671" t="s">
        <v>3210</v>
      </c>
      <c r="W3" s="671" t="s">
        <v>3204</v>
      </c>
      <c r="X3" s="689" t="s">
        <v>3304</v>
      </c>
      <c r="Y3" s="671" t="s">
        <v>3205</v>
      </c>
      <c r="Z3" s="671" t="s">
        <v>3207</v>
      </c>
      <c r="AA3" s="671" t="s">
        <v>3208</v>
      </c>
      <c r="AB3" s="556"/>
      <c r="AC3" s="689" t="s">
        <v>3302</v>
      </c>
      <c r="AD3" s="671" t="s">
        <v>3212</v>
      </c>
      <c r="AE3" s="671" t="s">
        <v>3213</v>
      </c>
      <c r="AF3" s="671" t="s">
        <v>3214</v>
      </c>
      <c r="AG3" s="671" t="s">
        <v>3216</v>
      </c>
      <c r="AH3" s="671" t="s">
        <v>3217</v>
      </c>
      <c r="AI3" s="676"/>
      <c r="AJ3" s="689" t="s">
        <v>3294</v>
      </c>
      <c r="AK3" s="689" t="s">
        <v>3295</v>
      </c>
      <c r="AL3" s="689" t="s">
        <v>3296</v>
      </c>
      <c r="AM3" s="689" t="s">
        <v>3297</v>
      </c>
      <c r="AN3" s="689" t="s">
        <v>3298</v>
      </c>
      <c r="AO3" s="689" t="s">
        <v>3305</v>
      </c>
      <c r="AP3" s="689" t="s">
        <v>3300</v>
      </c>
      <c r="AQ3" s="689" t="s">
        <v>3301</v>
      </c>
    </row>
    <row r="4" spans="2:43" x14ac:dyDescent="0.35">
      <c r="C4" s="492">
        <f>H4*坦克升星消耗!M6</f>
        <v>13.5</v>
      </c>
      <c r="D4" s="671" t="s">
        <v>3219</v>
      </c>
      <c r="E4" s="648">
        <f>坦克部件养成!R4</f>
        <v>1</v>
      </c>
      <c r="F4" s="648">
        <f>坦克部件养成!S4</f>
        <v>2</v>
      </c>
      <c r="G4" s="648">
        <f>T4</f>
        <v>120</v>
      </c>
      <c r="H4" s="492">
        <f>(G4+$AA$4)/J4</f>
        <v>4.4999999999999998E-2</v>
      </c>
      <c r="I4" s="664">
        <v>1</v>
      </c>
      <c r="J4" s="228">
        <v>3000</v>
      </c>
      <c r="K4" s="664">
        <f>坦克等级成长!J13/坦克等级成长!J14</f>
        <v>0.83333333333333337</v>
      </c>
      <c r="M4" s="648">
        <v>1</v>
      </c>
      <c r="N4" s="8">
        <v>5</v>
      </c>
      <c r="O4" s="648">
        <v>1</v>
      </c>
      <c r="P4" s="695">
        <v>0.04</v>
      </c>
      <c r="Q4" s="648">
        <f>P4*O4+N4*$B$6</f>
        <v>6.5000000000000002E-2</v>
      </c>
      <c r="R4" s="675">
        <f>$B$6</f>
        <v>5.0000000000000001E-3</v>
      </c>
      <c r="S4" s="675"/>
      <c r="T4" s="648">
        <f>P4*J4</f>
        <v>120</v>
      </c>
      <c r="U4" s="648">
        <f>T4*O4+VLOOKUP(N4,$W$3:$AA$63,MATCH("累计属性",$W$3:$AA$3,0),FALSE)</f>
        <v>195</v>
      </c>
      <c r="W4" s="648">
        <v>1</v>
      </c>
      <c r="X4" s="664">
        <v>1</v>
      </c>
      <c r="Y4" s="678">
        <f>VLOOKUP(X4,$M$3:$U$9,MATCH("计算比例",$M$3:$U$3,0),FALSE)</f>
        <v>5.0000000000000001E-3</v>
      </c>
      <c r="Z4" s="648">
        <f>VLOOKUP(X4,$I$3:$K$9,2,FALSE)*Y4</f>
        <v>15</v>
      </c>
      <c r="AA4" s="648">
        <f>Z4</f>
        <v>15</v>
      </c>
      <c r="AB4" s="495"/>
      <c r="AC4" s="664" t="str">
        <f>AE4&amp;"星"</f>
        <v>1星</v>
      </c>
      <c r="AD4" s="671" t="s">
        <v>3215</v>
      </c>
      <c r="AE4" s="648">
        <f>坦克部件养成!$R$4</f>
        <v>1</v>
      </c>
      <c r="AF4" s="648">
        <f>VLOOKUP(AD4,坦克部件养成!$Q$3:$S$6,3,FALSE)</f>
        <v>2</v>
      </c>
      <c r="AG4" s="648">
        <f t="shared" ref="AG4:AG10" si="0">ROUND(IF(AD4&lt;&gt;AD3,VLOOKUP(AD4,$D$3:$G$6,4,FALSE),VLOOKUP(AE4,$M$3:$U$9,MATCH(AG$3,$M$3:$U$3,0),FALSE)),0)</f>
        <v>120</v>
      </c>
      <c r="AH4" s="648">
        <f t="shared" ref="AH4:AH10" si="1">IF(AD4=AD3,AG4+AH3,AG4)</f>
        <v>120</v>
      </c>
      <c r="AI4" s="495"/>
      <c r="AJ4" s="666" t="str">
        <f>坦克个性化设定!B19</f>
        <v>雷诺FT</v>
      </c>
      <c r="AK4" s="666" t="str">
        <f>坦克个性化设定!E19</f>
        <v>T1</v>
      </c>
      <c r="AL4" s="666" t="str">
        <f>坦克个性化细分!J4</f>
        <v>低</v>
      </c>
      <c r="AM4" s="664">
        <f>VLOOKUP(AK4&amp;AL4,坦克等级成长!$P$12:$U$24,MATCH(AM$3,坦克等级成长!$P$12:$U$12,0),FALSE)</f>
        <v>2</v>
      </c>
      <c r="AN4" s="664">
        <f>VLOOKUP(AM4,$M$3:$N$9,2,FALSE)</f>
        <v>10</v>
      </c>
      <c r="AO4" s="664">
        <f>VLOOKUP(AM4,$M$3:$U$9,MATCH(AO$3,$M$3:$U$3,0),FALSE)</f>
        <v>475.2</v>
      </c>
      <c r="AP4" s="664">
        <f>VLOOKUP(AM4,$I$3:$K$9,MATCH(AP$3,$I$3:$K$3,0),FALSE)</f>
        <v>3600</v>
      </c>
      <c r="AQ4" s="664">
        <f>AO4/AP4</f>
        <v>0.13200000000000001</v>
      </c>
    </row>
    <row r="5" spans="2:43" x14ac:dyDescent="0.35">
      <c r="B5" s="671" t="s">
        <v>3179</v>
      </c>
      <c r="C5" s="492">
        <f>H5*坦克升星消耗!M7</f>
        <v>51.7</v>
      </c>
      <c r="D5" s="671" t="s">
        <v>921</v>
      </c>
      <c r="E5" s="648">
        <f>坦克部件养成!R5</f>
        <v>2</v>
      </c>
      <c r="F5" s="648">
        <v>4</v>
      </c>
      <c r="G5" s="671">
        <f>T4*O4+T5</f>
        <v>295.2</v>
      </c>
      <c r="H5" s="492">
        <f>(G5+$AA$4)/J5</f>
        <v>8.6166666666666669E-2</v>
      </c>
      <c r="I5" s="664">
        <v>2</v>
      </c>
      <c r="J5" s="664">
        <f>J4/K4</f>
        <v>3600</v>
      </c>
      <c r="K5" s="664">
        <f>坦克等级成长!J14/坦克等级成长!J16</f>
        <v>0.79999999999999993</v>
      </c>
      <c r="M5" s="648">
        <v>2</v>
      </c>
      <c r="N5" s="8">
        <v>10</v>
      </c>
      <c r="O5" s="698">
        <v>1</v>
      </c>
      <c r="P5" s="695">
        <v>4.2000000000000003E-2</v>
      </c>
      <c r="Q5" s="664">
        <f>P4*O4+P5*O5+N5*$B$6</f>
        <v>0.13200000000000001</v>
      </c>
      <c r="R5" s="675">
        <f>(N5*$B$6-N4*$B$6*J4/J5)/(N5-N4)</f>
        <v>5.8333333333333345E-3</v>
      </c>
      <c r="S5" s="675"/>
      <c r="T5" s="664">
        <f>(J5*(Q5-N5*$B$6)-T4*O4)/O5</f>
        <v>175.2</v>
      </c>
      <c r="U5" s="664">
        <f>T4*O4+T5*O5+VLOOKUP(N5,$W$3:$AA$63,MATCH("累计属性",$W$3:$AA$3,0),FALSE)</f>
        <v>475.2</v>
      </c>
      <c r="W5" s="648">
        <v>2</v>
      </c>
      <c r="X5" s="664">
        <f>IF(VLOOKUP(X4,$M$3:$N$9,2,FALSE)&lt;W5,X4+1,X4)</f>
        <v>1</v>
      </c>
      <c r="Y5" s="678">
        <f t="shared" ref="Y5:Y63" si="2">VLOOKUP(X5,$M$3:$U$9,MATCH("计算比例",$M$3:$U$3,0),FALSE)</f>
        <v>5.0000000000000001E-3</v>
      </c>
      <c r="Z5" s="664">
        <f t="shared" ref="Z5:Z63" si="3">VLOOKUP(X5,$I$3:$K$9,2,FALSE)*Y5</f>
        <v>15</v>
      </c>
      <c r="AA5" s="648">
        <f>Z5+AA4</f>
        <v>30</v>
      </c>
      <c r="AB5" s="495"/>
      <c r="AC5" s="698" t="str">
        <f t="shared" ref="AC5:AC10" si="4">AE5&amp;"星"</f>
        <v>2星</v>
      </c>
      <c r="AD5" s="648" t="str">
        <f t="shared" ref="AD5:AD10" si="5">IF(AE4=AF4,"T"&amp;RIGHT(AD4,1)*1+1,AD4)</f>
        <v>T1</v>
      </c>
      <c r="AE5" s="648">
        <f>IF(AE4&lt;AF4,AE4+1,VLOOKUP(AD5,坦克部件养成!$Q$3:$S$6,2,FALSE))</f>
        <v>2</v>
      </c>
      <c r="AF5" s="648">
        <f>VLOOKUP(AD5,坦克部件养成!$Q$3:$S$6,3,FALSE)</f>
        <v>2</v>
      </c>
      <c r="AG5" s="664">
        <f t="shared" si="0"/>
        <v>175</v>
      </c>
      <c r="AH5" s="648">
        <f t="shared" si="1"/>
        <v>295</v>
      </c>
      <c r="AI5" s="495"/>
      <c r="AJ5" s="666" t="str">
        <f>坦克个性化设定!B20</f>
        <v>二号</v>
      </c>
      <c r="AK5" s="666" t="str">
        <f>坦克个性化设定!E20</f>
        <v>T2</v>
      </c>
      <c r="AL5" s="666" t="str">
        <f>坦克个性化细分!J5</f>
        <v>低</v>
      </c>
      <c r="AM5" s="664">
        <f>VLOOKUP(AK5&amp;AL5,坦克等级成长!$P$12:$U$24,MATCH(AM$3,坦克等级成长!$P$12:$U$12,0),FALSE)</f>
        <v>3</v>
      </c>
      <c r="AN5" s="664">
        <f t="shared" ref="AN5:AN33" si="6">VLOOKUP(AM5,$M$3:$N$9,2,FALSE)</f>
        <v>20</v>
      </c>
      <c r="AO5" s="664">
        <f t="shared" ref="AO5:AO33" si="7">VLOOKUP(AM5,$M$3:$U$9,MATCH(AO$3,$M$3:$U$3,0),FALSE)</f>
        <v>999</v>
      </c>
      <c r="AP5" s="664">
        <f t="shared" ref="AP5:AP33" si="8">VLOOKUP(AM5,$I$3:$K$9,MATCH(AP$3,$I$3:$K$3,0),FALSE)</f>
        <v>4500</v>
      </c>
      <c r="AQ5" s="664">
        <f t="shared" ref="AQ5:AQ33" si="9">AO5/AP5</f>
        <v>0.222</v>
      </c>
    </row>
    <row r="6" spans="2:43" x14ac:dyDescent="0.35">
      <c r="B6" s="225">
        <v>5.0000000000000001E-3</v>
      </c>
      <c r="C6" s="492">
        <f>H6*坦克升星消耗!M9</f>
        <v>225.6</v>
      </c>
      <c r="D6" s="671" t="s">
        <v>922</v>
      </c>
      <c r="E6" s="648">
        <f>坦克部件养成!R6</f>
        <v>3</v>
      </c>
      <c r="F6" s="648">
        <f>坦克部件养成!S6</f>
        <v>5</v>
      </c>
      <c r="G6" s="671">
        <f>T6+T5*O5+T4*O4</f>
        <v>549</v>
      </c>
      <c r="H6" s="492">
        <f>(G6+$AA$4)/J6</f>
        <v>0.12533333333333332</v>
      </c>
      <c r="I6" s="664">
        <v>3</v>
      </c>
      <c r="J6" s="664">
        <f t="shared" ref="J6:J9" si="10">J5/K5</f>
        <v>4500</v>
      </c>
      <c r="K6" s="664">
        <f>坦克等级成长!J16/坦克等级成长!J19</f>
        <v>0.78947368421052633</v>
      </c>
      <c r="M6" s="648">
        <v>3</v>
      </c>
      <c r="N6" s="8">
        <v>20</v>
      </c>
      <c r="O6" s="698">
        <v>1</v>
      </c>
      <c r="P6" s="695">
        <v>0.04</v>
      </c>
      <c r="Q6" s="664">
        <f>P4*O4+P5*O5+P6*O6+N6*$B$6</f>
        <v>0.222</v>
      </c>
      <c r="R6" s="675">
        <f t="shared" ref="R6:R9" si="11">(N6*$B$6-N5*$B$6*J5/J6)/(N6-N5)</f>
        <v>6.0000000000000001E-3</v>
      </c>
      <c r="S6" s="675"/>
      <c r="T6" s="664">
        <f>(J6*(Q6-N6*$B$6)-T5*O5-O4*T4)/O6</f>
        <v>253.8</v>
      </c>
      <c r="U6" s="664">
        <f>T4*O4+T5*O5+T6*O6+VLOOKUP(N6,$W$3:$AA$63,MATCH("累计属性",$W$3:$AA$3,0),FALSE)</f>
        <v>999</v>
      </c>
      <c r="W6" s="648">
        <v>3</v>
      </c>
      <c r="X6" s="664">
        <f t="shared" ref="X6:X63" si="12">IF(VLOOKUP(X5,$M$3:$N$9,2,FALSE)&lt;W6,X5+1,X5)</f>
        <v>1</v>
      </c>
      <c r="Y6" s="678">
        <f t="shared" si="2"/>
        <v>5.0000000000000001E-3</v>
      </c>
      <c r="Z6" s="664">
        <f t="shared" si="3"/>
        <v>15</v>
      </c>
      <c r="AA6" s="648">
        <f t="shared" ref="AA6:AA63" si="13">Z6+AA5</f>
        <v>45</v>
      </c>
      <c r="AB6" s="495"/>
      <c r="AC6" s="698" t="str">
        <f t="shared" si="4"/>
        <v>2星</v>
      </c>
      <c r="AD6" s="698" t="str">
        <f t="shared" si="5"/>
        <v>T2</v>
      </c>
      <c r="AE6" s="698">
        <f>IF(AE5&lt;AF5,AE5+1,VLOOKUP(AD6,坦克部件养成!$Q$3:$S$6,2,FALSE))</f>
        <v>2</v>
      </c>
      <c r="AF6" s="648">
        <f>VLOOKUP(AD6,坦克部件养成!$Q$3:$S$6,3,FALSE)</f>
        <v>3</v>
      </c>
      <c r="AG6" s="664">
        <f t="shared" si="0"/>
        <v>295</v>
      </c>
      <c r="AH6" s="648">
        <f t="shared" si="1"/>
        <v>295</v>
      </c>
      <c r="AI6" s="495"/>
      <c r="AJ6" s="666" t="str">
        <f>坦克个性化设定!B21</f>
        <v>Puma</v>
      </c>
      <c r="AK6" s="666" t="str">
        <f>坦克个性化设定!E21</f>
        <v>T2</v>
      </c>
      <c r="AL6" s="666" t="str">
        <f>坦克个性化细分!J6</f>
        <v>中</v>
      </c>
      <c r="AM6" s="664">
        <f>VLOOKUP(AK6&amp;AL6,坦克等级成长!$P$12:$U$24,MATCH(AM$3,坦克等级成长!$P$12:$U$12,0),FALSE)</f>
        <v>4</v>
      </c>
      <c r="AN6" s="664">
        <f t="shared" si="6"/>
        <v>30</v>
      </c>
      <c r="AO6" s="664">
        <f t="shared" si="7"/>
        <v>1721.3999999999999</v>
      </c>
      <c r="AP6" s="664">
        <f t="shared" si="8"/>
        <v>5700</v>
      </c>
      <c r="AQ6" s="664">
        <f t="shared" si="9"/>
        <v>0.30199999999999999</v>
      </c>
    </row>
    <row r="7" spans="2:43" x14ac:dyDescent="0.35">
      <c r="I7" s="664">
        <v>4</v>
      </c>
      <c r="J7" s="664">
        <f t="shared" si="10"/>
        <v>5700</v>
      </c>
      <c r="K7" s="664">
        <f>坦克等级成长!J19/坦克等级成长!J22</f>
        <v>0.79166666666666663</v>
      </c>
      <c r="M7" s="648">
        <v>4</v>
      </c>
      <c r="N7" s="8">
        <v>30</v>
      </c>
      <c r="O7" s="698">
        <v>1</v>
      </c>
      <c r="P7" s="695">
        <v>0.03</v>
      </c>
      <c r="Q7" s="664">
        <f>P4*O4+P5*O5+P6*O6+P7*O7+N7*$B$6</f>
        <v>0.30199999999999999</v>
      </c>
      <c r="R7" s="675">
        <f t="shared" si="11"/>
        <v>7.1052631578947369E-3</v>
      </c>
      <c r="S7" s="675"/>
      <c r="T7" s="664">
        <f>(J7*(Q7-N7*$B$6)-T6*O6-O5*T5-O4*T4)/O7</f>
        <v>317.39999999999992</v>
      </c>
      <c r="U7" s="664">
        <f>T4*O4+T5*O5+T6*O6+T7*O7+VLOOKUP(N7,$W$3:$AA$63,MATCH("累计属性",$W$3:$AA$3,0),FALSE)</f>
        <v>1721.3999999999999</v>
      </c>
      <c r="W7" s="648">
        <v>4</v>
      </c>
      <c r="X7" s="664">
        <f t="shared" si="12"/>
        <v>1</v>
      </c>
      <c r="Y7" s="678">
        <f t="shared" si="2"/>
        <v>5.0000000000000001E-3</v>
      </c>
      <c r="Z7" s="664">
        <f t="shared" si="3"/>
        <v>15</v>
      </c>
      <c r="AA7" s="648">
        <f t="shared" si="13"/>
        <v>60</v>
      </c>
      <c r="AB7" s="495"/>
      <c r="AC7" s="698" t="str">
        <f t="shared" si="4"/>
        <v>3星</v>
      </c>
      <c r="AD7" s="698" t="str">
        <f t="shared" si="5"/>
        <v>T2</v>
      </c>
      <c r="AE7" s="698">
        <f>IF(AE6&lt;AF6,AE6+1,VLOOKUP(AD7,坦克部件养成!$Q$3:$S$6,2,FALSE))</f>
        <v>3</v>
      </c>
      <c r="AF7" s="648">
        <f>VLOOKUP(AD7,坦克部件养成!$Q$3:$S$6,3,FALSE)</f>
        <v>3</v>
      </c>
      <c r="AG7" s="664">
        <f t="shared" si="0"/>
        <v>254</v>
      </c>
      <c r="AH7" s="648">
        <f t="shared" si="1"/>
        <v>549</v>
      </c>
      <c r="AI7" s="495"/>
      <c r="AJ7" s="666" t="str">
        <f>坦克个性化设定!B22</f>
        <v>35(t)</v>
      </c>
      <c r="AK7" s="666" t="str">
        <f>坦克个性化设定!E22</f>
        <v>T3</v>
      </c>
      <c r="AL7" s="666" t="str">
        <f>坦克个性化细分!J7</f>
        <v>低</v>
      </c>
      <c r="AM7" s="664">
        <f>VLOOKUP(AK7&amp;AL7,坦克等级成长!$P$12:$U$24,MATCH(AM$3,坦克等级成长!$P$12:$U$12,0),FALSE)</f>
        <v>4</v>
      </c>
      <c r="AN7" s="664">
        <f t="shared" si="6"/>
        <v>30</v>
      </c>
      <c r="AO7" s="664">
        <f t="shared" si="7"/>
        <v>1721.3999999999999</v>
      </c>
      <c r="AP7" s="664">
        <f t="shared" si="8"/>
        <v>5700</v>
      </c>
      <c r="AQ7" s="664">
        <f t="shared" si="9"/>
        <v>0.30199999999999999</v>
      </c>
    </row>
    <row r="8" spans="2:43" x14ac:dyDescent="0.35">
      <c r="I8" s="664">
        <v>5</v>
      </c>
      <c r="J8" s="664">
        <f t="shared" si="10"/>
        <v>7200</v>
      </c>
      <c r="K8" s="664">
        <f>坦克等级成长!J22/(坦克等级成长!K22-坦克等级成长!I22*坦克等级成长!E22)</f>
        <v>0.79999999999999993</v>
      </c>
      <c r="M8" s="648">
        <v>5</v>
      </c>
      <c r="N8" s="8">
        <v>45</v>
      </c>
      <c r="O8" s="698">
        <v>1</v>
      </c>
      <c r="P8" s="695">
        <v>2.6999999999999996E-2</v>
      </c>
      <c r="Q8" s="664">
        <f>P4*O4+P5*O5+P6*O6+P7*O7+P8*O8+N8*$B$6</f>
        <v>0.40400000000000003</v>
      </c>
      <c r="R8" s="675">
        <f t="shared" si="11"/>
        <v>7.0833333333333338E-3</v>
      </c>
      <c r="S8" s="675"/>
      <c r="T8" s="664">
        <f>(J8*(Q8-N8*$B$6)-T7*O7-O6*T6-O5*T5-O4*T4)/O8</f>
        <v>422.40000000000032</v>
      </c>
      <c r="U8" s="664">
        <f>T4*O4+T5*O5+T6*O6+T7*O7+T8*O8+VLOOKUP(N8,$W$3:$AA$63,MATCH("累计属性",$W$3:$AA$3,0),FALSE)</f>
        <v>2908.8</v>
      </c>
      <c r="W8" s="648">
        <v>5</v>
      </c>
      <c r="X8" s="664">
        <f t="shared" si="12"/>
        <v>1</v>
      </c>
      <c r="Y8" s="678">
        <f t="shared" si="2"/>
        <v>5.0000000000000001E-3</v>
      </c>
      <c r="Z8" s="664">
        <f t="shared" si="3"/>
        <v>15</v>
      </c>
      <c r="AA8" s="648">
        <f t="shared" si="13"/>
        <v>75</v>
      </c>
      <c r="AB8" s="495"/>
      <c r="AC8" s="698" t="str">
        <f t="shared" si="4"/>
        <v>3星</v>
      </c>
      <c r="AD8" s="698" t="str">
        <f t="shared" si="5"/>
        <v>T3</v>
      </c>
      <c r="AE8" s="698">
        <f>IF(AE7&lt;AF7,AE7+1,VLOOKUP(AD8,坦克部件养成!$Q$3:$S$6,2,FALSE))</f>
        <v>3</v>
      </c>
      <c r="AF8" s="648">
        <f>VLOOKUP(AD8,坦克部件养成!$Q$3:$S$6,3,FALSE)</f>
        <v>5</v>
      </c>
      <c r="AG8" s="664">
        <f t="shared" si="0"/>
        <v>549</v>
      </c>
      <c r="AH8" s="648">
        <f t="shared" si="1"/>
        <v>549</v>
      </c>
      <c r="AI8" s="495"/>
      <c r="AJ8" s="666" t="str">
        <f>坦克个性化设定!B23</f>
        <v>十字军</v>
      </c>
      <c r="AK8" s="666" t="str">
        <f>坦克个性化设定!E23</f>
        <v>T3</v>
      </c>
      <c r="AL8" s="666" t="str">
        <f>坦克个性化细分!J8</f>
        <v>中</v>
      </c>
      <c r="AM8" s="664">
        <f>VLOOKUP(AK8&amp;AL8,坦克等级成长!$P$12:$U$24,MATCH(AM$3,坦克等级成长!$P$12:$U$12,0),FALSE)</f>
        <v>5</v>
      </c>
      <c r="AN8" s="664">
        <f t="shared" si="6"/>
        <v>45</v>
      </c>
      <c r="AO8" s="664">
        <f t="shared" si="7"/>
        <v>2908.8</v>
      </c>
      <c r="AP8" s="664">
        <f t="shared" si="8"/>
        <v>7200</v>
      </c>
      <c r="AQ8" s="664">
        <f t="shared" si="9"/>
        <v>0.40400000000000003</v>
      </c>
    </row>
    <row r="9" spans="2:43" x14ac:dyDescent="0.35">
      <c r="I9" s="664">
        <v>6</v>
      </c>
      <c r="J9" s="664">
        <f t="shared" si="10"/>
        <v>9000</v>
      </c>
      <c r="K9" s="664">
        <v>1</v>
      </c>
      <c r="M9" s="648">
        <v>6</v>
      </c>
      <c r="N9" s="8">
        <v>60</v>
      </c>
      <c r="O9" s="698">
        <v>1</v>
      </c>
      <c r="P9" s="695">
        <v>2.1000000000000001E-2</v>
      </c>
      <c r="Q9" s="664">
        <f>P4*O4+P5*O5+P6*O6+P7*O7+P8*O8+P9*O9+N9*$B$6</f>
        <v>0.5</v>
      </c>
      <c r="R9" s="675">
        <f t="shared" si="11"/>
        <v>8.0000000000000002E-3</v>
      </c>
      <c r="S9" s="675"/>
      <c r="T9" s="664">
        <f>(J9*(Q9-N9*$B$6)-T8*O8-O7*T7-O6*T6-O5*T5-O4*T4)/O9</f>
        <v>511.19999999999982</v>
      </c>
      <c r="U9" s="664">
        <f>T4*O4+T5*O5+T6*O6+T7*O7+T8*O8+T9*O9+VLOOKUP(N9,$W$3:$AA$63,MATCH("累计属性",$W$3:$AA$3,0),FALSE)</f>
        <v>4500</v>
      </c>
      <c r="W9" s="648">
        <v>6</v>
      </c>
      <c r="X9" s="664">
        <f t="shared" si="12"/>
        <v>2</v>
      </c>
      <c r="Y9" s="678">
        <f t="shared" si="2"/>
        <v>5.8333333333333345E-3</v>
      </c>
      <c r="Z9" s="664">
        <f t="shared" si="3"/>
        <v>21.000000000000004</v>
      </c>
      <c r="AA9" s="648">
        <f t="shared" si="13"/>
        <v>96</v>
      </c>
      <c r="AC9" s="698" t="str">
        <f t="shared" si="4"/>
        <v>4星</v>
      </c>
      <c r="AD9" s="698" t="str">
        <f t="shared" si="5"/>
        <v>T3</v>
      </c>
      <c r="AE9" s="698">
        <f>IF(AE8&lt;AF8,AE8+1,VLOOKUP(AD9,坦克部件养成!$Q$3:$S$6,2,FALSE))</f>
        <v>4</v>
      </c>
      <c r="AF9" s="648">
        <f>VLOOKUP(AD9,坦克部件养成!$Q$3:$S$6,3,FALSE)</f>
        <v>5</v>
      </c>
      <c r="AG9" s="664">
        <f t="shared" si="0"/>
        <v>317</v>
      </c>
      <c r="AH9" s="648">
        <f t="shared" si="1"/>
        <v>866</v>
      </c>
      <c r="AJ9" s="666" t="str">
        <f>坦克个性化设定!B24</f>
        <v>AMX-13</v>
      </c>
      <c r="AK9" s="666" t="str">
        <f>坦克个性化设定!E24</f>
        <v>T3</v>
      </c>
      <c r="AL9" s="666" t="str">
        <f>坦克个性化细分!J9</f>
        <v>高</v>
      </c>
      <c r="AM9" s="664">
        <f>VLOOKUP(AK9&amp;AL9,坦克等级成长!$P$12:$U$24,MATCH(AM$3,坦克等级成长!$P$12:$U$12,0),FALSE)</f>
        <v>5</v>
      </c>
      <c r="AN9" s="664">
        <f t="shared" si="6"/>
        <v>45</v>
      </c>
      <c r="AO9" s="664">
        <f t="shared" si="7"/>
        <v>2908.8</v>
      </c>
      <c r="AP9" s="664">
        <f t="shared" si="8"/>
        <v>7200</v>
      </c>
      <c r="AQ9" s="664">
        <f t="shared" si="9"/>
        <v>0.40400000000000003</v>
      </c>
    </row>
    <row r="10" spans="2:43" x14ac:dyDescent="0.35">
      <c r="I10" s="688"/>
      <c r="W10" s="648">
        <v>7</v>
      </c>
      <c r="X10" s="664">
        <f t="shared" si="12"/>
        <v>2</v>
      </c>
      <c r="Y10" s="678">
        <f t="shared" si="2"/>
        <v>5.8333333333333345E-3</v>
      </c>
      <c r="Z10" s="664">
        <f t="shared" si="3"/>
        <v>21.000000000000004</v>
      </c>
      <c r="AA10" s="648">
        <f t="shared" si="13"/>
        <v>117</v>
      </c>
      <c r="AC10" s="698" t="str">
        <f t="shared" si="4"/>
        <v>5星</v>
      </c>
      <c r="AD10" s="698" t="str">
        <f t="shared" si="5"/>
        <v>T3</v>
      </c>
      <c r="AE10" s="698">
        <f>IF(AE9&lt;AF9,AE9+1,VLOOKUP(AD10,坦克部件养成!$Q$3:$S$6,2,FALSE))</f>
        <v>5</v>
      </c>
      <c r="AF10" s="648">
        <f>VLOOKUP(AD10,坦克部件养成!$Q$3:$S$6,3,FALSE)</f>
        <v>5</v>
      </c>
      <c r="AG10" s="664">
        <f t="shared" si="0"/>
        <v>422</v>
      </c>
      <c r="AH10" s="648">
        <f t="shared" si="1"/>
        <v>1288</v>
      </c>
      <c r="AJ10" s="666" t="str">
        <f>坦克个性化设定!B25</f>
        <v>霞飞</v>
      </c>
      <c r="AK10" s="666" t="str">
        <f>坦克个性化设定!E25</f>
        <v>T4</v>
      </c>
      <c r="AL10" s="666" t="str">
        <f>坦克个性化细分!J10</f>
        <v>低</v>
      </c>
      <c r="AM10" s="664">
        <f>VLOOKUP(AK10&amp;AL10,坦克等级成长!$P$12:$U$24,MATCH(AM$3,坦克等级成长!$P$12:$U$12,0),FALSE)</f>
        <v>5</v>
      </c>
      <c r="AN10" s="664">
        <f t="shared" si="6"/>
        <v>45</v>
      </c>
      <c r="AO10" s="664">
        <f t="shared" si="7"/>
        <v>2908.8</v>
      </c>
      <c r="AP10" s="664">
        <f t="shared" si="8"/>
        <v>7200</v>
      </c>
      <c r="AQ10" s="664">
        <f t="shared" si="9"/>
        <v>0.40400000000000003</v>
      </c>
    </row>
    <row r="11" spans="2:43" x14ac:dyDescent="0.35">
      <c r="W11" s="648">
        <v>8</v>
      </c>
      <c r="X11" s="664">
        <f t="shared" si="12"/>
        <v>2</v>
      </c>
      <c r="Y11" s="678">
        <f t="shared" si="2"/>
        <v>5.8333333333333345E-3</v>
      </c>
      <c r="Z11" s="664">
        <f t="shared" si="3"/>
        <v>21.000000000000004</v>
      </c>
      <c r="AA11" s="648">
        <f t="shared" si="13"/>
        <v>138</v>
      </c>
      <c r="AC11" s="698" t="e">
        <f t="shared" ref="AC11:AC13" si="14">AE11&amp;"星"</f>
        <v>#N/A</v>
      </c>
      <c r="AD11" s="698" t="str">
        <f t="shared" ref="AD11:AD13" si="15">IF(AE10=AF10,"T"&amp;RIGHT(AD10,1)*1+1,AD10)</f>
        <v>T4</v>
      </c>
      <c r="AE11" s="698" t="e">
        <f>IF(AE10&lt;AF10,AE10+1,VLOOKUP(AD11,坦克部件养成!$Q$3:$S$6,2,FALSE))</f>
        <v>#N/A</v>
      </c>
      <c r="AF11" s="698" t="e">
        <f>VLOOKUP(AD11,坦克部件养成!$Q$3:$S$6,3,FALSE)</f>
        <v>#N/A</v>
      </c>
      <c r="AG11" s="698" t="e">
        <f t="shared" ref="AG11:AG13" si="16">ROUND(IF(AD11&lt;&gt;AD10,VLOOKUP(AD11,$D$3:$G$6,4,FALSE),VLOOKUP(AE11,$M$3:$U$9,MATCH(AG$3,$M$3:$U$3,0),FALSE)),0)</f>
        <v>#N/A</v>
      </c>
      <c r="AH11" s="698" t="e">
        <f t="shared" ref="AH11:AH13" si="17">IF(AD11=AD10,AG11+AH10,AG11)</f>
        <v>#N/A</v>
      </c>
      <c r="AJ11" s="666" t="str">
        <f>坦克个性化设定!B26</f>
        <v>M-41</v>
      </c>
      <c r="AK11" s="666" t="str">
        <f>坦克个性化设定!E26</f>
        <v>T4</v>
      </c>
      <c r="AL11" s="666" t="str">
        <f>坦克个性化细分!J11</f>
        <v>中</v>
      </c>
      <c r="AM11" s="664">
        <f>VLOOKUP(AK11&amp;AL11,坦克等级成长!$P$12:$U$24,MATCH(AM$3,坦克等级成长!$P$12:$U$12,0),FALSE)</f>
        <v>6</v>
      </c>
      <c r="AN11" s="664">
        <f t="shared" si="6"/>
        <v>60</v>
      </c>
      <c r="AO11" s="664">
        <f t="shared" si="7"/>
        <v>4500</v>
      </c>
      <c r="AP11" s="664">
        <f t="shared" si="8"/>
        <v>9000</v>
      </c>
      <c r="AQ11" s="664">
        <f t="shared" si="9"/>
        <v>0.5</v>
      </c>
    </row>
    <row r="12" spans="2:43" x14ac:dyDescent="0.35">
      <c r="B12" s="688" t="s">
        <v>3409</v>
      </c>
      <c r="W12" s="648">
        <v>9</v>
      </c>
      <c r="X12" s="664">
        <f t="shared" si="12"/>
        <v>2</v>
      </c>
      <c r="Y12" s="678">
        <f t="shared" si="2"/>
        <v>5.8333333333333345E-3</v>
      </c>
      <c r="Z12" s="664">
        <f t="shared" si="3"/>
        <v>21.000000000000004</v>
      </c>
      <c r="AA12" s="648">
        <f t="shared" si="13"/>
        <v>159</v>
      </c>
      <c r="AC12" s="698" t="e">
        <f t="shared" si="14"/>
        <v>#N/A</v>
      </c>
      <c r="AD12" s="698" t="e">
        <f t="shared" si="15"/>
        <v>#N/A</v>
      </c>
      <c r="AE12" s="698" t="e">
        <f>IF(AE11&lt;AF11,AE11+1,VLOOKUP(AD12,坦克部件养成!$Q$3:$S$6,2,FALSE))</f>
        <v>#N/A</v>
      </c>
      <c r="AF12" s="698" t="e">
        <f>VLOOKUP(AD12,坦克部件养成!$Q$3:$S$6,3,FALSE)</f>
        <v>#N/A</v>
      </c>
      <c r="AG12" s="698" t="e">
        <f t="shared" si="16"/>
        <v>#N/A</v>
      </c>
      <c r="AH12" s="698" t="e">
        <f t="shared" si="17"/>
        <v>#N/A</v>
      </c>
      <c r="AJ12" s="666" t="str">
        <f>坦克个性化设定!B27</f>
        <v>BMP-3</v>
      </c>
      <c r="AK12" s="666" t="str">
        <f>坦克个性化设定!E27</f>
        <v>T4</v>
      </c>
      <c r="AL12" s="666" t="str">
        <f>坦克个性化细分!J12</f>
        <v>高</v>
      </c>
      <c r="AM12" s="664">
        <f>VLOOKUP(AK12&amp;AL12,坦克等级成长!$P$12:$U$24,MATCH(AM$3,坦克等级成长!$P$12:$U$12,0),FALSE)</f>
        <v>6</v>
      </c>
      <c r="AN12" s="664">
        <f t="shared" si="6"/>
        <v>60</v>
      </c>
      <c r="AO12" s="664">
        <f t="shared" si="7"/>
        <v>4500</v>
      </c>
      <c r="AP12" s="664">
        <f t="shared" si="8"/>
        <v>9000</v>
      </c>
      <c r="AQ12" s="664">
        <f t="shared" si="9"/>
        <v>0.5</v>
      </c>
    </row>
    <row r="13" spans="2:43" x14ac:dyDescent="0.35">
      <c r="C13" s="688" t="s">
        <v>3410</v>
      </c>
      <c r="D13" s="688" t="s">
        <v>2113</v>
      </c>
      <c r="E13" s="492" t="s">
        <v>3416</v>
      </c>
      <c r="G13" s="711" t="s">
        <v>438</v>
      </c>
      <c r="W13" s="648">
        <v>10</v>
      </c>
      <c r="X13" s="664">
        <f t="shared" si="12"/>
        <v>2</v>
      </c>
      <c r="Y13" s="678">
        <f t="shared" si="2"/>
        <v>5.8333333333333345E-3</v>
      </c>
      <c r="Z13" s="664">
        <f t="shared" si="3"/>
        <v>21.000000000000004</v>
      </c>
      <c r="AA13" s="648">
        <f t="shared" si="13"/>
        <v>180</v>
      </c>
      <c r="AC13" s="698" t="e">
        <f t="shared" si="14"/>
        <v>#N/A</v>
      </c>
      <c r="AD13" s="698" t="e">
        <f t="shared" si="15"/>
        <v>#N/A</v>
      </c>
      <c r="AE13" s="698" t="e">
        <f>IF(AE12&lt;AF12,AE12+1,VLOOKUP(AD13,坦克部件养成!$Q$3:$S$6,2,FALSE))</f>
        <v>#N/A</v>
      </c>
      <c r="AF13" s="698" t="e">
        <f>VLOOKUP(AD13,坦克部件养成!$Q$3:$S$6,3,FALSE)</f>
        <v>#N/A</v>
      </c>
      <c r="AG13" s="698" t="e">
        <f t="shared" si="16"/>
        <v>#N/A</v>
      </c>
      <c r="AH13" s="698" t="e">
        <f t="shared" si="17"/>
        <v>#N/A</v>
      </c>
      <c r="AJ13" s="666" t="str">
        <f>坦克个性化设定!B28</f>
        <v>59式</v>
      </c>
      <c r="AK13" s="666" t="str">
        <f>坦克个性化设定!E28</f>
        <v>T5</v>
      </c>
      <c r="AL13" s="666" t="str">
        <f>坦克个性化细分!J13</f>
        <v>低</v>
      </c>
      <c r="AM13" s="664">
        <f>VLOOKUP(AK13&amp;AL13,坦克等级成长!$P$12:$U$24,MATCH(AM$3,坦克等级成长!$P$12:$U$12,0),FALSE)</f>
        <v>6</v>
      </c>
      <c r="AN13" s="664">
        <f t="shared" si="6"/>
        <v>60</v>
      </c>
      <c r="AO13" s="664">
        <f t="shared" si="7"/>
        <v>4500</v>
      </c>
      <c r="AP13" s="664">
        <f t="shared" si="8"/>
        <v>9000</v>
      </c>
      <c r="AQ13" s="664">
        <f t="shared" si="9"/>
        <v>0.5</v>
      </c>
    </row>
    <row r="14" spans="2:43" x14ac:dyDescent="0.35">
      <c r="C14" s="688" t="s">
        <v>3412</v>
      </c>
      <c r="D14" s="711" t="s">
        <v>438</v>
      </c>
      <c r="E14" s="719" t="s">
        <v>666</v>
      </c>
      <c r="G14" s="717" t="s">
        <v>2113</v>
      </c>
      <c r="W14" s="648">
        <v>11</v>
      </c>
      <c r="X14" s="664">
        <f t="shared" si="12"/>
        <v>3</v>
      </c>
      <c r="Y14" s="678">
        <f t="shared" si="2"/>
        <v>6.0000000000000001E-3</v>
      </c>
      <c r="Z14" s="664">
        <f t="shared" si="3"/>
        <v>27</v>
      </c>
      <c r="AA14" s="648">
        <f t="shared" si="13"/>
        <v>207</v>
      </c>
      <c r="AJ14" s="666" t="str">
        <f>坦克个性化设定!B29</f>
        <v>Stuart</v>
      </c>
      <c r="AK14" s="666" t="str">
        <f>坦克个性化设定!E29</f>
        <v>T1</v>
      </c>
      <c r="AL14" s="666" t="str">
        <f>坦克个性化细分!J14</f>
        <v>低</v>
      </c>
      <c r="AM14" s="664">
        <f>VLOOKUP(AK14&amp;AL14,坦克等级成长!$P$12:$U$24,MATCH(AM$3,坦克等级成长!$P$12:$U$12,0),FALSE)</f>
        <v>2</v>
      </c>
      <c r="AN14" s="664">
        <f t="shared" si="6"/>
        <v>10</v>
      </c>
      <c r="AO14" s="664">
        <f t="shared" si="7"/>
        <v>475.2</v>
      </c>
      <c r="AP14" s="664">
        <f t="shared" si="8"/>
        <v>3600</v>
      </c>
      <c r="AQ14" s="664">
        <f t="shared" si="9"/>
        <v>0.13200000000000001</v>
      </c>
    </row>
    <row r="15" spans="2:43" x14ac:dyDescent="0.35">
      <c r="C15" s="688" t="s">
        <v>3411</v>
      </c>
      <c r="D15" s="717" t="s">
        <v>2110</v>
      </c>
      <c r="E15" s="719" t="s">
        <v>669</v>
      </c>
      <c r="G15" s="712" t="s">
        <v>435</v>
      </c>
      <c r="W15" s="648">
        <v>12</v>
      </c>
      <c r="X15" s="664">
        <f t="shared" si="12"/>
        <v>3</v>
      </c>
      <c r="Y15" s="678">
        <f t="shared" si="2"/>
        <v>6.0000000000000001E-3</v>
      </c>
      <c r="Z15" s="664">
        <f t="shared" si="3"/>
        <v>27</v>
      </c>
      <c r="AA15" s="648">
        <f t="shared" si="13"/>
        <v>234</v>
      </c>
      <c r="AJ15" s="666" t="str">
        <f>坦克个性化设定!B30</f>
        <v>T-34</v>
      </c>
      <c r="AK15" s="666" t="str">
        <f>坦克个性化设定!E30</f>
        <v>T2</v>
      </c>
      <c r="AL15" s="666" t="str">
        <f>坦克个性化细分!J15</f>
        <v>低</v>
      </c>
      <c r="AM15" s="664">
        <f>VLOOKUP(AK15&amp;AL15,坦克等级成长!$P$12:$U$24,MATCH(AM$3,坦克等级成长!$P$12:$U$12,0),FALSE)</f>
        <v>3</v>
      </c>
      <c r="AN15" s="664">
        <f t="shared" si="6"/>
        <v>20</v>
      </c>
      <c r="AO15" s="664">
        <f t="shared" si="7"/>
        <v>999</v>
      </c>
      <c r="AP15" s="664">
        <f t="shared" si="8"/>
        <v>4500</v>
      </c>
      <c r="AQ15" s="664">
        <f t="shared" si="9"/>
        <v>0.222</v>
      </c>
    </row>
    <row r="16" spans="2:43" x14ac:dyDescent="0.35">
      <c r="C16" s="688" t="s">
        <v>3413</v>
      </c>
      <c r="D16" s="717" t="s">
        <v>2113</v>
      </c>
      <c r="E16" s="717" t="s">
        <v>50</v>
      </c>
      <c r="G16" s="711" t="s">
        <v>436</v>
      </c>
      <c r="W16" s="648">
        <v>13</v>
      </c>
      <c r="X16" s="664">
        <f t="shared" si="12"/>
        <v>3</v>
      </c>
      <c r="Y16" s="678">
        <f t="shared" si="2"/>
        <v>6.0000000000000001E-3</v>
      </c>
      <c r="Z16" s="664">
        <f t="shared" si="3"/>
        <v>27</v>
      </c>
      <c r="AA16" s="648">
        <f t="shared" si="13"/>
        <v>261</v>
      </c>
      <c r="AJ16" s="666" t="str">
        <f>坦克个性化设定!B31</f>
        <v>四号</v>
      </c>
      <c r="AK16" s="666" t="str">
        <f>坦克个性化设定!E31</f>
        <v>T2</v>
      </c>
      <c r="AL16" s="666" t="str">
        <f>坦克个性化细分!J16</f>
        <v>中</v>
      </c>
      <c r="AM16" s="664">
        <f>VLOOKUP(AK16&amp;AL16,坦克等级成长!$P$12:$U$24,MATCH(AM$3,坦克等级成长!$P$12:$U$12,0),FALSE)</f>
        <v>4</v>
      </c>
      <c r="AN16" s="664">
        <f t="shared" si="6"/>
        <v>30</v>
      </c>
      <c r="AO16" s="664">
        <f t="shared" si="7"/>
        <v>1721.3999999999999</v>
      </c>
      <c r="AP16" s="664">
        <f t="shared" si="8"/>
        <v>5700</v>
      </c>
      <c r="AQ16" s="664">
        <f t="shared" si="9"/>
        <v>0.30199999999999999</v>
      </c>
    </row>
    <row r="17" spans="3:43" x14ac:dyDescent="0.35">
      <c r="C17" s="688" t="s">
        <v>3414</v>
      </c>
      <c r="D17" s="711" t="s">
        <v>438</v>
      </c>
      <c r="E17" s="716" t="s">
        <v>729</v>
      </c>
      <c r="G17" s="717" t="s">
        <v>2110</v>
      </c>
      <c r="W17" s="648">
        <v>14</v>
      </c>
      <c r="X17" s="664">
        <f t="shared" si="12"/>
        <v>3</v>
      </c>
      <c r="Y17" s="678">
        <f t="shared" si="2"/>
        <v>6.0000000000000001E-3</v>
      </c>
      <c r="Z17" s="664">
        <f t="shared" si="3"/>
        <v>27</v>
      </c>
      <c r="AA17" s="648">
        <f t="shared" si="13"/>
        <v>288</v>
      </c>
      <c r="AJ17" s="666" t="str">
        <f>坦克个性化设定!B32</f>
        <v>玛蒂尔达</v>
      </c>
      <c r="AK17" s="666" t="str">
        <f>坦克个性化设定!E32</f>
        <v>T3</v>
      </c>
      <c r="AL17" s="666" t="str">
        <f>坦克个性化细分!J17</f>
        <v>低</v>
      </c>
      <c r="AM17" s="664">
        <f>VLOOKUP(AK17&amp;AL17,坦克等级成长!$P$12:$U$24,MATCH(AM$3,坦克等级成长!$P$12:$U$12,0),FALSE)</f>
        <v>4</v>
      </c>
      <c r="AN17" s="664">
        <f t="shared" si="6"/>
        <v>30</v>
      </c>
      <c r="AO17" s="664">
        <f t="shared" si="7"/>
        <v>1721.3999999999999</v>
      </c>
      <c r="AP17" s="664">
        <f t="shared" si="8"/>
        <v>5700</v>
      </c>
      <c r="AQ17" s="664">
        <f t="shared" si="9"/>
        <v>0.30199999999999999</v>
      </c>
    </row>
    <row r="18" spans="3:43" x14ac:dyDescent="0.35">
      <c r="C18" s="688" t="s">
        <v>3415</v>
      </c>
      <c r="D18" s="717" t="s">
        <v>2110</v>
      </c>
      <c r="E18" s="711" t="s">
        <v>448</v>
      </c>
      <c r="G18" s="711" t="s">
        <v>448</v>
      </c>
      <c r="W18" s="648">
        <v>15</v>
      </c>
      <c r="X18" s="664">
        <f t="shared" si="12"/>
        <v>3</v>
      </c>
      <c r="Y18" s="678">
        <f t="shared" si="2"/>
        <v>6.0000000000000001E-3</v>
      </c>
      <c r="Z18" s="664">
        <f t="shared" si="3"/>
        <v>27</v>
      </c>
      <c r="AA18" s="648">
        <f t="shared" si="13"/>
        <v>315</v>
      </c>
      <c r="AJ18" s="666" t="str">
        <f>坦克个性化设定!B33</f>
        <v>谢尔曼</v>
      </c>
      <c r="AK18" s="666" t="str">
        <f>坦克个性化设定!E33</f>
        <v>T3</v>
      </c>
      <c r="AL18" s="666" t="str">
        <f>坦克个性化细分!J18</f>
        <v>中</v>
      </c>
      <c r="AM18" s="664">
        <f>VLOOKUP(AK18&amp;AL18,坦克等级成长!$P$12:$U$24,MATCH(AM$3,坦克等级成长!$P$12:$U$12,0),FALSE)</f>
        <v>5</v>
      </c>
      <c r="AN18" s="664">
        <f t="shared" si="6"/>
        <v>45</v>
      </c>
      <c r="AO18" s="664">
        <f t="shared" si="7"/>
        <v>2908.8</v>
      </c>
      <c r="AP18" s="664">
        <f t="shared" si="8"/>
        <v>7200</v>
      </c>
      <c r="AQ18" s="664">
        <f t="shared" si="9"/>
        <v>0.40400000000000003</v>
      </c>
    </row>
    <row r="19" spans="3:43" x14ac:dyDescent="0.35">
      <c r="G19" s="719" t="s">
        <v>666</v>
      </c>
      <c r="W19" s="648">
        <v>16</v>
      </c>
      <c r="X19" s="664">
        <f t="shared" si="12"/>
        <v>3</v>
      </c>
      <c r="Y19" s="678">
        <f t="shared" si="2"/>
        <v>6.0000000000000001E-3</v>
      </c>
      <c r="Z19" s="664">
        <f t="shared" si="3"/>
        <v>27</v>
      </c>
      <c r="AA19" s="648">
        <f t="shared" si="13"/>
        <v>342</v>
      </c>
      <c r="AJ19" s="666" t="str">
        <f>坦克个性化设定!B34</f>
        <v>彗星</v>
      </c>
      <c r="AK19" s="666" t="str">
        <f>坦克个性化设定!E34</f>
        <v>T3</v>
      </c>
      <c r="AL19" s="666" t="str">
        <f>坦克个性化细分!J19</f>
        <v>高</v>
      </c>
      <c r="AM19" s="664">
        <f>VLOOKUP(AK19&amp;AL19,坦克等级成长!$P$12:$U$24,MATCH(AM$3,坦克等级成长!$P$12:$U$12,0),FALSE)</f>
        <v>5</v>
      </c>
      <c r="AN19" s="664">
        <f t="shared" si="6"/>
        <v>45</v>
      </c>
      <c r="AO19" s="664">
        <f t="shared" si="7"/>
        <v>2908.8</v>
      </c>
      <c r="AP19" s="664">
        <f t="shared" si="8"/>
        <v>7200</v>
      </c>
      <c r="AQ19" s="664">
        <f t="shared" si="9"/>
        <v>0.40400000000000003</v>
      </c>
    </row>
    <row r="20" spans="3:43" x14ac:dyDescent="0.35">
      <c r="G20" s="719" t="s">
        <v>669</v>
      </c>
      <c r="W20" s="648">
        <v>17</v>
      </c>
      <c r="X20" s="664">
        <f t="shared" si="12"/>
        <v>3</v>
      </c>
      <c r="Y20" s="678">
        <f t="shared" si="2"/>
        <v>6.0000000000000001E-3</v>
      </c>
      <c r="Z20" s="664">
        <f t="shared" si="3"/>
        <v>27</v>
      </c>
      <c r="AA20" s="648">
        <f t="shared" si="13"/>
        <v>369</v>
      </c>
      <c r="AJ20" s="666" t="str">
        <f>坦克个性化设定!B35</f>
        <v>M-48</v>
      </c>
      <c r="AK20" s="666" t="str">
        <f>坦克个性化设定!E35</f>
        <v>T4</v>
      </c>
      <c r="AL20" s="666" t="str">
        <f>坦克个性化细分!J20</f>
        <v>低</v>
      </c>
      <c r="AM20" s="664">
        <f>VLOOKUP(AK20&amp;AL20,坦克等级成长!$P$12:$U$24,MATCH(AM$3,坦克等级成长!$P$12:$U$12,0),FALSE)</f>
        <v>5</v>
      </c>
      <c r="AN20" s="664">
        <f t="shared" si="6"/>
        <v>45</v>
      </c>
      <c r="AO20" s="664">
        <f t="shared" si="7"/>
        <v>2908.8</v>
      </c>
      <c r="AP20" s="664">
        <f t="shared" si="8"/>
        <v>7200</v>
      </c>
      <c r="AQ20" s="664">
        <f t="shared" si="9"/>
        <v>0.40400000000000003</v>
      </c>
    </row>
    <row r="21" spans="3:43" x14ac:dyDescent="0.35">
      <c r="G21" s="716" t="s">
        <v>729</v>
      </c>
      <c r="W21" s="648">
        <v>18</v>
      </c>
      <c r="X21" s="664">
        <f t="shared" si="12"/>
        <v>3</v>
      </c>
      <c r="Y21" s="678">
        <f t="shared" si="2"/>
        <v>6.0000000000000001E-3</v>
      </c>
      <c r="Z21" s="664">
        <f t="shared" si="3"/>
        <v>27</v>
      </c>
      <c r="AA21" s="648">
        <f t="shared" si="13"/>
        <v>396</v>
      </c>
      <c r="AJ21" s="666" t="str">
        <f>坦克个性化设定!B36</f>
        <v>潘兴</v>
      </c>
      <c r="AK21" s="666" t="str">
        <f>坦克个性化设定!E36</f>
        <v>T4</v>
      </c>
      <c r="AL21" s="666" t="str">
        <f>坦克个性化细分!J21</f>
        <v>中</v>
      </c>
      <c r="AM21" s="664">
        <f>VLOOKUP(AK21&amp;AL21,坦克等级成长!$P$12:$U$24,MATCH(AM$3,坦克等级成长!$P$12:$U$12,0),FALSE)</f>
        <v>6</v>
      </c>
      <c r="AN21" s="664">
        <f t="shared" si="6"/>
        <v>60</v>
      </c>
      <c r="AO21" s="664">
        <f t="shared" si="7"/>
        <v>4500</v>
      </c>
      <c r="AP21" s="664">
        <f t="shared" si="8"/>
        <v>9000</v>
      </c>
      <c r="AQ21" s="664">
        <f t="shared" si="9"/>
        <v>0.5</v>
      </c>
    </row>
    <row r="22" spans="3:43" x14ac:dyDescent="0.35">
      <c r="G22" s="295" t="s">
        <v>33</v>
      </c>
      <c r="W22" s="648">
        <v>19</v>
      </c>
      <c r="X22" s="664">
        <f t="shared" si="12"/>
        <v>3</v>
      </c>
      <c r="Y22" s="678">
        <f t="shared" si="2"/>
        <v>6.0000000000000001E-3</v>
      </c>
      <c r="Z22" s="664">
        <f t="shared" si="3"/>
        <v>27</v>
      </c>
      <c r="AA22" s="648">
        <f t="shared" si="13"/>
        <v>423</v>
      </c>
      <c r="AJ22" s="666" t="str">
        <f>坦克个性化设定!B37</f>
        <v>百夫长</v>
      </c>
      <c r="AK22" s="666" t="str">
        <f>坦克个性化设定!E37</f>
        <v>T4</v>
      </c>
      <c r="AL22" s="666" t="str">
        <f>坦克个性化细分!J22</f>
        <v>高</v>
      </c>
      <c r="AM22" s="664">
        <f>VLOOKUP(AK22&amp;AL22,坦克等级成长!$P$12:$U$24,MATCH(AM$3,坦克等级成长!$P$12:$U$12,0),FALSE)</f>
        <v>6</v>
      </c>
      <c r="AN22" s="664">
        <f t="shared" si="6"/>
        <v>60</v>
      </c>
      <c r="AO22" s="664">
        <f t="shared" si="7"/>
        <v>4500</v>
      </c>
      <c r="AP22" s="664">
        <f t="shared" si="8"/>
        <v>9000</v>
      </c>
      <c r="AQ22" s="664">
        <f t="shared" si="9"/>
        <v>0.5</v>
      </c>
    </row>
    <row r="23" spans="3:43" x14ac:dyDescent="0.35">
      <c r="G23" s="295" t="s">
        <v>49</v>
      </c>
      <c r="W23" s="648">
        <v>20</v>
      </c>
      <c r="X23" s="664">
        <f t="shared" si="12"/>
        <v>3</v>
      </c>
      <c r="Y23" s="678">
        <f t="shared" si="2"/>
        <v>6.0000000000000001E-3</v>
      </c>
      <c r="Z23" s="664">
        <f t="shared" si="3"/>
        <v>27</v>
      </c>
      <c r="AA23" s="648">
        <f t="shared" si="13"/>
        <v>450</v>
      </c>
      <c r="AJ23" s="666" t="str">
        <f>坦克个性化设定!B38</f>
        <v>挑战者</v>
      </c>
      <c r="AK23" s="666" t="str">
        <f>坦克个性化设定!E38</f>
        <v>T5</v>
      </c>
      <c r="AL23" s="666" t="str">
        <f>坦克个性化细分!J23</f>
        <v>低</v>
      </c>
      <c r="AM23" s="664">
        <f>VLOOKUP(AK23&amp;AL23,坦克等级成长!$P$12:$U$24,MATCH(AM$3,坦克等级成长!$P$12:$U$12,0),FALSE)</f>
        <v>6</v>
      </c>
      <c r="AN23" s="664">
        <f t="shared" si="6"/>
        <v>60</v>
      </c>
      <c r="AO23" s="664">
        <f t="shared" si="7"/>
        <v>4500</v>
      </c>
      <c r="AP23" s="664">
        <f t="shared" si="8"/>
        <v>9000</v>
      </c>
      <c r="AQ23" s="664">
        <f t="shared" si="9"/>
        <v>0.5</v>
      </c>
    </row>
    <row r="24" spans="3:43" x14ac:dyDescent="0.35">
      <c r="G24" s="717" t="s">
        <v>50</v>
      </c>
      <c r="W24" s="648">
        <v>21</v>
      </c>
      <c r="X24" s="664">
        <f t="shared" si="12"/>
        <v>4</v>
      </c>
      <c r="Y24" s="678">
        <f t="shared" si="2"/>
        <v>7.1052631578947369E-3</v>
      </c>
      <c r="Z24" s="664">
        <f t="shared" si="3"/>
        <v>40.5</v>
      </c>
      <c r="AA24" s="648">
        <f t="shared" si="13"/>
        <v>490.5</v>
      </c>
      <c r="AJ24" s="666" t="str">
        <f>坦克个性化设定!B39</f>
        <v>B-1</v>
      </c>
      <c r="AK24" s="666" t="str">
        <f>坦克个性化设定!E39</f>
        <v>T1</v>
      </c>
      <c r="AL24" s="666" t="str">
        <f>坦克个性化细分!J24</f>
        <v>低</v>
      </c>
      <c r="AM24" s="664">
        <f>VLOOKUP(AK24&amp;AL24,坦克等级成长!$P$12:$U$24,MATCH(AM$3,坦克等级成长!$P$12:$U$12,0),FALSE)</f>
        <v>2</v>
      </c>
      <c r="AN24" s="664">
        <f t="shared" si="6"/>
        <v>10</v>
      </c>
      <c r="AO24" s="664">
        <f t="shared" si="7"/>
        <v>475.2</v>
      </c>
      <c r="AP24" s="664">
        <f t="shared" si="8"/>
        <v>3600</v>
      </c>
      <c r="AQ24" s="664">
        <f t="shared" si="9"/>
        <v>0.13200000000000001</v>
      </c>
    </row>
    <row r="25" spans="3:43" x14ac:dyDescent="0.35">
      <c r="G25" s="295" t="s">
        <v>249</v>
      </c>
      <c r="W25" s="648">
        <v>22</v>
      </c>
      <c r="X25" s="664">
        <f t="shared" si="12"/>
        <v>4</v>
      </c>
      <c r="Y25" s="678">
        <f t="shared" si="2"/>
        <v>7.1052631578947369E-3</v>
      </c>
      <c r="Z25" s="664">
        <f t="shared" si="3"/>
        <v>40.5</v>
      </c>
      <c r="AA25" s="648">
        <f t="shared" si="13"/>
        <v>531</v>
      </c>
      <c r="AJ25" s="666" t="str">
        <f>坦克个性化设定!B40</f>
        <v>KV-1</v>
      </c>
      <c r="AK25" s="666" t="str">
        <f>坦克个性化设定!E40</f>
        <v>T2</v>
      </c>
      <c r="AL25" s="666" t="str">
        <f>坦克个性化细分!J25</f>
        <v>低</v>
      </c>
      <c r="AM25" s="664">
        <f>VLOOKUP(AK25&amp;AL25,坦克等级成长!$P$12:$U$24,MATCH(AM$3,坦克等级成长!$P$12:$U$12,0),FALSE)</f>
        <v>3</v>
      </c>
      <c r="AN25" s="664">
        <f t="shared" si="6"/>
        <v>20</v>
      </c>
      <c r="AO25" s="664">
        <f t="shared" si="7"/>
        <v>999</v>
      </c>
      <c r="AP25" s="664">
        <f t="shared" si="8"/>
        <v>4500</v>
      </c>
      <c r="AQ25" s="664">
        <f t="shared" si="9"/>
        <v>0.222</v>
      </c>
    </row>
    <row r="26" spans="3:43" x14ac:dyDescent="0.35">
      <c r="W26" s="648">
        <v>23</v>
      </c>
      <c r="X26" s="664">
        <f t="shared" si="12"/>
        <v>4</v>
      </c>
      <c r="Y26" s="678">
        <f t="shared" si="2"/>
        <v>7.1052631578947369E-3</v>
      </c>
      <c r="Z26" s="664">
        <f t="shared" si="3"/>
        <v>40.5</v>
      </c>
      <c r="AA26" s="648">
        <f t="shared" si="13"/>
        <v>571.5</v>
      </c>
      <c r="AJ26" s="666" t="str">
        <f>坦克个性化设定!B41</f>
        <v>丘吉尔</v>
      </c>
      <c r="AK26" s="666" t="str">
        <f>坦克个性化设定!E41</f>
        <v>T2</v>
      </c>
      <c r="AL26" s="666" t="str">
        <f>坦克个性化细分!J26</f>
        <v>中</v>
      </c>
      <c r="AM26" s="664">
        <f>VLOOKUP(AK26&amp;AL26,坦克等级成长!$P$12:$U$24,MATCH(AM$3,坦克等级成长!$P$12:$U$12,0),FALSE)</f>
        <v>4</v>
      </c>
      <c r="AN26" s="664">
        <f t="shared" si="6"/>
        <v>30</v>
      </c>
      <c r="AO26" s="664">
        <f t="shared" si="7"/>
        <v>1721.3999999999999</v>
      </c>
      <c r="AP26" s="664">
        <f t="shared" si="8"/>
        <v>5700</v>
      </c>
      <c r="AQ26" s="664">
        <f t="shared" si="9"/>
        <v>0.30199999999999999</v>
      </c>
    </row>
    <row r="27" spans="3:43" x14ac:dyDescent="0.35">
      <c r="W27" s="648">
        <v>24</v>
      </c>
      <c r="X27" s="664">
        <f t="shared" si="12"/>
        <v>4</v>
      </c>
      <c r="Y27" s="678">
        <f t="shared" si="2"/>
        <v>7.1052631578947369E-3</v>
      </c>
      <c r="Z27" s="664">
        <f t="shared" si="3"/>
        <v>40.5</v>
      </c>
      <c r="AA27" s="648">
        <f t="shared" si="13"/>
        <v>612</v>
      </c>
      <c r="AJ27" s="666" t="str">
        <f>坦克个性化设定!B42</f>
        <v>黑豹</v>
      </c>
      <c r="AK27" s="666" t="str">
        <f>坦克个性化设定!E42</f>
        <v>T3</v>
      </c>
      <c r="AL27" s="666" t="str">
        <f>坦克个性化细分!J27</f>
        <v>低</v>
      </c>
      <c r="AM27" s="664">
        <f>VLOOKUP(AK27&amp;AL27,坦克等级成长!$P$12:$U$24,MATCH(AM$3,坦克等级成长!$P$12:$U$12,0),FALSE)</f>
        <v>4</v>
      </c>
      <c r="AN27" s="664">
        <f t="shared" si="6"/>
        <v>30</v>
      </c>
      <c r="AO27" s="664">
        <f t="shared" si="7"/>
        <v>1721.3999999999999</v>
      </c>
      <c r="AP27" s="664">
        <f t="shared" si="8"/>
        <v>5700</v>
      </c>
      <c r="AQ27" s="664">
        <f t="shared" si="9"/>
        <v>0.30199999999999999</v>
      </c>
    </row>
    <row r="28" spans="3:43" x14ac:dyDescent="0.35">
      <c r="W28" s="648">
        <v>25</v>
      </c>
      <c r="X28" s="664">
        <f t="shared" si="12"/>
        <v>4</v>
      </c>
      <c r="Y28" s="678">
        <f t="shared" si="2"/>
        <v>7.1052631578947369E-3</v>
      </c>
      <c r="Z28" s="664">
        <f t="shared" si="3"/>
        <v>40.5</v>
      </c>
      <c r="AA28" s="648">
        <f t="shared" si="13"/>
        <v>652.5</v>
      </c>
      <c r="AJ28" s="666" t="str">
        <f>坦克个性化设定!B43</f>
        <v>虎式</v>
      </c>
      <c r="AK28" s="666" t="str">
        <f>坦克个性化设定!E43</f>
        <v>T3</v>
      </c>
      <c r="AL28" s="666" t="str">
        <f>坦克个性化细分!J28</f>
        <v>中</v>
      </c>
      <c r="AM28" s="664">
        <f>VLOOKUP(AK28&amp;AL28,坦克等级成长!$P$12:$U$24,MATCH(AM$3,坦克等级成长!$P$12:$U$12,0),FALSE)</f>
        <v>5</v>
      </c>
      <c r="AN28" s="664">
        <f t="shared" si="6"/>
        <v>45</v>
      </c>
      <c r="AO28" s="664">
        <f t="shared" si="7"/>
        <v>2908.8</v>
      </c>
      <c r="AP28" s="664">
        <f t="shared" si="8"/>
        <v>7200</v>
      </c>
      <c r="AQ28" s="664">
        <f t="shared" si="9"/>
        <v>0.40400000000000003</v>
      </c>
    </row>
    <row r="29" spans="3:43" x14ac:dyDescent="0.35">
      <c r="W29" s="648">
        <v>26</v>
      </c>
      <c r="X29" s="664">
        <f t="shared" si="12"/>
        <v>4</v>
      </c>
      <c r="Y29" s="678">
        <f t="shared" si="2"/>
        <v>7.1052631578947369E-3</v>
      </c>
      <c r="Z29" s="664">
        <f t="shared" si="3"/>
        <v>40.5</v>
      </c>
      <c r="AA29" s="648">
        <f t="shared" si="13"/>
        <v>693</v>
      </c>
      <c r="AJ29" s="666" t="str">
        <f>坦克个性化设定!B44</f>
        <v>KV-2</v>
      </c>
      <c r="AK29" s="666" t="str">
        <f>坦克个性化设定!E44</f>
        <v>T3</v>
      </c>
      <c r="AL29" s="666" t="str">
        <f>坦克个性化细分!J29</f>
        <v>高</v>
      </c>
      <c r="AM29" s="664">
        <f>VLOOKUP(AK29&amp;AL29,坦克等级成长!$P$12:$U$24,MATCH(AM$3,坦克等级成长!$P$12:$U$12,0),FALSE)</f>
        <v>5</v>
      </c>
      <c r="AN29" s="664">
        <f t="shared" si="6"/>
        <v>45</v>
      </c>
      <c r="AO29" s="664">
        <f t="shared" si="7"/>
        <v>2908.8</v>
      </c>
      <c r="AP29" s="664">
        <f t="shared" si="8"/>
        <v>7200</v>
      </c>
      <c r="AQ29" s="664">
        <f t="shared" si="9"/>
        <v>0.40400000000000003</v>
      </c>
    </row>
    <row r="30" spans="3:43" x14ac:dyDescent="0.35">
      <c r="W30" s="648">
        <v>27</v>
      </c>
      <c r="X30" s="664">
        <f t="shared" si="12"/>
        <v>4</v>
      </c>
      <c r="Y30" s="678">
        <f t="shared" si="2"/>
        <v>7.1052631578947369E-3</v>
      </c>
      <c r="Z30" s="664">
        <f t="shared" si="3"/>
        <v>40.5</v>
      </c>
      <c r="AA30" s="648">
        <f t="shared" si="13"/>
        <v>733.5</v>
      </c>
      <c r="AJ30" s="666" t="str">
        <f>坦克个性化设定!B45</f>
        <v>征服者</v>
      </c>
      <c r="AK30" s="666" t="str">
        <f>坦克个性化设定!E45</f>
        <v>T4</v>
      </c>
      <c r="AL30" s="666" t="str">
        <f>坦克个性化细分!J30</f>
        <v>低</v>
      </c>
      <c r="AM30" s="664">
        <f>VLOOKUP(AK30&amp;AL30,坦克等级成长!$P$12:$U$24,MATCH(AM$3,坦克等级成长!$P$12:$U$12,0),FALSE)</f>
        <v>5</v>
      </c>
      <c r="AN30" s="664">
        <f t="shared" si="6"/>
        <v>45</v>
      </c>
      <c r="AO30" s="664">
        <f t="shared" si="7"/>
        <v>2908.8</v>
      </c>
      <c r="AP30" s="664">
        <f t="shared" si="8"/>
        <v>7200</v>
      </c>
      <c r="AQ30" s="664">
        <f t="shared" si="9"/>
        <v>0.40400000000000003</v>
      </c>
    </row>
    <row r="31" spans="3:43" x14ac:dyDescent="0.35">
      <c r="W31" s="648">
        <v>28</v>
      </c>
      <c r="X31" s="664">
        <f t="shared" si="12"/>
        <v>4</v>
      </c>
      <c r="Y31" s="678">
        <f t="shared" si="2"/>
        <v>7.1052631578947369E-3</v>
      </c>
      <c r="Z31" s="664">
        <f t="shared" si="3"/>
        <v>40.5</v>
      </c>
      <c r="AA31" s="648">
        <f t="shared" si="13"/>
        <v>774</v>
      </c>
      <c r="AJ31" s="666" t="str">
        <f>坦克个性化设定!B46</f>
        <v>IS-4</v>
      </c>
      <c r="AK31" s="666" t="str">
        <f>坦克个性化设定!E46</f>
        <v>T4</v>
      </c>
      <c r="AL31" s="666" t="str">
        <f>坦克个性化细分!J31</f>
        <v>中</v>
      </c>
      <c r="AM31" s="664">
        <f>VLOOKUP(AK31&amp;AL31,坦克等级成长!$P$12:$U$24,MATCH(AM$3,坦克等级成长!$P$12:$U$12,0),FALSE)</f>
        <v>6</v>
      </c>
      <c r="AN31" s="664">
        <f t="shared" si="6"/>
        <v>60</v>
      </c>
      <c r="AO31" s="664">
        <f t="shared" si="7"/>
        <v>4500</v>
      </c>
      <c r="AP31" s="664">
        <f t="shared" si="8"/>
        <v>9000</v>
      </c>
      <c r="AQ31" s="664">
        <f t="shared" si="9"/>
        <v>0.5</v>
      </c>
    </row>
    <row r="32" spans="3:43" x14ac:dyDescent="0.35">
      <c r="W32" s="648">
        <v>29</v>
      </c>
      <c r="X32" s="664">
        <f t="shared" si="12"/>
        <v>4</v>
      </c>
      <c r="Y32" s="678">
        <f t="shared" si="2"/>
        <v>7.1052631578947369E-3</v>
      </c>
      <c r="Z32" s="664">
        <f t="shared" si="3"/>
        <v>40.5</v>
      </c>
      <c r="AA32" s="648">
        <f t="shared" si="13"/>
        <v>814.5</v>
      </c>
      <c r="AJ32" s="666" t="str">
        <f>坦克个性化设定!B47</f>
        <v>T-32</v>
      </c>
      <c r="AK32" s="666" t="str">
        <f>坦克个性化设定!E47</f>
        <v>T4</v>
      </c>
      <c r="AL32" s="666" t="str">
        <f>坦克个性化细分!J32</f>
        <v>高</v>
      </c>
      <c r="AM32" s="664">
        <f>VLOOKUP(AK32&amp;AL32,坦克等级成长!$P$12:$U$24,MATCH(AM$3,坦克等级成长!$P$12:$U$12,0),FALSE)</f>
        <v>6</v>
      </c>
      <c r="AN32" s="664">
        <f t="shared" si="6"/>
        <v>60</v>
      </c>
      <c r="AO32" s="664">
        <f t="shared" si="7"/>
        <v>4500</v>
      </c>
      <c r="AP32" s="664">
        <f t="shared" si="8"/>
        <v>9000</v>
      </c>
      <c r="AQ32" s="664">
        <f t="shared" si="9"/>
        <v>0.5</v>
      </c>
    </row>
    <row r="33" spans="23:43" x14ac:dyDescent="0.35">
      <c r="W33" s="648">
        <v>30</v>
      </c>
      <c r="X33" s="664">
        <f t="shared" si="12"/>
        <v>4</v>
      </c>
      <c r="Y33" s="678">
        <f t="shared" si="2"/>
        <v>7.1052631578947369E-3</v>
      </c>
      <c r="Z33" s="664">
        <f t="shared" si="3"/>
        <v>40.5</v>
      </c>
      <c r="AA33" s="648">
        <f t="shared" si="13"/>
        <v>855</v>
      </c>
      <c r="AJ33" s="666" t="str">
        <f>坦克个性化设定!B48</f>
        <v>M1A2</v>
      </c>
      <c r="AK33" s="666" t="str">
        <f>坦克个性化设定!E48</f>
        <v>T5</v>
      </c>
      <c r="AL33" s="666" t="str">
        <f>坦克个性化细分!J33</f>
        <v>低</v>
      </c>
      <c r="AM33" s="664">
        <f>VLOOKUP(AK33&amp;AL33,坦克等级成长!$P$12:$U$24,MATCH(AM$3,坦克等级成长!$P$12:$U$12,0),FALSE)</f>
        <v>6</v>
      </c>
      <c r="AN33" s="664">
        <f t="shared" si="6"/>
        <v>60</v>
      </c>
      <c r="AO33" s="664">
        <f t="shared" si="7"/>
        <v>4500</v>
      </c>
      <c r="AP33" s="664">
        <f t="shared" si="8"/>
        <v>9000</v>
      </c>
      <c r="AQ33" s="664">
        <f t="shared" si="9"/>
        <v>0.5</v>
      </c>
    </row>
    <row r="34" spans="23:43" x14ac:dyDescent="0.35">
      <c r="W34" s="648">
        <v>31</v>
      </c>
      <c r="X34" s="664">
        <f t="shared" si="12"/>
        <v>5</v>
      </c>
      <c r="Y34" s="678">
        <f t="shared" si="2"/>
        <v>7.0833333333333338E-3</v>
      </c>
      <c r="Z34" s="664">
        <f t="shared" si="3"/>
        <v>51.000000000000007</v>
      </c>
      <c r="AA34" s="648">
        <f t="shared" si="13"/>
        <v>906</v>
      </c>
    </row>
    <row r="35" spans="23:43" x14ac:dyDescent="0.35">
      <c r="W35" s="648">
        <v>32</v>
      </c>
      <c r="X35" s="664">
        <f t="shared" si="12"/>
        <v>5</v>
      </c>
      <c r="Y35" s="678">
        <f t="shared" si="2"/>
        <v>7.0833333333333338E-3</v>
      </c>
      <c r="Z35" s="664">
        <f t="shared" si="3"/>
        <v>51.000000000000007</v>
      </c>
      <c r="AA35" s="648">
        <f t="shared" si="13"/>
        <v>957</v>
      </c>
    </row>
    <row r="36" spans="23:43" x14ac:dyDescent="0.35">
      <c r="W36" s="648">
        <v>33</v>
      </c>
      <c r="X36" s="664">
        <f t="shared" si="12"/>
        <v>5</v>
      </c>
      <c r="Y36" s="678">
        <f t="shared" si="2"/>
        <v>7.0833333333333338E-3</v>
      </c>
      <c r="Z36" s="664">
        <f t="shared" si="3"/>
        <v>51.000000000000007</v>
      </c>
      <c r="AA36" s="648">
        <f t="shared" si="13"/>
        <v>1008</v>
      </c>
    </row>
    <row r="37" spans="23:43" x14ac:dyDescent="0.35">
      <c r="W37" s="648">
        <v>34</v>
      </c>
      <c r="X37" s="664">
        <f t="shared" si="12"/>
        <v>5</v>
      </c>
      <c r="Y37" s="678">
        <f t="shared" si="2"/>
        <v>7.0833333333333338E-3</v>
      </c>
      <c r="Z37" s="664">
        <f t="shared" si="3"/>
        <v>51.000000000000007</v>
      </c>
      <c r="AA37" s="648">
        <f t="shared" si="13"/>
        <v>1059</v>
      </c>
    </row>
    <row r="38" spans="23:43" x14ac:dyDescent="0.35">
      <c r="W38" s="648">
        <v>35</v>
      </c>
      <c r="X38" s="664">
        <f t="shared" si="12"/>
        <v>5</v>
      </c>
      <c r="Y38" s="678">
        <f t="shared" si="2"/>
        <v>7.0833333333333338E-3</v>
      </c>
      <c r="Z38" s="664">
        <f t="shared" si="3"/>
        <v>51.000000000000007</v>
      </c>
      <c r="AA38" s="648">
        <f t="shared" si="13"/>
        <v>1110</v>
      </c>
    </row>
    <row r="39" spans="23:43" x14ac:dyDescent="0.35">
      <c r="W39" s="648">
        <v>36</v>
      </c>
      <c r="X39" s="664">
        <f t="shared" si="12"/>
        <v>5</v>
      </c>
      <c r="Y39" s="678">
        <f t="shared" si="2"/>
        <v>7.0833333333333338E-3</v>
      </c>
      <c r="Z39" s="664">
        <f t="shared" si="3"/>
        <v>51.000000000000007</v>
      </c>
      <c r="AA39" s="648">
        <f t="shared" si="13"/>
        <v>1161</v>
      </c>
    </row>
    <row r="40" spans="23:43" x14ac:dyDescent="0.35">
      <c r="W40" s="648">
        <v>37</v>
      </c>
      <c r="X40" s="664">
        <f t="shared" si="12"/>
        <v>5</v>
      </c>
      <c r="Y40" s="678">
        <f t="shared" si="2"/>
        <v>7.0833333333333338E-3</v>
      </c>
      <c r="Z40" s="664">
        <f t="shared" si="3"/>
        <v>51.000000000000007</v>
      </c>
      <c r="AA40" s="648">
        <f t="shared" si="13"/>
        <v>1212</v>
      </c>
    </row>
    <row r="41" spans="23:43" x14ac:dyDescent="0.35">
      <c r="W41" s="648">
        <v>38</v>
      </c>
      <c r="X41" s="664">
        <f t="shared" si="12"/>
        <v>5</v>
      </c>
      <c r="Y41" s="678">
        <f t="shared" si="2"/>
        <v>7.0833333333333338E-3</v>
      </c>
      <c r="Z41" s="664">
        <f t="shared" si="3"/>
        <v>51.000000000000007</v>
      </c>
      <c r="AA41" s="648">
        <f t="shared" si="13"/>
        <v>1263</v>
      </c>
    </row>
    <row r="42" spans="23:43" x14ac:dyDescent="0.35">
      <c r="W42" s="648">
        <v>39</v>
      </c>
      <c r="X42" s="664">
        <f t="shared" si="12"/>
        <v>5</v>
      </c>
      <c r="Y42" s="678">
        <f t="shared" si="2"/>
        <v>7.0833333333333338E-3</v>
      </c>
      <c r="Z42" s="664">
        <f t="shared" si="3"/>
        <v>51.000000000000007</v>
      </c>
      <c r="AA42" s="648">
        <f t="shared" si="13"/>
        <v>1314</v>
      </c>
    </row>
    <row r="43" spans="23:43" x14ac:dyDescent="0.35">
      <c r="W43" s="648">
        <v>40</v>
      </c>
      <c r="X43" s="664">
        <f t="shared" si="12"/>
        <v>5</v>
      </c>
      <c r="Y43" s="678">
        <f t="shared" si="2"/>
        <v>7.0833333333333338E-3</v>
      </c>
      <c r="Z43" s="664">
        <f t="shared" si="3"/>
        <v>51.000000000000007</v>
      </c>
      <c r="AA43" s="648">
        <f t="shared" si="13"/>
        <v>1365</v>
      </c>
    </row>
    <row r="44" spans="23:43" x14ac:dyDescent="0.35">
      <c r="W44" s="648">
        <v>41</v>
      </c>
      <c r="X44" s="664">
        <f t="shared" si="12"/>
        <v>5</v>
      </c>
      <c r="Y44" s="678">
        <f t="shared" si="2"/>
        <v>7.0833333333333338E-3</v>
      </c>
      <c r="Z44" s="664">
        <f t="shared" si="3"/>
        <v>51.000000000000007</v>
      </c>
      <c r="AA44" s="648">
        <f t="shared" si="13"/>
        <v>1416</v>
      </c>
    </row>
    <row r="45" spans="23:43" x14ac:dyDescent="0.35">
      <c r="W45" s="648">
        <v>42</v>
      </c>
      <c r="X45" s="664">
        <f t="shared" si="12"/>
        <v>5</v>
      </c>
      <c r="Y45" s="678">
        <f t="shared" si="2"/>
        <v>7.0833333333333338E-3</v>
      </c>
      <c r="Z45" s="664">
        <f t="shared" si="3"/>
        <v>51.000000000000007</v>
      </c>
      <c r="AA45" s="648">
        <f t="shared" si="13"/>
        <v>1467</v>
      </c>
    </row>
    <row r="46" spans="23:43" x14ac:dyDescent="0.35">
      <c r="W46" s="648">
        <v>43</v>
      </c>
      <c r="X46" s="664">
        <f t="shared" si="12"/>
        <v>5</v>
      </c>
      <c r="Y46" s="678">
        <f t="shared" si="2"/>
        <v>7.0833333333333338E-3</v>
      </c>
      <c r="Z46" s="664">
        <f t="shared" si="3"/>
        <v>51.000000000000007</v>
      </c>
      <c r="AA46" s="648">
        <f t="shared" si="13"/>
        <v>1518</v>
      </c>
    </row>
    <row r="47" spans="23:43" x14ac:dyDescent="0.35">
      <c r="W47" s="648">
        <v>44</v>
      </c>
      <c r="X47" s="664">
        <f t="shared" si="12"/>
        <v>5</v>
      </c>
      <c r="Y47" s="678">
        <f t="shared" si="2"/>
        <v>7.0833333333333338E-3</v>
      </c>
      <c r="Z47" s="664">
        <f t="shared" si="3"/>
        <v>51.000000000000007</v>
      </c>
      <c r="AA47" s="648">
        <f t="shared" si="13"/>
        <v>1569</v>
      </c>
    </row>
    <row r="48" spans="23:43" x14ac:dyDescent="0.35">
      <c r="W48" s="648">
        <v>45</v>
      </c>
      <c r="X48" s="664">
        <f t="shared" si="12"/>
        <v>5</v>
      </c>
      <c r="Y48" s="678">
        <f t="shared" si="2"/>
        <v>7.0833333333333338E-3</v>
      </c>
      <c r="Z48" s="664">
        <f t="shared" si="3"/>
        <v>51.000000000000007</v>
      </c>
      <c r="AA48" s="648">
        <f t="shared" si="13"/>
        <v>1620</v>
      </c>
    </row>
    <row r="49" spans="23:28" x14ac:dyDescent="0.35">
      <c r="W49" s="648">
        <v>46</v>
      </c>
      <c r="X49" s="664">
        <f t="shared" si="12"/>
        <v>6</v>
      </c>
      <c r="Y49" s="678">
        <f t="shared" si="2"/>
        <v>8.0000000000000002E-3</v>
      </c>
      <c r="Z49" s="664">
        <f t="shared" si="3"/>
        <v>72</v>
      </c>
      <c r="AA49" s="648">
        <f t="shared" si="13"/>
        <v>1692</v>
      </c>
    </row>
    <row r="50" spans="23:28" x14ac:dyDescent="0.35">
      <c r="W50" s="648">
        <v>47</v>
      </c>
      <c r="X50" s="664">
        <f t="shared" si="12"/>
        <v>6</v>
      </c>
      <c r="Y50" s="678">
        <f t="shared" si="2"/>
        <v>8.0000000000000002E-3</v>
      </c>
      <c r="Z50" s="664">
        <f t="shared" si="3"/>
        <v>72</v>
      </c>
      <c r="AA50" s="648">
        <f t="shared" si="13"/>
        <v>1764</v>
      </c>
    </row>
    <row r="51" spans="23:28" x14ac:dyDescent="0.35">
      <c r="W51" s="648">
        <v>48</v>
      </c>
      <c r="X51" s="664">
        <f t="shared" si="12"/>
        <v>6</v>
      </c>
      <c r="Y51" s="678">
        <f t="shared" si="2"/>
        <v>8.0000000000000002E-3</v>
      </c>
      <c r="Z51" s="664">
        <f t="shared" si="3"/>
        <v>72</v>
      </c>
      <c r="AA51" s="648">
        <f t="shared" si="13"/>
        <v>1836</v>
      </c>
    </row>
    <row r="52" spans="23:28" x14ac:dyDescent="0.35">
      <c r="W52" s="648">
        <v>49</v>
      </c>
      <c r="X52" s="664">
        <f t="shared" si="12"/>
        <v>6</v>
      </c>
      <c r="Y52" s="678">
        <f t="shared" si="2"/>
        <v>8.0000000000000002E-3</v>
      </c>
      <c r="Z52" s="664">
        <f t="shared" si="3"/>
        <v>72</v>
      </c>
      <c r="AA52" s="648">
        <f t="shared" si="13"/>
        <v>1908</v>
      </c>
    </row>
    <row r="53" spans="23:28" x14ac:dyDescent="0.35">
      <c r="W53" s="648">
        <v>50</v>
      </c>
      <c r="X53" s="664">
        <f t="shared" si="12"/>
        <v>6</v>
      </c>
      <c r="Y53" s="678">
        <f t="shared" si="2"/>
        <v>8.0000000000000002E-3</v>
      </c>
      <c r="Z53" s="664">
        <f t="shared" si="3"/>
        <v>72</v>
      </c>
      <c r="AA53" s="648">
        <f t="shared" si="13"/>
        <v>1980</v>
      </c>
    </row>
    <row r="54" spans="23:28" x14ac:dyDescent="0.35">
      <c r="W54" s="648">
        <v>51</v>
      </c>
      <c r="X54" s="664">
        <f t="shared" si="12"/>
        <v>6</v>
      </c>
      <c r="Y54" s="678">
        <f t="shared" si="2"/>
        <v>8.0000000000000002E-3</v>
      </c>
      <c r="Z54" s="664">
        <f t="shared" si="3"/>
        <v>72</v>
      </c>
      <c r="AA54" s="648">
        <f t="shared" si="13"/>
        <v>2052</v>
      </c>
    </row>
    <row r="55" spans="23:28" x14ac:dyDescent="0.35">
      <c r="W55" s="648">
        <v>52</v>
      </c>
      <c r="X55" s="664">
        <f t="shared" si="12"/>
        <v>6</v>
      </c>
      <c r="Y55" s="678">
        <f t="shared" si="2"/>
        <v>8.0000000000000002E-3</v>
      </c>
      <c r="Z55" s="664">
        <f t="shared" si="3"/>
        <v>72</v>
      </c>
      <c r="AA55" s="648">
        <f t="shared" si="13"/>
        <v>2124</v>
      </c>
    </row>
    <row r="56" spans="23:28" x14ac:dyDescent="0.35">
      <c r="W56" s="648">
        <v>53</v>
      </c>
      <c r="X56" s="664">
        <f t="shared" si="12"/>
        <v>6</v>
      </c>
      <c r="Y56" s="678">
        <f t="shared" si="2"/>
        <v>8.0000000000000002E-3</v>
      </c>
      <c r="Z56" s="664">
        <f t="shared" si="3"/>
        <v>72</v>
      </c>
      <c r="AA56" s="648">
        <f t="shared" si="13"/>
        <v>2196</v>
      </c>
    </row>
    <row r="57" spans="23:28" x14ac:dyDescent="0.35">
      <c r="W57" s="648">
        <v>54</v>
      </c>
      <c r="X57" s="664">
        <f t="shared" si="12"/>
        <v>6</v>
      </c>
      <c r="Y57" s="678">
        <f t="shared" si="2"/>
        <v>8.0000000000000002E-3</v>
      </c>
      <c r="Z57" s="664">
        <f t="shared" si="3"/>
        <v>72</v>
      </c>
      <c r="AA57" s="648">
        <f t="shared" si="13"/>
        <v>2268</v>
      </c>
    </row>
    <row r="58" spans="23:28" x14ac:dyDescent="0.35">
      <c r="W58" s="648">
        <v>55</v>
      </c>
      <c r="X58" s="664">
        <f t="shared" si="12"/>
        <v>6</v>
      </c>
      <c r="Y58" s="678">
        <f t="shared" si="2"/>
        <v>8.0000000000000002E-3</v>
      </c>
      <c r="Z58" s="664">
        <f t="shared" si="3"/>
        <v>72</v>
      </c>
      <c r="AA58" s="648">
        <f t="shared" si="13"/>
        <v>2340</v>
      </c>
    </row>
    <row r="59" spans="23:28" x14ac:dyDescent="0.35">
      <c r="W59" s="648">
        <v>56</v>
      </c>
      <c r="X59" s="664">
        <f t="shared" si="12"/>
        <v>6</v>
      </c>
      <c r="Y59" s="678">
        <f t="shared" si="2"/>
        <v>8.0000000000000002E-3</v>
      </c>
      <c r="Z59" s="664">
        <f t="shared" si="3"/>
        <v>72</v>
      </c>
      <c r="AA59" s="648">
        <f t="shared" si="13"/>
        <v>2412</v>
      </c>
    </row>
    <row r="60" spans="23:28" x14ac:dyDescent="0.35">
      <c r="W60" s="648">
        <v>57</v>
      </c>
      <c r="X60" s="664">
        <f t="shared" si="12"/>
        <v>6</v>
      </c>
      <c r="Y60" s="678">
        <f t="shared" si="2"/>
        <v>8.0000000000000002E-3</v>
      </c>
      <c r="Z60" s="664">
        <f t="shared" si="3"/>
        <v>72</v>
      </c>
      <c r="AA60" s="648">
        <f t="shared" si="13"/>
        <v>2484</v>
      </c>
    </row>
    <row r="61" spans="23:28" x14ac:dyDescent="0.35">
      <c r="W61" s="648">
        <v>58</v>
      </c>
      <c r="X61" s="664">
        <f t="shared" si="12"/>
        <v>6</v>
      </c>
      <c r="Y61" s="678">
        <f t="shared" si="2"/>
        <v>8.0000000000000002E-3</v>
      </c>
      <c r="Z61" s="664">
        <f t="shared" si="3"/>
        <v>72</v>
      </c>
      <c r="AA61" s="648">
        <f t="shared" si="13"/>
        <v>2556</v>
      </c>
    </row>
    <row r="62" spans="23:28" x14ac:dyDescent="0.35">
      <c r="W62" s="648">
        <v>59</v>
      </c>
      <c r="X62" s="664">
        <f t="shared" si="12"/>
        <v>6</v>
      </c>
      <c r="Y62" s="678">
        <f t="shared" si="2"/>
        <v>8.0000000000000002E-3</v>
      </c>
      <c r="Z62" s="664">
        <f t="shared" si="3"/>
        <v>72</v>
      </c>
      <c r="AA62" s="648">
        <f t="shared" si="13"/>
        <v>2628</v>
      </c>
    </row>
    <row r="63" spans="23:28" x14ac:dyDescent="0.35">
      <c r="W63" s="648">
        <v>60</v>
      </c>
      <c r="X63" s="664">
        <f t="shared" si="12"/>
        <v>6</v>
      </c>
      <c r="Y63" s="678">
        <f t="shared" si="2"/>
        <v>8.0000000000000002E-3</v>
      </c>
      <c r="Z63" s="664">
        <f t="shared" si="3"/>
        <v>72</v>
      </c>
      <c r="AA63" s="648">
        <f t="shared" si="13"/>
        <v>2700</v>
      </c>
      <c r="AB63" s="492">
        <f>AA63/J9</f>
        <v>0.3</v>
      </c>
    </row>
  </sheetData>
  <mergeCells count="5">
    <mergeCell ref="D2:G2"/>
    <mergeCell ref="I2:K2"/>
    <mergeCell ref="M2:U2"/>
    <mergeCell ref="W2:AA2"/>
    <mergeCell ref="AD2:AH2"/>
  </mergeCells>
  <phoneticPr fontId="101" type="noConversion"/>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11"/>
  <dimension ref="B2:CA33"/>
  <sheetViews>
    <sheetView topLeftCell="Z1" workbookViewId="0">
      <selection activeCell="F3" sqref="F3:BI3"/>
    </sheetView>
  </sheetViews>
  <sheetFormatPr defaultColWidth="9" defaultRowHeight="13" x14ac:dyDescent="0.35"/>
  <cols>
    <col min="1" max="16384" width="9" style="112"/>
  </cols>
  <sheetData>
    <row r="2" spans="2:79" ht="15.75" customHeight="1" x14ac:dyDescent="0.35">
      <c r="B2" s="816" t="s">
        <v>1081</v>
      </c>
      <c r="C2" s="816"/>
      <c r="D2" s="816"/>
      <c r="E2" s="816"/>
      <c r="F2" s="816"/>
      <c r="G2" s="816"/>
      <c r="H2" s="816"/>
      <c r="I2" s="816"/>
      <c r="J2" s="816"/>
      <c r="K2" s="816"/>
      <c r="L2" s="816"/>
      <c r="M2" s="816"/>
      <c r="N2" s="816"/>
      <c r="O2" s="816"/>
      <c r="P2" s="816"/>
      <c r="Q2" s="816"/>
      <c r="R2" s="816"/>
      <c r="S2" s="816"/>
      <c r="T2" s="816"/>
      <c r="U2" s="816"/>
      <c r="V2" s="816"/>
      <c r="W2" s="816"/>
      <c r="X2" s="816"/>
      <c r="Y2" s="816"/>
      <c r="Z2" s="816"/>
      <c r="AA2" s="816"/>
      <c r="AB2" s="816"/>
      <c r="AC2" s="816"/>
      <c r="AD2" s="816"/>
      <c r="AE2" s="816"/>
      <c r="AF2" s="816"/>
      <c r="AG2" s="816"/>
      <c r="AH2" s="816"/>
      <c r="AI2" s="816"/>
      <c r="AJ2" s="816"/>
      <c r="AK2" s="816"/>
      <c r="AL2" s="816"/>
      <c r="AM2" s="816"/>
      <c r="AN2" s="816"/>
      <c r="AO2" s="816"/>
      <c r="AP2" s="816"/>
      <c r="AQ2" s="816"/>
      <c r="AR2" s="816"/>
      <c r="AS2" s="816"/>
      <c r="AT2" s="816"/>
      <c r="AU2" s="816"/>
      <c r="AV2" s="816"/>
      <c r="AW2" s="816"/>
      <c r="AX2" s="816"/>
      <c r="AY2" s="816"/>
      <c r="AZ2" s="816"/>
      <c r="BA2" s="816"/>
      <c r="BB2" s="816"/>
      <c r="BC2" s="816"/>
      <c r="BD2" s="816"/>
      <c r="BE2" s="816"/>
      <c r="BF2" s="816"/>
      <c r="BG2" s="816"/>
      <c r="BH2" s="816"/>
      <c r="BI2" s="816"/>
      <c r="BJ2" s="198"/>
      <c r="BK2" s="198"/>
      <c r="BL2" s="198"/>
      <c r="BN2" s="816" t="s">
        <v>1082</v>
      </c>
      <c r="BO2" s="816"/>
      <c r="BP2" s="816"/>
      <c r="BQ2" s="816"/>
      <c r="BR2" s="816"/>
      <c r="BS2" s="816"/>
      <c r="BT2" s="816"/>
      <c r="BU2" s="816"/>
      <c r="BV2" s="816"/>
      <c r="BW2" s="816"/>
      <c r="BX2" s="816"/>
      <c r="BY2" s="816"/>
      <c r="BZ2" s="816"/>
      <c r="CA2" s="816"/>
    </row>
    <row r="3" spans="2:79" x14ac:dyDescent="0.35">
      <c r="B3" s="485" t="s">
        <v>750</v>
      </c>
      <c r="C3" s="485" t="s">
        <v>576</v>
      </c>
      <c r="D3" s="485" t="s">
        <v>751</v>
      </c>
      <c r="E3" s="485" t="s">
        <v>752</v>
      </c>
      <c r="F3" s="485" t="s">
        <v>753</v>
      </c>
      <c r="G3" s="485" t="s">
        <v>700</v>
      </c>
      <c r="H3" s="485" t="s">
        <v>58</v>
      </c>
      <c r="I3" s="485" t="s">
        <v>386</v>
      </c>
      <c r="J3" s="485" t="s">
        <v>387</v>
      </c>
      <c r="K3" s="485" t="s">
        <v>754</v>
      </c>
      <c r="L3" s="485" t="s">
        <v>758</v>
      </c>
      <c r="M3" s="485" t="s">
        <v>759</v>
      </c>
      <c r="N3" s="485" t="s">
        <v>760</v>
      </c>
      <c r="O3" s="485" t="s">
        <v>755</v>
      </c>
      <c r="P3" s="485" t="s">
        <v>756</v>
      </c>
      <c r="Q3" s="485" t="s">
        <v>757</v>
      </c>
      <c r="R3" s="479" t="s">
        <v>50</v>
      </c>
      <c r="S3" s="479" t="s">
        <v>390</v>
      </c>
      <c r="T3" s="482" t="s">
        <v>709</v>
      </c>
      <c r="U3" s="479" t="s">
        <v>389</v>
      </c>
      <c r="V3" s="479" t="s">
        <v>705</v>
      </c>
      <c r="W3" s="482" t="s">
        <v>664</v>
      </c>
      <c r="X3" s="479" t="s">
        <v>391</v>
      </c>
      <c r="Y3" s="485" t="s">
        <v>761</v>
      </c>
      <c r="Z3" s="485" t="s">
        <v>762</v>
      </c>
      <c r="AA3" s="485" t="s">
        <v>763</v>
      </c>
      <c r="AB3" s="485" t="s">
        <v>730</v>
      </c>
      <c r="AC3" s="485" t="s">
        <v>99</v>
      </c>
      <c r="AD3" s="485" t="s">
        <v>101</v>
      </c>
      <c r="AE3" s="485" t="s">
        <v>764</v>
      </c>
      <c r="AF3" s="485" t="s">
        <v>765</v>
      </c>
      <c r="AG3" s="485" t="s">
        <v>766</v>
      </c>
      <c r="AH3" s="485" t="s">
        <v>767</v>
      </c>
      <c r="AI3" s="484" t="s">
        <v>666</v>
      </c>
      <c r="AJ3" s="484" t="s">
        <v>669</v>
      </c>
      <c r="AK3" s="479" t="s">
        <v>729</v>
      </c>
      <c r="AL3" s="479" t="s">
        <v>60</v>
      </c>
      <c r="AM3" s="479" t="s">
        <v>702</v>
      </c>
      <c r="AN3" s="479" t="s">
        <v>703</v>
      </c>
      <c r="AO3" s="484" t="s">
        <v>249</v>
      </c>
      <c r="AP3" s="473" t="s">
        <v>438</v>
      </c>
      <c r="AQ3" s="493" t="s">
        <v>2113</v>
      </c>
      <c r="AR3" s="473" t="s">
        <v>435</v>
      </c>
      <c r="AS3" s="473" t="s">
        <v>436</v>
      </c>
      <c r="AT3" s="493" t="s">
        <v>2146</v>
      </c>
      <c r="AU3" s="473" t="s">
        <v>448</v>
      </c>
      <c r="AV3" s="473" t="s">
        <v>2038</v>
      </c>
      <c r="AW3" s="473" t="s">
        <v>2040</v>
      </c>
      <c r="AX3" s="473" t="s">
        <v>2042</v>
      </c>
      <c r="AY3" s="295" t="s">
        <v>1296</v>
      </c>
      <c r="AZ3" s="493" t="s">
        <v>2151</v>
      </c>
      <c r="BA3" s="493" t="s">
        <v>2152</v>
      </c>
      <c r="BB3" s="493" t="s">
        <v>2153</v>
      </c>
      <c r="BC3" s="481" t="s">
        <v>2075</v>
      </c>
      <c r="BD3" s="475" t="s">
        <v>2076</v>
      </c>
      <c r="BE3" s="529" t="s">
        <v>2391</v>
      </c>
      <c r="BF3" s="529" t="s">
        <v>2392</v>
      </c>
      <c r="BG3" s="475" t="s">
        <v>2077</v>
      </c>
      <c r="BH3" s="475" t="s">
        <v>2078</v>
      </c>
      <c r="BI3" s="475" t="s">
        <v>2079</v>
      </c>
      <c r="BJ3" s="296"/>
      <c r="BK3" s="295" t="s">
        <v>1297</v>
      </c>
      <c r="BL3" s="295" t="s">
        <v>1302</v>
      </c>
      <c r="BN3" s="101" t="s">
        <v>725</v>
      </c>
      <c r="BO3" s="493" t="s">
        <v>1142</v>
      </c>
      <c r="BP3" s="140" t="s">
        <v>799</v>
      </c>
      <c r="BQ3" s="101" t="s">
        <v>586</v>
      </c>
      <c r="BR3" s="689" t="s">
        <v>3290</v>
      </c>
      <c r="BS3" s="99" t="s">
        <v>438</v>
      </c>
      <c r="BT3" s="493" t="s">
        <v>2113</v>
      </c>
      <c r="BU3" s="99" t="s">
        <v>435</v>
      </c>
      <c r="BV3" s="99" t="s">
        <v>436</v>
      </c>
      <c r="BW3" s="493" t="s">
        <v>2147</v>
      </c>
      <c r="BX3" s="99" t="s">
        <v>448</v>
      </c>
      <c r="BY3" s="473" t="s">
        <v>2038</v>
      </c>
      <c r="BZ3" s="96" t="s">
        <v>2040</v>
      </c>
      <c r="CA3" s="96" t="s">
        <v>2042</v>
      </c>
    </row>
    <row r="4" spans="2:79" x14ac:dyDescent="0.35">
      <c r="B4" s="485" t="str">
        <f>坦克个性化设定!B19</f>
        <v>雷诺FT</v>
      </c>
      <c r="C4" s="485" t="str">
        <f>VLOOKUP(B4,坦克个性化设定!$B$18:$E$48,4,FALSE)</f>
        <v>T1</v>
      </c>
      <c r="D4" s="485" t="str">
        <f>坦克个性化细分!J4</f>
        <v>低</v>
      </c>
      <c r="E4" s="485" t="str">
        <f>C4&amp;D4&amp;"0"</f>
        <v>T1低0</v>
      </c>
      <c r="F4" s="485" t="str">
        <f>VLOOKUP($B4,坦克个性化设定!$B$18:$BB$48,MATCH(F$3,坦克个性化设定!$B$18:$BB$18,0),FALSE)</f>
        <v>轻坦</v>
      </c>
      <c r="G4" s="485" t="str">
        <f>VLOOKUP($B4,坦克个性化设定!$B$18:$BB$48,MATCH(G$3,坦克个性化设定!$B$18:$BB$18,0),FALSE)</f>
        <v>轻坦弹夹</v>
      </c>
      <c r="H4" s="485" t="str">
        <f>IF(LEN(G4)=5,RIGHT(G4,3)&amp;"装弹",RIGHT(G4,2)&amp;"装弹")</f>
        <v>弹夹装弹</v>
      </c>
      <c r="I4" s="485">
        <f>VLOOKUP($B4,坦克个性化设定!$B$18:$BB$48,MATCH(I$3,坦克个性化设定!$B$18:$BB$18,0),FALSE)</f>
        <v>4.74</v>
      </c>
      <c r="J4" s="485">
        <f>VLOOKUP($B4,坦克个性化设定!$B$18:$BB$48,MATCH(J$3,坦克个性化设定!$B$18:$BB$18,0),FALSE)</f>
        <v>2.11</v>
      </c>
      <c r="K4" s="485">
        <f>VLOOKUP($B4,坦克个性化设定!$B$18:$BB$48,MATCH(K$3,坦克个性化设定!$B$18:$BB$18,0),FALSE)</f>
        <v>0.3</v>
      </c>
      <c r="L4" s="115">
        <f>VLOOKUP($B4,坦克个性化设定!$B$18:$BB$48,MATCH(L$3,坦克个性化设定!$B$18:$BB$18,0),FALSE)</f>
        <v>2.1563141881038952</v>
      </c>
      <c r="M4" s="115">
        <f>VLOOKUP($B4,坦克个性化设定!$B$18:$BB$48,MATCH(M$3,坦克个性化设定!$B$18:$BB$18,0),FALSE)</f>
        <v>37.200000000000003</v>
      </c>
      <c r="N4" s="115">
        <f>VLOOKUP($B4,坦克个性化设定!$B$18:$BB$48,MATCH(N$3,坦克个性化设定!$B$18:$BB$18,0),FALSE)</f>
        <v>62.000000000000007</v>
      </c>
      <c r="O4" s="485">
        <f>VLOOKUP($B4,坦克个性化设定!$B$18:$BB$48,MATCH(O$3,坦克个性化设定!$B$18:$BB$18,0),FALSE)</f>
        <v>1</v>
      </c>
      <c r="P4" s="485">
        <f>VLOOKUP($B4,坦克个性化设定!$B$18:$BB$48,MATCH(P$3,坦克个性化设定!$B$18:$BB$18,0),FALSE)</f>
        <v>1</v>
      </c>
      <c r="Q4" s="485">
        <f>VLOOKUP($B4,坦克个性化设定!$B$18:$BB$48,MATCH(Q$3,坦克个性化设定!$B$18:$BB$18,0),FALSE)</f>
        <v>1</v>
      </c>
      <c r="R4" s="485">
        <f>VLOOKUP($B4,坦克个性化设定!$B$18:$BB$48,MATCH(R$3,坦克个性化设定!$B$18:$BB$18,0),FALSE)</f>
        <v>0.30000000000000004</v>
      </c>
      <c r="S4" s="115">
        <f>VLOOKUP($B4,坦克个性化设定!$B$51:$T$81,MATCH(S$3,坦克个性化设定!$B$51:$T$51,0),FALSE)</f>
        <v>0.24</v>
      </c>
      <c r="T4" s="115">
        <f>VLOOKUP($B4,坦克个性化设定!$B$51:$T$81,MATCH(T$3,坦克个性化设定!$B$51:$T$51,0),FALSE)</f>
        <v>0.6</v>
      </c>
      <c r="U4" s="115">
        <f>VLOOKUP($B4,坦克个性化设定!$B$18:$BB$48,MATCH(U$3,坦克个性化设定!$B$18:$BB$18,0),FALSE)</f>
        <v>0.86</v>
      </c>
      <c r="V4" s="485">
        <f>VLOOKUP($B4,坦克个性化设定!$B$18:$BB$48,MATCH(V$3,坦克个性化设定!$B$18:$BB$18,0),FALSE)</f>
        <v>1.2</v>
      </c>
      <c r="W4" s="485">
        <f>VLOOKUP($B4,坦克个性化设定!$B$18:$BB$48,MATCH(W$3,坦克个性化设定!$B$18:$BB$18,0),FALSE)</f>
        <v>0</v>
      </c>
      <c r="X4" s="485">
        <f>VLOOKUP($B4,坦克个性化设定!$B$18:$BB$48,MATCH(X$3,坦克个性化设定!$B$18:$BB$18,0),FALSE)</f>
        <v>1</v>
      </c>
      <c r="Y4" s="115">
        <f>VLOOKUP($B4,坦克个性化设定!$B$18:$BB$48,MATCH(Y$3,坦克个性化设定!$B$18:$BB$18,0),FALSE)</f>
        <v>11.783831986523932</v>
      </c>
      <c r="Z4" s="115">
        <f>VLOOKUP($B4,坦克个性化设定!$B$18:$BB$48,MATCH(Z$3,坦克个性化设定!$B$18:$BB$18,0),FALSE)</f>
        <v>58.919159932619657</v>
      </c>
      <c r="AA4" s="115">
        <f>VLOOKUP($B4,坦克个性化设定!$B$18:$BB$48,MATCH(AA$3,坦克个性化设定!$B$18:$BB$18,0),FALSE)</f>
        <v>0.58499999999999996</v>
      </c>
      <c r="AB4" s="115">
        <f>VLOOKUP($B4,坦克个性化设定!$B$18:$BB$48,MATCH(AB$3,坦克个性化设定!$B$18:$BB$18,0),FALSE)</f>
        <v>14.6</v>
      </c>
      <c r="AC4" s="115">
        <f>VLOOKUP($B4,坦克个性化设定!$B$18:$BB$48,MATCH(AC$3,坦克个性化设定!$B$18:$BB$18,0),FALSE)</f>
        <v>23.714285714285719</v>
      </c>
      <c r="AD4" s="115">
        <f>VLOOKUP($B4,坦克个性化设定!$B$18:$BB$48,MATCH(AD$3,坦克个性化设定!$B$18:$BB$18,0),FALSE)</f>
        <v>16.600000000000001</v>
      </c>
      <c r="AE4" s="115">
        <f>VLOOKUP($B4,坦克个性化设定!$B$18:$BB$48,MATCH(AE$3,坦克个性化设定!$B$18:$BB$18,0),FALSE)</f>
        <v>0.58499999999999996</v>
      </c>
      <c r="AF4" s="485">
        <f>VLOOKUP($B4,坦克个性化设定!$B$18:$BB$48,MATCH(AF$3,坦克个性化设定!$B$18:$BB$18,0),FALSE)</f>
        <v>0.2</v>
      </c>
      <c r="AG4" s="485">
        <f>VLOOKUP($B4,坦克个性化设定!$B$18:$BB$48,MATCH(AG$3,坦克个性化设定!$B$18:$BB$18,0),FALSE)</f>
        <v>40</v>
      </c>
      <c r="AH4" s="485">
        <f>VLOOKUP($B4,坦克个性化设定!$B$18:$BB$48,MATCH(AH$3,坦克个性化设定!$B$18:$BB$18,0),FALSE)</f>
        <v>100</v>
      </c>
      <c r="AI4" s="485">
        <f>VLOOKUP(B4,坦克个性化细分!$I$3:$P$33,3,FALSE)</f>
        <v>47.1</v>
      </c>
      <c r="AJ4" s="485">
        <f>VLOOKUP(B4,坦克个性化细分!$I$3:$P$33,5,FALSE)</f>
        <v>45</v>
      </c>
      <c r="AK4" s="485">
        <f>VLOOKUP(B4,坦克个性化细分!$I$3:$P$33,7,FALSE)</f>
        <v>14.6</v>
      </c>
      <c r="AL4" s="485">
        <f>VLOOKUP($B4,坦克个性化设定!$F$84:$S$114,MATCH(AL$3,坦克个性化设定!$F$84:$S$84,0),FALSE)</f>
        <v>18</v>
      </c>
      <c r="AM4" s="485">
        <f>VLOOKUP($B4,坦克个性化细分!$E$3:$G$33,2,FALSE)</f>
        <v>0</v>
      </c>
      <c r="AN4" s="485">
        <f>VLOOKUP($B4,坦克个性化细分!$E$3:$G$33,3,FALSE)</f>
        <v>7.56</v>
      </c>
      <c r="AO4" s="115">
        <f t="shared" ref="AO4:AO33" si="0">T4/V4</f>
        <v>0.5</v>
      </c>
      <c r="AP4" s="326">
        <f t="shared" ref="AP4:AP33" ca="1" si="1">ROUND(BS4,0)</f>
        <v>734</v>
      </c>
      <c r="AQ4" s="326">
        <f t="shared" ref="AQ4:AQ33" ca="1" si="2">ROUND(BT4,0)</f>
        <v>24</v>
      </c>
      <c r="AR4" s="326">
        <f t="shared" ref="AR4:AR33" ca="1" si="3">ROUND(BU4,0)</f>
        <v>329</v>
      </c>
      <c r="AS4" s="326">
        <f t="shared" ref="AS4:AS33" ca="1" si="4">ROUND(BV4,0)</f>
        <v>230</v>
      </c>
      <c r="AT4" s="326">
        <f t="shared" ref="AT4:AT33" ca="1" si="5">ROUND(BW4,0)</f>
        <v>300</v>
      </c>
      <c r="AU4" s="326">
        <f t="shared" ref="AU4:AU33" ca="1" si="6">ROUND(BX4,0)</f>
        <v>80</v>
      </c>
      <c r="AV4" s="326">
        <f>ROUND(BY4,0)</f>
        <v>270</v>
      </c>
      <c r="AW4" s="326">
        <f>ROUND(BZ4,0)</f>
        <v>270</v>
      </c>
      <c r="AX4" s="326">
        <f>ROUND(CA4,0)</f>
        <v>270</v>
      </c>
      <c r="AY4" s="485">
        <f t="shared" ref="AY4:AY33" si="7">VLOOKUP(RIGHT(G4,LEN(G4)-2),$BK$3:$BL$7,2,FALSE)</f>
        <v>4</v>
      </c>
      <c r="AZ4" s="485">
        <f>基础属性系数!$E$61</f>
        <v>0.35</v>
      </c>
      <c r="BA4" s="485">
        <v>50</v>
      </c>
      <c r="BB4" s="485">
        <v>10</v>
      </c>
      <c r="BC4" s="485">
        <f>VLOOKUP($B4,坦克类型系数!$B$3:$R$33,MATCH(BC$3,坦克类型系数!$B$3:$R$3,0),FALSE)</f>
        <v>2.1</v>
      </c>
      <c r="BD4" s="485">
        <f>VLOOKUP($B4,坦克类型系数!$B$3:$R$33,MATCH(BD$3,坦克类型系数!$B$3:$R$3,0),FALSE)</f>
        <v>1.7000000000000002</v>
      </c>
      <c r="BE4" s="517">
        <f>VLOOKUP($B4,坦克类型系数!$B$3:$R$33,MATCH(BE$3,坦克类型系数!$B$3:$R$3,0),FALSE)</f>
        <v>1.4000000000000001</v>
      </c>
      <c r="BF4" s="485">
        <f>VLOOKUP($B4,坦克类型系数!$B$3:$R$33,MATCH(BF$3,坦克类型系数!$B$3:$R$3,0),FALSE)</f>
        <v>1.4000000000000001</v>
      </c>
      <c r="BG4" s="485">
        <f>VLOOKUP($B4,坦克类型系数!$B$3:$R$33,MATCH(BG$3,坦克类型系数!$B$3:$R$3,0),FALSE)</f>
        <v>1.2</v>
      </c>
      <c r="BH4" s="485">
        <f>VLOOKUP($B4,坦克类型系数!$B$3:$R$33,MATCH(BH$3,坦克类型系数!$B$3:$R$3,0),FALSE)</f>
        <v>1</v>
      </c>
      <c r="BI4" s="485">
        <f>VLOOKUP($B4,坦克类型系数!$B$3:$R$33,MATCH(BI$3,坦克类型系数!$B$3:$R$3,0),FALSE)</f>
        <v>0.85000000000000009</v>
      </c>
      <c r="BJ4" s="275"/>
      <c r="BK4" s="295" t="s">
        <v>1298</v>
      </c>
      <c r="BL4" s="284">
        <v>4</v>
      </c>
      <c r="BN4" s="101" t="str">
        <f t="shared" ref="BN4:BN33" si="8">B4</f>
        <v>雷诺FT</v>
      </c>
      <c r="BO4" s="493" t="str">
        <f>VLOOKUP(BN4,坦克个性化设定!$B$18:$E$48,MATCH(BO$3,坦克个性化设定!$B$18:$E$18,0),FALSE)</f>
        <v>T1</v>
      </c>
      <c r="BP4" s="135" t="str">
        <f t="shared" ref="BP4:BP33" si="9">D4</f>
        <v>低</v>
      </c>
      <c r="BQ4" s="101" t="s">
        <v>800</v>
      </c>
      <c r="BR4" s="689" t="s">
        <v>3291</v>
      </c>
      <c r="BS4" s="96">
        <f ca="1">VLOOKUP($BN4&amp;$BQ4,坦克标准养成属性!$O$3:$AA$63,MATCH(BS$3,坦克标准养成属性!$O$3:$AA$3,0),FALSE)</f>
        <v>733.72122740601651</v>
      </c>
      <c r="BT4" s="96">
        <f ca="1">VLOOKUP($BN4&amp;$BQ4,坦克标准养成属性!$O$3:$AA$63,MATCH(BT$3,坦克标准养成属性!$O$3:$AA$3,0),FALSE)</f>
        <v>23.641476402419642</v>
      </c>
      <c r="BU4" s="96">
        <f ca="1">VLOOKUP($BN4&amp;$BQ4,坦克标准养成属性!$O$3:$AA$63,MATCH(BU$3,坦克标准养成属性!$O$3:$AA$3,0),FALSE)</f>
        <v>329</v>
      </c>
      <c r="BV4" s="96">
        <f ca="1">VLOOKUP($BN4&amp;$BQ4,坦克标准养成属性!$O$3:$AA$63,MATCH(BV$3,坦克标准养成属性!$O$3:$AA$3,0),FALSE)</f>
        <v>230</v>
      </c>
      <c r="BW4" s="96">
        <f ca="1">VLOOKUP($BN4&amp;$BQ4,坦克标准养成属性!$O$3:$AA$63,MATCH(BW$3,坦克标准养成属性!$O$3:$AA$3,0),FALSE)</f>
        <v>300</v>
      </c>
      <c r="BX4" s="96">
        <f ca="1">VLOOKUP($BN4&amp;$BQ4,坦克标准养成属性!$O$3:$AA$63,MATCH(BX$3,坦克标准养成属性!$O$3:$AA$3,0),FALSE)</f>
        <v>80</v>
      </c>
      <c r="BY4" s="485">
        <f>(VLOOKUP(LEFT(BR4,1)*1,坦克部件!$M$3:$U$9,MATCH("升星属性",坦克部件!$M$3:$U$3,0),FALSE)+VLOOKUP(RIGHT(BR4,1)*1,坦克部件!$W$3:$AA$63,MATCH("累计属性",坦克部件!$W$3:$AA$3,0),FALSE))*2</f>
        <v>270</v>
      </c>
      <c r="BZ4" s="96">
        <f>BY4</f>
        <v>270</v>
      </c>
      <c r="CA4" s="96">
        <f>BY4</f>
        <v>270</v>
      </c>
    </row>
    <row r="5" spans="2:79" x14ac:dyDescent="0.35">
      <c r="B5" s="485" t="str">
        <f>坦克个性化设定!B20</f>
        <v>二号</v>
      </c>
      <c r="C5" s="485" t="str">
        <f>VLOOKUP(B5,坦克个性化设定!$B$18:$E$48,4,FALSE)</f>
        <v>T2</v>
      </c>
      <c r="D5" s="485" t="str">
        <f>坦克个性化细分!J5</f>
        <v>低</v>
      </c>
      <c r="E5" s="485" t="str">
        <f t="shared" ref="E5:E25" si="10">C5&amp;D5&amp;"0"</f>
        <v>T2低0</v>
      </c>
      <c r="F5" s="485" t="str">
        <f>VLOOKUP($B5,坦克个性化设定!$B$18:$BB$48,MATCH(F$3,坦克个性化设定!$B$18:$BB$18,0),FALSE)</f>
        <v>轻坦</v>
      </c>
      <c r="G5" s="485" t="str">
        <f>VLOOKUP($B5,坦克个性化设定!$B$18:$BB$48,MATCH(G$3,坦克个性化设定!$B$18:$BB$18,0),FALSE)</f>
        <v>轻坦弹夹</v>
      </c>
      <c r="H5" s="485" t="str">
        <f t="shared" ref="H5:H33" si="11">IF(LEN(G5)=5,RIGHT(G5,3)&amp;"装弹",RIGHT(G5,2)&amp;"装弹")</f>
        <v>弹夹装弹</v>
      </c>
      <c r="I5" s="485">
        <f>VLOOKUP($B5,坦克个性化设定!$B$18:$BB$48,MATCH(I$3,坦克个性化设定!$B$18:$BB$18,0),FALSE)</f>
        <v>4.8099999999999996</v>
      </c>
      <c r="J5" s="485">
        <f>VLOOKUP($B5,坦克个性化设定!$B$18:$BB$48,MATCH(J$3,坦克个性化设定!$B$18:$BB$18,0),FALSE)</f>
        <v>2.2599999999999998</v>
      </c>
      <c r="K5" s="485">
        <f>VLOOKUP($B5,坦克个性化设定!$B$18:$BB$48,MATCH(K$3,坦克个性化设定!$B$18:$BB$18,0),FALSE)</f>
        <v>0.3</v>
      </c>
      <c r="L5" s="115">
        <f>VLOOKUP($B5,坦克个性化设定!$B$18:$BB$48,MATCH(L$3,坦克个性化设定!$B$18:$BB$18,0),FALSE)</f>
        <v>2.1563141881038952</v>
      </c>
      <c r="M5" s="115">
        <f>VLOOKUP($B5,坦克个性化设定!$B$18:$BB$48,MATCH(M$3,坦克个性化设定!$B$18:$BB$18,0),FALSE)</f>
        <v>37.200000000000003</v>
      </c>
      <c r="N5" s="115">
        <f>VLOOKUP($B5,坦克个性化设定!$B$18:$BB$48,MATCH(N$3,坦克个性化设定!$B$18:$BB$18,0),FALSE)</f>
        <v>62.000000000000007</v>
      </c>
      <c r="O5" s="485">
        <f>VLOOKUP($B5,坦克个性化设定!$B$18:$BB$48,MATCH(O$3,坦克个性化设定!$B$18:$BB$18,0),FALSE)</f>
        <v>1</v>
      </c>
      <c r="P5" s="485">
        <f>VLOOKUP($B5,坦克个性化设定!$B$18:$BB$48,MATCH(P$3,坦克个性化设定!$B$18:$BB$18,0),FALSE)</f>
        <v>1</v>
      </c>
      <c r="Q5" s="485">
        <f>VLOOKUP($B5,坦克个性化设定!$B$18:$BB$48,MATCH(Q$3,坦克个性化设定!$B$18:$BB$18,0),FALSE)</f>
        <v>1</v>
      </c>
      <c r="R5" s="485">
        <f>VLOOKUP($B5,坦克个性化设定!$B$18:$BB$48,MATCH(R$3,坦克个性化设定!$B$18:$BB$18,0),FALSE)</f>
        <v>0.2</v>
      </c>
      <c r="S5" s="115">
        <f>VLOOKUP($B5,坦克个性化设定!$B$51:$T$81,MATCH(S$3,坦克个性化设定!$B$51:$T$51,0),FALSE)</f>
        <v>0.28800000000000003</v>
      </c>
      <c r="T5" s="115">
        <f>VLOOKUP($B5,坦克个性化设定!$B$51:$T$81,MATCH(T$3,坦克个性化设定!$B$51:$T$51,0),FALSE)</f>
        <v>0.55000000000000004</v>
      </c>
      <c r="U5" s="115">
        <f>VLOOKUP($B5,坦克个性化设定!$B$18:$BB$48,MATCH(U$3,坦克个性化设定!$B$18:$BB$18,0),FALSE)</f>
        <v>0.7</v>
      </c>
      <c r="V5" s="485">
        <f>VLOOKUP($B5,坦克个性化设定!$B$18:$BB$48,MATCH(V$3,坦克个性化设定!$B$18:$BB$18,0),FALSE)</f>
        <v>1.2</v>
      </c>
      <c r="W5" s="485">
        <f>VLOOKUP($B5,坦克个性化设定!$B$18:$BB$48,MATCH(W$3,坦克个性化设定!$B$18:$BB$18,0),FALSE)</f>
        <v>0</v>
      </c>
      <c r="X5" s="485">
        <f>VLOOKUP($B5,坦克个性化设定!$B$18:$BB$48,MATCH(X$3,坦克个性化设定!$B$18:$BB$18,0),FALSE)</f>
        <v>1</v>
      </c>
      <c r="Y5" s="115">
        <f>VLOOKUP($B5,坦克个性化设定!$B$18:$BB$48,MATCH(Y$3,坦克个性化设定!$B$18:$BB$18,0),FALSE)</f>
        <v>11.783831986523932</v>
      </c>
      <c r="Z5" s="115">
        <f>VLOOKUP($B5,坦克个性化设定!$B$18:$BB$48,MATCH(Z$3,坦克个性化设定!$B$18:$BB$18,0),FALSE)</f>
        <v>58.919159932619657</v>
      </c>
      <c r="AA5" s="115">
        <f>VLOOKUP($B5,坦克个性化设定!$B$18:$BB$48,MATCH(AA$3,坦克个性化设定!$B$18:$BB$18,0),FALSE)</f>
        <v>0.58499999999999996</v>
      </c>
      <c r="AB5" s="115">
        <f>VLOOKUP($B5,坦克个性化设定!$B$18:$BB$48,MATCH(AB$3,坦克个性化设定!$B$18:$BB$18,0),FALSE)</f>
        <v>14.6</v>
      </c>
      <c r="AC5" s="115">
        <f>VLOOKUP($B5,坦克个性化设定!$B$18:$BB$48,MATCH(AC$3,坦克个性化设定!$B$18:$BB$18,0),FALSE)</f>
        <v>23.714285714285719</v>
      </c>
      <c r="AD5" s="115">
        <f>VLOOKUP($B5,坦克个性化设定!$B$18:$BB$48,MATCH(AD$3,坦克个性化设定!$B$18:$BB$18,0),FALSE)</f>
        <v>16.600000000000001</v>
      </c>
      <c r="AE5" s="115">
        <f>VLOOKUP($B5,坦克个性化设定!$B$18:$BB$48,MATCH(AE$3,坦克个性化设定!$B$18:$BB$18,0),FALSE)</f>
        <v>0.58499999999999996</v>
      </c>
      <c r="AF5" s="485">
        <f>VLOOKUP($B5,坦克个性化设定!$B$18:$BB$48,MATCH(AF$3,坦克个性化设定!$B$18:$BB$18,0),FALSE)</f>
        <v>0.2</v>
      </c>
      <c r="AG5" s="485">
        <f>VLOOKUP($B5,坦克个性化设定!$B$18:$BB$48,MATCH(AG$3,坦克个性化设定!$B$18:$BB$18,0),FALSE)</f>
        <v>40</v>
      </c>
      <c r="AH5" s="485">
        <f>VLOOKUP($B5,坦克个性化设定!$B$18:$BB$48,MATCH(AH$3,坦克个性化设定!$B$18:$BB$18,0),FALSE)</f>
        <v>100</v>
      </c>
      <c r="AI5" s="485">
        <f>VLOOKUP(B5,坦克个性化细分!$I$3:$P$33,3,FALSE)</f>
        <v>47.1</v>
      </c>
      <c r="AJ5" s="485">
        <f>VLOOKUP(B5,坦克个性化细分!$I$3:$P$33,5,FALSE)</f>
        <v>45</v>
      </c>
      <c r="AK5" s="485">
        <f>VLOOKUP(B5,坦克个性化细分!$I$3:$P$33,7,FALSE)</f>
        <v>14.6</v>
      </c>
      <c r="AL5" s="485">
        <f>VLOOKUP($B5,坦克个性化设定!$F$84:$S$114,MATCH(AL$3,坦克个性化设定!$F$84:$S$84,0),FALSE)</f>
        <v>14.999999999999998</v>
      </c>
      <c r="AM5" s="485">
        <f>VLOOKUP($B5,坦克个性化细分!$E$3:$G$33,2,FALSE)</f>
        <v>0</v>
      </c>
      <c r="AN5" s="485">
        <f>VLOOKUP($B5,坦克个性化细分!$E$3:$G$33,3,FALSE)</f>
        <v>8.3999999999999986</v>
      </c>
      <c r="AO5" s="115">
        <f t="shared" si="0"/>
        <v>0.45833333333333337</v>
      </c>
      <c r="AP5" s="326">
        <f t="shared" ca="1" si="1"/>
        <v>891</v>
      </c>
      <c r="AQ5" s="326">
        <f t="shared" ca="1" si="2"/>
        <v>29</v>
      </c>
      <c r="AR5" s="326">
        <f t="shared" ca="1" si="3"/>
        <v>394</v>
      </c>
      <c r="AS5" s="326">
        <f t="shared" ca="1" si="4"/>
        <v>276</v>
      </c>
      <c r="AT5" s="326">
        <f t="shared" ca="1" si="5"/>
        <v>360</v>
      </c>
      <c r="AU5" s="326">
        <f t="shared" ca="1" si="6"/>
        <v>96</v>
      </c>
      <c r="AV5" s="326">
        <f t="shared" ref="AV5:AV33" si="12">ROUND(BY5,0)</f>
        <v>270</v>
      </c>
      <c r="AW5" s="326">
        <f t="shared" ref="AW5:AW33" si="13">ROUND(BZ5,0)</f>
        <v>270</v>
      </c>
      <c r="AX5" s="326">
        <f t="shared" ref="AX5:AX33" si="14">ROUND(CA5,0)</f>
        <v>270</v>
      </c>
      <c r="AY5" s="485">
        <f t="shared" si="7"/>
        <v>4</v>
      </c>
      <c r="AZ5" s="485">
        <f>基础属性系数!$E$61</f>
        <v>0.35</v>
      </c>
      <c r="BA5" s="485">
        <v>50</v>
      </c>
      <c r="BB5" s="485">
        <v>10</v>
      </c>
      <c r="BC5" s="485">
        <f>VLOOKUP($B5,坦克类型系数!$B$3:$R$33,MATCH(BC$3,坦克类型系数!$B$3:$R$3,0),FALSE)</f>
        <v>2</v>
      </c>
      <c r="BD5" s="485">
        <f>VLOOKUP($B5,坦克类型系数!$B$3:$R$33,MATCH(BD$3,坦克类型系数!$B$3:$R$3,0),FALSE)</f>
        <v>1.6500000000000001</v>
      </c>
      <c r="BE5" s="517">
        <f>VLOOKUP($B5,坦克类型系数!$B$3:$R$33,MATCH(BE$3,坦克类型系数!$B$3:$R$3,0),FALSE)</f>
        <v>1.3</v>
      </c>
      <c r="BF5" s="485">
        <f>VLOOKUP($B5,坦克类型系数!$B$3:$R$33,MATCH(BF$3,坦克类型系数!$B$3:$R$3,0),FALSE)</f>
        <v>1.3</v>
      </c>
      <c r="BG5" s="485">
        <f>VLOOKUP($B5,坦克类型系数!$B$3:$R$33,MATCH(BG$3,坦克类型系数!$B$3:$R$3,0),FALSE)</f>
        <v>1.1000000000000001</v>
      </c>
      <c r="BH5" s="485">
        <f>VLOOKUP($B5,坦克类型系数!$B$3:$R$33,MATCH(BH$3,坦克类型系数!$B$3:$R$3,0),FALSE)</f>
        <v>0.95</v>
      </c>
      <c r="BI5" s="485">
        <f>VLOOKUP($B5,坦克类型系数!$B$3:$R$33,MATCH(BI$3,坦克类型系数!$B$3:$R$3,0),FALSE)</f>
        <v>0.85000000000000009</v>
      </c>
      <c r="BJ5" s="275"/>
      <c r="BK5" s="295" t="s">
        <v>1299</v>
      </c>
      <c r="BL5" s="284">
        <v>2</v>
      </c>
      <c r="BN5" s="178" t="str">
        <f t="shared" si="8"/>
        <v>二号</v>
      </c>
      <c r="BO5" s="493" t="str">
        <f>VLOOKUP(BN5,坦克个性化设定!$B$18:$E$48,MATCH(BO$3,坦克个性化设定!$B$18:$E$18,0),FALSE)</f>
        <v>T2</v>
      </c>
      <c r="BP5" s="182" t="str">
        <f t="shared" si="9"/>
        <v>低</v>
      </c>
      <c r="BQ5" s="134" t="s">
        <v>800</v>
      </c>
      <c r="BR5" s="689" t="s">
        <v>3291</v>
      </c>
      <c r="BS5" s="96">
        <f ca="1">VLOOKUP($BN5&amp;$BQ5,坦克标准养成属性!$O$3:$AA$63,MATCH(BS$3,坦克标准养成属性!$O$3:$AA$3,0),FALSE)</f>
        <v>890.58609805852313</v>
      </c>
      <c r="BT5" s="96">
        <f ca="1">VLOOKUP($BN5&amp;$BQ5,坦克标准养成属性!$O$3:$AA$63,MATCH(BT$3,坦克标准养成属性!$O$3:$AA$3,0),FALSE)</f>
        <v>29.47079292864499</v>
      </c>
      <c r="BU5" s="96">
        <f ca="1">VLOOKUP($BN5&amp;$BQ5,坦克标准养成属性!$O$3:$AA$63,MATCH(BU$3,坦克标准养成属性!$O$3:$AA$3,0),FALSE)</f>
        <v>394</v>
      </c>
      <c r="BV5" s="96">
        <f ca="1">VLOOKUP($BN5&amp;$BQ5,坦克标准养成属性!$O$3:$AA$63,MATCH(BV$3,坦克标准养成属性!$O$3:$AA$3,0),FALSE)</f>
        <v>276</v>
      </c>
      <c r="BW5" s="96">
        <f ca="1">VLOOKUP($BN5&amp;$BQ5,坦克标准养成属性!$O$3:$AA$63,MATCH(BW$3,坦克标准养成属性!$O$3:$AA$3,0),FALSE)</f>
        <v>360</v>
      </c>
      <c r="BX5" s="96">
        <f ca="1">VLOOKUP($BN5&amp;$BQ5,坦克标准养成属性!$O$3:$AA$63,MATCH(BX$3,坦克标准养成属性!$O$3:$AA$3,0),FALSE)</f>
        <v>96</v>
      </c>
      <c r="BY5" s="669">
        <f>(VLOOKUP(LEFT(BR5,1)*1,坦克部件!$M$3:$U$9,MATCH("升星属性",坦克部件!$M$3:$U$3,0),FALSE)+VLOOKUP(RIGHT(BR5,1)*1,坦克部件!$W$3:$AA$63,MATCH("累计属性",坦克部件!$W$3:$AA$3,0),FALSE))*2</f>
        <v>270</v>
      </c>
      <c r="BZ5" s="96">
        <f t="shared" ref="BZ5:BZ33" si="15">BY5</f>
        <v>270</v>
      </c>
      <c r="CA5" s="96">
        <f t="shared" ref="CA5:CA33" si="16">BY5</f>
        <v>270</v>
      </c>
    </row>
    <row r="6" spans="2:79" x14ac:dyDescent="0.35">
      <c r="B6" s="485" t="str">
        <f>坦克个性化设定!B21</f>
        <v>Puma</v>
      </c>
      <c r="C6" s="485" t="str">
        <f>VLOOKUP(B6,坦克个性化设定!$B$18:$E$48,4,FALSE)</f>
        <v>T2</v>
      </c>
      <c r="D6" s="485" t="str">
        <f>坦克个性化细分!J6</f>
        <v>中</v>
      </c>
      <c r="E6" s="485" t="str">
        <f t="shared" si="10"/>
        <v>T2中0</v>
      </c>
      <c r="F6" s="485" t="str">
        <f>VLOOKUP($B6,坦克个性化设定!$B$18:$BB$48,MATCH(F$3,坦克个性化设定!$B$18:$BB$18,0),FALSE)</f>
        <v>轻坦</v>
      </c>
      <c r="G6" s="485" t="str">
        <f>VLOOKUP($B6,坦克个性化设定!$B$18:$BB$48,MATCH(G$3,坦克个性化设定!$B$18:$BB$18,0),FALSE)</f>
        <v>轻坦半自动</v>
      </c>
      <c r="H6" s="485" t="str">
        <f t="shared" si="11"/>
        <v>半自动装弹</v>
      </c>
      <c r="I6" s="485">
        <f>VLOOKUP($B6,坦克个性化设定!$B$18:$BB$48,MATCH(I$3,坦克个性化设定!$B$18:$BB$18,0),FALSE)</f>
        <v>6.71</v>
      </c>
      <c r="J6" s="485">
        <f>VLOOKUP($B6,坦克个性化设定!$B$18:$BB$48,MATCH(J$3,坦克个性化设定!$B$18:$BB$18,0),FALSE)</f>
        <v>2.59</v>
      </c>
      <c r="K6" s="485">
        <f>VLOOKUP($B6,坦克个性化设定!$B$18:$BB$48,MATCH(K$3,坦克个性化设定!$B$18:$BB$18,0),FALSE)</f>
        <v>0.3</v>
      </c>
      <c r="L6" s="115">
        <f>VLOOKUP($B6,坦克个性化设定!$B$18:$BB$48,MATCH(L$3,坦克个性化设定!$B$18:$BB$18,0),FALSE)</f>
        <v>2.1563141881038952</v>
      </c>
      <c r="M6" s="115">
        <f>VLOOKUP($B6,坦克个性化设定!$B$18:$BB$48,MATCH(M$3,坦克个性化设定!$B$18:$BB$18,0),FALSE)</f>
        <v>37.200000000000003</v>
      </c>
      <c r="N6" s="115">
        <f>VLOOKUP($B6,坦克个性化设定!$B$18:$BB$48,MATCH(N$3,坦克个性化设定!$B$18:$BB$18,0),FALSE)</f>
        <v>62.000000000000007</v>
      </c>
      <c r="O6" s="485">
        <f>VLOOKUP($B6,坦克个性化设定!$B$18:$BB$48,MATCH(O$3,坦克个性化设定!$B$18:$BB$18,0),FALSE)</f>
        <v>1</v>
      </c>
      <c r="P6" s="485">
        <f>VLOOKUP($B6,坦克个性化设定!$B$18:$BB$48,MATCH(P$3,坦克个性化设定!$B$18:$BB$18,0),FALSE)</f>
        <v>1</v>
      </c>
      <c r="Q6" s="485">
        <f>VLOOKUP($B6,坦克个性化设定!$B$18:$BB$48,MATCH(Q$3,坦克个性化设定!$B$18:$BB$18,0),FALSE)</f>
        <v>1</v>
      </c>
      <c r="R6" s="485">
        <f>VLOOKUP($B6,坦克个性化设定!$B$18:$BB$48,MATCH(R$3,坦克个性化设定!$B$18:$BB$18,0),FALSE)</f>
        <v>0.4</v>
      </c>
      <c r="S6" s="115">
        <f>VLOOKUP($B6,坦克个性化设定!$B$51:$T$81,MATCH(S$3,坦克个性化设定!$B$51:$T$51,0),FALSE)</f>
        <v>0.9</v>
      </c>
      <c r="T6" s="115">
        <f>VLOOKUP($B6,坦克个性化设定!$B$51:$T$81,MATCH(T$3,坦克个性化设定!$B$51:$T$51,0),FALSE)</f>
        <v>1.47</v>
      </c>
      <c r="U6" s="115">
        <f>VLOOKUP($B6,坦克个性化设定!$B$18:$BB$48,MATCH(U$3,坦克个性化设定!$B$18:$BB$18,0),FALSE)</f>
        <v>0.82</v>
      </c>
      <c r="V6" s="485">
        <f>VLOOKUP($B6,坦克个性化设定!$B$18:$BB$48,MATCH(V$3,坦克个性化设定!$B$18:$BB$18,0),FALSE)</f>
        <v>1.2</v>
      </c>
      <c r="W6" s="485">
        <f>VLOOKUP($B6,坦克个性化设定!$B$18:$BB$48,MATCH(W$3,坦克个性化设定!$B$18:$BB$18,0),FALSE)</f>
        <v>1</v>
      </c>
      <c r="X6" s="485">
        <f>VLOOKUP($B6,坦克个性化设定!$B$18:$BB$48,MATCH(X$3,坦克个性化设定!$B$18:$BB$18,0),FALSE)</f>
        <v>1</v>
      </c>
      <c r="Y6" s="115">
        <f>VLOOKUP($B6,坦克个性化设定!$B$18:$BB$48,MATCH(Y$3,坦克个性化设定!$B$18:$BB$18,0),FALSE)</f>
        <v>10.60544878787154</v>
      </c>
      <c r="Z6" s="115">
        <f>VLOOKUP($B6,坦克个性化设定!$B$18:$BB$48,MATCH(Z$3,坦克个性化设定!$B$18:$BB$18,0),FALSE)</f>
        <v>58.919159932619657</v>
      </c>
      <c r="AA6" s="115">
        <f>VLOOKUP($B6,坦克个性化设定!$B$18:$BB$48,MATCH(AA$3,坦克个性化设定!$B$18:$BB$18,0),FALSE)</f>
        <v>0.8580000000000001</v>
      </c>
      <c r="AB6" s="115">
        <f>VLOOKUP($B6,坦克个性化设定!$B$18:$BB$48,MATCH(AB$3,坦克个性化设定!$B$18:$BB$18,0),FALSE)</f>
        <v>13.87</v>
      </c>
      <c r="AC6" s="115">
        <f>VLOOKUP($B6,坦克个性化设定!$B$18:$BB$48,MATCH(AC$3,坦克个性化设定!$B$18:$BB$18,0),FALSE)</f>
        <v>23.714285714285719</v>
      </c>
      <c r="AD6" s="115">
        <f>VLOOKUP($B6,坦克个性化设定!$B$18:$BB$48,MATCH(AD$3,坦克个性化设定!$B$18:$BB$18,0),FALSE)</f>
        <v>16.600000000000001</v>
      </c>
      <c r="AE6" s="115">
        <f>VLOOKUP($B6,坦克个性化设定!$B$18:$BB$48,MATCH(AE$3,坦克个性化设定!$B$18:$BB$18,0),FALSE)</f>
        <v>0.8580000000000001</v>
      </c>
      <c r="AF6" s="485">
        <f>VLOOKUP($B6,坦克个性化设定!$B$18:$BB$48,MATCH(AF$3,坦克个性化设定!$B$18:$BB$18,0),FALSE)</f>
        <v>0.2</v>
      </c>
      <c r="AG6" s="485">
        <f>VLOOKUP($B6,坦克个性化设定!$B$18:$BB$48,MATCH(AG$3,坦克个性化设定!$B$18:$BB$18,0),FALSE)</f>
        <v>40</v>
      </c>
      <c r="AH6" s="485">
        <f>VLOOKUP($B6,坦克个性化设定!$B$18:$BB$48,MATCH(AH$3,坦克个性化设定!$B$18:$BB$18,0),FALSE)</f>
        <v>100</v>
      </c>
      <c r="AI6" s="485">
        <f>VLOOKUP(B6,坦克个性化细分!$I$3:$P$33,3,FALSE)</f>
        <v>43.3</v>
      </c>
      <c r="AJ6" s="485">
        <f>VLOOKUP(B6,坦克个性化细分!$I$3:$P$33,5,FALSE)</f>
        <v>51</v>
      </c>
      <c r="AK6" s="485">
        <f>VLOOKUP(B6,坦克个性化细分!$I$3:$P$33,7,FALSE)</f>
        <v>14.1</v>
      </c>
      <c r="AL6" s="485">
        <f>VLOOKUP($B6,坦克个性化设定!$F$84:$S$114,MATCH(AL$3,坦克个性化设定!$F$84:$S$84,0),FALSE)</f>
        <v>4</v>
      </c>
      <c r="AM6" s="485">
        <f>VLOOKUP($B6,坦克个性化细分!$E$3:$G$33,2,FALSE)</f>
        <v>1.0499999999999998</v>
      </c>
      <c r="AN6" s="485">
        <f>VLOOKUP($B6,坦克个性化细分!$E$3:$G$33,3,FALSE)</f>
        <v>0</v>
      </c>
      <c r="AO6" s="115">
        <f t="shared" si="0"/>
        <v>1.2250000000000001</v>
      </c>
      <c r="AP6" s="326">
        <f t="shared" ca="1" si="1"/>
        <v>1062</v>
      </c>
      <c r="AQ6" s="326">
        <f t="shared" ca="1" si="2"/>
        <v>47</v>
      </c>
      <c r="AR6" s="326">
        <f t="shared" ca="1" si="3"/>
        <v>369</v>
      </c>
      <c r="AS6" s="326">
        <f t="shared" ca="1" si="4"/>
        <v>258</v>
      </c>
      <c r="AT6" s="326">
        <f t="shared" ca="1" si="5"/>
        <v>369</v>
      </c>
      <c r="AU6" s="326">
        <f t="shared" ca="1" si="6"/>
        <v>98</v>
      </c>
      <c r="AV6" s="326">
        <f t="shared" si="12"/>
        <v>380</v>
      </c>
      <c r="AW6" s="326">
        <f t="shared" si="13"/>
        <v>380</v>
      </c>
      <c r="AX6" s="326">
        <f t="shared" si="14"/>
        <v>380</v>
      </c>
      <c r="AY6" s="485">
        <f t="shared" si="7"/>
        <v>2</v>
      </c>
      <c r="AZ6" s="485">
        <f>基础属性系数!$E$61</f>
        <v>0.35</v>
      </c>
      <c r="BA6" s="485">
        <v>50</v>
      </c>
      <c r="BB6" s="485">
        <v>10</v>
      </c>
      <c r="BC6" s="485">
        <f>VLOOKUP($B6,坦克类型系数!$B$3:$R$33,MATCH(BC$3,坦克类型系数!$B$3:$R$3,0),FALSE)</f>
        <v>2.1</v>
      </c>
      <c r="BD6" s="485">
        <f>VLOOKUP($B6,坦克类型系数!$B$3:$R$33,MATCH(BD$3,坦克类型系数!$B$3:$R$3,0),FALSE)</f>
        <v>1.6500000000000001</v>
      </c>
      <c r="BE6" s="517">
        <f>VLOOKUP($B6,坦克类型系数!$B$3:$R$33,MATCH(BE$3,坦克类型系数!$B$3:$R$3,0),FALSE)</f>
        <v>1.35</v>
      </c>
      <c r="BF6" s="485">
        <f>VLOOKUP($B6,坦克类型系数!$B$3:$R$33,MATCH(BF$3,坦克类型系数!$B$3:$R$3,0),FALSE)</f>
        <v>1.35</v>
      </c>
      <c r="BG6" s="485">
        <f>VLOOKUP($B6,坦克类型系数!$B$3:$R$33,MATCH(BG$3,坦克类型系数!$B$3:$R$3,0),FALSE)</f>
        <v>1.1500000000000001</v>
      </c>
      <c r="BH6" s="485">
        <f>VLOOKUP($B6,坦克类型系数!$B$3:$R$33,MATCH(BH$3,坦克类型系数!$B$3:$R$3,0),FALSE)</f>
        <v>1</v>
      </c>
      <c r="BI6" s="485">
        <f>VLOOKUP($B6,坦克类型系数!$B$3:$R$33,MATCH(BI$3,坦克类型系数!$B$3:$R$3,0),FALSE)</f>
        <v>0.85000000000000009</v>
      </c>
      <c r="BJ6" s="275"/>
      <c r="BK6" s="295" t="s">
        <v>1300</v>
      </c>
      <c r="BL6" s="284">
        <v>1</v>
      </c>
      <c r="BN6" s="178" t="str">
        <f t="shared" si="8"/>
        <v>Puma</v>
      </c>
      <c r="BO6" s="493" t="str">
        <f>VLOOKUP(BN6,坦克个性化设定!$B$18:$E$48,MATCH(BO$3,坦克个性化设定!$B$18:$E$18,0),FALSE)</f>
        <v>T2</v>
      </c>
      <c r="BP6" s="182" t="str">
        <f t="shared" si="9"/>
        <v>中</v>
      </c>
      <c r="BQ6" s="134" t="s">
        <v>800</v>
      </c>
      <c r="BR6" s="689" t="s">
        <v>3292</v>
      </c>
      <c r="BS6" s="96">
        <f ca="1">VLOOKUP($BN6&amp;$BQ6,坦克标准养成属性!$O$3:$AA$63,MATCH(BS$3,坦克标准养成属性!$O$3:$AA$3,0),FALSE)</f>
        <v>1062.2260836734827</v>
      </c>
      <c r="BT6" s="96">
        <f ca="1">VLOOKUP($BN6&amp;$BQ6,坦克标准养成属性!$O$3:$AA$63,MATCH(BT$3,坦克标准养成属性!$O$3:$AA$3,0),FALSE)</f>
        <v>46.682561211396937</v>
      </c>
      <c r="BU6" s="96">
        <f ca="1">VLOOKUP($BN6&amp;$BQ6,坦克标准养成属性!$O$3:$AA$63,MATCH(BU$3,坦克标准养成属性!$O$3:$AA$3,0),FALSE)</f>
        <v>369</v>
      </c>
      <c r="BV6" s="96">
        <f ca="1">VLOOKUP($BN6&amp;$BQ6,坦克标准养成属性!$O$3:$AA$63,MATCH(BV$3,坦克标准养成属性!$O$3:$AA$3,0),FALSE)</f>
        <v>258</v>
      </c>
      <c r="BW6" s="96">
        <f ca="1">VLOOKUP($BN6&amp;$BQ6,坦克标准养成属性!$O$3:$AA$63,MATCH(BW$3,坦克标准养成属性!$O$3:$AA$3,0),FALSE)</f>
        <v>369</v>
      </c>
      <c r="BX6" s="96">
        <f ca="1">VLOOKUP($BN6&amp;$BQ6,坦克标准养成属性!$O$3:$AA$63,MATCH(BX$3,坦克标准养成属性!$O$3:$AA$3,0),FALSE)</f>
        <v>98</v>
      </c>
      <c r="BY6" s="669">
        <f>(VLOOKUP(LEFT(BR6,1)*1,坦克部件!$M$3:$U$9,MATCH("升星属性",坦克部件!$M$3:$U$3,0),FALSE)+VLOOKUP(RIGHT(BR6,1)*1,坦克部件!$W$3:$AA$63,MATCH("累计属性",坦克部件!$W$3:$AA$3,0),FALSE))*2</f>
        <v>380.4</v>
      </c>
      <c r="BZ6" s="96">
        <f t="shared" si="15"/>
        <v>380.4</v>
      </c>
      <c r="CA6" s="96">
        <f t="shared" si="16"/>
        <v>380.4</v>
      </c>
    </row>
    <row r="7" spans="2:79" x14ac:dyDescent="0.35">
      <c r="B7" s="485" t="str">
        <f>坦克个性化设定!B22</f>
        <v>35(t)</v>
      </c>
      <c r="C7" s="485" t="str">
        <f>VLOOKUP(B7,坦克个性化设定!$B$18:$E$48,4,FALSE)</f>
        <v>T3</v>
      </c>
      <c r="D7" s="485" t="str">
        <f>坦克个性化细分!J7</f>
        <v>低</v>
      </c>
      <c r="E7" s="485" t="str">
        <f t="shared" si="10"/>
        <v>T3低0</v>
      </c>
      <c r="F7" s="485" t="str">
        <f>VLOOKUP($B7,坦克个性化设定!$B$18:$BB$48,MATCH(F$3,坦克个性化设定!$B$18:$BB$18,0),FALSE)</f>
        <v>轻坦</v>
      </c>
      <c r="G7" s="485" t="str">
        <f>VLOOKUP($B7,坦克个性化设定!$B$18:$BB$48,MATCH(G$3,坦克个性化设定!$B$18:$BB$18,0),FALSE)</f>
        <v>轻坦半自动</v>
      </c>
      <c r="H7" s="485" t="str">
        <f t="shared" si="11"/>
        <v>半自动装弹</v>
      </c>
      <c r="I7" s="485">
        <f>VLOOKUP($B7,坦克个性化设定!$B$18:$BB$48,MATCH(I$3,坦克个性化设定!$B$18:$BB$18,0),FALSE)</f>
        <v>4.83</v>
      </c>
      <c r="J7" s="485">
        <f>VLOOKUP($B7,坦克个性化设定!$B$18:$BB$48,MATCH(J$3,坦克个性化设定!$B$18:$BB$18,0),FALSE)</f>
        <v>2.11</v>
      </c>
      <c r="K7" s="485">
        <f>VLOOKUP($B7,坦克个性化设定!$B$18:$BB$48,MATCH(K$3,坦克个性化设定!$B$18:$BB$18,0),FALSE)</f>
        <v>0.3</v>
      </c>
      <c r="L7" s="115">
        <f>VLOOKUP($B7,坦克个性化设定!$B$18:$BB$48,MATCH(L$3,坦克个性化设定!$B$18:$BB$18,0),FALSE)</f>
        <v>2.1563141881038952</v>
      </c>
      <c r="M7" s="115">
        <f>VLOOKUP($B7,坦克个性化设定!$B$18:$BB$48,MATCH(M$3,坦克个性化设定!$B$18:$BB$18,0),FALSE)</f>
        <v>37.200000000000003</v>
      </c>
      <c r="N7" s="115">
        <f>VLOOKUP($B7,坦克个性化设定!$B$18:$BB$48,MATCH(N$3,坦克个性化设定!$B$18:$BB$18,0),FALSE)</f>
        <v>62.000000000000007</v>
      </c>
      <c r="O7" s="485">
        <f>VLOOKUP($B7,坦克个性化设定!$B$18:$BB$48,MATCH(O$3,坦克个性化设定!$B$18:$BB$18,0),FALSE)</f>
        <v>1</v>
      </c>
      <c r="P7" s="485">
        <f>VLOOKUP($B7,坦克个性化设定!$B$18:$BB$48,MATCH(P$3,坦克个性化设定!$B$18:$BB$18,0),FALSE)</f>
        <v>1</v>
      </c>
      <c r="Q7" s="485">
        <f>VLOOKUP($B7,坦克个性化设定!$B$18:$BB$48,MATCH(Q$3,坦克个性化设定!$B$18:$BB$18,0),FALSE)</f>
        <v>1</v>
      </c>
      <c r="R7" s="485">
        <f>VLOOKUP($B7,坦克个性化设定!$B$18:$BB$48,MATCH(R$3,坦克个性化设定!$B$18:$BB$18,0),FALSE)</f>
        <v>0.4</v>
      </c>
      <c r="S7" s="115">
        <f>VLOOKUP($B7,坦克个性化设定!$B$51:$T$81,MATCH(S$3,坦克个性化设定!$B$51:$T$51,0),FALSE)</f>
        <v>0.6</v>
      </c>
      <c r="T7" s="115">
        <f>VLOOKUP($B7,坦克个性化设定!$B$51:$T$81,MATCH(T$3,坦克个性化设定!$B$51:$T$51,0),FALSE)</f>
        <v>1.1399999999999999</v>
      </c>
      <c r="U7" s="115">
        <f>VLOOKUP($B7,坦克个性化设定!$B$18:$BB$48,MATCH(U$3,坦克个性化设定!$B$18:$BB$18,0),FALSE)</f>
        <v>0.78</v>
      </c>
      <c r="V7" s="485">
        <f>VLOOKUP($B7,坦克个性化设定!$B$18:$BB$48,MATCH(V$3,坦克个性化设定!$B$18:$BB$18,0),FALSE)</f>
        <v>1.2</v>
      </c>
      <c r="W7" s="485">
        <f>VLOOKUP($B7,坦克个性化设定!$B$18:$BB$48,MATCH(W$3,坦克个性化设定!$B$18:$BB$18,0),FALSE)</f>
        <v>2</v>
      </c>
      <c r="X7" s="485">
        <f>VLOOKUP($B7,坦克个性化设定!$B$18:$BB$48,MATCH(X$3,坦克个性化设定!$B$18:$BB$18,0),FALSE)</f>
        <v>1</v>
      </c>
      <c r="Y7" s="115">
        <f>VLOOKUP($B7,坦克个性化设定!$B$18:$BB$48,MATCH(Y$3,坦克个性化设定!$B$18:$BB$18,0),FALSE)</f>
        <v>10.60544878787154</v>
      </c>
      <c r="Z7" s="115">
        <f>VLOOKUP($B7,坦克个性化设定!$B$18:$BB$48,MATCH(Z$3,坦克个性化设定!$B$18:$BB$18,0),FALSE)</f>
        <v>58.919159932619657</v>
      </c>
      <c r="AA7" s="115">
        <f>VLOOKUP($B7,坦克个性化设定!$B$18:$BB$48,MATCH(AA$3,坦克个性化设定!$B$18:$BB$18,0),FALSE)</f>
        <v>0.8580000000000001</v>
      </c>
      <c r="AB7" s="115">
        <f>VLOOKUP($B7,坦克个性化设定!$B$18:$BB$48,MATCH(AB$3,坦克个性化设定!$B$18:$BB$18,0),FALSE)</f>
        <v>13.87</v>
      </c>
      <c r="AC7" s="115">
        <f>VLOOKUP($B7,坦克个性化设定!$B$18:$BB$48,MATCH(AC$3,坦克个性化设定!$B$18:$BB$18,0),FALSE)</f>
        <v>23.714285714285719</v>
      </c>
      <c r="AD7" s="115">
        <f>VLOOKUP($B7,坦克个性化设定!$B$18:$BB$48,MATCH(AD$3,坦克个性化设定!$B$18:$BB$18,0),FALSE)</f>
        <v>16.600000000000001</v>
      </c>
      <c r="AE7" s="115">
        <f>VLOOKUP($B7,坦克个性化设定!$B$18:$BB$48,MATCH(AE$3,坦克个性化设定!$B$18:$BB$18,0),FALSE)</f>
        <v>0.8580000000000001</v>
      </c>
      <c r="AF7" s="485">
        <f>VLOOKUP($B7,坦克个性化设定!$B$18:$BB$48,MATCH(AF$3,坦克个性化设定!$B$18:$BB$18,0),FALSE)</f>
        <v>0.2</v>
      </c>
      <c r="AG7" s="485">
        <f>VLOOKUP($B7,坦克个性化设定!$B$18:$BB$48,MATCH(AG$3,坦克个性化设定!$B$18:$BB$18,0),FALSE)</f>
        <v>40</v>
      </c>
      <c r="AH7" s="485">
        <f>VLOOKUP($B7,坦克个性化设定!$B$18:$BB$48,MATCH(AH$3,坦克个性化设定!$B$18:$BB$18,0),FALSE)</f>
        <v>100</v>
      </c>
      <c r="AI7" s="485">
        <f>VLOOKUP(B7,坦克个性化细分!$I$3:$P$33,3,FALSE)</f>
        <v>42.4</v>
      </c>
      <c r="AJ7" s="485">
        <f>VLOOKUP(B7,坦克个性化细分!$I$3:$P$33,5,FALSE)</f>
        <v>50</v>
      </c>
      <c r="AK7" s="485">
        <f>VLOOKUP(B7,坦克个性化细分!$I$3:$P$33,7,FALSE)</f>
        <v>13.9</v>
      </c>
      <c r="AL7" s="485">
        <f>VLOOKUP($B7,坦克个性化设定!$F$84:$S$114,MATCH(AL$3,坦克个性化设定!$F$84:$S$84,0),FALSE)</f>
        <v>6</v>
      </c>
      <c r="AM7" s="485">
        <f>VLOOKUP($B7,坦克个性化细分!$E$3:$G$33,2,FALSE)</f>
        <v>1.4</v>
      </c>
      <c r="AN7" s="485">
        <f>VLOOKUP($B7,坦克个性化细分!$E$3:$G$33,3,FALSE)</f>
        <v>0</v>
      </c>
      <c r="AO7" s="115">
        <f t="shared" si="0"/>
        <v>0.95</v>
      </c>
      <c r="AP7" s="326">
        <f t="shared" ca="1" si="1"/>
        <v>1109</v>
      </c>
      <c r="AQ7" s="326">
        <f t="shared" ca="1" si="2"/>
        <v>79</v>
      </c>
      <c r="AR7" s="326">
        <f t="shared" ca="1" si="3"/>
        <v>450</v>
      </c>
      <c r="AS7" s="326">
        <f t="shared" ca="1" si="4"/>
        <v>315</v>
      </c>
      <c r="AT7" s="326">
        <f t="shared" ca="1" si="5"/>
        <v>450</v>
      </c>
      <c r="AU7" s="326">
        <f t="shared" ca="1" si="6"/>
        <v>120</v>
      </c>
      <c r="AV7" s="326">
        <f t="shared" si="12"/>
        <v>380</v>
      </c>
      <c r="AW7" s="326">
        <f t="shared" si="13"/>
        <v>380</v>
      </c>
      <c r="AX7" s="326">
        <f t="shared" si="14"/>
        <v>380</v>
      </c>
      <c r="AY7" s="485">
        <f t="shared" si="7"/>
        <v>2</v>
      </c>
      <c r="AZ7" s="485">
        <f>基础属性系数!$E$61</f>
        <v>0.35</v>
      </c>
      <c r="BA7" s="485">
        <v>50</v>
      </c>
      <c r="BB7" s="485">
        <v>10</v>
      </c>
      <c r="BC7" s="485">
        <f>VLOOKUP($B7,坦克类型系数!$B$3:$R$33,MATCH(BC$3,坦克类型系数!$B$3:$R$3,0),FALSE)</f>
        <v>2.1</v>
      </c>
      <c r="BD7" s="485">
        <f>VLOOKUP($B7,坦克类型系数!$B$3:$R$33,MATCH(BD$3,坦克类型系数!$B$3:$R$3,0),FALSE)</f>
        <v>1.6</v>
      </c>
      <c r="BE7" s="517">
        <f>VLOOKUP($B7,坦克类型系数!$B$3:$R$33,MATCH(BE$3,坦克类型系数!$B$3:$R$3,0),FALSE)</f>
        <v>1.4000000000000001</v>
      </c>
      <c r="BF7" s="485">
        <f>VLOOKUP($B7,坦克类型系数!$B$3:$R$33,MATCH(BF$3,坦克类型系数!$B$3:$R$3,0),FALSE)</f>
        <v>1.4000000000000001</v>
      </c>
      <c r="BG7" s="485">
        <f>VLOOKUP($B7,坦克类型系数!$B$3:$R$33,MATCH(BG$3,坦克类型系数!$B$3:$R$3,0),FALSE)</f>
        <v>1.1000000000000001</v>
      </c>
      <c r="BH7" s="485">
        <f>VLOOKUP($B7,坦克类型系数!$B$3:$R$33,MATCH(BH$3,坦克类型系数!$B$3:$R$3,0),FALSE)</f>
        <v>0.95</v>
      </c>
      <c r="BI7" s="485">
        <f>VLOOKUP($B7,坦克类型系数!$B$3:$R$33,MATCH(BI$3,坦克类型系数!$B$3:$R$3,0),FALSE)</f>
        <v>0.85000000000000009</v>
      </c>
      <c r="BJ7" s="275"/>
      <c r="BK7" s="295" t="s">
        <v>1301</v>
      </c>
      <c r="BL7" s="284">
        <v>6</v>
      </c>
      <c r="BN7" s="178" t="str">
        <f t="shared" si="8"/>
        <v>35(t)</v>
      </c>
      <c r="BO7" s="493" t="str">
        <f>VLOOKUP(BN7,坦克个性化设定!$B$18:$E$48,MATCH(BO$3,坦克个性化设定!$B$18:$E$18,0),FALSE)</f>
        <v>T3</v>
      </c>
      <c r="BP7" s="182" t="str">
        <f t="shared" si="9"/>
        <v>低</v>
      </c>
      <c r="BQ7" s="134" t="s">
        <v>800</v>
      </c>
      <c r="BR7" s="689" t="s">
        <v>3292</v>
      </c>
      <c r="BS7" s="96">
        <f ca="1">VLOOKUP($BN7&amp;$BQ7,坦克标准养成属性!$O$3:$AA$63,MATCH(BS$3,坦克标准养成属性!$O$3:$AA$3,0),FALSE)</f>
        <v>1109.0317297686804</v>
      </c>
      <c r="BT7" s="96">
        <f ca="1">VLOOKUP($BN7&amp;$BQ7,坦克标准养成属性!$O$3:$AA$63,MATCH(BT$3,坦克标准养成属性!$O$3:$AA$3,0),FALSE)</f>
        <v>79.317942996329691</v>
      </c>
      <c r="BU7" s="96">
        <f ca="1">VLOOKUP($BN7&amp;$BQ7,坦克标准养成属性!$O$3:$AA$63,MATCH(BU$3,坦克标准养成属性!$O$3:$AA$3,0),FALSE)</f>
        <v>450</v>
      </c>
      <c r="BV7" s="96">
        <f ca="1">VLOOKUP($BN7&amp;$BQ7,坦克标准养成属性!$O$3:$AA$63,MATCH(BV$3,坦克标准养成属性!$O$3:$AA$3,0),FALSE)</f>
        <v>315</v>
      </c>
      <c r="BW7" s="96">
        <f ca="1">VLOOKUP($BN7&amp;$BQ7,坦克标准养成属性!$O$3:$AA$63,MATCH(BW$3,坦克标准养成属性!$O$3:$AA$3,0),FALSE)</f>
        <v>450</v>
      </c>
      <c r="BX7" s="96">
        <f ca="1">VLOOKUP($BN7&amp;$BQ7,坦克标准养成属性!$O$3:$AA$63,MATCH(BX$3,坦克标准养成属性!$O$3:$AA$3,0),FALSE)</f>
        <v>120</v>
      </c>
      <c r="BY7" s="669">
        <f>(VLOOKUP(LEFT(BR7,1)*1,坦克部件!$M$3:$U$9,MATCH("升星属性",坦克部件!$M$3:$U$3,0),FALSE)+VLOOKUP(RIGHT(BR7,1)*1,坦克部件!$W$3:$AA$63,MATCH("累计属性",坦克部件!$W$3:$AA$3,0),FALSE))*2</f>
        <v>380.4</v>
      </c>
      <c r="BZ7" s="96">
        <f t="shared" si="15"/>
        <v>380.4</v>
      </c>
      <c r="CA7" s="96">
        <f t="shared" si="16"/>
        <v>380.4</v>
      </c>
    </row>
    <row r="8" spans="2:79" x14ac:dyDescent="0.35">
      <c r="B8" s="485" t="str">
        <f>坦克个性化设定!B23</f>
        <v>十字军</v>
      </c>
      <c r="C8" s="485" t="str">
        <f>VLOOKUP(B8,坦克个性化设定!$B$18:$E$48,4,FALSE)</f>
        <v>T3</v>
      </c>
      <c r="D8" s="485" t="str">
        <f>坦克个性化细分!J8</f>
        <v>中</v>
      </c>
      <c r="E8" s="485" t="str">
        <f t="shared" si="10"/>
        <v>T3中0</v>
      </c>
      <c r="F8" s="485" t="str">
        <f>VLOOKUP($B8,坦克个性化设定!$B$18:$BB$48,MATCH(F$3,坦克个性化设定!$B$18:$BB$18,0),FALSE)</f>
        <v>轻坦</v>
      </c>
      <c r="G8" s="485" t="str">
        <f>VLOOKUP($B8,坦克个性化设定!$B$18:$BB$48,MATCH(G$3,坦克个性化设定!$B$18:$BB$18,0),FALSE)</f>
        <v>轻坦弹夹</v>
      </c>
      <c r="H8" s="485" t="str">
        <f t="shared" si="11"/>
        <v>弹夹装弹</v>
      </c>
      <c r="I8" s="485">
        <f>VLOOKUP($B8,坦克个性化设定!$B$18:$BB$48,MATCH(I$3,坦克个性化设定!$B$18:$BB$18,0),FALSE)</f>
        <v>5.91</v>
      </c>
      <c r="J8" s="485">
        <f>VLOOKUP($B8,坦克个性化设定!$B$18:$BB$48,MATCH(J$3,坦克个性化设定!$B$18:$BB$18,0),FALSE)</f>
        <v>2.67</v>
      </c>
      <c r="K8" s="485">
        <f>VLOOKUP($B8,坦克个性化设定!$B$18:$BB$48,MATCH(K$3,坦克个性化设定!$B$18:$BB$18,0),FALSE)</f>
        <v>0.3</v>
      </c>
      <c r="L8" s="115">
        <f>VLOOKUP($B8,坦克个性化设定!$B$18:$BB$48,MATCH(L$3,坦克个性化设定!$B$18:$BB$18,0),FALSE)</f>
        <v>2.1563141881038952</v>
      </c>
      <c r="M8" s="115">
        <f>VLOOKUP($B8,坦克个性化设定!$B$18:$BB$48,MATCH(M$3,坦克个性化设定!$B$18:$BB$18,0),FALSE)</f>
        <v>37.200000000000003</v>
      </c>
      <c r="N8" s="115">
        <f>VLOOKUP($B8,坦克个性化设定!$B$18:$BB$48,MATCH(N$3,坦克个性化设定!$B$18:$BB$18,0),FALSE)</f>
        <v>62.000000000000007</v>
      </c>
      <c r="O8" s="485">
        <f>VLOOKUP($B8,坦克个性化设定!$B$18:$BB$48,MATCH(O$3,坦克个性化设定!$B$18:$BB$18,0),FALSE)</f>
        <v>1</v>
      </c>
      <c r="P8" s="485">
        <f>VLOOKUP($B8,坦克个性化设定!$B$18:$BB$48,MATCH(P$3,坦克个性化设定!$B$18:$BB$18,0),FALSE)</f>
        <v>1</v>
      </c>
      <c r="Q8" s="485">
        <f>VLOOKUP($B8,坦克个性化设定!$B$18:$BB$48,MATCH(Q$3,坦克个性化设定!$B$18:$BB$18,0),FALSE)</f>
        <v>1</v>
      </c>
      <c r="R8" s="485">
        <f>VLOOKUP($B8,坦克个性化设定!$B$18:$BB$48,MATCH(R$3,坦克个性化设定!$B$18:$BB$18,0),FALSE)</f>
        <v>0.30000000000000004</v>
      </c>
      <c r="S8" s="115">
        <f>VLOOKUP($B8,坦克个性化设定!$B$51:$T$81,MATCH(S$3,坦克个性化设定!$B$51:$T$51,0),FALSE)</f>
        <v>0.48</v>
      </c>
      <c r="T8" s="115">
        <f>VLOOKUP($B8,坦克个性化设定!$B$51:$T$81,MATCH(T$3,坦克个性化设定!$B$51:$T$51,0),FALSE)</f>
        <v>0.84</v>
      </c>
      <c r="U8" s="115">
        <f>VLOOKUP($B8,坦克个性化设定!$B$18:$BB$48,MATCH(U$3,坦克个性化设定!$B$18:$BB$18,0),FALSE)</f>
        <v>0.82</v>
      </c>
      <c r="V8" s="485">
        <f>VLOOKUP($B8,坦克个性化设定!$B$18:$BB$48,MATCH(V$3,坦克个性化设定!$B$18:$BB$18,0),FALSE)</f>
        <v>1.2</v>
      </c>
      <c r="W8" s="485">
        <f>VLOOKUP($B8,坦克个性化设定!$B$18:$BB$48,MATCH(W$3,坦克个性化设定!$B$18:$BB$18,0),FALSE)</f>
        <v>1</v>
      </c>
      <c r="X8" s="485">
        <f>VLOOKUP($B8,坦克个性化设定!$B$18:$BB$48,MATCH(X$3,坦克个性化设定!$B$18:$BB$18,0),FALSE)</f>
        <v>1</v>
      </c>
      <c r="Y8" s="115">
        <f>VLOOKUP($B8,坦克个性化设定!$B$18:$BB$48,MATCH(Y$3,坦克个性化设定!$B$18:$BB$18,0),FALSE)</f>
        <v>11.783831986523932</v>
      </c>
      <c r="Z8" s="115">
        <f>VLOOKUP($B8,坦克个性化设定!$B$18:$BB$48,MATCH(Z$3,坦克个性化设定!$B$18:$BB$18,0),FALSE)</f>
        <v>58.919159932619657</v>
      </c>
      <c r="AA8" s="115">
        <f>VLOOKUP($B8,坦克个性化设定!$B$18:$BB$48,MATCH(AA$3,坦克个性化设定!$B$18:$BB$18,0),FALSE)</f>
        <v>0.58499999999999996</v>
      </c>
      <c r="AB8" s="115">
        <f>VLOOKUP($B8,坦克个性化设定!$B$18:$BB$48,MATCH(AB$3,坦克个性化设定!$B$18:$BB$18,0),FALSE)</f>
        <v>14.6</v>
      </c>
      <c r="AC8" s="115">
        <f>VLOOKUP($B8,坦克个性化设定!$B$18:$BB$48,MATCH(AC$3,坦克个性化设定!$B$18:$BB$18,0),FALSE)</f>
        <v>23.714285714285719</v>
      </c>
      <c r="AD8" s="115">
        <f>VLOOKUP($B8,坦克个性化设定!$B$18:$BB$48,MATCH(AD$3,坦克个性化设定!$B$18:$BB$18,0),FALSE)</f>
        <v>16.600000000000001</v>
      </c>
      <c r="AE8" s="115">
        <f>VLOOKUP($B8,坦克个性化设定!$B$18:$BB$48,MATCH(AE$3,坦克个性化设定!$B$18:$BB$18,0),FALSE)</f>
        <v>0.58499999999999996</v>
      </c>
      <c r="AF8" s="485">
        <f>VLOOKUP($B8,坦克个性化设定!$B$18:$BB$48,MATCH(AF$3,坦克个性化设定!$B$18:$BB$18,0),FALSE)</f>
        <v>0.2</v>
      </c>
      <c r="AG8" s="485">
        <f>VLOOKUP($B8,坦克个性化设定!$B$18:$BB$48,MATCH(AG$3,坦克个性化设定!$B$18:$BB$18,0),FALSE)</f>
        <v>40</v>
      </c>
      <c r="AH8" s="485">
        <f>VLOOKUP($B8,坦克个性化设定!$B$18:$BB$48,MATCH(AH$3,坦克个性化设定!$B$18:$BB$18,0),FALSE)</f>
        <v>100</v>
      </c>
      <c r="AI8" s="485">
        <f>VLOOKUP(B8,坦克个性化细分!$I$3:$P$33,3,FALSE)</f>
        <v>48.1</v>
      </c>
      <c r="AJ8" s="485">
        <f>VLOOKUP(B8,坦克个性化细分!$I$3:$P$33,5,FALSE)</f>
        <v>45.9</v>
      </c>
      <c r="AK8" s="485">
        <f>VLOOKUP(B8,坦克个性化细分!$I$3:$P$33,7,FALSE)</f>
        <v>14.9</v>
      </c>
      <c r="AL8" s="485">
        <f>VLOOKUP($B8,坦克个性化设定!$F$84:$S$114,MATCH(AL$3,坦克个性化设定!$F$84:$S$84,0),FALSE)</f>
        <v>9</v>
      </c>
      <c r="AM8" s="485">
        <f>VLOOKUP($B8,坦克个性化细分!$E$3:$G$33,2,FALSE)</f>
        <v>0</v>
      </c>
      <c r="AN8" s="485">
        <f>VLOOKUP($B8,坦克个性化细分!$E$3:$G$33,3,FALSE)</f>
        <v>6.3</v>
      </c>
      <c r="AO8" s="115">
        <f t="shared" si="0"/>
        <v>0.7</v>
      </c>
      <c r="AP8" s="326">
        <f t="shared" ca="1" si="1"/>
        <v>1268</v>
      </c>
      <c r="AQ8" s="326">
        <f t="shared" ca="1" si="2"/>
        <v>47</v>
      </c>
      <c r="AR8" s="326">
        <f t="shared" ca="1" si="3"/>
        <v>508</v>
      </c>
      <c r="AS8" s="326">
        <f t="shared" ca="1" si="4"/>
        <v>355</v>
      </c>
      <c r="AT8" s="326">
        <f t="shared" ca="1" si="5"/>
        <v>464</v>
      </c>
      <c r="AU8" s="326">
        <f t="shared" ca="1" si="6"/>
        <v>124</v>
      </c>
      <c r="AV8" s="326">
        <f t="shared" si="12"/>
        <v>380</v>
      </c>
      <c r="AW8" s="326">
        <f t="shared" si="13"/>
        <v>380</v>
      </c>
      <c r="AX8" s="326">
        <f t="shared" si="14"/>
        <v>380</v>
      </c>
      <c r="AY8" s="485">
        <f t="shared" si="7"/>
        <v>4</v>
      </c>
      <c r="AZ8" s="485">
        <f>基础属性系数!$E$61</f>
        <v>0.35</v>
      </c>
      <c r="BA8" s="485">
        <v>50</v>
      </c>
      <c r="BB8" s="485">
        <v>10</v>
      </c>
      <c r="BC8" s="485">
        <f>VLOOKUP($B8,坦克类型系数!$B$3:$R$33,MATCH(BC$3,坦克类型系数!$B$3:$R$3,0),FALSE)</f>
        <v>2</v>
      </c>
      <c r="BD8" s="485">
        <f>VLOOKUP($B8,坦克类型系数!$B$3:$R$33,MATCH(BD$3,坦克类型系数!$B$3:$R$3,0),FALSE)</f>
        <v>1.55</v>
      </c>
      <c r="BE8" s="517">
        <f>VLOOKUP($B8,坦克类型系数!$B$3:$R$33,MATCH(BE$3,坦克类型系数!$B$3:$R$3,0),FALSE)</f>
        <v>1.25</v>
      </c>
      <c r="BF8" s="485">
        <f>VLOOKUP($B8,坦克类型系数!$B$3:$R$33,MATCH(BF$3,坦克类型系数!$B$3:$R$3,0),FALSE)</f>
        <v>1.25</v>
      </c>
      <c r="BG8" s="485">
        <f>VLOOKUP($B8,坦克类型系数!$B$3:$R$33,MATCH(BG$3,坦克类型系数!$B$3:$R$3,0),FALSE)</f>
        <v>1.1000000000000001</v>
      </c>
      <c r="BH8" s="485">
        <f>VLOOKUP($B8,坦克类型系数!$B$3:$R$33,MATCH(BH$3,坦克类型系数!$B$3:$R$3,0),FALSE)</f>
        <v>0.95</v>
      </c>
      <c r="BI8" s="485">
        <f>VLOOKUP($B8,坦克类型系数!$B$3:$R$33,MATCH(BI$3,坦克类型系数!$B$3:$R$3,0),FALSE)</f>
        <v>0.8</v>
      </c>
      <c r="BJ8" s="275"/>
      <c r="BK8" s="275"/>
      <c r="BL8" s="275"/>
      <c r="BN8" s="178" t="str">
        <f t="shared" si="8"/>
        <v>十字军</v>
      </c>
      <c r="BO8" s="493" t="str">
        <f>VLOOKUP(BN8,坦克个性化设定!$B$18:$E$48,MATCH(BO$3,坦克个性化设定!$B$18:$E$18,0),FALSE)</f>
        <v>T3</v>
      </c>
      <c r="BP8" s="182" t="str">
        <f t="shared" si="9"/>
        <v>中</v>
      </c>
      <c r="BQ8" s="134" t="s">
        <v>800</v>
      </c>
      <c r="BR8" s="689" t="s">
        <v>3292</v>
      </c>
      <c r="BS8" s="96">
        <f ca="1">VLOOKUP($BN8&amp;$BQ8,坦克标准养成属性!$O$3:$AA$63,MATCH(BS$3,坦克标准养成属性!$O$3:$AA$3,0),FALSE)</f>
        <v>1267.646720287411</v>
      </c>
      <c r="BT8" s="96">
        <f ca="1">VLOOKUP($BN8&amp;$BQ8,坦克标准养成属性!$O$3:$AA$63,MATCH(BT$3,坦克标准养成属性!$O$3:$AA$3,0),FALSE)</f>
        <v>47.246002808061604</v>
      </c>
      <c r="BU8" s="96">
        <f ca="1">VLOOKUP($BN8&amp;$BQ8,坦克标准养成属性!$O$3:$AA$63,MATCH(BU$3,坦克标准养成属性!$O$3:$AA$3,0),FALSE)</f>
        <v>508</v>
      </c>
      <c r="BV8" s="96">
        <f ca="1">VLOOKUP($BN8&amp;$BQ8,坦克标准养成属性!$O$3:$AA$63,MATCH(BV$3,坦克标准养成属性!$O$3:$AA$3,0),FALSE)</f>
        <v>355</v>
      </c>
      <c r="BW8" s="96">
        <f ca="1">VLOOKUP($BN8&amp;$BQ8,坦克标准养成属性!$O$3:$AA$63,MATCH(BW$3,坦克标准养成属性!$O$3:$AA$3,0),FALSE)</f>
        <v>464</v>
      </c>
      <c r="BX8" s="96">
        <f ca="1">VLOOKUP($BN8&amp;$BQ8,坦克标准养成属性!$O$3:$AA$63,MATCH(BX$3,坦克标准养成属性!$O$3:$AA$3,0),FALSE)</f>
        <v>124</v>
      </c>
      <c r="BY8" s="669">
        <f>(VLOOKUP(LEFT(BR8,1)*1,坦克部件!$M$3:$U$9,MATCH("升星属性",坦克部件!$M$3:$U$3,0),FALSE)+VLOOKUP(RIGHT(BR8,1)*1,坦克部件!$W$3:$AA$63,MATCH("累计属性",坦克部件!$W$3:$AA$3,0),FALSE))*2</f>
        <v>380.4</v>
      </c>
      <c r="BZ8" s="96">
        <f t="shared" si="15"/>
        <v>380.4</v>
      </c>
      <c r="CA8" s="96">
        <f t="shared" si="16"/>
        <v>380.4</v>
      </c>
    </row>
    <row r="9" spans="2:79" x14ac:dyDescent="0.35">
      <c r="B9" s="485" t="str">
        <f>坦克个性化设定!B24</f>
        <v>AMX-13</v>
      </c>
      <c r="C9" s="485" t="str">
        <f>VLOOKUP(B9,坦克个性化设定!$B$18:$E$48,4,FALSE)</f>
        <v>T3</v>
      </c>
      <c r="D9" s="485" t="str">
        <f>坦克个性化细分!J9</f>
        <v>高</v>
      </c>
      <c r="E9" s="485" t="str">
        <f t="shared" si="10"/>
        <v>T3高0</v>
      </c>
      <c r="F9" s="485" t="str">
        <f>VLOOKUP($B9,坦克个性化设定!$B$18:$BB$48,MATCH(F$3,坦克个性化设定!$B$18:$BB$18,0),FALSE)</f>
        <v>轻坦</v>
      </c>
      <c r="G9" s="485" t="str">
        <f>VLOOKUP($B9,坦克个性化设定!$B$18:$BB$48,MATCH(G$3,坦克个性化设定!$B$18:$BB$18,0),FALSE)</f>
        <v>轻坦单发</v>
      </c>
      <c r="H9" s="485" t="str">
        <f t="shared" si="11"/>
        <v>单发装弹</v>
      </c>
      <c r="I9" s="485">
        <f>VLOOKUP($B9,坦克个性化设定!$B$18:$BB$48,MATCH(I$3,坦克个性化设定!$B$18:$BB$18,0),FALSE)</f>
        <v>4.9400000000000004</v>
      </c>
      <c r="J9" s="485">
        <f>VLOOKUP($B9,坦克个性化设定!$B$18:$BB$48,MATCH(J$3,坦克个性化设定!$B$18:$BB$18,0),FALSE)</f>
        <v>2.54</v>
      </c>
      <c r="K9" s="485">
        <f>VLOOKUP($B9,坦克个性化设定!$B$18:$BB$48,MATCH(K$3,坦克个性化设定!$B$18:$BB$18,0),FALSE)</f>
        <v>0.3</v>
      </c>
      <c r="L9" s="115">
        <f>VLOOKUP($B9,坦克个性化设定!$B$18:$BB$48,MATCH(L$3,坦克个性化设定!$B$18:$BB$18,0),FALSE)</f>
        <v>2.1563141881038952</v>
      </c>
      <c r="M9" s="115">
        <f>VLOOKUP($B9,坦克个性化设定!$B$18:$BB$48,MATCH(M$3,坦克个性化设定!$B$18:$BB$18,0),FALSE)</f>
        <v>37.200000000000003</v>
      </c>
      <c r="N9" s="115">
        <f>VLOOKUP($B9,坦克个性化设定!$B$18:$BB$48,MATCH(N$3,坦克个性化设定!$B$18:$BB$18,0),FALSE)</f>
        <v>62.000000000000007</v>
      </c>
      <c r="O9" s="485">
        <f>VLOOKUP($B9,坦克个性化设定!$B$18:$BB$48,MATCH(O$3,坦克个性化设定!$B$18:$BB$18,0),FALSE)</f>
        <v>1</v>
      </c>
      <c r="P9" s="485">
        <f>VLOOKUP($B9,坦克个性化设定!$B$18:$BB$48,MATCH(P$3,坦克个性化设定!$B$18:$BB$18,0),FALSE)</f>
        <v>1</v>
      </c>
      <c r="Q9" s="485">
        <f>VLOOKUP($B9,坦克个性化设定!$B$18:$BB$48,MATCH(Q$3,坦克个性化设定!$B$18:$BB$18,0),FALSE)</f>
        <v>1</v>
      </c>
      <c r="R9" s="485">
        <f>VLOOKUP($B9,坦克个性化设定!$B$18:$BB$48,MATCH(R$3,坦克个性化设定!$B$18:$BB$18,0),FALSE)</f>
        <v>0</v>
      </c>
      <c r="S9" s="115">
        <f>VLOOKUP($B9,坦克个性化设定!$B$51:$T$81,MATCH(S$3,坦克个性化设定!$B$51:$T$51,0),FALSE)</f>
        <v>1.7999999999999998</v>
      </c>
      <c r="T9" s="115">
        <f>VLOOKUP($B9,坦克个性化设定!$B$51:$T$81,MATCH(T$3,坦克个性化设定!$B$51:$T$51,0),FALSE)</f>
        <v>1.8</v>
      </c>
      <c r="U9" s="115">
        <f>VLOOKUP($B9,坦克个性化设定!$B$18:$BB$48,MATCH(U$3,坦克个性化设定!$B$18:$BB$18,0),FALSE)</f>
        <v>0.7</v>
      </c>
      <c r="V9" s="485">
        <f>VLOOKUP($B9,坦克个性化设定!$B$18:$BB$48,MATCH(V$3,坦克个性化设定!$B$18:$BB$18,0),FALSE)</f>
        <v>1</v>
      </c>
      <c r="W9" s="485">
        <f>VLOOKUP($B9,坦克个性化设定!$B$18:$BB$48,MATCH(W$3,坦克个性化设定!$B$18:$BB$18,0),FALSE)</f>
        <v>3</v>
      </c>
      <c r="X9" s="485">
        <f>VLOOKUP($B9,坦克个性化设定!$B$18:$BB$48,MATCH(X$3,坦克个性化设定!$B$18:$BB$18,0),FALSE)</f>
        <v>1</v>
      </c>
      <c r="Y9" s="115">
        <f>VLOOKUP($B9,坦克个性化设定!$B$18:$BB$48,MATCH(Y$3,坦克个性化设定!$B$18:$BB$18,0),FALSE)</f>
        <v>9.4270655892191453</v>
      </c>
      <c r="Z9" s="115">
        <f>VLOOKUP($B9,坦克个性化设定!$B$18:$BB$48,MATCH(Z$3,坦克个性化设定!$B$18:$BB$18,0),FALSE)</f>
        <v>58.919159932619657</v>
      </c>
      <c r="AA9" s="115">
        <f>VLOOKUP($B9,坦克个性化设定!$B$18:$BB$48,MATCH(AA$3,坦克个性化设定!$B$18:$BB$18,0),FALSE)</f>
        <v>1.56</v>
      </c>
      <c r="AB9" s="115">
        <f>VLOOKUP($B9,坦克个性化设定!$B$18:$BB$48,MATCH(AB$3,坦克个性化设定!$B$18:$BB$18,0),FALSE)</f>
        <v>13.14</v>
      </c>
      <c r="AC9" s="115">
        <f>VLOOKUP($B9,坦克个性化设定!$B$18:$BB$48,MATCH(AC$3,坦克个性化设定!$B$18:$BB$18,0),FALSE)</f>
        <v>23.714285714285719</v>
      </c>
      <c r="AD9" s="115">
        <f>VLOOKUP($B9,坦克个性化设定!$B$18:$BB$48,MATCH(AD$3,坦克个性化设定!$B$18:$BB$18,0),FALSE)</f>
        <v>16.600000000000001</v>
      </c>
      <c r="AE9" s="115">
        <f>VLOOKUP($B9,坦克个性化设定!$B$18:$BB$48,MATCH(AE$3,坦克个性化设定!$B$18:$BB$18,0),FALSE)</f>
        <v>1.56</v>
      </c>
      <c r="AF9" s="485">
        <f>VLOOKUP($B9,坦克个性化设定!$B$18:$BB$48,MATCH(AF$3,坦克个性化设定!$B$18:$BB$18,0),FALSE)</f>
        <v>0.2</v>
      </c>
      <c r="AG9" s="485">
        <f>VLOOKUP($B9,坦克个性化设定!$B$18:$BB$48,MATCH(AG$3,坦克个性化设定!$B$18:$BB$18,0),FALSE)</f>
        <v>40</v>
      </c>
      <c r="AH9" s="485">
        <f>VLOOKUP($B9,坦克个性化设定!$B$18:$BB$48,MATCH(AH$3,坦克个性化设定!$B$18:$BB$18,0),FALSE)</f>
        <v>100</v>
      </c>
      <c r="AI9" s="485">
        <f>VLOOKUP(B9,坦克个性化细分!$I$3:$P$33,3,FALSE)</f>
        <v>39.6</v>
      </c>
      <c r="AJ9" s="485">
        <f>VLOOKUP(B9,坦克个性化细分!$I$3:$P$33,5,FALSE)</f>
        <v>59.1</v>
      </c>
      <c r="AK9" s="485">
        <f>VLOOKUP(B9,坦克个性化细分!$I$3:$P$33,7,FALSE)</f>
        <v>13.8</v>
      </c>
      <c r="AL9" s="485">
        <f>VLOOKUP($B9,坦克个性化设定!$F$84:$S$114,MATCH(AL$3,坦克个性化设定!$F$84:$S$84,0),FALSE)</f>
        <v>1</v>
      </c>
      <c r="AM9" s="485">
        <f>VLOOKUP($B9,坦克个性化细分!$E$3:$G$33,2,FALSE)</f>
        <v>3</v>
      </c>
      <c r="AN9" s="485">
        <f>VLOOKUP($B9,坦克个性化细分!$E$3:$G$33,3,FALSE)</f>
        <v>0</v>
      </c>
      <c r="AO9" s="115">
        <f t="shared" si="0"/>
        <v>1.8</v>
      </c>
      <c r="AP9" s="326">
        <f t="shared" ca="1" si="1"/>
        <v>1229</v>
      </c>
      <c r="AQ9" s="326">
        <f t="shared" ca="1" si="2"/>
        <v>167</v>
      </c>
      <c r="AR9" s="326">
        <f t="shared" ca="1" si="3"/>
        <v>579</v>
      </c>
      <c r="AS9" s="326">
        <f t="shared" ca="1" si="4"/>
        <v>405</v>
      </c>
      <c r="AT9" s="326">
        <f t="shared" ca="1" si="5"/>
        <v>486</v>
      </c>
      <c r="AU9" s="326">
        <f t="shared" ca="1" si="6"/>
        <v>130</v>
      </c>
      <c r="AV9" s="326">
        <f t="shared" si="12"/>
        <v>380</v>
      </c>
      <c r="AW9" s="326">
        <f t="shared" si="13"/>
        <v>380</v>
      </c>
      <c r="AX9" s="326">
        <f t="shared" si="14"/>
        <v>380</v>
      </c>
      <c r="AY9" s="485">
        <f t="shared" si="7"/>
        <v>1</v>
      </c>
      <c r="AZ9" s="485">
        <f>基础属性系数!$E$61</f>
        <v>0.35</v>
      </c>
      <c r="BA9" s="485">
        <v>50</v>
      </c>
      <c r="BB9" s="485">
        <v>10</v>
      </c>
      <c r="BC9" s="485">
        <f>VLOOKUP($B9,坦克类型系数!$B$3:$R$33,MATCH(BC$3,坦克类型系数!$B$3:$R$3,0),FALSE)</f>
        <v>1.9</v>
      </c>
      <c r="BD9" s="485">
        <f>VLOOKUP($B9,坦克类型系数!$B$3:$R$33,MATCH(BD$3,坦克类型系数!$B$3:$R$3,0),FALSE)</f>
        <v>1.55</v>
      </c>
      <c r="BE9" s="517">
        <f>VLOOKUP($B9,坦克类型系数!$B$3:$R$33,MATCH(BE$3,坦克类型系数!$B$3:$R$3,0),FALSE)</f>
        <v>1.25</v>
      </c>
      <c r="BF9" s="485">
        <f>VLOOKUP($B9,坦克类型系数!$B$3:$R$33,MATCH(BF$3,坦克类型系数!$B$3:$R$3,0),FALSE)</f>
        <v>1.25</v>
      </c>
      <c r="BG9" s="485">
        <f>VLOOKUP($B9,坦克类型系数!$B$3:$R$33,MATCH(BG$3,坦克类型系数!$B$3:$R$3,0),FALSE)</f>
        <v>1.1000000000000001</v>
      </c>
      <c r="BH9" s="485">
        <f>VLOOKUP($B9,坦克类型系数!$B$3:$R$33,MATCH(BH$3,坦克类型系数!$B$3:$R$3,0),FALSE)</f>
        <v>0.89999999999999991</v>
      </c>
      <c r="BI9" s="485">
        <f>VLOOKUP($B9,坦克类型系数!$B$3:$R$33,MATCH(BI$3,坦克类型系数!$B$3:$R$3,0),FALSE)</f>
        <v>0.75</v>
      </c>
      <c r="BJ9" s="275"/>
      <c r="BK9" s="275"/>
      <c r="BL9" s="275"/>
      <c r="BN9" s="178" t="str">
        <f t="shared" si="8"/>
        <v>AMX-13</v>
      </c>
      <c r="BO9" s="493" t="str">
        <f>VLOOKUP(BN9,坦克个性化设定!$B$18:$E$48,MATCH(BO$3,坦克个性化设定!$B$18:$E$18,0),FALSE)</f>
        <v>T3</v>
      </c>
      <c r="BP9" s="182" t="str">
        <f t="shared" si="9"/>
        <v>高</v>
      </c>
      <c r="BQ9" s="134" t="s">
        <v>800</v>
      </c>
      <c r="BR9" s="689" t="s">
        <v>3292</v>
      </c>
      <c r="BS9" s="96">
        <f ca="1">VLOOKUP($BN9&amp;$BQ9,坦克标准养成属性!$O$3:$AA$63,MATCH(BS$3,坦克标准养成属性!$O$3:$AA$3,0),FALSE)</f>
        <v>1229.1613933720175</v>
      </c>
      <c r="BT9" s="96">
        <f ca="1">VLOOKUP($BN9&amp;$BQ9,坦克标准养成属性!$O$3:$AA$63,MATCH(BT$3,坦克标准养成属性!$O$3:$AA$3,0),FALSE)</f>
        <v>166.5916299553227</v>
      </c>
      <c r="BU9" s="96">
        <f ca="1">VLOOKUP($BN9&amp;$BQ9,坦克标准养成属性!$O$3:$AA$63,MATCH(BU$3,坦克标准养成属性!$O$3:$AA$3,0),FALSE)</f>
        <v>579</v>
      </c>
      <c r="BV9" s="96">
        <f ca="1">VLOOKUP($BN9&amp;$BQ9,坦克标准养成属性!$O$3:$AA$63,MATCH(BV$3,坦克标准养成属性!$O$3:$AA$3,0),FALSE)</f>
        <v>405</v>
      </c>
      <c r="BW9" s="96">
        <f ca="1">VLOOKUP($BN9&amp;$BQ9,坦克标准养成属性!$O$3:$AA$63,MATCH(BW$3,坦克标准养成属性!$O$3:$AA$3,0),FALSE)</f>
        <v>486</v>
      </c>
      <c r="BX9" s="96">
        <f ca="1">VLOOKUP($BN9&amp;$BQ9,坦克标准养成属性!$O$3:$AA$63,MATCH(BX$3,坦克标准养成属性!$O$3:$AA$3,0),FALSE)</f>
        <v>130</v>
      </c>
      <c r="BY9" s="669">
        <f>(VLOOKUP(LEFT(BR9,1)*1,坦克部件!$M$3:$U$9,MATCH("升星属性",坦克部件!$M$3:$U$3,0),FALSE)+VLOOKUP(RIGHT(BR9,1)*1,坦克部件!$W$3:$AA$63,MATCH("累计属性",坦克部件!$W$3:$AA$3,0),FALSE))*2</f>
        <v>380.4</v>
      </c>
      <c r="BZ9" s="96">
        <f t="shared" si="15"/>
        <v>380.4</v>
      </c>
      <c r="CA9" s="96">
        <f t="shared" si="16"/>
        <v>380.4</v>
      </c>
    </row>
    <row r="10" spans="2:79" x14ac:dyDescent="0.35">
      <c r="B10" s="485" t="str">
        <f>坦克个性化设定!B25</f>
        <v>霞飞</v>
      </c>
      <c r="C10" s="485" t="str">
        <f>VLOOKUP(B10,坦克个性化设定!$B$18:$E$48,4,FALSE)</f>
        <v>T4</v>
      </c>
      <c r="D10" s="485" t="str">
        <f>坦克个性化细分!J10</f>
        <v>低</v>
      </c>
      <c r="E10" s="485" t="str">
        <f t="shared" si="10"/>
        <v>T4低0</v>
      </c>
      <c r="F10" s="485" t="str">
        <f>VLOOKUP($B10,坦克个性化设定!$B$18:$BB$48,MATCH(F$3,坦克个性化设定!$B$18:$BB$18,0),FALSE)</f>
        <v>轻坦</v>
      </c>
      <c r="G10" s="485" t="str">
        <f>VLOOKUP($B10,坦克个性化设定!$B$18:$BB$48,MATCH(G$3,坦克个性化设定!$B$18:$BB$18,0),FALSE)</f>
        <v>轻坦半自动</v>
      </c>
      <c r="H10" s="485" t="str">
        <f t="shared" si="11"/>
        <v>半自动装弹</v>
      </c>
      <c r="I10" s="485">
        <f>VLOOKUP($B10,坦克个性化设定!$B$18:$BB$48,MATCH(I$3,坦克个性化设定!$B$18:$BB$18,0),FALSE)</f>
        <v>4.8</v>
      </c>
      <c r="J10" s="485">
        <f>VLOOKUP($B10,坦克个性化设定!$B$18:$BB$48,MATCH(J$3,坦克个性化设定!$B$18:$BB$18,0),FALSE)</f>
        <v>2.94</v>
      </c>
      <c r="K10" s="485">
        <f>VLOOKUP($B10,坦克个性化设定!$B$18:$BB$48,MATCH(K$3,坦克个性化设定!$B$18:$BB$18,0),FALSE)</f>
        <v>0.3</v>
      </c>
      <c r="L10" s="115">
        <f>VLOOKUP($B10,坦克个性化设定!$B$18:$BB$48,MATCH(L$3,坦克个性化设定!$B$18:$BB$18,0),FALSE)</f>
        <v>2.1563141881038952</v>
      </c>
      <c r="M10" s="115">
        <f>VLOOKUP($B10,坦克个性化设定!$B$18:$BB$48,MATCH(M$3,坦克个性化设定!$B$18:$BB$18,0),FALSE)</f>
        <v>37.200000000000003</v>
      </c>
      <c r="N10" s="115">
        <f>VLOOKUP($B10,坦克个性化设定!$B$18:$BB$48,MATCH(N$3,坦克个性化设定!$B$18:$BB$18,0),FALSE)</f>
        <v>62.000000000000007</v>
      </c>
      <c r="O10" s="485">
        <f>VLOOKUP($B10,坦克个性化设定!$B$18:$BB$48,MATCH(O$3,坦克个性化设定!$B$18:$BB$18,0),FALSE)</f>
        <v>1</v>
      </c>
      <c r="P10" s="485">
        <f>VLOOKUP($B10,坦克个性化设定!$B$18:$BB$48,MATCH(P$3,坦克个性化设定!$B$18:$BB$18,0),FALSE)</f>
        <v>1</v>
      </c>
      <c r="Q10" s="485">
        <f>VLOOKUP($B10,坦克个性化设定!$B$18:$BB$48,MATCH(Q$3,坦克个性化设定!$B$18:$BB$18,0),FALSE)</f>
        <v>1</v>
      </c>
      <c r="R10" s="485">
        <f>VLOOKUP($B10,坦克个性化设定!$B$18:$BB$48,MATCH(R$3,坦克个性化设定!$B$18:$BB$18,0),FALSE)</f>
        <v>0.30000000000000004</v>
      </c>
      <c r="S10" s="115">
        <f>VLOOKUP($B10,坦克个性化设定!$B$51:$T$81,MATCH(S$3,坦克个性化设定!$B$51:$T$51,0),FALSE)</f>
        <v>0.6</v>
      </c>
      <c r="T10" s="115">
        <f>VLOOKUP($B10,坦克个性化设定!$B$51:$T$81,MATCH(T$3,坦克个性化设定!$B$51:$T$51,0),FALSE)</f>
        <v>1.08</v>
      </c>
      <c r="U10" s="115">
        <f>VLOOKUP($B10,坦克个性化设定!$B$18:$BB$48,MATCH(U$3,坦克个性化设定!$B$18:$BB$18,0),FALSE)</f>
        <v>0.82</v>
      </c>
      <c r="V10" s="485">
        <f>VLOOKUP($B10,坦克个性化设定!$B$18:$BB$48,MATCH(V$3,坦克个性化设定!$B$18:$BB$18,0),FALSE)</f>
        <v>1.2</v>
      </c>
      <c r="W10" s="485">
        <f>VLOOKUP($B10,坦克个性化设定!$B$18:$BB$48,MATCH(W$3,坦克个性化设定!$B$18:$BB$18,0),FALSE)</f>
        <v>2</v>
      </c>
      <c r="X10" s="485">
        <f>VLOOKUP($B10,坦克个性化设定!$B$18:$BB$48,MATCH(X$3,坦克个性化设定!$B$18:$BB$18,0),FALSE)</f>
        <v>1</v>
      </c>
      <c r="Y10" s="115">
        <f>VLOOKUP($B10,坦克个性化设定!$B$18:$BB$48,MATCH(Y$3,坦克个性化设定!$B$18:$BB$18,0),FALSE)</f>
        <v>10.60544878787154</v>
      </c>
      <c r="Z10" s="115">
        <f>VLOOKUP($B10,坦克个性化设定!$B$18:$BB$48,MATCH(Z$3,坦克个性化设定!$B$18:$BB$18,0),FALSE)</f>
        <v>58.919159932619657</v>
      </c>
      <c r="AA10" s="115">
        <f>VLOOKUP($B10,坦克个性化设定!$B$18:$BB$48,MATCH(AA$3,坦克个性化设定!$B$18:$BB$18,0),FALSE)</f>
        <v>0.8580000000000001</v>
      </c>
      <c r="AB10" s="115">
        <f>VLOOKUP($B10,坦克个性化设定!$B$18:$BB$48,MATCH(AB$3,坦克个性化设定!$B$18:$BB$18,0),FALSE)</f>
        <v>13.87</v>
      </c>
      <c r="AC10" s="115">
        <f>VLOOKUP($B10,坦克个性化设定!$B$18:$BB$48,MATCH(AC$3,坦克个性化设定!$B$18:$BB$18,0),FALSE)</f>
        <v>23.714285714285719</v>
      </c>
      <c r="AD10" s="115">
        <f>VLOOKUP($B10,坦克个性化设定!$B$18:$BB$48,MATCH(AD$3,坦克个性化设定!$B$18:$BB$18,0),FALSE)</f>
        <v>16.600000000000001</v>
      </c>
      <c r="AE10" s="115">
        <f>VLOOKUP($B10,坦克个性化设定!$B$18:$BB$48,MATCH(AE$3,坦克个性化设定!$B$18:$BB$18,0),FALSE)</f>
        <v>0.8580000000000001</v>
      </c>
      <c r="AF10" s="485">
        <f>VLOOKUP($B10,坦克个性化设定!$B$18:$BB$48,MATCH(AF$3,坦克个性化设定!$B$18:$BB$18,0),FALSE)</f>
        <v>0.2</v>
      </c>
      <c r="AG10" s="485">
        <f>VLOOKUP($B10,坦克个性化设定!$B$18:$BB$48,MATCH(AG$3,坦克个性化设定!$B$18:$BB$18,0),FALSE)</f>
        <v>40</v>
      </c>
      <c r="AH10" s="485">
        <f>VLOOKUP($B10,坦克个性化设定!$B$18:$BB$48,MATCH(AH$3,坦克个性化设定!$B$18:$BB$18,0),FALSE)</f>
        <v>100</v>
      </c>
      <c r="AI10" s="485">
        <f>VLOOKUP(B10,坦克个性化细分!$I$3:$P$33,3,FALSE)</f>
        <v>42.4</v>
      </c>
      <c r="AJ10" s="485">
        <f>VLOOKUP(B10,坦克个性化细分!$I$3:$P$33,5,FALSE)</f>
        <v>50</v>
      </c>
      <c r="AK10" s="485">
        <f>VLOOKUP(B10,坦克个性化细分!$I$3:$P$33,7,FALSE)</f>
        <v>13.9</v>
      </c>
      <c r="AL10" s="485">
        <f>VLOOKUP($B10,坦克个性化设定!$F$84:$S$114,MATCH(AL$3,坦克个性化设定!$F$84:$S$84,0),FALSE)</f>
        <v>6</v>
      </c>
      <c r="AM10" s="485">
        <f>VLOOKUP($B10,坦克个性化细分!$E$3:$G$33,2,FALSE)</f>
        <v>1.4</v>
      </c>
      <c r="AN10" s="485">
        <f>VLOOKUP($B10,坦克个性化细分!$E$3:$G$33,3,FALSE)</f>
        <v>0</v>
      </c>
      <c r="AO10" s="115">
        <f t="shared" si="0"/>
        <v>0.90000000000000013</v>
      </c>
      <c r="AP10" s="326">
        <f t="shared" ca="1" si="1"/>
        <v>1452</v>
      </c>
      <c r="AQ10" s="326">
        <f t="shared" ca="1" si="2"/>
        <v>96</v>
      </c>
      <c r="AR10" s="326">
        <f t="shared" ca="1" si="3"/>
        <v>570</v>
      </c>
      <c r="AS10" s="326">
        <f t="shared" ca="1" si="4"/>
        <v>399</v>
      </c>
      <c r="AT10" s="326">
        <f t="shared" ca="1" si="5"/>
        <v>570</v>
      </c>
      <c r="AU10" s="326">
        <f t="shared" ca="1" si="6"/>
        <v>152</v>
      </c>
      <c r="AV10" s="326">
        <f t="shared" si="12"/>
        <v>538</v>
      </c>
      <c r="AW10" s="326">
        <f t="shared" si="13"/>
        <v>538</v>
      </c>
      <c r="AX10" s="326">
        <f t="shared" si="14"/>
        <v>538</v>
      </c>
      <c r="AY10" s="485">
        <f t="shared" si="7"/>
        <v>2</v>
      </c>
      <c r="AZ10" s="485">
        <f>基础属性系数!$E$61</f>
        <v>0.35</v>
      </c>
      <c r="BA10" s="485">
        <v>50</v>
      </c>
      <c r="BB10" s="485">
        <v>10</v>
      </c>
      <c r="BC10" s="485">
        <f>VLOOKUP($B10,坦克类型系数!$B$3:$R$33,MATCH(BC$3,坦克类型系数!$B$3:$R$3,0),FALSE)</f>
        <v>1.85</v>
      </c>
      <c r="BD10" s="485">
        <f>VLOOKUP($B10,坦克类型系数!$B$3:$R$33,MATCH(BD$3,坦克类型系数!$B$3:$R$3,0),FALSE)</f>
        <v>1.45</v>
      </c>
      <c r="BE10" s="517">
        <f>VLOOKUP($B10,坦克类型系数!$B$3:$R$33,MATCH(BE$3,坦克类型系数!$B$3:$R$3,0),FALSE)</f>
        <v>1.1500000000000001</v>
      </c>
      <c r="BF10" s="485">
        <f>VLOOKUP($B10,坦克类型系数!$B$3:$R$33,MATCH(BF$3,坦克类型系数!$B$3:$R$3,0),FALSE)</f>
        <v>1.1500000000000001</v>
      </c>
      <c r="BG10" s="485">
        <f>VLOOKUP($B10,坦克类型系数!$B$3:$R$33,MATCH(BG$3,坦克类型系数!$B$3:$R$3,0),FALSE)</f>
        <v>1.05</v>
      </c>
      <c r="BH10" s="485">
        <f>VLOOKUP($B10,坦克类型系数!$B$3:$R$33,MATCH(BH$3,坦克类型系数!$B$3:$R$3,0),FALSE)</f>
        <v>0.89999999999999991</v>
      </c>
      <c r="BI10" s="485">
        <f>VLOOKUP($B10,坦克类型系数!$B$3:$R$33,MATCH(BI$3,坦克类型系数!$B$3:$R$3,0),FALSE)</f>
        <v>0.75</v>
      </c>
      <c r="BJ10" s="275"/>
      <c r="BK10" s="275"/>
      <c r="BL10" s="275"/>
      <c r="BN10" s="178" t="str">
        <f t="shared" si="8"/>
        <v>霞飞</v>
      </c>
      <c r="BO10" s="493" t="str">
        <f>VLOOKUP(BN10,坦克个性化设定!$B$18:$E$48,MATCH(BO$3,坦克个性化设定!$B$18:$E$18,0),FALSE)</f>
        <v>T4</v>
      </c>
      <c r="BP10" s="182" t="str">
        <f t="shared" si="9"/>
        <v>低</v>
      </c>
      <c r="BQ10" s="134" t="s">
        <v>800</v>
      </c>
      <c r="BR10" s="689" t="s">
        <v>3293</v>
      </c>
      <c r="BS10" s="96">
        <f ca="1">VLOOKUP($BN10&amp;$BQ10,坦克标准养成属性!$O$3:$AA$63,MATCH(BS$3,坦克标准养成属性!$O$3:$AA$3,0),FALSE)</f>
        <v>1451.961842772984</v>
      </c>
      <c r="BT10" s="96">
        <f ca="1">VLOOKUP($BN10&amp;$BQ10,坦克标准养成属性!$O$3:$AA$63,MATCH(BT$3,坦克标准养成属性!$O$3:$AA$3,0),FALSE)</f>
        <v>95.958120109587185</v>
      </c>
      <c r="BU10" s="96">
        <f ca="1">VLOOKUP($BN10&amp;$BQ10,坦克标准养成属性!$O$3:$AA$63,MATCH(BU$3,坦克标准养成属性!$O$3:$AA$3,0),FALSE)</f>
        <v>570</v>
      </c>
      <c r="BV10" s="96">
        <f ca="1">VLOOKUP($BN10&amp;$BQ10,坦克标准养成属性!$O$3:$AA$63,MATCH(BV$3,坦克标准养成属性!$O$3:$AA$3,0),FALSE)</f>
        <v>399</v>
      </c>
      <c r="BW10" s="96">
        <f ca="1">VLOOKUP($BN10&amp;$BQ10,坦克标准养成属性!$O$3:$AA$63,MATCH(BW$3,坦克标准养成属性!$O$3:$AA$3,0),FALSE)</f>
        <v>570</v>
      </c>
      <c r="BX10" s="96">
        <f ca="1">VLOOKUP($BN10&amp;$BQ10,坦克标准养成属性!$O$3:$AA$63,MATCH(BX$3,坦克标准养成属性!$O$3:$AA$3,0),FALSE)</f>
        <v>152</v>
      </c>
      <c r="BY10" s="669">
        <f>(VLOOKUP(LEFT(BR10,1)*1,坦克部件!$M$3:$U$9,MATCH("升星属性",坦克部件!$M$3:$U$3,0),FALSE)+VLOOKUP(RIGHT(BR10,1)*1,坦克部件!$W$3:$AA$63,MATCH("累计属性",坦克部件!$W$3:$AA$3,0),FALSE))*2</f>
        <v>537.6</v>
      </c>
      <c r="BZ10" s="96">
        <f t="shared" si="15"/>
        <v>537.6</v>
      </c>
      <c r="CA10" s="96">
        <f t="shared" si="16"/>
        <v>537.6</v>
      </c>
    </row>
    <row r="11" spans="2:79" x14ac:dyDescent="0.35">
      <c r="B11" s="485" t="str">
        <f>坦克个性化设定!B26</f>
        <v>M-41</v>
      </c>
      <c r="C11" s="485" t="str">
        <f>VLOOKUP(B11,坦克个性化设定!$B$18:$E$48,4,FALSE)</f>
        <v>T4</v>
      </c>
      <c r="D11" s="485" t="str">
        <f>坦克个性化细分!J11</f>
        <v>中</v>
      </c>
      <c r="E11" s="485" t="str">
        <f t="shared" si="10"/>
        <v>T4中0</v>
      </c>
      <c r="F11" s="485" t="str">
        <f>VLOOKUP($B11,坦克个性化设定!$B$18:$BB$48,MATCH(F$3,坦克个性化设定!$B$18:$BB$18,0),FALSE)</f>
        <v>轻坦</v>
      </c>
      <c r="G11" s="485" t="str">
        <f>VLOOKUP($B11,坦克个性化设定!$B$18:$BB$48,MATCH(G$3,坦克个性化设定!$B$18:$BB$18,0),FALSE)</f>
        <v>轻坦单发</v>
      </c>
      <c r="H11" s="485" t="str">
        <f t="shared" si="11"/>
        <v>单发装弹</v>
      </c>
      <c r="I11" s="485">
        <f>VLOOKUP($B11,坦克个性化设定!$B$18:$BB$48,MATCH(I$3,坦克个性化设定!$B$18:$BB$18,0),FALSE)</f>
        <v>5.61</v>
      </c>
      <c r="J11" s="485">
        <f>VLOOKUP($B11,坦克个性化设定!$B$18:$BB$48,MATCH(J$3,坦克个性化设定!$B$18:$BB$18,0),FALSE)</f>
        <v>3.21</v>
      </c>
      <c r="K11" s="485">
        <f>VLOOKUP($B11,坦克个性化设定!$B$18:$BB$48,MATCH(K$3,坦克个性化设定!$B$18:$BB$18,0),FALSE)</f>
        <v>0.3</v>
      </c>
      <c r="L11" s="115">
        <f>VLOOKUP($B11,坦克个性化设定!$B$18:$BB$48,MATCH(L$3,坦克个性化设定!$B$18:$BB$18,0),FALSE)</f>
        <v>2.1563141881038952</v>
      </c>
      <c r="M11" s="115">
        <f>VLOOKUP($B11,坦克个性化设定!$B$18:$BB$48,MATCH(M$3,坦克个性化设定!$B$18:$BB$18,0),FALSE)</f>
        <v>37.200000000000003</v>
      </c>
      <c r="N11" s="115">
        <f>VLOOKUP($B11,坦克个性化设定!$B$18:$BB$48,MATCH(N$3,坦克个性化设定!$B$18:$BB$18,0),FALSE)</f>
        <v>62.000000000000007</v>
      </c>
      <c r="O11" s="485">
        <f>VLOOKUP($B11,坦克个性化设定!$B$18:$BB$48,MATCH(O$3,坦克个性化设定!$B$18:$BB$18,0),FALSE)</f>
        <v>1</v>
      </c>
      <c r="P11" s="485">
        <f>VLOOKUP($B11,坦克个性化设定!$B$18:$BB$48,MATCH(P$3,坦克个性化设定!$B$18:$BB$18,0),FALSE)</f>
        <v>1</v>
      </c>
      <c r="Q11" s="485">
        <f>VLOOKUP($B11,坦克个性化设定!$B$18:$BB$48,MATCH(Q$3,坦克个性化设定!$B$18:$BB$18,0),FALSE)</f>
        <v>1</v>
      </c>
      <c r="R11" s="485">
        <f>VLOOKUP($B11,坦克个性化设定!$B$18:$BB$48,MATCH(R$3,坦克个性化设定!$B$18:$BB$18,0),FALSE)</f>
        <v>0</v>
      </c>
      <c r="S11" s="115">
        <f>VLOOKUP($B11,坦克个性化设定!$B$51:$T$81,MATCH(S$3,坦克个性化设定!$B$51:$T$51,0),FALSE)</f>
        <v>1.7999999999999998</v>
      </c>
      <c r="T11" s="115">
        <f>VLOOKUP($B11,坦克个性化设定!$B$51:$T$81,MATCH(T$3,坦克个性化设定!$B$51:$T$51,0),FALSE)</f>
        <v>1.8</v>
      </c>
      <c r="U11" s="115">
        <f>VLOOKUP($B11,坦克个性化设定!$B$18:$BB$48,MATCH(U$3,坦克个性化设定!$B$18:$BB$18,0),FALSE)</f>
        <v>0.74</v>
      </c>
      <c r="V11" s="485">
        <f>VLOOKUP($B11,坦克个性化设定!$B$18:$BB$48,MATCH(V$3,坦克个性化设定!$B$18:$BB$18,0),FALSE)</f>
        <v>1</v>
      </c>
      <c r="W11" s="485">
        <f>VLOOKUP($B11,坦克个性化设定!$B$18:$BB$48,MATCH(W$3,坦克个性化设定!$B$18:$BB$18,0),FALSE)</f>
        <v>3</v>
      </c>
      <c r="X11" s="485">
        <f>VLOOKUP($B11,坦克个性化设定!$B$18:$BB$48,MATCH(X$3,坦克个性化设定!$B$18:$BB$18,0),FALSE)</f>
        <v>1</v>
      </c>
      <c r="Y11" s="115">
        <f>VLOOKUP($B11,坦克个性化设定!$B$18:$BB$48,MATCH(Y$3,坦克个性化设定!$B$18:$BB$18,0),FALSE)</f>
        <v>9.4270655892191453</v>
      </c>
      <c r="Z11" s="115">
        <f>VLOOKUP($B11,坦克个性化设定!$B$18:$BB$48,MATCH(Z$3,坦克个性化设定!$B$18:$BB$18,0),FALSE)</f>
        <v>58.919159932619657</v>
      </c>
      <c r="AA11" s="115">
        <f>VLOOKUP($B11,坦克个性化设定!$B$18:$BB$48,MATCH(AA$3,坦克个性化设定!$B$18:$BB$18,0),FALSE)</f>
        <v>1.56</v>
      </c>
      <c r="AB11" s="115">
        <f>VLOOKUP($B11,坦克个性化设定!$B$18:$BB$48,MATCH(AB$3,坦克个性化设定!$B$18:$BB$18,0),FALSE)</f>
        <v>13.14</v>
      </c>
      <c r="AC11" s="115">
        <f>VLOOKUP($B11,坦克个性化设定!$B$18:$BB$48,MATCH(AC$3,坦克个性化设定!$B$18:$BB$18,0),FALSE)</f>
        <v>23.714285714285719</v>
      </c>
      <c r="AD11" s="115">
        <f>VLOOKUP($B11,坦克个性化设定!$B$18:$BB$48,MATCH(AD$3,坦克个性化设定!$B$18:$BB$18,0),FALSE)</f>
        <v>16.600000000000001</v>
      </c>
      <c r="AE11" s="115">
        <f>VLOOKUP($B11,坦克个性化设定!$B$18:$BB$48,MATCH(AE$3,坦克个性化设定!$B$18:$BB$18,0),FALSE)</f>
        <v>1.56</v>
      </c>
      <c r="AF11" s="485">
        <f>VLOOKUP($B11,坦克个性化设定!$B$18:$BB$48,MATCH(AF$3,坦克个性化设定!$B$18:$BB$18,0),FALSE)</f>
        <v>0.2</v>
      </c>
      <c r="AG11" s="485">
        <f>VLOOKUP($B11,坦克个性化设定!$B$18:$BB$48,MATCH(AG$3,坦克个性化设定!$B$18:$BB$18,0),FALSE)</f>
        <v>40</v>
      </c>
      <c r="AH11" s="485">
        <f>VLOOKUP($B11,坦克个性化设定!$B$18:$BB$48,MATCH(AH$3,坦克个性化设定!$B$18:$BB$18,0),FALSE)</f>
        <v>100</v>
      </c>
      <c r="AI11" s="485">
        <f>VLOOKUP(B11,坦克个性化细分!$I$3:$P$33,3,FALSE)</f>
        <v>38.5</v>
      </c>
      <c r="AJ11" s="485">
        <f>VLOOKUP(B11,坦克个性化细分!$I$3:$P$33,5,FALSE)</f>
        <v>57.4</v>
      </c>
      <c r="AK11" s="485">
        <f>VLOOKUP(B11,坦克个性化细分!$I$3:$P$33,7,FALSE)</f>
        <v>13.4</v>
      </c>
      <c r="AL11" s="485">
        <f>VLOOKUP($B11,坦克个性化设定!$F$84:$S$114,MATCH(AL$3,坦克个性化设定!$F$84:$S$84,0),FALSE)</f>
        <v>1</v>
      </c>
      <c r="AM11" s="485">
        <f>VLOOKUP($B11,坦克个性化细分!$E$3:$G$33,2,FALSE)</f>
        <v>3</v>
      </c>
      <c r="AN11" s="485">
        <f>VLOOKUP($B11,坦克个性化细分!$E$3:$G$33,3,FALSE)</f>
        <v>0</v>
      </c>
      <c r="AO11" s="115">
        <f t="shared" si="0"/>
        <v>1.8</v>
      </c>
      <c r="AP11" s="326">
        <f t="shared" ca="1" si="1"/>
        <v>1604</v>
      </c>
      <c r="AQ11" s="326">
        <f t="shared" ca="1" si="2"/>
        <v>187</v>
      </c>
      <c r="AR11" s="326">
        <f t="shared" ca="1" si="3"/>
        <v>700</v>
      </c>
      <c r="AS11" s="326">
        <f t="shared" ca="1" si="4"/>
        <v>490</v>
      </c>
      <c r="AT11" s="326">
        <f t="shared" ca="1" si="5"/>
        <v>588</v>
      </c>
      <c r="AU11" s="326">
        <f t="shared" ca="1" si="6"/>
        <v>157</v>
      </c>
      <c r="AV11" s="326">
        <f t="shared" si="12"/>
        <v>538</v>
      </c>
      <c r="AW11" s="326">
        <f t="shared" si="13"/>
        <v>538</v>
      </c>
      <c r="AX11" s="326">
        <f t="shared" si="14"/>
        <v>538</v>
      </c>
      <c r="AY11" s="485">
        <f t="shared" si="7"/>
        <v>1</v>
      </c>
      <c r="AZ11" s="485">
        <f>基础属性系数!$E$61</f>
        <v>0.35</v>
      </c>
      <c r="BA11" s="485">
        <v>50</v>
      </c>
      <c r="BB11" s="485">
        <v>10</v>
      </c>
      <c r="BC11" s="485">
        <f>VLOOKUP($B11,坦克类型系数!$B$3:$R$33,MATCH(BC$3,坦克类型系数!$B$3:$R$3,0),FALSE)</f>
        <v>1.85</v>
      </c>
      <c r="BD11" s="485">
        <f>VLOOKUP($B11,坦克类型系数!$B$3:$R$33,MATCH(BD$3,坦克类型系数!$B$3:$R$3,0),FALSE)</f>
        <v>1.35</v>
      </c>
      <c r="BE11" s="517">
        <f>VLOOKUP($B11,坦克类型系数!$B$3:$R$33,MATCH(BE$3,坦克类型系数!$B$3:$R$3,0),FALSE)</f>
        <v>1.2</v>
      </c>
      <c r="BF11" s="485">
        <f>VLOOKUP($B11,坦克类型系数!$B$3:$R$33,MATCH(BF$3,坦克类型系数!$B$3:$R$3,0),FALSE)</f>
        <v>1.2</v>
      </c>
      <c r="BG11" s="485">
        <f>VLOOKUP($B11,坦克类型系数!$B$3:$R$33,MATCH(BG$3,坦克类型系数!$B$3:$R$3,0),FALSE)</f>
        <v>1.1500000000000001</v>
      </c>
      <c r="BH11" s="485">
        <f>VLOOKUP($B11,坦克类型系数!$B$3:$R$33,MATCH(BH$3,坦克类型系数!$B$3:$R$3,0),FALSE)</f>
        <v>0.95</v>
      </c>
      <c r="BI11" s="485">
        <f>VLOOKUP($B11,坦克类型系数!$B$3:$R$33,MATCH(BI$3,坦克类型系数!$B$3:$R$3,0),FALSE)</f>
        <v>0.89999999999999991</v>
      </c>
      <c r="BJ11" s="275"/>
      <c r="BK11" s="275"/>
      <c r="BL11" s="275"/>
      <c r="BN11" s="178" t="str">
        <f t="shared" si="8"/>
        <v>M-41</v>
      </c>
      <c r="BO11" s="493" t="str">
        <f>VLOOKUP(BN11,坦克个性化设定!$B$18:$E$48,MATCH(BO$3,坦克个性化设定!$B$18:$E$18,0),FALSE)</f>
        <v>T4</v>
      </c>
      <c r="BP11" s="182" t="str">
        <f t="shared" si="9"/>
        <v>中</v>
      </c>
      <c r="BQ11" s="134" t="s">
        <v>800</v>
      </c>
      <c r="BR11" s="689" t="s">
        <v>3293</v>
      </c>
      <c r="BS11" s="96">
        <f ca="1">VLOOKUP($BN11&amp;$BQ11,坦克标准养成属性!$O$3:$AA$63,MATCH(BS$3,坦克标准养成属性!$O$3:$AA$3,0),FALSE)</f>
        <v>1604.4261630888129</v>
      </c>
      <c r="BT11" s="96">
        <f ca="1">VLOOKUP($BN11&amp;$BQ11,坦克标准养成属性!$O$3:$AA$63,MATCH(BT$3,坦克标准养成属性!$O$3:$AA$3,0),FALSE)</f>
        <v>186.66362272691376</v>
      </c>
      <c r="BU11" s="96">
        <f ca="1">VLOOKUP($BN11&amp;$BQ11,坦克标准养成属性!$O$3:$AA$63,MATCH(BU$3,坦克标准养成属性!$O$3:$AA$3,0),FALSE)</f>
        <v>700</v>
      </c>
      <c r="BV11" s="96">
        <f ca="1">VLOOKUP($BN11&amp;$BQ11,坦克标准养成属性!$O$3:$AA$63,MATCH(BV$3,坦克标准养成属性!$O$3:$AA$3,0),FALSE)</f>
        <v>490</v>
      </c>
      <c r="BW11" s="96">
        <f ca="1">VLOOKUP($BN11&amp;$BQ11,坦克标准养成属性!$O$3:$AA$63,MATCH(BW$3,坦克标准养成属性!$O$3:$AA$3,0),FALSE)</f>
        <v>588</v>
      </c>
      <c r="BX11" s="96">
        <f ca="1">VLOOKUP($BN11&amp;$BQ11,坦克标准养成属性!$O$3:$AA$63,MATCH(BX$3,坦克标准养成属性!$O$3:$AA$3,0),FALSE)</f>
        <v>157</v>
      </c>
      <c r="BY11" s="669">
        <f>(VLOOKUP(LEFT(BR11,1)*1,坦克部件!$M$3:$U$9,MATCH("升星属性",坦克部件!$M$3:$U$3,0),FALSE)+VLOOKUP(RIGHT(BR11,1)*1,坦克部件!$W$3:$AA$63,MATCH("累计属性",坦克部件!$W$3:$AA$3,0),FALSE))*2</f>
        <v>537.6</v>
      </c>
      <c r="BZ11" s="96">
        <f t="shared" si="15"/>
        <v>537.6</v>
      </c>
      <c r="CA11" s="96">
        <f t="shared" si="16"/>
        <v>537.6</v>
      </c>
    </row>
    <row r="12" spans="2:79" x14ac:dyDescent="0.35">
      <c r="B12" s="485" t="str">
        <f>坦克个性化设定!B27</f>
        <v>BMP-3</v>
      </c>
      <c r="C12" s="485" t="str">
        <f>VLOOKUP(B12,坦克个性化设定!$B$18:$E$48,4,FALSE)</f>
        <v>T4</v>
      </c>
      <c r="D12" s="485" t="str">
        <f>坦克个性化细分!J12</f>
        <v>高</v>
      </c>
      <c r="E12" s="485" t="str">
        <f t="shared" si="10"/>
        <v>T4高0</v>
      </c>
      <c r="F12" s="485" t="str">
        <f>VLOOKUP($B12,坦克个性化设定!$B$18:$BB$48,MATCH(F$3,坦克个性化设定!$B$18:$BB$18,0),FALSE)</f>
        <v>轻坦</v>
      </c>
      <c r="G12" s="485" t="str">
        <f>VLOOKUP($B12,坦克个性化设定!$B$18:$BB$48,MATCH(G$3,坦克个性化设定!$B$18:$BB$18,0),FALSE)</f>
        <v>轻坦半自动</v>
      </c>
      <c r="H12" s="485" t="str">
        <f t="shared" si="11"/>
        <v>半自动装弹</v>
      </c>
      <c r="I12" s="485">
        <f>VLOOKUP($B12,坦克个性化设定!$B$18:$BB$48,MATCH(I$3,坦克个性化设定!$B$18:$BB$18,0),FALSE)</f>
        <v>6.99</v>
      </c>
      <c r="J12" s="485">
        <f>VLOOKUP($B12,坦克个性化设定!$B$18:$BB$48,MATCH(J$3,坦克个性化设定!$B$18:$BB$18,0),FALSE)</f>
        <v>3.24</v>
      </c>
      <c r="K12" s="485">
        <f>VLOOKUP($B12,坦克个性化设定!$B$18:$BB$48,MATCH(K$3,坦克个性化设定!$B$18:$BB$18,0),FALSE)</f>
        <v>0.3</v>
      </c>
      <c r="L12" s="115">
        <f>VLOOKUP($B12,坦克个性化设定!$B$18:$BB$48,MATCH(L$3,坦克个性化设定!$B$18:$BB$18,0),FALSE)</f>
        <v>2.1563141881038952</v>
      </c>
      <c r="M12" s="115">
        <f>VLOOKUP($B12,坦克个性化设定!$B$18:$BB$48,MATCH(M$3,坦克个性化设定!$B$18:$BB$18,0),FALSE)</f>
        <v>37.200000000000003</v>
      </c>
      <c r="N12" s="115">
        <f>VLOOKUP($B12,坦克个性化设定!$B$18:$BB$48,MATCH(N$3,坦克个性化设定!$B$18:$BB$18,0),FALSE)</f>
        <v>62.000000000000007</v>
      </c>
      <c r="O12" s="485">
        <f>VLOOKUP($B12,坦克个性化设定!$B$18:$BB$48,MATCH(O$3,坦克个性化设定!$B$18:$BB$18,0),FALSE)</f>
        <v>1</v>
      </c>
      <c r="P12" s="485">
        <f>VLOOKUP($B12,坦克个性化设定!$B$18:$BB$48,MATCH(P$3,坦克个性化设定!$B$18:$BB$18,0),FALSE)</f>
        <v>1</v>
      </c>
      <c r="Q12" s="485">
        <f>VLOOKUP($B12,坦克个性化设定!$B$18:$BB$48,MATCH(Q$3,坦克个性化设定!$B$18:$BB$18,0),FALSE)</f>
        <v>1</v>
      </c>
      <c r="R12" s="485">
        <f>VLOOKUP($B12,坦克个性化设定!$B$18:$BB$48,MATCH(R$3,坦克个性化设定!$B$18:$BB$18,0),FALSE)</f>
        <v>0.4</v>
      </c>
      <c r="S12" s="115">
        <f>VLOOKUP($B12,坦克个性化设定!$B$51:$T$81,MATCH(S$3,坦克个性化设定!$B$51:$T$51,0),FALSE)</f>
        <v>0.9</v>
      </c>
      <c r="T12" s="115">
        <f>VLOOKUP($B12,坦克个性化设定!$B$51:$T$81,MATCH(T$3,坦克个性化设定!$B$51:$T$51,0),FALSE)</f>
        <v>1.47</v>
      </c>
      <c r="U12" s="115">
        <f>VLOOKUP($B12,坦克个性化设定!$B$18:$BB$48,MATCH(U$3,坦克个性化设定!$B$18:$BB$18,0),FALSE)</f>
        <v>0.78</v>
      </c>
      <c r="V12" s="485">
        <f>VLOOKUP($B12,坦克个性化设定!$B$18:$BB$48,MATCH(V$3,坦克个性化设定!$B$18:$BB$18,0),FALSE)</f>
        <v>1.2</v>
      </c>
      <c r="W12" s="485">
        <f>VLOOKUP($B12,坦克个性化设定!$B$18:$BB$48,MATCH(W$3,坦克个性化设定!$B$18:$BB$18,0),FALSE)</f>
        <v>2</v>
      </c>
      <c r="X12" s="485">
        <f>VLOOKUP($B12,坦克个性化设定!$B$18:$BB$48,MATCH(X$3,坦克个性化设定!$B$18:$BB$18,0),FALSE)</f>
        <v>1</v>
      </c>
      <c r="Y12" s="115">
        <f>VLOOKUP($B12,坦克个性化设定!$B$18:$BB$48,MATCH(Y$3,坦克个性化设定!$B$18:$BB$18,0),FALSE)</f>
        <v>10.60544878787154</v>
      </c>
      <c r="Z12" s="115">
        <f>VLOOKUP($B12,坦克个性化设定!$B$18:$BB$48,MATCH(Z$3,坦克个性化设定!$B$18:$BB$18,0),FALSE)</f>
        <v>58.919159932619657</v>
      </c>
      <c r="AA12" s="115">
        <f>VLOOKUP($B12,坦克个性化设定!$B$18:$BB$48,MATCH(AA$3,坦克个性化设定!$B$18:$BB$18,0),FALSE)</f>
        <v>0.8580000000000001</v>
      </c>
      <c r="AB12" s="115">
        <f>VLOOKUP($B12,坦克个性化设定!$B$18:$BB$48,MATCH(AB$3,坦克个性化设定!$B$18:$BB$18,0),FALSE)</f>
        <v>13.87</v>
      </c>
      <c r="AC12" s="115">
        <f>VLOOKUP($B12,坦克个性化设定!$B$18:$BB$48,MATCH(AC$3,坦克个性化设定!$B$18:$BB$18,0),FALSE)</f>
        <v>23.714285714285719</v>
      </c>
      <c r="AD12" s="115">
        <f>VLOOKUP($B12,坦克个性化设定!$B$18:$BB$48,MATCH(AD$3,坦克个性化设定!$B$18:$BB$18,0),FALSE)</f>
        <v>16.600000000000001</v>
      </c>
      <c r="AE12" s="115">
        <f>VLOOKUP($B12,坦克个性化设定!$B$18:$BB$48,MATCH(AE$3,坦克个性化设定!$B$18:$BB$18,0),FALSE)</f>
        <v>0.8580000000000001</v>
      </c>
      <c r="AF12" s="485">
        <f>VLOOKUP($B12,坦克个性化设定!$B$18:$BB$48,MATCH(AF$3,坦克个性化设定!$B$18:$BB$18,0),FALSE)</f>
        <v>0.2</v>
      </c>
      <c r="AG12" s="485">
        <f>VLOOKUP($B12,坦克个性化设定!$B$18:$BB$48,MATCH(AG$3,坦克个性化设定!$B$18:$BB$18,0),FALSE)</f>
        <v>40</v>
      </c>
      <c r="AH12" s="485">
        <f>VLOOKUP($B12,坦克个性化设定!$B$18:$BB$48,MATCH(AH$3,坦克个性化设定!$B$18:$BB$18,0),FALSE)</f>
        <v>100</v>
      </c>
      <c r="AI12" s="485">
        <f>VLOOKUP(B12,坦克个性化细分!$I$3:$P$33,3,FALSE)</f>
        <v>44.5</v>
      </c>
      <c r="AJ12" s="485">
        <f>VLOOKUP(B12,坦克个性化细分!$I$3:$P$33,5,FALSE)</f>
        <v>52.5</v>
      </c>
      <c r="AK12" s="485">
        <f>VLOOKUP(B12,坦克个性化细分!$I$3:$P$33,7,FALSE)</f>
        <v>14.6</v>
      </c>
      <c r="AL12" s="485">
        <f>VLOOKUP($B12,坦克个性化设定!$F$84:$S$114,MATCH(AL$3,坦克个性化设定!$F$84:$S$84,0),FALSE)</f>
        <v>4</v>
      </c>
      <c r="AM12" s="485">
        <f>VLOOKUP($B12,坦克个性化细分!$E$3:$G$33,2,FALSE)</f>
        <v>1.4</v>
      </c>
      <c r="AN12" s="485">
        <f>VLOOKUP($B12,坦克个性化细分!$E$3:$G$33,3,FALSE)</f>
        <v>0</v>
      </c>
      <c r="AO12" s="115">
        <f t="shared" si="0"/>
        <v>1.2250000000000001</v>
      </c>
      <c r="AP12" s="326">
        <f t="shared" ca="1" si="1"/>
        <v>1841</v>
      </c>
      <c r="AQ12" s="326">
        <f t="shared" ca="1" si="2"/>
        <v>96</v>
      </c>
      <c r="AR12" s="326">
        <f t="shared" ca="1" si="3"/>
        <v>618</v>
      </c>
      <c r="AS12" s="326">
        <f t="shared" ca="1" si="4"/>
        <v>433</v>
      </c>
      <c r="AT12" s="326">
        <f t="shared" ca="1" si="5"/>
        <v>618</v>
      </c>
      <c r="AU12" s="326">
        <f t="shared" ca="1" si="6"/>
        <v>165</v>
      </c>
      <c r="AV12" s="326">
        <f t="shared" si="12"/>
        <v>538</v>
      </c>
      <c r="AW12" s="326">
        <f t="shared" si="13"/>
        <v>538</v>
      </c>
      <c r="AX12" s="326">
        <f t="shared" si="14"/>
        <v>538</v>
      </c>
      <c r="AY12" s="485">
        <f t="shared" si="7"/>
        <v>2</v>
      </c>
      <c r="AZ12" s="485">
        <f>基础属性系数!$E$61</f>
        <v>0.35</v>
      </c>
      <c r="BA12" s="485">
        <v>50</v>
      </c>
      <c r="BB12" s="485">
        <v>10</v>
      </c>
      <c r="BC12" s="485">
        <f>VLOOKUP($B12,坦克类型系数!$B$3:$R$33,MATCH(BC$3,坦克类型系数!$B$3:$R$3,0),FALSE)</f>
        <v>2.15</v>
      </c>
      <c r="BD12" s="485">
        <f>VLOOKUP($B12,坦克类型系数!$B$3:$R$33,MATCH(BD$3,坦克类型系数!$B$3:$R$3,0),FALSE)</f>
        <v>1.6500000000000001</v>
      </c>
      <c r="BE12" s="517">
        <f>VLOOKUP($B12,坦克类型系数!$B$3:$R$33,MATCH(BE$3,坦克类型系数!$B$3:$R$3,0),FALSE)</f>
        <v>1.25</v>
      </c>
      <c r="BF12" s="485">
        <f>VLOOKUP($B12,坦克类型系数!$B$3:$R$33,MATCH(BF$3,坦克类型系数!$B$3:$R$3,0),FALSE)</f>
        <v>1.25</v>
      </c>
      <c r="BG12" s="485">
        <f>VLOOKUP($B12,坦克类型系数!$B$3:$R$33,MATCH(BG$3,坦克类型系数!$B$3:$R$3,0),FALSE)</f>
        <v>1.1500000000000001</v>
      </c>
      <c r="BH12" s="485">
        <f>VLOOKUP($B12,坦克类型系数!$B$3:$R$33,MATCH(BH$3,坦克类型系数!$B$3:$R$3,0),FALSE)</f>
        <v>1</v>
      </c>
      <c r="BI12" s="485">
        <f>VLOOKUP($B12,坦克类型系数!$B$3:$R$33,MATCH(BI$3,坦克类型系数!$B$3:$R$3,0),FALSE)</f>
        <v>0.95</v>
      </c>
      <c r="BJ12" s="275"/>
      <c r="BK12" s="275"/>
      <c r="BL12" s="275"/>
      <c r="BN12" s="178" t="str">
        <f t="shared" si="8"/>
        <v>BMP-3</v>
      </c>
      <c r="BO12" s="493" t="str">
        <f>VLOOKUP(BN12,坦克个性化设定!$B$18:$E$48,MATCH(BO$3,坦克个性化设定!$B$18:$E$18,0),FALSE)</f>
        <v>T4</v>
      </c>
      <c r="BP12" s="182" t="str">
        <f t="shared" si="9"/>
        <v>高</v>
      </c>
      <c r="BQ12" s="134" t="s">
        <v>800</v>
      </c>
      <c r="BR12" s="689" t="s">
        <v>3293</v>
      </c>
      <c r="BS12" s="96">
        <f ca="1">VLOOKUP($BN12&amp;$BQ12,坦克标准养成属性!$O$3:$AA$63,MATCH(BS$3,坦克标准养成属性!$O$3:$AA$3,0),FALSE)</f>
        <v>1841.0262799240948</v>
      </c>
      <c r="BT12" s="96">
        <f ca="1">VLOOKUP($BN12&amp;$BQ12,坦克标准养成属性!$O$3:$AA$63,MATCH(BT$3,坦克标准养成属性!$O$3:$AA$3,0),FALSE)</f>
        <v>95.838951967673651</v>
      </c>
      <c r="BU12" s="96">
        <f ca="1">VLOOKUP($BN12&amp;$BQ12,坦克标准养成属性!$O$3:$AA$63,MATCH(BU$3,坦克标准养成属性!$O$3:$AA$3,0),FALSE)</f>
        <v>618</v>
      </c>
      <c r="BV12" s="96">
        <f ca="1">VLOOKUP($BN12&amp;$BQ12,坦克标准养成属性!$O$3:$AA$63,MATCH(BV$3,坦克标准养成属性!$O$3:$AA$3,0),FALSE)</f>
        <v>433</v>
      </c>
      <c r="BW12" s="96">
        <f ca="1">VLOOKUP($BN12&amp;$BQ12,坦克标准养成属性!$O$3:$AA$63,MATCH(BW$3,坦克标准养成属性!$O$3:$AA$3,0),FALSE)</f>
        <v>618</v>
      </c>
      <c r="BX12" s="96">
        <f ca="1">VLOOKUP($BN12&amp;$BQ12,坦克标准养成属性!$O$3:$AA$63,MATCH(BX$3,坦克标准养成属性!$O$3:$AA$3,0),FALSE)</f>
        <v>165</v>
      </c>
      <c r="BY12" s="669">
        <f>(VLOOKUP(LEFT(BR12,1)*1,坦克部件!$M$3:$U$9,MATCH("升星属性",坦克部件!$M$3:$U$3,0),FALSE)+VLOOKUP(RIGHT(BR12,1)*1,坦克部件!$W$3:$AA$63,MATCH("累计属性",坦克部件!$W$3:$AA$3,0),FALSE))*2</f>
        <v>537.6</v>
      </c>
      <c r="BZ12" s="96">
        <f t="shared" si="15"/>
        <v>537.6</v>
      </c>
      <c r="CA12" s="96">
        <f t="shared" si="16"/>
        <v>537.6</v>
      </c>
    </row>
    <row r="13" spans="2:79" x14ac:dyDescent="0.35">
      <c r="B13" s="485" t="str">
        <f>坦克个性化设定!B28</f>
        <v>59式</v>
      </c>
      <c r="C13" s="485" t="str">
        <f>VLOOKUP(B13,坦克个性化设定!$B$18:$E$48,4,FALSE)</f>
        <v>T5</v>
      </c>
      <c r="D13" s="485" t="str">
        <f>坦克个性化细分!J13</f>
        <v>低</v>
      </c>
      <c r="E13" s="485" t="str">
        <f t="shared" si="10"/>
        <v>T5低0</v>
      </c>
      <c r="F13" s="485" t="str">
        <f>VLOOKUP($B13,坦克个性化设定!$B$18:$BB$48,MATCH(F$3,坦克个性化设定!$B$18:$BB$18,0),FALSE)</f>
        <v>轻坦</v>
      </c>
      <c r="G13" s="485" t="str">
        <f>VLOOKUP($B13,坦克个性化设定!$B$18:$BB$48,MATCH(G$3,坦克个性化设定!$B$18:$BB$18,0),FALSE)</f>
        <v>轻坦单发</v>
      </c>
      <c r="H13" s="485" t="str">
        <f t="shared" si="11"/>
        <v>单发装弹</v>
      </c>
      <c r="I13" s="485">
        <f>VLOOKUP($B13,坦克个性化设定!$B$18:$BB$48,MATCH(I$3,坦克个性化设定!$B$18:$BB$18,0),FALSE)</f>
        <v>6.05</v>
      </c>
      <c r="J13" s="485">
        <f>VLOOKUP($B13,坦克个性化设定!$B$18:$BB$48,MATCH(J$3,坦克个性化设定!$B$18:$BB$18,0),FALSE)</f>
        <v>3.23</v>
      </c>
      <c r="K13" s="485">
        <f>VLOOKUP($B13,坦克个性化设定!$B$18:$BB$48,MATCH(K$3,坦克个性化设定!$B$18:$BB$18,0),FALSE)</f>
        <v>0.3</v>
      </c>
      <c r="L13" s="115">
        <f>VLOOKUP($B13,坦克个性化设定!$B$18:$BB$48,MATCH(L$3,坦克个性化设定!$B$18:$BB$18,0),FALSE)</f>
        <v>2.1563141881038952</v>
      </c>
      <c r="M13" s="115">
        <f>VLOOKUP($B13,坦克个性化设定!$B$18:$BB$48,MATCH(M$3,坦克个性化设定!$B$18:$BB$18,0),FALSE)</f>
        <v>37.200000000000003</v>
      </c>
      <c r="N13" s="115">
        <f>VLOOKUP($B13,坦克个性化设定!$B$18:$BB$48,MATCH(N$3,坦克个性化设定!$B$18:$BB$18,0),FALSE)</f>
        <v>62.000000000000007</v>
      </c>
      <c r="O13" s="485">
        <f>VLOOKUP($B13,坦克个性化设定!$B$18:$BB$48,MATCH(O$3,坦克个性化设定!$B$18:$BB$18,0),FALSE)</f>
        <v>1</v>
      </c>
      <c r="P13" s="485">
        <f>VLOOKUP($B13,坦克个性化设定!$B$18:$BB$48,MATCH(P$3,坦克个性化设定!$B$18:$BB$18,0),FALSE)</f>
        <v>1</v>
      </c>
      <c r="Q13" s="485">
        <f>VLOOKUP($B13,坦克个性化设定!$B$18:$BB$48,MATCH(Q$3,坦克个性化设定!$B$18:$BB$18,0),FALSE)</f>
        <v>1</v>
      </c>
      <c r="R13" s="485">
        <f>VLOOKUP($B13,坦克个性化设定!$B$18:$BB$48,MATCH(R$3,坦克个性化设定!$B$18:$BB$18,0),FALSE)</f>
        <v>0</v>
      </c>
      <c r="S13" s="115">
        <f>VLOOKUP($B13,坦克个性化设定!$B$51:$T$81,MATCH(S$3,坦克个性化设定!$B$51:$T$51,0),FALSE)</f>
        <v>1.7999999999999998</v>
      </c>
      <c r="T13" s="115">
        <f>VLOOKUP($B13,坦克个性化设定!$B$51:$T$81,MATCH(T$3,坦克个性化设定!$B$51:$T$51,0),FALSE)</f>
        <v>1.8</v>
      </c>
      <c r="U13" s="115">
        <f>VLOOKUP($B13,坦克个性化设定!$B$18:$BB$48,MATCH(U$3,坦克个性化设定!$B$18:$BB$18,0),FALSE)</f>
        <v>0.7</v>
      </c>
      <c r="V13" s="485">
        <f>VLOOKUP($B13,坦克个性化设定!$B$18:$BB$48,MATCH(V$3,坦克个性化设定!$B$18:$BB$18,0),FALSE)</f>
        <v>1</v>
      </c>
      <c r="W13" s="485">
        <f>VLOOKUP($B13,坦克个性化设定!$B$18:$BB$48,MATCH(W$3,坦克个性化设定!$B$18:$BB$18,0),FALSE)</f>
        <v>3</v>
      </c>
      <c r="X13" s="485">
        <f>VLOOKUP($B13,坦克个性化设定!$B$18:$BB$48,MATCH(X$3,坦克个性化设定!$B$18:$BB$18,0),FALSE)</f>
        <v>1</v>
      </c>
      <c r="Y13" s="115">
        <f>VLOOKUP($B13,坦克个性化设定!$B$18:$BB$48,MATCH(Y$3,坦克个性化设定!$B$18:$BB$18,0),FALSE)</f>
        <v>9.4270655892191453</v>
      </c>
      <c r="Z13" s="115">
        <f>VLOOKUP($B13,坦克个性化设定!$B$18:$BB$48,MATCH(Z$3,坦克个性化设定!$B$18:$BB$18,0),FALSE)</f>
        <v>58.919159932619657</v>
      </c>
      <c r="AA13" s="115">
        <f>VLOOKUP($B13,坦克个性化设定!$B$18:$BB$48,MATCH(AA$3,坦克个性化设定!$B$18:$BB$18,0),FALSE)</f>
        <v>1.56</v>
      </c>
      <c r="AB13" s="115">
        <f>VLOOKUP($B13,坦克个性化设定!$B$18:$BB$48,MATCH(AB$3,坦克个性化设定!$B$18:$BB$18,0),FALSE)</f>
        <v>13.14</v>
      </c>
      <c r="AC13" s="115">
        <f>VLOOKUP($B13,坦克个性化设定!$B$18:$BB$48,MATCH(AC$3,坦克个性化设定!$B$18:$BB$18,0),FALSE)</f>
        <v>23.714285714285719</v>
      </c>
      <c r="AD13" s="115">
        <f>VLOOKUP($B13,坦克个性化设定!$B$18:$BB$48,MATCH(AD$3,坦克个性化设定!$B$18:$BB$18,0),FALSE)</f>
        <v>16.600000000000001</v>
      </c>
      <c r="AE13" s="115">
        <f>VLOOKUP($B13,坦克个性化设定!$B$18:$BB$48,MATCH(AE$3,坦克个性化设定!$B$18:$BB$18,0),FALSE)</f>
        <v>1.56</v>
      </c>
      <c r="AF13" s="485">
        <f>VLOOKUP($B13,坦克个性化设定!$B$18:$BB$48,MATCH(AF$3,坦克个性化设定!$B$18:$BB$18,0),FALSE)</f>
        <v>0.2</v>
      </c>
      <c r="AG13" s="485">
        <f>VLOOKUP($B13,坦克个性化设定!$B$18:$BB$48,MATCH(AG$3,坦克个性化设定!$B$18:$BB$18,0),FALSE)</f>
        <v>40</v>
      </c>
      <c r="AH13" s="485">
        <f>VLOOKUP($B13,坦克个性化设定!$B$18:$BB$48,MATCH(AH$3,坦克个性化设定!$B$18:$BB$18,0),FALSE)</f>
        <v>100</v>
      </c>
      <c r="AI13" s="485">
        <f>VLOOKUP(B13,坦克个性化细分!$I$3:$P$33,3,FALSE)</f>
        <v>37.700000000000003</v>
      </c>
      <c r="AJ13" s="485">
        <f>VLOOKUP(B13,坦克个性化细分!$I$3:$P$33,5,FALSE)</f>
        <v>56.3</v>
      </c>
      <c r="AK13" s="485">
        <f>VLOOKUP(B13,坦克个性化细分!$I$3:$P$33,7,FALSE)</f>
        <v>13.1</v>
      </c>
      <c r="AL13" s="485">
        <f>VLOOKUP($B13,坦克个性化设定!$F$84:$S$114,MATCH(AL$3,坦克个性化设定!$F$84:$S$84,0),FALSE)</f>
        <v>1</v>
      </c>
      <c r="AM13" s="485">
        <f>VLOOKUP($B13,坦克个性化细分!$E$3:$G$33,2,FALSE)</f>
        <v>3</v>
      </c>
      <c r="AN13" s="485">
        <f>VLOOKUP($B13,坦克个性化细分!$E$3:$G$33,3,FALSE)</f>
        <v>0</v>
      </c>
      <c r="AO13" s="115">
        <f t="shared" si="0"/>
        <v>1.8</v>
      </c>
      <c r="AP13" s="326">
        <f t="shared" ca="1" si="1"/>
        <v>2025</v>
      </c>
      <c r="AQ13" s="326">
        <f t="shared" ca="1" si="2"/>
        <v>222</v>
      </c>
      <c r="AR13" s="326">
        <f t="shared" ca="1" si="3"/>
        <v>857</v>
      </c>
      <c r="AS13" s="326">
        <f t="shared" ca="1" si="4"/>
        <v>600</v>
      </c>
      <c r="AT13" s="326">
        <f t="shared" ca="1" si="5"/>
        <v>720</v>
      </c>
      <c r="AU13" s="326">
        <f t="shared" ca="1" si="6"/>
        <v>192</v>
      </c>
      <c r="AV13" s="326">
        <f t="shared" si="12"/>
        <v>538</v>
      </c>
      <c r="AW13" s="326">
        <f t="shared" si="13"/>
        <v>538</v>
      </c>
      <c r="AX13" s="326">
        <f t="shared" si="14"/>
        <v>538</v>
      </c>
      <c r="AY13" s="485">
        <f t="shared" si="7"/>
        <v>1</v>
      </c>
      <c r="AZ13" s="485">
        <f>基础属性系数!$E$61</f>
        <v>0.35</v>
      </c>
      <c r="BA13" s="485">
        <v>50</v>
      </c>
      <c r="BB13" s="485">
        <v>10</v>
      </c>
      <c r="BC13" s="485">
        <f>VLOOKUP($B13,坦克类型系数!$B$3:$R$33,MATCH(BC$3,坦克类型系数!$B$3:$R$3,0),FALSE)</f>
        <v>1.9</v>
      </c>
      <c r="BD13" s="485">
        <f>VLOOKUP($B13,坦克类型系数!$B$3:$R$33,MATCH(BD$3,坦克类型系数!$B$3:$R$3,0),FALSE)</f>
        <v>1.45</v>
      </c>
      <c r="BE13" s="517">
        <f>VLOOKUP($B13,坦克类型系数!$B$3:$R$33,MATCH(BE$3,坦克类型系数!$B$3:$R$3,0),FALSE)</f>
        <v>1.2</v>
      </c>
      <c r="BF13" s="485">
        <f>VLOOKUP($B13,坦克类型系数!$B$3:$R$33,MATCH(BF$3,坦克类型系数!$B$3:$R$3,0),FALSE)</f>
        <v>1.2</v>
      </c>
      <c r="BG13" s="485">
        <f>VLOOKUP($B13,坦克类型系数!$B$3:$R$33,MATCH(BG$3,坦克类型系数!$B$3:$R$3,0),FALSE)</f>
        <v>1.1500000000000001</v>
      </c>
      <c r="BH13" s="485">
        <f>VLOOKUP($B13,坦克类型系数!$B$3:$R$33,MATCH(BH$3,坦克类型系数!$B$3:$R$3,0),FALSE)</f>
        <v>1</v>
      </c>
      <c r="BI13" s="485">
        <f>VLOOKUP($B13,坦克类型系数!$B$3:$R$33,MATCH(BI$3,坦克类型系数!$B$3:$R$3,0),FALSE)</f>
        <v>0.85000000000000009</v>
      </c>
      <c r="BJ13" s="275"/>
      <c r="BK13" s="275"/>
      <c r="BL13" s="275"/>
      <c r="BN13" s="178" t="str">
        <f t="shared" si="8"/>
        <v>59式</v>
      </c>
      <c r="BO13" s="493" t="str">
        <f>VLOOKUP(BN13,坦克个性化设定!$B$18:$E$48,MATCH(BO$3,坦克个性化设定!$B$18:$E$18,0),FALSE)</f>
        <v>T5</v>
      </c>
      <c r="BP13" s="182" t="str">
        <f t="shared" si="9"/>
        <v>低</v>
      </c>
      <c r="BQ13" s="134" t="s">
        <v>800</v>
      </c>
      <c r="BR13" s="689" t="s">
        <v>3293</v>
      </c>
      <c r="BS13" s="96">
        <f ca="1">VLOOKUP($BN13&amp;$BQ13,坦克标准养成属性!$O$3:$AA$63,MATCH(BS$3,坦克标准养成属性!$O$3:$AA$3,0),FALSE)</f>
        <v>2024.5136278863547</v>
      </c>
      <c r="BT13" s="96">
        <f ca="1">VLOOKUP($BN13&amp;$BQ13,坦克标准养成属性!$O$3:$AA$63,MATCH(BT$3,坦克标准养成属性!$O$3:$AA$3,0),FALSE)</f>
        <v>221.91996823901852</v>
      </c>
      <c r="BU13" s="96">
        <f ca="1">VLOOKUP($BN13&amp;$BQ13,坦克标准养成属性!$O$3:$AA$63,MATCH(BU$3,坦克标准养成属性!$O$3:$AA$3,0),FALSE)</f>
        <v>857</v>
      </c>
      <c r="BV13" s="96">
        <f ca="1">VLOOKUP($BN13&amp;$BQ13,坦克标准养成属性!$O$3:$AA$63,MATCH(BV$3,坦克标准养成属性!$O$3:$AA$3,0),FALSE)</f>
        <v>600</v>
      </c>
      <c r="BW13" s="96">
        <f ca="1">VLOOKUP($BN13&amp;$BQ13,坦克标准养成属性!$O$3:$AA$63,MATCH(BW$3,坦克标准养成属性!$O$3:$AA$3,0),FALSE)</f>
        <v>720</v>
      </c>
      <c r="BX13" s="96">
        <f ca="1">VLOOKUP($BN13&amp;$BQ13,坦克标准养成属性!$O$3:$AA$63,MATCH(BX$3,坦克标准养成属性!$O$3:$AA$3,0),FALSE)</f>
        <v>192</v>
      </c>
      <c r="BY13" s="669">
        <f>(VLOOKUP(LEFT(BR13,1)*1,坦克部件!$M$3:$U$9,MATCH("升星属性",坦克部件!$M$3:$U$3,0),FALSE)+VLOOKUP(RIGHT(BR13,1)*1,坦克部件!$W$3:$AA$63,MATCH("累计属性",坦克部件!$W$3:$AA$3,0),FALSE))*2</f>
        <v>537.6</v>
      </c>
      <c r="BZ13" s="96">
        <f t="shared" si="15"/>
        <v>537.6</v>
      </c>
      <c r="CA13" s="96">
        <f t="shared" si="16"/>
        <v>537.6</v>
      </c>
    </row>
    <row r="14" spans="2:79" x14ac:dyDescent="0.35">
      <c r="B14" s="485" t="str">
        <f>坦克个性化设定!B29</f>
        <v>Stuart</v>
      </c>
      <c r="C14" s="485" t="str">
        <f>VLOOKUP(B14,坦克个性化设定!$B$18:$E$48,4,FALSE)</f>
        <v>T1</v>
      </c>
      <c r="D14" s="485" t="str">
        <f>坦克个性化细分!J14</f>
        <v>低</v>
      </c>
      <c r="E14" s="485" t="str">
        <f t="shared" si="10"/>
        <v>T1低0</v>
      </c>
      <c r="F14" s="485" t="str">
        <f>VLOOKUP($B14,坦克个性化设定!$B$18:$BB$48,MATCH(F$3,坦克个性化设定!$B$18:$BB$18,0),FALSE)</f>
        <v>中坦</v>
      </c>
      <c r="G14" s="485" t="str">
        <f>VLOOKUP($B14,坦克个性化设定!$B$18:$BB$48,MATCH(G$3,坦克个性化设定!$B$18:$BB$18,0),FALSE)</f>
        <v>中坦弹夹</v>
      </c>
      <c r="H14" s="485" t="str">
        <f t="shared" si="11"/>
        <v>弹夹装弹</v>
      </c>
      <c r="I14" s="485">
        <f>VLOOKUP($B14,坦克个性化设定!$B$18:$BB$48,MATCH(I$3,坦克个性化设定!$B$18:$BB$18,0),FALSE)</f>
        <v>4.37</v>
      </c>
      <c r="J14" s="485">
        <f>VLOOKUP($B14,坦克个性化设定!$B$18:$BB$48,MATCH(J$3,坦克个性化设定!$B$18:$BB$18,0),FALSE)</f>
        <v>2.2799999999999998</v>
      </c>
      <c r="K14" s="485">
        <f>VLOOKUP($B14,坦克个性化设定!$B$18:$BB$48,MATCH(K$3,坦克个性化设定!$B$18:$BB$18,0),FALSE)</f>
        <v>0.3</v>
      </c>
      <c r="L14" s="115">
        <f>VLOOKUP($B14,坦克个性化设定!$B$18:$BB$48,MATCH(L$3,坦克个性化设定!$B$18:$BB$18,0),FALSE)</f>
        <v>1.6422918151337649</v>
      </c>
      <c r="M14" s="115">
        <f>VLOOKUP($B14,坦克个性化设定!$B$18:$BB$48,MATCH(M$3,坦克个性化设定!$B$18:$BB$18,0),FALSE)</f>
        <v>16.3</v>
      </c>
      <c r="N14" s="115">
        <f>VLOOKUP($B14,坦克个性化设定!$B$18:$BB$48,MATCH(N$3,坦克个性化设定!$B$18:$BB$18,0),FALSE)</f>
        <v>27.166666666666668</v>
      </c>
      <c r="O14" s="485">
        <f>VLOOKUP($B14,坦克个性化设定!$B$18:$BB$48,MATCH(O$3,坦克个性化设定!$B$18:$BB$18,0),FALSE)</f>
        <v>0.9</v>
      </c>
      <c r="P14" s="485">
        <f>VLOOKUP($B14,坦克个性化设定!$B$18:$BB$48,MATCH(P$3,坦克个性化设定!$B$18:$BB$18,0),FALSE)</f>
        <v>0.9</v>
      </c>
      <c r="Q14" s="485">
        <f>VLOOKUP($B14,坦克个性化设定!$B$18:$BB$48,MATCH(Q$3,坦克个性化设定!$B$18:$BB$18,0),FALSE)</f>
        <v>0.9</v>
      </c>
      <c r="R14" s="485">
        <f>VLOOKUP($B14,坦克个性化设定!$B$18:$BB$48,MATCH(R$3,坦克个性化设定!$B$18:$BB$18,0),FALSE)</f>
        <v>0.4</v>
      </c>
      <c r="S14" s="115">
        <f>VLOOKUP($B14,坦克个性化设定!$B$51:$T$81,MATCH(S$3,坦克个性化设定!$B$51:$T$51,0),FALSE)</f>
        <v>0.79999999999999993</v>
      </c>
      <c r="T14" s="115">
        <f>VLOOKUP($B14,坦克个性化设定!$B$51:$T$81,MATCH(T$3,坦克个性化设定!$B$51:$T$51,0),FALSE)</f>
        <v>1.1200000000000001</v>
      </c>
      <c r="U14" s="115">
        <f>VLOOKUP($B14,坦克个性化设定!$B$18:$BB$48,MATCH(U$3,坦克个性化设定!$B$18:$BB$18,0),FALSE)</f>
        <v>0.78</v>
      </c>
      <c r="V14" s="485">
        <f>VLOOKUP($B14,坦克个性化设定!$B$18:$BB$48,MATCH(V$3,坦克个性化设定!$B$18:$BB$18,0),FALSE)</f>
        <v>1.2</v>
      </c>
      <c r="W14" s="485">
        <f>VLOOKUP($B14,坦克个性化设定!$B$18:$BB$48,MATCH(W$3,坦克个性化设定!$B$18:$BB$18,0),FALSE)</f>
        <v>1</v>
      </c>
      <c r="X14" s="485">
        <f>VLOOKUP($B14,坦克个性化设定!$B$18:$BB$48,MATCH(X$3,坦克个性化设定!$B$18:$BB$18,0),FALSE)</f>
        <v>0.75</v>
      </c>
      <c r="Y14" s="115">
        <f>VLOOKUP($B14,坦克个性化设定!$B$18:$BB$48,MATCH(Y$3,坦克个性化设定!$B$18:$BB$18,0),FALSE)</f>
        <v>11.123020662806383</v>
      </c>
      <c r="Z14" s="115">
        <f>VLOOKUP($B14,坦克个性化设定!$B$18:$BB$48,MATCH(Z$3,坦克个性化设定!$B$18:$BB$18,0),FALSE)</f>
        <v>55.61510331403192</v>
      </c>
      <c r="AA14" s="115">
        <f>VLOOKUP($B14,坦克个性化设定!$B$18:$BB$48,MATCH(AA$3,坦克个性化设定!$B$18:$BB$18,0),FALSE)</f>
        <v>1.42</v>
      </c>
      <c r="AB14" s="115">
        <f>VLOOKUP($B14,坦克个性化设定!$B$18:$BB$48,MATCH(AB$3,坦克个性化设定!$B$18:$BB$18,0),FALSE)</f>
        <v>12.3</v>
      </c>
      <c r="AC14" s="115">
        <f>VLOOKUP($B14,坦克个性化设定!$B$18:$BB$48,MATCH(AC$3,坦克个性化设定!$B$18:$BB$18,0),FALSE)</f>
        <v>10.214285714285715</v>
      </c>
      <c r="AD14" s="115">
        <f>VLOOKUP($B14,坦克个性化设定!$B$18:$BB$48,MATCH(AD$3,坦克个性化设定!$B$18:$BB$18,0),FALSE)</f>
        <v>7.15</v>
      </c>
      <c r="AE14" s="115">
        <f>VLOOKUP($B14,坦克个性化设定!$B$18:$BB$48,MATCH(AE$3,坦克个性化设定!$B$18:$BB$18,0),FALSE)</f>
        <v>0.35499999999999998</v>
      </c>
      <c r="AF14" s="485">
        <f>VLOOKUP($B14,坦克个性化设定!$B$18:$BB$48,MATCH(AF$3,坦克个性化设定!$B$18:$BB$18,0),FALSE)</f>
        <v>0.2</v>
      </c>
      <c r="AG14" s="485">
        <f>VLOOKUP($B14,坦克个性化设定!$B$18:$BB$48,MATCH(AG$3,坦克个性化设定!$B$18:$BB$18,0),FALSE)</f>
        <v>55</v>
      </c>
      <c r="AH14" s="485">
        <f>VLOOKUP($B14,坦克个性化设定!$B$18:$BB$48,MATCH(AH$3,坦克个性化设定!$B$18:$BB$18,0),FALSE)</f>
        <v>105</v>
      </c>
      <c r="AI14" s="485">
        <f>VLOOKUP(B14,坦克个性化细分!$I$3:$P$33,3,FALSE)</f>
        <v>44.5</v>
      </c>
      <c r="AJ14" s="485">
        <f>VLOOKUP(B14,坦克个性化细分!$I$3:$P$33,5,FALSE)</f>
        <v>40</v>
      </c>
      <c r="AK14" s="485">
        <f>VLOOKUP(B14,坦克个性化细分!$I$3:$P$33,7,FALSE)</f>
        <v>12.3</v>
      </c>
      <c r="AL14" s="485">
        <f>VLOOKUP($B14,坦克个性化设定!$F$84:$S$114,MATCH(AL$3,坦克个性化设定!$F$84:$S$84,0),FALSE)</f>
        <v>6</v>
      </c>
      <c r="AM14" s="485">
        <f>VLOOKUP($B14,坦克个性化细分!$E$3:$G$33,2,FALSE)</f>
        <v>0</v>
      </c>
      <c r="AN14" s="485">
        <f>VLOOKUP($B14,坦克个性化细分!$E$3:$G$33,3,FALSE)</f>
        <v>4.8000000000000007</v>
      </c>
      <c r="AO14" s="115">
        <f t="shared" si="0"/>
        <v>0.93333333333333346</v>
      </c>
      <c r="AP14" s="326">
        <f t="shared" ca="1" si="1"/>
        <v>724</v>
      </c>
      <c r="AQ14" s="326">
        <f t="shared" ca="1" si="2"/>
        <v>48</v>
      </c>
      <c r="AR14" s="326">
        <f t="shared" ca="1" si="3"/>
        <v>286</v>
      </c>
      <c r="AS14" s="326">
        <f t="shared" ca="1" si="4"/>
        <v>214</v>
      </c>
      <c r="AT14" s="326">
        <f t="shared" ca="1" si="5"/>
        <v>360</v>
      </c>
      <c r="AU14" s="326">
        <f t="shared" ca="1" si="6"/>
        <v>88</v>
      </c>
      <c r="AV14" s="326">
        <f t="shared" si="12"/>
        <v>270</v>
      </c>
      <c r="AW14" s="326">
        <f t="shared" si="13"/>
        <v>270</v>
      </c>
      <c r="AX14" s="326">
        <f t="shared" si="14"/>
        <v>270</v>
      </c>
      <c r="AY14" s="485">
        <f t="shared" si="7"/>
        <v>4</v>
      </c>
      <c r="AZ14" s="485">
        <f>基础属性系数!$E$61</f>
        <v>0.35</v>
      </c>
      <c r="BA14" s="485">
        <v>50</v>
      </c>
      <c r="BB14" s="485">
        <v>10</v>
      </c>
      <c r="BC14" s="485">
        <f>VLOOKUP($B14,坦克类型系数!$B$3:$R$33,MATCH(BC$3,坦克类型系数!$B$3:$R$3,0),FALSE)</f>
        <v>2</v>
      </c>
      <c r="BD14" s="485">
        <f>VLOOKUP($B14,坦克类型系数!$B$3:$R$33,MATCH(BD$3,坦克类型系数!$B$3:$R$3,0),FALSE)</f>
        <v>1.9</v>
      </c>
      <c r="BE14" s="517">
        <f>VLOOKUP($B14,坦克类型系数!$B$3:$R$33,MATCH(BE$3,坦克类型系数!$B$3:$R$3,0),FALSE)</f>
        <v>1.6</v>
      </c>
      <c r="BF14" s="485">
        <f>VLOOKUP($B14,坦克类型系数!$B$3:$R$33,MATCH(BF$3,坦克类型系数!$B$3:$R$3,0),FALSE)</f>
        <v>1.6</v>
      </c>
      <c r="BG14" s="485">
        <f>VLOOKUP($B14,坦克类型系数!$B$3:$R$33,MATCH(BG$3,坦克类型系数!$B$3:$R$3,0),FALSE)</f>
        <v>1.2</v>
      </c>
      <c r="BH14" s="485">
        <f>VLOOKUP($B14,坦克类型系数!$B$3:$R$33,MATCH(BH$3,坦克类型系数!$B$3:$R$3,0),FALSE)</f>
        <v>0.85000000000000009</v>
      </c>
      <c r="BI14" s="485">
        <f>VLOOKUP($B14,坦克类型系数!$B$3:$R$33,MATCH(BI$3,坦克类型系数!$B$3:$R$3,0),FALSE)</f>
        <v>0.6</v>
      </c>
      <c r="BJ14" s="275"/>
      <c r="BK14" s="275"/>
      <c r="BL14" s="275"/>
      <c r="BN14" s="178" t="str">
        <f t="shared" si="8"/>
        <v>Stuart</v>
      </c>
      <c r="BO14" s="493" t="str">
        <f>VLOOKUP(BN14,坦克个性化设定!$B$18:$E$48,MATCH(BO$3,坦克个性化设定!$B$18:$E$18,0),FALSE)</f>
        <v>T1</v>
      </c>
      <c r="BP14" s="182" t="str">
        <f t="shared" si="9"/>
        <v>低</v>
      </c>
      <c r="BQ14" s="134" t="s">
        <v>800</v>
      </c>
      <c r="BR14" s="689" t="s">
        <v>3291</v>
      </c>
      <c r="BS14" s="96">
        <f ca="1">VLOOKUP($BN14&amp;$BQ14,坦克标准养成属性!$O$3:$AA$63,MATCH(BS$3,坦克标准养成属性!$O$3:$AA$3,0),FALSE)</f>
        <v>724.16985440018004</v>
      </c>
      <c r="BT14" s="96">
        <f ca="1">VLOOKUP($BN14&amp;$BQ14,坦克标准养成属性!$O$3:$AA$63,MATCH(BT$3,坦克标准养成属性!$O$3:$AA$3,0),FALSE)</f>
        <v>47.935188381401325</v>
      </c>
      <c r="BU14" s="96">
        <f ca="1">VLOOKUP($BN14&amp;$BQ14,坦克标准养成属性!$O$3:$AA$63,MATCH(BU$3,坦克标准养成属性!$O$3:$AA$3,0),FALSE)</f>
        <v>286</v>
      </c>
      <c r="BV14" s="96">
        <f ca="1">VLOOKUP($BN14&amp;$BQ14,坦克标准养成属性!$O$3:$AA$63,MATCH(BV$3,坦克标准养成属性!$O$3:$AA$3,0),FALSE)</f>
        <v>214</v>
      </c>
      <c r="BW14" s="96">
        <f ca="1">VLOOKUP($BN14&amp;$BQ14,坦克标准养成属性!$O$3:$AA$63,MATCH(BW$3,坦克标准养成属性!$O$3:$AA$3,0),FALSE)</f>
        <v>360</v>
      </c>
      <c r="BX14" s="96">
        <f ca="1">VLOOKUP($BN14&amp;$BQ14,坦克标准养成属性!$O$3:$AA$63,MATCH(BX$3,坦克标准养成属性!$O$3:$AA$3,0),FALSE)</f>
        <v>88</v>
      </c>
      <c r="BY14" s="669">
        <f>(VLOOKUP(LEFT(BR14,1)*1,坦克部件!$M$3:$U$9,MATCH("升星属性",坦克部件!$M$3:$U$3,0),FALSE)+VLOOKUP(RIGHT(BR14,1)*1,坦克部件!$W$3:$AA$63,MATCH("累计属性",坦克部件!$W$3:$AA$3,0),FALSE))*2</f>
        <v>270</v>
      </c>
      <c r="BZ14" s="96">
        <f t="shared" si="15"/>
        <v>270</v>
      </c>
      <c r="CA14" s="96">
        <f t="shared" si="16"/>
        <v>270</v>
      </c>
    </row>
    <row r="15" spans="2:79" x14ac:dyDescent="0.35">
      <c r="B15" s="485" t="str">
        <f>坦克个性化设定!B30</f>
        <v>T-34</v>
      </c>
      <c r="C15" s="485" t="str">
        <f>VLOOKUP(B15,坦克个性化设定!$B$18:$E$48,4,FALSE)</f>
        <v>T2</v>
      </c>
      <c r="D15" s="485" t="str">
        <f>坦克个性化细分!J15</f>
        <v>低</v>
      </c>
      <c r="E15" s="485" t="str">
        <f t="shared" si="10"/>
        <v>T2低0</v>
      </c>
      <c r="F15" s="485" t="str">
        <f>VLOOKUP($B15,坦克个性化设定!$B$18:$BB$48,MATCH(F$3,坦克个性化设定!$B$18:$BB$18,0),FALSE)</f>
        <v>中坦</v>
      </c>
      <c r="G15" s="485" t="str">
        <f>VLOOKUP($B15,坦克个性化设定!$B$18:$BB$48,MATCH(G$3,坦克个性化设定!$B$18:$BB$18,0),FALSE)</f>
        <v>中坦弹夹</v>
      </c>
      <c r="H15" s="485" t="str">
        <f t="shared" si="11"/>
        <v>弹夹装弹</v>
      </c>
      <c r="I15" s="485">
        <f>VLOOKUP($B15,坦克个性化设定!$B$18:$BB$48,MATCH(I$3,坦克个性化设定!$B$18:$BB$18,0),FALSE)</f>
        <v>5.58</v>
      </c>
      <c r="J15" s="485">
        <f>VLOOKUP($B15,坦克个性化设定!$B$18:$BB$48,MATCH(J$3,坦克个性化设定!$B$18:$BB$18,0),FALSE)</f>
        <v>2.84</v>
      </c>
      <c r="K15" s="485">
        <f>VLOOKUP($B15,坦克个性化设定!$B$18:$BB$48,MATCH(K$3,坦克个性化设定!$B$18:$BB$18,0),FALSE)</f>
        <v>0.3</v>
      </c>
      <c r="L15" s="115">
        <f>VLOOKUP($B15,坦克个性化设定!$B$18:$BB$48,MATCH(L$3,坦克个性化设定!$B$18:$BB$18,0),FALSE)</f>
        <v>1.6422918151337649</v>
      </c>
      <c r="M15" s="115">
        <f>VLOOKUP($B15,坦克个性化设定!$B$18:$BB$48,MATCH(M$3,坦克个性化设定!$B$18:$BB$18,0),FALSE)</f>
        <v>16.3</v>
      </c>
      <c r="N15" s="115">
        <f>VLOOKUP($B15,坦克个性化设定!$B$18:$BB$48,MATCH(N$3,坦克个性化设定!$B$18:$BB$18,0),FALSE)</f>
        <v>27.166666666666668</v>
      </c>
      <c r="O15" s="485">
        <f>VLOOKUP($B15,坦克个性化设定!$B$18:$BB$48,MATCH(O$3,坦克个性化设定!$B$18:$BB$18,0),FALSE)</f>
        <v>0.9</v>
      </c>
      <c r="P15" s="485">
        <f>VLOOKUP($B15,坦克个性化设定!$B$18:$BB$48,MATCH(P$3,坦克个性化设定!$B$18:$BB$18,0),FALSE)</f>
        <v>0.9</v>
      </c>
      <c r="Q15" s="485">
        <f>VLOOKUP($B15,坦克个性化设定!$B$18:$BB$48,MATCH(Q$3,坦克个性化设定!$B$18:$BB$18,0),FALSE)</f>
        <v>0.9</v>
      </c>
      <c r="R15" s="485">
        <f>VLOOKUP($B15,坦克个性化设定!$B$18:$BB$48,MATCH(R$3,坦克个性化设定!$B$18:$BB$18,0),FALSE)</f>
        <v>1.2</v>
      </c>
      <c r="S15" s="115">
        <f>VLOOKUP($B15,坦克个性化设定!$B$51:$T$81,MATCH(S$3,坦克个性化设定!$B$51:$T$51,0),FALSE)</f>
        <v>0.79999999999999993</v>
      </c>
      <c r="T15" s="115">
        <f>VLOOKUP($B15,坦克个性化设定!$B$51:$T$81,MATCH(T$3,坦克个性化设定!$B$51:$T$51,0),FALSE)</f>
        <v>1.76</v>
      </c>
      <c r="U15" s="115">
        <f>VLOOKUP($B15,坦克个性化设定!$B$18:$BB$48,MATCH(U$3,坦克个性化设定!$B$18:$BB$18,0),FALSE)</f>
        <v>0.75</v>
      </c>
      <c r="V15" s="485">
        <f>VLOOKUP($B15,坦克个性化设定!$B$18:$BB$48,MATCH(V$3,坦克个性化设定!$B$18:$BB$18,0),FALSE)</f>
        <v>1.2</v>
      </c>
      <c r="W15" s="485">
        <f>VLOOKUP($B15,坦克个性化设定!$B$18:$BB$48,MATCH(W$3,坦克个性化设定!$B$18:$BB$18,0),FALSE)</f>
        <v>2</v>
      </c>
      <c r="X15" s="485">
        <f>VLOOKUP($B15,坦克个性化设定!$B$18:$BB$48,MATCH(X$3,坦克个性化设定!$B$18:$BB$18,0),FALSE)</f>
        <v>0.75</v>
      </c>
      <c r="Y15" s="115">
        <f>VLOOKUP($B15,坦克个性化设定!$B$18:$BB$48,MATCH(Y$3,坦克个性化设定!$B$18:$BB$18,0),FALSE)</f>
        <v>11.123020662806383</v>
      </c>
      <c r="Z15" s="115">
        <f>VLOOKUP($B15,坦克个性化设定!$B$18:$BB$48,MATCH(Z$3,坦克个性化设定!$B$18:$BB$18,0),FALSE)</f>
        <v>55.61510331403192</v>
      </c>
      <c r="AA15" s="115">
        <f>VLOOKUP($B15,坦克个性化设定!$B$18:$BB$48,MATCH(AA$3,坦克个性化设定!$B$18:$BB$18,0),FALSE)</f>
        <v>1.42</v>
      </c>
      <c r="AB15" s="115">
        <f>VLOOKUP($B15,坦克个性化设定!$B$18:$BB$48,MATCH(AB$3,坦克个性化设定!$B$18:$BB$18,0),FALSE)</f>
        <v>12.3</v>
      </c>
      <c r="AC15" s="115">
        <f>VLOOKUP($B15,坦克个性化设定!$B$18:$BB$48,MATCH(AC$3,坦克个性化设定!$B$18:$BB$18,0),FALSE)</f>
        <v>10.214285714285715</v>
      </c>
      <c r="AD15" s="115">
        <f>VLOOKUP($B15,坦克个性化设定!$B$18:$BB$48,MATCH(AD$3,坦克个性化设定!$B$18:$BB$18,0),FALSE)</f>
        <v>7.15</v>
      </c>
      <c r="AE15" s="115">
        <f>VLOOKUP($B15,坦克个性化设定!$B$18:$BB$48,MATCH(AE$3,坦克个性化设定!$B$18:$BB$18,0),FALSE)</f>
        <v>0.35499999999999998</v>
      </c>
      <c r="AF15" s="485">
        <f>VLOOKUP($B15,坦克个性化设定!$B$18:$BB$48,MATCH(AF$3,坦克个性化设定!$B$18:$BB$18,0),FALSE)</f>
        <v>0.2</v>
      </c>
      <c r="AG15" s="485">
        <f>VLOOKUP($B15,坦克个性化设定!$B$18:$BB$48,MATCH(AG$3,坦克个性化设定!$B$18:$BB$18,0),FALSE)</f>
        <v>55</v>
      </c>
      <c r="AH15" s="485">
        <f>VLOOKUP($B15,坦克个性化设定!$B$18:$BB$48,MATCH(AH$3,坦克个性化设定!$B$18:$BB$18,0),FALSE)</f>
        <v>105</v>
      </c>
      <c r="AI15" s="485">
        <f>VLOOKUP(B15,坦克个性化细分!$I$3:$P$33,3,FALSE)</f>
        <v>44.5</v>
      </c>
      <c r="AJ15" s="485">
        <f>VLOOKUP(B15,坦克个性化细分!$I$3:$P$33,5,FALSE)</f>
        <v>40</v>
      </c>
      <c r="AK15" s="485">
        <f>VLOOKUP(B15,坦克个性化细分!$I$3:$P$33,7,FALSE)</f>
        <v>12.3</v>
      </c>
      <c r="AL15" s="485">
        <f>VLOOKUP($B15,坦克个性化设定!$F$84:$S$114,MATCH(AL$3,坦克个性化设定!$F$84:$S$84,0),FALSE)</f>
        <v>6</v>
      </c>
      <c r="AM15" s="485">
        <f>VLOOKUP($B15,坦克个性化细分!$E$3:$G$33,2,FALSE)</f>
        <v>0</v>
      </c>
      <c r="AN15" s="485">
        <f>VLOOKUP($B15,坦克个性化细分!$E$3:$G$33,3,FALSE)</f>
        <v>3</v>
      </c>
      <c r="AO15" s="115">
        <f t="shared" si="0"/>
        <v>1.4666666666666668</v>
      </c>
      <c r="AP15" s="326">
        <f t="shared" ca="1" si="1"/>
        <v>979</v>
      </c>
      <c r="AQ15" s="326">
        <f t="shared" ca="1" si="2"/>
        <v>71</v>
      </c>
      <c r="AR15" s="326">
        <f t="shared" ca="1" si="3"/>
        <v>343</v>
      </c>
      <c r="AS15" s="326">
        <f t="shared" ca="1" si="4"/>
        <v>257</v>
      </c>
      <c r="AT15" s="326">
        <f t="shared" ca="1" si="5"/>
        <v>432</v>
      </c>
      <c r="AU15" s="326">
        <f t="shared" ca="1" si="6"/>
        <v>106</v>
      </c>
      <c r="AV15" s="326">
        <f t="shared" si="12"/>
        <v>270</v>
      </c>
      <c r="AW15" s="326">
        <f t="shared" si="13"/>
        <v>270</v>
      </c>
      <c r="AX15" s="326">
        <f t="shared" si="14"/>
        <v>270</v>
      </c>
      <c r="AY15" s="485">
        <f t="shared" si="7"/>
        <v>4</v>
      </c>
      <c r="AZ15" s="485">
        <f>基础属性系数!$E$61</f>
        <v>0.35</v>
      </c>
      <c r="BA15" s="485">
        <v>50</v>
      </c>
      <c r="BB15" s="485">
        <v>10</v>
      </c>
      <c r="BC15" s="485">
        <f>VLOOKUP($B15,坦克类型系数!$B$3:$R$33,MATCH(BC$3,坦克类型系数!$B$3:$R$3,0),FALSE)</f>
        <v>2.15</v>
      </c>
      <c r="BD15" s="485">
        <f>VLOOKUP($B15,坦克类型系数!$B$3:$R$33,MATCH(BD$3,坦克类型系数!$B$3:$R$3,0),FALSE)</f>
        <v>1.9</v>
      </c>
      <c r="BE15" s="517">
        <f>VLOOKUP($B15,坦克类型系数!$B$3:$R$33,MATCH(BE$3,坦克类型系数!$B$3:$R$3,0),FALSE)</f>
        <v>1.55</v>
      </c>
      <c r="BF15" s="485">
        <f>VLOOKUP($B15,坦克类型系数!$B$3:$R$33,MATCH(BF$3,坦克类型系数!$B$3:$R$3,0),FALSE)</f>
        <v>1.55</v>
      </c>
      <c r="BG15" s="485">
        <f>VLOOKUP($B15,坦克类型系数!$B$3:$R$33,MATCH(BG$3,坦克类型系数!$B$3:$R$3,0),FALSE)</f>
        <v>1.2</v>
      </c>
      <c r="BH15" s="485">
        <f>VLOOKUP($B15,坦克类型系数!$B$3:$R$33,MATCH(BH$3,坦克类型系数!$B$3:$R$3,0),FALSE)</f>
        <v>0.8</v>
      </c>
      <c r="BI15" s="485">
        <f>VLOOKUP($B15,坦克类型系数!$B$3:$R$33,MATCH(BI$3,坦克类型系数!$B$3:$R$3,0),FALSE)</f>
        <v>0.55000000000000004</v>
      </c>
      <c r="BJ15" s="275"/>
      <c r="BK15" s="275"/>
      <c r="BL15" s="275"/>
      <c r="BN15" s="178" t="str">
        <f t="shared" si="8"/>
        <v>T-34</v>
      </c>
      <c r="BO15" s="493" t="str">
        <f>VLOOKUP(BN15,坦克个性化设定!$B$18:$E$48,MATCH(BO$3,坦克个性化设定!$B$18:$E$18,0),FALSE)</f>
        <v>T2</v>
      </c>
      <c r="BP15" s="182" t="str">
        <f t="shared" si="9"/>
        <v>低</v>
      </c>
      <c r="BQ15" s="134" t="s">
        <v>800</v>
      </c>
      <c r="BR15" s="689" t="s">
        <v>3291</v>
      </c>
      <c r="BS15" s="96">
        <f ca="1">VLOOKUP($BN15&amp;$BQ15,坦克标准养成属性!$O$3:$AA$63,MATCH(BS$3,坦克标准养成属性!$O$3:$AA$3,0),FALSE)</f>
        <v>979.23154441756913</v>
      </c>
      <c r="BT15" s="96">
        <f ca="1">VLOOKUP($BN15&amp;$BQ15,坦克标准养成属性!$O$3:$AA$63,MATCH(BT$3,坦克标准养成属性!$O$3:$AA$3,0),FALSE)</f>
        <v>70.831051547930059</v>
      </c>
      <c r="BU15" s="96">
        <f ca="1">VLOOKUP($BN15&amp;$BQ15,坦克标准养成属性!$O$3:$AA$63,MATCH(BU$3,坦克标准养成属性!$O$3:$AA$3,0),FALSE)</f>
        <v>343</v>
      </c>
      <c r="BV15" s="96">
        <f ca="1">VLOOKUP($BN15&amp;$BQ15,坦克标准养成属性!$O$3:$AA$63,MATCH(BV$3,坦克标准养成属性!$O$3:$AA$3,0),FALSE)</f>
        <v>257</v>
      </c>
      <c r="BW15" s="96">
        <f ca="1">VLOOKUP($BN15&amp;$BQ15,坦克标准养成属性!$O$3:$AA$63,MATCH(BW$3,坦克标准养成属性!$O$3:$AA$3,0),FALSE)</f>
        <v>432</v>
      </c>
      <c r="BX15" s="96">
        <f ca="1">VLOOKUP($BN15&amp;$BQ15,坦克标准养成属性!$O$3:$AA$63,MATCH(BX$3,坦克标准养成属性!$O$3:$AA$3,0),FALSE)</f>
        <v>106</v>
      </c>
      <c r="BY15" s="669">
        <f>(VLOOKUP(LEFT(BR15,1)*1,坦克部件!$M$3:$U$9,MATCH("升星属性",坦克部件!$M$3:$U$3,0),FALSE)+VLOOKUP(RIGHT(BR15,1)*1,坦克部件!$W$3:$AA$63,MATCH("累计属性",坦克部件!$W$3:$AA$3,0),FALSE))*2</f>
        <v>270</v>
      </c>
      <c r="BZ15" s="96">
        <f t="shared" si="15"/>
        <v>270</v>
      </c>
      <c r="CA15" s="96">
        <f t="shared" si="16"/>
        <v>270</v>
      </c>
    </row>
    <row r="16" spans="2:79" x14ac:dyDescent="0.35">
      <c r="B16" s="485" t="str">
        <f>坦克个性化设定!B31</f>
        <v>四号</v>
      </c>
      <c r="C16" s="485" t="str">
        <f>VLOOKUP(B16,坦克个性化设定!$B$18:$E$48,4,FALSE)</f>
        <v>T2</v>
      </c>
      <c r="D16" s="485" t="str">
        <f>坦克个性化细分!J16</f>
        <v>中</v>
      </c>
      <c r="E16" s="485" t="str">
        <f t="shared" si="10"/>
        <v>T2中0</v>
      </c>
      <c r="F16" s="485" t="str">
        <f>VLOOKUP($B16,坦克个性化设定!$B$18:$BB$48,MATCH(F$3,坦克个性化设定!$B$18:$BB$18,0),FALSE)</f>
        <v>中坦</v>
      </c>
      <c r="G16" s="485" t="str">
        <f>VLOOKUP($B16,坦克个性化设定!$B$18:$BB$48,MATCH(G$3,坦克个性化设定!$B$18:$BB$18,0),FALSE)</f>
        <v>中坦单发</v>
      </c>
      <c r="H16" s="485" t="str">
        <f t="shared" si="11"/>
        <v>单发装弹</v>
      </c>
      <c r="I16" s="485">
        <f>VLOOKUP($B16,坦克个性化设定!$B$18:$BB$48,MATCH(I$3,坦克个性化设定!$B$18:$BB$18,0),FALSE)</f>
        <v>5.97</v>
      </c>
      <c r="J16" s="485">
        <f>VLOOKUP($B16,坦克个性化设定!$B$18:$BB$48,MATCH(J$3,坦克个性化设定!$B$18:$BB$18,0),FALSE)</f>
        <v>2.96</v>
      </c>
      <c r="K16" s="485">
        <f>VLOOKUP($B16,坦克个性化设定!$B$18:$BB$48,MATCH(K$3,坦克个性化设定!$B$18:$BB$18,0),FALSE)</f>
        <v>0.3</v>
      </c>
      <c r="L16" s="115">
        <f>VLOOKUP($B16,坦克个性化设定!$B$18:$BB$48,MATCH(L$3,坦克个性化设定!$B$18:$BB$18,0),FALSE)</f>
        <v>1.6422918151337649</v>
      </c>
      <c r="M16" s="115">
        <f>VLOOKUP($B16,坦克个性化设定!$B$18:$BB$48,MATCH(M$3,坦克个性化设定!$B$18:$BB$18,0),FALSE)</f>
        <v>16.3</v>
      </c>
      <c r="N16" s="115">
        <f>VLOOKUP($B16,坦克个性化设定!$B$18:$BB$48,MATCH(N$3,坦克个性化设定!$B$18:$BB$18,0),FALSE)</f>
        <v>27.166666666666668</v>
      </c>
      <c r="O16" s="485">
        <f>VLOOKUP($B16,坦克个性化设定!$B$18:$BB$48,MATCH(O$3,坦克个性化设定!$B$18:$BB$18,0),FALSE)</f>
        <v>0.9</v>
      </c>
      <c r="P16" s="485">
        <f>VLOOKUP($B16,坦克个性化设定!$B$18:$BB$48,MATCH(P$3,坦克个性化设定!$B$18:$BB$18,0),FALSE)</f>
        <v>0.9</v>
      </c>
      <c r="Q16" s="485">
        <f>VLOOKUP($B16,坦克个性化设定!$B$18:$BB$48,MATCH(Q$3,坦克个性化设定!$B$18:$BB$18,0),FALSE)</f>
        <v>0.9</v>
      </c>
      <c r="R16" s="485">
        <f>VLOOKUP($B16,坦克个性化设定!$B$18:$BB$48,MATCH(R$3,坦克个性化设定!$B$18:$BB$18,0),FALSE)</f>
        <v>0</v>
      </c>
      <c r="S16" s="115">
        <f>VLOOKUP($B16,坦克个性化设定!$B$51:$T$81,MATCH(S$3,坦克个性化设定!$B$51:$T$51,0),FALSE)</f>
        <v>2.4</v>
      </c>
      <c r="T16" s="115">
        <f>VLOOKUP($B16,坦克个性化设定!$B$51:$T$81,MATCH(T$3,坦克个性化设定!$B$51:$T$51,0),FALSE)</f>
        <v>2.4</v>
      </c>
      <c r="U16" s="115">
        <f>VLOOKUP($B16,坦克个性化设定!$B$18:$BB$48,MATCH(U$3,坦克个性化设定!$B$18:$BB$18,0),FALSE)</f>
        <v>0.64</v>
      </c>
      <c r="V16" s="485">
        <f>VLOOKUP($B16,坦克个性化设定!$B$18:$BB$48,MATCH(V$3,坦克个性化设定!$B$18:$BB$18,0),FALSE)</f>
        <v>1</v>
      </c>
      <c r="W16" s="485">
        <f>VLOOKUP($B16,坦克个性化设定!$B$18:$BB$48,MATCH(W$3,坦克个性化设定!$B$18:$BB$18,0),FALSE)</f>
        <v>4</v>
      </c>
      <c r="X16" s="485">
        <f>VLOOKUP($B16,坦克个性化设定!$B$18:$BB$48,MATCH(X$3,坦克个性化设定!$B$18:$BB$18,0),FALSE)</f>
        <v>0.75</v>
      </c>
      <c r="Y16" s="115">
        <f>VLOOKUP($B16,坦克个性化设定!$B$18:$BB$48,MATCH(Y$3,坦克个性化设定!$B$18:$BB$18,0),FALSE)</f>
        <v>8.8984165302451057</v>
      </c>
      <c r="Z16" s="115">
        <f>VLOOKUP($B16,坦克个性化设定!$B$18:$BB$48,MATCH(Z$3,坦克个性化设定!$B$18:$BB$18,0),FALSE)</f>
        <v>55.61510331403192</v>
      </c>
      <c r="AA16" s="115">
        <f>VLOOKUP($B16,坦克个性化设定!$B$18:$BB$48,MATCH(AA$3,坦克个性化设定!$B$18:$BB$18,0),FALSE)</f>
        <v>2.84</v>
      </c>
      <c r="AB16" s="115">
        <f>VLOOKUP($B16,坦克个性化设定!$B$18:$BB$48,MATCH(AB$3,坦克个性化设定!$B$18:$BB$18,0),FALSE)</f>
        <v>11.07</v>
      </c>
      <c r="AC16" s="115">
        <f>VLOOKUP($B16,坦克个性化设定!$B$18:$BB$48,MATCH(AC$3,坦克个性化设定!$B$18:$BB$18,0),FALSE)</f>
        <v>10.214285714285715</v>
      </c>
      <c r="AD16" s="115">
        <f>VLOOKUP($B16,坦克个性化设定!$B$18:$BB$48,MATCH(AD$3,坦克个性化设定!$B$18:$BB$18,0),FALSE)</f>
        <v>7.15</v>
      </c>
      <c r="AE16" s="115">
        <f>VLOOKUP($B16,坦克个性化设定!$B$18:$BB$48,MATCH(AE$3,坦克个性化设定!$B$18:$BB$18,0),FALSE)</f>
        <v>1.0649999999999999</v>
      </c>
      <c r="AF16" s="485">
        <f>VLOOKUP($B16,坦克个性化设定!$B$18:$BB$48,MATCH(AF$3,坦克个性化设定!$B$18:$BB$18,0),FALSE)</f>
        <v>0.2</v>
      </c>
      <c r="AG16" s="485">
        <f>VLOOKUP($B16,坦克个性化设定!$B$18:$BB$48,MATCH(AG$3,坦克个性化设定!$B$18:$BB$18,0),FALSE)</f>
        <v>55</v>
      </c>
      <c r="AH16" s="485">
        <f>VLOOKUP($B16,坦克个性化设定!$B$18:$BB$48,MATCH(AH$3,坦克个性化设定!$B$18:$BB$18,0),FALSE)</f>
        <v>105</v>
      </c>
      <c r="AI16" s="485">
        <f>VLOOKUP(B16,坦克个性化细分!$I$3:$P$33,3,FALSE)</f>
        <v>36.299999999999997</v>
      </c>
      <c r="AJ16" s="485">
        <f>VLOOKUP(B16,坦克个性化细分!$I$3:$P$33,5,FALSE)</f>
        <v>51</v>
      </c>
      <c r="AK16" s="485">
        <f>VLOOKUP(B16,坦克个性化细分!$I$3:$P$33,7,FALSE)</f>
        <v>11.3</v>
      </c>
      <c r="AL16" s="485">
        <f>VLOOKUP($B16,坦克个性化设定!$F$84:$S$114,MATCH(AL$3,坦克个性化设定!$F$84:$S$84,0),FALSE)</f>
        <v>1</v>
      </c>
      <c r="AM16" s="485">
        <f>VLOOKUP($B16,坦克个性化细分!$E$3:$G$33,2,FALSE)</f>
        <v>4.5</v>
      </c>
      <c r="AN16" s="485">
        <f>VLOOKUP($B16,坦克个性化细分!$E$3:$G$33,3,FALSE)</f>
        <v>0</v>
      </c>
      <c r="AO16" s="115">
        <f t="shared" si="0"/>
        <v>2.4</v>
      </c>
      <c r="AP16" s="326">
        <f t="shared" ca="1" si="1"/>
        <v>1036</v>
      </c>
      <c r="AQ16" s="326">
        <f t="shared" ca="1" si="2"/>
        <v>199</v>
      </c>
      <c r="AR16" s="326">
        <f t="shared" ca="1" si="3"/>
        <v>404</v>
      </c>
      <c r="AS16" s="326">
        <f t="shared" ca="1" si="4"/>
        <v>303</v>
      </c>
      <c r="AT16" s="326">
        <f t="shared" ca="1" si="5"/>
        <v>443</v>
      </c>
      <c r="AU16" s="326">
        <f t="shared" ca="1" si="6"/>
        <v>108</v>
      </c>
      <c r="AV16" s="326">
        <f t="shared" si="12"/>
        <v>380</v>
      </c>
      <c r="AW16" s="326">
        <f t="shared" si="13"/>
        <v>380</v>
      </c>
      <c r="AX16" s="326">
        <f t="shared" si="14"/>
        <v>380</v>
      </c>
      <c r="AY16" s="485">
        <f t="shared" si="7"/>
        <v>1</v>
      </c>
      <c r="AZ16" s="485">
        <f>基础属性系数!$E$61</f>
        <v>0.35</v>
      </c>
      <c r="BA16" s="485">
        <v>50</v>
      </c>
      <c r="BB16" s="485">
        <v>10</v>
      </c>
      <c r="BC16" s="485">
        <f>VLOOKUP($B16,坦克类型系数!$B$3:$R$33,MATCH(BC$3,坦克类型系数!$B$3:$R$3,0),FALSE)</f>
        <v>2.2000000000000002</v>
      </c>
      <c r="BD16" s="485">
        <f>VLOOKUP($B16,坦克类型系数!$B$3:$R$33,MATCH(BD$3,坦克类型系数!$B$3:$R$3,0),FALSE)</f>
        <v>1.85</v>
      </c>
      <c r="BE16" s="517">
        <f>VLOOKUP($B16,坦克类型系数!$B$3:$R$33,MATCH(BE$3,坦克类型系数!$B$3:$R$3,0),FALSE)</f>
        <v>1.4000000000000001</v>
      </c>
      <c r="BF16" s="485">
        <f>VLOOKUP($B16,坦克类型系数!$B$3:$R$33,MATCH(BF$3,坦克类型系数!$B$3:$R$3,0),FALSE)</f>
        <v>1.4000000000000001</v>
      </c>
      <c r="BG16" s="485">
        <f>VLOOKUP($B16,坦克类型系数!$B$3:$R$33,MATCH(BG$3,坦克类型系数!$B$3:$R$3,0),FALSE)</f>
        <v>1.1500000000000001</v>
      </c>
      <c r="BH16" s="485">
        <f>VLOOKUP($B16,坦克类型系数!$B$3:$R$33,MATCH(BH$3,坦克类型系数!$B$3:$R$3,0),FALSE)</f>
        <v>0.8</v>
      </c>
      <c r="BI16" s="485">
        <f>VLOOKUP($B16,坦克类型系数!$B$3:$R$33,MATCH(BI$3,坦克类型系数!$B$3:$R$3,0),FALSE)</f>
        <v>0.55000000000000004</v>
      </c>
      <c r="BJ16" s="275"/>
      <c r="BK16" s="275"/>
      <c r="BL16" s="275"/>
      <c r="BN16" s="178" t="str">
        <f t="shared" si="8"/>
        <v>四号</v>
      </c>
      <c r="BO16" s="493" t="str">
        <f>VLOOKUP(BN16,坦克个性化设定!$B$18:$E$48,MATCH(BO$3,坦克个性化设定!$B$18:$E$18,0),FALSE)</f>
        <v>T2</v>
      </c>
      <c r="BP16" s="182" t="str">
        <f t="shared" si="9"/>
        <v>中</v>
      </c>
      <c r="BQ16" s="134" t="s">
        <v>800</v>
      </c>
      <c r="BR16" s="689" t="s">
        <v>3292</v>
      </c>
      <c r="BS16" s="96">
        <f ca="1">VLOOKUP($BN16&amp;$BQ16,坦克标准养成属性!$O$3:$AA$63,MATCH(BS$3,坦克标准养成属性!$O$3:$AA$3,0),FALSE)</f>
        <v>1035.8571820711345</v>
      </c>
      <c r="BT16" s="96">
        <f ca="1">VLOOKUP($BN16&amp;$BQ16,坦克标准养成属性!$O$3:$AA$63,MATCH(BT$3,坦克标准养成属性!$O$3:$AA$3,0),FALSE)</f>
        <v>198.68633520779014</v>
      </c>
      <c r="BU16" s="96">
        <f ca="1">VLOOKUP($BN16&amp;$BQ16,坦克标准养成属性!$O$3:$AA$63,MATCH(BU$3,坦克标准养成属性!$O$3:$AA$3,0),FALSE)</f>
        <v>404</v>
      </c>
      <c r="BV16" s="96">
        <f ca="1">VLOOKUP($BN16&amp;$BQ16,坦克标准养成属性!$O$3:$AA$63,MATCH(BV$3,坦克标准养成属性!$O$3:$AA$3,0),FALSE)</f>
        <v>303</v>
      </c>
      <c r="BW16" s="96">
        <f ca="1">VLOOKUP($BN16&amp;$BQ16,坦克标准养成属性!$O$3:$AA$63,MATCH(BW$3,坦克标准养成属性!$O$3:$AA$3,0),FALSE)</f>
        <v>443</v>
      </c>
      <c r="BX16" s="96">
        <f ca="1">VLOOKUP($BN16&amp;$BQ16,坦克标准养成属性!$O$3:$AA$63,MATCH(BX$3,坦克标准养成属性!$O$3:$AA$3,0),FALSE)</f>
        <v>108</v>
      </c>
      <c r="BY16" s="669">
        <f>(VLOOKUP(LEFT(BR16,1)*1,坦克部件!$M$3:$U$9,MATCH("升星属性",坦克部件!$M$3:$U$3,0),FALSE)+VLOOKUP(RIGHT(BR16,1)*1,坦克部件!$W$3:$AA$63,MATCH("累计属性",坦克部件!$W$3:$AA$3,0),FALSE))*2</f>
        <v>380.4</v>
      </c>
      <c r="BZ16" s="96">
        <f t="shared" si="15"/>
        <v>380.4</v>
      </c>
      <c r="CA16" s="96">
        <f t="shared" si="16"/>
        <v>380.4</v>
      </c>
    </row>
    <row r="17" spans="2:79" x14ac:dyDescent="0.35">
      <c r="B17" s="485" t="str">
        <f>坦克个性化设定!B32</f>
        <v>玛蒂尔达</v>
      </c>
      <c r="C17" s="485" t="str">
        <f>VLOOKUP(B17,坦克个性化设定!$B$18:$E$48,4,FALSE)</f>
        <v>T3</v>
      </c>
      <c r="D17" s="485" t="str">
        <f>坦克个性化细分!J17</f>
        <v>低</v>
      </c>
      <c r="E17" s="485" t="str">
        <f t="shared" si="10"/>
        <v>T3低0</v>
      </c>
      <c r="F17" s="485" t="str">
        <f>VLOOKUP($B17,坦克个性化设定!$B$18:$BB$48,MATCH(F$3,坦克个性化设定!$B$18:$BB$18,0),FALSE)</f>
        <v>中坦</v>
      </c>
      <c r="G17" s="485" t="str">
        <f>VLOOKUP($B17,坦克个性化设定!$B$18:$BB$48,MATCH(G$3,坦克个性化设定!$B$18:$BB$18,0),FALSE)</f>
        <v>中坦弹夹</v>
      </c>
      <c r="H17" s="485" t="str">
        <f t="shared" si="11"/>
        <v>弹夹装弹</v>
      </c>
      <c r="I17" s="485">
        <f>VLOOKUP($B17,坦克个性化设定!$B$18:$BB$48,MATCH(I$3,坦克个性化设定!$B$18:$BB$18,0),FALSE)</f>
        <v>6.05</v>
      </c>
      <c r="J17" s="485">
        <f>VLOOKUP($B17,坦克个性化设定!$B$18:$BB$48,MATCH(J$3,坦克个性化设定!$B$18:$BB$18,0),FALSE)</f>
        <v>2.57</v>
      </c>
      <c r="K17" s="485">
        <f>VLOOKUP($B17,坦克个性化设定!$B$18:$BB$48,MATCH(K$3,坦克个性化设定!$B$18:$BB$18,0),FALSE)</f>
        <v>0.3</v>
      </c>
      <c r="L17" s="115">
        <f>VLOOKUP($B17,坦克个性化设定!$B$18:$BB$48,MATCH(L$3,坦克个性化设定!$B$18:$BB$18,0),FALSE)</f>
        <v>1.6422918151337649</v>
      </c>
      <c r="M17" s="115">
        <f>VLOOKUP($B17,坦克个性化设定!$B$18:$BB$48,MATCH(M$3,坦克个性化设定!$B$18:$BB$18,0),FALSE)</f>
        <v>16.3</v>
      </c>
      <c r="N17" s="115">
        <f>VLOOKUP($B17,坦克个性化设定!$B$18:$BB$48,MATCH(N$3,坦克个性化设定!$B$18:$BB$18,0),FALSE)</f>
        <v>27.166666666666668</v>
      </c>
      <c r="O17" s="485">
        <f>VLOOKUP($B17,坦克个性化设定!$B$18:$BB$48,MATCH(O$3,坦克个性化设定!$B$18:$BB$18,0),FALSE)</f>
        <v>0.9</v>
      </c>
      <c r="P17" s="485">
        <f>VLOOKUP($B17,坦克个性化设定!$B$18:$BB$48,MATCH(P$3,坦克个性化设定!$B$18:$BB$18,0),FALSE)</f>
        <v>0.9</v>
      </c>
      <c r="Q17" s="485">
        <f>VLOOKUP($B17,坦克个性化设定!$B$18:$BB$48,MATCH(Q$3,坦克个性化设定!$B$18:$BB$18,0),FALSE)</f>
        <v>0.9</v>
      </c>
      <c r="R17" s="485">
        <f>VLOOKUP($B17,坦克个性化设定!$B$18:$BB$48,MATCH(R$3,坦克个性化设定!$B$18:$BB$18,0),FALSE)</f>
        <v>0.72</v>
      </c>
      <c r="S17" s="115">
        <f>VLOOKUP($B17,坦克个性化设定!$B$51:$T$81,MATCH(S$3,坦克个性化设定!$B$51:$T$51,0),FALSE)</f>
        <v>0.79999999999999993</v>
      </c>
      <c r="T17" s="115">
        <f>VLOOKUP($B17,坦克个性化设定!$B$51:$T$81,MATCH(T$3,坦克个性化设定!$B$51:$T$51,0),FALSE)</f>
        <v>1.38</v>
      </c>
      <c r="U17" s="115">
        <f>VLOOKUP($B17,坦克个性化设定!$B$18:$BB$48,MATCH(U$3,坦克个性化设定!$B$18:$BB$18,0),FALSE)</f>
        <v>0.75</v>
      </c>
      <c r="V17" s="485">
        <f>VLOOKUP($B17,坦克个性化设定!$B$18:$BB$48,MATCH(V$3,坦克个性化设定!$B$18:$BB$18,0),FALSE)</f>
        <v>1.2</v>
      </c>
      <c r="W17" s="485">
        <f>VLOOKUP($B17,坦克个性化设定!$B$18:$BB$48,MATCH(W$3,坦克个性化设定!$B$18:$BB$18,0),FALSE)</f>
        <v>1</v>
      </c>
      <c r="X17" s="485">
        <f>VLOOKUP($B17,坦克个性化设定!$B$18:$BB$48,MATCH(X$3,坦克个性化设定!$B$18:$BB$18,0),FALSE)</f>
        <v>0.75</v>
      </c>
      <c r="Y17" s="115">
        <f>VLOOKUP($B17,坦克个性化设定!$B$18:$BB$48,MATCH(Y$3,坦克个性化设定!$B$18:$BB$18,0),FALSE)</f>
        <v>11.123020662806383</v>
      </c>
      <c r="Z17" s="115">
        <f>VLOOKUP($B17,坦克个性化设定!$B$18:$BB$48,MATCH(Z$3,坦克个性化设定!$B$18:$BB$18,0),FALSE)</f>
        <v>55.61510331403192</v>
      </c>
      <c r="AA17" s="115">
        <f>VLOOKUP($B17,坦克个性化设定!$B$18:$BB$48,MATCH(AA$3,坦克个性化设定!$B$18:$BB$18,0),FALSE)</f>
        <v>1.42</v>
      </c>
      <c r="AB17" s="115">
        <f>VLOOKUP($B17,坦克个性化设定!$B$18:$BB$48,MATCH(AB$3,坦克个性化设定!$B$18:$BB$18,0),FALSE)</f>
        <v>12.3</v>
      </c>
      <c r="AC17" s="115">
        <f>VLOOKUP($B17,坦克个性化设定!$B$18:$BB$48,MATCH(AC$3,坦克个性化设定!$B$18:$BB$18,0),FALSE)</f>
        <v>10.214285714285715</v>
      </c>
      <c r="AD17" s="115">
        <f>VLOOKUP($B17,坦克个性化设定!$B$18:$BB$48,MATCH(AD$3,坦克个性化设定!$B$18:$BB$18,0),FALSE)</f>
        <v>7.15</v>
      </c>
      <c r="AE17" s="115">
        <f>VLOOKUP($B17,坦克个性化设定!$B$18:$BB$48,MATCH(AE$3,坦克个性化设定!$B$18:$BB$18,0),FALSE)</f>
        <v>0.35499999999999998</v>
      </c>
      <c r="AF17" s="485">
        <f>VLOOKUP($B17,坦克个性化设定!$B$18:$BB$48,MATCH(AF$3,坦克个性化设定!$B$18:$BB$18,0),FALSE)</f>
        <v>0.2</v>
      </c>
      <c r="AG17" s="485">
        <f>VLOOKUP($B17,坦克个性化设定!$B$18:$BB$48,MATCH(AG$3,坦克个性化设定!$B$18:$BB$18,0),FALSE)</f>
        <v>55</v>
      </c>
      <c r="AH17" s="485">
        <f>VLOOKUP($B17,坦克个性化设定!$B$18:$BB$48,MATCH(AH$3,坦克个性化设定!$B$18:$BB$18,0),FALSE)</f>
        <v>105</v>
      </c>
      <c r="AI17" s="485">
        <f>VLOOKUP(B17,坦克个性化细分!$I$3:$P$33,3,FALSE)</f>
        <v>44.5</v>
      </c>
      <c r="AJ17" s="485">
        <f>VLOOKUP(B17,坦克个性化细分!$I$3:$P$33,5,FALSE)</f>
        <v>40</v>
      </c>
      <c r="AK17" s="485">
        <f>VLOOKUP(B17,坦克个性化细分!$I$3:$P$33,7,FALSE)</f>
        <v>12.3</v>
      </c>
      <c r="AL17" s="485">
        <f>VLOOKUP($B17,坦克个性化设定!$F$84:$S$114,MATCH(AL$3,坦克个性化设定!$F$84:$S$84,0),FALSE)</f>
        <v>6</v>
      </c>
      <c r="AM17" s="485">
        <f>VLOOKUP($B17,坦克个性化细分!$E$3:$G$33,2,FALSE)</f>
        <v>0</v>
      </c>
      <c r="AN17" s="485">
        <f>VLOOKUP($B17,坦克个性化细分!$E$3:$G$33,3,FALSE)</f>
        <v>3</v>
      </c>
      <c r="AO17" s="115">
        <f t="shared" si="0"/>
        <v>1.1499999999999999</v>
      </c>
      <c r="AP17" s="326">
        <f t="shared" ca="1" si="1"/>
        <v>1254</v>
      </c>
      <c r="AQ17" s="326">
        <f t="shared" ca="1" si="2"/>
        <v>64</v>
      </c>
      <c r="AR17" s="326">
        <f t="shared" ca="1" si="3"/>
        <v>429</v>
      </c>
      <c r="AS17" s="326">
        <f t="shared" ca="1" si="4"/>
        <v>321</v>
      </c>
      <c r="AT17" s="326">
        <f t="shared" ca="1" si="5"/>
        <v>540</v>
      </c>
      <c r="AU17" s="326">
        <f t="shared" ca="1" si="6"/>
        <v>132</v>
      </c>
      <c r="AV17" s="326">
        <f t="shared" si="12"/>
        <v>380</v>
      </c>
      <c r="AW17" s="326">
        <f t="shared" si="13"/>
        <v>380</v>
      </c>
      <c r="AX17" s="326">
        <f t="shared" si="14"/>
        <v>380</v>
      </c>
      <c r="AY17" s="485">
        <f t="shared" si="7"/>
        <v>4</v>
      </c>
      <c r="AZ17" s="485">
        <f>基础属性系数!$E$61</f>
        <v>0.35</v>
      </c>
      <c r="BA17" s="485">
        <v>50</v>
      </c>
      <c r="BB17" s="485">
        <v>10</v>
      </c>
      <c r="BC17" s="485">
        <f>VLOOKUP($B17,坦克类型系数!$B$3:$R$33,MATCH(BC$3,坦克类型系数!$B$3:$R$3,0),FALSE)</f>
        <v>2.25</v>
      </c>
      <c r="BD17" s="485">
        <f>VLOOKUP($B17,坦克类型系数!$B$3:$R$33,MATCH(BD$3,坦克类型系数!$B$3:$R$3,0),FALSE)</f>
        <v>2</v>
      </c>
      <c r="BE17" s="517">
        <f>VLOOKUP($B17,坦克类型系数!$B$3:$R$33,MATCH(BE$3,坦克类型系数!$B$3:$R$3,0),FALSE)</f>
        <v>1.5</v>
      </c>
      <c r="BF17" s="485">
        <f>VLOOKUP($B17,坦克类型系数!$B$3:$R$33,MATCH(BF$3,坦克类型系数!$B$3:$R$3,0),FALSE)</f>
        <v>1.5</v>
      </c>
      <c r="BG17" s="485">
        <f>VLOOKUP($B17,坦克类型系数!$B$3:$R$33,MATCH(BG$3,坦克类型系数!$B$3:$R$3,0),FALSE)</f>
        <v>1.2</v>
      </c>
      <c r="BH17" s="485">
        <f>VLOOKUP($B17,坦克类型系数!$B$3:$R$33,MATCH(BH$3,坦克类型系数!$B$3:$R$3,0),FALSE)</f>
        <v>0.85000000000000009</v>
      </c>
      <c r="BI17" s="485">
        <f>VLOOKUP($B17,坦克类型系数!$B$3:$R$33,MATCH(BI$3,坦克类型系数!$B$3:$R$3,0),FALSE)</f>
        <v>0.6</v>
      </c>
      <c r="BJ17" s="275"/>
      <c r="BK17" s="275"/>
      <c r="BL17" s="275"/>
      <c r="BN17" s="178" t="str">
        <f t="shared" si="8"/>
        <v>玛蒂尔达</v>
      </c>
      <c r="BO17" s="493" t="str">
        <f>VLOOKUP(BN17,坦克个性化设定!$B$18:$E$48,MATCH(BO$3,坦克个性化设定!$B$18:$E$18,0),FALSE)</f>
        <v>T3</v>
      </c>
      <c r="BP17" s="182" t="str">
        <f t="shared" si="9"/>
        <v>低</v>
      </c>
      <c r="BQ17" s="134" t="s">
        <v>800</v>
      </c>
      <c r="BR17" s="689" t="s">
        <v>3292</v>
      </c>
      <c r="BS17" s="96">
        <f ca="1">VLOOKUP($BN17&amp;$BQ17,坦克标准养成属性!$O$3:$AA$63,MATCH(BS$3,坦克标准养成属性!$O$3:$AA$3,0),FALSE)</f>
        <v>1253.980913677769</v>
      </c>
      <c r="BT17" s="96">
        <f ca="1">VLOOKUP($BN17&amp;$BQ17,坦克标准养成属性!$O$3:$AA$63,MATCH(BT$3,坦克标准养成属性!$O$3:$AA$3,0),FALSE)</f>
        <v>64.12378300413485</v>
      </c>
      <c r="BU17" s="96">
        <f ca="1">VLOOKUP($BN17&amp;$BQ17,坦克标准养成属性!$O$3:$AA$63,MATCH(BU$3,坦克标准养成属性!$O$3:$AA$3,0),FALSE)</f>
        <v>429</v>
      </c>
      <c r="BV17" s="96">
        <f ca="1">VLOOKUP($BN17&amp;$BQ17,坦克标准养成属性!$O$3:$AA$63,MATCH(BV$3,坦克标准养成属性!$O$3:$AA$3,0),FALSE)</f>
        <v>321</v>
      </c>
      <c r="BW17" s="96">
        <f ca="1">VLOOKUP($BN17&amp;$BQ17,坦克标准养成属性!$O$3:$AA$63,MATCH(BW$3,坦克标准养成属性!$O$3:$AA$3,0),FALSE)</f>
        <v>540</v>
      </c>
      <c r="BX17" s="96">
        <f ca="1">VLOOKUP($BN17&amp;$BQ17,坦克标准养成属性!$O$3:$AA$63,MATCH(BX$3,坦克标准养成属性!$O$3:$AA$3,0),FALSE)</f>
        <v>132</v>
      </c>
      <c r="BY17" s="669">
        <f>(VLOOKUP(LEFT(BR17,1)*1,坦克部件!$M$3:$U$9,MATCH("升星属性",坦克部件!$M$3:$U$3,0),FALSE)+VLOOKUP(RIGHT(BR17,1)*1,坦克部件!$W$3:$AA$63,MATCH("累计属性",坦克部件!$W$3:$AA$3,0),FALSE))*2</f>
        <v>380.4</v>
      </c>
      <c r="BZ17" s="96">
        <f t="shared" si="15"/>
        <v>380.4</v>
      </c>
      <c r="CA17" s="96">
        <f t="shared" si="16"/>
        <v>380.4</v>
      </c>
    </row>
    <row r="18" spans="2:79" x14ac:dyDescent="0.35">
      <c r="B18" s="485" t="str">
        <f>坦克个性化设定!B33</f>
        <v>谢尔曼</v>
      </c>
      <c r="C18" s="485" t="str">
        <f>VLOOKUP(B18,坦克个性化设定!$B$18:$E$48,4,FALSE)</f>
        <v>T3</v>
      </c>
      <c r="D18" s="485" t="str">
        <f>坦克个性化细分!J18</f>
        <v>中</v>
      </c>
      <c r="E18" s="485" t="str">
        <f t="shared" si="10"/>
        <v>T3中0</v>
      </c>
      <c r="F18" s="485" t="str">
        <f>VLOOKUP($B18,坦克个性化设定!$B$18:$BB$48,MATCH(F$3,坦克个性化设定!$B$18:$BB$18,0),FALSE)</f>
        <v>中坦</v>
      </c>
      <c r="G18" s="485" t="str">
        <f>VLOOKUP($B18,坦克个性化设定!$B$18:$BB$48,MATCH(G$3,坦克个性化设定!$B$18:$BB$18,0),FALSE)</f>
        <v>中坦单发</v>
      </c>
      <c r="H18" s="485" t="str">
        <f t="shared" si="11"/>
        <v>单发装弹</v>
      </c>
      <c r="I18" s="485">
        <f>VLOOKUP($B18,坦克个性化设定!$B$18:$BB$48,MATCH(I$3,坦克个性化设定!$B$18:$BB$18,0),FALSE)</f>
        <v>6.33</v>
      </c>
      <c r="J18" s="485">
        <f>VLOOKUP($B18,坦克个性化设定!$B$18:$BB$48,MATCH(J$3,坦克个性化设定!$B$18:$BB$18,0),FALSE)</f>
        <v>2.85</v>
      </c>
      <c r="K18" s="485">
        <f>VLOOKUP($B18,坦克个性化设定!$B$18:$BB$48,MATCH(K$3,坦克个性化设定!$B$18:$BB$18,0),FALSE)</f>
        <v>0.3</v>
      </c>
      <c r="L18" s="115">
        <f>VLOOKUP($B18,坦克个性化设定!$B$18:$BB$48,MATCH(L$3,坦克个性化设定!$B$18:$BB$18,0),FALSE)</f>
        <v>1.6422918151337649</v>
      </c>
      <c r="M18" s="115">
        <f>VLOOKUP($B18,坦克个性化设定!$B$18:$BB$48,MATCH(M$3,坦克个性化设定!$B$18:$BB$18,0),FALSE)</f>
        <v>16.3</v>
      </c>
      <c r="N18" s="115">
        <f>VLOOKUP($B18,坦克个性化设定!$B$18:$BB$48,MATCH(N$3,坦克个性化设定!$B$18:$BB$18,0),FALSE)</f>
        <v>27.166666666666668</v>
      </c>
      <c r="O18" s="485">
        <f>VLOOKUP($B18,坦克个性化设定!$B$18:$BB$48,MATCH(O$3,坦克个性化设定!$B$18:$BB$18,0),FALSE)</f>
        <v>0.9</v>
      </c>
      <c r="P18" s="485">
        <f>VLOOKUP($B18,坦克个性化设定!$B$18:$BB$48,MATCH(P$3,坦克个性化设定!$B$18:$BB$18,0),FALSE)</f>
        <v>0.9</v>
      </c>
      <c r="Q18" s="485">
        <f>VLOOKUP($B18,坦克个性化设定!$B$18:$BB$48,MATCH(Q$3,坦克个性化设定!$B$18:$BB$18,0),FALSE)</f>
        <v>0.9</v>
      </c>
      <c r="R18" s="485">
        <f>VLOOKUP($B18,坦克个性化设定!$B$18:$BB$48,MATCH(R$3,坦克个性化设定!$B$18:$BB$18,0),FALSE)</f>
        <v>0</v>
      </c>
      <c r="S18" s="115">
        <f>VLOOKUP($B18,坦克个性化设定!$B$51:$T$81,MATCH(S$3,坦克个性化设定!$B$51:$T$51,0),FALSE)</f>
        <v>2.4</v>
      </c>
      <c r="T18" s="115">
        <f>VLOOKUP($B18,坦克个性化设定!$B$51:$T$81,MATCH(T$3,坦克个性化设定!$B$51:$T$51,0),FALSE)</f>
        <v>2.4</v>
      </c>
      <c r="U18" s="115">
        <f>VLOOKUP($B18,坦克个性化设定!$B$18:$BB$48,MATCH(U$3,坦克个性化设定!$B$18:$BB$18,0),FALSE)</f>
        <v>0.71</v>
      </c>
      <c r="V18" s="485">
        <f>VLOOKUP($B18,坦克个性化设定!$B$18:$BB$48,MATCH(V$3,坦克个性化设定!$B$18:$BB$18,0),FALSE)</f>
        <v>1</v>
      </c>
      <c r="W18" s="485">
        <f>VLOOKUP($B18,坦克个性化设定!$B$18:$BB$48,MATCH(W$3,坦克个性化设定!$B$18:$BB$18,0),FALSE)</f>
        <v>4</v>
      </c>
      <c r="X18" s="485">
        <f>VLOOKUP($B18,坦克个性化设定!$B$18:$BB$48,MATCH(X$3,坦克个性化设定!$B$18:$BB$18,0),FALSE)</f>
        <v>0.75</v>
      </c>
      <c r="Y18" s="115">
        <f>VLOOKUP($B18,坦克个性化设定!$B$18:$BB$48,MATCH(Y$3,坦克个性化设定!$B$18:$BB$18,0),FALSE)</f>
        <v>8.8984165302451057</v>
      </c>
      <c r="Z18" s="115">
        <f>VLOOKUP($B18,坦克个性化设定!$B$18:$BB$48,MATCH(Z$3,坦克个性化设定!$B$18:$BB$18,0),FALSE)</f>
        <v>55.61510331403192</v>
      </c>
      <c r="AA18" s="115">
        <f>VLOOKUP($B18,坦克个性化设定!$B$18:$BB$48,MATCH(AA$3,坦克个性化设定!$B$18:$BB$18,0),FALSE)</f>
        <v>2.84</v>
      </c>
      <c r="AB18" s="115">
        <f>VLOOKUP($B18,坦克个性化设定!$B$18:$BB$48,MATCH(AB$3,坦克个性化设定!$B$18:$BB$18,0),FALSE)</f>
        <v>11.07</v>
      </c>
      <c r="AC18" s="115">
        <f>VLOOKUP($B18,坦克个性化设定!$B$18:$BB$48,MATCH(AC$3,坦克个性化设定!$B$18:$BB$18,0),FALSE)</f>
        <v>10.214285714285715</v>
      </c>
      <c r="AD18" s="115">
        <f>VLOOKUP($B18,坦克个性化设定!$B$18:$BB$48,MATCH(AD$3,坦克个性化设定!$B$18:$BB$18,0),FALSE)</f>
        <v>7.15</v>
      </c>
      <c r="AE18" s="115">
        <f>VLOOKUP($B18,坦克个性化设定!$B$18:$BB$48,MATCH(AE$3,坦克个性化设定!$B$18:$BB$18,0),FALSE)</f>
        <v>1.0649999999999999</v>
      </c>
      <c r="AF18" s="485">
        <f>VLOOKUP($B18,坦克个性化设定!$B$18:$BB$48,MATCH(AF$3,坦克个性化设定!$B$18:$BB$18,0),FALSE)</f>
        <v>0.2</v>
      </c>
      <c r="AG18" s="485">
        <f>VLOOKUP($B18,坦克个性化设定!$B$18:$BB$48,MATCH(AG$3,坦克个性化设定!$B$18:$BB$18,0),FALSE)</f>
        <v>55</v>
      </c>
      <c r="AH18" s="485">
        <f>VLOOKUP($B18,坦克个性化设定!$B$18:$BB$48,MATCH(AH$3,坦克个性化设定!$B$18:$BB$18,0),FALSE)</f>
        <v>105</v>
      </c>
      <c r="AI18" s="485">
        <f>VLOOKUP(B18,坦克个性化细分!$I$3:$P$33,3,FALSE)</f>
        <v>36.299999999999997</v>
      </c>
      <c r="AJ18" s="485">
        <f>VLOOKUP(B18,坦克个性化细分!$I$3:$P$33,5,FALSE)</f>
        <v>51</v>
      </c>
      <c r="AK18" s="485">
        <f>VLOOKUP(B18,坦克个性化细分!$I$3:$P$33,7,FALSE)</f>
        <v>11.3</v>
      </c>
      <c r="AL18" s="485">
        <f>VLOOKUP($B18,坦克个性化设定!$F$84:$S$114,MATCH(AL$3,坦克个性化设定!$F$84:$S$84,0),FALSE)</f>
        <v>1</v>
      </c>
      <c r="AM18" s="485">
        <f>VLOOKUP($B18,坦克个性化细分!$E$3:$G$33,2,FALSE)</f>
        <v>4.5</v>
      </c>
      <c r="AN18" s="485">
        <f>VLOOKUP($B18,坦克个性化细分!$E$3:$G$33,3,FALSE)</f>
        <v>0</v>
      </c>
      <c r="AO18" s="115">
        <f t="shared" si="0"/>
        <v>2.4</v>
      </c>
      <c r="AP18" s="326">
        <f t="shared" ca="1" si="1"/>
        <v>1328</v>
      </c>
      <c r="AQ18" s="326">
        <f t="shared" ca="1" si="2"/>
        <v>245</v>
      </c>
      <c r="AR18" s="326">
        <f t="shared" ca="1" si="3"/>
        <v>508</v>
      </c>
      <c r="AS18" s="326">
        <f t="shared" ca="1" si="4"/>
        <v>381</v>
      </c>
      <c r="AT18" s="326">
        <f t="shared" ca="1" si="5"/>
        <v>556</v>
      </c>
      <c r="AU18" s="326">
        <f t="shared" ca="1" si="6"/>
        <v>136</v>
      </c>
      <c r="AV18" s="326">
        <f t="shared" si="12"/>
        <v>380</v>
      </c>
      <c r="AW18" s="326">
        <f t="shared" si="13"/>
        <v>380</v>
      </c>
      <c r="AX18" s="326">
        <f t="shared" si="14"/>
        <v>380</v>
      </c>
      <c r="AY18" s="485">
        <f t="shared" si="7"/>
        <v>1</v>
      </c>
      <c r="AZ18" s="485">
        <f>基础属性系数!$E$61</f>
        <v>0.35</v>
      </c>
      <c r="BA18" s="485">
        <v>50</v>
      </c>
      <c r="BB18" s="485">
        <v>10</v>
      </c>
      <c r="BC18" s="485">
        <f>VLOOKUP($B18,坦克类型系数!$B$3:$R$33,MATCH(BC$3,坦克类型系数!$B$3:$R$3,0),FALSE)</f>
        <v>2.3000000000000003</v>
      </c>
      <c r="BD18" s="485">
        <f>VLOOKUP($B18,坦克类型系数!$B$3:$R$33,MATCH(BD$3,坦克类型系数!$B$3:$R$3,0),FALSE)</f>
        <v>1.9</v>
      </c>
      <c r="BE18" s="517">
        <f>VLOOKUP($B18,坦克类型系数!$B$3:$R$33,MATCH(BE$3,坦克类型系数!$B$3:$R$3,0),FALSE)</f>
        <v>1.45</v>
      </c>
      <c r="BF18" s="485">
        <f>VLOOKUP($B18,坦克类型系数!$B$3:$R$33,MATCH(BF$3,坦克类型系数!$B$3:$R$3,0),FALSE)</f>
        <v>1.45</v>
      </c>
      <c r="BG18" s="485">
        <f>VLOOKUP($B18,坦克类型系数!$B$3:$R$33,MATCH(BG$3,坦克类型系数!$B$3:$R$3,0),FALSE)</f>
        <v>1.2</v>
      </c>
      <c r="BH18" s="485">
        <f>VLOOKUP($B18,坦克类型系数!$B$3:$R$33,MATCH(BH$3,坦克类型系数!$B$3:$R$3,0),FALSE)</f>
        <v>0.8</v>
      </c>
      <c r="BI18" s="485">
        <f>VLOOKUP($B18,坦克类型系数!$B$3:$R$33,MATCH(BI$3,坦克类型系数!$B$3:$R$3,0),FALSE)</f>
        <v>0.6</v>
      </c>
      <c r="BJ18" s="275"/>
      <c r="BK18" s="275"/>
      <c r="BL18" s="275"/>
      <c r="BN18" s="178" t="str">
        <f t="shared" si="8"/>
        <v>谢尔曼</v>
      </c>
      <c r="BO18" s="493" t="str">
        <f>VLOOKUP(BN18,坦克个性化设定!$B$18:$E$48,MATCH(BO$3,坦克个性化设定!$B$18:$E$18,0),FALSE)</f>
        <v>T3</v>
      </c>
      <c r="BP18" s="182" t="str">
        <f t="shared" si="9"/>
        <v>中</v>
      </c>
      <c r="BQ18" s="134" t="s">
        <v>800</v>
      </c>
      <c r="BR18" s="689" t="s">
        <v>3292</v>
      </c>
      <c r="BS18" s="96">
        <f ca="1">VLOOKUP($BN18&amp;$BQ18,坦克标准养成属性!$O$3:$AA$63,MATCH(BS$3,坦克标准养成属性!$O$3:$AA$3,0),FALSE)</f>
        <v>1327.862034406279</v>
      </c>
      <c r="BT18" s="96">
        <f ca="1">VLOOKUP($BN18&amp;$BQ18,坦克标准养成属性!$O$3:$AA$63,MATCH(BT$3,坦克标准养成属性!$O$3:$AA$3,0),FALSE)</f>
        <v>244.90038786231912</v>
      </c>
      <c r="BU18" s="96">
        <f ca="1">VLOOKUP($BN18&amp;$BQ18,坦克标准养成属性!$O$3:$AA$63,MATCH(BU$3,坦克标准养成属性!$O$3:$AA$3,0),FALSE)</f>
        <v>508</v>
      </c>
      <c r="BV18" s="96">
        <f ca="1">VLOOKUP($BN18&amp;$BQ18,坦克标准养成属性!$O$3:$AA$63,MATCH(BV$3,坦克标准养成属性!$O$3:$AA$3,0),FALSE)</f>
        <v>381</v>
      </c>
      <c r="BW18" s="96">
        <f ca="1">VLOOKUP($BN18&amp;$BQ18,坦克标准养成属性!$O$3:$AA$63,MATCH(BW$3,坦克标准养成属性!$O$3:$AA$3,0),FALSE)</f>
        <v>556</v>
      </c>
      <c r="BX18" s="96">
        <f ca="1">VLOOKUP($BN18&amp;$BQ18,坦克标准养成属性!$O$3:$AA$63,MATCH(BX$3,坦克标准养成属性!$O$3:$AA$3,0),FALSE)</f>
        <v>136</v>
      </c>
      <c r="BY18" s="669">
        <f>(VLOOKUP(LEFT(BR18,1)*1,坦克部件!$M$3:$U$9,MATCH("升星属性",坦克部件!$M$3:$U$3,0),FALSE)+VLOOKUP(RIGHT(BR18,1)*1,坦克部件!$W$3:$AA$63,MATCH("累计属性",坦克部件!$W$3:$AA$3,0),FALSE))*2</f>
        <v>380.4</v>
      </c>
      <c r="BZ18" s="96">
        <f t="shared" si="15"/>
        <v>380.4</v>
      </c>
      <c r="CA18" s="96">
        <f t="shared" si="16"/>
        <v>380.4</v>
      </c>
    </row>
    <row r="19" spans="2:79" x14ac:dyDescent="0.35">
      <c r="B19" s="485" t="str">
        <f>坦克个性化设定!B34</f>
        <v>彗星</v>
      </c>
      <c r="C19" s="485" t="str">
        <f>VLOOKUP(B19,坦克个性化设定!$B$18:$E$48,4,FALSE)</f>
        <v>T3</v>
      </c>
      <c r="D19" s="485" t="str">
        <f>坦克个性化细分!J19</f>
        <v>高</v>
      </c>
      <c r="E19" s="485" t="str">
        <f t="shared" si="10"/>
        <v>T3高0</v>
      </c>
      <c r="F19" s="485" t="str">
        <f>VLOOKUP($B19,坦克个性化设定!$B$18:$BB$48,MATCH(F$3,坦克个性化设定!$B$18:$BB$18,0),FALSE)</f>
        <v>中坦</v>
      </c>
      <c r="G19" s="485" t="str">
        <f>VLOOKUP($B19,坦克个性化设定!$B$18:$BB$48,MATCH(G$3,坦克个性化设定!$B$18:$BB$18,0),FALSE)</f>
        <v>中坦单发</v>
      </c>
      <c r="H19" s="485" t="str">
        <f t="shared" si="11"/>
        <v>单发装弹</v>
      </c>
      <c r="I19" s="485">
        <f>VLOOKUP($B19,坦克个性化设定!$B$18:$BB$48,MATCH(I$3,坦克个性化设定!$B$18:$BB$18,0),FALSE)</f>
        <v>6.68</v>
      </c>
      <c r="J19" s="485">
        <f>VLOOKUP($B19,坦克个性化设定!$B$18:$BB$48,MATCH(J$3,坦克个性化设定!$B$18:$BB$18,0),FALSE)</f>
        <v>3.1</v>
      </c>
      <c r="K19" s="485">
        <f>VLOOKUP($B19,坦克个性化设定!$B$18:$BB$48,MATCH(K$3,坦克个性化设定!$B$18:$BB$18,0),FALSE)</f>
        <v>0.3</v>
      </c>
      <c r="L19" s="115">
        <f>VLOOKUP($B19,坦克个性化设定!$B$18:$BB$48,MATCH(L$3,坦克个性化设定!$B$18:$BB$18,0),FALSE)</f>
        <v>1.6422918151337649</v>
      </c>
      <c r="M19" s="115">
        <f>VLOOKUP($B19,坦克个性化设定!$B$18:$BB$48,MATCH(M$3,坦克个性化设定!$B$18:$BB$18,0),FALSE)</f>
        <v>16.3</v>
      </c>
      <c r="N19" s="115">
        <f>VLOOKUP($B19,坦克个性化设定!$B$18:$BB$48,MATCH(N$3,坦克个性化设定!$B$18:$BB$18,0),FALSE)</f>
        <v>27.166666666666668</v>
      </c>
      <c r="O19" s="485">
        <f>VLOOKUP($B19,坦克个性化设定!$B$18:$BB$48,MATCH(O$3,坦克个性化设定!$B$18:$BB$18,0),FALSE)</f>
        <v>0.9</v>
      </c>
      <c r="P19" s="485">
        <f>VLOOKUP($B19,坦克个性化设定!$B$18:$BB$48,MATCH(P$3,坦克个性化设定!$B$18:$BB$18,0),FALSE)</f>
        <v>0.9</v>
      </c>
      <c r="Q19" s="485">
        <f>VLOOKUP($B19,坦克个性化设定!$B$18:$BB$48,MATCH(Q$3,坦克个性化设定!$B$18:$BB$18,0),FALSE)</f>
        <v>0.9</v>
      </c>
      <c r="R19" s="485">
        <f>VLOOKUP($B19,坦克个性化设定!$B$18:$BB$48,MATCH(R$3,坦克个性化设定!$B$18:$BB$18,0),FALSE)</f>
        <v>0</v>
      </c>
      <c r="S19" s="115">
        <f>VLOOKUP($B19,坦克个性化设定!$B$51:$T$81,MATCH(S$3,坦克个性化设定!$B$51:$T$51,0),FALSE)</f>
        <v>2.4</v>
      </c>
      <c r="T19" s="115">
        <f>VLOOKUP($B19,坦克个性化设定!$B$51:$T$81,MATCH(T$3,坦克个性化设定!$B$51:$T$51,0),FALSE)</f>
        <v>2.4</v>
      </c>
      <c r="U19" s="115">
        <f>VLOOKUP($B19,坦克个性化设定!$B$18:$BB$48,MATCH(U$3,坦克个性化设定!$B$18:$BB$18,0),FALSE)</f>
        <v>0.67</v>
      </c>
      <c r="V19" s="485">
        <f>VLOOKUP($B19,坦克个性化设定!$B$18:$BB$48,MATCH(V$3,坦克个性化设定!$B$18:$BB$18,0),FALSE)</f>
        <v>1</v>
      </c>
      <c r="W19" s="485">
        <f>VLOOKUP($B19,坦克个性化设定!$B$18:$BB$48,MATCH(W$3,坦克个性化设定!$B$18:$BB$18,0),FALSE)</f>
        <v>4</v>
      </c>
      <c r="X19" s="485">
        <f>VLOOKUP($B19,坦克个性化设定!$B$18:$BB$48,MATCH(X$3,坦克个性化设定!$B$18:$BB$18,0),FALSE)</f>
        <v>0.75</v>
      </c>
      <c r="Y19" s="115">
        <f>VLOOKUP($B19,坦克个性化设定!$B$18:$BB$48,MATCH(Y$3,坦克个性化设定!$B$18:$BB$18,0),FALSE)</f>
        <v>8.8984165302451057</v>
      </c>
      <c r="Z19" s="115">
        <f>VLOOKUP($B19,坦克个性化设定!$B$18:$BB$48,MATCH(Z$3,坦克个性化设定!$B$18:$BB$18,0),FALSE)</f>
        <v>55.61510331403192</v>
      </c>
      <c r="AA19" s="115">
        <f>VLOOKUP($B19,坦克个性化设定!$B$18:$BB$48,MATCH(AA$3,坦克个性化设定!$B$18:$BB$18,0),FALSE)</f>
        <v>2.84</v>
      </c>
      <c r="AB19" s="115">
        <f>VLOOKUP($B19,坦克个性化设定!$B$18:$BB$48,MATCH(AB$3,坦克个性化设定!$B$18:$BB$18,0),FALSE)</f>
        <v>11.07</v>
      </c>
      <c r="AC19" s="115">
        <f>VLOOKUP($B19,坦克个性化设定!$B$18:$BB$48,MATCH(AC$3,坦克个性化设定!$B$18:$BB$18,0),FALSE)</f>
        <v>10.214285714285715</v>
      </c>
      <c r="AD19" s="115">
        <f>VLOOKUP($B19,坦克个性化设定!$B$18:$BB$48,MATCH(AD$3,坦克个性化设定!$B$18:$BB$18,0),FALSE)</f>
        <v>7.15</v>
      </c>
      <c r="AE19" s="115">
        <f>VLOOKUP($B19,坦克个性化设定!$B$18:$BB$48,MATCH(AE$3,坦克个性化设定!$B$18:$BB$18,0),FALSE)</f>
        <v>1.0649999999999999</v>
      </c>
      <c r="AF19" s="485">
        <f>VLOOKUP($B19,坦克个性化设定!$B$18:$BB$48,MATCH(AF$3,坦克个性化设定!$B$18:$BB$18,0),FALSE)</f>
        <v>0.2</v>
      </c>
      <c r="AG19" s="485">
        <f>VLOOKUP($B19,坦克个性化设定!$B$18:$BB$48,MATCH(AG$3,坦克个性化设定!$B$18:$BB$18,0),FALSE)</f>
        <v>55</v>
      </c>
      <c r="AH19" s="485">
        <f>VLOOKUP($B19,坦克个性化设定!$B$18:$BB$48,MATCH(AH$3,坦克个性化设定!$B$18:$BB$18,0),FALSE)</f>
        <v>105</v>
      </c>
      <c r="AI19" s="485">
        <f>VLOOKUP(B19,坦克个性化细分!$I$3:$P$33,3,FALSE)</f>
        <v>37.4</v>
      </c>
      <c r="AJ19" s="485">
        <f>VLOOKUP(B19,坦克个性化细分!$I$3:$P$33,5,FALSE)</f>
        <v>52.5</v>
      </c>
      <c r="AK19" s="485">
        <f>VLOOKUP(B19,坦克个性化细分!$I$3:$P$33,7,FALSE)</f>
        <v>11.6</v>
      </c>
      <c r="AL19" s="485">
        <f>VLOOKUP($B19,坦克个性化设定!$F$84:$S$114,MATCH(AL$3,坦克个性化设定!$F$84:$S$84,0),FALSE)</f>
        <v>1</v>
      </c>
      <c r="AM19" s="485">
        <f>VLOOKUP($B19,坦克个性化细分!$E$3:$G$33,2,FALSE)</f>
        <v>4.5</v>
      </c>
      <c r="AN19" s="485">
        <f>VLOOKUP($B19,坦克个性化细分!$E$3:$G$33,3,FALSE)</f>
        <v>0</v>
      </c>
      <c r="AO19" s="115">
        <f t="shared" si="0"/>
        <v>2.4</v>
      </c>
      <c r="AP19" s="326">
        <f t="shared" ca="1" si="1"/>
        <v>1434</v>
      </c>
      <c r="AQ19" s="326">
        <f t="shared" ca="1" si="2"/>
        <v>249</v>
      </c>
      <c r="AR19" s="326">
        <f t="shared" ca="1" si="3"/>
        <v>532</v>
      </c>
      <c r="AS19" s="326">
        <f t="shared" ca="1" si="4"/>
        <v>399</v>
      </c>
      <c r="AT19" s="326">
        <f t="shared" ca="1" si="5"/>
        <v>583</v>
      </c>
      <c r="AU19" s="326">
        <f t="shared" ca="1" si="6"/>
        <v>143</v>
      </c>
      <c r="AV19" s="326">
        <f t="shared" si="12"/>
        <v>380</v>
      </c>
      <c r="AW19" s="326">
        <f t="shared" si="13"/>
        <v>380</v>
      </c>
      <c r="AX19" s="326">
        <f t="shared" si="14"/>
        <v>380</v>
      </c>
      <c r="AY19" s="485">
        <f t="shared" si="7"/>
        <v>1</v>
      </c>
      <c r="AZ19" s="485">
        <f>基础属性系数!$E$61</f>
        <v>0.35</v>
      </c>
      <c r="BA19" s="485">
        <v>50</v>
      </c>
      <c r="BB19" s="485">
        <v>10</v>
      </c>
      <c r="BC19" s="485">
        <f>VLOOKUP($B19,坦克类型系数!$B$3:$R$33,MATCH(BC$3,坦克类型系数!$B$3:$R$3,0),FALSE)</f>
        <v>2.3000000000000003</v>
      </c>
      <c r="BD19" s="485">
        <f>VLOOKUP($B19,坦克类型系数!$B$3:$R$33,MATCH(BD$3,坦克类型系数!$B$3:$R$3,0),FALSE)</f>
        <v>1.9</v>
      </c>
      <c r="BE19" s="517">
        <f>VLOOKUP($B19,坦克类型系数!$B$3:$R$33,MATCH(BE$3,坦克类型系数!$B$3:$R$3,0),FALSE)</f>
        <v>1.4000000000000001</v>
      </c>
      <c r="BF19" s="485">
        <f>VLOOKUP($B19,坦克类型系数!$B$3:$R$33,MATCH(BF$3,坦克类型系数!$B$3:$R$3,0),FALSE)</f>
        <v>1.4000000000000001</v>
      </c>
      <c r="BG19" s="485">
        <f>VLOOKUP($B19,坦克类型系数!$B$3:$R$33,MATCH(BG$3,坦克类型系数!$B$3:$R$3,0),FALSE)</f>
        <v>1.2</v>
      </c>
      <c r="BH19" s="485">
        <f>VLOOKUP($B19,坦克类型系数!$B$3:$R$33,MATCH(BH$3,坦克类型系数!$B$3:$R$3,0),FALSE)</f>
        <v>0.8</v>
      </c>
      <c r="BI19" s="485">
        <f>VLOOKUP($B19,坦克类型系数!$B$3:$R$33,MATCH(BI$3,坦克类型系数!$B$3:$R$3,0),FALSE)</f>
        <v>0.6</v>
      </c>
      <c r="BJ19" s="275"/>
      <c r="BK19" s="275"/>
      <c r="BL19" s="275"/>
      <c r="BN19" s="178" t="str">
        <f t="shared" si="8"/>
        <v>彗星</v>
      </c>
      <c r="BO19" s="493" t="str">
        <f>VLOOKUP(BN19,坦克个性化设定!$B$18:$E$48,MATCH(BO$3,坦克个性化设定!$B$18:$E$18,0),FALSE)</f>
        <v>T3</v>
      </c>
      <c r="BP19" s="182" t="str">
        <f t="shared" si="9"/>
        <v>高</v>
      </c>
      <c r="BQ19" s="134" t="s">
        <v>800</v>
      </c>
      <c r="BR19" s="689" t="s">
        <v>3292</v>
      </c>
      <c r="BS19" s="96">
        <f ca="1">VLOOKUP($BN19&amp;$BQ19,坦克标准养成属性!$O$3:$AA$63,MATCH(BS$3,坦克标准养成属性!$O$3:$AA$3,0),FALSE)</f>
        <v>1433.8137571211576</v>
      </c>
      <c r="BT19" s="96">
        <f ca="1">VLOOKUP($BN19&amp;$BQ19,坦克标准养成属性!$O$3:$AA$63,MATCH(BT$3,坦克标准养成属性!$O$3:$AA$3,0),FALSE)</f>
        <v>249.23329571250213</v>
      </c>
      <c r="BU19" s="96">
        <f ca="1">VLOOKUP($BN19&amp;$BQ19,坦克标准养成属性!$O$3:$AA$63,MATCH(BU$3,坦克标准养成属性!$O$3:$AA$3,0),FALSE)</f>
        <v>532</v>
      </c>
      <c r="BV19" s="96">
        <f ca="1">VLOOKUP($BN19&amp;$BQ19,坦克标准养成属性!$O$3:$AA$63,MATCH(BV$3,坦克标准养成属性!$O$3:$AA$3,0),FALSE)</f>
        <v>399</v>
      </c>
      <c r="BW19" s="96">
        <f ca="1">VLOOKUP($BN19&amp;$BQ19,坦克标准养成属性!$O$3:$AA$63,MATCH(BW$3,坦克标准养成属性!$O$3:$AA$3,0),FALSE)</f>
        <v>583</v>
      </c>
      <c r="BX19" s="96">
        <f ca="1">VLOOKUP($BN19&amp;$BQ19,坦克标准养成属性!$O$3:$AA$63,MATCH(BX$3,坦克标准养成属性!$O$3:$AA$3,0),FALSE)</f>
        <v>143</v>
      </c>
      <c r="BY19" s="669">
        <f>(VLOOKUP(LEFT(BR19,1)*1,坦克部件!$M$3:$U$9,MATCH("升星属性",坦克部件!$M$3:$U$3,0),FALSE)+VLOOKUP(RIGHT(BR19,1)*1,坦克部件!$W$3:$AA$63,MATCH("累计属性",坦克部件!$W$3:$AA$3,0),FALSE))*2</f>
        <v>380.4</v>
      </c>
      <c r="BZ19" s="96">
        <f t="shared" si="15"/>
        <v>380.4</v>
      </c>
      <c r="CA19" s="96">
        <f t="shared" si="16"/>
        <v>380.4</v>
      </c>
    </row>
    <row r="20" spans="2:79" x14ac:dyDescent="0.35">
      <c r="B20" s="485" t="str">
        <f>坦克个性化设定!B35</f>
        <v>M-48</v>
      </c>
      <c r="C20" s="485" t="str">
        <f>VLOOKUP(B20,坦克个性化设定!$B$18:$E$48,4,FALSE)</f>
        <v>T4</v>
      </c>
      <c r="D20" s="485" t="str">
        <f>坦克个性化细分!J20</f>
        <v>低</v>
      </c>
      <c r="E20" s="485" t="str">
        <f t="shared" si="10"/>
        <v>T4低0</v>
      </c>
      <c r="F20" s="485" t="str">
        <f>VLOOKUP($B20,坦克个性化设定!$B$18:$BB$48,MATCH(F$3,坦克个性化设定!$B$18:$BB$18,0),FALSE)</f>
        <v>中坦</v>
      </c>
      <c r="G20" s="485" t="str">
        <f>VLOOKUP($B20,坦克个性化设定!$B$18:$BB$48,MATCH(G$3,坦克个性化设定!$B$18:$BB$18,0),FALSE)</f>
        <v>中坦弹夹</v>
      </c>
      <c r="H20" s="485" t="str">
        <f t="shared" si="11"/>
        <v>弹夹装弹</v>
      </c>
      <c r="I20" s="485">
        <f>VLOOKUP($B20,坦克个性化设定!$B$18:$BB$48,MATCH(I$3,坦克个性化设定!$B$18:$BB$18,0),FALSE)</f>
        <v>7.42</v>
      </c>
      <c r="J20" s="485">
        <f>VLOOKUP($B20,坦克个性化设定!$B$18:$BB$48,MATCH(J$3,坦克个性化设定!$B$18:$BB$18,0),FALSE)</f>
        <v>3.89</v>
      </c>
      <c r="K20" s="485">
        <f>VLOOKUP($B20,坦克个性化设定!$B$18:$BB$48,MATCH(K$3,坦克个性化设定!$B$18:$BB$18,0),FALSE)</f>
        <v>0.3</v>
      </c>
      <c r="L20" s="115">
        <f>VLOOKUP($B20,坦克个性化设定!$B$18:$BB$48,MATCH(L$3,坦克个性化设定!$B$18:$BB$18,0),FALSE)</f>
        <v>1.6422918151337649</v>
      </c>
      <c r="M20" s="115">
        <f>VLOOKUP($B20,坦克个性化设定!$B$18:$BB$48,MATCH(M$3,坦克个性化设定!$B$18:$BB$18,0),FALSE)</f>
        <v>16.3</v>
      </c>
      <c r="N20" s="115">
        <f>VLOOKUP($B20,坦克个性化设定!$B$18:$BB$48,MATCH(N$3,坦克个性化设定!$B$18:$BB$18,0),FALSE)</f>
        <v>27.166666666666668</v>
      </c>
      <c r="O20" s="485">
        <f>VLOOKUP($B20,坦克个性化设定!$B$18:$BB$48,MATCH(O$3,坦克个性化设定!$B$18:$BB$18,0),FALSE)</f>
        <v>0.9</v>
      </c>
      <c r="P20" s="485">
        <f>VLOOKUP($B20,坦克个性化设定!$B$18:$BB$48,MATCH(P$3,坦克个性化设定!$B$18:$BB$18,0),FALSE)</f>
        <v>0.9</v>
      </c>
      <c r="Q20" s="485">
        <f>VLOOKUP($B20,坦克个性化设定!$B$18:$BB$48,MATCH(Q$3,坦克个性化设定!$B$18:$BB$18,0),FALSE)</f>
        <v>0.9</v>
      </c>
      <c r="R20" s="485">
        <f>VLOOKUP($B20,坦克个性化设定!$B$18:$BB$48,MATCH(R$3,坦克个性化设定!$B$18:$BB$18,0),FALSE)</f>
        <v>0.87999999999999989</v>
      </c>
      <c r="S20" s="115">
        <f>VLOOKUP($B20,坦克个性化设定!$B$51:$T$81,MATCH(S$3,坦克个性化设定!$B$51:$T$51,0),FALSE)</f>
        <v>1.2</v>
      </c>
      <c r="T20" s="115">
        <f>VLOOKUP($B20,坦克个性化设定!$B$51:$T$81,MATCH(T$3,坦克个性化设定!$B$51:$T$51,0),FALSE)</f>
        <v>1.73</v>
      </c>
      <c r="U20" s="115">
        <f>VLOOKUP($B20,坦克个性化设定!$B$18:$BB$48,MATCH(U$3,坦克个性化设定!$B$18:$BB$18,0),FALSE)</f>
        <v>0.71</v>
      </c>
      <c r="V20" s="485">
        <f>VLOOKUP($B20,坦克个性化设定!$B$18:$BB$48,MATCH(V$3,坦克个性化设定!$B$18:$BB$18,0),FALSE)</f>
        <v>1.2</v>
      </c>
      <c r="W20" s="485">
        <f>VLOOKUP($B20,坦克个性化设定!$B$18:$BB$48,MATCH(W$3,坦克个性化设定!$B$18:$BB$18,0),FALSE)</f>
        <v>2</v>
      </c>
      <c r="X20" s="485">
        <f>VLOOKUP($B20,坦克个性化设定!$B$18:$BB$48,MATCH(X$3,坦克个性化设定!$B$18:$BB$18,0),FALSE)</f>
        <v>0.75</v>
      </c>
      <c r="Y20" s="115">
        <f>VLOOKUP($B20,坦克个性化设定!$B$18:$BB$48,MATCH(Y$3,坦克个性化设定!$B$18:$BB$18,0),FALSE)</f>
        <v>11.123020662806383</v>
      </c>
      <c r="Z20" s="115">
        <f>VLOOKUP($B20,坦克个性化设定!$B$18:$BB$48,MATCH(Z$3,坦克个性化设定!$B$18:$BB$18,0),FALSE)</f>
        <v>55.61510331403192</v>
      </c>
      <c r="AA20" s="115">
        <f>VLOOKUP($B20,坦克个性化设定!$B$18:$BB$48,MATCH(AA$3,坦克个性化设定!$B$18:$BB$18,0),FALSE)</f>
        <v>1.42</v>
      </c>
      <c r="AB20" s="115">
        <f>VLOOKUP($B20,坦克个性化设定!$B$18:$BB$48,MATCH(AB$3,坦克个性化设定!$B$18:$BB$18,0),FALSE)</f>
        <v>12.3</v>
      </c>
      <c r="AC20" s="115">
        <f>VLOOKUP($B20,坦克个性化设定!$B$18:$BB$48,MATCH(AC$3,坦克个性化设定!$B$18:$BB$18,0),FALSE)</f>
        <v>10.214285714285715</v>
      </c>
      <c r="AD20" s="115">
        <f>VLOOKUP($B20,坦克个性化设定!$B$18:$BB$48,MATCH(AD$3,坦克个性化设定!$B$18:$BB$18,0),FALSE)</f>
        <v>7.15</v>
      </c>
      <c r="AE20" s="115">
        <f>VLOOKUP($B20,坦克个性化设定!$B$18:$BB$48,MATCH(AE$3,坦克个性化设定!$B$18:$BB$18,0),FALSE)</f>
        <v>0.35499999999999998</v>
      </c>
      <c r="AF20" s="485">
        <f>VLOOKUP($B20,坦克个性化设定!$B$18:$BB$48,MATCH(AF$3,坦克个性化设定!$B$18:$BB$18,0),FALSE)</f>
        <v>0.2</v>
      </c>
      <c r="AG20" s="485">
        <f>VLOOKUP($B20,坦克个性化设定!$B$18:$BB$48,MATCH(AG$3,坦克个性化设定!$B$18:$BB$18,0),FALSE)</f>
        <v>55</v>
      </c>
      <c r="AH20" s="485">
        <f>VLOOKUP($B20,坦克个性化设定!$B$18:$BB$48,MATCH(AH$3,坦克个性化设定!$B$18:$BB$18,0),FALSE)</f>
        <v>105</v>
      </c>
      <c r="AI20" s="485">
        <f>VLOOKUP(B20,坦克个性化细分!$I$3:$P$33,3,FALSE)</f>
        <v>44.5</v>
      </c>
      <c r="AJ20" s="485">
        <f>VLOOKUP(B20,坦克个性化细分!$I$3:$P$33,5,FALSE)</f>
        <v>40</v>
      </c>
      <c r="AK20" s="485">
        <f>VLOOKUP(B20,坦克个性化细分!$I$3:$P$33,7,FALSE)</f>
        <v>12.3</v>
      </c>
      <c r="AL20" s="485">
        <f>VLOOKUP($B20,坦克个性化设定!$F$84:$S$114,MATCH(AL$3,坦克个性化设定!$F$84:$S$84,0),FALSE)</f>
        <v>4</v>
      </c>
      <c r="AM20" s="485">
        <f>VLOOKUP($B20,坦克个性化细分!$E$3:$G$33,2,FALSE)</f>
        <v>0</v>
      </c>
      <c r="AN20" s="485">
        <f>VLOOKUP($B20,坦克个性化细分!$E$3:$G$33,3,FALSE)</f>
        <v>4</v>
      </c>
      <c r="AO20" s="115">
        <f t="shared" si="0"/>
        <v>1.4416666666666667</v>
      </c>
      <c r="AP20" s="326">
        <f t="shared" ca="1" si="1"/>
        <v>1795</v>
      </c>
      <c r="AQ20" s="326">
        <f t="shared" ca="1" si="2"/>
        <v>104</v>
      </c>
      <c r="AR20" s="326">
        <f t="shared" ca="1" si="3"/>
        <v>543</v>
      </c>
      <c r="AS20" s="326">
        <f t="shared" ca="1" si="4"/>
        <v>407</v>
      </c>
      <c r="AT20" s="326">
        <f t="shared" ca="1" si="5"/>
        <v>684</v>
      </c>
      <c r="AU20" s="326">
        <f t="shared" ca="1" si="6"/>
        <v>167</v>
      </c>
      <c r="AV20" s="326">
        <f t="shared" si="12"/>
        <v>538</v>
      </c>
      <c r="AW20" s="326">
        <f t="shared" si="13"/>
        <v>538</v>
      </c>
      <c r="AX20" s="326">
        <f t="shared" si="14"/>
        <v>538</v>
      </c>
      <c r="AY20" s="485">
        <f t="shared" si="7"/>
        <v>4</v>
      </c>
      <c r="AZ20" s="485">
        <f>基础属性系数!$E$61</f>
        <v>0.35</v>
      </c>
      <c r="BA20" s="485">
        <v>50</v>
      </c>
      <c r="BB20" s="485">
        <v>10</v>
      </c>
      <c r="BC20" s="485">
        <f>VLOOKUP($B20,坦克类型系数!$B$3:$R$33,MATCH(BC$3,坦克类型系数!$B$3:$R$3,0),FALSE)</f>
        <v>2.1</v>
      </c>
      <c r="BD20" s="485">
        <f>VLOOKUP($B20,坦克类型系数!$B$3:$R$33,MATCH(BD$3,坦克类型系数!$B$3:$R$3,0),FALSE)</f>
        <v>1.75</v>
      </c>
      <c r="BE20" s="517">
        <f>VLOOKUP($B20,坦克类型系数!$B$3:$R$33,MATCH(BE$3,坦克类型系数!$B$3:$R$3,0),FALSE)</f>
        <v>1.35</v>
      </c>
      <c r="BF20" s="485">
        <f>VLOOKUP($B20,坦克类型系数!$B$3:$R$33,MATCH(BF$3,坦克类型系数!$B$3:$R$3,0),FALSE)</f>
        <v>1.35</v>
      </c>
      <c r="BG20" s="485">
        <f>VLOOKUP($B20,坦克类型系数!$B$3:$R$33,MATCH(BG$3,坦克类型系数!$B$3:$R$3,0),FALSE)</f>
        <v>1.1000000000000001</v>
      </c>
      <c r="BH20" s="485">
        <f>VLOOKUP($B20,坦克类型系数!$B$3:$R$33,MATCH(BH$3,坦克类型系数!$B$3:$R$3,0),FALSE)</f>
        <v>0.8</v>
      </c>
      <c r="BI20" s="485">
        <f>VLOOKUP($B20,坦克类型系数!$B$3:$R$33,MATCH(BI$3,坦克类型系数!$B$3:$R$3,0),FALSE)</f>
        <v>0.55000000000000004</v>
      </c>
      <c r="BJ20" s="275"/>
      <c r="BK20" s="275"/>
      <c r="BL20" s="275"/>
      <c r="BN20" s="178" t="str">
        <f t="shared" si="8"/>
        <v>M-48</v>
      </c>
      <c r="BO20" s="493" t="str">
        <f>VLOOKUP(BN20,坦克个性化设定!$B$18:$E$48,MATCH(BO$3,坦克个性化设定!$B$18:$E$18,0),FALSE)</f>
        <v>T4</v>
      </c>
      <c r="BP20" s="182" t="str">
        <f t="shared" si="9"/>
        <v>低</v>
      </c>
      <c r="BQ20" s="134" t="s">
        <v>800</v>
      </c>
      <c r="BR20" s="689" t="s">
        <v>3293</v>
      </c>
      <c r="BS20" s="96">
        <f ca="1">VLOOKUP($BN20&amp;$BQ20,坦克标准养成属性!$O$3:$AA$63,MATCH(BS$3,坦克标准养成属性!$O$3:$AA$3,0),FALSE)</f>
        <v>1794.9496082491694</v>
      </c>
      <c r="BT20" s="96">
        <f ca="1">VLOOKUP($BN20&amp;$BQ20,坦克标准养成属性!$O$3:$AA$63,MATCH(BT$3,坦克标准养成属性!$O$3:$AA$3,0),FALSE)</f>
        <v>104.43727731323445</v>
      </c>
      <c r="BU20" s="96">
        <f ca="1">VLOOKUP($BN20&amp;$BQ20,坦克标准养成属性!$O$3:$AA$63,MATCH(BU$3,坦克标准养成属性!$O$3:$AA$3,0),FALSE)</f>
        <v>543</v>
      </c>
      <c r="BV20" s="96">
        <f ca="1">VLOOKUP($BN20&amp;$BQ20,坦克标准养成属性!$O$3:$AA$63,MATCH(BV$3,坦克标准养成属性!$O$3:$AA$3,0),FALSE)</f>
        <v>407</v>
      </c>
      <c r="BW20" s="96">
        <f ca="1">VLOOKUP($BN20&amp;$BQ20,坦克标准养成属性!$O$3:$AA$63,MATCH(BW$3,坦克标准养成属性!$O$3:$AA$3,0),FALSE)</f>
        <v>684</v>
      </c>
      <c r="BX20" s="96">
        <f ca="1">VLOOKUP($BN20&amp;$BQ20,坦克标准养成属性!$O$3:$AA$63,MATCH(BX$3,坦克标准养成属性!$O$3:$AA$3,0),FALSE)</f>
        <v>167</v>
      </c>
      <c r="BY20" s="669">
        <f>(VLOOKUP(LEFT(BR20,1)*1,坦克部件!$M$3:$U$9,MATCH("升星属性",坦克部件!$M$3:$U$3,0),FALSE)+VLOOKUP(RIGHT(BR20,1)*1,坦克部件!$W$3:$AA$63,MATCH("累计属性",坦克部件!$W$3:$AA$3,0),FALSE))*2</f>
        <v>537.6</v>
      </c>
      <c r="BZ20" s="96">
        <f t="shared" si="15"/>
        <v>537.6</v>
      </c>
      <c r="CA20" s="96">
        <f t="shared" si="16"/>
        <v>537.6</v>
      </c>
    </row>
    <row r="21" spans="2:79" x14ac:dyDescent="0.35">
      <c r="B21" s="485" t="str">
        <f>坦克个性化设定!B36</f>
        <v>潘兴</v>
      </c>
      <c r="C21" s="485" t="str">
        <f>VLOOKUP(B21,坦克个性化设定!$B$18:$E$48,4,FALSE)</f>
        <v>T4</v>
      </c>
      <c r="D21" s="485" t="str">
        <f>坦克个性化细分!J21</f>
        <v>中</v>
      </c>
      <c r="E21" s="485" t="str">
        <f t="shared" si="10"/>
        <v>T4中0</v>
      </c>
      <c r="F21" s="485" t="str">
        <f>VLOOKUP($B21,坦克个性化设定!$B$18:$BB$48,MATCH(F$3,坦克个性化设定!$B$18:$BB$18,0),FALSE)</f>
        <v>中坦</v>
      </c>
      <c r="G21" s="485" t="str">
        <f>VLOOKUP($B21,坦克个性化设定!$B$18:$BB$48,MATCH(G$3,坦克个性化设定!$B$18:$BB$18,0),FALSE)</f>
        <v>中坦单发</v>
      </c>
      <c r="H21" s="485" t="str">
        <f t="shared" si="11"/>
        <v>单发装弹</v>
      </c>
      <c r="I21" s="485">
        <f>VLOOKUP($B21,坦克个性化设定!$B$18:$BB$48,MATCH(I$3,坦克个性化设定!$B$18:$BB$18,0),FALSE)</f>
        <v>6.34</v>
      </c>
      <c r="J21" s="485">
        <f>VLOOKUP($B21,坦克个性化设定!$B$18:$BB$48,MATCH(J$3,坦克个性化设定!$B$18:$BB$18,0),FALSE)</f>
        <v>3.42</v>
      </c>
      <c r="K21" s="485">
        <f>VLOOKUP($B21,坦克个性化设定!$B$18:$BB$48,MATCH(K$3,坦克个性化设定!$B$18:$BB$18,0),FALSE)</f>
        <v>0.3</v>
      </c>
      <c r="L21" s="115">
        <f>VLOOKUP($B21,坦克个性化设定!$B$18:$BB$48,MATCH(L$3,坦克个性化设定!$B$18:$BB$18,0),FALSE)</f>
        <v>1.6422918151337649</v>
      </c>
      <c r="M21" s="115">
        <f>VLOOKUP($B21,坦克个性化设定!$B$18:$BB$48,MATCH(M$3,坦克个性化设定!$B$18:$BB$18,0),FALSE)</f>
        <v>16.3</v>
      </c>
      <c r="N21" s="115">
        <f>VLOOKUP($B21,坦克个性化设定!$B$18:$BB$48,MATCH(N$3,坦克个性化设定!$B$18:$BB$18,0),FALSE)</f>
        <v>27.166666666666668</v>
      </c>
      <c r="O21" s="485">
        <f>VLOOKUP($B21,坦克个性化设定!$B$18:$BB$48,MATCH(O$3,坦克个性化设定!$B$18:$BB$18,0),FALSE)</f>
        <v>0.9</v>
      </c>
      <c r="P21" s="485">
        <f>VLOOKUP($B21,坦克个性化设定!$B$18:$BB$48,MATCH(P$3,坦克个性化设定!$B$18:$BB$18,0),FALSE)</f>
        <v>0.9</v>
      </c>
      <c r="Q21" s="485">
        <f>VLOOKUP($B21,坦克个性化设定!$B$18:$BB$48,MATCH(Q$3,坦克个性化设定!$B$18:$BB$18,0),FALSE)</f>
        <v>0.9</v>
      </c>
      <c r="R21" s="485">
        <f>VLOOKUP($B21,坦克个性化设定!$B$18:$BB$48,MATCH(R$3,坦克个性化设定!$B$18:$BB$18,0),FALSE)</f>
        <v>0</v>
      </c>
      <c r="S21" s="115">
        <f>VLOOKUP($B21,坦克个性化设定!$B$51:$T$81,MATCH(S$3,坦克个性化设定!$B$51:$T$51,0),FALSE)</f>
        <v>2.4</v>
      </c>
      <c r="T21" s="115">
        <f>VLOOKUP($B21,坦克个性化设定!$B$51:$T$81,MATCH(T$3,坦克个性化设定!$B$51:$T$51,0),FALSE)</f>
        <v>2.4</v>
      </c>
      <c r="U21" s="115">
        <f>VLOOKUP($B21,坦克个性化设定!$B$18:$BB$48,MATCH(U$3,坦克个性化设定!$B$18:$BB$18,0),FALSE)</f>
        <v>0.64</v>
      </c>
      <c r="V21" s="485">
        <f>VLOOKUP($B21,坦克个性化设定!$B$18:$BB$48,MATCH(V$3,坦克个性化设定!$B$18:$BB$18,0),FALSE)</f>
        <v>1</v>
      </c>
      <c r="W21" s="485">
        <f>VLOOKUP($B21,坦克个性化设定!$B$18:$BB$48,MATCH(W$3,坦克个性化设定!$B$18:$BB$18,0),FALSE)</f>
        <v>4</v>
      </c>
      <c r="X21" s="485">
        <f>VLOOKUP($B21,坦克个性化设定!$B$18:$BB$48,MATCH(X$3,坦克个性化设定!$B$18:$BB$18,0),FALSE)</f>
        <v>0.75</v>
      </c>
      <c r="Y21" s="115">
        <f>VLOOKUP($B21,坦克个性化设定!$B$18:$BB$48,MATCH(Y$3,坦克个性化设定!$B$18:$BB$18,0),FALSE)</f>
        <v>8.8984165302451057</v>
      </c>
      <c r="Z21" s="115">
        <f>VLOOKUP($B21,坦克个性化设定!$B$18:$BB$48,MATCH(Z$3,坦克个性化设定!$B$18:$BB$18,0),FALSE)</f>
        <v>55.61510331403192</v>
      </c>
      <c r="AA21" s="115">
        <f>VLOOKUP($B21,坦克个性化设定!$B$18:$BB$48,MATCH(AA$3,坦克个性化设定!$B$18:$BB$18,0),FALSE)</f>
        <v>2.84</v>
      </c>
      <c r="AB21" s="115">
        <f>VLOOKUP($B21,坦克个性化设定!$B$18:$BB$48,MATCH(AB$3,坦克个性化设定!$B$18:$BB$18,0),FALSE)</f>
        <v>11.07</v>
      </c>
      <c r="AC21" s="115">
        <f>VLOOKUP($B21,坦克个性化设定!$B$18:$BB$48,MATCH(AC$3,坦克个性化设定!$B$18:$BB$18,0),FALSE)</f>
        <v>10.214285714285715</v>
      </c>
      <c r="AD21" s="115">
        <f>VLOOKUP($B21,坦克个性化设定!$B$18:$BB$48,MATCH(AD$3,坦克个性化设定!$B$18:$BB$18,0),FALSE)</f>
        <v>7.15</v>
      </c>
      <c r="AE21" s="115">
        <f>VLOOKUP($B21,坦克个性化设定!$B$18:$BB$48,MATCH(AE$3,坦克个性化设定!$B$18:$BB$18,0),FALSE)</f>
        <v>1.0649999999999999</v>
      </c>
      <c r="AF21" s="485">
        <f>VLOOKUP($B21,坦克个性化设定!$B$18:$BB$48,MATCH(AF$3,坦克个性化设定!$B$18:$BB$18,0),FALSE)</f>
        <v>0.2</v>
      </c>
      <c r="AG21" s="485">
        <f>VLOOKUP($B21,坦克个性化设定!$B$18:$BB$48,MATCH(AG$3,坦克个性化设定!$B$18:$BB$18,0),FALSE)</f>
        <v>55</v>
      </c>
      <c r="AH21" s="485">
        <f>VLOOKUP($B21,坦克个性化设定!$B$18:$BB$48,MATCH(AH$3,坦克个性化设定!$B$18:$BB$18,0),FALSE)</f>
        <v>105</v>
      </c>
      <c r="AI21" s="485">
        <f>VLOOKUP(B21,坦克个性化细分!$I$3:$P$33,3,FALSE)</f>
        <v>36.299999999999997</v>
      </c>
      <c r="AJ21" s="485">
        <f>VLOOKUP(B21,坦克个性化细分!$I$3:$P$33,5,FALSE)</f>
        <v>51</v>
      </c>
      <c r="AK21" s="485">
        <f>VLOOKUP(B21,坦克个性化细分!$I$3:$P$33,7,FALSE)</f>
        <v>11.3</v>
      </c>
      <c r="AL21" s="485">
        <f>VLOOKUP($B21,坦克个性化设定!$F$84:$S$114,MATCH(AL$3,坦克个性化设定!$F$84:$S$84,0),FALSE)</f>
        <v>1</v>
      </c>
      <c r="AM21" s="485">
        <f>VLOOKUP($B21,坦克个性化细分!$E$3:$G$33,2,FALSE)</f>
        <v>4.5</v>
      </c>
      <c r="AN21" s="485">
        <f>VLOOKUP($B21,坦克个性化细分!$E$3:$G$33,3,FALSE)</f>
        <v>0</v>
      </c>
      <c r="AO21" s="115">
        <f t="shared" si="0"/>
        <v>2.4</v>
      </c>
      <c r="AP21" s="326">
        <f t="shared" ca="1" si="1"/>
        <v>1715</v>
      </c>
      <c r="AQ21" s="326">
        <f t="shared" ca="1" si="2"/>
        <v>304</v>
      </c>
      <c r="AR21" s="326">
        <f t="shared" ca="1" si="3"/>
        <v>644</v>
      </c>
      <c r="AS21" s="326">
        <f t="shared" ca="1" si="4"/>
        <v>483</v>
      </c>
      <c r="AT21" s="326">
        <f t="shared" ca="1" si="5"/>
        <v>706</v>
      </c>
      <c r="AU21" s="326">
        <f t="shared" ca="1" si="6"/>
        <v>173</v>
      </c>
      <c r="AV21" s="326">
        <f t="shared" si="12"/>
        <v>538</v>
      </c>
      <c r="AW21" s="326">
        <f t="shared" si="13"/>
        <v>538</v>
      </c>
      <c r="AX21" s="326">
        <f t="shared" si="14"/>
        <v>538</v>
      </c>
      <c r="AY21" s="485">
        <f t="shared" si="7"/>
        <v>1</v>
      </c>
      <c r="AZ21" s="485">
        <f>基础属性系数!$E$61</f>
        <v>0.35</v>
      </c>
      <c r="BA21" s="485">
        <v>50</v>
      </c>
      <c r="BB21" s="485">
        <v>10</v>
      </c>
      <c r="BC21" s="485">
        <f>VLOOKUP($B21,坦克类型系数!$B$3:$R$33,MATCH(BC$3,坦克类型系数!$B$3:$R$3,0),FALSE)</f>
        <v>2.25</v>
      </c>
      <c r="BD21" s="485">
        <f>VLOOKUP($B21,坦克类型系数!$B$3:$R$33,MATCH(BD$3,坦克类型系数!$B$3:$R$3,0),FALSE)</f>
        <v>1.85</v>
      </c>
      <c r="BE21" s="517">
        <f>VLOOKUP($B21,坦克类型系数!$B$3:$R$33,MATCH(BE$3,坦克类型系数!$B$3:$R$3,0),FALSE)</f>
        <v>1.4000000000000001</v>
      </c>
      <c r="BF21" s="485">
        <f>VLOOKUP($B21,坦克类型系数!$B$3:$R$33,MATCH(BF$3,坦克类型系数!$B$3:$R$3,0),FALSE)</f>
        <v>1.4000000000000001</v>
      </c>
      <c r="BG21" s="485">
        <f>VLOOKUP($B21,坦克类型系数!$B$3:$R$33,MATCH(BG$3,坦克类型系数!$B$3:$R$3,0),FALSE)</f>
        <v>1.1500000000000001</v>
      </c>
      <c r="BH21" s="485">
        <f>VLOOKUP($B21,坦克类型系数!$B$3:$R$33,MATCH(BH$3,坦克类型系数!$B$3:$R$3,0),FALSE)</f>
        <v>0.8</v>
      </c>
      <c r="BI21" s="485">
        <f>VLOOKUP($B21,坦克类型系数!$B$3:$R$33,MATCH(BI$3,坦克类型系数!$B$3:$R$3,0),FALSE)</f>
        <v>0.55000000000000004</v>
      </c>
      <c r="BJ21" s="275"/>
      <c r="BK21" s="275"/>
      <c r="BL21" s="275"/>
      <c r="BN21" s="178" t="str">
        <f t="shared" si="8"/>
        <v>潘兴</v>
      </c>
      <c r="BO21" s="493" t="str">
        <f>VLOOKUP(BN21,坦克个性化设定!$B$18:$E$48,MATCH(BO$3,坦克个性化设定!$B$18:$E$18,0),FALSE)</f>
        <v>T4</v>
      </c>
      <c r="BP21" s="182" t="str">
        <f t="shared" si="9"/>
        <v>中</v>
      </c>
      <c r="BQ21" s="134" t="s">
        <v>800</v>
      </c>
      <c r="BR21" s="689" t="s">
        <v>3293</v>
      </c>
      <c r="BS21" s="96">
        <f ca="1">VLOOKUP($BN21&amp;$BQ21,坦克标准养成属性!$O$3:$AA$63,MATCH(BS$3,坦克标准养成属性!$O$3:$AA$3,0),FALSE)</f>
        <v>1715.4957954410218</v>
      </c>
      <c r="BT21" s="96">
        <f ca="1">VLOOKUP($BN21&amp;$BQ21,坦克标准养成属性!$O$3:$AA$63,MATCH(BT$3,坦克标准养成属性!$O$3:$AA$3,0),FALSE)</f>
        <v>304.48470055029304</v>
      </c>
      <c r="BU21" s="96">
        <f ca="1">VLOOKUP($BN21&amp;$BQ21,坦克标准养成属性!$O$3:$AA$63,MATCH(BU$3,坦克标准养成属性!$O$3:$AA$3,0),FALSE)</f>
        <v>644</v>
      </c>
      <c r="BV21" s="96">
        <f ca="1">VLOOKUP($BN21&amp;$BQ21,坦克标准养成属性!$O$3:$AA$63,MATCH(BV$3,坦克标准养成属性!$O$3:$AA$3,0),FALSE)</f>
        <v>483</v>
      </c>
      <c r="BW21" s="96">
        <f ca="1">VLOOKUP($BN21&amp;$BQ21,坦克标准养成属性!$O$3:$AA$63,MATCH(BW$3,坦克标准养成属性!$O$3:$AA$3,0),FALSE)</f>
        <v>706</v>
      </c>
      <c r="BX21" s="96">
        <f ca="1">VLOOKUP($BN21&amp;$BQ21,坦克标准养成属性!$O$3:$AA$63,MATCH(BX$3,坦克标准养成属性!$O$3:$AA$3,0),FALSE)</f>
        <v>173</v>
      </c>
      <c r="BY21" s="669">
        <f>(VLOOKUP(LEFT(BR21,1)*1,坦克部件!$M$3:$U$9,MATCH("升星属性",坦克部件!$M$3:$U$3,0),FALSE)+VLOOKUP(RIGHT(BR21,1)*1,坦克部件!$W$3:$AA$63,MATCH("累计属性",坦克部件!$W$3:$AA$3,0),FALSE))*2</f>
        <v>537.6</v>
      </c>
      <c r="BZ21" s="96">
        <f t="shared" si="15"/>
        <v>537.6</v>
      </c>
      <c r="CA21" s="96">
        <f t="shared" si="16"/>
        <v>537.6</v>
      </c>
    </row>
    <row r="22" spans="2:79" x14ac:dyDescent="0.35">
      <c r="B22" s="485" t="str">
        <f>坦克个性化设定!B37</f>
        <v>百夫长</v>
      </c>
      <c r="C22" s="485" t="str">
        <f>VLOOKUP(B22,坦克个性化设定!$B$18:$E$48,4,FALSE)</f>
        <v>T4</v>
      </c>
      <c r="D22" s="485" t="str">
        <f>坦克个性化细分!J22</f>
        <v>高</v>
      </c>
      <c r="E22" s="485" t="str">
        <f t="shared" si="10"/>
        <v>T4高0</v>
      </c>
      <c r="F22" s="485" t="str">
        <f>VLOOKUP($B22,坦克个性化设定!$B$18:$BB$48,MATCH(F$3,坦克个性化设定!$B$18:$BB$18,0),FALSE)</f>
        <v>中坦</v>
      </c>
      <c r="G22" s="485" t="str">
        <f>VLOOKUP($B22,坦克个性化设定!$B$18:$BB$48,MATCH(G$3,坦克个性化设定!$B$18:$BB$18,0),FALSE)</f>
        <v>中坦单发</v>
      </c>
      <c r="H22" s="485" t="str">
        <f t="shared" si="11"/>
        <v>单发装弹</v>
      </c>
      <c r="I22" s="485">
        <f>VLOOKUP($B22,坦克个性化设定!$B$18:$BB$48,MATCH(I$3,坦克个性化设定!$B$18:$BB$18,0),FALSE)</f>
        <v>8.4700000000000006</v>
      </c>
      <c r="J22" s="485">
        <f>VLOOKUP($B22,坦克个性化设定!$B$18:$BB$48,MATCH(J$3,坦克个性化设定!$B$18:$BB$18,0),FALSE)</f>
        <v>3.68</v>
      </c>
      <c r="K22" s="485">
        <f>VLOOKUP($B22,坦克个性化设定!$B$18:$BB$48,MATCH(K$3,坦克个性化设定!$B$18:$BB$18,0),FALSE)</f>
        <v>0.3</v>
      </c>
      <c r="L22" s="115">
        <f>VLOOKUP($B22,坦克个性化设定!$B$18:$BB$48,MATCH(L$3,坦克个性化设定!$B$18:$BB$18,0),FALSE)</f>
        <v>1.6422918151337649</v>
      </c>
      <c r="M22" s="115">
        <f>VLOOKUP($B22,坦克个性化设定!$B$18:$BB$48,MATCH(M$3,坦克个性化设定!$B$18:$BB$18,0),FALSE)</f>
        <v>16.3</v>
      </c>
      <c r="N22" s="115">
        <f>VLOOKUP($B22,坦克个性化设定!$B$18:$BB$48,MATCH(N$3,坦克个性化设定!$B$18:$BB$18,0),FALSE)</f>
        <v>27.166666666666668</v>
      </c>
      <c r="O22" s="485">
        <f>VLOOKUP($B22,坦克个性化设定!$B$18:$BB$48,MATCH(O$3,坦克个性化设定!$B$18:$BB$18,0),FALSE)</f>
        <v>0.9</v>
      </c>
      <c r="P22" s="485">
        <f>VLOOKUP($B22,坦克个性化设定!$B$18:$BB$48,MATCH(P$3,坦克个性化设定!$B$18:$BB$18,0),FALSE)</f>
        <v>0.9</v>
      </c>
      <c r="Q22" s="485">
        <f>VLOOKUP($B22,坦克个性化设定!$B$18:$BB$48,MATCH(Q$3,坦克个性化设定!$B$18:$BB$18,0),FALSE)</f>
        <v>0.9</v>
      </c>
      <c r="R22" s="485">
        <f>VLOOKUP($B22,坦克个性化设定!$B$18:$BB$48,MATCH(R$3,坦克个性化设定!$B$18:$BB$18,0),FALSE)</f>
        <v>0</v>
      </c>
      <c r="S22" s="115">
        <f>VLOOKUP($B22,坦克个性化设定!$B$51:$T$81,MATCH(S$3,坦克个性化设定!$B$51:$T$51,0),FALSE)</f>
        <v>2.4</v>
      </c>
      <c r="T22" s="115">
        <f>VLOOKUP($B22,坦克个性化设定!$B$51:$T$81,MATCH(T$3,坦克个性化设定!$B$51:$T$51,0),FALSE)</f>
        <v>2.4</v>
      </c>
      <c r="U22" s="115">
        <f>VLOOKUP($B22,坦克个性化设定!$B$18:$BB$48,MATCH(U$3,坦克个性化设定!$B$18:$BB$18,0),FALSE)</f>
        <v>0.71</v>
      </c>
      <c r="V22" s="485">
        <f>VLOOKUP($B22,坦克个性化设定!$B$18:$BB$48,MATCH(V$3,坦克个性化设定!$B$18:$BB$18,0),FALSE)</f>
        <v>1</v>
      </c>
      <c r="W22" s="485">
        <f>VLOOKUP($B22,坦克个性化设定!$B$18:$BB$48,MATCH(W$3,坦克个性化设定!$B$18:$BB$18,0),FALSE)</f>
        <v>4</v>
      </c>
      <c r="X22" s="485">
        <f>VLOOKUP($B22,坦克个性化设定!$B$18:$BB$48,MATCH(X$3,坦克个性化设定!$B$18:$BB$18,0),FALSE)</f>
        <v>0.75</v>
      </c>
      <c r="Y22" s="115">
        <f>VLOOKUP($B22,坦克个性化设定!$B$18:$BB$48,MATCH(Y$3,坦克个性化设定!$B$18:$BB$18,0),FALSE)</f>
        <v>11.123020662806383</v>
      </c>
      <c r="Z22" s="115">
        <f>VLOOKUP($B22,坦克个性化设定!$B$18:$BB$48,MATCH(Z$3,坦克个性化设定!$B$18:$BB$18,0),FALSE)</f>
        <v>55.61510331403192</v>
      </c>
      <c r="AA22" s="115">
        <f>VLOOKUP($B22,坦克个性化设定!$B$18:$BB$48,MATCH(AA$3,坦克个性化设定!$B$18:$BB$18,0),FALSE)</f>
        <v>2.84</v>
      </c>
      <c r="AB22" s="115">
        <f>VLOOKUP($B22,坦克个性化设定!$B$18:$BB$48,MATCH(AB$3,坦克个性化设定!$B$18:$BB$18,0),FALSE)</f>
        <v>12.3</v>
      </c>
      <c r="AC22" s="115">
        <f>VLOOKUP($B22,坦克个性化设定!$B$18:$BB$48,MATCH(AC$3,坦克个性化设定!$B$18:$BB$18,0),FALSE)</f>
        <v>10.214285714285715</v>
      </c>
      <c r="AD22" s="115">
        <f>VLOOKUP($B22,坦克个性化设定!$B$18:$BB$48,MATCH(AD$3,坦克个性化设定!$B$18:$BB$18,0),FALSE)</f>
        <v>7.15</v>
      </c>
      <c r="AE22" s="115">
        <f>VLOOKUP($B22,坦克个性化设定!$B$18:$BB$48,MATCH(AE$3,坦克个性化设定!$B$18:$BB$18,0),FALSE)</f>
        <v>1.0649999999999999</v>
      </c>
      <c r="AF22" s="485">
        <f>VLOOKUP($B22,坦克个性化设定!$B$18:$BB$48,MATCH(AF$3,坦克个性化设定!$B$18:$BB$18,0),FALSE)</f>
        <v>0.2</v>
      </c>
      <c r="AG22" s="485">
        <f>VLOOKUP($B22,坦克个性化设定!$B$18:$BB$48,MATCH(AG$3,坦克个性化设定!$B$18:$BB$18,0),FALSE)</f>
        <v>55</v>
      </c>
      <c r="AH22" s="485">
        <f>VLOOKUP($B22,坦克个性化设定!$B$18:$BB$48,MATCH(AH$3,坦克个性化设定!$B$18:$BB$18,0),FALSE)</f>
        <v>105</v>
      </c>
      <c r="AI22" s="485">
        <f>VLOOKUP(B22,坦克个性化细分!$I$3:$P$33,3,FALSE)</f>
        <v>46.7</v>
      </c>
      <c r="AJ22" s="485">
        <f>VLOOKUP(B22,坦克个性化细分!$I$3:$P$33,5,FALSE)</f>
        <v>42</v>
      </c>
      <c r="AK22" s="485">
        <f>VLOOKUP(B22,坦克个性化细分!$I$3:$P$33,7,FALSE)</f>
        <v>12.9</v>
      </c>
      <c r="AL22" s="485">
        <f>VLOOKUP($B22,坦克个性化设定!$F$84:$S$114,MATCH(AL$3,坦克个性化设定!$F$84:$S$84,0),FALSE)</f>
        <v>1</v>
      </c>
      <c r="AM22" s="485">
        <f>VLOOKUP($B22,坦克个性化细分!$E$3:$G$33,2,FALSE)</f>
        <v>4.5</v>
      </c>
      <c r="AN22" s="485">
        <f>VLOOKUP($B22,坦克个性化细分!$E$3:$G$33,3,FALSE)</f>
        <v>0</v>
      </c>
      <c r="AO22" s="115">
        <f t="shared" si="0"/>
        <v>2.4</v>
      </c>
      <c r="AP22" s="326">
        <f t="shared" ca="1" si="1"/>
        <v>2041</v>
      </c>
      <c r="AQ22" s="326">
        <f t="shared" ca="1" si="2"/>
        <v>271</v>
      </c>
      <c r="AR22" s="326">
        <f t="shared" ca="1" si="3"/>
        <v>677</v>
      </c>
      <c r="AS22" s="326">
        <f t="shared" ca="1" si="4"/>
        <v>508</v>
      </c>
      <c r="AT22" s="326">
        <f t="shared" ca="1" si="5"/>
        <v>742</v>
      </c>
      <c r="AU22" s="326">
        <f t="shared" ca="1" si="6"/>
        <v>181</v>
      </c>
      <c r="AV22" s="326">
        <f t="shared" si="12"/>
        <v>538</v>
      </c>
      <c r="AW22" s="326">
        <f t="shared" si="13"/>
        <v>538</v>
      </c>
      <c r="AX22" s="326">
        <f t="shared" si="14"/>
        <v>538</v>
      </c>
      <c r="AY22" s="485">
        <f t="shared" si="7"/>
        <v>1</v>
      </c>
      <c r="AZ22" s="485">
        <f>基础属性系数!$E$61</f>
        <v>0.35</v>
      </c>
      <c r="BA22" s="485">
        <v>50</v>
      </c>
      <c r="BB22" s="485">
        <v>10</v>
      </c>
      <c r="BC22" s="485">
        <f>VLOOKUP($B22,坦克类型系数!$B$3:$R$33,MATCH(BC$3,坦克类型系数!$B$3:$R$3,0),FALSE)</f>
        <v>2.4</v>
      </c>
      <c r="BD22" s="485">
        <f>VLOOKUP($B22,坦克类型系数!$B$3:$R$33,MATCH(BD$3,坦克类型系数!$B$3:$R$3,0),FALSE)</f>
        <v>1.7999999999999998</v>
      </c>
      <c r="BE22" s="517">
        <f>VLOOKUP($B22,坦克类型系数!$B$3:$R$33,MATCH(BE$3,坦克类型系数!$B$3:$R$3,0),FALSE)</f>
        <v>1.35</v>
      </c>
      <c r="BF22" s="485">
        <f>VLOOKUP($B22,坦克类型系数!$B$3:$R$33,MATCH(BF$3,坦克类型系数!$B$3:$R$3,0),FALSE)</f>
        <v>1.35</v>
      </c>
      <c r="BG22" s="485">
        <f>VLOOKUP($B22,坦克类型系数!$B$3:$R$33,MATCH(BG$3,坦克类型系数!$B$3:$R$3,0),FALSE)</f>
        <v>1.1500000000000001</v>
      </c>
      <c r="BH22" s="485">
        <f>VLOOKUP($B22,坦克类型系数!$B$3:$R$33,MATCH(BH$3,坦克类型系数!$B$3:$R$3,0),FALSE)</f>
        <v>0.8</v>
      </c>
      <c r="BI22" s="485">
        <f>VLOOKUP($B22,坦克类型系数!$B$3:$R$33,MATCH(BI$3,坦克类型系数!$B$3:$R$3,0),FALSE)</f>
        <v>0.55000000000000004</v>
      </c>
      <c r="BJ22" s="275"/>
      <c r="BK22" s="275"/>
      <c r="BL22" s="275"/>
      <c r="BN22" s="178" t="str">
        <f t="shared" si="8"/>
        <v>百夫长</v>
      </c>
      <c r="BO22" s="493" t="str">
        <f>VLOOKUP(BN22,坦克个性化设定!$B$18:$E$48,MATCH(BO$3,坦克个性化设定!$B$18:$E$18,0),FALSE)</f>
        <v>T4</v>
      </c>
      <c r="BP22" s="182" t="str">
        <f t="shared" si="9"/>
        <v>高</v>
      </c>
      <c r="BQ22" s="134" t="s">
        <v>800</v>
      </c>
      <c r="BR22" s="689" t="s">
        <v>3293</v>
      </c>
      <c r="BS22" s="96">
        <f ca="1">VLOOKUP($BN22&amp;$BQ22,坦克标准养成属性!$O$3:$AA$63,MATCH(BS$3,坦克标准养成属性!$O$3:$AA$3,0),FALSE)</f>
        <v>2041.4228187712608</v>
      </c>
      <c r="BT22" s="96">
        <f ca="1">VLOOKUP($BN22&amp;$BQ22,坦克标准养成属性!$O$3:$AA$63,MATCH(BT$3,坦克标准养成属性!$O$3:$AA$3,0),FALSE)</f>
        <v>270.87235183000035</v>
      </c>
      <c r="BU22" s="96">
        <f ca="1">VLOOKUP($BN22&amp;$BQ22,坦克标准养成属性!$O$3:$AA$63,MATCH(BU$3,坦克标准养成属性!$O$3:$AA$3,0),FALSE)</f>
        <v>677</v>
      </c>
      <c r="BV22" s="96">
        <f ca="1">VLOOKUP($BN22&amp;$BQ22,坦克标准养成属性!$O$3:$AA$63,MATCH(BV$3,坦克标准养成属性!$O$3:$AA$3,0),FALSE)</f>
        <v>508</v>
      </c>
      <c r="BW22" s="96">
        <f ca="1">VLOOKUP($BN22&amp;$BQ22,坦克标准养成属性!$O$3:$AA$63,MATCH(BW$3,坦克标准养成属性!$O$3:$AA$3,0),FALSE)</f>
        <v>742</v>
      </c>
      <c r="BX22" s="96">
        <f ca="1">VLOOKUP($BN22&amp;$BQ22,坦克标准养成属性!$O$3:$AA$63,MATCH(BX$3,坦克标准养成属性!$O$3:$AA$3,0),FALSE)</f>
        <v>181</v>
      </c>
      <c r="BY22" s="669">
        <f>(VLOOKUP(LEFT(BR22,1)*1,坦克部件!$M$3:$U$9,MATCH("升星属性",坦克部件!$M$3:$U$3,0),FALSE)+VLOOKUP(RIGHT(BR22,1)*1,坦克部件!$W$3:$AA$63,MATCH("累计属性",坦克部件!$W$3:$AA$3,0),FALSE))*2</f>
        <v>537.6</v>
      </c>
      <c r="BZ22" s="96">
        <f t="shared" si="15"/>
        <v>537.6</v>
      </c>
      <c r="CA22" s="96">
        <f t="shared" si="16"/>
        <v>537.6</v>
      </c>
    </row>
    <row r="23" spans="2:79" x14ac:dyDescent="0.35">
      <c r="B23" s="485" t="str">
        <f>坦克个性化设定!B38</f>
        <v>挑战者</v>
      </c>
      <c r="C23" s="485" t="str">
        <f>VLOOKUP(B23,坦克个性化设定!$B$18:$E$48,4,FALSE)</f>
        <v>T5</v>
      </c>
      <c r="D23" s="485" t="str">
        <f>坦克个性化细分!J23</f>
        <v>低</v>
      </c>
      <c r="E23" s="485" t="str">
        <f t="shared" si="10"/>
        <v>T5低0</v>
      </c>
      <c r="F23" s="485" t="str">
        <f>VLOOKUP($B23,坦克个性化设定!$B$18:$BB$48,MATCH(F$3,坦克个性化设定!$B$18:$BB$18,0),FALSE)</f>
        <v>中坦</v>
      </c>
      <c r="G23" s="485" t="str">
        <f>VLOOKUP($B23,坦克个性化设定!$B$18:$BB$48,MATCH(G$3,坦克个性化设定!$B$18:$BB$18,0),FALSE)</f>
        <v>中坦单发</v>
      </c>
      <c r="H23" s="485" t="str">
        <f t="shared" si="11"/>
        <v>单发装弹</v>
      </c>
      <c r="I23" s="485">
        <f>VLOOKUP($B23,坦克个性化设定!$B$18:$BB$48,MATCH(I$3,坦克个性化设定!$B$18:$BB$18,0),FALSE)</f>
        <v>8.49</v>
      </c>
      <c r="J23" s="485">
        <f>VLOOKUP($B23,坦克个性化设定!$B$18:$BB$48,MATCH(J$3,坦克个性化设定!$B$18:$BB$18,0),FALSE)</f>
        <v>3.73</v>
      </c>
      <c r="K23" s="485">
        <f>VLOOKUP($B23,坦克个性化设定!$B$18:$BB$48,MATCH(K$3,坦克个性化设定!$B$18:$BB$18,0),FALSE)</f>
        <v>0.3</v>
      </c>
      <c r="L23" s="115">
        <f>VLOOKUP($B23,坦克个性化设定!$B$18:$BB$48,MATCH(L$3,坦克个性化设定!$B$18:$BB$18,0),FALSE)</f>
        <v>1.6422918151337649</v>
      </c>
      <c r="M23" s="115">
        <f>VLOOKUP($B23,坦克个性化设定!$B$18:$BB$48,MATCH(M$3,坦克个性化设定!$B$18:$BB$18,0),FALSE)</f>
        <v>16.3</v>
      </c>
      <c r="N23" s="115">
        <f>VLOOKUP($B23,坦克个性化设定!$B$18:$BB$48,MATCH(N$3,坦克个性化设定!$B$18:$BB$18,0),FALSE)</f>
        <v>27.166666666666668</v>
      </c>
      <c r="O23" s="485">
        <f>VLOOKUP($B23,坦克个性化设定!$B$18:$BB$48,MATCH(O$3,坦克个性化设定!$B$18:$BB$18,0),FALSE)</f>
        <v>0.9</v>
      </c>
      <c r="P23" s="485">
        <f>VLOOKUP($B23,坦克个性化设定!$B$18:$BB$48,MATCH(P$3,坦克个性化设定!$B$18:$BB$18,0),FALSE)</f>
        <v>0.9</v>
      </c>
      <c r="Q23" s="485">
        <f>VLOOKUP($B23,坦克个性化设定!$B$18:$BB$48,MATCH(Q$3,坦克个性化设定!$B$18:$BB$18,0),FALSE)</f>
        <v>0.9</v>
      </c>
      <c r="R23" s="485">
        <f>VLOOKUP($B23,坦克个性化设定!$B$18:$BB$48,MATCH(R$3,坦克个性化设定!$B$18:$BB$18,0),FALSE)</f>
        <v>0</v>
      </c>
      <c r="S23" s="115">
        <f>VLOOKUP($B23,坦克个性化设定!$B$51:$T$81,MATCH(S$3,坦克个性化设定!$B$51:$T$51,0),FALSE)</f>
        <v>2.4</v>
      </c>
      <c r="T23" s="115">
        <f>VLOOKUP($B23,坦克个性化设定!$B$51:$T$81,MATCH(T$3,坦克个性化设定!$B$51:$T$51,0),FALSE)</f>
        <v>2.4</v>
      </c>
      <c r="U23" s="115">
        <f>VLOOKUP($B23,坦克个性化设定!$B$18:$BB$48,MATCH(U$3,坦克个性化设定!$B$18:$BB$18,0),FALSE)</f>
        <v>0.71</v>
      </c>
      <c r="V23" s="485">
        <f>VLOOKUP($B23,坦克个性化设定!$B$18:$BB$48,MATCH(V$3,坦克个性化设定!$B$18:$BB$18,0),FALSE)</f>
        <v>1</v>
      </c>
      <c r="W23" s="485">
        <f>VLOOKUP($B23,坦克个性化设定!$B$18:$BB$48,MATCH(W$3,坦克个性化设定!$B$18:$BB$18,0),FALSE)</f>
        <v>4</v>
      </c>
      <c r="X23" s="485">
        <f>VLOOKUP($B23,坦克个性化设定!$B$18:$BB$48,MATCH(X$3,坦克个性化设定!$B$18:$BB$18,0),FALSE)</f>
        <v>0.75</v>
      </c>
      <c r="Y23" s="115">
        <f>VLOOKUP($B23,坦克个性化设定!$B$18:$BB$48,MATCH(Y$3,坦克个性化设定!$B$18:$BB$18,0),FALSE)</f>
        <v>8.8984165302451057</v>
      </c>
      <c r="Z23" s="115">
        <f>VLOOKUP($B23,坦克个性化设定!$B$18:$BB$48,MATCH(Z$3,坦克个性化设定!$B$18:$BB$18,0),FALSE)</f>
        <v>55.61510331403192</v>
      </c>
      <c r="AA23" s="115">
        <f>VLOOKUP($B23,坦克个性化设定!$B$18:$BB$48,MATCH(AA$3,坦克个性化设定!$B$18:$BB$18,0),FALSE)</f>
        <v>2.84</v>
      </c>
      <c r="AB23" s="115">
        <f>VLOOKUP($B23,坦克个性化设定!$B$18:$BB$48,MATCH(AB$3,坦克个性化设定!$B$18:$BB$18,0),FALSE)</f>
        <v>11.07</v>
      </c>
      <c r="AC23" s="115">
        <f>VLOOKUP($B23,坦克个性化设定!$B$18:$BB$48,MATCH(AC$3,坦克个性化设定!$B$18:$BB$18,0),FALSE)</f>
        <v>10.214285714285715</v>
      </c>
      <c r="AD23" s="115">
        <f>VLOOKUP($B23,坦克个性化设定!$B$18:$BB$48,MATCH(AD$3,坦克个性化设定!$B$18:$BB$18,0),FALSE)</f>
        <v>7.15</v>
      </c>
      <c r="AE23" s="115">
        <f>VLOOKUP($B23,坦克个性化设定!$B$18:$BB$48,MATCH(AE$3,坦克个性化设定!$B$18:$BB$18,0),FALSE)</f>
        <v>1.0649999999999999</v>
      </c>
      <c r="AF23" s="485">
        <f>VLOOKUP($B23,坦克个性化设定!$B$18:$BB$48,MATCH(AF$3,坦克个性化设定!$B$18:$BB$18,0),FALSE)</f>
        <v>0.2</v>
      </c>
      <c r="AG23" s="485">
        <f>VLOOKUP($B23,坦克个性化设定!$B$18:$BB$48,MATCH(AG$3,坦克个性化设定!$B$18:$BB$18,0),FALSE)</f>
        <v>55</v>
      </c>
      <c r="AH23" s="485">
        <f>VLOOKUP($B23,坦克个性化设定!$B$18:$BB$48,MATCH(AH$3,坦克个性化设定!$B$18:$BB$18,0),FALSE)</f>
        <v>105</v>
      </c>
      <c r="AI23" s="485">
        <f>VLOOKUP(B23,坦克个性化细分!$I$3:$P$33,3,FALSE)</f>
        <v>35.6</v>
      </c>
      <c r="AJ23" s="485">
        <f>VLOOKUP(B23,坦克个性化细分!$I$3:$P$33,5,FALSE)</f>
        <v>50</v>
      </c>
      <c r="AK23" s="485">
        <f>VLOOKUP(B23,坦克个性化细分!$I$3:$P$33,7,FALSE)</f>
        <v>11.1</v>
      </c>
      <c r="AL23" s="485">
        <f>VLOOKUP($B23,坦克个性化设定!$F$84:$S$114,MATCH(AL$3,坦克个性化设定!$F$84:$S$84,0),FALSE)</f>
        <v>1</v>
      </c>
      <c r="AM23" s="485">
        <f>VLOOKUP($B23,坦克个性化细分!$E$3:$G$33,2,FALSE)</f>
        <v>4.5</v>
      </c>
      <c r="AN23" s="485">
        <f>VLOOKUP($B23,坦克个性化细分!$E$3:$G$33,3,FALSE)</f>
        <v>0</v>
      </c>
      <c r="AO23" s="115">
        <f t="shared" si="0"/>
        <v>2.4</v>
      </c>
      <c r="AP23" s="326">
        <f t="shared" ca="1" si="1"/>
        <v>2384</v>
      </c>
      <c r="AQ23" s="326">
        <f t="shared" ca="1" si="2"/>
        <v>329</v>
      </c>
      <c r="AR23" s="326">
        <f t="shared" ca="1" si="3"/>
        <v>789</v>
      </c>
      <c r="AS23" s="326">
        <f t="shared" ca="1" si="4"/>
        <v>591</v>
      </c>
      <c r="AT23" s="326">
        <f t="shared" ca="1" si="5"/>
        <v>864</v>
      </c>
      <c r="AU23" s="326">
        <f t="shared" ca="1" si="6"/>
        <v>211</v>
      </c>
      <c r="AV23" s="326">
        <f t="shared" si="12"/>
        <v>538</v>
      </c>
      <c r="AW23" s="326">
        <f t="shared" si="13"/>
        <v>538</v>
      </c>
      <c r="AX23" s="326">
        <f t="shared" si="14"/>
        <v>538</v>
      </c>
      <c r="AY23" s="485">
        <f t="shared" si="7"/>
        <v>1</v>
      </c>
      <c r="AZ23" s="485">
        <f>基础属性系数!$E$61</f>
        <v>0.35</v>
      </c>
      <c r="BA23" s="485">
        <v>50</v>
      </c>
      <c r="BB23" s="485">
        <v>10</v>
      </c>
      <c r="BC23" s="485">
        <f>VLOOKUP($B23,坦克类型系数!$B$3:$R$33,MATCH(BC$3,坦克类型系数!$B$3:$R$3,0),FALSE)</f>
        <v>2.2000000000000002</v>
      </c>
      <c r="BD23" s="485">
        <f>VLOOKUP($B23,坦克类型系数!$B$3:$R$33,MATCH(BD$3,坦克类型系数!$B$3:$R$3,0),FALSE)</f>
        <v>1.7000000000000002</v>
      </c>
      <c r="BE23" s="517">
        <f>VLOOKUP($B23,坦克类型系数!$B$3:$R$33,MATCH(BE$3,坦克类型系数!$B$3:$R$3,0),FALSE)</f>
        <v>1.3</v>
      </c>
      <c r="BF23" s="485">
        <f>VLOOKUP($B23,坦克类型系数!$B$3:$R$33,MATCH(BF$3,坦克类型系数!$B$3:$R$3,0),FALSE)</f>
        <v>1.3</v>
      </c>
      <c r="BG23" s="485">
        <f>VLOOKUP($B23,坦克类型系数!$B$3:$R$33,MATCH(BG$3,坦克类型系数!$B$3:$R$3,0),FALSE)</f>
        <v>1.1000000000000001</v>
      </c>
      <c r="BH23" s="485">
        <f>VLOOKUP($B23,坦克类型系数!$B$3:$R$33,MATCH(BH$3,坦克类型系数!$B$3:$R$3,0),FALSE)</f>
        <v>0.75</v>
      </c>
      <c r="BI23" s="485">
        <f>VLOOKUP($B23,坦克类型系数!$B$3:$R$33,MATCH(BI$3,坦克类型系数!$B$3:$R$3,0),FALSE)</f>
        <v>0.5</v>
      </c>
      <c r="BJ23" s="275"/>
      <c r="BK23" s="275"/>
      <c r="BL23" s="275"/>
      <c r="BN23" s="178" t="str">
        <f t="shared" si="8"/>
        <v>挑战者</v>
      </c>
      <c r="BO23" s="493" t="str">
        <f>VLOOKUP(BN23,坦克个性化设定!$B$18:$E$48,MATCH(BO$3,坦克个性化设定!$B$18:$E$18,0),FALSE)</f>
        <v>T5</v>
      </c>
      <c r="BP23" s="182" t="str">
        <f t="shared" si="9"/>
        <v>低</v>
      </c>
      <c r="BQ23" s="134" t="s">
        <v>800</v>
      </c>
      <c r="BR23" s="689" t="s">
        <v>3293</v>
      </c>
      <c r="BS23" s="96">
        <f ca="1">VLOOKUP($BN23&amp;$BQ23,坦克标准养成属性!$O$3:$AA$63,MATCH(BS$3,坦克标准养成属性!$O$3:$AA$3,0),FALSE)</f>
        <v>2384.3701402381594</v>
      </c>
      <c r="BT23" s="96">
        <f ca="1">VLOOKUP($BN23&amp;$BQ23,坦克标准养成属性!$O$3:$AA$63,MATCH(BT$3,坦克标准养成属性!$O$3:$AA$3,0),FALSE)</f>
        <v>329.41536842970402</v>
      </c>
      <c r="BU23" s="96">
        <f ca="1">VLOOKUP($BN23&amp;$BQ23,坦克标准养成属性!$O$3:$AA$63,MATCH(BU$3,坦克标准养成属性!$O$3:$AA$3,0),FALSE)</f>
        <v>789</v>
      </c>
      <c r="BV23" s="96">
        <f ca="1">VLOOKUP($BN23&amp;$BQ23,坦克标准养成属性!$O$3:$AA$63,MATCH(BV$3,坦克标准养成属性!$O$3:$AA$3,0),FALSE)</f>
        <v>591</v>
      </c>
      <c r="BW23" s="96">
        <f ca="1">VLOOKUP($BN23&amp;$BQ23,坦克标准养成属性!$O$3:$AA$63,MATCH(BW$3,坦克标准养成属性!$O$3:$AA$3,0),FALSE)</f>
        <v>864</v>
      </c>
      <c r="BX23" s="96">
        <f ca="1">VLOOKUP($BN23&amp;$BQ23,坦克标准养成属性!$O$3:$AA$63,MATCH(BX$3,坦克标准养成属性!$O$3:$AA$3,0),FALSE)</f>
        <v>211</v>
      </c>
      <c r="BY23" s="669">
        <f>(VLOOKUP(LEFT(BR23,1)*1,坦克部件!$M$3:$U$9,MATCH("升星属性",坦克部件!$M$3:$U$3,0),FALSE)+VLOOKUP(RIGHT(BR23,1)*1,坦克部件!$W$3:$AA$63,MATCH("累计属性",坦克部件!$W$3:$AA$3,0),FALSE))*2</f>
        <v>537.6</v>
      </c>
      <c r="BZ23" s="96">
        <f t="shared" si="15"/>
        <v>537.6</v>
      </c>
      <c r="CA23" s="96">
        <f t="shared" si="16"/>
        <v>537.6</v>
      </c>
    </row>
    <row r="24" spans="2:79" x14ac:dyDescent="0.35">
      <c r="B24" s="485" t="str">
        <f>坦克个性化设定!B39</f>
        <v>B-1</v>
      </c>
      <c r="C24" s="485" t="str">
        <f>VLOOKUP(B24,坦克个性化设定!$B$18:$E$48,4,FALSE)</f>
        <v>T1</v>
      </c>
      <c r="D24" s="485" t="str">
        <f>坦克个性化细分!J24</f>
        <v>低</v>
      </c>
      <c r="E24" s="485" t="str">
        <f t="shared" si="10"/>
        <v>T1低0</v>
      </c>
      <c r="F24" s="485" t="str">
        <f>VLOOKUP($B24,坦克个性化设定!$B$18:$BB$48,MATCH(F$3,坦克个性化设定!$B$18:$BB$18,0),FALSE)</f>
        <v>重坦</v>
      </c>
      <c r="G24" s="485" t="str">
        <f>VLOOKUP($B24,坦克个性化设定!$B$18:$BB$48,MATCH(G$3,坦克个性化设定!$B$18:$BB$18,0),FALSE)</f>
        <v>重坦自动</v>
      </c>
      <c r="H24" s="485" t="str">
        <f t="shared" si="11"/>
        <v>自动装弹</v>
      </c>
      <c r="I24" s="485">
        <f>VLOOKUP($B24,坦克个性化设定!$B$18:$BB$48,MATCH(I$3,坦克个性化设定!$B$18:$BB$18,0),FALSE)</f>
        <v>6.6</v>
      </c>
      <c r="J24" s="485">
        <f>VLOOKUP($B24,坦克个性化设定!$B$18:$BB$48,MATCH(J$3,坦克个性化设定!$B$18:$BB$18,0),FALSE)</f>
        <v>3.26</v>
      </c>
      <c r="K24" s="485">
        <f>VLOOKUP($B24,坦克个性化设定!$B$18:$BB$48,MATCH(K$3,坦克个性化设定!$B$18:$BB$18,0),FALSE)</f>
        <v>0.3</v>
      </c>
      <c r="L24" s="115">
        <f>VLOOKUP($B24,坦克个性化设定!$B$18:$BB$48,MATCH(L$3,坦克个性化设定!$B$18:$BB$18,0),FALSE)</f>
        <v>1.3221033219826164</v>
      </c>
      <c r="M24" s="115">
        <f>VLOOKUP($B24,坦克个性化设定!$B$18:$BB$48,MATCH(M$3,坦克个性化设定!$B$18:$BB$18,0),FALSE)</f>
        <v>9.6666666666666661</v>
      </c>
      <c r="N24" s="115">
        <f>VLOOKUP($B24,坦克个性化设定!$B$18:$BB$48,MATCH(N$3,坦克个性化设定!$B$18:$BB$18,0),FALSE)</f>
        <v>16.111111111111111</v>
      </c>
      <c r="O24" s="485">
        <f>VLOOKUP($B24,坦克个性化设定!$B$18:$BB$48,MATCH(O$3,坦克个性化设定!$B$18:$BB$18,0),FALSE)</f>
        <v>0.8</v>
      </c>
      <c r="P24" s="485">
        <f>VLOOKUP($B24,坦克个性化设定!$B$18:$BB$48,MATCH(P$3,坦克个性化设定!$B$18:$BB$18,0),FALSE)</f>
        <v>0.8</v>
      </c>
      <c r="Q24" s="485">
        <f>VLOOKUP($B24,坦克个性化设定!$B$18:$BB$48,MATCH(Q$3,坦克个性化设定!$B$18:$BB$18,0),FALSE)</f>
        <v>0.8</v>
      </c>
      <c r="R24" s="485">
        <f>VLOOKUP($B24,坦克个性化设定!$B$18:$BB$48,MATCH(R$3,坦克个性化设定!$B$18:$BB$18,0),FALSE)</f>
        <v>2.8</v>
      </c>
      <c r="S24" s="115">
        <f>VLOOKUP($B24,坦克个性化设定!$B$51:$T$81,MATCH(S$3,坦克个性化设定!$B$51:$T$51,0),FALSE)</f>
        <v>1.7999999999999998</v>
      </c>
      <c r="T24" s="115">
        <f>VLOOKUP($B24,坦克个性化设定!$B$51:$T$81,MATCH(T$3,坦克个性化设定!$B$51:$T$51,0),FALSE)</f>
        <v>3.18</v>
      </c>
      <c r="U24" s="115">
        <f>VLOOKUP($B24,坦克个性化设定!$B$18:$BB$48,MATCH(U$3,坦克个性化设定!$B$18:$BB$18,0),FALSE)</f>
        <v>0.77</v>
      </c>
      <c r="V24" s="485">
        <f>VLOOKUP($B24,坦克个性化设定!$B$18:$BB$48,MATCH(V$3,坦克个性化设定!$B$18:$BB$18,0),FALSE)</f>
        <v>1.2</v>
      </c>
      <c r="W24" s="485">
        <f>VLOOKUP($B24,坦克个性化设定!$B$18:$BB$48,MATCH(W$3,坦克个性化设定!$B$18:$BB$18,0),FALSE)</f>
        <v>2</v>
      </c>
      <c r="X24" s="485">
        <f>VLOOKUP($B24,坦克个性化设定!$B$18:$BB$48,MATCH(X$3,坦克个性化设定!$B$18:$BB$18,0),FALSE)</f>
        <v>0.5</v>
      </c>
      <c r="Y24" s="115">
        <f>VLOOKUP($B24,坦克个性化设定!$B$18:$BB$48,MATCH(Y$3,坦克个性化设定!$B$18:$BB$18,0),FALSE)</f>
        <v>9.7912120990134017</v>
      </c>
      <c r="Z24" s="115">
        <f>VLOOKUP($B24,坦克个性化设定!$B$18:$BB$48,MATCH(Z$3,坦克个性化设定!$B$18:$BB$18,0),FALSE)</f>
        <v>48.956060495067014</v>
      </c>
      <c r="AA24" s="115">
        <f>VLOOKUP($B24,坦克个性化设定!$B$18:$BB$48,MATCH(AA$3,坦克个性化设定!$B$18:$BB$18,0),FALSE)</f>
        <v>1.92</v>
      </c>
      <c r="AB24" s="115">
        <f>VLOOKUP($B24,坦克个性化设定!$B$18:$BB$48,MATCH(AB$3,坦克个性化设定!$B$18:$BB$18,0),FALSE)</f>
        <v>10.5</v>
      </c>
      <c r="AC24" s="115">
        <f>VLOOKUP($B24,坦克个性化设定!$B$18:$BB$48,MATCH(AC$3,坦克个性化设定!$B$18:$BB$18,0),FALSE)</f>
        <v>5.9523809523809526</v>
      </c>
      <c r="AD24" s="115">
        <f>VLOOKUP($B24,坦克个性化设定!$B$18:$BB$48,MATCH(AD$3,坦克个性化设定!$B$18:$BB$18,0),FALSE)</f>
        <v>4.166666666666667</v>
      </c>
      <c r="AE24" s="115">
        <f>VLOOKUP($B24,坦克个性化设定!$B$18:$BB$48,MATCH(AE$3,坦克个性化设定!$B$18:$BB$18,0),FALSE)</f>
        <v>0.64</v>
      </c>
      <c r="AF24" s="485">
        <f>VLOOKUP($B24,坦克个性化设定!$B$18:$BB$48,MATCH(AF$3,坦克个性化设定!$B$18:$BB$18,0),FALSE)</f>
        <v>0.2</v>
      </c>
      <c r="AG24" s="485">
        <f>VLOOKUP($B24,坦克个性化设定!$B$18:$BB$48,MATCH(AG$3,坦克个性化设定!$B$18:$BB$18,0),FALSE)</f>
        <v>70</v>
      </c>
      <c r="AH24" s="485">
        <f>VLOOKUP($B24,坦克个性化设定!$B$18:$BB$48,MATCH(AH$3,坦克个性化设定!$B$18:$BB$18,0),FALSE)</f>
        <v>110</v>
      </c>
      <c r="AI24" s="485">
        <f>VLOOKUP(B24,坦克个性化细分!$I$3:$P$33,3,FALSE)</f>
        <v>39.200000000000003</v>
      </c>
      <c r="AJ24" s="485">
        <f>VLOOKUP(B24,坦克个性化细分!$I$3:$P$33,5,FALSE)</f>
        <v>35</v>
      </c>
      <c r="AK24" s="485">
        <f>VLOOKUP(B24,坦克个性化细分!$I$3:$P$33,7,FALSE)</f>
        <v>10.5</v>
      </c>
      <c r="AL24" s="485">
        <f>VLOOKUP($B24,坦克个性化设定!$F$84:$S$114,MATCH(AL$3,坦克个性化设定!$F$84:$S$84,0),FALSE)</f>
        <v>2</v>
      </c>
      <c r="AM24" s="485">
        <f>VLOOKUP($B24,坦克个性化细分!$E$3:$G$33,2,FALSE)</f>
        <v>5.3999999999999995</v>
      </c>
      <c r="AN24" s="485">
        <f>VLOOKUP($B24,坦克个性化细分!$E$3:$G$33,3,FALSE)</f>
        <v>0</v>
      </c>
      <c r="AO24" s="115">
        <f t="shared" si="0"/>
        <v>2.6500000000000004</v>
      </c>
      <c r="AP24" s="326">
        <f t="shared" ca="1" si="1"/>
        <v>929</v>
      </c>
      <c r="AQ24" s="326">
        <f t="shared" ca="1" si="2"/>
        <v>174</v>
      </c>
      <c r="AR24" s="326">
        <f t="shared" ca="1" si="3"/>
        <v>286</v>
      </c>
      <c r="AS24" s="326">
        <f t="shared" ca="1" si="4"/>
        <v>229</v>
      </c>
      <c r="AT24" s="326">
        <f t="shared" ca="1" si="5"/>
        <v>420</v>
      </c>
      <c r="AU24" s="326">
        <f t="shared" ca="1" si="6"/>
        <v>95</v>
      </c>
      <c r="AV24" s="326">
        <f t="shared" si="12"/>
        <v>270</v>
      </c>
      <c r="AW24" s="326">
        <f t="shared" si="13"/>
        <v>270</v>
      </c>
      <c r="AX24" s="326">
        <f t="shared" si="14"/>
        <v>270</v>
      </c>
      <c r="AY24" s="485">
        <f t="shared" si="7"/>
        <v>6</v>
      </c>
      <c r="AZ24" s="485">
        <f>基础属性系数!$E$61</f>
        <v>0.35</v>
      </c>
      <c r="BA24" s="485">
        <v>50</v>
      </c>
      <c r="BB24" s="485">
        <v>10</v>
      </c>
      <c r="BC24" s="485">
        <f>VLOOKUP($B24,坦克类型系数!$B$3:$R$33,MATCH(BC$3,坦克类型系数!$B$3:$R$3,0),FALSE)</f>
        <v>2.5499999999999998</v>
      </c>
      <c r="BD24" s="485">
        <f>VLOOKUP($B24,坦克类型系数!$B$3:$R$33,MATCH(BD$3,坦克类型系数!$B$3:$R$3,0),FALSE)</f>
        <v>2.0499999999999998</v>
      </c>
      <c r="BE24" s="517">
        <f>VLOOKUP($B24,坦克类型系数!$B$3:$R$33,MATCH(BE$3,坦克类型系数!$B$3:$R$3,0),FALSE)</f>
        <v>1.5</v>
      </c>
      <c r="BF24" s="485">
        <f>VLOOKUP($B24,坦克类型系数!$B$3:$R$33,MATCH(BF$3,坦克类型系数!$B$3:$R$3,0),FALSE)</f>
        <v>1.5</v>
      </c>
      <c r="BG24" s="485">
        <f>VLOOKUP($B24,坦克类型系数!$B$3:$R$33,MATCH(BG$3,坦克类型系数!$B$3:$R$3,0),FALSE)</f>
        <v>1.1000000000000001</v>
      </c>
      <c r="BH24" s="485">
        <f>VLOOKUP($B24,坦克类型系数!$B$3:$R$33,MATCH(BH$3,坦克类型系数!$B$3:$R$3,0),FALSE)</f>
        <v>0.75</v>
      </c>
      <c r="BI24" s="485">
        <f>VLOOKUP($B24,坦克类型系数!$B$3:$R$33,MATCH(BI$3,坦克类型系数!$B$3:$R$3,0),FALSE)</f>
        <v>0.4</v>
      </c>
      <c r="BJ24" s="275"/>
      <c r="BK24" s="275"/>
      <c r="BL24" s="275"/>
      <c r="BN24" s="178" t="str">
        <f t="shared" si="8"/>
        <v>B-1</v>
      </c>
      <c r="BO24" s="493" t="str">
        <f>VLOOKUP(BN24,坦克个性化设定!$B$18:$E$48,MATCH(BO$3,坦克个性化设定!$B$18:$E$18,0),FALSE)</f>
        <v>T1</v>
      </c>
      <c r="BP24" s="182" t="str">
        <f t="shared" si="9"/>
        <v>低</v>
      </c>
      <c r="BQ24" s="134" t="s">
        <v>800</v>
      </c>
      <c r="BR24" s="689" t="s">
        <v>3291</v>
      </c>
      <c r="BS24" s="96">
        <f ca="1">VLOOKUP($BN24&amp;$BQ24,坦克标准养成属性!$O$3:$AA$63,MATCH(BS$3,坦克标准养成属性!$O$3:$AA$3,0),FALSE)</f>
        <v>929.39288319816706</v>
      </c>
      <c r="BT24" s="96">
        <f ca="1">VLOOKUP($BN24&amp;$BQ24,坦克标准养成属性!$O$3:$AA$63,MATCH(BT$3,坦克标准养成属性!$O$3:$AA$3,0),FALSE)</f>
        <v>173.52884178891182</v>
      </c>
      <c r="BU24" s="96">
        <f ca="1">VLOOKUP($BN24&amp;$BQ24,坦克标准养成属性!$O$3:$AA$63,MATCH(BU$3,坦克标准养成属性!$O$3:$AA$3,0),FALSE)</f>
        <v>286</v>
      </c>
      <c r="BV24" s="96">
        <f ca="1">VLOOKUP($BN24&amp;$BQ24,坦克标准养成属性!$O$3:$AA$63,MATCH(BV$3,坦克标准养成属性!$O$3:$AA$3,0),FALSE)</f>
        <v>229</v>
      </c>
      <c r="BW24" s="96">
        <f ca="1">VLOOKUP($BN24&amp;$BQ24,坦克标准养成属性!$O$3:$AA$63,MATCH(BW$3,坦克标准养成属性!$O$3:$AA$3,0),FALSE)</f>
        <v>420</v>
      </c>
      <c r="BX24" s="96">
        <f ca="1">VLOOKUP($BN24&amp;$BQ24,坦克标准养成属性!$O$3:$AA$63,MATCH(BX$3,坦克标准养成属性!$O$3:$AA$3,0),FALSE)</f>
        <v>95</v>
      </c>
      <c r="BY24" s="669">
        <f>(VLOOKUP(LEFT(BR24,1)*1,坦克部件!$M$3:$U$9,MATCH("升星属性",坦克部件!$M$3:$U$3,0),FALSE)+VLOOKUP(RIGHT(BR24,1)*1,坦克部件!$W$3:$AA$63,MATCH("累计属性",坦克部件!$W$3:$AA$3,0),FALSE))*2</f>
        <v>270</v>
      </c>
      <c r="BZ24" s="96">
        <f t="shared" si="15"/>
        <v>270</v>
      </c>
      <c r="CA24" s="96">
        <f t="shared" si="16"/>
        <v>270</v>
      </c>
    </row>
    <row r="25" spans="2:79" x14ac:dyDescent="0.35">
      <c r="B25" s="485" t="str">
        <f>坦克个性化设定!B40</f>
        <v>KV-1</v>
      </c>
      <c r="C25" s="485" t="str">
        <f>VLOOKUP(B25,坦克个性化设定!$B$18:$E$48,4,FALSE)</f>
        <v>T2</v>
      </c>
      <c r="D25" s="485" t="str">
        <f>坦克个性化细分!J25</f>
        <v>低</v>
      </c>
      <c r="E25" s="485" t="str">
        <f t="shared" si="10"/>
        <v>T2低0</v>
      </c>
      <c r="F25" s="485" t="str">
        <f>VLOOKUP($B25,坦克个性化设定!$B$18:$BB$48,MATCH(F$3,坦克个性化设定!$B$18:$BB$18,0),FALSE)</f>
        <v>重坦</v>
      </c>
      <c r="G25" s="485" t="str">
        <f>VLOOKUP($B25,坦克个性化设定!$B$18:$BB$48,MATCH(G$3,坦克个性化设定!$B$18:$BB$18,0),FALSE)</f>
        <v>重坦自动</v>
      </c>
      <c r="H25" s="485" t="str">
        <f t="shared" si="11"/>
        <v>自动装弹</v>
      </c>
      <c r="I25" s="485">
        <f>VLOOKUP($B25,坦克个性化设定!$B$18:$BB$48,MATCH(I$3,坦克个性化设定!$B$18:$BB$18,0),FALSE)</f>
        <v>6.44</v>
      </c>
      <c r="J25" s="485">
        <f>VLOOKUP($B25,坦克个性化设定!$B$18:$BB$48,MATCH(J$3,坦克个性化设定!$B$18:$BB$18,0),FALSE)</f>
        <v>2.5099999999999998</v>
      </c>
      <c r="K25" s="485">
        <f>VLOOKUP($B25,坦克个性化设定!$B$18:$BB$48,MATCH(K$3,坦克个性化设定!$B$18:$BB$18,0),FALSE)</f>
        <v>0.3</v>
      </c>
      <c r="L25" s="115">
        <f>VLOOKUP($B25,坦克个性化设定!$B$18:$BB$48,MATCH(L$3,坦克个性化设定!$B$18:$BB$18,0),FALSE)</f>
        <v>1.3221033219826164</v>
      </c>
      <c r="M25" s="115">
        <f>VLOOKUP($B25,坦克个性化设定!$B$18:$BB$48,MATCH(M$3,坦克个性化设定!$B$18:$BB$18,0),FALSE)</f>
        <v>9.6666666666666661</v>
      </c>
      <c r="N25" s="115">
        <f>VLOOKUP($B25,坦克个性化设定!$B$18:$BB$48,MATCH(N$3,坦克个性化设定!$B$18:$BB$18,0),FALSE)</f>
        <v>16.111111111111111</v>
      </c>
      <c r="O25" s="485">
        <f>VLOOKUP($B25,坦克个性化设定!$B$18:$BB$48,MATCH(O$3,坦克个性化设定!$B$18:$BB$18,0),FALSE)</f>
        <v>0.8</v>
      </c>
      <c r="P25" s="485">
        <f>VLOOKUP($B25,坦克个性化设定!$B$18:$BB$48,MATCH(P$3,坦克个性化设定!$B$18:$BB$18,0),FALSE)</f>
        <v>0.8</v>
      </c>
      <c r="Q25" s="485">
        <f>VLOOKUP($B25,坦克个性化设定!$B$18:$BB$48,MATCH(Q$3,坦克个性化设定!$B$18:$BB$18,0),FALSE)</f>
        <v>0.8</v>
      </c>
      <c r="R25" s="485">
        <f>VLOOKUP($B25,坦克个性化设定!$B$18:$BB$48,MATCH(R$3,坦克个性化设定!$B$18:$BB$18,0),FALSE)</f>
        <v>1.88</v>
      </c>
      <c r="S25" s="115">
        <f>VLOOKUP($B25,坦克个性化设定!$B$51:$T$81,MATCH(S$3,坦克个性化设定!$B$51:$T$51,0),FALSE)</f>
        <v>1.2</v>
      </c>
      <c r="T25" s="115">
        <f>VLOOKUP($B25,坦克个性化设定!$B$51:$T$81,MATCH(T$3,坦克个性化设定!$B$51:$T$51,0),FALSE)</f>
        <v>2.5</v>
      </c>
      <c r="U25" s="115">
        <f>VLOOKUP($B25,坦克个性化设定!$B$18:$BB$48,MATCH(U$3,坦克个性化设定!$B$18:$BB$18,0),FALSE)</f>
        <v>0.74</v>
      </c>
      <c r="V25" s="485">
        <f>VLOOKUP($B25,坦克个性化设定!$B$18:$BB$48,MATCH(V$3,坦克个性化设定!$B$18:$BB$18,0),FALSE)</f>
        <v>1.2</v>
      </c>
      <c r="W25" s="485">
        <f>VLOOKUP($B25,坦克个性化设定!$B$18:$BB$48,MATCH(W$3,坦克个性化设定!$B$18:$BB$18,0),FALSE)</f>
        <v>2</v>
      </c>
      <c r="X25" s="485">
        <f>VLOOKUP($B25,坦克个性化设定!$B$18:$BB$48,MATCH(X$3,坦克个性化设定!$B$18:$BB$18,0),FALSE)</f>
        <v>0.5</v>
      </c>
      <c r="Y25" s="115">
        <f>VLOOKUP($B25,坦克个性化设定!$B$18:$BB$48,MATCH(Y$3,坦克个性化设定!$B$18:$BB$18,0),FALSE)</f>
        <v>9.7912120990134017</v>
      </c>
      <c r="Z25" s="115">
        <f>VLOOKUP($B25,坦克个性化设定!$B$18:$BB$48,MATCH(Z$3,坦克个性化设定!$B$18:$BB$18,0),FALSE)</f>
        <v>48.956060495067014</v>
      </c>
      <c r="AA25" s="115">
        <f>VLOOKUP($B25,坦克个性化设定!$B$18:$BB$48,MATCH(AA$3,坦克个性化设定!$B$18:$BB$18,0),FALSE)</f>
        <v>1.92</v>
      </c>
      <c r="AB25" s="115">
        <f>VLOOKUP($B25,坦克个性化设定!$B$18:$BB$48,MATCH(AB$3,坦克个性化设定!$B$18:$BB$18,0),FALSE)</f>
        <v>10.5</v>
      </c>
      <c r="AC25" s="115">
        <f>VLOOKUP($B25,坦克个性化设定!$B$18:$BB$48,MATCH(AC$3,坦克个性化设定!$B$18:$BB$18,0),FALSE)</f>
        <v>5.9523809523809526</v>
      </c>
      <c r="AD25" s="115">
        <f>VLOOKUP($B25,坦克个性化设定!$B$18:$BB$48,MATCH(AD$3,坦克个性化设定!$B$18:$BB$18,0),FALSE)</f>
        <v>4.166666666666667</v>
      </c>
      <c r="AE25" s="115">
        <f>VLOOKUP($B25,坦克个性化设定!$B$18:$BB$48,MATCH(AE$3,坦克个性化设定!$B$18:$BB$18,0),FALSE)</f>
        <v>0.64</v>
      </c>
      <c r="AF25" s="485">
        <f>VLOOKUP($B25,坦克个性化设定!$B$18:$BB$48,MATCH(AF$3,坦克个性化设定!$B$18:$BB$18,0),FALSE)</f>
        <v>0.2</v>
      </c>
      <c r="AG25" s="485">
        <f>VLOOKUP($B25,坦克个性化设定!$B$18:$BB$48,MATCH(AG$3,坦克个性化设定!$B$18:$BB$18,0),FALSE)</f>
        <v>70</v>
      </c>
      <c r="AH25" s="485">
        <f>VLOOKUP($B25,坦克个性化设定!$B$18:$BB$48,MATCH(AH$3,坦克个性化设定!$B$18:$BB$18,0),FALSE)</f>
        <v>110</v>
      </c>
      <c r="AI25" s="485">
        <f>VLOOKUP(B25,坦克个性化细分!$I$3:$P$33,3,FALSE)</f>
        <v>39.200000000000003</v>
      </c>
      <c r="AJ25" s="485">
        <f>VLOOKUP(B25,坦克个性化细分!$I$3:$P$33,5,FALSE)</f>
        <v>35</v>
      </c>
      <c r="AK25" s="485">
        <f>VLOOKUP(B25,坦克个性化细分!$I$3:$P$33,7,FALSE)</f>
        <v>10.5</v>
      </c>
      <c r="AL25" s="485">
        <f>VLOOKUP($B25,坦克个性化设定!$F$84:$S$114,MATCH(AL$3,坦克个性化设定!$F$84:$S$84,0),FALSE)</f>
        <v>3</v>
      </c>
      <c r="AM25" s="485">
        <f>VLOOKUP($B25,坦克个性化细分!$E$3:$G$33,2,FALSE)</f>
        <v>3.6</v>
      </c>
      <c r="AN25" s="485">
        <f>VLOOKUP($B25,坦克个性化细分!$E$3:$G$33,3,FALSE)</f>
        <v>0</v>
      </c>
      <c r="AO25" s="115">
        <f t="shared" si="0"/>
        <v>2.0833333333333335</v>
      </c>
      <c r="AP25" s="326">
        <f t="shared" ca="1" si="1"/>
        <v>1082</v>
      </c>
      <c r="AQ25" s="326">
        <f t="shared" ca="1" si="2"/>
        <v>143</v>
      </c>
      <c r="AR25" s="326">
        <f t="shared" ca="1" si="3"/>
        <v>343</v>
      </c>
      <c r="AS25" s="326">
        <f t="shared" ca="1" si="4"/>
        <v>274</v>
      </c>
      <c r="AT25" s="326">
        <f t="shared" ca="1" si="5"/>
        <v>504</v>
      </c>
      <c r="AU25" s="326">
        <f t="shared" ca="1" si="6"/>
        <v>114</v>
      </c>
      <c r="AV25" s="326">
        <f t="shared" si="12"/>
        <v>270</v>
      </c>
      <c r="AW25" s="326">
        <f t="shared" si="13"/>
        <v>270</v>
      </c>
      <c r="AX25" s="326">
        <f t="shared" si="14"/>
        <v>270</v>
      </c>
      <c r="AY25" s="485">
        <f t="shared" si="7"/>
        <v>6</v>
      </c>
      <c r="AZ25" s="485">
        <f>基础属性系数!$E$61</f>
        <v>0.35</v>
      </c>
      <c r="BA25" s="485">
        <v>50</v>
      </c>
      <c r="BB25" s="485">
        <v>10</v>
      </c>
      <c r="BC25" s="485">
        <f>VLOOKUP($B25,坦克类型系数!$B$3:$R$33,MATCH(BC$3,坦克类型系数!$B$3:$R$3,0),FALSE)</f>
        <v>2.5499999999999998</v>
      </c>
      <c r="BD25" s="485">
        <f>VLOOKUP($B25,坦克类型系数!$B$3:$R$33,MATCH(BD$3,坦克类型系数!$B$3:$R$3,0),FALSE)</f>
        <v>2.3499999999999996</v>
      </c>
      <c r="BE25" s="517">
        <f>VLOOKUP($B25,坦克类型系数!$B$3:$R$33,MATCH(BE$3,坦克类型系数!$B$3:$R$3,0),FALSE)</f>
        <v>2.1</v>
      </c>
      <c r="BF25" s="485">
        <f>VLOOKUP($B25,坦克类型系数!$B$3:$R$33,MATCH(BF$3,坦克类型系数!$B$3:$R$3,0),FALSE)</f>
        <v>2.1</v>
      </c>
      <c r="BG25" s="485">
        <f>VLOOKUP($B25,坦克类型系数!$B$3:$R$33,MATCH(BG$3,坦克类型系数!$B$3:$R$3,0),FALSE)</f>
        <v>1.35</v>
      </c>
      <c r="BH25" s="485">
        <f>VLOOKUP($B25,坦克类型系数!$B$3:$R$33,MATCH(BH$3,坦克类型系数!$B$3:$R$3,0),FALSE)</f>
        <v>0.85000000000000009</v>
      </c>
      <c r="BI25" s="485">
        <f>VLOOKUP($B25,坦克类型系数!$B$3:$R$33,MATCH(BI$3,坦克类型系数!$B$3:$R$3,0),FALSE)</f>
        <v>0.5</v>
      </c>
      <c r="BJ25" s="275"/>
      <c r="BK25" s="275"/>
      <c r="BL25" s="275"/>
      <c r="BN25" s="178" t="str">
        <f t="shared" si="8"/>
        <v>KV-1</v>
      </c>
      <c r="BO25" s="493" t="str">
        <f>VLOOKUP(BN25,坦克个性化设定!$B$18:$E$48,MATCH(BO$3,坦克个性化设定!$B$18:$E$18,0),FALSE)</f>
        <v>T2</v>
      </c>
      <c r="BP25" s="182" t="str">
        <f t="shared" si="9"/>
        <v>低</v>
      </c>
      <c r="BQ25" s="134" t="s">
        <v>800</v>
      </c>
      <c r="BR25" s="689" t="s">
        <v>3291</v>
      </c>
      <c r="BS25" s="96">
        <f ca="1">VLOOKUP($BN25&amp;$BQ25,坦克标准养成属性!$O$3:$AA$63,MATCH(BS$3,坦克标准养成属性!$O$3:$AA$3,0),FALSE)</f>
        <v>1081.587098432414</v>
      </c>
      <c r="BT25" s="96">
        <f ca="1">VLOOKUP($BN25&amp;$BQ25,坦克标准养成属性!$O$3:$AA$63,MATCH(BT$3,坦克标准养成属性!$O$3:$AA$3,0),FALSE)</f>
        <v>142.78804370557441</v>
      </c>
      <c r="BU25" s="96">
        <f ca="1">VLOOKUP($BN25&amp;$BQ25,坦克标准养成属性!$O$3:$AA$63,MATCH(BU$3,坦克标准养成属性!$O$3:$AA$3,0),FALSE)</f>
        <v>343</v>
      </c>
      <c r="BV25" s="96">
        <f ca="1">VLOOKUP($BN25&amp;$BQ25,坦克标准养成属性!$O$3:$AA$63,MATCH(BV$3,坦克标准养成属性!$O$3:$AA$3,0),FALSE)</f>
        <v>274</v>
      </c>
      <c r="BW25" s="96">
        <f ca="1">VLOOKUP($BN25&amp;$BQ25,坦克标准养成属性!$O$3:$AA$63,MATCH(BW$3,坦克标准养成属性!$O$3:$AA$3,0),FALSE)</f>
        <v>504</v>
      </c>
      <c r="BX25" s="96">
        <f ca="1">VLOOKUP($BN25&amp;$BQ25,坦克标准养成属性!$O$3:$AA$63,MATCH(BX$3,坦克标准养成属性!$O$3:$AA$3,0),FALSE)</f>
        <v>114</v>
      </c>
      <c r="BY25" s="669">
        <f>(VLOOKUP(LEFT(BR25,1)*1,坦克部件!$M$3:$U$9,MATCH("升星属性",坦克部件!$M$3:$U$3,0),FALSE)+VLOOKUP(RIGHT(BR25,1)*1,坦克部件!$W$3:$AA$63,MATCH("累计属性",坦克部件!$W$3:$AA$3,0),FALSE))*2</f>
        <v>270</v>
      </c>
      <c r="BZ25" s="96">
        <f t="shared" si="15"/>
        <v>270</v>
      </c>
      <c r="CA25" s="96">
        <f t="shared" si="16"/>
        <v>270</v>
      </c>
    </row>
    <row r="26" spans="2:79" x14ac:dyDescent="0.35">
      <c r="B26" s="485" t="str">
        <f>坦克个性化设定!B41</f>
        <v>丘吉尔</v>
      </c>
      <c r="C26" s="485" t="str">
        <f>VLOOKUP(B26,坦克个性化设定!$B$18:$E$48,4,FALSE)</f>
        <v>T2</v>
      </c>
      <c r="D26" s="485" t="str">
        <f>坦克个性化细分!J26</f>
        <v>中</v>
      </c>
      <c r="E26" s="485" t="str">
        <f t="shared" ref="E26:E33" si="17">C26&amp;D26&amp;"0"</f>
        <v>T2中0</v>
      </c>
      <c r="F26" s="485" t="str">
        <f>VLOOKUP($B26,坦克个性化设定!$B$18:$BB$48,MATCH(F$3,坦克个性化设定!$B$18:$BB$18,0),FALSE)</f>
        <v>重坦</v>
      </c>
      <c r="G26" s="485" t="str">
        <f>VLOOKUP($B26,坦克个性化设定!$B$18:$BB$48,MATCH(G$3,坦克个性化设定!$B$18:$BB$18,0),FALSE)</f>
        <v>重坦单发</v>
      </c>
      <c r="H26" s="485" t="str">
        <f t="shared" si="11"/>
        <v>单发装弹</v>
      </c>
      <c r="I26" s="485">
        <f>VLOOKUP($B26,坦克个性化设定!$B$18:$BB$48,MATCH(I$3,坦克个性化设定!$B$18:$BB$18,0),FALSE)</f>
        <v>7.18</v>
      </c>
      <c r="J26" s="485">
        <f>VLOOKUP($B26,坦克个性化设定!$B$18:$BB$48,MATCH(J$3,坦克个性化设定!$B$18:$BB$18,0),FALSE)</f>
        <v>3.28</v>
      </c>
      <c r="K26" s="485">
        <f>VLOOKUP($B26,坦克个性化设定!$B$18:$BB$48,MATCH(K$3,坦克个性化设定!$B$18:$BB$18,0),FALSE)</f>
        <v>0.3</v>
      </c>
      <c r="L26" s="115">
        <f>VLOOKUP($B26,坦克个性化设定!$B$18:$BB$48,MATCH(L$3,坦克个性化设定!$B$18:$BB$18,0),FALSE)</f>
        <v>1.3221033219826164</v>
      </c>
      <c r="M26" s="115">
        <f>VLOOKUP($B26,坦克个性化设定!$B$18:$BB$48,MATCH(M$3,坦克个性化设定!$B$18:$BB$18,0),FALSE)</f>
        <v>9.6666666666666661</v>
      </c>
      <c r="N26" s="115">
        <f>VLOOKUP($B26,坦克个性化设定!$B$18:$BB$48,MATCH(N$3,坦克个性化设定!$B$18:$BB$18,0),FALSE)</f>
        <v>16.111111111111111</v>
      </c>
      <c r="O26" s="485">
        <f>VLOOKUP($B26,坦克个性化设定!$B$18:$BB$48,MATCH(O$3,坦克个性化设定!$B$18:$BB$18,0),FALSE)</f>
        <v>0.8</v>
      </c>
      <c r="P26" s="485">
        <f>VLOOKUP($B26,坦克个性化设定!$B$18:$BB$48,MATCH(P$3,坦克个性化设定!$B$18:$BB$18,0),FALSE)</f>
        <v>0.8</v>
      </c>
      <c r="Q26" s="485">
        <f>VLOOKUP($B26,坦克个性化设定!$B$18:$BB$48,MATCH(Q$3,坦克个性化设定!$B$18:$BB$18,0),FALSE)</f>
        <v>0.8</v>
      </c>
      <c r="R26" s="485">
        <f>VLOOKUP($B26,坦克个性化设定!$B$18:$BB$48,MATCH(R$3,坦克个性化设定!$B$18:$BB$18,0),FALSE)</f>
        <v>0</v>
      </c>
      <c r="S26" s="115">
        <f>VLOOKUP($B26,坦克个性化设定!$B$51:$T$81,MATCH(S$3,坦克个性化设定!$B$51:$T$51,0),FALSE)</f>
        <v>3</v>
      </c>
      <c r="T26" s="115">
        <f>VLOOKUP($B26,坦克个性化设定!$B$51:$T$81,MATCH(T$3,坦克个性化设定!$B$51:$T$51,0),FALSE)</f>
        <v>3</v>
      </c>
      <c r="U26" s="115">
        <f>VLOOKUP($B26,坦克个性化设定!$B$18:$BB$48,MATCH(U$3,坦克个性化设定!$B$18:$BB$18,0),FALSE)</f>
        <v>0.7</v>
      </c>
      <c r="V26" s="485">
        <f>VLOOKUP($B26,坦克个性化设定!$B$18:$BB$48,MATCH(V$3,坦克个性化设定!$B$18:$BB$18,0),FALSE)</f>
        <v>1</v>
      </c>
      <c r="W26" s="485">
        <f>VLOOKUP($B26,坦克个性化设定!$B$18:$BB$48,MATCH(W$3,坦克个性化设定!$B$18:$BB$18,0),FALSE)</f>
        <v>5</v>
      </c>
      <c r="X26" s="485">
        <f>VLOOKUP($B26,坦克个性化设定!$B$18:$BB$48,MATCH(X$3,坦克个性化设定!$B$18:$BB$18,0),FALSE)</f>
        <v>0.5</v>
      </c>
      <c r="Y26" s="115">
        <f>VLOOKUP($B26,坦克个性化设定!$B$18:$BB$48,MATCH(Y$3,坦克个性化设定!$B$18:$BB$18,0),FALSE)</f>
        <v>7.8329696792107217</v>
      </c>
      <c r="Z26" s="115">
        <f>VLOOKUP($B26,坦克个性化设定!$B$18:$BB$48,MATCH(Z$3,坦克个性化设定!$B$18:$BB$18,0),FALSE)</f>
        <v>48.956060495067014</v>
      </c>
      <c r="AA26" s="115">
        <f>VLOOKUP($B26,坦克个性化设定!$B$18:$BB$48,MATCH(AA$3,坦克个性化设定!$B$18:$BB$18,0),FALSE)</f>
        <v>3.2</v>
      </c>
      <c r="AB26" s="115">
        <f>VLOOKUP($B26,坦克个性化设定!$B$18:$BB$48,MATCH(AB$3,坦克个性化设定!$B$18:$BB$18,0),FALSE)</f>
        <v>9.4500000000000011</v>
      </c>
      <c r="AC26" s="115">
        <f>VLOOKUP($B26,坦克个性化设定!$B$18:$BB$48,MATCH(AC$3,坦克个性化设定!$B$18:$BB$18,0),FALSE)</f>
        <v>5.9523809523809526</v>
      </c>
      <c r="AD26" s="115">
        <f>VLOOKUP($B26,坦克个性化设定!$B$18:$BB$48,MATCH(AD$3,坦克个性化设定!$B$18:$BB$18,0),FALSE)</f>
        <v>4.166666666666667</v>
      </c>
      <c r="AE26" s="115">
        <f>VLOOKUP($B26,坦克个性化设定!$B$18:$BB$48,MATCH(AE$3,坦克个性化设定!$B$18:$BB$18,0),FALSE)</f>
        <v>1.28</v>
      </c>
      <c r="AF26" s="485">
        <f>VLOOKUP($B26,坦克个性化设定!$B$18:$BB$48,MATCH(AF$3,坦克个性化设定!$B$18:$BB$18,0),FALSE)</f>
        <v>0.2</v>
      </c>
      <c r="AG26" s="485">
        <f>VLOOKUP($B26,坦克个性化设定!$B$18:$BB$48,MATCH(AG$3,坦克个性化设定!$B$18:$BB$18,0),FALSE)</f>
        <v>70</v>
      </c>
      <c r="AH26" s="485">
        <f>VLOOKUP($B26,坦克个性化设定!$B$18:$BB$48,MATCH(AH$3,坦克个性化设定!$B$18:$BB$18,0),FALSE)</f>
        <v>110</v>
      </c>
      <c r="AI26" s="485">
        <f>VLOOKUP(B26,坦克个性化细分!$I$3:$P$33,3,FALSE)</f>
        <v>32</v>
      </c>
      <c r="AJ26" s="485">
        <f>VLOOKUP(B26,坦克个性化细分!$I$3:$P$33,5,FALSE)</f>
        <v>44.6</v>
      </c>
      <c r="AK26" s="485">
        <f>VLOOKUP(B26,坦克个性化细分!$I$3:$P$33,7,FALSE)</f>
        <v>9.6</v>
      </c>
      <c r="AL26" s="485">
        <f>VLOOKUP($B26,坦克个性化设定!$F$84:$S$114,MATCH(AL$3,坦克个性化设定!$F$84:$S$84,0),FALSE)</f>
        <v>1</v>
      </c>
      <c r="AM26" s="485">
        <f>VLOOKUP($B26,坦克个性化细分!$E$3:$G$33,2,FALSE)</f>
        <v>6</v>
      </c>
      <c r="AN26" s="485">
        <f>VLOOKUP($B26,坦克个性化细分!$E$3:$G$33,3,FALSE)</f>
        <v>0</v>
      </c>
      <c r="AO26" s="115">
        <f t="shared" si="0"/>
        <v>3</v>
      </c>
      <c r="AP26" s="326">
        <f t="shared" ca="1" si="1"/>
        <v>1184</v>
      </c>
      <c r="AQ26" s="326">
        <f t="shared" ca="1" si="2"/>
        <v>238</v>
      </c>
      <c r="AR26" s="326">
        <f t="shared" ca="1" si="3"/>
        <v>387</v>
      </c>
      <c r="AS26" s="326">
        <f t="shared" ca="1" si="4"/>
        <v>309</v>
      </c>
      <c r="AT26" s="326">
        <f t="shared" ca="1" si="5"/>
        <v>517</v>
      </c>
      <c r="AU26" s="326">
        <f t="shared" ca="1" si="6"/>
        <v>117</v>
      </c>
      <c r="AV26" s="326">
        <f t="shared" si="12"/>
        <v>380</v>
      </c>
      <c r="AW26" s="326">
        <f t="shared" si="13"/>
        <v>380</v>
      </c>
      <c r="AX26" s="326">
        <f t="shared" si="14"/>
        <v>380</v>
      </c>
      <c r="AY26" s="485">
        <f t="shared" si="7"/>
        <v>1</v>
      </c>
      <c r="AZ26" s="485">
        <f>基础属性系数!$E$61</f>
        <v>0.35</v>
      </c>
      <c r="BA26" s="485">
        <v>50</v>
      </c>
      <c r="BB26" s="485">
        <v>10</v>
      </c>
      <c r="BC26" s="485">
        <f>VLOOKUP($B26,坦克类型系数!$B$3:$R$33,MATCH(BC$3,坦克类型系数!$B$3:$R$3,0),FALSE)</f>
        <v>2.5</v>
      </c>
      <c r="BD26" s="485">
        <f>VLOOKUP($B26,坦克类型系数!$B$3:$R$33,MATCH(BD$3,坦克类型系数!$B$3:$R$3,0),FALSE)</f>
        <v>2.15</v>
      </c>
      <c r="BE26" s="517">
        <f>VLOOKUP($B26,坦克类型系数!$B$3:$R$33,MATCH(BE$3,坦克类型系数!$B$3:$R$3,0),FALSE)</f>
        <v>1.6500000000000001</v>
      </c>
      <c r="BF26" s="485">
        <f>VLOOKUP($B26,坦克类型系数!$B$3:$R$33,MATCH(BF$3,坦克类型系数!$B$3:$R$3,0),FALSE)</f>
        <v>1.6500000000000001</v>
      </c>
      <c r="BG26" s="485">
        <f>VLOOKUP($B26,坦克类型系数!$B$3:$R$33,MATCH(BG$3,坦克类型系数!$B$3:$R$3,0),FALSE)</f>
        <v>1.2</v>
      </c>
      <c r="BH26" s="485">
        <f>VLOOKUP($B26,坦克类型系数!$B$3:$R$33,MATCH(BH$3,坦克类型系数!$B$3:$R$3,0),FALSE)</f>
        <v>0.75</v>
      </c>
      <c r="BI26" s="485">
        <f>VLOOKUP($B26,坦克类型系数!$B$3:$R$33,MATCH(BI$3,坦克类型系数!$B$3:$R$3,0),FALSE)</f>
        <v>0.44999999999999996</v>
      </c>
      <c r="BJ26" s="275"/>
      <c r="BK26" s="275"/>
      <c r="BL26" s="275"/>
      <c r="BN26" s="178" t="str">
        <f t="shared" si="8"/>
        <v>丘吉尔</v>
      </c>
      <c r="BO26" s="493" t="str">
        <f>VLOOKUP(BN26,坦克个性化设定!$B$18:$E$48,MATCH(BO$3,坦克个性化设定!$B$18:$E$18,0),FALSE)</f>
        <v>T2</v>
      </c>
      <c r="BP26" s="182" t="str">
        <f t="shared" si="9"/>
        <v>中</v>
      </c>
      <c r="BQ26" s="134" t="s">
        <v>800</v>
      </c>
      <c r="BR26" s="689" t="s">
        <v>3292</v>
      </c>
      <c r="BS26" s="96">
        <f ca="1">VLOOKUP($BN26&amp;$BQ26,坦克标准养成属性!$O$3:$AA$63,MATCH(BS$3,坦克标准养成属性!$O$3:$AA$3,0),FALSE)</f>
        <v>1184.10398545673</v>
      </c>
      <c r="BT26" s="96">
        <f ca="1">VLOOKUP($BN26&amp;$BQ26,坦克标准养成属性!$O$3:$AA$63,MATCH(BT$3,坦克标准养成属性!$O$3:$AA$3,0),FALSE)</f>
        <v>237.92589456687969</v>
      </c>
      <c r="BU26" s="96">
        <f ca="1">VLOOKUP($BN26&amp;$BQ26,坦克标准养成属性!$O$3:$AA$63,MATCH(BU$3,坦克标准养成属性!$O$3:$AA$3,0),FALSE)</f>
        <v>387</v>
      </c>
      <c r="BV26" s="96">
        <f ca="1">VLOOKUP($BN26&amp;$BQ26,坦克标准养成属性!$O$3:$AA$63,MATCH(BV$3,坦克标准养成属性!$O$3:$AA$3,0),FALSE)</f>
        <v>309</v>
      </c>
      <c r="BW26" s="96">
        <f ca="1">VLOOKUP($BN26&amp;$BQ26,坦克标准养成属性!$O$3:$AA$63,MATCH(BW$3,坦克标准养成属性!$O$3:$AA$3,0),FALSE)</f>
        <v>517</v>
      </c>
      <c r="BX26" s="96">
        <f ca="1">VLOOKUP($BN26&amp;$BQ26,坦克标准养成属性!$O$3:$AA$63,MATCH(BX$3,坦克标准养成属性!$O$3:$AA$3,0),FALSE)</f>
        <v>117</v>
      </c>
      <c r="BY26" s="669">
        <f>(VLOOKUP(LEFT(BR26,1)*1,坦克部件!$M$3:$U$9,MATCH("升星属性",坦克部件!$M$3:$U$3,0),FALSE)+VLOOKUP(RIGHT(BR26,1)*1,坦克部件!$W$3:$AA$63,MATCH("累计属性",坦克部件!$W$3:$AA$3,0),FALSE))*2</f>
        <v>380.4</v>
      </c>
      <c r="BZ26" s="96">
        <f t="shared" si="15"/>
        <v>380.4</v>
      </c>
      <c r="CA26" s="96">
        <f t="shared" si="16"/>
        <v>380.4</v>
      </c>
    </row>
    <row r="27" spans="2:79" x14ac:dyDescent="0.35">
      <c r="B27" s="485" t="str">
        <f>坦克个性化设定!B42</f>
        <v>黑豹</v>
      </c>
      <c r="C27" s="485" t="str">
        <f>VLOOKUP(B27,坦克个性化设定!$B$18:$E$48,4,FALSE)</f>
        <v>T3</v>
      </c>
      <c r="D27" s="485" t="str">
        <f>坦克个性化细分!J27</f>
        <v>低</v>
      </c>
      <c r="E27" s="485" t="str">
        <f t="shared" si="17"/>
        <v>T3低0</v>
      </c>
      <c r="F27" s="485" t="str">
        <f>VLOOKUP($B27,坦克个性化设定!$B$18:$BB$48,MATCH(F$3,坦克个性化设定!$B$18:$BB$18,0),FALSE)</f>
        <v>重坦</v>
      </c>
      <c r="G27" s="485" t="str">
        <f>VLOOKUP($B27,坦克个性化设定!$B$18:$BB$48,MATCH(G$3,坦克个性化设定!$B$18:$BB$18,0),FALSE)</f>
        <v>重坦单发</v>
      </c>
      <c r="H27" s="485" t="str">
        <f t="shared" si="11"/>
        <v>单发装弹</v>
      </c>
      <c r="I27" s="485">
        <f>VLOOKUP($B27,坦克个性化设定!$B$18:$BB$48,MATCH(I$3,坦克个性化设定!$B$18:$BB$18,0),FALSE)</f>
        <v>6.86</v>
      </c>
      <c r="J27" s="485">
        <f>VLOOKUP($B27,坦克个性化设定!$B$18:$BB$48,MATCH(J$3,坦克个性化设定!$B$18:$BB$18,0),FALSE)</f>
        <v>3.3</v>
      </c>
      <c r="K27" s="485">
        <f>VLOOKUP($B27,坦克个性化设定!$B$18:$BB$48,MATCH(K$3,坦克个性化设定!$B$18:$BB$18,0),FALSE)</f>
        <v>0.3</v>
      </c>
      <c r="L27" s="115">
        <f>VLOOKUP($B27,坦克个性化设定!$B$18:$BB$48,MATCH(L$3,坦克个性化设定!$B$18:$BB$18,0),FALSE)</f>
        <v>1.3221033219826164</v>
      </c>
      <c r="M27" s="115">
        <f>VLOOKUP($B27,坦克个性化设定!$B$18:$BB$48,MATCH(M$3,坦克个性化设定!$B$18:$BB$18,0),FALSE)</f>
        <v>9.6666666666666661</v>
      </c>
      <c r="N27" s="115">
        <f>VLOOKUP($B27,坦克个性化设定!$B$18:$BB$48,MATCH(N$3,坦克个性化设定!$B$18:$BB$18,0),FALSE)</f>
        <v>16.111111111111111</v>
      </c>
      <c r="O27" s="485">
        <f>VLOOKUP($B27,坦克个性化设定!$B$18:$BB$48,MATCH(O$3,坦克个性化设定!$B$18:$BB$18,0),FALSE)</f>
        <v>0.8</v>
      </c>
      <c r="P27" s="485">
        <f>VLOOKUP($B27,坦克个性化设定!$B$18:$BB$48,MATCH(P$3,坦克个性化设定!$B$18:$BB$18,0),FALSE)</f>
        <v>0.8</v>
      </c>
      <c r="Q27" s="485">
        <f>VLOOKUP($B27,坦克个性化设定!$B$18:$BB$48,MATCH(Q$3,坦克个性化设定!$B$18:$BB$18,0),FALSE)</f>
        <v>0.8</v>
      </c>
      <c r="R27" s="485">
        <f>VLOOKUP($B27,坦克个性化设定!$B$18:$BB$48,MATCH(R$3,坦克个性化设定!$B$18:$BB$18,0),FALSE)</f>
        <v>0</v>
      </c>
      <c r="S27" s="115">
        <f>VLOOKUP($B27,坦克个性化设定!$B$51:$T$81,MATCH(S$3,坦克个性化设定!$B$51:$T$51,0),FALSE)</f>
        <v>3</v>
      </c>
      <c r="T27" s="115">
        <f>VLOOKUP($B27,坦克个性化设定!$B$51:$T$81,MATCH(T$3,坦克个性化设定!$B$51:$T$51,0),FALSE)</f>
        <v>3</v>
      </c>
      <c r="U27" s="115">
        <f>VLOOKUP($B27,坦克个性化设定!$B$18:$BB$48,MATCH(U$3,坦克个性化设定!$B$18:$BB$18,0),FALSE)</f>
        <v>0.64</v>
      </c>
      <c r="V27" s="485">
        <f>VLOOKUP($B27,坦克个性化设定!$B$18:$BB$48,MATCH(V$3,坦克个性化设定!$B$18:$BB$18,0),FALSE)</f>
        <v>1</v>
      </c>
      <c r="W27" s="485">
        <f>VLOOKUP($B27,坦克个性化设定!$B$18:$BB$48,MATCH(W$3,坦克个性化设定!$B$18:$BB$18,0),FALSE)</f>
        <v>5</v>
      </c>
      <c r="X27" s="485">
        <f>VLOOKUP($B27,坦克个性化设定!$B$18:$BB$48,MATCH(X$3,坦克个性化设定!$B$18:$BB$18,0),FALSE)</f>
        <v>0.5</v>
      </c>
      <c r="Y27" s="115">
        <f>VLOOKUP($B27,坦克个性化设定!$B$18:$BB$48,MATCH(Y$3,坦克个性化设定!$B$18:$BB$18,0),FALSE)</f>
        <v>7.8329696792107217</v>
      </c>
      <c r="Z27" s="115">
        <f>VLOOKUP($B27,坦克个性化设定!$B$18:$BB$48,MATCH(Z$3,坦克个性化设定!$B$18:$BB$18,0),FALSE)</f>
        <v>48.956060495067014</v>
      </c>
      <c r="AA27" s="115">
        <f>VLOOKUP($B27,坦克个性化设定!$B$18:$BB$48,MATCH(AA$3,坦克个性化设定!$B$18:$BB$18,0),FALSE)</f>
        <v>3.2</v>
      </c>
      <c r="AB27" s="115">
        <f>VLOOKUP($B27,坦克个性化设定!$B$18:$BB$48,MATCH(AB$3,坦克个性化设定!$B$18:$BB$18,0),FALSE)</f>
        <v>9.4500000000000011</v>
      </c>
      <c r="AC27" s="115">
        <f>VLOOKUP($B27,坦克个性化设定!$B$18:$BB$48,MATCH(AC$3,坦克个性化设定!$B$18:$BB$18,0),FALSE)</f>
        <v>5.9523809523809526</v>
      </c>
      <c r="AD27" s="115">
        <f>VLOOKUP($B27,坦克个性化设定!$B$18:$BB$48,MATCH(AD$3,坦克个性化设定!$B$18:$BB$18,0),FALSE)</f>
        <v>4.166666666666667</v>
      </c>
      <c r="AE27" s="115">
        <f>VLOOKUP($B27,坦克个性化设定!$B$18:$BB$48,MATCH(AE$3,坦克个性化设定!$B$18:$BB$18,0),FALSE)</f>
        <v>1.28</v>
      </c>
      <c r="AF27" s="485">
        <f>VLOOKUP($B27,坦克个性化设定!$B$18:$BB$48,MATCH(AF$3,坦克个性化设定!$B$18:$BB$18,0),FALSE)</f>
        <v>0.2</v>
      </c>
      <c r="AG27" s="485">
        <f>VLOOKUP($B27,坦克个性化设定!$B$18:$BB$48,MATCH(AG$3,坦克个性化设定!$B$18:$BB$18,0),FALSE)</f>
        <v>70</v>
      </c>
      <c r="AH27" s="485">
        <f>VLOOKUP($B27,坦克个性化设定!$B$18:$BB$48,MATCH(AH$3,坦克个性化设定!$B$18:$BB$18,0),FALSE)</f>
        <v>110</v>
      </c>
      <c r="AI27" s="485">
        <f>VLOOKUP(B27,坦克个性化细分!$I$3:$P$33,3,FALSE)</f>
        <v>31.3</v>
      </c>
      <c r="AJ27" s="485">
        <f>VLOOKUP(B27,坦克个性化细分!$I$3:$P$33,5,FALSE)</f>
        <v>43.8</v>
      </c>
      <c r="AK27" s="485">
        <f>VLOOKUP(B27,坦克个性化细分!$I$3:$P$33,7,FALSE)</f>
        <v>9.5</v>
      </c>
      <c r="AL27" s="485">
        <f>VLOOKUP($B27,坦克个性化设定!$F$84:$S$114,MATCH(AL$3,坦克个性化设定!$F$84:$S$84,0),FALSE)</f>
        <v>1</v>
      </c>
      <c r="AM27" s="485">
        <f>VLOOKUP($B27,坦克个性化细分!$E$3:$G$33,2,FALSE)</f>
        <v>6</v>
      </c>
      <c r="AN27" s="485">
        <f>VLOOKUP($B27,坦克个性化细分!$E$3:$G$33,3,FALSE)</f>
        <v>0</v>
      </c>
      <c r="AO27" s="115">
        <f t="shared" si="0"/>
        <v>3</v>
      </c>
      <c r="AP27" s="326">
        <f t="shared" ca="1" si="1"/>
        <v>1419</v>
      </c>
      <c r="AQ27" s="326">
        <f t="shared" ca="1" si="2"/>
        <v>296</v>
      </c>
      <c r="AR27" s="326">
        <f t="shared" ca="1" si="3"/>
        <v>471</v>
      </c>
      <c r="AS27" s="326">
        <f t="shared" ca="1" si="4"/>
        <v>377</v>
      </c>
      <c r="AT27" s="326">
        <f t="shared" ca="1" si="5"/>
        <v>630</v>
      </c>
      <c r="AU27" s="326">
        <f t="shared" ca="1" si="6"/>
        <v>143</v>
      </c>
      <c r="AV27" s="326">
        <f t="shared" si="12"/>
        <v>380</v>
      </c>
      <c r="AW27" s="326">
        <f t="shared" si="13"/>
        <v>380</v>
      </c>
      <c r="AX27" s="326">
        <f t="shared" si="14"/>
        <v>380</v>
      </c>
      <c r="AY27" s="485">
        <f t="shared" si="7"/>
        <v>1</v>
      </c>
      <c r="AZ27" s="485">
        <f>基础属性系数!$E$61</f>
        <v>0.35</v>
      </c>
      <c r="BA27" s="485">
        <v>50</v>
      </c>
      <c r="BB27" s="485">
        <v>10</v>
      </c>
      <c r="BC27" s="485">
        <f>VLOOKUP($B27,坦克类型系数!$B$3:$R$33,MATCH(BC$3,坦克类型系数!$B$3:$R$3,0),FALSE)</f>
        <v>2.6500000000000004</v>
      </c>
      <c r="BD27" s="485">
        <f>VLOOKUP($B27,坦克类型系数!$B$3:$R$33,MATCH(BD$3,坦克类型系数!$B$3:$R$3,0),FALSE)</f>
        <v>2.1</v>
      </c>
      <c r="BE27" s="517">
        <f>VLOOKUP($B27,坦克类型系数!$B$3:$R$33,MATCH(BE$3,坦克类型系数!$B$3:$R$3,0),FALSE)</f>
        <v>1.55</v>
      </c>
      <c r="BF27" s="485">
        <f>VLOOKUP($B27,坦克类型系数!$B$3:$R$33,MATCH(BF$3,坦克类型系数!$B$3:$R$3,0),FALSE)</f>
        <v>1.55</v>
      </c>
      <c r="BG27" s="485">
        <f>VLOOKUP($B27,坦克类型系数!$B$3:$R$33,MATCH(BG$3,坦克类型系数!$B$3:$R$3,0),FALSE)</f>
        <v>1.1500000000000001</v>
      </c>
      <c r="BH27" s="485">
        <f>VLOOKUP($B27,坦克类型系数!$B$3:$R$33,MATCH(BH$3,坦克类型系数!$B$3:$R$3,0),FALSE)</f>
        <v>0.70000000000000007</v>
      </c>
      <c r="BI27" s="485">
        <f>VLOOKUP($B27,坦克类型系数!$B$3:$R$33,MATCH(BI$3,坦克类型系数!$B$3:$R$3,0),FALSE)</f>
        <v>0.44999999999999996</v>
      </c>
      <c r="BJ27" s="275"/>
      <c r="BK27" s="275"/>
      <c r="BL27" s="275"/>
      <c r="BN27" s="178" t="str">
        <f t="shared" si="8"/>
        <v>黑豹</v>
      </c>
      <c r="BO27" s="493" t="str">
        <f>VLOOKUP(BN27,坦克个性化设定!$B$18:$E$48,MATCH(BO$3,坦克个性化设定!$B$18:$E$18,0),FALSE)</f>
        <v>T3</v>
      </c>
      <c r="BP27" s="182" t="str">
        <f t="shared" si="9"/>
        <v>低</v>
      </c>
      <c r="BQ27" s="134" t="s">
        <v>800</v>
      </c>
      <c r="BR27" s="689" t="s">
        <v>3292</v>
      </c>
      <c r="BS27" s="96">
        <f ca="1">VLOOKUP($BN27&amp;$BQ27,坦克标准养成属性!$O$3:$AA$63,MATCH(BS$3,坦克标准养成属性!$O$3:$AA$3,0),FALSE)</f>
        <v>1418.563182678507</v>
      </c>
      <c r="BT27" s="96">
        <f ca="1">VLOOKUP($BN27&amp;$BQ27,坦克标准养成属性!$O$3:$AA$63,MATCH(BT$3,坦克标准养成属性!$O$3:$AA$3,0),FALSE)</f>
        <v>295.541294966073</v>
      </c>
      <c r="BU27" s="96">
        <f ca="1">VLOOKUP($BN27&amp;$BQ27,坦克标准养成属性!$O$3:$AA$63,MATCH(BU$3,坦克标准养成属性!$O$3:$AA$3,0),FALSE)</f>
        <v>471</v>
      </c>
      <c r="BV27" s="96">
        <f ca="1">VLOOKUP($BN27&amp;$BQ27,坦克标准养成属性!$O$3:$AA$63,MATCH(BV$3,坦克标准养成属性!$O$3:$AA$3,0),FALSE)</f>
        <v>377</v>
      </c>
      <c r="BW27" s="96">
        <f ca="1">VLOOKUP($BN27&amp;$BQ27,坦克标准养成属性!$O$3:$AA$63,MATCH(BW$3,坦克标准养成属性!$O$3:$AA$3,0),FALSE)</f>
        <v>630</v>
      </c>
      <c r="BX27" s="96">
        <f ca="1">VLOOKUP($BN27&amp;$BQ27,坦克标准养成属性!$O$3:$AA$63,MATCH(BX$3,坦克标准养成属性!$O$3:$AA$3,0),FALSE)</f>
        <v>143</v>
      </c>
      <c r="BY27" s="669">
        <f>(VLOOKUP(LEFT(BR27,1)*1,坦克部件!$M$3:$U$9,MATCH("升星属性",坦克部件!$M$3:$U$3,0),FALSE)+VLOOKUP(RIGHT(BR27,1)*1,坦克部件!$W$3:$AA$63,MATCH("累计属性",坦克部件!$W$3:$AA$3,0),FALSE))*2</f>
        <v>380.4</v>
      </c>
      <c r="BZ27" s="96">
        <f t="shared" si="15"/>
        <v>380.4</v>
      </c>
      <c r="CA27" s="96">
        <f t="shared" si="16"/>
        <v>380.4</v>
      </c>
    </row>
    <row r="28" spans="2:79" x14ac:dyDescent="0.35">
      <c r="B28" s="485" t="str">
        <f>坦克个性化设定!B43</f>
        <v>虎式</v>
      </c>
      <c r="C28" s="485" t="str">
        <f>VLOOKUP(B28,坦克个性化设定!$B$18:$E$48,4,FALSE)</f>
        <v>T3</v>
      </c>
      <c r="D28" s="485" t="str">
        <f>坦克个性化细分!J28</f>
        <v>中</v>
      </c>
      <c r="E28" s="485" t="str">
        <f t="shared" si="17"/>
        <v>T3中0</v>
      </c>
      <c r="F28" s="485" t="str">
        <f>VLOOKUP($B28,坦克个性化设定!$B$18:$BB$48,MATCH(F$3,坦克个性化设定!$B$18:$BB$18,0),FALSE)</f>
        <v>重坦</v>
      </c>
      <c r="G28" s="485" t="str">
        <f>VLOOKUP($B28,坦克个性化设定!$B$18:$BB$48,MATCH(G$3,坦克个性化设定!$B$18:$BB$18,0),FALSE)</f>
        <v>重坦单发</v>
      </c>
      <c r="H28" s="485" t="str">
        <f t="shared" si="11"/>
        <v>单发装弹</v>
      </c>
      <c r="I28" s="485">
        <f>VLOOKUP($B28,坦克个性化设定!$B$18:$BB$48,MATCH(I$3,坦克个性化设定!$B$18:$BB$18,0),FALSE)</f>
        <v>6.1</v>
      </c>
      <c r="J28" s="485">
        <f>VLOOKUP($B28,坦克个性化设定!$B$18:$BB$48,MATCH(J$3,坦克个性化设定!$B$18:$BB$18,0),FALSE)</f>
        <v>3.48</v>
      </c>
      <c r="K28" s="485">
        <f>VLOOKUP($B28,坦克个性化设定!$B$18:$BB$48,MATCH(K$3,坦克个性化设定!$B$18:$BB$18,0),FALSE)</f>
        <v>0.3</v>
      </c>
      <c r="L28" s="115">
        <f>VLOOKUP($B28,坦克个性化设定!$B$18:$BB$48,MATCH(L$3,坦克个性化设定!$B$18:$BB$18,0),FALSE)</f>
        <v>1.3221033219826164</v>
      </c>
      <c r="M28" s="115">
        <f>VLOOKUP($B28,坦克个性化设定!$B$18:$BB$48,MATCH(M$3,坦克个性化设定!$B$18:$BB$18,0),FALSE)</f>
        <v>9.6666666666666661</v>
      </c>
      <c r="N28" s="115">
        <f>VLOOKUP($B28,坦克个性化设定!$B$18:$BB$48,MATCH(N$3,坦克个性化设定!$B$18:$BB$18,0),FALSE)</f>
        <v>16.111111111111111</v>
      </c>
      <c r="O28" s="485">
        <f>VLOOKUP($B28,坦克个性化设定!$B$18:$BB$48,MATCH(O$3,坦克个性化设定!$B$18:$BB$18,0),FALSE)</f>
        <v>0.8</v>
      </c>
      <c r="P28" s="485">
        <f>VLOOKUP($B28,坦克个性化设定!$B$18:$BB$48,MATCH(P$3,坦克个性化设定!$B$18:$BB$18,0),FALSE)</f>
        <v>0.8</v>
      </c>
      <c r="Q28" s="485">
        <f>VLOOKUP($B28,坦克个性化设定!$B$18:$BB$48,MATCH(Q$3,坦克个性化设定!$B$18:$BB$18,0),FALSE)</f>
        <v>0.8</v>
      </c>
      <c r="R28" s="485">
        <f>VLOOKUP($B28,坦克个性化设定!$B$18:$BB$48,MATCH(R$3,坦克个性化设定!$B$18:$BB$18,0),FALSE)</f>
        <v>0</v>
      </c>
      <c r="S28" s="115">
        <f>VLOOKUP($B28,坦克个性化设定!$B$51:$T$81,MATCH(S$3,坦克个性化设定!$B$51:$T$51,0),FALSE)</f>
        <v>3</v>
      </c>
      <c r="T28" s="115">
        <f>VLOOKUP($B28,坦克个性化设定!$B$51:$T$81,MATCH(T$3,坦克个性化设定!$B$51:$T$51,0),FALSE)</f>
        <v>3</v>
      </c>
      <c r="U28" s="115">
        <f>VLOOKUP($B28,坦克个性化设定!$B$18:$BB$48,MATCH(U$3,坦克个性化设定!$B$18:$BB$18,0),FALSE)</f>
        <v>0.7</v>
      </c>
      <c r="V28" s="485">
        <f>VLOOKUP($B28,坦克个性化设定!$B$18:$BB$48,MATCH(V$3,坦克个性化设定!$B$18:$BB$18,0),FALSE)</f>
        <v>1</v>
      </c>
      <c r="W28" s="485">
        <f>VLOOKUP($B28,坦克个性化设定!$B$18:$BB$48,MATCH(W$3,坦克个性化设定!$B$18:$BB$18,0),FALSE)</f>
        <v>5</v>
      </c>
      <c r="X28" s="485">
        <f>VLOOKUP($B28,坦克个性化设定!$B$18:$BB$48,MATCH(X$3,坦克个性化设定!$B$18:$BB$18,0),FALSE)</f>
        <v>0.5</v>
      </c>
      <c r="Y28" s="115">
        <f>VLOOKUP($B28,坦克个性化设定!$B$18:$BB$48,MATCH(Y$3,坦克个性化设定!$B$18:$BB$18,0),FALSE)</f>
        <v>7.8329696792107217</v>
      </c>
      <c r="Z28" s="115">
        <f>VLOOKUP($B28,坦克个性化设定!$B$18:$BB$48,MATCH(Z$3,坦克个性化设定!$B$18:$BB$18,0),FALSE)</f>
        <v>48.956060495067014</v>
      </c>
      <c r="AA28" s="115">
        <f>VLOOKUP($B28,坦克个性化设定!$B$18:$BB$48,MATCH(AA$3,坦克个性化设定!$B$18:$BB$18,0),FALSE)</f>
        <v>3.2</v>
      </c>
      <c r="AB28" s="115">
        <f>VLOOKUP($B28,坦克个性化设定!$B$18:$BB$48,MATCH(AB$3,坦克个性化设定!$B$18:$BB$18,0),FALSE)</f>
        <v>9.4500000000000011</v>
      </c>
      <c r="AC28" s="115">
        <f>VLOOKUP($B28,坦克个性化设定!$B$18:$BB$48,MATCH(AC$3,坦克个性化设定!$B$18:$BB$18,0),FALSE)</f>
        <v>5.9523809523809526</v>
      </c>
      <c r="AD28" s="115">
        <f>VLOOKUP($B28,坦克个性化设定!$B$18:$BB$48,MATCH(AD$3,坦克个性化设定!$B$18:$BB$18,0),FALSE)</f>
        <v>4.166666666666667</v>
      </c>
      <c r="AE28" s="115">
        <f>VLOOKUP($B28,坦克个性化设定!$B$18:$BB$48,MATCH(AE$3,坦克个性化设定!$B$18:$BB$18,0),FALSE)</f>
        <v>1.28</v>
      </c>
      <c r="AF28" s="485">
        <f>VLOOKUP($B28,坦克个性化设定!$B$18:$BB$48,MATCH(AF$3,坦克个性化设定!$B$18:$BB$18,0),FALSE)</f>
        <v>0.2</v>
      </c>
      <c r="AG28" s="485">
        <f>VLOOKUP($B28,坦克个性化设定!$B$18:$BB$48,MATCH(AG$3,坦克个性化设定!$B$18:$BB$18,0),FALSE)</f>
        <v>70</v>
      </c>
      <c r="AH28" s="485">
        <f>VLOOKUP($B28,坦克个性化设定!$B$18:$BB$48,MATCH(AH$3,坦克个性化设定!$B$18:$BB$18,0),FALSE)</f>
        <v>110</v>
      </c>
      <c r="AI28" s="485">
        <f>VLOOKUP(B28,坦克个性化细分!$I$3:$P$33,3,FALSE)</f>
        <v>32</v>
      </c>
      <c r="AJ28" s="485">
        <f>VLOOKUP(B28,坦克个性化细分!$I$3:$P$33,5,FALSE)</f>
        <v>44.6</v>
      </c>
      <c r="AK28" s="485">
        <f>VLOOKUP(B28,坦克个性化细分!$I$3:$P$33,7,FALSE)</f>
        <v>9.6</v>
      </c>
      <c r="AL28" s="485">
        <f>VLOOKUP($B28,坦克个性化设定!$F$84:$S$114,MATCH(AL$3,坦克个性化设定!$F$84:$S$84,0),FALSE)</f>
        <v>1</v>
      </c>
      <c r="AM28" s="485">
        <f>VLOOKUP($B28,坦克个性化细分!$E$3:$G$33,2,FALSE)</f>
        <v>6</v>
      </c>
      <c r="AN28" s="485">
        <f>VLOOKUP($B28,坦克个性化细分!$E$3:$G$33,3,FALSE)</f>
        <v>0</v>
      </c>
      <c r="AO28" s="115">
        <f t="shared" si="0"/>
        <v>3</v>
      </c>
      <c r="AP28" s="326">
        <f t="shared" ca="1" si="1"/>
        <v>1404</v>
      </c>
      <c r="AQ28" s="326">
        <f t="shared" ca="1" si="2"/>
        <v>317</v>
      </c>
      <c r="AR28" s="326">
        <f t="shared" ca="1" si="3"/>
        <v>486</v>
      </c>
      <c r="AS28" s="326">
        <f t="shared" ca="1" si="4"/>
        <v>388</v>
      </c>
      <c r="AT28" s="326">
        <f t="shared" ca="1" si="5"/>
        <v>649</v>
      </c>
      <c r="AU28" s="326">
        <f t="shared" ca="1" si="6"/>
        <v>147</v>
      </c>
      <c r="AV28" s="326">
        <f t="shared" si="12"/>
        <v>380</v>
      </c>
      <c r="AW28" s="326">
        <f t="shared" si="13"/>
        <v>380</v>
      </c>
      <c r="AX28" s="326">
        <f t="shared" si="14"/>
        <v>380</v>
      </c>
      <c r="AY28" s="485">
        <f t="shared" si="7"/>
        <v>1</v>
      </c>
      <c r="AZ28" s="485">
        <f>基础属性系数!$E$61</f>
        <v>0.35</v>
      </c>
      <c r="BA28" s="485">
        <v>50</v>
      </c>
      <c r="BB28" s="485">
        <v>10</v>
      </c>
      <c r="BC28" s="485">
        <f>VLOOKUP($B28,坦克类型系数!$B$3:$R$33,MATCH(BC$3,坦克类型系数!$B$3:$R$3,0),FALSE)</f>
        <v>2.4</v>
      </c>
      <c r="BD28" s="485">
        <f>VLOOKUP($B28,坦克类型系数!$B$3:$R$33,MATCH(BD$3,坦克类型系数!$B$3:$R$3,0),FALSE)</f>
        <v>1.9500000000000002</v>
      </c>
      <c r="BE28" s="517">
        <f>VLOOKUP($B28,坦克类型系数!$B$3:$R$33,MATCH(BE$3,坦克类型系数!$B$3:$R$3,0),FALSE)</f>
        <v>1.45</v>
      </c>
      <c r="BF28" s="485">
        <f>VLOOKUP($B28,坦克类型系数!$B$3:$R$33,MATCH(BF$3,坦克类型系数!$B$3:$R$3,0),FALSE)</f>
        <v>1.45</v>
      </c>
      <c r="BG28" s="485">
        <f>VLOOKUP($B28,坦克类型系数!$B$3:$R$33,MATCH(BG$3,坦克类型系数!$B$3:$R$3,0),FALSE)</f>
        <v>1.05</v>
      </c>
      <c r="BH28" s="485">
        <f>VLOOKUP($B28,坦克类型系数!$B$3:$R$33,MATCH(BH$3,坦克类型系数!$B$3:$R$3,0),FALSE)</f>
        <v>0.70000000000000007</v>
      </c>
      <c r="BI28" s="485">
        <f>VLOOKUP($B28,坦克类型系数!$B$3:$R$33,MATCH(BI$3,坦克类型系数!$B$3:$R$3,0),FALSE)</f>
        <v>0.35000000000000003</v>
      </c>
      <c r="BJ28" s="275"/>
      <c r="BK28" s="275"/>
      <c r="BL28" s="275"/>
      <c r="BN28" s="178" t="str">
        <f t="shared" si="8"/>
        <v>虎式</v>
      </c>
      <c r="BO28" s="493" t="str">
        <f>VLOOKUP(BN28,坦克个性化设定!$B$18:$E$48,MATCH(BO$3,坦克个性化设定!$B$18:$E$18,0),FALSE)</f>
        <v>T3</v>
      </c>
      <c r="BP28" s="182" t="str">
        <f t="shared" si="9"/>
        <v>中</v>
      </c>
      <c r="BQ28" s="134" t="s">
        <v>800</v>
      </c>
      <c r="BR28" s="689" t="s">
        <v>3292</v>
      </c>
      <c r="BS28" s="96">
        <f ca="1">VLOOKUP($BN28&amp;$BQ28,坦克标准养成属性!$O$3:$AA$63,MATCH(BS$3,坦克标准养成属性!$O$3:$AA$3,0),FALSE)</f>
        <v>1403.5477164876645</v>
      </c>
      <c r="BT28" s="96">
        <f ca="1">VLOOKUP($BN28&amp;$BQ28,坦克标准养成属性!$O$3:$AA$63,MATCH(BT$3,坦克标准养成属性!$O$3:$AA$3,0),FALSE)</f>
        <v>317.12993777929171</v>
      </c>
      <c r="BU28" s="96">
        <f ca="1">VLOOKUP($BN28&amp;$BQ28,坦克标准养成属性!$O$3:$AA$63,MATCH(BU$3,坦克标准养成属性!$O$3:$AA$3,0),FALSE)</f>
        <v>486</v>
      </c>
      <c r="BV28" s="96">
        <f ca="1">VLOOKUP($BN28&amp;$BQ28,坦克标准养成属性!$O$3:$AA$63,MATCH(BV$3,坦克标准养成属性!$O$3:$AA$3,0),FALSE)</f>
        <v>388</v>
      </c>
      <c r="BW28" s="96">
        <f ca="1">VLOOKUP($BN28&amp;$BQ28,坦克标准养成属性!$O$3:$AA$63,MATCH(BW$3,坦克标准养成属性!$O$3:$AA$3,0),FALSE)</f>
        <v>649</v>
      </c>
      <c r="BX28" s="96">
        <f ca="1">VLOOKUP($BN28&amp;$BQ28,坦克标准养成属性!$O$3:$AA$63,MATCH(BX$3,坦克标准养成属性!$O$3:$AA$3,0),FALSE)</f>
        <v>147</v>
      </c>
      <c r="BY28" s="669">
        <f>(VLOOKUP(LEFT(BR28,1)*1,坦克部件!$M$3:$U$9,MATCH("升星属性",坦克部件!$M$3:$U$3,0),FALSE)+VLOOKUP(RIGHT(BR28,1)*1,坦克部件!$W$3:$AA$63,MATCH("累计属性",坦克部件!$W$3:$AA$3,0),FALSE))*2</f>
        <v>380.4</v>
      </c>
      <c r="BZ28" s="96">
        <f t="shared" si="15"/>
        <v>380.4</v>
      </c>
      <c r="CA28" s="96">
        <f t="shared" si="16"/>
        <v>380.4</v>
      </c>
    </row>
    <row r="29" spans="2:79" x14ac:dyDescent="0.35">
      <c r="B29" s="485" t="str">
        <f>坦克个性化设定!B44</f>
        <v>KV-2</v>
      </c>
      <c r="C29" s="485" t="str">
        <f>VLOOKUP(B29,坦克个性化设定!$B$18:$E$48,4,FALSE)</f>
        <v>T3</v>
      </c>
      <c r="D29" s="485" t="str">
        <f>坦克个性化细分!J29</f>
        <v>高</v>
      </c>
      <c r="E29" s="485" t="str">
        <f t="shared" si="17"/>
        <v>T3高0</v>
      </c>
      <c r="F29" s="485" t="str">
        <f>VLOOKUP($B29,坦克个性化设定!$B$18:$BB$48,MATCH(F$3,坦克个性化设定!$B$18:$BB$18,0),FALSE)</f>
        <v>重坦</v>
      </c>
      <c r="G29" s="485" t="str">
        <f>VLOOKUP($B29,坦克个性化设定!$B$18:$BB$48,MATCH(G$3,坦克个性化设定!$B$18:$BB$18,0),FALSE)</f>
        <v>重坦自动</v>
      </c>
      <c r="H29" s="485" t="str">
        <f t="shared" si="11"/>
        <v>自动装弹</v>
      </c>
      <c r="I29" s="485">
        <f>VLOOKUP($B29,坦克个性化设定!$B$18:$BB$48,MATCH(I$3,坦克个性化设定!$B$18:$BB$18,0),FALSE)</f>
        <v>6.54</v>
      </c>
      <c r="J29" s="485">
        <f>VLOOKUP($B29,坦克个性化设定!$B$18:$BB$48,MATCH(J$3,坦克个性化设定!$B$18:$BB$18,0),FALSE)</f>
        <v>3.23</v>
      </c>
      <c r="K29" s="485">
        <f>VLOOKUP($B29,坦克个性化设定!$B$18:$BB$48,MATCH(K$3,坦克个性化设定!$B$18:$BB$18,0),FALSE)</f>
        <v>0.3</v>
      </c>
      <c r="L29" s="115">
        <f>VLOOKUP($B29,坦克个性化设定!$B$18:$BB$48,MATCH(L$3,坦克个性化设定!$B$18:$BB$18,0),FALSE)</f>
        <v>1.3221033219826164</v>
      </c>
      <c r="M29" s="115">
        <f>VLOOKUP($B29,坦克个性化设定!$B$18:$BB$48,MATCH(M$3,坦克个性化设定!$B$18:$BB$18,0),FALSE)</f>
        <v>9.6666666666666661</v>
      </c>
      <c r="N29" s="115">
        <f>VLOOKUP($B29,坦克个性化设定!$B$18:$BB$48,MATCH(N$3,坦克个性化设定!$B$18:$BB$18,0),FALSE)</f>
        <v>16.111111111111111</v>
      </c>
      <c r="O29" s="485">
        <f>VLOOKUP($B29,坦克个性化设定!$B$18:$BB$48,MATCH(O$3,坦克个性化设定!$B$18:$BB$18,0),FALSE)</f>
        <v>0.8</v>
      </c>
      <c r="P29" s="485">
        <f>VLOOKUP($B29,坦克个性化设定!$B$18:$BB$48,MATCH(P$3,坦克个性化设定!$B$18:$BB$18,0),FALSE)</f>
        <v>0.8</v>
      </c>
      <c r="Q29" s="485">
        <f>VLOOKUP($B29,坦克个性化设定!$B$18:$BB$48,MATCH(Q$3,坦克个性化设定!$B$18:$BB$18,0),FALSE)</f>
        <v>0.8</v>
      </c>
      <c r="R29" s="485">
        <f>VLOOKUP($B29,坦克个性化设定!$B$18:$BB$48,MATCH(R$3,坦克个性化设定!$B$18:$BB$18,0),FALSE)</f>
        <v>2</v>
      </c>
      <c r="S29" s="115">
        <f>VLOOKUP($B29,坦克个性化设定!$B$51:$T$81,MATCH(S$3,坦克个性化设定!$B$51:$T$51,0),FALSE)</f>
        <v>1.7999999999999998</v>
      </c>
      <c r="T29" s="115">
        <f>VLOOKUP($B29,坦克个性化设定!$B$51:$T$81,MATCH(T$3,坦克个性化设定!$B$51:$T$51,0),FALSE)</f>
        <v>2.7</v>
      </c>
      <c r="U29" s="115">
        <f>VLOOKUP($B29,坦克个性化设定!$B$18:$BB$48,MATCH(U$3,坦克个性化设定!$B$18:$BB$18,0),FALSE)</f>
        <v>0.83</v>
      </c>
      <c r="V29" s="485">
        <f>VLOOKUP($B29,坦克个性化设定!$B$18:$BB$48,MATCH(V$3,坦克个性化设定!$B$18:$BB$18,0),FALSE)</f>
        <v>1.2</v>
      </c>
      <c r="W29" s="485">
        <f>VLOOKUP($B29,坦克个性化设定!$B$18:$BB$48,MATCH(W$3,坦克个性化设定!$B$18:$BB$18,0),FALSE)</f>
        <v>3</v>
      </c>
      <c r="X29" s="485">
        <f>VLOOKUP($B29,坦克个性化设定!$B$18:$BB$48,MATCH(X$3,坦克个性化设定!$B$18:$BB$18,0),FALSE)</f>
        <v>0.5</v>
      </c>
      <c r="Y29" s="115">
        <f>VLOOKUP($B29,坦克个性化设定!$B$18:$BB$48,MATCH(Y$3,坦克个性化设定!$B$18:$BB$18,0),FALSE)</f>
        <v>9.7912120990134017</v>
      </c>
      <c r="Z29" s="115">
        <f>VLOOKUP($B29,坦克个性化设定!$B$18:$BB$48,MATCH(Z$3,坦克个性化设定!$B$18:$BB$18,0),FALSE)</f>
        <v>48.956060495067014</v>
      </c>
      <c r="AA29" s="115">
        <f>VLOOKUP($B29,坦克个性化设定!$B$18:$BB$48,MATCH(AA$3,坦克个性化设定!$B$18:$BB$18,0),FALSE)</f>
        <v>1.92</v>
      </c>
      <c r="AB29" s="115">
        <f>VLOOKUP($B29,坦克个性化设定!$B$18:$BB$48,MATCH(AB$3,坦克个性化设定!$B$18:$BB$18,0),FALSE)</f>
        <v>10.5</v>
      </c>
      <c r="AC29" s="115">
        <f>VLOOKUP($B29,坦克个性化设定!$B$18:$BB$48,MATCH(AC$3,坦克个性化设定!$B$18:$BB$18,0),FALSE)</f>
        <v>5.9523809523809526</v>
      </c>
      <c r="AD29" s="115">
        <f>VLOOKUP($B29,坦克个性化设定!$B$18:$BB$48,MATCH(AD$3,坦克个性化设定!$B$18:$BB$18,0),FALSE)</f>
        <v>4.166666666666667</v>
      </c>
      <c r="AE29" s="115">
        <f>VLOOKUP($B29,坦克个性化设定!$B$18:$BB$48,MATCH(AE$3,坦克个性化设定!$B$18:$BB$18,0),FALSE)</f>
        <v>0.64</v>
      </c>
      <c r="AF29" s="485">
        <f>VLOOKUP($B29,坦克个性化设定!$B$18:$BB$48,MATCH(AF$3,坦克个性化设定!$B$18:$BB$18,0),FALSE)</f>
        <v>0.2</v>
      </c>
      <c r="AG29" s="485">
        <f>VLOOKUP($B29,坦克个性化设定!$B$18:$BB$48,MATCH(AG$3,坦克个性化设定!$B$18:$BB$18,0),FALSE)</f>
        <v>70</v>
      </c>
      <c r="AH29" s="485">
        <f>VLOOKUP($B29,坦克个性化设定!$B$18:$BB$48,MATCH(AH$3,坦克个性化设定!$B$18:$BB$18,0),FALSE)</f>
        <v>110</v>
      </c>
      <c r="AI29" s="485">
        <f>VLOOKUP(B29,坦克个性化细分!$I$3:$P$33,3,FALSE)</f>
        <v>41.1</v>
      </c>
      <c r="AJ29" s="485">
        <f>VLOOKUP(B29,坦克个性化细分!$I$3:$P$33,5,FALSE)</f>
        <v>36.799999999999997</v>
      </c>
      <c r="AK29" s="485">
        <f>VLOOKUP(B29,坦克个性化细分!$I$3:$P$33,7,FALSE)</f>
        <v>11</v>
      </c>
      <c r="AL29" s="485">
        <f>VLOOKUP($B29,坦克个性化设定!$F$84:$S$114,MATCH(AL$3,坦克个性化设定!$F$84:$S$84,0),FALSE)</f>
        <v>2</v>
      </c>
      <c r="AM29" s="485">
        <f>VLOOKUP($B29,坦克个性化细分!$E$3:$G$33,2,FALSE)</f>
        <v>4.05</v>
      </c>
      <c r="AN29" s="485">
        <f>VLOOKUP($B29,坦克个性化细分!$E$3:$G$33,3,FALSE)</f>
        <v>0</v>
      </c>
      <c r="AO29" s="115">
        <f t="shared" si="0"/>
        <v>2.2500000000000004</v>
      </c>
      <c r="AP29" s="326">
        <f t="shared" ca="1" si="1"/>
        <v>1499</v>
      </c>
      <c r="AQ29" s="326">
        <f t="shared" ca="1" si="2"/>
        <v>226</v>
      </c>
      <c r="AR29" s="326">
        <f t="shared" ca="1" si="3"/>
        <v>463</v>
      </c>
      <c r="AS29" s="326">
        <f t="shared" ca="1" si="4"/>
        <v>370</v>
      </c>
      <c r="AT29" s="326">
        <f t="shared" ca="1" si="5"/>
        <v>680</v>
      </c>
      <c r="AU29" s="326">
        <f t="shared" ca="1" si="6"/>
        <v>154</v>
      </c>
      <c r="AV29" s="326">
        <f t="shared" si="12"/>
        <v>380</v>
      </c>
      <c r="AW29" s="326">
        <f t="shared" si="13"/>
        <v>380</v>
      </c>
      <c r="AX29" s="326">
        <f t="shared" si="14"/>
        <v>380</v>
      </c>
      <c r="AY29" s="485">
        <f t="shared" si="7"/>
        <v>6</v>
      </c>
      <c r="AZ29" s="485">
        <f>基础属性系数!$E$61</f>
        <v>0.35</v>
      </c>
      <c r="BA29" s="485">
        <v>50</v>
      </c>
      <c r="BB29" s="485">
        <v>10</v>
      </c>
      <c r="BC29" s="485">
        <f>VLOOKUP($B29,坦克类型系数!$B$3:$R$33,MATCH(BC$3,坦克类型系数!$B$3:$R$3,0),FALSE)</f>
        <v>2.5</v>
      </c>
      <c r="BD29" s="485">
        <f>VLOOKUP($B29,坦克类型系数!$B$3:$R$33,MATCH(BD$3,坦克类型系数!$B$3:$R$3,0),FALSE)</f>
        <v>2</v>
      </c>
      <c r="BE29" s="517">
        <f>VLOOKUP($B29,坦克类型系数!$B$3:$R$33,MATCH(BE$3,坦克类型系数!$B$3:$R$3,0),FALSE)</f>
        <v>1.5</v>
      </c>
      <c r="BF29" s="485">
        <f>VLOOKUP($B29,坦克类型系数!$B$3:$R$33,MATCH(BF$3,坦克类型系数!$B$3:$R$3,0),FALSE)</f>
        <v>1.5</v>
      </c>
      <c r="BG29" s="485">
        <f>VLOOKUP($B29,坦克类型系数!$B$3:$R$33,MATCH(BG$3,坦克类型系数!$B$3:$R$3,0),FALSE)</f>
        <v>1.1000000000000001</v>
      </c>
      <c r="BH29" s="485">
        <f>VLOOKUP($B29,坦克类型系数!$B$3:$R$33,MATCH(BH$3,坦克类型系数!$B$3:$R$3,0),FALSE)</f>
        <v>0.70000000000000007</v>
      </c>
      <c r="BI29" s="485">
        <f>VLOOKUP($B29,坦克类型系数!$B$3:$R$33,MATCH(BI$3,坦克类型系数!$B$3:$R$3,0),FALSE)</f>
        <v>0.4</v>
      </c>
      <c r="BJ29" s="275"/>
      <c r="BK29" s="275"/>
      <c r="BL29" s="275"/>
      <c r="BN29" s="178" t="str">
        <f t="shared" si="8"/>
        <v>KV-2</v>
      </c>
      <c r="BO29" s="493" t="str">
        <f>VLOOKUP(BN29,坦克个性化设定!$B$18:$E$48,MATCH(BO$3,坦克个性化设定!$B$18:$E$18,0),FALSE)</f>
        <v>T3</v>
      </c>
      <c r="BP29" s="182" t="str">
        <f t="shared" si="9"/>
        <v>高</v>
      </c>
      <c r="BQ29" s="134" t="s">
        <v>800</v>
      </c>
      <c r="BR29" s="689" t="s">
        <v>3292</v>
      </c>
      <c r="BS29" s="96">
        <f ca="1">VLOOKUP($BN29&amp;$BQ29,坦克标准养成属性!$O$3:$AA$63,MATCH(BS$3,坦克标准养成属性!$O$3:$AA$3,0),FALSE)</f>
        <v>1499.4131491812325</v>
      </c>
      <c r="BT29" s="96">
        <f ca="1">VLOOKUP($BN29&amp;$BQ29,坦克标准养成属性!$O$3:$AA$63,MATCH(BT$3,坦克标准养成属性!$O$3:$AA$3,0),FALSE)</f>
        <v>226.14107247422248</v>
      </c>
      <c r="BU29" s="96">
        <f ca="1">VLOOKUP($BN29&amp;$BQ29,坦克标准养成属性!$O$3:$AA$63,MATCH(BU$3,坦克标准养成属性!$O$3:$AA$3,0),FALSE)</f>
        <v>463</v>
      </c>
      <c r="BV29" s="96">
        <f ca="1">VLOOKUP($BN29&amp;$BQ29,坦克标准养成属性!$O$3:$AA$63,MATCH(BV$3,坦克标准养成属性!$O$3:$AA$3,0),FALSE)</f>
        <v>370</v>
      </c>
      <c r="BW29" s="96">
        <f ca="1">VLOOKUP($BN29&amp;$BQ29,坦克标准养成属性!$O$3:$AA$63,MATCH(BW$3,坦克标准养成属性!$O$3:$AA$3,0),FALSE)</f>
        <v>680</v>
      </c>
      <c r="BX29" s="96">
        <f ca="1">VLOOKUP($BN29&amp;$BQ29,坦克标准养成属性!$O$3:$AA$63,MATCH(BX$3,坦克标准养成属性!$O$3:$AA$3,0),FALSE)</f>
        <v>154</v>
      </c>
      <c r="BY29" s="669">
        <f>(VLOOKUP(LEFT(BR29,1)*1,坦克部件!$M$3:$U$9,MATCH("升星属性",坦克部件!$M$3:$U$3,0),FALSE)+VLOOKUP(RIGHT(BR29,1)*1,坦克部件!$W$3:$AA$63,MATCH("累计属性",坦克部件!$W$3:$AA$3,0),FALSE))*2</f>
        <v>380.4</v>
      </c>
      <c r="BZ29" s="96">
        <f t="shared" si="15"/>
        <v>380.4</v>
      </c>
      <c r="CA29" s="96">
        <f t="shared" si="16"/>
        <v>380.4</v>
      </c>
    </row>
    <row r="30" spans="2:79" x14ac:dyDescent="0.35">
      <c r="B30" s="485" t="str">
        <f>坦克个性化设定!B45</f>
        <v>征服者</v>
      </c>
      <c r="C30" s="485" t="str">
        <f>VLOOKUP(B30,坦克个性化设定!$B$18:$E$48,4,FALSE)</f>
        <v>T4</v>
      </c>
      <c r="D30" s="485" t="str">
        <f>坦克个性化细分!J30</f>
        <v>低</v>
      </c>
      <c r="E30" s="485" t="str">
        <f t="shared" si="17"/>
        <v>T4低0</v>
      </c>
      <c r="F30" s="485" t="str">
        <f>VLOOKUP($B30,坦克个性化设定!$B$18:$BB$48,MATCH(F$3,坦克个性化设定!$B$18:$BB$18,0),FALSE)</f>
        <v>重坦</v>
      </c>
      <c r="G30" s="485" t="str">
        <f>VLOOKUP($B30,坦克个性化设定!$B$18:$BB$48,MATCH(G$3,坦克个性化设定!$B$18:$BB$18,0),FALSE)</f>
        <v>重坦单发</v>
      </c>
      <c r="H30" s="485" t="str">
        <f t="shared" si="11"/>
        <v>单发装弹</v>
      </c>
      <c r="I30" s="485">
        <f>VLOOKUP($B30,坦克个性化设定!$B$18:$BB$48,MATCH(I$3,坦克个性化设定!$B$18:$BB$18,0),FALSE)</f>
        <v>7.74</v>
      </c>
      <c r="J30" s="485">
        <f>VLOOKUP($B30,坦克个性化设定!$B$18:$BB$48,MATCH(J$3,坦克个性化设定!$B$18:$BB$18,0),FALSE)</f>
        <v>4.0199999999999996</v>
      </c>
      <c r="K30" s="485">
        <f>VLOOKUP($B30,坦克个性化设定!$B$18:$BB$48,MATCH(K$3,坦克个性化设定!$B$18:$BB$18,0),FALSE)</f>
        <v>0.3</v>
      </c>
      <c r="L30" s="115">
        <f>VLOOKUP($B30,坦克个性化设定!$B$18:$BB$48,MATCH(L$3,坦克个性化设定!$B$18:$BB$18,0),FALSE)</f>
        <v>1.3221033219826164</v>
      </c>
      <c r="M30" s="115">
        <f>VLOOKUP($B30,坦克个性化设定!$B$18:$BB$48,MATCH(M$3,坦克个性化设定!$B$18:$BB$18,0),FALSE)</f>
        <v>9.6666666666666661</v>
      </c>
      <c r="N30" s="115">
        <f>VLOOKUP($B30,坦克个性化设定!$B$18:$BB$48,MATCH(N$3,坦克个性化设定!$B$18:$BB$18,0),FALSE)</f>
        <v>16.111111111111111</v>
      </c>
      <c r="O30" s="485">
        <f>VLOOKUP($B30,坦克个性化设定!$B$18:$BB$48,MATCH(O$3,坦克个性化设定!$B$18:$BB$18,0),FALSE)</f>
        <v>0.8</v>
      </c>
      <c r="P30" s="485">
        <f>VLOOKUP($B30,坦克个性化设定!$B$18:$BB$48,MATCH(P$3,坦克个性化设定!$B$18:$BB$18,0),FALSE)</f>
        <v>0.8</v>
      </c>
      <c r="Q30" s="485">
        <f>VLOOKUP($B30,坦克个性化设定!$B$18:$BB$48,MATCH(Q$3,坦克个性化设定!$B$18:$BB$18,0),FALSE)</f>
        <v>0.8</v>
      </c>
      <c r="R30" s="485">
        <f>VLOOKUP($B30,坦克个性化设定!$B$18:$BB$48,MATCH(R$3,坦克个性化设定!$B$18:$BB$18,0),FALSE)</f>
        <v>0</v>
      </c>
      <c r="S30" s="115">
        <f>VLOOKUP($B30,坦克个性化设定!$B$51:$T$81,MATCH(S$3,坦克个性化设定!$B$51:$T$51,0),FALSE)</f>
        <v>3</v>
      </c>
      <c r="T30" s="115">
        <f>VLOOKUP($B30,坦克个性化设定!$B$51:$T$81,MATCH(T$3,坦克个性化设定!$B$51:$T$51,0),FALSE)</f>
        <v>3</v>
      </c>
      <c r="U30" s="115">
        <f>VLOOKUP($B30,坦克个性化设定!$B$18:$BB$48,MATCH(U$3,坦克个性化设定!$B$18:$BB$18,0),FALSE)</f>
        <v>0.67</v>
      </c>
      <c r="V30" s="485">
        <f>VLOOKUP($B30,坦克个性化设定!$B$18:$BB$48,MATCH(V$3,坦克个性化设定!$B$18:$BB$18,0),FALSE)</f>
        <v>1</v>
      </c>
      <c r="W30" s="485">
        <f>VLOOKUP($B30,坦克个性化设定!$B$18:$BB$48,MATCH(W$3,坦克个性化设定!$B$18:$BB$18,0),FALSE)</f>
        <v>5</v>
      </c>
      <c r="X30" s="485">
        <f>VLOOKUP($B30,坦克个性化设定!$B$18:$BB$48,MATCH(X$3,坦克个性化设定!$B$18:$BB$18,0),FALSE)</f>
        <v>0.5</v>
      </c>
      <c r="Y30" s="115">
        <f>VLOOKUP($B30,坦克个性化设定!$B$18:$BB$48,MATCH(Y$3,坦克个性化设定!$B$18:$BB$18,0),FALSE)</f>
        <v>7.8329696792107217</v>
      </c>
      <c r="Z30" s="115">
        <f>VLOOKUP($B30,坦克个性化设定!$B$18:$BB$48,MATCH(Z$3,坦克个性化设定!$B$18:$BB$18,0),FALSE)</f>
        <v>48.956060495067014</v>
      </c>
      <c r="AA30" s="115">
        <f>VLOOKUP($B30,坦克个性化设定!$B$18:$BB$48,MATCH(AA$3,坦克个性化设定!$B$18:$BB$18,0),FALSE)</f>
        <v>3.2</v>
      </c>
      <c r="AB30" s="115">
        <f>VLOOKUP($B30,坦克个性化设定!$B$18:$BB$48,MATCH(AB$3,坦克个性化设定!$B$18:$BB$18,0),FALSE)</f>
        <v>9.4500000000000011</v>
      </c>
      <c r="AC30" s="115">
        <f>VLOOKUP($B30,坦克个性化设定!$B$18:$BB$48,MATCH(AC$3,坦克个性化设定!$B$18:$BB$18,0),FALSE)</f>
        <v>5.9523809523809526</v>
      </c>
      <c r="AD30" s="115">
        <f>VLOOKUP($B30,坦克个性化设定!$B$18:$BB$48,MATCH(AD$3,坦克个性化设定!$B$18:$BB$18,0),FALSE)</f>
        <v>4.166666666666667</v>
      </c>
      <c r="AE30" s="115">
        <f>VLOOKUP($B30,坦克个性化设定!$B$18:$BB$48,MATCH(AE$3,坦克个性化设定!$B$18:$BB$18,0),FALSE)</f>
        <v>1.28</v>
      </c>
      <c r="AF30" s="485">
        <f>VLOOKUP($B30,坦克个性化设定!$B$18:$BB$48,MATCH(AF$3,坦克个性化设定!$B$18:$BB$18,0),FALSE)</f>
        <v>0.2</v>
      </c>
      <c r="AG30" s="485">
        <f>VLOOKUP($B30,坦克个性化设定!$B$18:$BB$48,MATCH(AG$3,坦克个性化设定!$B$18:$BB$18,0),FALSE)</f>
        <v>70</v>
      </c>
      <c r="AH30" s="485">
        <f>VLOOKUP($B30,坦克个性化设定!$B$18:$BB$48,MATCH(AH$3,坦克个性化设定!$B$18:$BB$18,0),FALSE)</f>
        <v>110</v>
      </c>
      <c r="AI30" s="485">
        <f>VLOOKUP(B30,坦克个性化细分!$I$3:$P$33,3,FALSE)</f>
        <v>31.3</v>
      </c>
      <c r="AJ30" s="485">
        <f>VLOOKUP(B30,坦克个性化细分!$I$3:$P$33,5,FALSE)</f>
        <v>43.8</v>
      </c>
      <c r="AK30" s="485">
        <f>VLOOKUP(B30,坦克个性化细分!$I$3:$P$33,7,FALSE)</f>
        <v>9.5</v>
      </c>
      <c r="AL30" s="485">
        <f>VLOOKUP($B30,坦克个性化设定!$F$84:$S$114,MATCH(AL$3,坦克个性化设定!$F$84:$S$84,0),FALSE)</f>
        <v>1</v>
      </c>
      <c r="AM30" s="485">
        <f>VLOOKUP($B30,坦克个性化细分!$E$3:$G$33,2,FALSE)</f>
        <v>6</v>
      </c>
      <c r="AN30" s="485">
        <f>VLOOKUP($B30,坦克个性化细分!$E$3:$G$33,3,FALSE)</f>
        <v>0</v>
      </c>
      <c r="AO30" s="115">
        <f t="shared" si="0"/>
        <v>3</v>
      </c>
      <c r="AP30" s="326">
        <f t="shared" ca="1" si="1"/>
        <v>1923</v>
      </c>
      <c r="AQ30" s="326">
        <f t="shared" ca="1" si="2"/>
        <v>350</v>
      </c>
      <c r="AR30" s="326">
        <f t="shared" ca="1" si="3"/>
        <v>597</v>
      </c>
      <c r="AS30" s="326">
        <f t="shared" ca="1" si="4"/>
        <v>478</v>
      </c>
      <c r="AT30" s="326">
        <f t="shared" ca="1" si="5"/>
        <v>798</v>
      </c>
      <c r="AU30" s="326">
        <f t="shared" ca="1" si="6"/>
        <v>181</v>
      </c>
      <c r="AV30" s="326">
        <f t="shared" si="12"/>
        <v>538</v>
      </c>
      <c r="AW30" s="326">
        <f t="shared" si="13"/>
        <v>538</v>
      </c>
      <c r="AX30" s="326">
        <f t="shared" si="14"/>
        <v>538</v>
      </c>
      <c r="AY30" s="485">
        <f t="shared" si="7"/>
        <v>1</v>
      </c>
      <c r="AZ30" s="485">
        <f>基础属性系数!$E$61</f>
        <v>0.35</v>
      </c>
      <c r="BA30" s="485">
        <v>50</v>
      </c>
      <c r="BB30" s="485">
        <v>10</v>
      </c>
      <c r="BC30" s="485">
        <f>VLOOKUP($B30,坦克类型系数!$B$3:$R$33,MATCH(BC$3,坦克类型系数!$B$3:$R$3,0),FALSE)</f>
        <v>2.4500000000000002</v>
      </c>
      <c r="BD30" s="485">
        <f>VLOOKUP($B30,坦克类型系数!$B$3:$R$33,MATCH(BD$3,坦克类型系数!$B$3:$R$3,0),FALSE)</f>
        <v>2</v>
      </c>
      <c r="BE30" s="517">
        <f>VLOOKUP($B30,坦克类型系数!$B$3:$R$33,MATCH(BE$3,坦克类型系数!$B$3:$R$3,0),FALSE)</f>
        <v>1.4000000000000001</v>
      </c>
      <c r="BF30" s="485">
        <f>VLOOKUP($B30,坦克类型系数!$B$3:$R$33,MATCH(BF$3,坦克类型系数!$B$3:$R$3,0),FALSE)</f>
        <v>1.4000000000000001</v>
      </c>
      <c r="BG30" s="485">
        <f>VLOOKUP($B30,坦克类型系数!$B$3:$R$33,MATCH(BG$3,坦克类型系数!$B$3:$R$3,0),FALSE)</f>
        <v>1.05</v>
      </c>
      <c r="BH30" s="485">
        <f>VLOOKUP($B30,坦克类型系数!$B$3:$R$33,MATCH(BH$3,坦克类型系数!$B$3:$R$3,0),FALSE)</f>
        <v>0.70000000000000007</v>
      </c>
      <c r="BI30" s="485">
        <f>VLOOKUP($B30,坦克类型系数!$B$3:$R$33,MATCH(BI$3,坦克类型系数!$B$3:$R$3,0),FALSE)</f>
        <v>0.4</v>
      </c>
      <c r="BJ30" s="275"/>
      <c r="BK30" s="275"/>
      <c r="BL30" s="275"/>
      <c r="BN30" s="178" t="str">
        <f t="shared" si="8"/>
        <v>征服者</v>
      </c>
      <c r="BO30" s="493" t="str">
        <f>VLOOKUP(BN30,坦克个性化设定!$B$18:$E$48,MATCH(BO$3,坦克个性化设定!$B$18:$E$18,0),FALSE)</f>
        <v>T4</v>
      </c>
      <c r="BP30" s="182" t="str">
        <f t="shared" si="9"/>
        <v>低</v>
      </c>
      <c r="BQ30" s="134" t="s">
        <v>800</v>
      </c>
      <c r="BR30" s="689" t="s">
        <v>3293</v>
      </c>
      <c r="BS30" s="96">
        <f ca="1">VLOOKUP($BN30&amp;$BQ30,坦克标准养成属性!$O$3:$AA$63,MATCH(BS$3,坦克标准养成属性!$O$3:$AA$3,0),FALSE)</f>
        <v>1923.1484913120701</v>
      </c>
      <c r="BT30" s="96">
        <f ca="1">VLOOKUP($BN30&amp;$BQ30,坦克标准养成属性!$O$3:$AA$63,MATCH(BT$3,坦克标准养成属性!$O$3:$AA$3,0),FALSE)</f>
        <v>350.2787242083474</v>
      </c>
      <c r="BU30" s="96">
        <f ca="1">VLOOKUP($BN30&amp;$BQ30,坦克标准养成属性!$O$3:$AA$63,MATCH(BU$3,坦克标准养成属性!$O$3:$AA$3,0),FALSE)</f>
        <v>597</v>
      </c>
      <c r="BV30" s="96">
        <f ca="1">VLOOKUP($BN30&amp;$BQ30,坦克标准养成属性!$O$3:$AA$63,MATCH(BV$3,坦克标准养成属性!$O$3:$AA$3,0),FALSE)</f>
        <v>478</v>
      </c>
      <c r="BW30" s="96">
        <f ca="1">VLOOKUP($BN30&amp;$BQ30,坦克标准养成属性!$O$3:$AA$63,MATCH(BW$3,坦克标准养成属性!$O$3:$AA$3,0),FALSE)</f>
        <v>798</v>
      </c>
      <c r="BX30" s="96">
        <f ca="1">VLOOKUP($BN30&amp;$BQ30,坦克标准养成属性!$O$3:$AA$63,MATCH(BX$3,坦克标准养成属性!$O$3:$AA$3,0),FALSE)</f>
        <v>181</v>
      </c>
      <c r="BY30" s="669">
        <f>(VLOOKUP(LEFT(BR30,1)*1,坦克部件!$M$3:$U$9,MATCH("升星属性",坦克部件!$M$3:$U$3,0),FALSE)+VLOOKUP(RIGHT(BR30,1)*1,坦克部件!$W$3:$AA$63,MATCH("累计属性",坦克部件!$W$3:$AA$3,0),FALSE))*2</f>
        <v>537.6</v>
      </c>
      <c r="BZ30" s="96">
        <f t="shared" si="15"/>
        <v>537.6</v>
      </c>
      <c r="CA30" s="96">
        <f t="shared" si="16"/>
        <v>537.6</v>
      </c>
    </row>
    <row r="31" spans="2:79" x14ac:dyDescent="0.35">
      <c r="B31" s="485" t="str">
        <f>坦克个性化设定!B46</f>
        <v>IS-4</v>
      </c>
      <c r="C31" s="485" t="str">
        <f>VLOOKUP(B31,坦克个性化设定!$B$18:$E$48,4,FALSE)</f>
        <v>T4</v>
      </c>
      <c r="D31" s="485" t="str">
        <f>坦克个性化细分!J31</f>
        <v>中</v>
      </c>
      <c r="E31" s="485" t="str">
        <f t="shared" si="17"/>
        <v>T4中0</v>
      </c>
      <c r="F31" s="485" t="str">
        <f>VLOOKUP($B31,坦克个性化设定!$B$18:$BB$48,MATCH(F$3,坦克个性化设定!$B$18:$BB$18,0),FALSE)</f>
        <v>重坦</v>
      </c>
      <c r="G31" s="485" t="str">
        <f>VLOOKUP($B31,坦克个性化设定!$B$18:$BB$48,MATCH(G$3,坦克个性化设定!$B$18:$BB$18,0),FALSE)</f>
        <v>重坦自动</v>
      </c>
      <c r="H31" s="485" t="str">
        <f t="shared" si="11"/>
        <v>自动装弹</v>
      </c>
      <c r="I31" s="485">
        <f>VLOOKUP($B31,坦克个性化设定!$B$18:$BB$48,MATCH(I$3,坦克个性化设定!$B$18:$BB$18,0),FALSE)</f>
        <v>6.6</v>
      </c>
      <c r="J31" s="485">
        <f>VLOOKUP($B31,坦克个性化设定!$B$18:$BB$48,MATCH(J$3,坦克个性化设定!$B$18:$BB$18,0),FALSE)</f>
        <v>3.35</v>
      </c>
      <c r="K31" s="485">
        <f>VLOOKUP($B31,坦克个性化设定!$B$18:$BB$48,MATCH(K$3,坦克个性化设定!$B$18:$BB$18,0),FALSE)</f>
        <v>0.3</v>
      </c>
      <c r="L31" s="115">
        <f>VLOOKUP($B31,坦克个性化设定!$B$18:$BB$48,MATCH(L$3,坦克个性化设定!$B$18:$BB$18,0),FALSE)</f>
        <v>1.3221033219826164</v>
      </c>
      <c r="M31" s="115">
        <f>VLOOKUP($B31,坦克个性化设定!$B$18:$BB$48,MATCH(M$3,坦克个性化设定!$B$18:$BB$18,0),FALSE)</f>
        <v>9.6666666666666661</v>
      </c>
      <c r="N31" s="115">
        <f>VLOOKUP($B31,坦克个性化设定!$B$18:$BB$48,MATCH(N$3,坦克个性化设定!$B$18:$BB$18,0),FALSE)</f>
        <v>16.111111111111111</v>
      </c>
      <c r="O31" s="485">
        <f>VLOOKUP($B31,坦克个性化设定!$B$18:$BB$48,MATCH(O$3,坦克个性化设定!$B$18:$BB$18,0),FALSE)</f>
        <v>0.8</v>
      </c>
      <c r="P31" s="485">
        <f>VLOOKUP($B31,坦克个性化设定!$B$18:$BB$48,MATCH(P$3,坦克个性化设定!$B$18:$BB$18,0),FALSE)</f>
        <v>0.8</v>
      </c>
      <c r="Q31" s="485">
        <f>VLOOKUP($B31,坦克个性化设定!$B$18:$BB$48,MATCH(Q$3,坦克个性化设定!$B$18:$BB$18,0),FALSE)</f>
        <v>0.8</v>
      </c>
      <c r="R31" s="485">
        <f>VLOOKUP($B31,坦克个性化设定!$B$18:$BB$48,MATCH(R$3,坦克个性化设定!$B$18:$BB$18,0),FALSE)</f>
        <v>2</v>
      </c>
      <c r="S31" s="115">
        <f>VLOOKUP($B31,坦克个性化设定!$B$51:$T$81,MATCH(S$3,坦克个性化设定!$B$51:$T$51,0),FALSE)</f>
        <v>1.7999999999999998</v>
      </c>
      <c r="T31" s="115">
        <f>VLOOKUP($B31,坦克个性化设定!$B$51:$T$81,MATCH(T$3,坦克个性化设定!$B$51:$T$51,0),FALSE)</f>
        <v>2.7</v>
      </c>
      <c r="U31" s="115">
        <f>VLOOKUP($B31,坦克个性化设定!$B$18:$BB$48,MATCH(U$3,坦克个性化设定!$B$18:$BB$18,0),FALSE)</f>
        <v>0.67</v>
      </c>
      <c r="V31" s="485">
        <f>VLOOKUP($B31,坦克个性化设定!$B$18:$BB$48,MATCH(V$3,坦克个性化设定!$B$18:$BB$18,0),FALSE)</f>
        <v>1.2</v>
      </c>
      <c r="W31" s="485">
        <f>VLOOKUP($B31,坦克个性化设定!$B$18:$BB$48,MATCH(W$3,坦克个性化设定!$B$18:$BB$18,0),FALSE)</f>
        <v>3</v>
      </c>
      <c r="X31" s="485">
        <f>VLOOKUP($B31,坦克个性化设定!$B$18:$BB$48,MATCH(X$3,坦克个性化设定!$B$18:$BB$18,0),FALSE)</f>
        <v>0.5</v>
      </c>
      <c r="Y31" s="115">
        <f>VLOOKUP($B31,坦克个性化设定!$B$18:$BB$48,MATCH(Y$3,坦克个性化设定!$B$18:$BB$18,0),FALSE)</f>
        <v>7.8329696792107217</v>
      </c>
      <c r="Z31" s="115">
        <f>VLOOKUP($B31,坦克个性化设定!$B$18:$BB$48,MATCH(Z$3,坦克个性化设定!$B$18:$BB$18,0),FALSE)</f>
        <v>48.956060495067014</v>
      </c>
      <c r="AA31" s="115">
        <f>VLOOKUP($B31,坦克个性化设定!$B$18:$BB$48,MATCH(AA$3,坦克个性化设定!$B$18:$BB$18,0),FALSE)</f>
        <v>1.92</v>
      </c>
      <c r="AB31" s="115">
        <f>VLOOKUP($B31,坦克个性化设定!$B$18:$BB$48,MATCH(AB$3,坦克个性化设定!$B$18:$BB$18,0),FALSE)</f>
        <v>9.4500000000000011</v>
      </c>
      <c r="AC31" s="115">
        <f>VLOOKUP($B31,坦克个性化设定!$B$18:$BB$48,MATCH(AC$3,坦克个性化设定!$B$18:$BB$18,0),FALSE)</f>
        <v>5.9523809523809526</v>
      </c>
      <c r="AD31" s="115">
        <f>VLOOKUP($B31,坦克个性化设定!$B$18:$BB$48,MATCH(AD$3,坦克个性化设定!$B$18:$BB$18,0),FALSE)</f>
        <v>4.166666666666667</v>
      </c>
      <c r="AE31" s="115">
        <f>VLOOKUP($B31,坦克个性化设定!$B$18:$BB$48,MATCH(AE$3,坦克个性化设定!$B$18:$BB$18,0),FALSE)</f>
        <v>0.64</v>
      </c>
      <c r="AF31" s="485">
        <f>VLOOKUP($B31,坦克个性化设定!$B$18:$BB$48,MATCH(AF$3,坦克个性化设定!$B$18:$BB$18,0),FALSE)</f>
        <v>0.2</v>
      </c>
      <c r="AG31" s="485">
        <f>VLOOKUP($B31,坦克个性化设定!$B$18:$BB$48,MATCH(AG$3,坦克个性化设定!$B$18:$BB$18,0),FALSE)</f>
        <v>70</v>
      </c>
      <c r="AH31" s="485">
        <f>VLOOKUP($B31,坦克个性化设定!$B$18:$BB$48,MATCH(AH$3,坦克个性化设定!$B$18:$BB$18,0),FALSE)</f>
        <v>110</v>
      </c>
      <c r="AI31" s="485">
        <f>VLOOKUP(B31,坦克个性化细分!$I$3:$P$33,3,FALSE)</f>
        <v>32</v>
      </c>
      <c r="AJ31" s="485">
        <f>VLOOKUP(B31,坦克个性化细分!$I$3:$P$33,5,FALSE)</f>
        <v>44.6</v>
      </c>
      <c r="AK31" s="485">
        <f>VLOOKUP(B31,坦克个性化细分!$I$3:$P$33,7,FALSE)</f>
        <v>9.6</v>
      </c>
      <c r="AL31" s="485">
        <f>VLOOKUP($B31,坦克个性化设定!$F$84:$S$114,MATCH(AL$3,坦克个性化设定!$F$84:$S$84,0),FALSE)</f>
        <v>2</v>
      </c>
      <c r="AM31" s="485">
        <f>VLOOKUP($B31,坦克个性化细分!$E$3:$G$33,2,FALSE)</f>
        <v>4.5</v>
      </c>
      <c r="AN31" s="485">
        <f>VLOOKUP($B31,坦克个性化细分!$E$3:$G$33,3,FALSE)</f>
        <v>0</v>
      </c>
      <c r="AO31" s="115">
        <f t="shared" si="0"/>
        <v>2.2500000000000004</v>
      </c>
      <c r="AP31" s="326">
        <f t="shared" ca="1" si="1"/>
        <v>1828</v>
      </c>
      <c r="AQ31" s="326">
        <f t="shared" ca="1" si="2"/>
        <v>303</v>
      </c>
      <c r="AR31" s="326">
        <f t="shared" ca="1" si="3"/>
        <v>560</v>
      </c>
      <c r="AS31" s="326">
        <f t="shared" ca="1" si="4"/>
        <v>448</v>
      </c>
      <c r="AT31" s="326">
        <f t="shared" ca="1" si="5"/>
        <v>823</v>
      </c>
      <c r="AU31" s="326">
        <f t="shared" ca="1" si="6"/>
        <v>186</v>
      </c>
      <c r="AV31" s="326">
        <f t="shared" si="12"/>
        <v>538</v>
      </c>
      <c r="AW31" s="326">
        <f t="shared" si="13"/>
        <v>538</v>
      </c>
      <c r="AX31" s="326">
        <f t="shared" si="14"/>
        <v>538</v>
      </c>
      <c r="AY31" s="485">
        <f t="shared" si="7"/>
        <v>6</v>
      </c>
      <c r="AZ31" s="485">
        <f>基础属性系数!$E$61</f>
        <v>0.35</v>
      </c>
      <c r="BA31" s="485">
        <v>50</v>
      </c>
      <c r="BB31" s="485">
        <v>10</v>
      </c>
      <c r="BC31" s="485">
        <f>VLOOKUP($B31,坦克类型系数!$B$3:$R$33,MATCH(BC$3,坦克类型系数!$B$3:$R$3,0),FALSE)</f>
        <v>2.4</v>
      </c>
      <c r="BD31" s="485">
        <f>VLOOKUP($B31,坦克类型系数!$B$3:$R$33,MATCH(BD$3,坦克类型系数!$B$3:$R$3,0),FALSE)</f>
        <v>1.9500000000000002</v>
      </c>
      <c r="BE31" s="517">
        <f>VLOOKUP($B31,坦克类型系数!$B$3:$R$33,MATCH(BE$3,坦克类型系数!$B$3:$R$3,0),FALSE)</f>
        <v>1.45</v>
      </c>
      <c r="BF31" s="485">
        <f>VLOOKUP($B31,坦克类型系数!$B$3:$R$33,MATCH(BF$3,坦克类型系数!$B$3:$R$3,0),FALSE)</f>
        <v>1.45</v>
      </c>
      <c r="BG31" s="485">
        <f>VLOOKUP($B31,坦克类型系数!$B$3:$R$33,MATCH(BG$3,坦克类型系数!$B$3:$R$3,0),FALSE)</f>
        <v>1.1000000000000001</v>
      </c>
      <c r="BH31" s="485">
        <f>VLOOKUP($B31,坦克类型系数!$B$3:$R$33,MATCH(BH$3,坦克类型系数!$B$3:$R$3,0),FALSE)</f>
        <v>0.65</v>
      </c>
      <c r="BI31" s="485">
        <f>VLOOKUP($B31,坦克类型系数!$B$3:$R$33,MATCH(BI$3,坦克类型系数!$B$3:$R$3,0),FALSE)</f>
        <v>0.4</v>
      </c>
      <c r="BJ31" s="275"/>
      <c r="BK31" s="275"/>
      <c r="BL31" s="275"/>
      <c r="BN31" s="178" t="str">
        <f t="shared" si="8"/>
        <v>IS-4</v>
      </c>
      <c r="BO31" s="493" t="str">
        <f>VLOOKUP(BN31,坦克个性化设定!$B$18:$E$48,MATCH(BO$3,坦克个性化设定!$B$18:$E$18,0),FALSE)</f>
        <v>T4</v>
      </c>
      <c r="BP31" s="182" t="str">
        <f t="shared" si="9"/>
        <v>中</v>
      </c>
      <c r="BQ31" s="134" t="s">
        <v>800</v>
      </c>
      <c r="BR31" s="689" t="s">
        <v>3293</v>
      </c>
      <c r="BS31" s="96">
        <f ca="1">VLOOKUP($BN31&amp;$BQ31,坦克标准养成属性!$O$3:$AA$63,MATCH(BS$3,坦克标准养成属性!$O$3:$AA$3,0),FALSE)</f>
        <v>1827.5343341570237</v>
      </c>
      <c r="BT31" s="96">
        <f ca="1">VLOOKUP($BN31&amp;$BQ31,坦克标准养成属性!$O$3:$AA$63,MATCH(BT$3,坦克标准养成属性!$O$3:$AA$3,0),FALSE)</f>
        <v>302.63946382814305</v>
      </c>
      <c r="BU31" s="96">
        <f ca="1">VLOOKUP($BN31&amp;$BQ31,坦克标准养成属性!$O$3:$AA$63,MATCH(BU$3,坦克标准养成属性!$O$3:$AA$3,0),FALSE)</f>
        <v>560</v>
      </c>
      <c r="BV31" s="96">
        <f ca="1">VLOOKUP($BN31&amp;$BQ31,坦克标准养成属性!$O$3:$AA$63,MATCH(BV$3,坦克标准养成属性!$O$3:$AA$3,0),FALSE)</f>
        <v>448</v>
      </c>
      <c r="BW31" s="96">
        <f ca="1">VLOOKUP($BN31&amp;$BQ31,坦克标准养成属性!$O$3:$AA$63,MATCH(BW$3,坦克标准养成属性!$O$3:$AA$3,0),FALSE)</f>
        <v>823</v>
      </c>
      <c r="BX31" s="96">
        <f ca="1">VLOOKUP($BN31&amp;$BQ31,坦克标准养成属性!$O$3:$AA$63,MATCH(BX$3,坦克标准养成属性!$O$3:$AA$3,0),FALSE)</f>
        <v>186</v>
      </c>
      <c r="BY31" s="669">
        <f>(VLOOKUP(LEFT(BR31,1)*1,坦克部件!$M$3:$U$9,MATCH("升星属性",坦克部件!$M$3:$U$3,0),FALSE)+VLOOKUP(RIGHT(BR31,1)*1,坦克部件!$W$3:$AA$63,MATCH("累计属性",坦克部件!$W$3:$AA$3,0),FALSE))*2</f>
        <v>537.6</v>
      </c>
      <c r="BZ31" s="96">
        <f t="shared" si="15"/>
        <v>537.6</v>
      </c>
      <c r="CA31" s="96">
        <f t="shared" si="16"/>
        <v>537.6</v>
      </c>
    </row>
    <row r="32" spans="2:79" x14ac:dyDescent="0.35">
      <c r="B32" s="485" t="str">
        <f>坦克个性化设定!B47</f>
        <v>T-32</v>
      </c>
      <c r="C32" s="485" t="str">
        <f>VLOOKUP(B32,坦克个性化设定!$B$18:$E$48,4,FALSE)</f>
        <v>T4</v>
      </c>
      <c r="D32" s="485" t="str">
        <f>坦克个性化细分!J32</f>
        <v>高</v>
      </c>
      <c r="E32" s="485" t="str">
        <f t="shared" si="17"/>
        <v>T4高0</v>
      </c>
      <c r="F32" s="485" t="str">
        <f>VLOOKUP($B32,坦克个性化设定!$B$18:$BB$48,MATCH(F$3,坦克个性化设定!$B$18:$BB$18,0),FALSE)</f>
        <v>重坦</v>
      </c>
      <c r="G32" s="485" t="str">
        <f>VLOOKUP($B32,坦克个性化设定!$B$18:$BB$48,MATCH(G$3,坦克个性化设定!$B$18:$BB$18,0),FALSE)</f>
        <v>重坦单发</v>
      </c>
      <c r="H32" s="485" t="str">
        <f t="shared" si="11"/>
        <v>单发装弹</v>
      </c>
      <c r="I32" s="485">
        <f>VLOOKUP($B32,坦克个性化设定!$B$18:$BB$48,MATCH(I$3,坦克个性化设定!$B$18:$BB$18,0),FALSE)</f>
        <v>7.26</v>
      </c>
      <c r="J32" s="485">
        <f>VLOOKUP($B32,坦克个性化设定!$B$18:$BB$48,MATCH(J$3,坦克个性化设定!$B$18:$BB$18,0),FALSE)</f>
        <v>3.78</v>
      </c>
      <c r="K32" s="485">
        <f>VLOOKUP($B32,坦克个性化设定!$B$18:$BB$48,MATCH(K$3,坦克个性化设定!$B$18:$BB$18,0),FALSE)</f>
        <v>0.3</v>
      </c>
      <c r="L32" s="115">
        <f>VLOOKUP($B32,坦克个性化设定!$B$18:$BB$48,MATCH(L$3,坦克个性化设定!$B$18:$BB$18,0),FALSE)</f>
        <v>1.3221033219826164</v>
      </c>
      <c r="M32" s="115">
        <f>VLOOKUP($B32,坦克个性化设定!$B$18:$BB$48,MATCH(M$3,坦克个性化设定!$B$18:$BB$18,0),FALSE)</f>
        <v>9.6666666666666661</v>
      </c>
      <c r="N32" s="115">
        <f>VLOOKUP($B32,坦克个性化设定!$B$18:$BB$48,MATCH(N$3,坦克个性化设定!$B$18:$BB$18,0),FALSE)</f>
        <v>16.111111111111111</v>
      </c>
      <c r="O32" s="485">
        <f>VLOOKUP($B32,坦克个性化设定!$B$18:$BB$48,MATCH(O$3,坦克个性化设定!$B$18:$BB$18,0),FALSE)</f>
        <v>0.8</v>
      </c>
      <c r="P32" s="485">
        <f>VLOOKUP($B32,坦克个性化设定!$B$18:$BB$48,MATCH(P$3,坦克个性化设定!$B$18:$BB$18,0),FALSE)</f>
        <v>0.8</v>
      </c>
      <c r="Q32" s="485">
        <f>VLOOKUP($B32,坦克个性化设定!$B$18:$BB$48,MATCH(Q$3,坦克个性化设定!$B$18:$BB$18,0),FALSE)</f>
        <v>0.8</v>
      </c>
      <c r="R32" s="485">
        <f>VLOOKUP($B32,坦克个性化设定!$B$18:$BB$48,MATCH(R$3,坦克个性化设定!$B$18:$BB$18,0),FALSE)</f>
        <v>0</v>
      </c>
      <c r="S32" s="115">
        <f>VLOOKUP($B32,坦克个性化设定!$B$51:$T$81,MATCH(S$3,坦克个性化设定!$B$51:$T$51,0),FALSE)</f>
        <v>3</v>
      </c>
      <c r="T32" s="115">
        <f>VLOOKUP($B32,坦克个性化设定!$B$51:$T$81,MATCH(T$3,坦克个性化设定!$B$51:$T$51,0),FALSE)</f>
        <v>3</v>
      </c>
      <c r="U32" s="115">
        <f>VLOOKUP($B32,坦克个性化设定!$B$18:$BB$48,MATCH(U$3,坦克个性化设定!$B$18:$BB$18,0),FALSE)</f>
        <v>0.64</v>
      </c>
      <c r="V32" s="485">
        <f>VLOOKUP($B32,坦克个性化设定!$B$18:$BB$48,MATCH(V$3,坦克个性化设定!$B$18:$BB$18,0),FALSE)</f>
        <v>1</v>
      </c>
      <c r="W32" s="485">
        <f>VLOOKUP($B32,坦克个性化设定!$B$18:$BB$48,MATCH(W$3,坦克个性化设定!$B$18:$BB$18,0),FALSE)</f>
        <v>5</v>
      </c>
      <c r="X32" s="485">
        <f>VLOOKUP($B32,坦克个性化设定!$B$18:$BB$48,MATCH(X$3,坦克个性化设定!$B$18:$BB$18,0),FALSE)</f>
        <v>0.5</v>
      </c>
      <c r="Y32" s="115">
        <f>VLOOKUP($B32,坦克个性化设定!$B$18:$BB$48,MATCH(Y$3,坦克个性化设定!$B$18:$BB$18,0),FALSE)</f>
        <v>7.8329696792107217</v>
      </c>
      <c r="Z32" s="115">
        <f>VLOOKUP($B32,坦克个性化设定!$B$18:$BB$48,MATCH(Z$3,坦克个性化设定!$B$18:$BB$18,0),FALSE)</f>
        <v>48.956060495067014</v>
      </c>
      <c r="AA32" s="115">
        <f>VLOOKUP($B32,坦克个性化设定!$B$18:$BB$48,MATCH(AA$3,坦克个性化设定!$B$18:$BB$18,0),FALSE)</f>
        <v>3.2</v>
      </c>
      <c r="AB32" s="115">
        <f>VLOOKUP($B32,坦克个性化设定!$B$18:$BB$48,MATCH(AB$3,坦克个性化设定!$B$18:$BB$18,0),FALSE)</f>
        <v>9.4500000000000011</v>
      </c>
      <c r="AC32" s="115">
        <f>VLOOKUP($B32,坦克个性化设定!$B$18:$BB$48,MATCH(AC$3,坦克个性化设定!$B$18:$BB$18,0),FALSE)</f>
        <v>5.9523809523809526</v>
      </c>
      <c r="AD32" s="115">
        <f>VLOOKUP($B32,坦克个性化设定!$B$18:$BB$48,MATCH(AD$3,坦克个性化设定!$B$18:$BB$18,0),FALSE)</f>
        <v>4.166666666666667</v>
      </c>
      <c r="AE32" s="115">
        <f>VLOOKUP($B32,坦克个性化设定!$B$18:$BB$48,MATCH(AE$3,坦克个性化设定!$B$18:$BB$18,0),FALSE)</f>
        <v>1.28</v>
      </c>
      <c r="AF32" s="485">
        <f>VLOOKUP($B32,坦克个性化设定!$B$18:$BB$48,MATCH(AF$3,坦克个性化设定!$B$18:$BB$18,0),FALSE)</f>
        <v>0.2</v>
      </c>
      <c r="AG32" s="485">
        <f>VLOOKUP($B32,坦克个性化设定!$B$18:$BB$48,MATCH(AG$3,坦克个性化设定!$B$18:$BB$18,0),FALSE)</f>
        <v>70</v>
      </c>
      <c r="AH32" s="485">
        <f>VLOOKUP($B32,坦克个性化设定!$B$18:$BB$48,MATCH(AH$3,坦克个性化设定!$B$18:$BB$18,0),FALSE)</f>
        <v>110</v>
      </c>
      <c r="AI32" s="485">
        <f>VLOOKUP(B32,坦克个性化细分!$I$3:$P$33,3,FALSE)</f>
        <v>32.9</v>
      </c>
      <c r="AJ32" s="485">
        <f>VLOOKUP(B32,坦克个性化细分!$I$3:$P$33,5,FALSE)</f>
        <v>45.9</v>
      </c>
      <c r="AK32" s="485">
        <f>VLOOKUP(B32,坦克个性化细分!$I$3:$P$33,7,FALSE)</f>
        <v>9.9</v>
      </c>
      <c r="AL32" s="485">
        <f>VLOOKUP($B32,坦克个性化设定!$F$84:$S$114,MATCH(AL$3,坦克个性化设定!$F$84:$S$84,0),FALSE)</f>
        <v>1</v>
      </c>
      <c r="AM32" s="485">
        <f>VLOOKUP($B32,坦克个性化细分!$E$3:$G$33,2,FALSE)</f>
        <v>6</v>
      </c>
      <c r="AN32" s="485">
        <f>VLOOKUP($B32,坦克个性化细分!$E$3:$G$33,3,FALSE)</f>
        <v>0</v>
      </c>
      <c r="AO32" s="115">
        <f t="shared" si="0"/>
        <v>3</v>
      </c>
      <c r="AP32" s="326">
        <f t="shared" ca="1" si="1"/>
        <v>2021</v>
      </c>
      <c r="AQ32" s="326">
        <f t="shared" ca="1" si="2"/>
        <v>391</v>
      </c>
      <c r="AR32" s="326">
        <f t="shared" ca="1" si="3"/>
        <v>647</v>
      </c>
      <c r="AS32" s="326">
        <f t="shared" ca="1" si="4"/>
        <v>518</v>
      </c>
      <c r="AT32" s="326">
        <f t="shared" ca="1" si="5"/>
        <v>865</v>
      </c>
      <c r="AU32" s="326">
        <f t="shared" ca="1" si="6"/>
        <v>196</v>
      </c>
      <c r="AV32" s="326">
        <f t="shared" si="12"/>
        <v>538</v>
      </c>
      <c r="AW32" s="326">
        <f t="shared" si="13"/>
        <v>538</v>
      </c>
      <c r="AX32" s="326">
        <f t="shared" si="14"/>
        <v>538</v>
      </c>
      <c r="AY32" s="485">
        <f t="shared" si="7"/>
        <v>1</v>
      </c>
      <c r="AZ32" s="485">
        <f>基础属性系数!$E$61</f>
        <v>0.35</v>
      </c>
      <c r="BA32" s="485">
        <v>50</v>
      </c>
      <c r="BB32" s="485">
        <v>10</v>
      </c>
      <c r="BC32" s="485">
        <f>VLOOKUP($B32,坦克类型系数!$B$3:$R$33,MATCH(BC$3,坦克类型系数!$B$3:$R$3,0),FALSE)</f>
        <v>2.5499999999999998</v>
      </c>
      <c r="BD32" s="485">
        <f>VLOOKUP($B32,坦克类型系数!$B$3:$R$33,MATCH(BD$3,坦克类型系数!$B$3:$R$3,0),FALSE)</f>
        <v>2.0499999999999998</v>
      </c>
      <c r="BE32" s="517">
        <f>VLOOKUP($B32,坦克类型系数!$B$3:$R$33,MATCH(BE$3,坦克类型系数!$B$3:$R$3,0),FALSE)</f>
        <v>1.5</v>
      </c>
      <c r="BF32" s="485">
        <f>VLOOKUP($B32,坦克类型系数!$B$3:$R$33,MATCH(BF$3,坦克类型系数!$B$3:$R$3,0),FALSE)</f>
        <v>1.5</v>
      </c>
      <c r="BG32" s="485">
        <f>VLOOKUP($B32,坦克类型系数!$B$3:$R$33,MATCH(BG$3,坦克类型系数!$B$3:$R$3,0),FALSE)</f>
        <v>1.1000000000000001</v>
      </c>
      <c r="BH32" s="485">
        <f>VLOOKUP($B32,坦克类型系数!$B$3:$R$33,MATCH(BH$3,坦克类型系数!$B$3:$R$3,0),FALSE)</f>
        <v>0.75</v>
      </c>
      <c r="BI32" s="485">
        <f>VLOOKUP($B32,坦克类型系数!$B$3:$R$33,MATCH(BI$3,坦克类型系数!$B$3:$R$3,0),FALSE)</f>
        <v>0.4</v>
      </c>
      <c r="BJ32" s="275"/>
      <c r="BK32" s="275"/>
      <c r="BL32" s="275"/>
      <c r="BN32" s="178" t="str">
        <f t="shared" si="8"/>
        <v>T-32</v>
      </c>
      <c r="BO32" s="493" t="str">
        <f>VLOOKUP(BN32,坦克个性化设定!$B$18:$E$48,MATCH(BO$3,坦克个性化设定!$B$18:$E$18,0),FALSE)</f>
        <v>T4</v>
      </c>
      <c r="BP32" s="182" t="str">
        <f t="shared" si="9"/>
        <v>高</v>
      </c>
      <c r="BQ32" s="134" t="s">
        <v>800</v>
      </c>
      <c r="BR32" s="689" t="s">
        <v>3293</v>
      </c>
      <c r="BS32" s="96">
        <f ca="1">VLOOKUP($BN32&amp;$BQ32,坦克标准养成属性!$O$3:$AA$63,MATCH(BS$3,坦克标准养成属性!$O$3:$AA$3,0),FALSE)</f>
        <v>2020.6517366513824</v>
      </c>
      <c r="BT32" s="96">
        <f ca="1">VLOOKUP($BN32&amp;$BQ32,坦克标准养成属性!$O$3:$AA$63,MATCH(BT$3,坦克标准养成属性!$O$3:$AA$3,0),FALSE)</f>
        <v>391.47369418091591</v>
      </c>
      <c r="BU32" s="96">
        <f ca="1">VLOOKUP($BN32&amp;$BQ32,坦克标准养成属性!$O$3:$AA$63,MATCH(BU$3,坦克标准养成属性!$O$3:$AA$3,0),FALSE)</f>
        <v>647</v>
      </c>
      <c r="BV32" s="96">
        <f ca="1">VLOOKUP($BN32&amp;$BQ32,坦克标准养成属性!$O$3:$AA$63,MATCH(BV$3,坦克标准养成属性!$O$3:$AA$3,0),FALSE)</f>
        <v>518</v>
      </c>
      <c r="BW32" s="96">
        <f ca="1">VLOOKUP($BN32&amp;$BQ32,坦克标准养成属性!$O$3:$AA$63,MATCH(BW$3,坦克标准养成属性!$O$3:$AA$3,0),FALSE)</f>
        <v>865</v>
      </c>
      <c r="BX32" s="96">
        <f ca="1">VLOOKUP($BN32&amp;$BQ32,坦克标准养成属性!$O$3:$AA$63,MATCH(BX$3,坦克标准养成属性!$O$3:$AA$3,0),FALSE)</f>
        <v>196</v>
      </c>
      <c r="BY32" s="669">
        <f>(VLOOKUP(LEFT(BR32,1)*1,坦克部件!$M$3:$U$9,MATCH("升星属性",坦克部件!$M$3:$U$3,0),FALSE)+VLOOKUP(RIGHT(BR32,1)*1,坦克部件!$W$3:$AA$63,MATCH("累计属性",坦克部件!$W$3:$AA$3,0),FALSE))*2</f>
        <v>537.6</v>
      </c>
      <c r="BZ32" s="96">
        <f t="shared" si="15"/>
        <v>537.6</v>
      </c>
      <c r="CA32" s="96">
        <f t="shared" si="16"/>
        <v>537.6</v>
      </c>
    </row>
    <row r="33" spans="2:79" x14ac:dyDescent="0.35">
      <c r="B33" s="485" t="str">
        <f>坦克个性化设定!B48</f>
        <v>M1A2</v>
      </c>
      <c r="C33" s="485" t="str">
        <f>VLOOKUP(B33,坦克个性化设定!$B$18:$E$48,4,FALSE)</f>
        <v>T5</v>
      </c>
      <c r="D33" s="485" t="str">
        <f>坦克个性化细分!J33</f>
        <v>低</v>
      </c>
      <c r="E33" s="485" t="str">
        <f t="shared" si="17"/>
        <v>T5低0</v>
      </c>
      <c r="F33" s="485" t="str">
        <f>VLOOKUP($B33,坦克个性化设定!$B$18:$BB$48,MATCH(F$3,坦克个性化设定!$B$18:$BB$18,0),FALSE)</f>
        <v>重坦</v>
      </c>
      <c r="G33" s="485" t="str">
        <f>VLOOKUP($B33,坦克个性化设定!$B$18:$BB$48,MATCH(G$3,坦克个性化设定!$B$18:$BB$18,0),FALSE)</f>
        <v>重坦单发</v>
      </c>
      <c r="H33" s="485" t="str">
        <f t="shared" si="11"/>
        <v>单发装弹</v>
      </c>
      <c r="I33" s="485">
        <f>VLOOKUP($B33,坦克个性化设定!$B$18:$BB$48,MATCH(I$3,坦克个性化设定!$B$18:$BB$18,0),FALSE)</f>
        <v>7.75</v>
      </c>
      <c r="J33" s="485">
        <f>VLOOKUP($B33,坦克个性化设定!$B$18:$BB$48,MATCH(J$3,坦克个性化设定!$B$18:$BB$18,0),FALSE)</f>
        <v>3.46</v>
      </c>
      <c r="K33" s="485">
        <f>VLOOKUP($B33,坦克个性化设定!$B$18:$BB$48,MATCH(K$3,坦克个性化设定!$B$18:$BB$18,0),FALSE)</f>
        <v>0.3</v>
      </c>
      <c r="L33" s="115">
        <f>VLOOKUP($B33,坦克个性化设定!$B$18:$BB$48,MATCH(L$3,坦克个性化设定!$B$18:$BB$18,0),FALSE)</f>
        <v>1.3221033219826164</v>
      </c>
      <c r="M33" s="115">
        <f>VLOOKUP($B33,坦克个性化设定!$B$18:$BB$48,MATCH(M$3,坦克个性化设定!$B$18:$BB$18,0),FALSE)</f>
        <v>9.6666666666666661</v>
      </c>
      <c r="N33" s="115">
        <f>VLOOKUP($B33,坦克个性化设定!$B$18:$BB$48,MATCH(N$3,坦克个性化设定!$B$18:$BB$18,0),FALSE)</f>
        <v>16.111111111111111</v>
      </c>
      <c r="O33" s="485">
        <f>VLOOKUP($B33,坦克个性化设定!$B$18:$BB$48,MATCH(O$3,坦克个性化设定!$B$18:$BB$18,0),FALSE)</f>
        <v>0.8</v>
      </c>
      <c r="P33" s="485">
        <f>VLOOKUP($B33,坦克个性化设定!$B$18:$BB$48,MATCH(P$3,坦克个性化设定!$B$18:$BB$18,0),FALSE)</f>
        <v>0.8</v>
      </c>
      <c r="Q33" s="485">
        <f>VLOOKUP($B33,坦克个性化设定!$B$18:$BB$48,MATCH(Q$3,坦克个性化设定!$B$18:$BB$18,0),FALSE)</f>
        <v>0.8</v>
      </c>
      <c r="R33" s="485">
        <f>VLOOKUP($B33,坦克个性化设定!$B$18:$BB$48,MATCH(R$3,坦克个性化设定!$B$18:$BB$18,0),FALSE)</f>
        <v>0</v>
      </c>
      <c r="S33" s="115">
        <f>VLOOKUP($B33,坦克个性化设定!$B$51:$T$81,MATCH(S$3,坦克个性化设定!$B$51:$T$51,0),FALSE)</f>
        <v>3</v>
      </c>
      <c r="T33" s="115">
        <f>VLOOKUP($B33,坦克个性化设定!$B$51:$T$81,MATCH(T$3,坦克个性化设定!$B$51:$T$51,0),FALSE)</f>
        <v>3</v>
      </c>
      <c r="U33" s="115">
        <f>VLOOKUP($B33,坦克个性化设定!$B$18:$BB$48,MATCH(U$3,坦克个性化设定!$B$18:$BB$18,0),FALSE)</f>
        <v>0.74</v>
      </c>
      <c r="V33" s="485">
        <f>VLOOKUP($B33,坦克个性化设定!$B$18:$BB$48,MATCH(V$3,坦克个性化设定!$B$18:$BB$18,0),FALSE)</f>
        <v>1</v>
      </c>
      <c r="W33" s="485">
        <f>VLOOKUP($B33,坦克个性化设定!$B$18:$BB$48,MATCH(W$3,坦克个性化设定!$B$18:$BB$18,0),FALSE)</f>
        <v>5</v>
      </c>
      <c r="X33" s="485">
        <f>VLOOKUP($B33,坦克个性化设定!$B$18:$BB$48,MATCH(X$3,坦克个性化设定!$B$18:$BB$18,0),FALSE)</f>
        <v>0.5</v>
      </c>
      <c r="Y33" s="115">
        <f>VLOOKUP($B33,坦克个性化设定!$B$18:$BB$48,MATCH(Y$3,坦克个性化设定!$B$18:$BB$18,0),FALSE)</f>
        <v>7.8329696792107217</v>
      </c>
      <c r="Z33" s="115">
        <f>VLOOKUP($B33,坦克个性化设定!$B$18:$BB$48,MATCH(Z$3,坦克个性化设定!$B$18:$BB$18,0),FALSE)</f>
        <v>48.956060495067014</v>
      </c>
      <c r="AA33" s="115">
        <f>VLOOKUP($B33,坦克个性化设定!$B$18:$BB$48,MATCH(AA$3,坦克个性化设定!$B$18:$BB$18,0),FALSE)</f>
        <v>3.2</v>
      </c>
      <c r="AB33" s="115">
        <f>VLOOKUP($B33,坦克个性化设定!$B$18:$BB$48,MATCH(AB$3,坦克个性化设定!$B$18:$BB$18,0),FALSE)</f>
        <v>9.4500000000000011</v>
      </c>
      <c r="AC33" s="115">
        <f>VLOOKUP($B33,坦克个性化设定!$B$18:$BB$48,MATCH(AC$3,坦克个性化设定!$B$18:$BB$18,0),FALSE)</f>
        <v>5.9523809523809526</v>
      </c>
      <c r="AD33" s="115">
        <f>VLOOKUP($B33,坦克个性化设定!$B$18:$BB$48,MATCH(AD$3,坦克个性化设定!$B$18:$BB$18,0),FALSE)</f>
        <v>4.166666666666667</v>
      </c>
      <c r="AE33" s="115">
        <f>VLOOKUP($B33,坦克个性化设定!$B$18:$BB$48,MATCH(AE$3,坦克个性化设定!$B$18:$BB$18,0),FALSE)</f>
        <v>1.28</v>
      </c>
      <c r="AF33" s="485">
        <f>VLOOKUP($B33,坦克个性化设定!$B$18:$BB$48,MATCH(AF$3,坦克个性化设定!$B$18:$BB$18,0),FALSE)</f>
        <v>0.2</v>
      </c>
      <c r="AG33" s="485">
        <f>VLOOKUP($B33,坦克个性化设定!$B$18:$BB$48,MATCH(AG$3,坦克个性化设定!$B$18:$BB$18,0),FALSE)</f>
        <v>70</v>
      </c>
      <c r="AH33" s="485">
        <f>VLOOKUP($B33,坦克个性化设定!$B$18:$BB$48,MATCH(AH$3,坦克个性化设定!$B$18:$BB$18,0),FALSE)</f>
        <v>110</v>
      </c>
      <c r="AI33" s="485">
        <f>VLOOKUP(B33,坦克个性化细分!$I$3:$P$33,3,FALSE)</f>
        <v>31.3</v>
      </c>
      <c r="AJ33" s="485">
        <f>VLOOKUP(B33,坦克个性化细分!$I$3:$P$33,5,FALSE)</f>
        <v>43.8</v>
      </c>
      <c r="AK33" s="485">
        <f>VLOOKUP(B33,坦克个性化细分!$I$3:$P$33,7,FALSE)</f>
        <v>9.5</v>
      </c>
      <c r="AL33" s="485">
        <f>VLOOKUP($B33,坦克个性化设定!$F$84:$S$114,MATCH(AL$3,坦克个性化设定!$F$84:$S$84,0),FALSE)</f>
        <v>1</v>
      </c>
      <c r="AM33" s="485">
        <f>VLOOKUP($B33,坦克个性化细分!$E$3:$G$33,2,FALSE)</f>
        <v>6</v>
      </c>
      <c r="AN33" s="485">
        <f>VLOOKUP($B33,坦克个性化细分!$E$3:$G$33,3,FALSE)</f>
        <v>0</v>
      </c>
      <c r="AO33" s="115">
        <f t="shared" si="0"/>
        <v>3</v>
      </c>
      <c r="AP33" s="326">
        <f t="shared" ca="1" si="1"/>
        <v>2397</v>
      </c>
      <c r="AQ33" s="326">
        <f t="shared" ca="1" si="2"/>
        <v>448</v>
      </c>
      <c r="AR33" s="326">
        <f t="shared" ca="1" si="3"/>
        <v>754</v>
      </c>
      <c r="AS33" s="326">
        <f t="shared" ca="1" si="4"/>
        <v>603</v>
      </c>
      <c r="AT33" s="326">
        <f t="shared" ca="1" si="5"/>
        <v>1008</v>
      </c>
      <c r="AU33" s="326">
        <f t="shared" ca="1" si="6"/>
        <v>228</v>
      </c>
      <c r="AV33" s="326">
        <f t="shared" si="12"/>
        <v>538</v>
      </c>
      <c r="AW33" s="326">
        <f t="shared" si="13"/>
        <v>538</v>
      </c>
      <c r="AX33" s="326">
        <f t="shared" si="14"/>
        <v>538</v>
      </c>
      <c r="AY33" s="485">
        <f t="shared" si="7"/>
        <v>1</v>
      </c>
      <c r="AZ33" s="485">
        <f>基础属性系数!$E$61</f>
        <v>0.35</v>
      </c>
      <c r="BA33" s="485">
        <v>50</v>
      </c>
      <c r="BB33" s="485">
        <v>10</v>
      </c>
      <c r="BC33" s="485">
        <f>VLOOKUP($B33,坦克类型系数!$B$3:$R$33,MATCH(BC$3,坦克类型系数!$B$3:$R$3,0),FALSE)</f>
        <v>2.4</v>
      </c>
      <c r="BD33" s="485">
        <f>VLOOKUP($B33,坦克类型系数!$B$3:$R$33,MATCH(BD$3,坦克类型系数!$B$3:$R$3,0),FALSE)</f>
        <v>1.6500000000000001</v>
      </c>
      <c r="BE33" s="517">
        <f>VLOOKUP($B33,坦克类型系数!$B$3:$R$33,MATCH(BE$3,坦克类型系数!$B$3:$R$3,0),FALSE)</f>
        <v>1.25</v>
      </c>
      <c r="BF33" s="485">
        <f>VLOOKUP($B33,坦克类型系数!$B$3:$R$33,MATCH(BF$3,坦克类型系数!$B$3:$R$3,0),FALSE)</f>
        <v>1.25</v>
      </c>
      <c r="BG33" s="485">
        <f>VLOOKUP($B33,坦克类型系数!$B$3:$R$33,MATCH(BG$3,坦克类型系数!$B$3:$R$3,0),FALSE)</f>
        <v>0.95</v>
      </c>
      <c r="BH33" s="485">
        <f>VLOOKUP($B33,坦克类型系数!$B$3:$R$33,MATCH(BH$3,坦克类型系数!$B$3:$R$3,0),FALSE)</f>
        <v>0.65</v>
      </c>
      <c r="BI33" s="485">
        <f>VLOOKUP($B33,坦克类型系数!$B$3:$R$33,MATCH(BI$3,坦克类型系数!$B$3:$R$3,0),FALSE)</f>
        <v>0.4</v>
      </c>
      <c r="BJ33" s="275"/>
      <c r="BN33" s="178" t="str">
        <f t="shared" si="8"/>
        <v>M1A2</v>
      </c>
      <c r="BO33" s="493" t="str">
        <f>VLOOKUP(BN33,坦克个性化设定!$B$18:$E$48,MATCH(BO$3,坦克个性化设定!$B$18:$E$18,0),FALSE)</f>
        <v>T5</v>
      </c>
      <c r="BP33" s="182" t="str">
        <f t="shared" si="9"/>
        <v>低</v>
      </c>
      <c r="BQ33" s="134" t="s">
        <v>800</v>
      </c>
      <c r="BR33" s="689" t="s">
        <v>3293</v>
      </c>
      <c r="BS33" s="96">
        <f ca="1">VLOOKUP($BN33&amp;$BQ33,坦克标准养成属性!$O$3:$AA$63,MATCH(BS$3,坦克标准养成属性!$O$3:$AA$3,0),FALSE)</f>
        <v>2396.7126079481309</v>
      </c>
      <c r="BT33" s="96">
        <f ca="1">VLOOKUP($BN33&amp;$BQ33,坦克标准养成属性!$O$3:$AA$63,MATCH(BT$3,坦克标准养成属性!$O$3:$AA$3,0),FALSE)</f>
        <v>448.26025299702974</v>
      </c>
      <c r="BU33" s="96">
        <f ca="1">VLOOKUP($BN33&amp;$BQ33,坦克标准养成属性!$O$3:$AA$63,MATCH(BU$3,坦克标准养成属性!$O$3:$AA$3,0),FALSE)</f>
        <v>754</v>
      </c>
      <c r="BV33" s="96">
        <f ca="1">VLOOKUP($BN33&amp;$BQ33,坦克标准养成属性!$O$3:$AA$63,MATCH(BV$3,坦克标准养成属性!$O$3:$AA$3,0),FALSE)</f>
        <v>603</v>
      </c>
      <c r="BW33" s="96">
        <f ca="1">VLOOKUP($BN33&amp;$BQ33,坦克标准养成属性!$O$3:$AA$63,MATCH(BW$3,坦克标准养成属性!$O$3:$AA$3,0),FALSE)</f>
        <v>1008</v>
      </c>
      <c r="BX33" s="96">
        <f ca="1">VLOOKUP($BN33&amp;$BQ33,坦克标准养成属性!$O$3:$AA$63,MATCH(BX$3,坦克标准养成属性!$O$3:$AA$3,0),FALSE)</f>
        <v>228</v>
      </c>
      <c r="BY33" s="669">
        <f>(VLOOKUP(LEFT(BR33,1)*1,坦克部件!$M$3:$U$9,MATCH("升星属性",坦克部件!$M$3:$U$3,0),FALSE)+VLOOKUP(RIGHT(BR33,1)*1,坦克部件!$W$3:$AA$63,MATCH("累计属性",坦克部件!$W$3:$AA$3,0),FALSE))*2</f>
        <v>537.6</v>
      </c>
      <c r="BZ33" s="96">
        <f t="shared" si="15"/>
        <v>537.6</v>
      </c>
      <c r="CA33" s="96">
        <f t="shared" si="16"/>
        <v>537.6</v>
      </c>
    </row>
  </sheetData>
  <mergeCells count="2">
    <mergeCell ref="BN2:CA2"/>
    <mergeCell ref="B2:BI2"/>
  </mergeCells>
  <phoneticPr fontId="101" type="noConversion"/>
  <pageMargins left="0.7" right="0.7" top="0.75" bottom="0.75" header="0.3" footer="0.3"/>
  <pageSetup paperSize="9" orientation="portrait" r:id="rId1"/>
  <ignoredErrors>
    <ignoredError sqref="H4:H33" formula="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2"/>
  <dimension ref="B3:AC131"/>
  <sheetViews>
    <sheetView workbookViewId="0">
      <selection activeCell="D101" sqref="D101"/>
    </sheetView>
  </sheetViews>
  <sheetFormatPr defaultColWidth="9" defaultRowHeight="13" x14ac:dyDescent="0.35"/>
  <cols>
    <col min="1" max="16384" width="9" style="306"/>
  </cols>
  <sheetData>
    <row r="3" spans="2:7" x14ac:dyDescent="0.35">
      <c r="B3" s="304" t="s">
        <v>1382</v>
      </c>
      <c r="C3" s="304" t="s">
        <v>1386</v>
      </c>
    </row>
    <row r="4" spans="2:7" x14ac:dyDescent="0.35">
      <c r="B4" s="304" t="s">
        <v>1383</v>
      </c>
      <c r="C4" s="304">
        <v>30</v>
      </c>
      <c r="D4" s="317">
        <v>0.3</v>
      </c>
    </row>
    <row r="5" spans="2:7" x14ac:dyDescent="0.35">
      <c r="B5" s="304" t="s">
        <v>1384</v>
      </c>
      <c r="C5" s="304">
        <v>15</v>
      </c>
    </row>
    <row r="6" spans="2:7" x14ac:dyDescent="0.35">
      <c r="B6" s="304" t="s">
        <v>1385</v>
      </c>
      <c r="C6" s="304" t="s">
        <v>1387</v>
      </c>
    </row>
    <row r="8" spans="2:7" x14ac:dyDescent="0.35">
      <c r="B8" s="306" t="s">
        <v>1401</v>
      </c>
      <c r="C8" s="306" t="s">
        <v>1402</v>
      </c>
      <c r="D8" s="306" t="s">
        <v>1415</v>
      </c>
    </row>
    <row r="9" spans="2:7" x14ac:dyDescent="0.35">
      <c r="B9" s="306" t="s">
        <v>1388</v>
      </c>
      <c r="D9" s="306" t="s">
        <v>1416</v>
      </c>
      <c r="G9" s="306" t="s">
        <v>1403</v>
      </c>
    </row>
    <row r="10" spans="2:7" x14ac:dyDescent="0.35">
      <c r="B10" s="306" t="s">
        <v>1389</v>
      </c>
      <c r="D10" s="306" t="s">
        <v>1417</v>
      </c>
      <c r="G10" s="322" t="s">
        <v>1642</v>
      </c>
    </row>
    <row r="11" spans="2:7" x14ac:dyDescent="0.35">
      <c r="B11" s="306" t="s">
        <v>1391</v>
      </c>
      <c r="D11" s="306" t="s">
        <v>1418</v>
      </c>
      <c r="G11" s="306" t="s">
        <v>1405</v>
      </c>
    </row>
    <row r="12" spans="2:7" x14ac:dyDescent="0.35">
      <c r="B12" s="306" t="s">
        <v>1392</v>
      </c>
      <c r="D12" s="306" t="s">
        <v>1419</v>
      </c>
      <c r="G12" s="306" t="s">
        <v>1406</v>
      </c>
    </row>
    <row r="13" spans="2:7" x14ac:dyDescent="0.35">
      <c r="B13" s="306" t="s">
        <v>1393</v>
      </c>
      <c r="D13" s="306" t="s">
        <v>1420</v>
      </c>
      <c r="G13" s="306" t="s">
        <v>1407</v>
      </c>
    </row>
    <row r="14" spans="2:7" x14ac:dyDescent="0.35">
      <c r="B14" s="306" t="s">
        <v>1394</v>
      </c>
      <c r="D14" s="306" t="s">
        <v>1421</v>
      </c>
      <c r="G14" s="306" t="s">
        <v>1408</v>
      </c>
    </row>
    <row r="15" spans="2:7" x14ac:dyDescent="0.35">
      <c r="B15" s="306" t="s">
        <v>1395</v>
      </c>
      <c r="D15" s="306" t="s">
        <v>1422</v>
      </c>
      <c r="G15" s="306" t="s">
        <v>1409</v>
      </c>
    </row>
    <row r="16" spans="2:7" x14ac:dyDescent="0.35">
      <c r="B16" s="306" t="s">
        <v>1399</v>
      </c>
      <c r="D16" s="306" t="s">
        <v>1423</v>
      </c>
      <c r="G16" s="306" t="s">
        <v>1413</v>
      </c>
    </row>
    <row r="17" spans="2:16" x14ac:dyDescent="0.35">
      <c r="B17" s="306" t="s">
        <v>1400</v>
      </c>
      <c r="D17" s="306" t="s">
        <v>1424</v>
      </c>
      <c r="G17" s="306" t="s">
        <v>1414</v>
      </c>
    </row>
    <row r="19" spans="2:16" x14ac:dyDescent="0.35">
      <c r="P19" s="354" t="s">
        <v>1752</v>
      </c>
    </row>
    <row r="20" spans="2:16" x14ac:dyDescent="0.35">
      <c r="B20" s="315" t="s">
        <v>1590</v>
      </c>
      <c r="C20" s="354" t="s">
        <v>1751</v>
      </c>
      <c r="D20" s="315" t="s">
        <v>1591</v>
      </c>
      <c r="E20" s="315" t="s">
        <v>1594</v>
      </c>
      <c r="F20" s="315" t="s">
        <v>1592</v>
      </c>
      <c r="G20" s="315" t="s">
        <v>1593</v>
      </c>
      <c r="H20" s="315" t="s">
        <v>1596</v>
      </c>
      <c r="I20" s="315" t="s">
        <v>1597</v>
      </c>
      <c r="J20" s="315" t="s">
        <v>1595</v>
      </c>
      <c r="K20" s="317">
        <v>0.1</v>
      </c>
      <c r="L20" s="318">
        <f>K20+10%</f>
        <v>0.2</v>
      </c>
    </row>
    <row r="21" spans="2:16" x14ac:dyDescent="0.35">
      <c r="K21" s="317">
        <v>0.15</v>
      </c>
      <c r="L21" s="318">
        <f>K21+10%</f>
        <v>0.25</v>
      </c>
    </row>
    <row r="22" spans="2:16" x14ac:dyDescent="0.35">
      <c r="K22" s="317">
        <v>0.2</v>
      </c>
      <c r="L22" s="318">
        <f>K22+10%</f>
        <v>0.30000000000000004</v>
      </c>
      <c r="M22" s="306">
        <f>2/0.3</f>
        <v>6.666666666666667</v>
      </c>
      <c r="N22" s="306">
        <f>(M22+2)*5</f>
        <v>43.333333333333343</v>
      </c>
    </row>
    <row r="25" spans="2:16" x14ac:dyDescent="0.35">
      <c r="B25" s="306" t="s">
        <v>1398</v>
      </c>
      <c r="G25" s="306" t="s">
        <v>1412</v>
      </c>
    </row>
    <row r="26" spans="2:16" x14ac:dyDescent="0.35">
      <c r="B26" s="306" t="s">
        <v>1396</v>
      </c>
      <c r="G26" s="306" t="s">
        <v>1410</v>
      </c>
    </row>
    <row r="27" spans="2:16" x14ac:dyDescent="0.35">
      <c r="B27" s="306" t="s">
        <v>1397</v>
      </c>
      <c r="G27" s="306" t="s">
        <v>1411</v>
      </c>
    </row>
    <row r="28" spans="2:16" x14ac:dyDescent="0.35">
      <c r="B28" s="306" t="s">
        <v>1390</v>
      </c>
      <c r="G28" s="306" t="s">
        <v>1404</v>
      </c>
    </row>
    <row r="32" spans="2:16" x14ac:dyDescent="0.35">
      <c r="J32" s="323" t="s">
        <v>1645</v>
      </c>
      <c r="K32" s="323" t="s">
        <v>1651</v>
      </c>
      <c r="L32" s="323" t="s">
        <v>1656</v>
      </c>
      <c r="M32" s="323" t="s">
        <v>1658</v>
      </c>
      <c r="N32" s="323" t="s">
        <v>1646</v>
      </c>
      <c r="O32" s="323" t="s">
        <v>1647</v>
      </c>
      <c r="P32" s="323" t="s">
        <v>1648</v>
      </c>
    </row>
    <row r="33" spans="2:22" x14ac:dyDescent="0.35">
      <c r="B33" s="306" t="s">
        <v>1606</v>
      </c>
      <c r="E33" s="306" t="s">
        <v>1607</v>
      </c>
      <c r="H33" s="317">
        <v>0.05</v>
      </c>
      <c r="J33" s="317">
        <v>1</v>
      </c>
      <c r="K33" s="323" t="s">
        <v>1652</v>
      </c>
      <c r="N33" s="317">
        <v>0.05</v>
      </c>
      <c r="O33" s="306">
        <v>1</v>
      </c>
      <c r="P33" s="306">
        <v>0</v>
      </c>
    </row>
    <row r="34" spans="2:22" x14ac:dyDescent="0.35">
      <c r="B34" s="306" t="s">
        <v>1608</v>
      </c>
      <c r="E34" s="306" t="s">
        <v>1609</v>
      </c>
      <c r="H34" s="322" t="s">
        <v>1643</v>
      </c>
      <c r="J34" s="317">
        <v>0.3</v>
      </c>
      <c r="K34" s="323" t="s">
        <v>1653</v>
      </c>
      <c r="N34" s="317">
        <v>0.15</v>
      </c>
      <c r="O34" s="306">
        <v>8</v>
      </c>
      <c r="P34" s="306">
        <v>0</v>
      </c>
      <c r="Q34" s="323" t="s">
        <v>1649</v>
      </c>
    </row>
    <row r="35" spans="2:22" x14ac:dyDescent="0.35">
      <c r="B35" s="306" t="s">
        <v>1610</v>
      </c>
      <c r="E35" s="306" t="s">
        <v>1611</v>
      </c>
      <c r="J35" s="317">
        <v>1</v>
      </c>
      <c r="K35" s="323" t="s">
        <v>1654</v>
      </c>
      <c r="N35" s="317">
        <v>0.2</v>
      </c>
      <c r="O35" s="306">
        <v>10</v>
      </c>
      <c r="P35" s="306">
        <v>60</v>
      </c>
      <c r="Q35" s="323" t="s">
        <v>1650</v>
      </c>
    </row>
    <row r="36" spans="2:22" x14ac:dyDescent="0.35">
      <c r="B36" s="306" t="s">
        <v>1612</v>
      </c>
      <c r="E36" s="306" t="s">
        <v>1613</v>
      </c>
      <c r="J36" s="317">
        <v>1</v>
      </c>
      <c r="K36" s="323" t="s">
        <v>1655</v>
      </c>
      <c r="L36" s="323" t="s">
        <v>1657</v>
      </c>
      <c r="M36" s="324" t="s">
        <v>1659</v>
      </c>
    </row>
    <row r="37" spans="2:22" x14ac:dyDescent="0.35">
      <c r="B37" s="306" t="s">
        <v>1614</v>
      </c>
      <c r="E37" s="306" t="s">
        <v>1615</v>
      </c>
    </row>
    <row r="38" spans="2:22" x14ac:dyDescent="0.35">
      <c r="B38" s="306" t="s">
        <v>1616</v>
      </c>
      <c r="E38" s="306" t="s">
        <v>1617</v>
      </c>
    </row>
    <row r="39" spans="2:22" x14ac:dyDescent="0.35">
      <c r="B39" s="306" t="s">
        <v>1618</v>
      </c>
      <c r="E39" s="306" t="s">
        <v>1619</v>
      </c>
      <c r="S39" s="331" t="s">
        <v>1677</v>
      </c>
    </row>
    <row r="40" spans="2:22" x14ac:dyDescent="0.35">
      <c r="B40" s="306" t="s">
        <v>1620</v>
      </c>
      <c r="E40" s="306" t="s">
        <v>1621</v>
      </c>
      <c r="R40" s="331" t="s">
        <v>1678</v>
      </c>
    </row>
    <row r="41" spans="2:22" x14ac:dyDescent="0.35">
      <c r="B41" s="306" t="s">
        <v>1622</v>
      </c>
      <c r="E41" s="306" t="s">
        <v>1623</v>
      </c>
      <c r="R41" s="331" t="s">
        <v>1679</v>
      </c>
    </row>
    <row r="42" spans="2:22" x14ac:dyDescent="0.35">
      <c r="B42" s="306" t="s">
        <v>1624</v>
      </c>
      <c r="E42" s="306" t="s">
        <v>1625</v>
      </c>
      <c r="R42" s="331" t="s">
        <v>1680</v>
      </c>
    </row>
    <row r="43" spans="2:22" x14ac:dyDescent="0.35">
      <c r="B43" s="306" t="s">
        <v>1626</v>
      </c>
      <c r="E43" s="306" t="s">
        <v>1627</v>
      </c>
      <c r="R43" s="346" t="s">
        <v>1750</v>
      </c>
      <c r="V43" s="331"/>
    </row>
    <row r="44" spans="2:22" x14ac:dyDescent="0.35">
      <c r="B44" s="306" t="s">
        <v>1628</v>
      </c>
      <c r="E44" s="306" t="s">
        <v>1629</v>
      </c>
      <c r="R44" s="331" t="s">
        <v>1681</v>
      </c>
    </row>
    <row r="45" spans="2:22" x14ac:dyDescent="0.35">
      <c r="B45" s="306" t="s">
        <v>1630</v>
      </c>
      <c r="E45" s="306" t="s">
        <v>1631</v>
      </c>
    </row>
    <row r="46" spans="2:22" x14ac:dyDescent="0.35">
      <c r="B46" s="306" t="s">
        <v>1632</v>
      </c>
      <c r="E46" s="306" t="s">
        <v>1633</v>
      </c>
    </row>
    <row r="47" spans="2:22" x14ac:dyDescent="0.35">
      <c r="B47" s="306" t="s">
        <v>1634</v>
      </c>
      <c r="E47" s="306" t="s">
        <v>1635</v>
      </c>
      <c r="R47" s="331" t="s">
        <v>1682</v>
      </c>
      <c r="V47" s="331"/>
    </row>
    <row r="48" spans="2:22" x14ac:dyDescent="0.35">
      <c r="B48" s="306" t="s">
        <v>1636</v>
      </c>
      <c r="E48" s="306" t="s">
        <v>1637</v>
      </c>
      <c r="R48" s="331" t="s">
        <v>1683</v>
      </c>
    </row>
    <row r="49" spans="2:29" x14ac:dyDescent="0.35">
      <c r="B49" s="306" t="s">
        <v>1638</v>
      </c>
      <c r="E49" s="306" t="s">
        <v>1639</v>
      </c>
      <c r="R49" s="331" t="s">
        <v>1684</v>
      </c>
      <c r="AC49" s="306" t="s">
        <v>2453</v>
      </c>
    </row>
    <row r="50" spans="2:29" x14ac:dyDescent="0.35">
      <c r="B50" s="306" t="s">
        <v>1640</v>
      </c>
      <c r="E50" s="306" t="s">
        <v>1641</v>
      </c>
      <c r="AC50" s="306" t="s">
        <v>2454</v>
      </c>
    </row>
    <row r="51" spans="2:29" x14ac:dyDescent="0.35">
      <c r="AC51" s="306" t="s">
        <v>2455</v>
      </c>
    </row>
    <row r="52" spans="2:29" x14ac:dyDescent="0.35">
      <c r="AC52" s="545" t="s">
        <v>2459</v>
      </c>
    </row>
    <row r="53" spans="2:29" x14ac:dyDescent="0.35">
      <c r="AC53" s="306" t="s">
        <v>2456</v>
      </c>
    </row>
    <row r="54" spans="2:29" x14ac:dyDescent="0.35">
      <c r="AC54" s="306" t="s">
        <v>2457</v>
      </c>
    </row>
    <row r="55" spans="2:29" x14ac:dyDescent="0.35">
      <c r="S55" s="346" t="s">
        <v>1743</v>
      </c>
      <c r="T55" s="346" t="s">
        <v>1744</v>
      </c>
      <c r="U55" s="346" t="s">
        <v>1745</v>
      </c>
      <c r="V55" s="346" t="s">
        <v>1746</v>
      </c>
      <c r="W55" s="346" t="s">
        <v>1747</v>
      </c>
      <c r="X55" s="346" t="s">
        <v>1748</v>
      </c>
    </row>
    <row r="56" spans="2:29" x14ac:dyDescent="0.35">
      <c r="B56" s="344">
        <v>38</v>
      </c>
      <c r="C56" s="306" t="s">
        <v>1606</v>
      </c>
      <c r="D56" s="307" t="s">
        <v>1694</v>
      </c>
      <c r="J56" s="346" t="s">
        <v>1707</v>
      </c>
      <c r="K56" s="306">
        <f>COUNTIF(J56:J70,J56)</f>
        <v>5</v>
      </c>
      <c r="N56" s="306">
        <v>52</v>
      </c>
      <c r="O56" s="306" t="s">
        <v>1388</v>
      </c>
      <c r="P56" s="307" t="s">
        <v>1403</v>
      </c>
    </row>
    <row r="57" spans="2:29" x14ac:dyDescent="0.35">
      <c r="B57" s="344">
        <v>39</v>
      </c>
      <c r="C57" s="306" t="s">
        <v>1608</v>
      </c>
      <c r="D57" s="307" t="s">
        <v>1695</v>
      </c>
      <c r="J57" s="346" t="s">
        <v>1708</v>
      </c>
      <c r="K57" s="306">
        <f>COUNTIF(J57:J71,J57)</f>
        <v>5</v>
      </c>
      <c r="N57" s="306">
        <v>2</v>
      </c>
      <c r="O57" s="306" t="s">
        <v>1389</v>
      </c>
      <c r="P57" s="307" t="s">
        <v>1719</v>
      </c>
    </row>
    <row r="58" spans="2:29" x14ac:dyDescent="0.35">
      <c r="B58" s="345">
        <v>40</v>
      </c>
      <c r="C58" s="306" t="s">
        <v>1610</v>
      </c>
      <c r="D58" s="307" t="s">
        <v>1696</v>
      </c>
      <c r="J58" s="346" t="s">
        <v>1709</v>
      </c>
      <c r="K58" s="306">
        <f>COUNTIF(J58:J72,J58)</f>
        <v>4</v>
      </c>
      <c r="N58" s="306">
        <v>10</v>
      </c>
      <c r="O58" s="306" t="s">
        <v>1393</v>
      </c>
      <c r="P58" s="307" t="s">
        <v>1407</v>
      </c>
    </row>
    <row r="59" spans="2:29" x14ac:dyDescent="0.35">
      <c r="B59" s="345">
        <v>41</v>
      </c>
      <c r="C59" s="306" t="s">
        <v>1612</v>
      </c>
      <c r="D59" s="307" t="s">
        <v>1697</v>
      </c>
      <c r="J59" s="346" t="s">
        <v>1711</v>
      </c>
    </row>
    <row r="60" spans="2:29" x14ac:dyDescent="0.35">
      <c r="B60" s="345">
        <v>42</v>
      </c>
      <c r="C60" s="306" t="s">
        <v>1614</v>
      </c>
      <c r="D60" s="307" t="s">
        <v>1698</v>
      </c>
      <c r="J60" s="346" t="s">
        <v>1710</v>
      </c>
      <c r="N60" s="306">
        <v>6</v>
      </c>
      <c r="O60" s="306" t="s">
        <v>1391</v>
      </c>
      <c r="P60" s="307" t="s">
        <v>1405</v>
      </c>
      <c r="S60" s="317">
        <v>0.2</v>
      </c>
      <c r="T60" s="306">
        <v>5</v>
      </c>
      <c r="U60" s="306">
        <f>S60/T60</f>
        <v>0.04</v>
      </c>
      <c r="V60" s="306">
        <v>0.04</v>
      </c>
      <c r="W60" s="306">
        <f>U60-V60</f>
        <v>0</v>
      </c>
      <c r="X60" s="306">
        <f>ROUND(W60*AVERAGE(标准坦克设计!O28:Q28)/标准坦克设计!K18*45*标准坦克设计!U28,2)</f>
        <v>0</v>
      </c>
    </row>
    <row r="61" spans="2:29" x14ac:dyDescent="0.35">
      <c r="B61" s="345">
        <v>43</v>
      </c>
      <c r="C61" s="306" t="s">
        <v>1616</v>
      </c>
      <c r="D61" s="307" t="s">
        <v>1699</v>
      </c>
      <c r="J61" s="346" t="s">
        <v>1712</v>
      </c>
      <c r="N61" s="306">
        <v>7</v>
      </c>
      <c r="O61" s="306" t="s">
        <v>1392</v>
      </c>
      <c r="P61" s="307" t="s">
        <v>1406</v>
      </c>
      <c r="S61" s="317">
        <v>0.2</v>
      </c>
      <c r="T61" s="306">
        <v>5</v>
      </c>
      <c r="U61" s="306">
        <f>S61/T61</f>
        <v>0.04</v>
      </c>
      <c r="V61" s="306">
        <v>0.02</v>
      </c>
      <c r="W61" s="306">
        <f>U61-V61</f>
        <v>0.02</v>
      </c>
      <c r="X61" s="306">
        <f>ROUND(W61*AVERAGE(标准坦克设计!O26:Q26)/标准坦克设计!K16*45*标准坦克设计!U26,2)</f>
        <v>1.58</v>
      </c>
    </row>
    <row r="62" spans="2:29" x14ac:dyDescent="0.35">
      <c r="B62" s="345">
        <v>44</v>
      </c>
      <c r="C62" s="306" t="s">
        <v>1618</v>
      </c>
      <c r="D62" s="307" t="s">
        <v>1700</v>
      </c>
      <c r="J62" s="346" t="s">
        <v>1707</v>
      </c>
      <c r="N62" s="306">
        <v>51</v>
      </c>
      <c r="O62" s="306" t="s">
        <v>1394</v>
      </c>
      <c r="P62" s="307" t="s">
        <v>1408</v>
      </c>
    </row>
    <row r="63" spans="2:29" x14ac:dyDescent="0.35">
      <c r="B63" s="345">
        <v>45</v>
      </c>
      <c r="C63" s="306" t="s">
        <v>1620</v>
      </c>
      <c r="D63" s="307" t="s">
        <v>1701</v>
      </c>
      <c r="N63" s="306">
        <v>53</v>
      </c>
      <c r="O63" s="306" t="s">
        <v>1399</v>
      </c>
      <c r="P63" s="307" t="s">
        <v>1413</v>
      </c>
      <c r="S63" s="317">
        <v>0.25</v>
      </c>
      <c r="T63" s="306">
        <v>2</v>
      </c>
      <c r="V63" s="306">
        <f>S63/T63</f>
        <v>0.125</v>
      </c>
      <c r="Y63" s="545" t="s">
        <v>2458</v>
      </c>
    </row>
    <row r="64" spans="2:29" x14ac:dyDescent="0.35">
      <c r="B64" s="345">
        <v>46</v>
      </c>
      <c r="C64" s="306" t="s">
        <v>1622</v>
      </c>
      <c r="D64" s="307" t="s">
        <v>1702</v>
      </c>
      <c r="J64" s="346" t="s">
        <v>1710</v>
      </c>
      <c r="K64" s="346" t="s">
        <v>1718</v>
      </c>
      <c r="N64" s="306">
        <v>54</v>
      </c>
      <c r="O64" s="306" t="s">
        <v>1400</v>
      </c>
      <c r="P64" s="351" t="s">
        <v>1749</v>
      </c>
      <c r="S64" s="317">
        <v>0.4</v>
      </c>
      <c r="T64" s="306">
        <v>6</v>
      </c>
      <c r="V64" s="306">
        <f>S64/T64</f>
        <v>6.6666666666666666E-2</v>
      </c>
    </row>
    <row r="65" spans="2:22" x14ac:dyDescent="0.35">
      <c r="B65" s="345">
        <v>47</v>
      </c>
      <c r="C65" s="306" t="s">
        <v>1624</v>
      </c>
      <c r="D65" s="307" t="s">
        <v>1703</v>
      </c>
      <c r="J65" s="346" t="s">
        <v>1713</v>
      </c>
      <c r="N65" s="306">
        <v>55</v>
      </c>
      <c r="O65" s="306" t="s">
        <v>1720</v>
      </c>
      <c r="P65" s="307" t="s">
        <v>1721</v>
      </c>
      <c r="S65" s="317">
        <v>0.15</v>
      </c>
      <c r="T65" s="306">
        <v>3</v>
      </c>
      <c r="V65" s="306">
        <f>S65/T65</f>
        <v>4.9999999999999996E-2</v>
      </c>
    </row>
    <row r="66" spans="2:22" x14ac:dyDescent="0.35">
      <c r="B66" s="345">
        <v>48</v>
      </c>
      <c r="C66" s="306" t="s">
        <v>1626</v>
      </c>
      <c r="D66" s="307" t="s">
        <v>1704</v>
      </c>
      <c r="J66" s="346" t="s">
        <v>1714</v>
      </c>
    </row>
    <row r="67" spans="2:22" x14ac:dyDescent="0.35">
      <c r="B67" s="345">
        <v>49</v>
      </c>
      <c r="C67" s="306" t="s">
        <v>1628</v>
      </c>
      <c r="D67" s="307" t="s">
        <v>1705</v>
      </c>
      <c r="J67" s="346" t="s">
        <v>1715</v>
      </c>
    </row>
    <row r="68" spans="2:22" x14ac:dyDescent="0.35">
      <c r="B68" s="306">
        <v>3</v>
      </c>
      <c r="C68" s="306" t="s">
        <v>1630</v>
      </c>
      <c r="D68" s="307" t="s">
        <v>1631</v>
      </c>
      <c r="J68" s="346" t="s">
        <v>1717</v>
      </c>
    </row>
    <row r="69" spans="2:22" x14ac:dyDescent="0.35">
      <c r="B69" s="345">
        <v>21</v>
      </c>
      <c r="C69" s="306" t="s">
        <v>1632</v>
      </c>
      <c r="D69" s="307" t="s">
        <v>1706</v>
      </c>
      <c r="J69" s="346" t="s">
        <v>1716</v>
      </c>
      <c r="O69" s="306" t="s">
        <v>1396</v>
      </c>
      <c r="P69" s="307" t="s">
        <v>1410</v>
      </c>
    </row>
    <row r="70" spans="2:22" x14ac:dyDescent="0.35">
      <c r="B70" s="345">
        <v>36</v>
      </c>
      <c r="C70" s="306" t="s">
        <v>1636</v>
      </c>
      <c r="D70" s="307" t="s">
        <v>1637</v>
      </c>
      <c r="J70" s="346" t="s">
        <v>1711</v>
      </c>
      <c r="O70" s="306" t="s">
        <v>1397</v>
      </c>
      <c r="P70" s="307" t="s">
        <v>1411</v>
      </c>
    </row>
    <row r="74" spans="2:22" x14ac:dyDescent="0.35">
      <c r="B74" s="306" t="s">
        <v>1606</v>
      </c>
      <c r="C74" s="306">
        <v>38</v>
      </c>
      <c r="E74" s="347" t="s">
        <v>1733</v>
      </c>
      <c r="F74" s="347" t="s">
        <v>1722</v>
      </c>
      <c r="G74" s="347" t="s">
        <v>1723</v>
      </c>
      <c r="H74" s="347" t="s">
        <v>1724</v>
      </c>
      <c r="I74" s="347" t="s">
        <v>1725</v>
      </c>
      <c r="J74" s="347" t="s">
        <v>1726</v>
      </c>
      <c r="K74" s="347" t="s">
        <v>1727</v>
      </c>
      <c r="L74" s="347" t="s">
        <v>1728</v>
      </c>
      <c r="M74" s="347" t="s">
        <v>1729</v>
      </c>
      <c r="N74" s="347" t="s">
        <v>1730</v>
      </c>
      <c r="O74" s="347" t="s">
        <v>1731</v>
      </c>
      <c r="P74" s="304"/>
    </row>
    <row r="75" spans="2:22" x14ac:dyDescent="0.35">
      <c r="B75" s="306" t="s">
        <v>1608</v>
      </c>
      <c r="C75" s="306">
        <v>39</v>
      </c>
      <c r="E75" s="304" t="s">
        <v>408</v>
      </c>
      <c r="F75" s="304" t="s">
        <v>1388</v>
      </c>
      <c r="G75" s="304" t="s">
        <v>1399</v>
      </c>
      <c r="H75" s="304" t="s">
        <v>1622</v>
      </c>
      <c r="I75" s="304" t="s">
        <v>1614</v>
      </c>
      <c r="J75" s="304" t="s">
        <v>1626</v>
      </c>
      <c r="K75" s="304">
        <f>VLOOKUP(F75,$B$74:$C$97,2,FALSE)</f>
        <v>52</v>
      </c>
      <c r="L75" s="304">
        <f>VLOOKUP(G75,$B$74:$C$97,2,FALSE)</f>
        <v>53</v>
      </c>
      <c r="M75" s="304">
        <f>VLOOKUP(H75,$B$74:$C$97,2,FALSE)</f>
        <v>46</v>
      </c>
      <c r="N75" s="304">
        <f>VLOOKUP(I75,$B$74:$C$97,2,FALSE)</f>
        <v>42</v>
      </c>
      <c r="O75" s="304">
        <f>VLOOKUP(J75,$B$74:$C$97,2,FALSE)</f>
        <v>48</v>
      </c>
      <c r="P75" s="304" t="str">
        <f>"["&amp;K75&amp;","&amp;L75&amp;","&amp;M75&amp;","&amp;N75&amp;","&amp;O75&amp;"]"</f>
        <v>[52,53,46,42,48]</v>
      </c>
    </row>
    <row r="76" spans="2:22" x14ac:dyDescent="0.35">
      <c r="B76" s="306" t="s">
        <v>1610</v>
      </c>
      <c r="C76" s="306">
        <v>40</v>
      </c>
      <c r="E76" s="304" t="s">
        <v>392</v>
      </c>
      <c r="F76" s="304" t="s">
        <v>1388</v>
      </c>
      <c r="G76" s="304" t="s">
        <v>1399</v>
      </c>
      <c r="H76" s="304" t="s">
        <v>1606</v>
      </c>
      <c r="I76" s="304" t="s">
        <v>1622</v>
      </c>
      <c r="J76" s="304" t="s">
        <v>1626</v>
      </c>
      <c r="K76" s="304">
        <f t="shared" ref="K76:K81" si="0">VLOOKUP(F76,$B$74:$C$97,2,FALSE)</f>
        <v>52</v>
      </c>
      <c r="L76" s="304">
        <f t="shared" ref="L76:L81" si="1">VLOOKUP(G76,$B$74:$C$97,2,FALSE)</f>
        <v>53</v>
      </c>
      <c r="M76" s="304">
        <f t="shared" ref="M76:M81" si="2">VLOOKUP(H76,$B$74:$C$97,2,FALSE)</f>
        <v>38</v>
      </c>
      <c r="N76" s="304">
        <f t="shared" ref="N76:N81" si="3">VLOOKUP(I76,$B$74:$C$97,2,FALSE)</f>
        <v>46</v>
      </c>
      <c r="O76" s="304">
        <f t="shared" ref="O76:O81" si="4">VLOOKUP(J76,$B$74:$C$97,2,FALSE)</f>
        <v>48</v>
      </c>
      <c r="P76" s="304" t="str">
        <f t="shared" ref="P76:P81" si="5">"["&amp;K76&amp;","&amp;L76&amp;","&amp;M76&amp;","&amp;N76&amp;","&amp;O76&amp;"]"</f>
        <v>[52,53,38,46,48]</v>
      </c>
    </row>
    <row r="77" spans="2:22" x14ac:dyDescent="0.35">
      <c r="B77" s="306" t="s">
        <v>1612</v>
      </c>
      <c r="C77" s="306">
        <v>41</v>
      </c>
      <c r="E77" s="304" t="s">
        <v>603</v>
      </c>
      <c r="F77" s="304" t="s">
        <v>1388</v>
      </c>
      <c r="G77" s="304" t="s">
        <v>1392</v>
      </c>
      <c r="H77" s="304" t="s">
        <v>1606</v>
      </c>
      <c r="I77" s="304" t="s">
        <v>1614</v>
      </c>
      <c r="J77" s="304" t="s">
        <v>1618</v>
      </c>
      <c r="K77" s="304">
        <f t="shared" si="0"/>
        <v>52</v>
      </c>
      <c r="L77" s="304">
        <f t="shared" si="1"/>
        <v>7</v>
      </c>
      <c r="M77" s="304">
        <f t="shared" si="2"/>
        <v>38</v>
      </c>
      <c r="N77" s="304">
        <f t="shared" si="3"/>
        <v>42</v>
      </c>
      <c r="O77" s="304">
        <f t="shared" si="4"/>
        <v>44</v>
      </c>
      <c r="P77" s="304" t="str">
        <f t="shared" si="5"/>
        <v>[52,7,38,42,44]</v>
      </c>
    </row>
    <row r="78" spans="2:22" x14ac:dyDescent="0.35">
      <c r="B78" s="306" t="s">
        <v>1614</v>
      </c>
      <c r="C78" s="306">
        <v>42</v>
      </c>
      <c r="E78" s="304" t="s">
        <v>394</v>
      </c>
      <c r="F78" s="304" t="s">
        <v>1393</v>
      </c>
      <c r="G78" s="304" t="s">
        <v>1394</v>
      </c>
      <c r="H78" s="304" t="s">
        <v>1624</v>
      </c>
      <c r="I78" s="304" t="s">
        <v>1632</v>
      </c>
      <c r="J78" s="304" t="s">
        <v>1630</v>
      </c>
      <c r="K78" s="304">
        <f t="shared" si="0"/>
        <v>10</v>
      </c>
      <c r="L78" s="304">
        <f t="shared" si="1"/>
        <v>51</v>
      </c>
      <c r="M78" s="304">
        <f t="shared" si="2"/>
        <v>47</v>
      </c>
      <c r="N78" s="304">
        <f t="shared" si="3"/>
        <v>21</v>
      </c>
      <c r="O78" s="304">
        <f t="shared" si="4"/>
        <v>3</v>
      </c>
      <c r="P78" s="304" t="str">
        <f t="shared" si="5"/>
        <v>[10,51,47,21,3]</v>
      </c>
    </row>
    <row r="79" spans="2:22" x14ac:dyDescent="0.35">
      <c r="B79" s="306" t="s">
        <v>1616</v>
      </c>
      <c r="C79" s="306">
        <v>43</v>
      </c>
      <c r="E79" s="304" t="s">
        <v>393</v>
      </c>
      <c r="F79" s="304" t="s">
        <v>1393</v>
      </c>
      <c r="G79" s="304" t="s">
        <v>1391</v>
      </c>
      <c r="H79" s="304" t="s">
        <v>1610</v>
      </c>
      <c r="I79" s="304" t="s">
        <v>1622</v>
      </c>
      <c r="J79" s="304" t="s">
        <v>1630</v>
      </c>
      <c r="K79" s="304">
        <f t="shared" si="0"/>
        <v>10</v>
      </c>
      <c r="L79" s="304">
        <f t="shared" si="1"/>
        <v>6</v>
      </c>
      <c r="M79" s="304">
        <f t="shared" si="2"/>
        <v>40</v>
      </c>
      <c r="N79" s="304">
        <f t="shared" si="3"/>
        <v>46</v>
      </c>
      <c r="O79" s="304">
        <f t="shared" si="4"/>
        <v>3</v>
      </c>
      <c r="P79" s="304" t="str">
        <f t="shared" si="5"/>
        <v>[10,6,40,46,3]</v>
      </c>
    </row>
    <row r="80" spans="2:22" x14ac:dyDescent="0.35">
      <c r="B80" s="306" t="s">
        <v>1618</v>
      </c>
      <c r="C80" s="306">
        <v>44</v>
      </c>
      <c r="E80" s="304" t="s">
        <v>409</v>
      </c>
      <c r="F80" s="304" t="s">
        <v>1389</v>
      </c>
      <c r="G80" s="304" t="s">
        <v>1720</v>
      </c>
      <c r="H80" s="304" t="s">
        <v>1616</v>
      </c>
      <c r="I80" s="304" t="s">
        <v>1628</v>
      </c>
      <c r="J80" s="304" t="s">
        <v>1636</v>
      </c>
      <c r="K80" s="304">
        <f t="shared" si="0"/>
        <v>2</v>
      </c>
      <c r="L80" s="304">
        <f t="shared" si="1"/>
        <v>55</v>
      </c>
      <c r="M80" s="304">
        <f t="shared" si="2"/>
        <v>43</v>
      </c>
      <c r="N80" s="304">
        <f t="shared" si="3"/>
        <v>49</v>
      </c>
      <c r="O80" s="304">
        <f t="shared" si="4"/>
        <v>36</v>
      </c>
      <c r="P80" s="304" t="str">
        <f t="shared" si="5"/>
        <v>[2,55,43,49,36]</v>
      </c>
    </row>
    <row r="81" spans="2:16" x14ac:dyDescent="0.35">
      <c r="B81" s="306" t="s">
        <v>1620</v>
      </c>
      <c r="C81" s="306">
        <v>45</v>
      </c>
      <c r="E81" s="304" t="s">
        <v>395</v>
      </c>
      <c r="F81" s="304" t="s">
        <v>1389</v>
      </c>
      <c r="G81" s="304" t="s">
        <v>1400</v>
      </c>
      <c r="H81" s="304" t="s">
        <v>1608</v>
      </c>
      <c r="I81" s="304" t="s">
        <v>1612</v>
      </c>
      <c r="J81" s="304" t="s">
        <v>1628</v>
      </c>
      <c r="K81" s="304">
        <f t="shared" si="0"/>
        <v>2</v>
      </c>
      <c r="L81" s="304">
        <f t="shared" si="1"/>
        <v>54</v>
      </c>
      <c r="M81" s="304">
        <f t="shared" si="2"/>
        <v>39</v>
      </c>
      <c r="N81" s="304">
        <f t="shared" si="3"/>
        <v>41</v>
      </c>
      <c r="O81" s="304">
        <f t="shared" si="4"/>
        <v>49</v>
      </c>
      <c r="P81" s="304" t="str">
        <f t="shared" si="5"/>
        <v>[2,54,39,41,49]</v>
      </c>
    </row>
    <row r="82" spans="2:16" x14ac:dyDescent="0.35">
      <c r="B82" s="306" t="s">
        <v>1622</v>
      </c>
      <c r="C82" s="306">
        <v>46</v>
      </c>
    </row>
    <row r="83" spans="2:16" x14ac:dyDescent="0.35">
      <c r="B83" s="306" t="s">
        <v>1624</v>
      </c>
      <c r="C83" s="306">
        <v>47</v>
      </c>
    </row>
    <row r="84" spans="2:16" x14ac:dyDescent="0.35">
      <c r="B84" s="306" t="s">
        <v>1626</v>
      </c>
      <c r="C84" s="306">
        <v>48</v>
      </c>
    </row>
    <row r="85" spans="2:16" x14ac:dyDescent="0.35">
      <c r="B85" s="306" t="s">
        <v>1628</v>
      </c>
      <c r="C85" s="306">
        <v>49</v>
      </c>
    </row>
    <row r="86" spans="2:16" x14ac:dyDescent="0.35">
      <c r="B86" s="306" t="s">
        <v>1630</v>
      </c>
      <c r="C86" s="306">
        <v>3</v>
      </c>
    </row>
    <row r="87" spans="2:16" x14ac:dyDescent="0.35">
      <c r="B87" s="306" t="s">
        <v>1632</v>
      </c>
      <c r="C87" s="306">
        <v>21</v>
      </c>
    </row>
    <row r="88" spans="2:16" x14ac:dyDescent="0.35">
      <c r="B88" s="306" t="s">
        <v>1636</v>
      </c>
      <c r="C88" s="306">
        <v>36</v>
      </c>
    </row>
    <row r="89" spans="2:16" x14ac:dyDescent="0.35">
      <c r="B89" s="306" t="s">
        <v>1388</v>
      </c>
      <c r="C89" s="306">
        <v>52</v>
      </c>
    </row>
    <row r="90" spans="2:16" x14ac:dyDescent="0.35">
      <c r="B90" s="306" t="s">
        <v>1389</v>
      </c>
      <c r="C90" s="306">
        <v>2</v>
      </c>
    </row>
    <row r="91" spans="2:16" x14ac:dyDescent="0.35">
      <c r="B91" s="306" t="s">
        <v>1393</v>
      </c>
      <c r="C91" s="306">
        <v>10</v>
      </c>
    </row>
    <row r="92" spans="2:16" x14ac:dyDescent="0.35">
      <c r="B92" s="306" t="s">
        <v>1391</v>
      </c>
      <c r="C92" s="306">
        <v>6</v>
      </c>
    </row>
    <row r="93" spans="2:16" x14ac:dyDescent="0.35">
      <c r="B93" s="306" t="s">
        <v>1392</v>
      </c>
      <c r="C93" s="306">
        <v>7</v>
      </c>
    </row>
    <row r="94" spans="2:16" x14ac:dyDescent="0.35">
      <c r="B94" s="306" t="s">
        <v>1394</v>
      </c>
      <c r="C94" s="306">
        <v>51</v>
      </c>
    </row>
    <row r="95" spans="2:16" x14ac:dyDescent="0.35">
      <c r="B95" s="306" t="s">
        <v>1399</v>
      </c>
      <c r="C95" s="306">
        <v>53</v>
      </c>
    </row>
    <row r="96" spans="2:16" x14ac:dyDescent="0.35">
      <c r="B96" s="306" t="s">
        <v>1400</v>
      </c>
      <c r="C96" s="306">
        <v>54</v>
      </c>
    </row>
    <row r="97" spans="2:20" x14ac:dyDescent="0.35">
      <c r="B97" s="306" t="s">
        <v>1720</v>
      </c>
      <c r="C97" s="306">
        <v>55</v>
      </c>
    </row>
    <row r="101" spans="2:20" x14ac:dyDescent="0.35">
      <c r="B101" s="347" t="s">
        <v>1732</v>
      </c>
      <c r="C101" s="410" t="s">
        <v>576</v>
      </c>
      <c r="D101" s="412" t="s">
        <v>582</v>
      </c>
      <c r="E101" s="335" t="s">
        <v>644</v>
      </c>
      <c r="F101" s="347" t="s">
        <v>1722</v>
      </c>
      <c r="G101" s="347" t="s">
        <v>1723</v>
      </c>
      <c r="H101" s="347" t="s">
        <v>1724</v>
      </c>
      <c r="I101" s="347" t="s">
        <v>1725</v>
      </c>
      <c r="J101" s="347" t="s">
        <v>1726</v>
      </c>
      <c r="K101" s="347" t="s">
        <v>1727</v>
      </c>
      <c r="L101" s="347" t="s">
        <v>1728</v>
      </c>
      <c r="M101" s="347" t="s">
        <v>1729</v>
      </c>
      <c r="N101" s="347" t="s">
        <v>1730</v>
      </c>
      <c r="O101" s="347" t="s">
        <v>1731</v>
      </c>
    </row>
    <row r="102" spans="2:20" x14ac:dyDescent="0.35">
      <c r="B102" s="304" t="s">
        <v>615</v>
      </c>
      <c r="C102" s="411" t="str">
        <f>坦克个性化设定!E19</f>
        <v>T1</v>
      </c>
      <c r="D102" s="304" t="str">
        <f>坦克个性化细分!J4</f>
        <v>低</v>
      </c>
      <c r="E102" s="304" t="str">
        <f>VLOOKUP(B102,坦克个性化设定!$B$18:$F$48,5,FALSE)</f>
        <v>轻坦弹夹</v>
      </c>
      <c r="F102" s="304">
        <v>0</v>
      </c>
      <c r="G102" s="304">
        <v>1</v>
      </c>
      <c r="H102" s="304">
        <v>0</v>
      </c>
      <c r="I102" s="304">
        <v>0</v>
      </c>
      <c r="J102" s="304">
        <v>0</v>
      </c>
      <c r="K102" s="304">
        <f>IF(F102&gt;0,VLOOKUP($E102,$E$74:$O$81,MATCH(K$101,$E$74:$O$74,0),FALSE),0)</f>
        <v>0</v>
      </c>
      <c r="L102" s="304">
        <f>IF(G102&gt;0,VLOOKUP($E102,$E$74:$O$81,MATCH(L$101,$E$74:$O$74,0),FALSE),0)</f>
        <v>53</v>
      </c>
      <c r="M102" s="304">
        <f>IF(H102&gt;0,VLOOKUP($E102,$E$74:$O$81,MATCH(M$101,$E$74:$O$74,0),FALSE),0)</f>
        <v>0</v>
      </c>
      <c r="N102" s="304">
        <f>IF(I102&gt;0,VLOOKUP($E102,$E$74:$O$81,MATCH(N$101,$E$74:$O$74,0),FALSE),0)</f>
        <v>0</v>
      </c>
      <c r="O102" s="304">
        <f>IF(J102&gt;0,VLOOKUP($E102,$E$74:$O$81,MATCH(O$101,$E$74:$O$74,0),FALSE),0)</f>
        <v>0</v>
      </c>
      <c r="P102" s="306" t="str">
        <f>IF(K102&gt;0,K102&amp;",","")&amp;IF(L102&gt;0,L102&amp;",","")&amp;IF(M102&gt;0,M102&amp;",","")&amp;IF(N102&gt;0,N102&amp;",","")&amp;IF(O102&gt;0,O102&amp;",","")</f>
        <v>53,</v>
      </c>
      <c r="Q102" s="306" t="str">
        <f>"["&amp;LEFT(P102,LEN(P102)-1)&amp;"]"</f>
        <v>[53]</v>
      </c>
      <c r="T102" s="306" t="str">
        <f t="shared" ref="T102:T131" si="6">VLOOKUP(E102,$E$74:$P$81,12,FALSE)</f>
        <v>[52,53,38,46,48]</v>
      </c>
    </row>
    <row r="103" spans="2:20" x14ac:dyDescent="0.35">
      <c r="B103" s="304" t="s">
        <v>616</v>
      </c>
      <c r="C103" s="411" t="str">
        <f>坦克个性化设定!E20</f>
        <v>T2</v>
      </c>
      <c r="D103" s="304" t="str">
        <f>坦克个性化细分!J5</f>
        <v>低</v>
      </c>
      <c r="E103" s="304" t="str">
        <f>VLOOKUP(B103,坦克个性化设定!$B$18:$F$48,5,FALSE)</f>
        <v>轻坦弹夹</v>
      </c>
      <c r="F103" s="304">
        <v>0</v>
      </c>
      <c r="G103" s="304">
        <v>1</v>
      </c>
      <c r="H103" s="304">
        <v>1</v>
      </c>
      <c r="I103" s="304">
        <v>0</v>
      </c>
      <c r="J103" s="304">
        <v>0</v>
      </c>
      <c r="K103" s="304">
        <f t="shared" ref="K103:K131" si="7">IF(F103&gt;0,VLOOKUP($E103,$E$74:$O$81,MATCH(K$101,$E$74:$O$74,0),FALSE),0)</f>
        <v>0</v>
      </c>
      <c r="L103" s="304">
        <f t="shared" ref="L103:L131" si="8">IF(G103&gt;0,VLOOKUP($E103,$E$74:$O$81,MATCH(L$101,$E$74:$O$74,0),FALSE),0)</f>
        <v>53</v>
      </c>
      <c r="M103" s="304">
        <f t="shared" ref="M103:M131" si="9">IF(H103&gt;0,VLOOKUP($E103,$E$74:$O$81,MATCH(M$101,$E$74:$O$74,0),FALSE),0)</f>
        <v>38</v>
      </c>
      <c r="N103" s="304">
        <f t="shared" ref="N103:N131" si="10">IF(I103&gt;0,VLOOKUP($E103,$E$74:$O$81,MATCH(N$101,$E$74:$O$74,0),FALSE),0)</f>
        <v>0</v>
      </c>
      <c r="O103" s="304">
        <f t="shared" ref="O103:O131" si="11">IF(J103&gt;0,VLOOKUP($E103,$E$74:$O$81,MATCH(O$101,$E$74:$O$74,0),FALSE),0)</f>
        <v>0</v>
      </c>
      <c r="P103" s="306" t="str">
        <f t="shared" ref="P103:P131" si="12">IF(K103&gt;0,K103&amp;",","")&amp;IF(L103&gt;0,L103&amp;",","")&amp;IF(M103&gt;0,M103&amp;",","")&amp;IF(N103&gt;0,N103&amp;",","")&amp;IF(O103&gt;0,O103&amp;",","")</f>
        <v>53,38,</v>
      </c>
      <c r="Q103" s="306" t="str">
        <f t="shared" ref="Q103:Q131" si="13">"["&amp;LEFT(P103,LEN(P103)-1)&amp;"]"</f>
        <v>[53,38]</v>
      </c>
      <c r="T103" s="306" t="str">
        <f t="shared" si="6"/>
        <v>[52,53,38,46,48]</v>
      </c>
    </row>
    <row r="104" spans="2:20" x14ac:dyDescent="0.35">
      <c r="B104" s="304" t="s">
        <v>617</v>
      </c>
      <c r="C104" s="411" t="str">
        <f>坦克个性化设定!E21</f>
        <v>T2</v>
      </c>
      <c r="D104" s="304" t="str">
        <f>坦克个性化细分!J6</f>
        <v>中</v>
      </c>
      <c r="E104" s="304" t="str">
        <f>VLOOKUP(B104,坦克个性化设定!$B$18:$F$48,5,FALSE)</f>
        <v>轻坦半自动</v>
      </c>
      <c r="F104" s="304">
        <v>0</v>
      </c>
      <c r="G104" s="304">
        <v>1</v>
      </c>
      <c r="H104" s="304">
        <v>1</v>
      </c>
      <c r="I104" s="304">
        <v>0</v>
      </c>
      <c r="J104" s="304">
        <v>0</v>
      </c>
      <c r="K104" s="304">
        <f t="shared" si="7"/>
        <v>0</v>
      </c>
      <c r="L104" s="304">
        <f t="shared" si="8"/>
        <v>53</v>
      </c>
      <c r="M104" s="304">
        <f t="shared" si="9"/>
        <v>46</v>
      </c>
      <c r="N104" s="304">
        <f t="shared" si="10"/>
        <v>0</v>
      </c>
      <c r="O104" s="304">
        <f t="shared" si="11"/>
        <v>0</v>
      </c>
      <c r="P104" s="306" t="str">
        <f t="shared" si="12"/>
        <v>53,46,</v>
      </c>
      <c r="Q104" s="306" t="str">
        <f t="shared" si="13"/>
        <v>[53,46]</v>
      </c>
      <c r="T104" s="306" t="str">
        <f t="shared" si="6"/>
        <v>[52,53,46,42,48]</v>
      </c>
    </row>
    <row r="105" spans="2:20" x14ac:dyDescent="0.35">
      <c r="B105" s="304" t="s">
        <v>618</v>
      </c>
      <c r="C105" s="411" t="str">
        <f>坦克个性化设定!E22</f>
        <v>T3</v>
      </c>
      <c r="D105" s="304" t="str">
        <f>坦克个性化细分!J7</f>
        <v>低</v>
      </c>
      <c r="E105" s="304" t="str">
        <f>VLOOKUP(B105,坦克个性化设定!$B$18:$F$48,5,FALSE)</f>
        <v>轻坦半自动</v>
      </c>
      <c r="F105" s="304">
        <v>1</v>
      </c>
      <c r="G105" s="304">
        <v>1</v>
      </c>
      <c r="H105" s="304">
        <v>1</v>
      </c>
      <c r="I105" s="304">
        <v>0</v>
      </c>
      <c r="J105" s="304">
        <v>0</v>
      </c>
      <c r="K105" s="304">
        <f t="shared" si="7"/>
        <v>52</v>
      </c>
      <c r="L105" s="304">
        <f t="shared" si="8"/>
        <v>53</v>
      </c>
      <c r="M105" s="304">
        <f t="shared" si="9"/>
        <v>46</v>
      </c>
      <c r="N105" s="304">
        <f t="shared" si="10"/>
        <v>0</v>
      </c>
      <c r="O105" s="304">
        <f t="shared" si="11"/>
        <v>0</v>
      </c>
      <c r="P105" s="306" t="str">
        <f t="shared" si="12"/>
        <v>52,53,46,</v>
      </c>
      <c r="Q105" s="306" t="str">
        <f t="shared" si="13"/>
        <v>[52,53,46]</v>
      </c>
      <c r="T105" s="306" t="str">
        <f t="shared" si="6"/>
        <v>[52,53,46,42,48]</v>
      </c>
    </row>
    <row r="106" spans="2:20" x14ac:dyDescent="0.35">
      <c r="B106" s="304" t="s">
        <v>619</v>
      </c>
      <c r="C106" s="411" t="str">
        <f>坦克个性化设定!E23</f>
        <v>T3</v>
      </c>
      <c r="D106" s="304" t="str">
        <f>坦克个性化细分!J8</f>
        <v>中</v>
      </c>
      <c r="E106" s="304" t="str">
        <f>VLOOKUP(B106,坦克个性化设定!$B$18:$F$48,5,FALSE)</f>
        <v>轻坦弹夹</v>
      </c>
      <c r="F106" s="304">
        <v>1</v>
      </c>
      <c r="G106" s="304">
        <v>1</v>
      </c>
      <c r="H106" s="304">
        <v>1</v>
      </c>
      <c r="I106" s="304">
        <v>0</v>
      </c>
      <c r="J106" s="304">
        <v>0</v>
      </c>
      <c r="K106" s="304">
        <f t="shared" si="7"/>
        <v>52</v>
      </c>
      <c r="L106" s="304">
        <f t="shared" si="8"/>
        <v>53</v>
      </c>
      <c r="M106" s="304">
        <f t="shared" si="9"/>
        <v>38</v>
      </c>
      <c r="N106" s="304">
        <f t="shared" si="10"/>
        <v>0</v>
      </c>
      <c r="O106" s="304">
        <f t="shared" si="11"/>
        <v>0</v>
      </c>
      <c r="P106" s="306" t="str">
        <f t="shared" si="12"/>
        <v>52,53,38,</v>
      </c>
      <c r="Q106" s="306" t="str">
        <f t="shared" si="13"/>
        <v>[52,53,38]</v>
      </c>
      <c r="T106" s="306" t="str">
        <f t="shared" si="6"/>
        <v>[52,53,38,46,48]</v>
      </c>
    </row>
    <row r="107" spans="2:20" x14ac:dyDescent="0.35">
      <c r="B107" s="304" t="s">
        <v>716</v>
      </c>
      <c r="C107" s="411" t="str">
        <f>坦克个性化设定!E24</f>
        <v>T3</v>
      </c>
      <c r="D107" s="304" t="str">
        <f>坦克个性化细分!J9</f>
        <v>高</v>
      </c>
      <c r="E107" s="304" t="str">
        <f>VLOOKUP(B107,坦克个性化设定!$B$18:$F$48,5,FALSE)</f>
        <v>轻坦单发</v>
      </c>
      <c r="F107" s="304">
        <v>1</v>
      </c>
      <c r="G107" s="304">
        <v>1</v>
      </c>
      <c r="H107" s="304">
        <v>1</v>
      </c>
      <c r="I107" s="304">
        <v>0</v>
      </c>
      <c r="J107" s="304">
        <v>0</v>
      </c>
      <c r="K107" s="304">
        <f t="shared" si="7"/>
        <v>52</v>
      </c>
      <c r="L107" s="304">
        <f t="shared" si="8"/>
        <v>7</v>
      </c>
      <c r="M107" s="304">
        <f t="shared" si="9"/>
        <v>38</v>
      </c>
      <c r="N107" s="304">
        <f t="shared" si="10"/>
        <v>0</v>
      </c>
      <c r="O107" s="304">
        <f t="shared" si="11"/>
        <v>0</v>
      </c>
      <c r="P107" s="306" t="str">
        <f t="shared" si="12"/>
        <v>52,7,38,</v>
      </c>
      <c r="Q107" s="306" t="str">
        <f t="shared" si="13"/>
        <v>[52,7,38]</v>
      </c>
      <c r="T107" s="306" t="str">
        <f t="shared" si="6"/>
        <v>[52,7,38,42,44]</v>
      </c>
    </row>
    <row r="108" spans="2:20" x14ac:dyDescent="0.35">
      <c r="B108" s="304" t="s">
        <v>620</v>
      </c>
      <c r="C108" s="411" t="str">
        <f>坦克个性化设定!E25</f>
        <v>T4</v>
      </c>
      <c r="D108" s="304" t="str">
        <f>坦克个性化细分!J10</f>
        <v>低</v>
      </c>
      <c r="E108" s="304" t="str">
        <f>VLOOKUP(B108,坦克个性化设定!$B$18:$F$48,5,FALSE)</f>
        <v>轻坦半自动</v>
      </c>
      <c r="F108" s="304">
        <v>1</v>
      </c>
      <c r="G108" s="304">
        <v>1</v>
      </c>
      <c r="H108" s="304">
        <v>1</v>
      </c>
      <c r="I108" s="304">
        <v>1</v>
      </c>
      <c r="J108" s="304">
        <v>0</v>
      </c>
      <c r="K108" s="304">
        <f t="shared" si="7"/>
        <v>52</v>
      </c>
      <c r="L108" s="304">
        <f t="shared" si="8"/>
        <v>53</v>
      </c>
      <c r="M108" s="304">
        <f t="shared" si="9"/>
        <v>46</v>
      </c>
      <c r="N108" s="304">
        <f t="shared" si="10"/>
        <v>42</v>
      </c>
      <c r="O108" s="304">
        <f t="shared" si="11"/>
        <v>0</v>
      </c>
      <c r="P108" s="306" t="str">
        <f t="shared" si="12"/>
        <v>52,53,46,42,</v>
      </c>
      <c r="Q108" s="306" t="str">
        <f t="shared" si="13"/>
        <v>[52,53,46,42]</v>
      </c>
      <c r="T108" s="306" t="str">
        <f t="shared" si="6"/>
        <v>[52,53,46,42,48]</v>
      </c>
    </row>
    <row r="109" spans="2:20" x14ac:dyDescent="0.35">
      <c r="B109" s="304" t="s">
        <v>717</v>
      </c>
      <c r="C109" s="411" t="str">
        <f>坦克个性化设定!E26</f>
        <v>T4</v>
      </c>
      <c r="D109" s="304" t="str">
        <f>坦克个性化细分!J11</f>
        <v>中</v>
      </c>
      <c r="E109" s="304" t="str">
        <f>VLOOKUP(B109,坦克个性化设定!$B$18:$F$48,5,FALSE)</f>
        <v>轻坦单发</v>
      </c>
      <c r="F109" s="304">
        <v>1</v>
      </c>
      <c r="G109" s="304">
        <v>1</v>
      </c>
      <c r="H109" s="304">
        <v>1</v>
      </c>
      <c r="I109" s="304">
        <v>1</v>
      </c>
      <c r="J109" s="304">
        <v>0</v>
      </c>
      <c r="K109" s="304">
        <f t="shared" si="7"/>
        <v>52</v>
      </c>
      <c r="L109" s="304">
        <f t="shared" si="8"/>
        <v>7</v>
      </c>
      <c r="M109" s="304">
        <f t="shared" si="9"/>
        <v>38</v>
      </c>
      <c r="N109" s="304">
        <f t="shared" si="10"/>
        <v>42</v>
      </c>
      <c r="O109" s="304">
        <f t="shared" si="11"/>
        <v>0</v>
      </c>
      <c r="P109" s="306" t="str">
        <f t="shared" si="12"/>
        <v>52,7,38,42,</v>
      </c>
      <c r="Q109" s="306" t="str">
        <f t="shared" si="13"/>
        <v>[52,7,38,42]</v>
      </c>
      <c r="T109" s="306" t="str">
        <f t="shared" si="6"/>
        <v>[52,7,38,42,44]</v>
      </c>
    </row>
    <row r="110" spans="2:20" x14ac:dyDescent="0.35">
      <c r="B110" s="304" t="s">
        <v>621</v>
      </c>
      <c r="C110" s="411" t="str">
        <f>坦克个性化设定!E27</f>
        <v>T4</v>
      </c>
      <c r="D110" s="304" t="str">
        <f>坦克个性化细分!J12</f>
        <v>高</v>
      </c>
      <c r="E110" s="304" t="str">
        <f>VLOOKUP(B110,坦克个性化设定!$B$18:$F$48,5,FALSE)</f>
        <v>轻坦半自动</v>
      </c>
      <c r="F110" s="304">
        <v>1</v>
      </c>
      <c r="G110" s="304">
        <v>1</v>
      </c>
      <c r="H110" s="304">
        <v>1</v>
      </c>
      <c r="I110" s="304">
        <v>1</v>
      </c>
      <c r="J110" s="304">
        <v>0</v>
      </c>
      <c r="K110" s="304">
        <f t="shared" si="7"/>
        <v>52</v>
      </c>
      <c r="L110" s="304">
        <f t="shared" si="8"/>
        <v>53</v>
      </c>
      <c r="M110" s="304">
        <f t="shared" si="9"/>
        <v>46</v>
      </c>
      <c r="N110" s="304">
        <f t="shared" si="10"/>
        <v>42</v>
      </c>
      <c r="O110" s="304">
        <f t="shared" si="11"/>
        <v>0</v>
      </c>
      <c r="P110" s="306" t="str">
        <f t="shared" si="12"/>
        <v>52,53,46,42,</v>
      </c>
      <c r="Q110" s="306" t="str">
        <f t="shared" si="13"/>
        <v>[52,53,46,42]</v>
      </c>
      <c r="T110" s="306" t="str">
        <f t="shared" si="6"/>
        <v>[52,53,46,42,48]</v>
      </c>
    </row>
    <row r="111" spans="2:20" x14ac:dyDescent="0.35">
      <c r="B111" s="304" t="s">
        <v>622</v>
      </c>
      <c r="C111" s="411" t="str">
        <f>坦克个性化设定!E28</f>
        <v>T5</v>
      </c>
      <c r="D111" s="304" t="str">
        <f>坦克个性化细分!J13</f>
        <v>低</v>
      </c>
      <c r="E111" s="304" t="str">
        <f>VLOOKUP(B111,坦克个性化设定!$B$18:$F$48,5,FALSE)</f>
        <v>轻坦单发</v>
      </c>
      <c r="F111" s="304">
        <v>1</v>
      </c>
      <c r="G111" s="304">
        <v>1</v>
      </c>
      <c r="H111" s="304">
        <v>1</v>
      </c>
      <c r="I111" s="304">
        <v>1</v>
      </c>
      <c r="J111" s="304">
        <v>1</v>
      </c>
      <c r="K111" s="304">
        <f t="shared" si="7"/>
        <v>52</v>
      </c>
      <c r="L111" s="304">
        <f t="shared" si="8"/>
        <v>7</v>
      </c>
      <c r="M111" s="304">
        <f t="shared" si="9"/>
        <v>38</v>
      </c>
      <c r="N111" s="304">
        <f t="shared" si="10"/>
        <v>42</v>
      </c>
      <c r="O111" s="304">
        <f t="shared" si="11"/>
        <v>44</v>
      </c>
      <c r="P111" s="306" t="str">
        <f t="shared" si="12"/>
        <v>52,7,38,42,44,</v>
      </c>
      <c r="Q111" s="306" t="str">
        <f t="shared" si="13"/>
        <v>[52,7,38,42,44]</v>
      </c>
      <c r="T111" s="306" t="str">
        <f t="shared" si="6"/>
        <v>[52,7,38,42,44]</v>
      </c>
    </row>
    <row r="112" spans="2:20" x14ac:dyDescent="0.35">
      <c r="B112" s="304" t="s">
        <v>623</v>
      </c>
      <c r="C112" s="411" t="str">
        <f>坦克个性化设定!E29</f>
        <v>T1</v>
      </c>
      <c r="D112" s="304" t="str">
        <f>坦克个性化细分!J14</f>
        <v>低</v>
      </c>
      <c r="E112" s="304" t="str">
        <f>VLOOKUP(B112,坦克个性化设定!$B$18:$F$48,5,FALSE)</f>
        <v>中坦弹夹</v>
      </c>
      <c r="F112" s="304">
        <v>0</v>
      </c>
      <c r="G112" s="304">
        <v>1</v>
      </c>
      <c r="H112" s="304">
        <v>0</v>
      </c>
      <c r="I112" s="304">
        <v>0</v>
      </c>
      <c r="J112" s="304">
        <v>0</v>
      </c>
      <c r="K112" s="304">
        <f t="shared" si="7"/>
        <v>0</v>
      </c>
      <c r="L112" s="304">
        <f t="shared" si="8"/>
        <v>51</v>
      </c>
      <c r="M112" s="304">
        <f t="shared" si="9"/>
        <v>0</v>
      </c>
      <c r="N112" s="304">
        <f t="shared" si="10"/>
        <v>0</v>
      </c>
      <c r="O112" s="304">
        <f t="shared" si="11"/>
        <v>0</v>
      </c>
      <c r="P112" s="306" t="str">
        <f t="shared" si="12"/>
        <v>51,</v>
      </c>
      <c r="Q112" s="306" t="str">
        <f t="shared" si="13"/>
        <v>[51]</v>
      </c>
      <c r="T112" s="306" t="str">
        <f t="shared" si="6"/>
        <v>[10,51,47,21,3]</v>
      </c>
    </row>
    <row r="113" spans="2:20" x14ac:dyDescent="0.35">
      <c r="B113" s="304" t="s">
        <v>624</v>
      </c>
      <c r="C113" s="411" t="str">
        <f>坦克个性化设定!E30</f>
        <v>T2</v>
      </c>
      <c r="D113" s="304" t="str">
        <f>坦克个性化细分!J15</f>
        <v>低</v>
      </c>
      <c r="E113" s="304" t="str">
        <f>VLOOKUP(B113,坦克个性化设定!$B$18:$F$48,5,FALSE)</f>
        <v>中坦弹夹</v>
      </c>
      <c r="F113" s="304">
        <v>0</v>
      </c>
      <c r="G113" s="304">
        <v>1</v>
      </c>
      <c r="H113" s="304">
        <v>1</v>
      </c>
      <c r="I113" s="304">
        <v>0</v>
      </c>
      <c r="J113" s="304">
        <v>0</v>
      </c>
      <c r="K113" s="304">
        <f t="shared" si="7"/>
        <v>0</v>
      </c>
      <c r="L113" s="304">
        <f t="shared" si="8"/>
        <v>51</v>
      </c>
      <c r="M113" s="304">
        <f t="shared" si="9"/>
        <v>47</v>
      </c>
      <c r="N113" s="304">
        <f t="shared" si="10"/>
        <v>0</v>
      </c>
      <c r="O113" s="304">
        <f t="shared" si="11"/>
        <v>0</v>
      </c>
      <c r="P113" s="306" t="str">
        <f t="shared" si="12"/>
        <v>51,47,</v>
      </c>
      <c r="Q113" s="306" t="str">
        <f t="shared" si="13"/>
        <v>[51,47]</v>
      </c>
      <c r="T113" s="306" t="str">
        <f t="shared" si="6"/>
        <v>[10,51,47,21,3]</v>
      </c>
    </row>
    <row r="114" spans="2:20" x14ac:dyDescent="0.35">
      <c r="B114" s="304" t="s">
        <v>626</v>
      </c>
      <c r="C114" s="411" t="str">
        <f>坦克个性化设定!E31</f>
        <v>T2</v>
      </c>
      <c r="D114" s="304" t="str">
        <f>坦克个性化细分!J16</f>
        <v>中</v>
      </c>
      <c r="E114" s="304" t="str">
        <f>VLOOKUP(B114,坦克个性化设定!$B$18:$F$48,5,FALSE)</f>
        <v>中坦单发</v>
      </c>
      <c r="F114" s="304">
        <v>0</v>
      </c>
      <c r="G114" s="304">
        <v>1</v>
      </c>
      <c r="H114" s="304">
        <v>1</v>
      </c>
      <c r="I114" s="304">
        <v>0</v>
      </c>
      <c r="J114" s="304">
        <v>0</v>
      </c>
      <c r="K114" s="304">
        <f t="shared" si="7"/>
        <v>0</v>
      </c>
      <c r="L114" s="304">
        <f t="shared" si="8"/>
        <v>6</v>
      </c>
      <c r="M114" s="304">
        <f t="shared" si="9"/>
        <v>40</v>
      </c>
      <c r="N114" s="304">
        <f t="shared" si="10"/>
        <v>0</v>
      </c>
      <c r="O114" s="304">
        <f t="shared" si="11"/>
        <v>0</v>
      </c>
      <c r="P114" s="306" t="str">
        <f t="shared" si="12"/>
        <v>6,40,</v>
      </c>
      <c r="Q114" s="306" t="str">
        <f t="shared" si="13"/>
        <v>[6,40]</v>
      </c>
      <c r="T114" s="306" t="str">
        <f t="shared" si="6"/>
        <v>[10,6,40,46,3]</v>
      </c>
    </row>
    <row r="115" spans="2:20" x14ac:dyDescent="0.35">
      <c r="B115" s="304" t="s">
        <v>627</v>
      </c>
      <c r="C115" s="411" t="str">
        <f>坦克个性化设定!E32</f>
        <v>T3</v>
      </c>
      <c r="D115" s="304" t="str">
        <f>坦克个性化细分!J17</f>
        <v>低</v>
      </c>
      <c r="E115" s="304" t="str">
        <f>VLOOKUP(B115,坦克个性化设定!$B$18:$F$48,5,FALSE)</f>
        <v>中坦弹夹</v>
      </c>
      <c r="F115" s="304">
        <v>1</v>
      </c>
      <c r="G115" s="304">
        <v>1</v>
      </c>
      <c r="H115" s="304">
        <v>1</v>
      </c>
      <c r="I115" s="304">
        <v>0</v>
      </c>
      <c r="J115" s="304">
        <v>0</v>
      </c>
      <c r="K115" s="304">
        <f t="shared" si="7"/>
        <v>10</v>
      </c>
      <c r="L115" s="304">
        <f t="shared" si="8"/>
        <v>51</v>
      </c>
      <c r="M115" s="304">
        <f t="shared" si="9"/>
        <v>47</v>
      </c>
      <c r="N115" s="304">
        <f t="shared" si="10"/>
        <v>0</v>
      </c>
      <c r="O115" s="304">
        <f t="shared" si="11"/>
        <v>0</v>
      </c>
      <c r="P115" s="306" t="str">
        <f t="shared" si="12"/>
        <v>10,51,47,</v>
      </c>
      <c r="Q115" s="306" t="str">
        <f t="shared" si="13"/>
        <v>[10,51,47]</v>
      </c>
      <c r="T115" s="306" t="str">
        <f t="shared" si="6"/>
        <v>[10,51,47,21,3]</v>
      </c>
    </row>
    <row r="116" spans="2:20" x14ac:dyDescent="0.35">
      <c r="B116" s="304" t="s">
        <v>718</v>
      </c>
      <c r="C116" s="411" t="str">
        <f>坦克个性化设定!E33</f>
        <v>T3</v>
      </c>
      <c r="D116" s="304" t="str">
        <f>坦克个性化细分!J18</f>
        <v>中</v>
      </c>
      <c r="E116" s="304" t="str">
        <f>VLOOKUP(B116,坦克个性化设定!$B$18:$F$48,5,FALSE)</f>
        <v>中坦单发</v>
      </c>
      <c r="F116" s="304">
        <v>1</v>
      </c>
      <c r="G116" s="304">
        <v>1</v>
      </c>
      <c r="H116" s="304">
        <v>1</v>
      </c>
      <c r="I116" s="304">
        <v>0</v>
      </c>
      <c r="J116" s="304">
        <v>0</v>
      </c>
      <c r="K116" s="304">
        <f t="shared" si="7"/>
        <v>10</v>
      </c>
      <c r="L116" s="304">
        <f t="shared" si="8"/>
        <v>6</v>
      </c>
      <c r="M116" s="304">
        <f t="shared" si="9"/>
        <v>40</v>
      </c>
      <c r="N116" s="304">
        <f t="shared" si="10"/>
        <v>0</v>
      </c>
      <c r="O116" s="304">
        <f t="shared" si="11"/>
        <v>0</v>
      </c>
      <c r="P116" s="306" t="str">
        <f t="shared" si="12"/>
        <v>10,6,40,</v>
      </c>
      <c r="Q116" s="306" t="str">
        <f t="shared" si="13"/>
        <v>[10,6,40]</v>
      </c>
      <c r="T116" s="306" t="str">
        <f t="shared" si="6"/>
        <v>[10,6,40,46,3]</v>
      </c>
    </row>
    <row r="117" spans="2:20" x14ac:dyDescent="0.35">
      <c r="B117" s="304" t="s">
        <v>625</v>
      </c>
      <c r="C117" s="411" t="str">
        <f>坦克个性化设定!E34</f>
        <v>T3</v>
      </c>
      <c r="D117" s="304" t="str">
        <f>坦克个性化细分!J19</f>
        <v>高</v>
      </c>
      <c r="E117" s="304" t="str">
        <f>VLOOKUP(B117,坦克个性化设定!$B$18:$F$48,5,FALSE)</f>
        <v>中坦单发</v>
      </c>
      <c r="F117" s="304">
        <v>1</v>
      </c>
      <c r="G117" s="304">
        <v>1</v>
      </c>
      <c r="H117" s="304">
        <v>1</v>
      </c>
      <c r="I117" s="304">
        <v>0</v>
      </c>
      <c r="J117" s="304">
        <v>0</v>
      </c>
      <c r="K117" s="304">
        <f t="shared" si="7"/>
        <v>10</v>
      </c>
      <c r="L117" s="304">
        <f t="shared" si="8"/>
        <v>6</v>
      </c>
      <c r="M117" s="304">
        <f t="shared" si="9"/>
        <v>40</v>
      </c>
      <c r="N117" s="304">
        <f t="shared" si="10"/>
        <v>0</v>
      </c>
      <c r="O117" s="304">
        <f t="shared" si="11"/>
        <v>0</v>
      </c>
      <c r="P117" s="306" t="str">
        <f t="shared" si="12"/>
        <v>10,6,40,</v>
      </c>
      <c r="Q117" s="306" t="str">
        <f t="shared" si="13"/>
        <v>[10,6,40]</v>
      </c>
      <c r="T117" s="306" t="str">
        <f t="shared" si="6"/>
        <v>[10,6,40,46,3]</v>
      </c>
    </row>
    <row r="118" spans="2:20" x14ac:dyDescent="0.35">
      <c r="B118" s="304" t="s">
        <v>719</v>
      </c>
      <c r="C118" s="411" t="str">
        <f>坦克个性化设定!E35</f>
        <v>T4</v>
      </c>
      <c r="D118" s="304" t="str">
        <f>坦克个性化细分!J20</f>
        <v>低</v>
      </c>
      <c r="E118" s="304" t="str">
        <f>VLOOKUP(B118,坦克个性化设定!$B$18:$F$48,5,FALSE)</f>
        <v>中坦弹夹</v>
      </c>
      <c r="F118" s="304">
        <v>1</v>
      </c>
      <c r="G118" s="304">
        <v>1</v>
      </c>
      <c r="H118" s="304">
        <v>1</v>
      </c>
      <c r="I118" s="304">
        <v>1</v>
      </c>
      <c r="J118" s="304">
        <v>0</v>
      </c>
      <c r="K118" s="304">
        <f t="shared" si="7"/>
        <v>10</v>
      </c>
      <c r="L118" s="304">
        <f t="shared" si="8"/>
        <v>51</v>
      </c>
      <c r="M118" s="304">
        <f t="shared" si="9"/>
        <v>47</v>
      </c>
      <c r="N118" s="304">
        <f t="shared" si="10"/>
        <v>21</v>
      </c>
      <c r="O118" s="304">
        <f t="shared" si="11"/>
        <v>0</v>
      </c>
      <c r="P118" s="306" t="str">
        <f t="shared" si="12"/>
        <v>10,51,47,21,</v>
      </c>
      <c r="Q118" s="306" t="str">
        <f t="shared" si="13"/>
        <v>[10,51,47,21]</v>
      </c>
      <c r="T118" s="306" t="str">
        <f t="shared" si="6"/>
        <v>[10,51,47,21,3]</v>
      </c>
    </row>
    <row r="119" spans="2:20" x14ac:dyDescent="0.35">
      <c r="B119" s="304" t="s">
        <v>720</v>
      </c>
      <c r="C119" s="411" t="str">
        <f>坦克个性化设定!E36</f>
        <v>T4</v>
      </c>
      <c r="D119" s="304" t="str">
        <f>坦克个性化细分!J21</f>
        <v>中</v>
      </c>
      <c r="E119" s="304" t="str">
        <f>VLOOKUP(B119,坦克个性化设定!$B$18:$F$48,5,FALSE)</f>
        <v>中坦单发</v>
      </c>
      <c r="F119" s="304">
        <v>1</v>
      </c>
      <c r="G119" s="304">
        <v>1</v>
      </c>
      <c r="H119" s="304">
        <v>1</v>
      </c>
      <c r="I119" s="304">
        <v>1</v>
      </c>
      <c r="J119" s="304">
        <v>0</v>
      </c>
      <c r="K119" s="304">
        <f t="shared" si="7"/>
        <v>10</v>
      </c>
      <c r="L119" s="304">
        <f t="shared" si="8"/>
        <v>6</v>
      </c>
      <c r="M119" s="304">
        <f t="shared" si="9"/>
        <v>40</v>
      </c>
      <c r="N119" s="304">
        <f t="shared" si="10"/>
        <v>46</v>
      </c>
      <c r="O119" s="304">
        <f t="shared" si="11"/>
        <v>0</v>
      </c>
      <c r="P119" s="306" t="str">
        <f t="shared" si="12"/>
        <v>10,6,40,46,</v>
      </c>
      <c r="Q119" s="306" t="str">
        <f t="shared" si="13"/>
        <v>[10,6,40,46]</v>
      </c>
      <c r="T119" s="306" t="str">
        <f t="shared" si="6"/>
        <v>[10,6,40,46,3]</v>
      </c>
    </row>
    <row r="120" spans="2:20" x14ac:dyDescent="0.35">
      <c r="B120" s="304" t="s">
        <v>634</v>
      </c>
      <c r="C120" s="411" t="str">
        <f>坦克个性化设定!E37</f>
        <v>T4</v>
      </c>
      <c r="D120" s="304" t="str">
        <f>坦克个性化细分!J22</f>
        <v>高</v>
      </c>
      <c r="E120" s="304" t="str">
        <f>VLOOKUP(B120,坦克个性化设定!$B$18:$F$48,5,FALSE)</f>
        <v>中坦单发</v>
      </c>
      <c r="F120" s="304">
        <v>1</v>
      </c>
      <c r="G120" s="304">
        <v>1</v>
      </c>
      <c r="H120" s="304">
        <v>1</v>
      </c>
      <c r="I120" s="304">
        <v>1</v>
      </c>
      <c r="J120" s="304">
        <v>0</v>
      </c>
      <c r="K120" s="304">
        <f t="shared" si="7"/>
        <v>10</v>
      </c>
      <c r="L120" s="304">
        <f t="shared" si="8"/>
        <v>6</v>
      </c>
      <c r="M120" s="304">
        <f t="shared" si="9"/>
        <v>40</v>
      </c>
      <c r="N120" s="304">
        <f t="shared" si="10"/>
        <v>46</v>
      </c>
      <c r="O120" s="304">
        <f t="shared" si="11"/>
        <v>0</v>
      </c>
      <c r="P120" s="306" t="str">
        <f t="shared" si="12"/>
        <v>10,6,40,46,</v>
      </c>
      <c r="Q120" s="306" t="str">
        <f t="shared" si="13"/>
        <v>[10,6,40,46]</v>
      </c>
      <c r="T120" s="306" t="str">
        <f t="shared" si="6"/>
        <v>[10,6,40,46,3]</v>
      </c>
    </row>
    <row r="121" spans="2:20" x14ac:dyDescent="0.35">
      <c r="B121" s="304" t="s">
        <v>636</v>
      </c>
      <c r="C121" s="411" t="str">
        <f>坦克个性化设定!E38</f>
        <v>T5</v>
      </c>
      <c r="D121" s="304" t="str">
        <f>坦克个性化细分!J23</f>
        <v>低</v>
      </c>
      <c r="E121" s="304" t="str">
        <f>VLOOKUP(B121,坦克个性化设定!$B$18:$F$48,5,FALSE)</f>
        <v>中坦单发</v>
      </c>
      <c r="F121" s="304">
        <v>1</v>
      </c>
      <c r="G121" s="304">
        <v>1</v>
      </c>
      <c r="H121" s="304">
        <v>1</v>
      </c>
      <c r="I121" s="304">
        <v>1</v>
      </c>
      <c r="J121" s="304">
        <v>1</v>
      </c>
      <c r="K121" s="304">
        <f t="shared" si="7"/>
        <v>10</v>
      </c>
      <c r="L121" s="304">
        <f t="shared" si="8"/>
        <v>6</v>
      </c>
      <c r="M121" s="304">
        <f t="shared" si="9"/>
        <v>40</v>
      </c>
      <c r="N121" s="304">
        <f t="shared" si="10"/>
        <v>46</v>
      </c>
      <c r="O121" s="304">
        <f t="shared" si="11"/>
        <v>3</v>
      </c>
      <c r="P121" s="306" t="str">
        <f t="shared" si="12"/>
        <v>10,6,40,46,3,</v>
      </c>
      <c r="Q121" s="306" t="str">
        <f t="shared" si="13"/>
        <v>[10,6,40,46,3]</v>
      </c>
      <c r="T121" s="306" t="str">
        <f t="shared" si="6"/>
        <v>[10,6,40,46,3]</v>
      </c>
    </row>
    <row r="122" spans="2:20" x14ac:dyDescent="0.35">
      <c r="B122" s="304" t="s">
        <v>721</v>
      </c>
      <c r="C122" s="411" t="str">
        <f>坦克个性化设定!E39</f>
        <v>T1</v>
      </c>
      <c r="D122" s="304" t="str">
        <f>坦克个性化细分!J24</f>
        <v>低</v>
      </c>
      <c r="E122" s="304" t="str">
        <f>VLOOKUP(B122,坦克个性化设定!$B$18:$F$48,5,FALSE)</f>
        <v>重坦自动</v>
      </c>
      <c r="F122" s="304">
        <v>0</v>
      </c>
      <c r="G122" s="304">
        <v>1</v>
      </c>
      <c r="H122" s="304">
        <v>0</v>
      </c>
      <c r="I122" s="304">
        <v>0</v>
      </c>
      <c r="J122" s="304">
        <v>0</v>
      </c>
      <c r="K122" s="304">
        <f t="shared" si="7"/>
        <v>0</v>
      </c>
      <c r="L122" s="304">
        <f t="shared" si="8"/>
        <v>55</v>
      </c>
      <c r="M122" s="304">
        <f t="shared" si="9"/>
        <v>0</v>
      </c>
      <c r="N122" s="304">
        <f t="shared" si="10"/>
        <v>0</v>
      </c>
      <c r="O122" s="304">
        <f t="shared" si="11"/>
        <v>0</v>
      </c>
      <c r="P122" s="306" t="str">
        <f t="shared" si="12"/>
        <v>55,</v>
      </c>
      <c r="Q122" s="306" t="str">
        <f t="shared" si="13"/>
        <v>[55]</v>
      </c>
      <c r="T122" s="306" t="str">
        <f t="shared" si="6"/>
        <v>[2,55,43,49,36]</v>
      </c>
    </row>
    <row r="123" spans="2:20" x14ac:dyDescent="0.35">
      <c r="B123" s="304" t="s">
        <v>630</v>
      </c>
      <c r="C123" s="411" t="str">
        <f>坦克个性化设定!E40</f>
        <v>T2</v>
      </c>
      <c r="D123" s="304" t="str">
        <f>坦克个性化细分!J25</f>
        <v>低</v>
      </c>
      <c r="E123" s="304" t="str">
        <f>VLOOKUP(B123,坦克个性化设定!$B$18:$F$48,5,FALSE)</f>
        <v>重坦自动</v>
      </c>
      <c r="F123" s="304">
        <v>0</v>
      </c>
      <c r="G123" s="304">
        <v>1</v>
      </c>
      <c r="H123" s="304">
        <v>1</v>
      </c>
      <c r="I123" s="304">
        <v>0</v>
      </c>
      <c r="J123" s="304">
        <v>0</v>
      </c>
      <c r="K123" s="304">
        <f t="shared" si="7"/>
        <v>0</v>
      </c>
      <c r="L123" s="304">
        <f t="shared" si="8"/>
        <v>55</v>
      </c>
      <c r="M123" s="304">
        <f t="shared" si="9"/>
        <v>43</v>
      </c>
      <c r="N123" s="304">
        <f t="shared" si="10"/>
        <v>0</v>
      </c>
      <c r="O123" s="304">
        <f t="shared" si="11"/>
        <v>0</v>
      </c>
      <c r="P123" s="306" t="str">
        <f t="shared" si="12"/>
        <v>55,43,</v>
      </c>
      <c r="Q123" s="306" t="str">
        <f t="shared" si="13"/>
        <v>[55,43]</v>
      </c>
      <c r="T123" s="306" t="str">
        <f t="shared" si="6"/>
        <v>[2,55,43,49,36]</v>
      </c>
    </row>
    <row r="124" spans="2:20" x14ac:dyDescent="0.35">
      <c r="B124" s="304" t="s">
        <v>631</v>
      </c>
      <c r="C124" s="411" t="str">
        <f>坦克个性化设定!E41</f>
        <v>T2</v>
      </c>
      <c r="D124" s="304" t="str">
        <f>坦克个性化细分!J26</f>
        <v>中</v>
      </c>
      <c r="E124" s="304" t="str">
        <f>VLOOKUP(B124,坦克个性化设定!$B$18:$F$48,5,FALSE)</f>
        <v>重坦单发</v>
      </c>
      <c r="F124" s="304">
        <v>0</v>
      </c>
      <c r="G124" s="304">
        <v>1</v>
      </c>
      <c r="H124" s="304">
        <v>1</v>
      </c>
      <c r="I124" s="304">
        <v>0</v>
      </c>
      <c r="J124" s="304">
        <v>0</v>
      </c>
      <c r="K124" s="304">
        <f t="shared" si="7"/>
        <v>0</v>
      </c>
      <c r="L124" s="304">
        <f t="shared" si="8"/>
        <v>54</v>
      </c>
      <c r="M124" s="304">
        <f t="shared" si="9"/>
        <v>39</v>
      </c>
      <c r="N124" s="304">
        <f t="shared" si="10"/>
        <v>0</v>
      </c>
      <c r="O124" s="304">
        <f t="shared" si="11"/>
        <v>0</v>
      </c>
      <c r="P124" s="306" t="str">
        <f t="shared" si="12"/>
        <v>54,39,</v>
      </c>
      <c r="Q124" s="306" t="str">
        <f t="shared" si="13"/>
        <v>[54,39]</v>
      </c>
      <c r="T124" s="306" t="str">
        <f t="shared" si="6"/>
        <v>[2,54,39,41,49]</v>
      </c>
    </row>
    <row r="125" spans="2:20" x14ac:dyDescent="0.35">
      <c r="B125" s="304" t="s">
        <v>628</v>
      </c>
      <c r="C125" s="411" t="str">
        <f>坦克个性化设定!E42</f>
        <v>T3</v>
      </c>
      <c r="D125" s="304" t="str">
        <f>坦克个性化细分!J27</f>
        <v>低</v>
      </c>
      <c r="E125" s="304" t="str">
        <f>VLOOKUP(B125,坦克个性化设定!$B$18:$F$48,5,FALSE)</f>
        <v>重坦单发</v>
      </c>
      <c r="F125" s="304">
        <v>1</v>
      </c>
      <c r="G125" s="304">
        <v>1</v>
      </c>
      <c r="H125" s="304">
        <v>1</v>
      </c>
      <c r="I125" s="304">
        <v>0</v>
      </c>
      <c r="J125" s="304">
        <v>0</v>
      </c>
      <c r="K125" s="304">
        <f t="shared" si="7"/>
        <v>2</v>
      </c>
      <c r="L125" s="304">
        <f t="shared" si="8"/>
        <v>54</v>
      </c>
      <c r="M125" s="304">
        <f t="shared" si="9"/>
        <v>39</v>
      </c>
      <c r="N125" s="304">
        <f t="shared" si="10"/>
        <v>0</v>
      </c>
      <c r="O125" s="304">
        <f t="shared" si="11"/>
        <v>0</v>
      </c>
      <c r="P125" s="306" t="str">
        <f t="shared" si="12"/>
        <v>2,54,39,</v>
      </c>
      <c r="Q125" s="306" t="str">
        <f t="shared" si="13"/>
        <v>[2,54,39]</v>
      </c>
      <c r="T125" s="306" t="str">
        <f t="shared" si="6"/>
        <v>[2,54,39,41,49]</v>
      </c>
    </row>
    <row r="126" spans="2:20" x14ac:dyDescent="0.35">
      <c r="B126" s="304" t="s">
        <v>632</v>
      </c>
      <c r="C126" s="411" t="str">
        <f>坦克个性化设定!E43</f>
        <v>T3</v>
      </c>
      <c r="D126" s="304" t="str">
        <f>坦克个性化细分!J28</f>
        <v>中</v>
      </c>
      <c r="E126" s="304" t="str">
        <f>VLOOKUP(B126,坦克个性化设定!$B$18:$F$48,5,FALSE)</f>
        <v>重坦单发</v>
      </c>
      <c r="F126" s="304">
        <v>1</v>
      </c>
      <c r="G126" s="304">
        <v>1</v>
      </c>
      <c r="H126" s="304">
        <v>1</v>
      </c>
      <c r="I126" s="304">
        <v>0</v>
      </c>
      <c r="J126" s="304">
        <v>0</v>
      </c>
      <c r="K126" s="304">
        <f t="shared" si="7"/>
        <v>2</v>
      </c>
      <c r="L126" s="304">
        <f t="shared" si="8"/>
        <v>54</v>
      </c>
      <c r="M126" s="304">
        <f t="shared" si="9"/>
        <v>39</v>
      </c>
      <c r="N126" s="304">
        <f t="shared" si="10"/>
        <v>0</v>
      </c>
      <c r="O126" s="304">
        <f t="shared" si="11"/>
        <v>0</v>
      </c>
      <c r="P126" s="306" t="str">
        <f t="shared" si="12"/>
        <v>2,54,39,</v>
      </c>
      <c r="Q126" s="306" t="str">
        <f t="shared" si="13"/>
        <v>[2,54,39]</v>
      </c>
      <c r="T126" s="306" t="str">
        <f t="shared" si="6"/>
        <v>[2,54,39,41,49]</v>
      </c>
    </row>
    <row r="127" spans="2:20" x14ac:dyDescent="0.35">
      <c r="B127" s="304" t="s">
        <v>633</v>
      </c>
      <c r="C127" s="411" t="str">
        <f>坦克个性化设定!E44</f>
        <v>T3</v>
      </c>
      <c r="D127" s="304" t="str">
        <f>坦克个性化细分!J29</f>
        <v>高</v>
      </c>
      <c r="E127" s="304" t="str">
        <f>VLOOKUP(B127,坦克个性化设定!$B$18:$F$48,5,FALSE)</f>
        <v>重坦自动</v>
      </c>
      <c r="F127" s="304">
        <v>1</v>
      </c>
      <c r="G127" s="304">
        <v>1</v>
      </c>
      <c r="H127" s="304">
        <v>1</v>
      </c>
      <c r="I127" s="304">
        <v>0</v>
      </c>
      <c r="J127" s="304">
        <v>0</v>
      </c>
      <c r="K127" s="304">
        <f t="shared" si="7"/>
        <v>2</v>
      </c>
      <c r="L127" s="304">
        <f t="shared" si="8"/>
        <v>55</v>
      </c>
      <c r="M127" s="304">
        <f t="shared" si="9"/>
        <v>43</v>
      </c>
      <c r="N127" s="304">
        <f t="shared" si="10"/>
        <v>0</v>
      </c>
      <c r="O127" s="304">
        <f t="shared" si="11"/>
        <v>0</v>
      </c>
      <c r="P127" s="306" t="str">
        <f t="shared" si="12"/>
        <v>2,55,43,</v>
      </c>
      <c r="Q127" s="306" t="str">
        <f t="shared" si="13"/>
        <v>[2,55,43]</v>
      </c>
      <c r="T127" s="306" t="str">
        <f t="shared" si="6"/>
        <v>[2,55,43,49,36]</v>
      </c>
    </row>
    <row r="128" spans="2:20" x14ac:dyDescent="0.35">
      <c r="B128" s="304" t="s">
        <v>635</v>
      </c>
      <c r="C128" s="411" t="str">
        <f>坦克个性化设定!E45</f>
        <v>T4</v>
      </c>
      <c r="D128" s="304" t="str">
        <f>坦克个性化细分!J30</f>
        <v>低</v>
      </c>
      <c r="E128" s="304" t="str">
        <f>VLOOKUP(B128,坦克个性化设定!$B$18:$F$48,5,FALSE)</f>
        <v>重坦单发</v>
      </c>
      <c r="F128" s="304">
        <v>1</v>
      </c>
      <c r="G128" s="304">
        <v>1</v>
      </c>
      <c r="H128" s="304">
        <v>1</v>
      </c>
      <c r="I128" s="304">
        <v>1</v>
      </c>
      <c r="J128" s="304">
        <v>0</v>
      </c>
      <c r="K128" s="304">
        <f t="shared" si="7"/>
        <v>2</v>
      </c>
      <c r="L128" s="304">
        <f t="shared" si="8"/>
        <v>54</v>
      </c>
      <c r="M128" s="304">
        <f t="shared" si="9"/>
        <v>39</v>
      </c>
      <c r="N128" s="304">
        <f t="shared" si="10"/>
        <v>41</v>
      </c>
      <c r="O128" s="304">
        <f t="shared" si="11"/>
        <v>0</v>
      </c>
      <c r="P128" s="306" t="str">
        <f t="shared" si="12"/>
        <v>2,54,39,41,</v>
      </c>
      <c r="Q128" s="306" t="str">
        <f t="shared" si="13"/>
        <v>[2,54,39,41]</v>
      </c>
      <c r="T128" s="306" t="str">
        <f t="shared" si="6"/>
        <v>[2,54,39,41,49]</v>
      </c>
    </row>
    <row r="129" spans="2:20" x14ac:dyDescent="0.35">
      <c r="B129" s="304" t="s">
        <v>629</v>
      </c>
      <c r="C129" s="411" t="str">
        <f>坦克个性化设定!E46</f>
        <v>T4</v>
      </c>
      <c r="D129" s="304" t="str">
        <f>坦克个性化细分!J31</f>
        <v>中</v>
      </c>
      <c r="E129" s="304" t="str">
        <f>VLOOKUP(B129,坦克个性化设定!$B$18:$F$48,5,FALSE)</f>
        <v>重坦自动</v>
      </c>
      <c r="F129" s="304">
        <v>1</v>
      </c>
      <c r="G129" s="304">
        <v>1</v>
      </c>
      <c r="H129" s="304">
        <v>1</v>
      </c>
      <c r="I129" s="304">
        <v>1</v>
      </c>
      <c r="J129" s="304">
        <v>0</v>
      </c>
      <c r="K129" s="304">
        <f t="shared" si="7"/>
        <v>2</v>
      </c>
      <c r="L129" s="304">
        <f t="shared" si="8"/>
        <v>55</v>
      </c>
      <c r="M129" s="304">
        <f t="shared" si="9"/>
        <v>43</v>
      </c>
      <c r="N129" s="304">
        <f t="shared" si="10"/>
        <v>49</v>
      </c>
      <c r="O129" s="304">
        <f t="shared" si="11"/>
        <v>0</v>
      </c>
      <c r="P129" s="306" t="str">
        <f t="shared" si="12"/>
        <v>2,55,43,49,</v>
      </c>
      <c r="Q129" s="306" t="str">
        <f t="shared" si="13"/>
        <v>[2,55,43,49]</v>
      </c>
      <c r="T129" s="306" t="str">
        <f t="shared" si="6"/>
        <v>[2,55,43,49,36]</v>
      </c>
    </row>
    <row r="130" spans="2:20" x14ac:dyDescent="0.35">
      <c r="B130" s="304" t="s">
        <v>722</v>
      </c>
      <c r="C130" s="411" t="str">
        <f>坦克个性化设定!E47</f>
        <v>T4</v>
      </c>
      <c r="D130" s="304" t="str">
        <f>坦克个性化细分!J32</f>
        <v>高</v>
      </c>
      <c r="E130" s="304" t="str">
        <f>VLOOKUP(B130,坦克个性化设定!$B$18:$F$48,5,FALSE)</f>
        <v>重坦单发</v>
      </c>
      <c r="F130" s="304">
        <v>1</v>
      </c>
      <c r="G130" s="304">
        <v>1</v>
      </c>
      <c r="H130" s="304">
        <v>1</v>
      </c>
      <c r="I130" s="304">
        <v>1</v>
      </c>
      <c r="J130" s="304">
        <v>0</v>
      </c>
      <c r="K130" s="304">
        <f t="shared" si="7"/>
        <v>2</v>
      </c>
      <c r="L130" s="304">
        <f t="shared" si="8"/>
        <v>54</v>
      </c>
      <c r="M130" s="304">
        <f t="shared" si="9"/>
        <v>39</v>
      </c>
      <c r="N130" s="304">
        <f t="shared" si="10"/>
        <v>41</v>
      </c>
      <c r="O130" s="304">
        <f t="shared" si="11"/>
        <v>0</v>
      </c>
      <c r="P130" s="306" t="str">
        <f t="shared" si="12"/>
        <v>2,54,39,41,</v>
      </c>
      <c r="Q130" s="306" t="str">
        <f t="shared" si="13"/>
        <v>[2,54,39,41]</v>
      </c>
      <c r="T130" s="306" t="str">
        <f t="shared" si="6"/>
        <v>[2,54,39,41,49]</v>
      </c>
    </row>
    <row r="131" spans="2:20" x14ac:dyDescent="0.35">
      <c r="B131" s="304" t="s">
        <v>637</v>
      </c>
      <c r="C131" s="411" t="str">
        <f>坦克个性化设定!E48</f>
        <v>T5</v>
      </c>
      <c r="D131" s="304" t="str">
        <f>坦克个性化细分!J33</f>
        <v>低</v>
      </c>
      <c r="E131" s="304" t="str">
        <f>VLOOKUP(B131,坦克个性化设定!$B$18:$F$48,5,FALSE)</f>
        <v>重坦单发</v>
      </c>
      <c r="F131" s="304">
        <v>1</v>
      </c>
      <c r="G131" s="304">
        <v>1</v>
      </c>
      <c r="H131" s="304">
        <v>1</v>
      </c>
      <c r="I131" s="304">
        <v>1</v>
      </c>
      <c r="J131" s="304">
        <v>1</v>
      </c>
      <c r="K131" s="304">
        <f t="shared" si="7"/>
        <v>2</v>
      </c>
      <c r="L131" s="304">
        <f t="shared" si="8"/>
        <v>54</v>
      </c>
      <c r="M131" s="304">
        <f t="shared" si="9"/>
        <v>39</v>
      </c>
      <c r="N131" s="304">
        <f t="shared" si="10"/>
        <v>41</v>
      </c>
      <c r="O131" s="304">
        <f t="shared" si="11"/>
        <v>49</v>
      </c>
      <c r="P131" s="306" t="str">
        <f t="shared" si="12"/>
        <v>2,54,39,41,49,</v>
      </c>
      <c r="Q131" s="306" t="str">
        <f t="shared" si="13"/>
        <v>[2,54,39,41,49]</v>
      </c>
      <c r="T131" s="306" t="str">
        <f t="shared" si="6"/>
        <v>[2,54,39,41,49]</v>
      </c>
    </row>
  </sheetData>
  <phoneticPr fontId="101"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1"/>
  <dimension ref="B2:AY116"/>
  <sheetViews>
    <sheetView workbookViewId="0">
      <selection activeCell="AF8" sqref="AF8"/>
    </sheetView>
  </sheetViews>
  <sheetFormatPr defaultColWidth="9" defaultRowHeight="13" x14ac:dyDescent="0.35"/>
  <cols>
    <col min="1" max="16384" width="9" style="117"/>
  </cols>
  <sheetData>
    <row r="2" spans="2:51" x14ac:dyDescent="0.35">
      <c r="B2" s="493" t="s">
        <v>2161</v>
      </c>
      <c r="C2" s="8">
        <v>0.5</v>
      </c>
      <c r="K2" s="569" t="s">
        <v>2574</v>
      </c>
    </row>
    <row r="3" spans="2:51" x14ac:dyDescent="0.35">
      <c r="D3" s="492"/>
      <c r="K3" s="492"/>
    </row>
    <row r="4" spans="2:51" x14ac:dyDescent="0.35">
      <c r="K4" s="569" t="s">
        <v>2573</v>
      </c>
      <c r="S4" s="688" t="s">
        <v>3344</v>
      </c>
    </row>
    <row r="6" spans="2:51" x14ac:dyDescent="0.35">
      <c r="V6" s="323" t="s">
        <v>1676</v>
      </c>
      <c r="W6" s="323"/>
      <c r="X6" s="323"/>
      <c r="Y6" s="323"/>
      <c r="Z6" s="323"/>
      <c r="AA6" s="323"/>
      <c r="AB6" s="323"/>
    </row>
    <row r="7" spans="2:51" x14ac:dyDescent="0.35">
      <c r="B7" s="114" t="s">
        <v>571</v>
      </c>
      <c r="C7" s="248" t="s">
        <v>644</v>
      </c>
      <c r="D7" s="114" t="s">
        <v>582</v>
      </c>
      <c r="E7" s="118" t="s">
        <v>769</v>
      </c>
      <c r="F7" s="108" t="s">
        <v>389</v>
      </c>
      <c r="G7" s="109" t="s">
        <v>709</v>
      </c>
      <c r="H7" s="118" t="s">
        <v>770</v>
      </c>
      <c r="I7" s="108" t="s">
        <v>705</v>
      </c>
      <c r="J7" s="111" t="s">
        <v>666</v>
      </c>
      <c r="K7" s="110" t="s">
        <v>669</v>
      </c>
      <c r="L7" s="108" t="s">
        <v>729</v>
      </c>
      <c r="M7" s="108" t="s">
        <v>60</v>
      </c>
      <c r="N7" s="108" t="s">
        <v>702</v>
      </c>
      <c r="O7" s="108" t="s">
        <v>703</v>
      </c>
      <c r="P7" s="110" t="s">
        <v>249</v>
      </c>
      <c r="Q7" s="107" t="s">
        <v>438</v>
      </c>
      <c r="R7" s="493" t="s">
        <v>2113</v>
      </c>
      <c r="S7" s="107" t="s">
        <v>435</v>
      </c>
      <c r="T7" s="107" t="s">
        <v>436</v>
      </c>
      <c r="U7" s="493" t="s">
        <v>2147</v>
      </c>
      <c r="V7" s="107" t="s">
        <v>448</v>
      </c>
      <c r="W7" s="473" t="s">
        <v>2038</v>
      </c>
      <c r="X7" s="473" t="s">
        <v>2040</v>
      </c>
      <c r="Y7" s="473" t="s">
        <v>2042</v>
      </c>
      <c r="Z7" s="493" t="s">
        <v>2148</v>
      </c>
      <c r="AA7" s="493" t="s">
        <v>2149</v>
      </c>
      <c r="AB7" s="493" t="s">
        <v>2150</v>
      </c>
      <c r="AC7" s="118" t="s">
        <v>771</v>
      </c>
      <c r="AD7" s="399" t="s">
        <v>1843</v>
      </c>
      <c r="AE7" s="231"/>
      <c r="AF7" s="493" t="s">
        <v>2162</v>
      </c>
      <c r="AG7" s="480" t="s">
        <v>2154</v>
      </c>
    </row>
    <row r="8" spans="2:51" x14ac:dyDescent="0.35">
      <c r="B8" s="192" t="str">
        <f>坦克个性化细分!I4</f>
        <v>雷诺FT</v>
      </c>
      <c r="C8" s="249" t="str">
        <f>VLOOKUP(B8,坦克个性化设定!$B$18:$F$48,5,FALSE)</f>
        <v>轻坦弹夹</v>
      </c>
      <c r="D8" s="192" t="str">
        <f>坦克个性化细分!J4</f>
        <v>低</v>
      </c>
      <c r="E8" s="114" t="str">
        <f t="shared" ref="E8:E37" si="0">B8&amp;D8</f>
        <v>雷诺FT低</v>
      </c>
      <c r="F8" s="120">
        <f>VLOOKUP($B8,坦克属性统计!$B$3:$AY$33,MATCH(F$7,坦克属性统计!$B$3:$AY$3,0),FALSE)</f>
        <v>0.86</v>
      </c>
      <c r="G8" s="120">
        <f>VLOOKUP($B8,坦克属性统计!$B$3:$AY$33,MATCH(G$7,坦克属性统计!$B$3:$AY$3,0),FALSE)</f>
        <v>0.6</v>
      </c>
      <c r="H8" s="120">
        <f>VLOOKUP($B8,坦克属性统计!$B$3:$AY$33,MATCH(H$7,坦克属性统计!$B$3:$AY$3,0),FALSE)</f>
        <v>0.30000000000000004</v>
      </c>
      <c r="I8" s="120">
        <f>VLOOKUP($B8,坦克属性统计!$B$3:$AY$33,MATCH(I$7,坦克属性统计!$B$3:$AY$3,0),FALSE)</f>
        <v>1.2</v>
      </c>
      <c r="J8" s="120">
        <f>VLOOKUP($B8,坦克属性统计!$B$3:$AY$33,MATCH(J$7,坦克属性统计!$B$3:$AY$3,0),FALSE)</f>
        <v>47.1</v>
      </c>
      <c r="K8" s="120">
        <f>VLOOKUP($B8,坦克属性统计!$B$3:$AY$33,MATCH(K$7,坦克属性统计!$B$3:$AY$3,0),FALSE)</f>
        <v>45</v>
      </c>
      <c r="L8" s="120">
        <f>VLOOKUP($B8,坦克属性统计!$B$3:$AY$33,MATCH(L$7,坦克属性统计!$B$3:$AY$3,0),FALSE)</f>
        <v>14.6</v>
      </c>
      <c r="M8" s="209">
        <f>VLOOKUP($B8,坦克属性统计!$B$3:$AY$33,MATCH(M$7,坦克属性统计!$B$3:$AY$3,0),FALSE)</f>
        <v>18</v>
      </c>
      <c r="N8" s="120">
        <f>VLOOKUP($B8,坦克属性统计!$B$3:$AY$33,MATCH(N$7,坦克属性统计!$B$3:$AY$3,0),FALSE)</f>
        <v>0</v>
      </c>
      <c r="O8" s="120">
        <f>VLOOKUP($B8,坦克属性统计!$B$3:$AY$33,MATCH(O$7,坦克属性统计!$B$3:$AY$3,0),FALSE)</f>
        <v>7.56</v>
      </c>
      <c r="P8" s="120">
        <f>VLOOKUP($B8,坦克属性统计!$B$3:$AY$33,MATCH(P$7,坦克属性统计!$B$3:$AY$3,0),FALSE)</f>
        <v>0.5</v>
      </c>
      <c r="Q8" s="502">
        <f ca="1">VLOOKUP($B8,坦克属性统计!$B$3:$AY$33,MATCH(Q$7,坦克属性统计!$B$3:$AY$3,0),FALSE)*(1+W8/Z8)</f>
        <v>789.05</v>
      </c>
      <c r="R8" s="502">
        <f ca="1">VLOOKUP($B8,坦克属性统计!$B$3:$AY$33,MATCH(R$7,坦克属性统计!$B$3:$AY$3,0),FALSE)*(1+X8/AA8)</f>
        <v>25.799999999999997</v>
      </c>
      <c r="S8" s="209">
        <f ca="1">VLOOKUP($B8,坦克属性统计!$B$3:$AY$33,MATCH(S$7,坦克属性统计!$B$3:$AY$3,0),FALSE)</f>
        <v>329</v>
      </c>
      <c r="T8" s="209">
        <f ca="1">VLOOKUP($B8,坦克属性统计!$B$3:$AY$33,MATCH(T$7,坦克属性统计!$B$3:$AY$3,0),FALSE)</f>
        <v>230</v>
      </c>
      <c r="U8" s="502">
        <f ca="1">VLOOKUP($B8,坦克属性统计!$B$3:$AY$33,MATCH(U$7,坦克属性统计!$B$3:$AY$3,0),FALSE)*(1+Y8/AB8)</f>
        <v>322.5</v>
      </c>
      <c r="V8" s="209">
        <f ca="1">VLOOKUP($B8,坦克属性统计!$B$3:$AY$33,MATCH(V$7,坦克属性统计!$B$3:$AY$3,0),FALSE)</f>
        <v>80</v>
      </c>
      <c r="W8" s="209">
        <f>VLOOKUP($B8,坦克属性统计!$B$3:$AY$33,MATCH(W$7,坦克属性统计!$B$3:$AY$3,0),FALSE)</f>
        <v>270</v>
      </c>
      <c r="X8" s="209">
        <f>VLOOKUP($B8,坦克属性统计!$B$3:$AY$33,MATCH(X$7,坦克属性统计!$B$3:$AY$3,0),FALSE)</f>
        <v>270</v>
      </c>
      <c r="Y8" s="209">
        <f>VLOOKUP($B8,坦克属性统计!$B$3:$AY$33,MATCH(Y$7,坦克属性统计!$B$3:$AY$3,0),FALSE)</f>
        <v>270</v>
      </c>
      <c r="Z8" s="209">
        <f>VLOOKUP(B8,坦克部件!$AJ$3:$AQ$33,MATCH("基础系数",坦克部件!$AJ$3:$AQ$3,0),FALSE)</f>
        <v>3600</v>
      </c>
      <c r="AA8" s="209">
        <f t="shared" ref="AA8:AB37" si="1">Z8</f>
        <v>3600</v>
      </c>
      <c r="AB8" s="209">
        <f t="shared" si="1"/>
        <v>3600</v>
      </c>
      <c r="AC8" s="28">
        <f t="shared" ref="AC8:AC37" si="2">IF(LEN(C8)=5,(60-(M8-1)*H8)/N8+M8,IF(RIGHT(C8,2)="弹夹",((60-(M8-1)*H8)/(O8+(M8-1)*H8)+1)*M8,60/N8+M8))</f>
        <v>96.056872037914687</v>
      </c>
      <c r="AD8" s="28" t="s">
        <v>987</v>
      </c>
      <c r="AE8" s="232"/>
      <c r="AF8" s="502">
        <f ca="1">POWER(R8*Q8*AC8*AVERAGE(S8:T8)/(AB8/10)*U8/(AB8/10),$C$2)</f>
        <v>1166.2176235119921</v>
      </c>
      <c r="AG8" s="502">
        <f ca="1">ROUND(AF8*0.8,0)</f>
        <v>933</v>
      </c>
      <c r="AI8" s="117">
        <f ca="1">Q8*R8*AC8</f>
        <v>1955476.8119431278</v>
      </c>
      <c r="AJ8" s="117">
        <f ca="1">AVERAGE(S8:T8)*U8</f>
        <v>90138.75</v>
      </c>
      <c r="AK8" s="117">
        <f ca="1">AI8/AJ8</f>
        <v>21.694075100255194</v>
      </c>
      <c r="AL8" s="117">
        <f ca="1">AI8/200</f>
        <v>9777.3840597156395</v>
      </c>
      <c r="AM8" s="117">
        <f ca="1">SQRT(AI8/2+AJ8*100)</f>
        <v>3160.9513450813452</v>
      </c>
      <c r="AN8" s="117">
        <f ca="1">SQRT(AJ8)</f>
        <v>300.23116094103221</v>
      </c>
      <c r="AR8" s="121">
        <f t="shared" ref="AR8:AR17" ca="1" si="3">AF8</f>
        <v>1166.2176235119921</v>
      </c>
      <c r="AS8" s="121">
        <f t="shared" ref="AS8:AS17" ca="1" si="4">AF18</f>
        <v>1309.2724332283806</v>
      </c>
      <c r="AT8" s="121">
        <f t="shared" ref="AT8:AT17" ca="1" si="5">AF28</f>
        <v>1482.2644321475595</v>
      </c>
      <c r="AU8" s="121">
        <f t="shared" ref="AU8:AU17" ca="1" si="6">AVERAGE(AR8:AT8)</f>
        <v>1319.2514962959774</v>
      </c>
      <c r="AW8" s="117">
        <f t="shared" ref="AW8:AW17" ca="1" si="7">ROUND(AR8/$AU8,3)</f>
        <v>0.88400000000000001</v>
      </c>
      <c r="AX8" s="117">
        <f t="shared" ref="AX8:AX17" ca="1" si="8">ROUND(AS8/$AU8,3)</f>
        <v>0.99199999999999999</v>
      </c>
      <c r="AY8" s="117">
        <f t="shared" ref="AY8:AY17" ca="1" si="9">ROUND(AT8/$AU8,3)</f>
        <v>1.1240000000000001</v>
      </c>
    </row>
    <row r="9" spans="2:51" x14ac:dyDescent="0.35">
      <c r="B9" s="192" t="str">
        <f>坦克个性化细分!I5</f>
        <v>二号</v>
      </c>
      <c r="C9" s="249" t="str">
        <f>VLOOKUP(B9,坦克个性化设定!$B$18:$F$48,5,FALSE)</f>
        <v>轻坦弹夹</v>
      </c>
      <c r="D9" s="192" t="str">
        <f>坦克个性化细分!J5</f>
        <v>低</v>
      </c>
      <c r="E9" s="114" t="str">
        <f t="shared" si="0"/>
        <v>二号低</v>
      </c>
      <c r="F9" s="120">
        <f>VLOOKUP($B9,坦克属性统计!$B$3:$AY$33,MATCH(F$7,坦克属性统计!$B$3:$AY$3,0),FALSE)</f>
        <v>0.7</v>
      </c>
      <c r="G9" s="120">
        <f>VLOOKUP($B9,坦克属性统计!$B$3:$AY$33,MATCH(G$7,坦克属性统计!$B$3:$AY$3,0),FALSE)</f>
        <v>0.55000000000000004</v>
      </c>
      <c r="H9" s="120">
        <f>VLOOKUP($B9,坦克属性统计!$B$3:$AY$33,MATCH(H$7,坦克属性统计!$B$3:$AY$3,0),FALSE)</f>
        <v>0.2</v>
      </c>
      <c r="I9" s="120">
        <f>VLOOKUP($B9,坦克属性统计!$B$3:$AY$33,MATCH(I$7,坦克属性统计!$B$3:$AY$3,0),FALSE)</f>
        <v>1.2</v>
      </c>
      <c r="J9" s="120">
        <f>VLOOKUP($B9,坦克属性统计!$B$3:$AY$33,MATCH(J$7,坦克属性统计!$B$3:$AY$3,0),FALSE)</f>
        <v>47.1</v>
      </c>
      <c r="K9" s="120">
        <f>VLOOKUP($B9,坦克属性统计!$B$3:$AY$33,MATCH(K$7,坦克属性统计!$B$3:$AY$3,0),FALSE)</f>
        <v>45</v>
      </c>
      <c r="L9" s="120">
        <f>VLOOKUP($B9,坦克属性统计!$B$3:$AY$33,MATCH(L$7,坦克属性统计!$B$3:$AY$3,0),FALSE)</f>
        <v>14.6</v>
      </c>
      <c r="M9" s="209">
        <f>VLOOKUP($B9,坦克属性统计!$B$3:$AY$33,MATCH(M$7,坦克属性统计!$B$3:$AY$3,0),FALSE)</f>
        <v>14.999999999999998</v>
      </c>
      <c r="N9" s="120">
        <f>VLOOKUP($B9,坦克属性统计!$B$3:$AY$33,MATCH(N$7,坦克属性统计!$B$3:$AY$3,0),FALSE)</f>
        <v>0</v>
      </c>
      <c r="O9" s="120">
        <f>VLOOKUP($B9,坦克属性统计!$B$3:$AY$33,MATCH(O$7,坦克属性统计!$B$3:$AY$3,0),FALSE)</f>
        <v>8.3999999999999986</v>
      </c>
      <c r="P9" s="120">
        <f>VLOOKUP($B9,坦克属性统计!$B$3:$AY$33,MATCH(P$7,坦克属性统计!$B$3:$AY$3,0),FALSE)</f>
        <v>0.45833333333333337</v>
      </c>
      <c r="Q9" s="502">
        <f ca="1">VLOOKUP($B9,坦克属性统计!$B$3:$AY$33,MATCH(Q$7,坦克属性统计!$B$3:$AY$3,0),FALSE)*(1+W9/Z9)</f>
        <v>944.46</v>
      </c>
      <c r="R9" s="502">
        <f ca="1">VLOOKUP($B9,坦克属性统计!$B$3:$AY$33,MATCH(R$7,坦克属性统计!$B$3:$AY$3,0),FALSE)*(1+X9/AA9)</f>
        <v>30.740000000000002</v>
      </c>
      <c r="S9" s="209">
        <f ca="1">VLOOKUP($B9,坦克属性统计!$B$3:$AY$33,MATCH(S$7,坦克属性统计!$B$3:$AY$3,0),FALSE)</f>
        <v>394</v>
      </c>
      <c r="T9" s="209">
        <f ca="1">VLOOKUP($B9,坦克属性统计!$B$3:$AY$33,MATCH(T$7,坦克属性统计!$B$3:$AY$3,0),FALSE)</f>
        <v>276</v>
      </c>
      <c r="U9" s="502">
        <f ca="1">VLOOKUP($B9,坦克属性统计!$B$3:$AY$33,MATCH(U$7,坦克属性统计!$B$3:$AY$3,0),FALSE)*(1+Y9/AB9)</f>
        <v>381.6</v>
      </c>
      <c r="V9" s="209">
        <f ca="1">VLOOKUP($B9,坦克属性统计!$B$3:$AY$33,MATCH(V$7,坦克属性统计!$B$3:$AY$3,0),FALSE)</f>
        <v>96</v>
      </c>
      <c r="W9" s="209">
        <f>VLOOKUP($B9,坦克属性统计!$B$3:$AY$33,MATCH(W$7,坦克属性统计!$B$3:$AY$3,0),FALSE)</f>
        <v>270</v>
      </c>
      <c r="X9" s="209">
        <f>VLOOKUP($B9,坦克属性统计!$B$3:$AY$33,MATCH(X$7,坦克属性统计!$B$3:$AY$3,0),FALSE)</f>
        <v>270</v>
      </c>
      <c r="Y9" s="209">
        <f>VLOOKUP($B9,坦克属性统计!$B$3:$AY$33,MATCH(Y$7,坦克属性统计!$B$3:$AY$3,0),FALSE)</f>
        <v>270</v>
      </c>
      <c r="Z9" s="209">
        <f>VLOOKUP(B9,坦克部件!$AJ$3:$AQ$33,MATCH("基础系数",坦克部件!$AJ$3:$AQ$3,0),FALSE)</f>
        <v>4500</v>
      </c>
      <c r="AA9" s="209">
        <f t="shared" si="1"/>
        <v>4500</v>
      </c>
      <c r="AB9" s="209">
        <f t="shared" si="1"/>
        <v>4500</v>
      </c>
      <c r="AC9" s="28">
        <f t="shared" si="2"/>
        <v>91.607142857142847</v>
      </c>
      <c r="AD9" s="28" t="s">
        <v>921</v>
      </c>
      <c r="AE9" s="232"/>
      <c r="AF9" s="502">
        <f t="shared" ref="AF9:AF37" ca="1" si="10">POWER(R9*Q9*AC9*AVERAGE(S9:T9)/(AB9/10)*U9/(AB9/10),$C$2)</f>
        <v>1295.7537012281748</v>
      </c>
      <c r="AG9" s="502">
        <f t="shared" ref="AG9:AG37" ca="1" si="11">ROUND(AF9*0.8,0)</f>
        <v>1037</v>
      </c>
      <c r="AI9" s="117">
        <f t="shared" ref="AI9:AI37" ca="1" si="12">Q9*R9*AC9</f>
        <v>2659602.7330714283</v>
      </c>
      <c r="AJ9" s="117">
        <f t="shared" ref="AJ9:AJ37" ca="1" si="13">AVERAGE(S9:T9)*U9</f>
        <v>127836.00000000001</v>
      </c>
      <c r="AK9" s="117">
        <f t="shared" ref="AK9:AK37" ca="1" si="14">AI9/AJ9</f>
        <v>20.804802505330485</v>
      </c>
      <c r="AL9" s="117">
        <f t="shared" ref="AL9:AL37" ca="1" si="15">AI9/200</f>
        <v>13298.013665357141</v>
      </c>
      <c r="AM9" s="117">
        <f t="shared" ref="AM9:AM37" ca="1" si="16">SQRT(AI9/2+AJ9*100)</f>
        <v>3756.7807184523981</v>
      </c>
      <c r="AN9" s="117">
        <f t="shared" ref="AN9:AN37" ca="1" si="17">SQRT(AJ9)</f>
        <v>357.54160597054999</v>
      </c>
      <c r="AR9" s="121">
        <f t="shared" ca="1" si="3"/>
        <v>1295.7537012281748</v>
      </c>
      <c r="AS9" s="121">
        <f t="shared" ca="1" si="4"/>
        <v>1491.7427999325889</v>
      </c>
      <c r="AT9" s="121">
        <f t="shared" ca="1" si="5"/>
        <v>1668.1540880551638</v>
      </c>
      <c r="AU9" s="121">
        <f t="shared" ca="1" si="6"/>
        <v>1485.2168630719759</v>
      </c>
      <c r="AW9" s="117">
        <f t="shared" ca="1" si="7"/>
        <v>0.872</v>
      </c>
      <c r="AX9" s="117">
        <f t="shared" ca="1" si="8"/>
        <v>1.004</v>
      </c>
      <c r="AY9" s="117">
        <f t="shared" ca="1" si="9"/>
        <v>1.123</v>
      </c>
    </row>
    <row r="10" spans="2:51" x14ac:dyDescent="0.35">
      <c r="B10" s="192" t="str">
        <f>坦克个性化细分!I6</f>
        <v>Puma</v>
      </c>
      <c r="C10" s="249" t="str">
        <f>VLOOKUP(B10,坦克个性化设定!$B$18:$F$48,5,FALSE)</f>
        <v>轻坦半自动</v>
      </c>
      <c r="D10" s="192" t="str">
        <f>坦克个性化细分!J6</f>
        <v>中</v>
      </c>
      <c r="E10" s="114" t="str">
        <f t="shared" si="0"/>
        <v>Puma中</v>
      </c>
      <c r="F10" s="120">
        <f>VLOOKUP($B10,坦克属性统计!$B$3:$AY$33,MATCH(F$7,坦克属性统计!$B$3:$AY$3,0),FALSE)</f>
        <v>0.82</v>
      </c>
      <c r="G10" s="120">
        <f>VLOOKUP($B10,坦克属性统计!$B$3:$AY$33,MATCH(G$7,坦克属性统计!$B$3:$AY$3,0),FALSE)</f>
        <v>1.47</v>
      </c>
      <c r="H10" s="120">
        <f>VLOOKUP($B10,坦克属性统计!$B$3:$AY$33,MATCH(H$7,坦克属性统计!$B$3:$AY$3,0),FALSE)</f>
        <v>0.4</v>
      </c>
      <c r="I10" s="120">
        <f>VLOOKUP($B10,坦克属性统计!$B$3:$AY$33,MATCH(I$7,坦克属性统计!$B$3:$AY$3,0),FALSE)</f>
        <v>1.2</v>
      </c>
      <c r="J10" s="120">
        <f>VLOOKUP($B10,坦克属性统计!$B$3:$AY$33,MATCH(J$7,坦克属性统计!$B$3:$AY$3,0),FALSE)</f>
        <v>43.3</v>
      </c>
      <c r="K10" s="120">
        <f>VLOOKUP($B10,坦克属性统计!$B$3:$AY$33,MATCH(K$7,坦克属性统计!$B$3:$AY$3,0),FALSE)</f>
        <v>51</v>
      </c>
      <c r="L10" s="120">
        <f>VLOOKUP($B10,坦克属性统计!$B$3:$AY$33,MATCH(L$7,坦克属性统计!$B$3:$AY$3,0),FALSE)</f>
        <v>14.1</v>
      </c>
      <c r="M10" s="209">
        <f>VLOOKUP($B10,坦克属性统计!$B$3:$AY$33,MATCH(M$7,坦克属性统计!$B$3:$AY$3,0),FALSE)</f>
        <v>4</v>
      </c>
      <c r="N10" s="120">
        <f>VLOOKUP($B10,坦克属性统计!$B$3:$AY$33,MATCH(N$7,坦克属性统计!$B$3:$AY$3,0),FALSE)</f>
        <v>1.0499999999999998</v>
      </c>
      <c r="O10" s="120">
        <f>VLOOKUP($B10,坦克属性统计!$B$3:$AY$33,MATCH(O$7,坦克属性统计!$B$3:$AY$3,0),FALSE)</f>
        <v>0</v>
      </c>
      <c r="P10" s="120">
        <f>VLOOKUP($B10,坦克属性统计!$B$3:$AY$33,MATCH(P$7,坦克属性统计!$B$3:$AY$3,0),FALSE)</f>
        <v>1.2250000000000001</v>
      </c>
      <c r="Q10" s="502">
        <f ca="1">VLOOKUP($B10,坦克属性统计!$B$3:$AY$33,MATCH(Q$7,坦克属性统计!$B$3:$AY$3,0),FALSE)*(1+W10/Z10)</f>
        <v>1132.8</v>
      </c>
      <c r="R10" s="502">
        <f ca="1">VLOOKUP($B10,坦克属性统计!$B$3:$AY$33,MATCH(R$7,坦克属性统计!$B$3:$AY$3,0),FALSE)*(1+X10/AA10)</f>
        <v>50.133333333333333</v>
      </c>
      <c r="S10" s="209">
        <f ca="1">VLOOKUP($B10,坦克属性统计!$B$3:$AY$33,MATCH(S$7,坦克属性统计!$B$3:$AY$3,0),FALSE)</f>
        <v>369</v>
      </c>
      <c r="T10" s="209">
        <f ca="1">VLOOKUP($B10,坦克属性统计!$B$3:$AY$33,MATCH(T$7,坦克属性统计!$B$3:$AY$3,0),FALSE)</f>
        <v>258</v>
      </c>
      <c r="U10" s="502">
        <f ca="1">VLOOKUP($B10,坦克属性统计!$B$3:$AY$33,MATCH(U$7,坦克属性统计!$B$3:$AY$3,0),FALSE)*(1+Y10/AB10)</f>
        <v>393.6</v>
      </c>
      <c r="V10" s="209">
        <f ca="1">VLOOKUP($B10,坦克属性统计!$B$3:$AY$33,MATCH(V$7,坦克属性统计!$B$3:$AY$3,0),FALSE)</f>
        <v>98</v>
      </c>
      <c r="W10" s="209">
        <f>VLOOKUP($B10,坦克属性统计!$B$3:$AY$33,MATCH(W$7,坦克属性统计!$B$3:$AY$3,0),FALSE)</f>
        <v>380</v>
      </c>
      <c r="X10" s="209">
        <f>VLOOKUP($B10,坦克属性统计!$B$3:$AY$33,MATCH(X$7,坦克属性统计!$B$3:$AY$3,0),FALSE)</f>
        <v>380</v>
      </c>
      <c r="Y10" s="209">
        <f>VLOOKUP($B10,坦克属性统计!$B$3:$AY$33,MATCH(Y$7,坦克属性统计!$B$3:$AY$3,0),FALSE)</f>
        <v>380</v>
      </c>
      <c r="Z10" s="209">
        <f>VLOOKUP(B10,坦克部件!$AJ$3:$AQ$33,MATCH("基础系数",坦克部件!$AJ$3:$AQ$3,0),FALSE)</f>
        <v>5700</v>
      </c>
      <c r="AA10" s="209">
        <f t="shared" si="1"/>
        <v>5700</v>
      </c>
      <c r="AB10" s="209">
        <f t="shared" si="1"/>
        <v>5700</v>
      </c>
      <c r="AC10" s="28">
        <f t="shared" si="2"/>
        <v>60.000000000000007</v>
      </c>
      <c r="AD10" s="28" t="s">
        <v>921</v>
      </c>
      <c r="AE10" s="232"/>
      <c r="AF10" s="502">
        <f t="shared" ca="1" si="10"/>
        <v>1137.5932276058684</v>
      </c>
      <c r="AG10" s="502">
        <f t="shared" ca="1" si="11"/>
        <v>910</v>
      </c>
      <c r="AI10" s="117">
        <f t="shared" ca="1" si="12"/>
        <v>3407462.3999999999</v>
      </c>
      <c r="AJ10" s="117">
        <f t="shared" ca="1" si="13"/>
        <v>123393.60000000001</v>
      </c>
      <c r="AK10" s="117">
        <f t="shared" ca="1" si="14"/>
        <v>27.614579686466719</v>
      </c>
      <c r="AL10" s="117">
        <f t="shared" ca="1" si="15"/>
        <v>17037.311999999998</v>
      </c>
      <c r="AM10" s="117">
        <f t="shared" ca="1" si="16"/>
        <v>3747.4112664611553</v>
      </c>
      <c r="AN10" s="117">
        <f t="shared" ca="1" si="17"/>
        <v>351.27425183181305</v>
      </c>
      <c r="AR10" s="121">
        <f t="shared" ca="1" si="3"/>
        <v>1137.5932276058684</v>
      </c>
      <c r="AS10" s="121">
        <f t="shared" ca="1" si="4"/>
        <v>1314.7549610658104</v>
      </c>
      <c r="AT10" s="121">
        <f t="shared" ca="1" si="5"/>
        <v>1443.3238746924849</v>
      </c>
      <c r="AU10" s="121">
        <f t="shared" ca="1" si="6"/>
        <v>1298.5573544547212</v>
      </c>
      <c r="AW10" s="117">
        <f t="shared" ca="1" si="7"/>
        <v>0.876</v>
      </c>
      <c r="AX10" s="117">
        <f t="shared" ca="1" si="8"/>
        <v>1.012</v>
      </c>
      <c r="AY10" s="117">
        <f t="shared" ca="1" si="9"/>
        <v>1.111</v>
      </c>
    </row>
    <row r="11" spans="2:51" x14ac:dyDescent="0.35">
      <c r="B11" s="192" t="str">
        <f>坦克个性化细分!I7</f>
        <v>35(t)</v>
      </c>
      <c r="C11" s="249" t="str">
        <f>VLOOKUP(B11,坦克个性化设定!$B$18:$F$48,5,FALSE)</f>
        <v>轻坦半自动</v>
      </c>
      <c r="D11" s="192" t="str">
        <f>坦克个性化细分!J7</f>
        <v>低</v>
      </c>
      <c r="E11" s="114" t="str">
        <f t="shared" si="0"/>
        <v>35(t)低</v>
      </c>
      <c r="F11" s="120">
        <f>VLOOKUP($B11,坦克属性统计!$B$3:$AY$33,MATCH(F$7,坦克属性统计!$B$3:$AY$3,0),FALSE)</f>
        <v>0.78</v>
      </c>
      <c r="G11" s="120">
        <f>VLOOKUP($B11,坦克属性统计!$B$3:$AY$33,MATCH(G$7,坦克属性统计!$B$3:$AY$3,0),FALSE)</f>
        <v>1.1399999999999999</v>
      </c>
      <c r="H11" s="120">
        <f>VLOOKUP($B11,坦克属性统计!$B$3:$AY$33,MATCH(H$7,坦克属性统计!$B$3:$AY$3,0),FALSE)</f>
        <v>0.4</v>
      </c>
      <c r="I11" s="120">
        <f>VLOOKUP($B11,坦克属性统计!$B$3:$AY$33,MATCH(I$7,坦克属性统计!$B$3:$AY$3,0),FALSE)</f>
        <v>1.2</v>
      </c>
      <c r="J11" s="120">
        <f>VLOOKUP($B11,坦克属性统计!$B$3:$AY$33,MATCH(J$7,坦克属性统计!$B$3:$AY$3,0),FALSE)</f>
        <v>42.4</v>
      </c>
      <c r="K11" s="120">
        <f>VLOOKUP($B11,坦克属性统计!$B$3:$AY$33,MATCH(K$7,坦克属性统计!$B$3:$AY$3,0),FALSE)</f>
        <v>50</v>
      </c>
      <c r="L11" s="120">
        <f>VLOOKUP($B11,坦克属性统计!$B$3:$AY$33,MATCH(L$7,坦克属性统计!$B$3:$AY$3,0),FALSE)</f>
        <v>13.9</v>
      </c>
      <c r="M11" s="209">
        <f>VLOOKUP($B11,坦克属性统计!$B$3:$AY$33,MATCH(M$7,坦克属性统计!$B$3:$AY$3,0),FALSE)</f>
        <v>6</v>
      </c>
      <c r="N11" s="120">
        <f>VLOOKUP($B11,坦克属性统计!$B$3:$AY$33,MATCH(N$7,坦克属性统计!$B$3:$AY$3,0),FALSE)</f>
        <v>1.4</v>
      </c>
      <c r="O11" s="120">
        <f>VLOOKUP($B11,坦克属性统计!$B$3:$AY$33,MATCH(O$7,坦克属性统计!$B$3:$AY$3,0),FALSE)</f>
        <v>0</v>
      </c>
      <c r="P11" s="120">
        <f>VLOOKUP($B11,坦克属性统计!$B$3:$AY$33,MATCH(P$7,坦克属性统计!$B$3:$AY$3,0),FALSE)</f>
        <v>0.95</v>
      </c>
      <c r="Q11" s="502">
        <f ca="1">VLOOKUP($B11,坦克属性统计!$B$3:$AY$33,MATCH(Q$7,坦克属性统计!$B$3:$AY$3,0),FALSE)*(1+W11/Z11)</f>
        <v>1182.9333333333334</v>
      </c>
      <c r="R11" s="502">
        <f ca="1">VLOOKUP($B11,坦克属性统计!$B$3:$AY$33,MATCH(R$7,坦克属性统计!$B$3:$AY$3,0),FALSE)*(1+X11/AA11)</f>
        <v>84.266666666666666</v>
      </c>
      <c r="S11" s="209">
        <f ca="1">VLOOKUP($B11,坦克属性统计!$B$3:$AY$33,MATCH(S$7,坦克属性统计!$B$3:$AY$3,0),FALSE)</f>
        <v>450</v>
      </c>
      <c r="T11" s="209">
        <f ca="1">VLOOKUP($B11,坦克属性统计!$B$3:$AY$33,MATCH(T$7,坦克属性统计!$B$3:$AY$3,0),FALSE)</f>
        <v>315</v>
      </c>
      <c r="U11" s="502">
        <f ca="1">VLOOKUP($B11,坦克属性统计!$B$3:$AY$33,MATCH(U$7,坦克属性统计!$B$3:$AY$3,0),FALSE)*(1+Y11/AB11)</f>
        <v>480</v>
      </c>
      <c r="V11" s="209">
        <f ca="1">VLOOKUP($B11,坦克属性统计!$B$3:$AY$33,MATCH(V$7,坦克属性统计!$B$3:$AY$3,0),FALSE)</f>
        <v>120</v>
      </c>
      <c r="W11" s="209">
        <f>VLOOKUP($B11,坦克属性统计!$B$3:$AY$33,MATCH(W$7,坦克属性统计!$B$3:$AY$3,0),FALSE)</f>
        <v>380</v>
      </c>
      <c r="X11" s="209">
        <f>VLOOKUP($B11,坦克属性统计!$B$3:$AY$33,MATCH(X$7,坦克属性统计!$B$3:$AY$3,0),FALSE)</f>
        <v>380</v>
      </c>
      <c r="Y11" s="209">
        <f>VLOOKUP($B11,坦克属性统计!$B$3:$AY$33,MATCH(Y$7,坦克属性统计!$B$3:$AY$3,0),FALSE)</f>
        <v>380</v>
      </c>
      <c r="Z11" s="209">
        <f>VLOOKUP(B11,坦克部件!$AJ$3:$AQ$33,MATCH("基础系数",坦克部件!$AJ$3:$AQ$3,0),FALSE)</f>
        <v>5700</v>
      </c>
      <c r="AA11" s="209">
        <f t="shared" si="1"/>
        <v>5700</v>
      </c>
      <c r="AB11" s="209">
        <f t="shared" si="1"/>
        <v>5700</v>
      </c>
      <c r="AC11" s="28">
        <f t="shared" si="2"/>
        <v>47.428571428571431</v>
      </c>
      <c r="AD11" s="28" t="s">
        <v>922</v>
      </c>
      <c r="AE11" s="232"/>
      <c r="AF11" s="502">
        <f t="shared" ca="1" si="10"/>
        <v>1634.5173953703793</v>
      </c>
      <c r="AG11" s="502">
        <f t="shared" ca="1" si="11"/>
        <v>1308</v>
      </c>
      <c r="AI11" s="117">
        <f t="shared" ca="1" si="12"/>
        <v>4727767.6901587304</v>
      </c>
      <c r="AJ11" s="117">
        <f t="shared" ca="1" si="13"/>
        <v>183600</v>
      </c>
      <c r="AK11" s="117">
        <f t="shared" ca="1" si="14"/>
        <v>25.750368682781755</v>
      </c>
      <c r="AL11" s="117">
        <f t="shared" ca="1" si="15"/>
        <v>23638.838450793653</v>
      </c>
      <c r="AM11" s="117">
        <f t="shared" ca="1" si="16"/>
        <v>4552.3492665962449</v>
      </c>
      <c r="AN11" s="117">
        <f t="shared" ca="1" si="17"/>
        <v>428.48570571257102</v>
      </c>
      <c r="AR11" s="121">
        <f t="shared" ca="1" si="3"/>
        <v>1634.5173953703793</v>
      </c>
      <c r="AS11" s="121">
        <f t="shared" ca="1" si="4"/>
        <v>1864.6332784646675</v>
      </c>
      <c r="AT11" s="121">
        <f t="shared" ca="1" si="5"/>
        <v>2147.1126398326255</v>
      </c>
      <c r="AU11" s="121">
        <f t="shared" ca="1" si="6"/>
        <v>1882.0877712225574</v>
      </c>
      <c r="AW11" s="117">
        <f t="shared" ca="1" si="7"/>
        <v>0.86799999999999999</v>
      </c>
      <c r="AX11" s="117">
        <f t="shared" ca="1" si="8"/>
        <v>0.99099999999999999</v>
      </c>
      <c r="AY11" s="117">
        <f t="shared" ca="1" si="9"/>
        <v>1.141</v>
      </c>
    </row>
    <row r="12" spans="2:51" x14ac:dyDescent="0.35">
      <c r="B12" s="192" t="str">
        <f>坦克个性化细分!I8</f>
        <v>十字军</v>
      </c>
      <c r="C12" s="249" t="str">
        <f>VLOOKUP(B12,坦克个性化设定!$B$18:$F$48,5,FALSE)</f>
        <v>轻坦弹夹</v>
      </c>
      <c r="D12" s="192" t="str">
        <f>坦克个性化细分!J8</f>
        <v>中</v>
      </c>
      <c r="E12" s="114" t="str">
        <f t="shared" si="0"/>
        <v>十字军中</v>
      </c>
      <c r="F12" s="120">
        <f>VLOOKUP($B12,坦克属性统计!$B$3:$AY$33,MATCH(F$7,坦克属性统计!$B$3:$AY$3,0),FALSE)</f>
        <v>0.82</v>
      </c>
      <c r="G12" s="120">
        <f>VLOOKUP($B12,坦克属性统计!$B$3:$AY$33,MATCH(G$7,坦克属性统计!$B$3:$AY$3,0),FALSE)</f>
        <v>0.84</v>
      </c>
      <c r="H12" s="120">
        <f>VLOOKUP($B12,坦克属性统计!$B$3:$AY$33,MATCH(H$7,坦克属性统计!$B$3:$AY$3,0),FALSE)</f>
        <v>0.30000000000000004</v>
      </c>
      <c r="I12" s="120">
        <f>VLOOKUP($B12,坦克属性统计!$B$3:$AY$33,MATCH(I$7,坦克属性统计!$B$3:$AY$3,0),FALSE)</f>
        <v>1.2</v>
      </c>
      <c r="J12" s="120">
        <f>VLOOKUP($B12,坦克属性统计!$B$3:$AY$33,MATCH(J$7,坦克属性统计!$B$3:$AY$3,0),FALSE)</f>
        <v>48.1</v>
      </c>
      <c r="K12" s="120">
        <f>VLOOKUP($B12,坦克属性统计!$B$3:$AY$33,MATCH(K$7,坦克属性统计!$B$3:$AY$3,0),FALSE)</f>
        <v>45.9</v>
      </c>
      <c r="L12" s="120">
        <f>VLOOKUP($B12,坦克属性统计!$B$3:$AY$33,MATCH(L$7,坦克属性统计!$B$3:$AY$3,0),FALSE)</f>
        <v>14.9</v>
      </c>
      <c r="M12" s="209">
        <f>VLOOKUP($B12,坦克属性统计!$B$3:$AY$33,MATCH(M$7,坦克属性统计!$B$3:$AY$3,0),FALSE)</f>
        <v>9</v>
      </c>
      <c r="N12" s="120">
        <f>VLOOKUP($B12,坦克属性统计!$B$3:$AY$33,MATCH(N$7,坦克属性统计!$B$3:$AY$3,0),FALSE)</f>
        <v>0</v>
      </c>
      <c r="O12" s="120">
        <f>VLOOKUP($B12,坦克属性统计!$B$3:$AY$33,MATCH(O$7,坦克属性统计!$B$3:$AY$3,0),FALSE)</f>
        <v>6.3</v>
      </c>
      <c r="P12" s="120">
        <f>VLOOKUP($B12,坦克属性统计!$B$3:$AY$33,MATCH(P$7,坦克属性统计!$B$3:$AY$3,0),FALSE)</f>
        <v>0.7</v>
      </c>
      <c r="Q12" s="502">
        <f ca="1">VLOOKUP($B12,坦克属性统计!$B$3:$AY$33,MATCH(Q$7,坦克属性统计!$B$3:$AY$3,0),FALSE)*(1+W12/Z12)</f>
        <v>1334.9222222222222</v>
      </c>
      <c r="R12" s="502">
        <f ca="1">VLOOKUP($B12,坦克属性统计!$B$3:$AY$33,MATCH(R$7,坦克属性统计!$B$3:$AY$3,0),FALSE)*(1+X12/AA12)</f>
        <v>49.480555555555554</v>
      </c>
      <c r="S12" s="209">
        <f ca="1">VLOOKUP($B12,坦克属性统计!$B$3:$AY$33,MATCH(S$7,坦克属性统计!$B$3:$AY$3,0),FALSE)</f>
        <v>508</v>
      </c>
      <c r="T12" s="209">
        <f ca="1">VLOOKUP($B12,坦克属性统计!$B$3:$AY$33,MATCH(T$7,坦克属性统计!$B$3:$AY$3,0),FALSE)</f>
        <v>355</v>
      </c>
      <c r="U12" s="502">
        <f ca="1">VLOOKUP($B12,坦克属性统计!$B$3:$AY$33,MATCH(U$7,坦克属性统计!$B$3:$AY$3,0),FALSE)*(1+Y12/AB12)</f>
        <v>488.48888888888888</v>
      </c>
      <c r="V12" s="209">
        <f ca="1">VLOOKUP($B12,坦克属性统计!$B$3:$AY$33,MATCH(V$7,坦克属性统计!$B$3:$AY$3,0),FALSE)</f>
        <v>124</v>
      </c>
      <c r="W12" s="209">
        <f>VLOOKUP($B12,坦克属性统计!$B$3:$AY$33,MATCH(W$7,坦克属性统计!$B$3:$AY$3,0),FALSE)</f>
        <v>380</v>
      </c>
      <c r="X12" s="209">
        <f>VLOOKUP($B12,坦克属性统计!$B$3:$AY$33,MATCH(X$7,坦克属性统计!$B$3:$AY$3,0),FALSE)</f>
        <v>380</v>
      </c>
      <c r="Y12" s="209">
        <f>VLOOKUP($B12,坦克属性统计!$B$3:$AY$33,MATCH(Y$7,坦克属性统计!$B$3:$AY$3,0),FALSE)</f>
        <v>380</v>
      </c>
      <c r="Z12" s="209">
        <f>VLOOKUP(B12,坦克部件!$AJ$3:$AQ$33,MATCH("基础系数",坦克部件!$AJ$3:$AQ$3,0),FALSE)</f>
        <v>7200</v>
      </c>
      <c r="AA12" s="209">
        <f t="shared" si="1"/>
        <v>7200</v>
      </c>
      <c r="AB12" s="209">
        <f t="shared" si="1"/>
        <v>7200</v>
      </c>
      <c r="AC12" s="28">
        <f t="shared" si="2"/>
        <v>68.58620689655173</v>
      </c>
      <c r="AD12" s="28" t="s">
        <v>922</v>
      </c>
      <c r="AE12" s="232"/>
      <c r="AF12" s="502">
        <f t="shared" ca="1" si="10"/>
        <v>1357.2157974798349</v>
      </c>
      <c r="AG12" s="502">
        <f t="shared" ca="1" si="11"/>
        <v>1086</v>
      </c>
      <c r="AI12" s="117">
        <f t="shared" ca="1" si="12"/>
        <v>4530303.6804501917</v>
      </c>
      <c r="AJ12" s="117">
        <f t="shared" ca="1" si="13"/>
        <v>210782.95555555556</v>
      </c>
      <c r="AK12" s="117">
        <f t="shared" ca="1" si="14"/>
        <v>21.492741993819092</v>
      </c>
      <c r="AL12" s="117">
        <f t="shared" ca="1" si="15"/>
        <v>22651.51840225096</v>
      </c>
      <c r="AM12" s="117">
        <f t="shared" ca="1" si="16"/>
        <v>4831.5057068972455</v>
      </c>
      <c r="AN12" s="117">
        <f t="shared" ca="1" si="17"/>
        <v>459.11104926319899</v>
      </c>
      <c r="AR12" s="121">
        <f t="shared" ca="1" si="3"/>
        <v>1357.2157974798349</v>
      </c>
      <c r="AS12" s="121">
        <f t="shared" ca="1" si="4"/>
        <v>1610.6512943719647</v>
      </c>
      <c r="AT12" s="121">
        <f t="shared" ca="1" si="5"/>
        <v>1767.8489781820656</v>
      </c>
      <c r="AU12" s="121">
        <f t="shared" ca="1" si="6"/>
        <v>1578.5720233446218</v>
      </c>
      <c r="AW12" s="117">
        <f t="shared" ca="1" si="7"/>
        <v>0.86</v>
      </c>
      <c r="AX12" s="117">
        <f t="shared" ca="1" si="8"/>
        <v>1.02</v>
      </c>
      <c r="AY12" s="117">
        <f t="shared" ca="1" si="9"/>
        <v>1.1200000000000001</v>
      </c>
    </row>
    <row r="13" spans="2:51" x14ac:dyDescent="0.35">
      <c r="B13" s="192" t="str">
        <f>坦克个性化细分!I9</f>
        <v>AMX-13</v>
      </c>
      <c r="C13" s="249" t="str">
        <f>VLOOKUP(B13,坦克个性化设定!$B$18:$F$48,5,FALSE)</f>
        <v>轻坦单发</v>
      </c>
      <c r="D13" s="192" t="str">
        <f>坦克个性化细分!J9</f>
        <v>高</v>
      </c>
      <c r="E13" s="114" t="str">
        <f t="shared" si="0"/>
        <v>AMX-13高</v>
      </c>
      <c r="F13" s="120">
        <f>VLOOKUP($B13,坦克属性统计!$B$3:$AY$33,MATCH(F$7,坦克属性统计!$B$3:$AY$3,0),FALSE)</f>
        <v>0.7</v>
      </c>
      <c r="G13" s="120">
        <f>VLOOKUP($B13,坦克属性统计!$B$3:$AY$33,MATCH(G$7,坦克属性统计!$B$3:$AY$3,0),FALSE)</f>
        <v>1.8</v>
      </c>
      <c r="H13" s="120">
        <f>VLOOKUP($B13,坦克属性统计!$B$3:$AY$33,MATCH(H$7,坦克属性统计!$B$3:$AY$3,0),FALSE)</f>
        <v>0</v>
      </c>
      <c r="I13" s="120">
        <f>VLOOKUP($B13,坦克属性统计!$B$3:$AY$33,MATCH(I$7,坦克属性统计!$B$3:$AY$3,0),FALSE)</f>
        <v>1</v>
      </c>
      <c r="J13" s="120">
        <f>VLOOKUP($B13,坦克属性统计!$B$3:$AY$33,MATCH(J$7,坦克属性统计!$B$3:$AY$3,0),FALSE)</f>
        <v>39.6</v>
      </c>
      <c r="K13" s="120">
        <f>VLOOKUP($B13,坦克属性统计!$B$3:$AY$33,MATCH(K$7,坦克属性统计!$B$3:$AY$3,0),FALSE)</f>
        <v>59.1</v>
      </c>
      <c r="L13" s="120">
        <f>VLOOKUP($B13,坦克属性统计!$B$3:$AY$33,MATCH(L$7,坦克属性统计!$B$3:$AY$3,0),FALSE)</f>
        <v>13.8</v>
      </c>
      <c r="M13" s="209">
        <f>VLOOKUP($B13,坦克属性统计!$B$3:$AY$33,MATCH(M$7,坦克属性统计!$B$3:$AY$3,0),FALSE)</f>
        <v>1</v>
      </c>
      <c r="N13" s="120">
        <f>VLOOKUP($B13,坦克属性统计!$B$3:$AY$33,MATCH(N$7,坦克属性统计!$B$3:$AY$3,0),FALSE)</f>
        <v>3</v>
      </c>
      <c r="O13" s="120">
        <f>VLOOKUP($B13,坦克属性统计!$B$3:$AY$33,MATCH(O$7,坦克属性统计!$B$3:$AY$3,0),FALSE)</f>
        <v>0</v>
      </c>
      <c r="P13" s="120">
        <f>VLOOKUP($B13,坦克属性统计!$B$3:$AY$33,MATCH(P$7,坦克属性统计!$B$3:$AY$3,0),FALSE)</f>
        <v>1.8</v>
      </c>
      <c r="Q13" s="502">
        <f ca="1">VLOOKUP($B13,坦克属性统计!$B$3:$AY$33,MATCH(Q$7,坦克属性统计!$B$3:$AY$3,0),FALSE)*(1+W13/Z13)</f>
        <v>1293.8638888888888</v>
      </c>
      <c r="R13" s="502">
        <f ca="1">VLOOKUP($B13,坦克属性统计!$B$3:$AY$33,MATCH(R$7,坦克属性统计!$B$3:$AY$3,0),FALSE)*(1+X13/AA13)</f>
        <v>175.8138888888889</v>
      </c>
      <c r="S13" s="209">
        <f ca="1">VLOOKUP($B13,坦克属性统计!$B$3:$AY$33,MATCH(S$7,坦克属性统计!$B$3:$AY$3,0),FALSE)</f>
        <v>579</v>
      </c>
      <c r="T13" s="209">
        <f ca="1">VLOOKUP($B13,坦克属性统计!$B$3:$AY$33,MATCH(T$7,坦克属性统计!$B$3:$AY$3,0),FALSE)</f>
        <v>405</v>
      </c>
      <c r="U13" s="502">
        <f ca="1">VLOOKUP($B13,坦克属性统计!$B$3:$AY$33,MATCH(U$7,坦克属性统计!$B$3:$AY$3,0),FALSE)*(1+Y13/AB13)</f>
        <v>511.65000000000003</v>
      </c>
      <c r="V13" s="209">
        <f ca="1">VLOOKUP($B13,坦克属性统计!$B$3:$AY$33,MATCH(V$7,坦克属性统计!$B$3:$AY$3,0),FALSE)</f>
        <v>130</v>
      </c>
      <c r="W13" s="209">
        <f>VLOOKUP($B13,坦克属性统计!$B$3:$AY$33,MATCH(W$7,坦克属性统计!$B$3:$AY$3,0),FALSE)</f>
        <v>380</v>
      </c>
      <c r="X13" s="209">
        <f>VLOOKUP($B13,坦克属性统计!$B$3:$AY$33,MATCH(X$7,坦克属性统计!$B$3:$AY$3,0),FALSE)</f>
        <v>380</v>
      </c>
      <c r="Y13" s="209">
        <f>VLOOKUP($B13,坦克属性统计!$B$3:$AY$33,MATCH(Y$7,坦克属性统计!$B$3:$AY$3,0),FALSE)</f>
        <v>380</v>
      </c>
      <c r="Z13" s="209">
        <f>VLOOKUP(B13,坦克部件!$AJ$3:$AQ$33,MATCH("基础系数",坦克部件!$AJ$3:$AQ$3,0),FALSE)</f>
        <v>7200</v>
      </c>
      <c r="AA13" s="209">
        <f t="shared" si="1"/>
        <v>7200</v>
      </c>
      <c r="AB13" s="209">
        <f t="shared" si="1"/>
        <v>7200</v>
      </c>
      <c r="AC13" s="28">
        <f t="shared" si="2"/>
        <v>21</v>
      </c>
      <c r="AD13" s="28" t="s">
        <v>922</v>
      </c>
      <c r="AE13" s="232"/>
      <c r="AF13" s="502">
        <f t="shared" ca="1" si="10"/>
        <v>1523.0602291284974</v>
      </c>
      <c r="AG13" s="502">
        <f t="shared" ca="1" si="11"/>
        <v>1218</v>
      </c>
      <c r="AI13" s="117">
        <f t="shared" ca="1" si="12"/>
        <v>4777064.0819675932</v>
      </c>
      <c r="AJ13" s="117">
        <f t="shared" ca="1" si="13"/>
        <v>251731.80000000002</v>
      </c>
      <c r="AK13" s="117">
        <f t="shared" ca="1" si="14"/>
        <v>18.976800237266776</v>
      </c>
      <c r="AL13" s="117">
        <f t="shared" ca="1" si="15"/>
        <v>23885.320409837965</v>
      </c>
      <c r="AM13" s="117">
        <f t="shared" ca="1" si="16"/>
        <v>5249.9249557478242</v>
      </c>
      <c r="AN13" s="117">
        <f t="shared" ca="1" si="17"/>
        <v>501.72881121179398</v>
      </c>
      <c r="AR13" s="121">
        <f t="shared" ca="1" si="3"/>
        <v>1523.0602291284974</v>
      </c>
      <c r="AS13" s="121">
        <f t="shared" ca="1" si="4"/>
        <v>1768.1314010504586</v>
      </c>
      <c r="AT13" s="121">
        <f t="shared" ca="1" si="5"/>
        <v>1905.6169493045115</v>
      </c>
      <c r="AU13" s="121">
        <f t="shared" ca="1" si="6"/>
        <v>1732.2695264944894</v>
      </c>
      <c r="AW13" s="117">
        <f t="shared" ca="1" si="7"/>
        <v>0.879</v>
      </c>
      <c r="AX13" s="117">
        <f t="shared" ca="1" si="8"/>
        <v>1.0209999999999999</v>
      </c>
      <c r="AY13" s="117">
        <f t="shared" ca="1" si="9"/>
        <v>1.1000000000000001</v>
      </c>
    </row>
    <row r="14" spans="2:51" x14ac:dyDescent="0.35">
      <c r="B14" s="192" t="str">
        <f>坦克个性化细分!I10</f>
        <v>霞飞</v>
      </c>
      <c r="C14" s="249" t="str">
        <f>VLOOKUP(B14,坦克个性化设定!$B$18:$F$48,5,FALSE)</f>
        <v>轻坦半自动</v>
      </c>
      <c r="D14" s="192" t="str">
        <f>坦克个性化细分!J10</f>
        <v>低</v>
      </c>
      <c r="E14" s="114" t="str">
        <f t="shared" si="0"/>
        <v>霞飞低</v>
      </c>
      <c r="F14" s="120">
        <f>VLOOKUP($B14,坦克属性统计!$B$3:$AY$33,MATCH(F$7,坦克属性统计!$B$3:$AY$3,0),FALSE)</f>
        <v>0.82</v>
      </c>
      <c r="G14" s="120">
        <f>VLOOKUP($B14,坦克属性统计!$B$3:$AY$33,MATCH(G$7,坦克属性统计!$B$3:$AY$3,0),FALSE)</f>
        <v>1.08</v>
      </c>
      <c r="H14" s="120">
        <f>VLOOKUP($B14,坦克属性统计!$B$3:$AY$33,MATCH(H$7,坦克属性统计!$B$3:$AY$3,0),FALSE)</f>
        <v>0.30000000000000004</v>
      </c>
      <c r="I14" s="120">
        <f>VLOOKUP($B14,坦克属性统计!$B$3:$AY$33,MATCH(I$7,坦克属性统计!$B$3:$AY$3,0),FALSE)</f>
        <v>1.2</v>
      </c>
      <c r="J14" s="120">
        <f>VLOOKUP($B14,坦克属性统计!$B$3:$AY$33,MATCH(J$7,坦克属性统计!$B$3:$AY$3,0),FALSE)</f>
        <v>42.4</v>
      </c>
      <c r="K14" s="120">
        <f>VLOOKUP($B14,坦克属性统计!$B$3:$AY$33,MATCH(K$7,坦克属性统计!$B$3:$AY$3,0),FALSE)</f>
        <v>50</v>
      </c>
      <c r="L14" s="120">
        <f>VLOOKUP($B14,坦克属性统计!$B$3:$AY$33,MATCH(L$7,坦克属性统计!$B$3:$AY$3,0),FALSE)</f>
        <v>13.9</v>
      </c>
      <c r="M14" s="209">
        <f>VLOOKUP($B14,坦克属性统计!$B$3:$AY$33,MATCH(M$7,坦克属性统计!$B$3:$AY$3,0),FALSE)</f>
        <v>6</v>
      </c>
      <c r="N14" s="120">
        <f>VLOOKUP($B14,坦克属性统计!$B$3:$AY$33,MATCH(N$7,坦克属性统计!$B$3:$AY$3,0),FALSE)</f>
        <v>1.4</v>
      </c>
      <c r="O14" s="120">
        <f>VLOOKUP($B14,坦克属性统计!$B$3:$AY$33,MATCH(O$7,坦克属性统计!$B$3:$AY$3,0),FALSE)</f>
        <v>0</v>
      </c>
      <c r="P14" s="120">
        <f>VLOOKUP($B14,坦克属性统计!$B$3:$AY$33,MATCH(P$7,坦克属性统计!$B$3:$AY$3,0),FALSE)</f>
        <v>0.90000000000000013</v>
      </c>
      <c r="Q14" s="502">
        <f ca="1">VLOOKUP($B14,坦克属性统计!$B$3:$AY$33,MATCH(Q$7,坦克属性统计!$B$3:$AY$3,0),FALSE)*(1+W14/Z14)</f>
        <v>1560.4966666666664</v>
      </c>
      <c r="R14" s="502">
        <f ca="1">VLOOKUP($B14,坦克属性统计!$B$3:$AY$33,MATCH(R$7,坦克属性统计!$B$3:$AY$3,0),FALSE)*(1+X14/AA14)</f>
        <v>103.17333333333332</v>
      </c>
      <c r="S14" s="209">
        <f ca="1">VLOOKUP($B14,坦克属性统计!$B$3:$AY$33,MATCH(S$7,坦克属性统计!$B$3:$AY$3,0),FALSE)</f>
        <v>570</v>
      </c>
      <c r="T14" s="209">
        <f ca="1">VLOOKUP($B14,坦克属性统计!$B$3:$AY$33,MATCH(T$7,坦克属性统计!$B$3:$AY$3,0),FALSE)</f>
        <v>399</v>
      </c>
      <c r="U14" s="502">
        <f ca="1">VLOOKUP($B14,坦克属性统计!$B$3:$AY$33,MATCH(U$7,坦克属性统计!$B$3:$AY$3,0),FALSE)*(1+Y14/AB14)</f>
        <v>612.59166666666658</v>
      </c>
      <c r="V14" s="209">
        <f ca="1">VLOOKUP($B14,坦克属性统计!$B$3:$AY$33,MATCH(V$7,坦克属性统计!$B$3:$AY$3,0),FALSE)</f>
        <v>152</v>
      </c>
      <c r="W14" s="209">
        <f>VLOOKUP($B14,坦克属性统计!$B$3:$AY$33,MATCH(W$7,坦克属性统计!$B$3:$AY$3,0),FALSE)</f>
        <v>538</v>
      </c>
      <c r="X14" s="209">
        <f>VLOOKUP($B14,坦克属性统计!$B$3:$AY$33,MATCH(X$7,坦克属性统计!$B$3:$AY$3,0),FALSE)</f>
        <v>538</v>
      </c>
      <c r="Y14" s="209">
        <f>VLOOKUP($B14,坦克属性统计!$B$3:$AY$33,MATCH(Y$7,坦克属性统计!$B$3:$AY$3,0),FALSE)</f>
        <v>538</v>
      </c>
      <c r="Z14" s="209">
        <f>VLOOKUP(B14,坦克部件!$AJ$3:$AQ$33,MATCH("基础系数",坦克部件!$AJ$3:$AQ$3,0),FALSE)</f>
        <v>7200</v>
      </c>
      <c r="AA14" s="209">
        <f t="shared" si="1"/>
        <v>7200</v>
      </c>
      <c r="AB14" s="209">
        <f t="shared" si="1"/>
        <v>7200</v>
      </c>
      <c r="AC14" s="28">
        <f t="shared" si="2"/>
        <v>47.785714285714292</v>
      </c>
      <c r="AD14" s="28" t="s">
        <v>923</v>
      </c>
      <c r="AE14" s="232"/>
      <c r="AF14" s="502">
        <f t="shared" ca="1" si="10"/>
        <v>2098.7665376801801</v>
      </c>
      <c r="AG14" s="502">
        <f t="shared" ca="1" si="11"/>
        <v>1679</v>
      </c>
      <c r="AI14" s="117">
        <f t="shared" ca="1" si="12"/>
        <v>7693578.5002476182</v>
      </c>
      <c r="AJ14" s="117">
        <f t="shared" ca="1" si="13"/>
        <v>296800.66249999998</v>
      </c>
      <c r="AK14" s="117">
        <f t="shared" ca="1" si="14"/>
        <v>25.921702584634961</v>
      </c>
      <c r="AL14" s="117">
        <f t="shared" ca="1" si="15"/>
        <v>38467.892501238093</v>
      </c>
      <c r="AM14" s="117">
        <f t="shared" ca="1" si="16"/>
        <v>5790.2379484891471</v>
      </c>
      <c r="AN14" s="117">
        <f t="shared" ca="1" si="17"/>
        <v>544.79414690321335</v>
      </c>
      <c r="AR14" s="121">
        <f t="shared" ca="1" si="3"/>
        <v>2098.7665376801801</v>
      </c>
      <c r="AS14" s="121">
        <f t="shared" ca="1" si="4"/>
        <v>2366.3094698319146</v>
      </c>
      <c r="AT14" s="121">
        <f t="shared" ca="1" si="5"/>
        <v>2757.5445268365784</v>
      </c>
      <c r="AU14" s="121">
        <f t="shared" ca="1" si="6"/>
        <v>2407.5401781162241</v>
      </c>
      <c r="AW14" s="117">
        <f t="shared" ca="1" si="7"/>
        <v>0.872</v>
      </c>
      <c r="AX14" s="117">
        <f t="shared" ca="1" si="8"/>
        <v>0.98299999999999998</v>
      </c>
      <c r="AY14" s="117">
        <f t="shared" ca="1" si="9"/>
        <v>1.145</v>
      </c>
    </row>
    <row r="15" spans="2:51" x14ac:dyDescent="0.35">
      <c r="B15" s="192" t="str">
        <f>坦克个性化细分!I11</f>
        <v>M-41</v>
      </c>
      <c r="C15" s="249" t="str">
        <f>VLOOKUP(B15,坦克个性化设定!$B$18:$F$48,5,FALSE)</f>
        <v>轻坦单发</v>
      </c>
      <c r="D15" s="192" t="str">
        <f>坦克个性化细分!J11</f>
        <v>中</v>
      </c>
      <c r="E15" s="114" t="str">
        <f t="shared" si="0"/>
        <v>M-41中</v>
      </c>
      <c r="F15" s="120">
        <f>VLOOKUP($B15,坦克属性统计!$B$3:$AY$33,MATCH(F$7,坦克属性统计!$B$3:$AY$3,0),FALSE)</f>
        <v>0.74</v>
      </c>
      <c r="G15" s="120">
        <f>VLOOKUP($B15,坦克属性统计!$B$3:$AY$33,MATCH(G$7,坦克属性统计!$B$3:$AY$3,0),FALSE)</f>
        <v>1.8</v>
      </c>
      <c r="H15" s="120">
        <f>VLOOKUP($B15,坦克属性统计!$B$3:$AY$33,MATCH(H$7,坦克属性统计!$B$3:$AY$3,0),FALSE)</f>
        <v>0</v>
      </c>
      <c r="I15" s="120">
        <f>VLOOKUP($B15,坦克属性统计!$B$3:$AY$33,MATCH(I$7,坦克属性统计!$B$3:$AY$3,0),FALSE)</f>
        <v>1</v>
      </c>
      <c r="J15" s="120">
        <f>VLOOKUP($B15,坦克属性统计!$B$3:$AY$33,MATCH(J$7,坦克属性统计!$B$3:$AY$3,0),FALSE)</f>
        <v>38.5</v>
      </c>
      <c r="K15" s="120">
        <f>VLOOKUP($B15,坦克属性统计!$B$3:$AY$33,MATCH(K$7,坦克属性统计!$B$3:$AY$3,0),FALSE)</f>
        <v>57.4</v>
      </c>
      <c r="L15" s="120">
        <f>VLOOKUP($B15,坦克属性统计!$B$3:$AY$33,MATCH(L$7,坦克属性统计!$B$3:$AY$3,0),FALSE)</f>
        <v>13.4</v>
      </c>
      <c r="M15" s="209">
        <f>VLOOKUP($B15,坦克属性统计!$B$3:$AY$33,MATCH(M$7,坦克属性统计!$B$3:$AY$3,0),FALSE)</f>
        <v>1</v>
      </c>
      <c r="N15" s="120">
        <f>VLOOKUP($B15,坦克属性统计!$B$3:$AY$33,MATCH(N$7,坦克属性统计!$B$3:$AY$3,0),FALSE)</f>
        <v>3</v>
      </c>
      <c r="O15" s="120">
        <f>VLOOKUP($B15,坦克属性统计!$B$3:$AY$33,MATCH(O$7,坦克属性统计!$B$3:$AY$3,0),FALSE)</f>
        <v>0</v>
      </c>
      <c r="P15" s="120">
        <f>VLOOKUP($B15,坦克属性统计!$B$3:$AY$33,MATCH(P$7,坦克属性统计!$B$3:$AY$3,0),FALSE)</f>
        <v>1.8</v>
      </c>
      <c r="Q15" s="502">
        <f ca="1">VLOOKUP($B15,坦克属性统计!$B$3:$AY$33,MATCH(Q$7,坦克属性统计!$B$3:$AY$3,0),FALSE)*(1+W15/Z15)</f>
        <v>1699.8835555555554</v>
      </c>
      <c r="R15" s="502">
        <f ca="1">VLOOKUP($B15,坦克属性统计!$B$3:$AY$33,MATCH(R$7,坦克属性统计!$B$3:$AY$3,0),FALSE)*(1+X15/AA15)</f>
        <v>198.17844444444444</v>
      </c>
      <c r="S15" s="209">
        <f ca="1">VLOOKUP($B15,坦克属性统计!$B$3:$AY$33,MATCH(S$7,坦克属性统计!$B$3:$AY$3,0),FALSE)</f>
        <v>700</v>
      </c>
      <c r="T15" s="209">
        <f ca="1">VLOOKUP($B15,坦克属性统计!$B$3:$AY$33,MATCH(T$7,坦克属性统计!$B$3:$AY$3,0),FALSE)</f>
        <v>490</v>
      </c>
      <c r="U15" s="502">
        <f ca="1">VLOOKUP($B15,坦克属性统计!$B$3:$AY$33,MATCH(U$7,坦克属性统计!$B$3:$AY$3,0),FALSE)*(1+Y15/AB15)</f>
        <v>623.14933333333329</v>
      </c>
      <c r="V15" s="209">
        <f ca="1">VLOOKUP($B15,坦克属性统计!$B$3:$AY$33,MATCH(V$7,坦克属性统计!$B$3:$AY$3,0),FALSE)</f>
        <v>157</v>
      </c>
      <c r="W15" s="209">
        <f>VLOOKUP($B15,坦克属性统计!$B$3:$AY$33,MATCH(W$7,坦克属性统计!$B$3:$AY$3,0),FALSE)</f>
        <v>538</v>
      </c>
      <c r="X15" s="209">
        <f>VLOOKUP($B15,坦克属性统计!$B$3:$AY$33,MATCH(X$7,坦克属性统计!$B$3:$AY$3,0),FALSE)</f>
        <v>538</v>
      </c>
      <c r="Y15" s="209">
        <f>VLOOKUP($B15,坦克属性统计!$B$3:$AY$33,MATCH(Y$7,坦克属性统计!$B$3:$AY$3,0),FALSE)</f>
        <v>538</v>
      </c>
      <c r="Z15" s="209">
        <f>VLOOKUP(B15,坦克部件!$AJ$3:$AQ$33,MATCH("基础系数",坦克部件!$AJ$3:$AQ$3,0),FALSE)</f>
        <v>9000</v>
      </c>
      <c r="AA15" s="209">
        <f t="shared" si="1"/>
        <v>9000</v>
      </c>
      <c r="AB15" s="209">
        <f t="shared" si="1"/>
        <v>9000</v>
      </c>
      <c r="AC15" s="28">
        <f t="shared" si="2"/>
        <v>21</v>
      </c>
      <c r="AD15" s="28" t="s">
        <v>923</v>
      </c>
      <c r="AE15" s="232"/>
      <c r="AF15" s="502">
        <f t="shared" ca="1" si="10"/>
        <v>1799.5316196354372</v>
      </c>
      <c r="AG15" s="502">
        <f t="shared" ca="1" si="11"/>
        <v>1440</v>
      </c>
      <c r="AI15" s="117">
        <f t="shared" ca="1" si="12"/>
        <v>7074485.8543105172</v>
      </c>
      <c r="AJ15" s="117">
        <f t="shared" ca="1" si="13"/>
        <v>370773.85333333333</v>
      </c>
      <c r="AK15" s="117">
        <f t="shared" ca="1" si="14"/>
        <v>19.080325623582763</v>
      </c>
      <c r="AL15" s="117">
        <f t="shared" ca="1" si="15"/>
        <v>35372.429271552588</v>
      </c>
      <c r="AM15" s="117">
        <f t="shared" ca="1" si="16"/>
        <v>6372.9607138667179</v>
      </c>
      <c r="AN15" s="117">
        <f t="shared" ca="1" si="17"/>
        <v>608.91202429688747</v>
      </c>
      <c r="AR15" s="121">
        <f t="shared" ca="1" si="3"/>
        <v>1799.5316196354372</v>
      </c>
      <c r="AS15" s="121">
        <f t="shared" ca="1" si="4"/>
        <v>2090.1211922241309</v>
      </c>
      <c r="AT15" s="121">
        <f t="shared" ca="1" si="5"/>
        <v>2275.2157624648539</v>
      </c>
      <c r="AU15" s="121">
        <f t="shared" ca="1" si="6"/>
        <v>2054.9561914414739</v>
      </c>
      <c r="AW15" s="117">
        <f t="shared" ca="1" si="7"/>
        <v>0.876</v>
      </c>
      <c r="AX15" s="117">
        <f t="shared" ca="1" si="8"/>
        <v>1.0169999999999999</v>
      </c>
      <c r="AY15" s="117">
        <f t="shared" ca="1" si="9"/>
        <v>1.107</v>
      </c>
    </row>
    <row r="16" spans="2:51" x14ac:dyDescent="0.35">
      <c r="B16" s="192" t="str">
        <f>坦克个性化细分!I12</f>
        <v>BMP-3</v>
      </c>
      <c r="C16" s="249" t="str">
        <f>VLOOKUP(B16,坦克个性化设定!$B$18:$F$48,5,FALSE)</f>
        <v>轻坦半自动</v>
      </c>
      <c r="D16" s="192" t="str">
        <f>坦克个性化细分!J12</f>
        <v>高</v>
      </c>
      <c r="E16" s="114" t="str">
        <f t="shared" si="0"/>
        <v>BMP-3高</v>
      </c>
      <c r="F16" s="120">
        <f>VLOOKUP($B16,坦克属性统计!$B$3:$AY$33,MATCH(F$7,坦克属性统计!$B$3:$AY$3,0),FALSE)</f>
        <v>0.78</v>
      </c>
      <c r="G16" s="120">
        <f>VLOOKUP($B16,坦克属性统计!$B$3:$AY$33,MATCH(G$7,坦克属性统计!$B$3:$AY$3,0),FALSE)</f>
        <v>1.47</v>
      </c>
      <c r="H16" s="120">
        <f>VLOOKUP($B16,坦克属性统计!$B$3:$AY$33,MATCH(H$7,坦克属性统计!$B$3:$AY$3,0),FALSE)</f>
        <v>0.4</v>
      </c>
      <c r="I16" s="120">
        <f>VLOOKUP($B16,坦克属性统计!$B$3:$AY$33,MATCH(I$7,坦克属性统计!$B$3:$AY$3,0),FALSE)</f>
        <v>1.2</v>
      </c>
      <c r="J16" s="120">
        <f>VLOOKUP($B16,坦克属性统计!$B$3:$AY$33,MATCH(J$7,坦克属性统计!$B$3:$AY$3,0),FALSE)</f>
        <v>44.5</v>
      </c>
      <c r="K16" s="120">
        <f>VLOOKUP($B16,坦克属性统计!$B$3:$AY$33,MATCH(K$7,坦克属性统计!$B$3:$AY$3,0),FALSE)</f>
        <v>52.5</v>
      </c>
      <c r="L16" s="120">
        <f>VLOOKUP($B16,坦克属性统计!$B$3:$AY$33,MATCH(L$7,坦克属性统计!$B$3:$AY$3,0),FALSE)</f>
        <v>14.6</v>
      </c>
      <c r="M16" s="209">
        <f>VLOOKUP($B16,坦克属性统计!$B$3:$AY$33,MATCH(M$7,坦克属性统计!$B$3:$AY$3,0),FALSE)</f>
        <v>4</v>
      </c>
      <c r="N16" s="120">
        <f>VLOOKUP($B16,坦克属性统计!$B$3:$AY$33,MATCH(N$7,坦克属性统计!$B$3:$AY$3,0),FALSE)</f>
        <v>1.4</v>
      </c>
      <c r="O16" s="120">
        <f>VLOOKUP($B16,坦克属性统计!$B$3:$AY$33,MATCH(O$7,坦克属性统计!$B$3:$AY$3,0),FALSE)</f>
        <v>0</v>
      </c>
      <c r="P16" s="120">
        <f>VLOOKUP($B16,坦克属性统计!$B$3:$AY$33,MATCH(P$7,坦克属性统计!$B$3:$AY$3,0),FALSE)</f>
        <v>1.2250000000000001</v>
      </c>
      <c r="Q16" s="502">
        <f ca="1">VLOOKUP($B16,坦克属性统计!$B$3:$AY$33,MATCH(Q$7,坦克属性统计!$B$3:$AY$3,0),FALSE)*(1+W16/Z16)</f>
        <v>1951.0508888888887</v>
      </c>
      <c r="R16" s="502">
        <f ca="1">VLOOKUP($B16,坦克属性统计!$B$3:$AY$33,MATCH(R$7,坦克属性统计!$B$3:$AY$3,0),FALSE)*(1+X16/AA16)</f>
        <v>101.73866666666666</v>
      </c>
      <c r="S16" s="209">
        <f ca="1">VLOOKUP($B16,坦克属性统计!$B$3:$AY$33,MATCH(S$7,坦克属性统计!$B$3:$AY$3,0),FALSE)</f>
        <v>618</v>
      </c>
      <c r="T16" s="209">
        <f ca="1">VLOOKUP($B16,坦克属性统计!$B$3:$AY$33,MATCH(T$7,坦克属性统计!$B$3:$AY$3,0),FALSE)</f>
        <v>433</v>
      </c>
      <c r="U16" s="502">
        <f ca="1">VLOOKUP($B16,坦克属性统计!$B$3:$AY$33,MATCH(U$7,坦克属性统计!$B$3:$AY$3,0),FALSE)*(1+Y16/AB16)</f>
        <v>654.94266666666658</v>
      </c>
      <c r="V16" s="209">
        <f ca="1">VLOOKUP($B16,坦克属性统计!$B$3:$AY$33,MATCH(V$7,坦克属性统计!$B$3:$AY$3,0),FALSE)</f>
        <v>165</v>
      </c>
      <c r="W16" s="209">
        <f>VLOOKUP($B16,坦克属性统计!$B$3:$AY$33,MATCH(W$7,坦克属性统计!$B$3:$AY$3,0),FALSE)</f>
        <v>538</v>
      </c>
      <c r="X16" s="209">
        <f>VLOOKUP($B16,坦克属性统计!$B$3:$AY$33,MATCH(X$7,坦克属性统计!$B$3:$AY$3,0),FALSE)</f>
        <v>538</v>
      </c>
      <c r="Y16" s="209">
        <f>VLOOKUP($B16,坦克属性统计!$B$3:$AY$33,MATCH(Y$7,坦克属性统计!$B$3:$AY$3,0),FALSE)</f>
        <v>538</v>
      </c>
      <c r="Z16" s="209">
        <f>VLOOKUP(B16,坦克部件!$AJ$3:$AQ$33,MATCH("基础系数",坦克部件!$AJ$3:$AQ$3,0),FALSE)</f>
        <v>9000</v>
      </c>
      <c r="AA16" s="209">
        <f t="shared" si="1"/>
        <v>9000</v>
      </c>
      <c r="AB16" s="209">
        <f t="shared" si="1"/>
        <v>9000</v>
      </c>
      <c r="AC16" s="28">
        <f t="shared" si="2"/>
        <v>46</v>
      </c>
      <c r="AD16" s="28" t="s">
        <v>923</v>
      </c>
      <c r="AE16" s="232"/>
      <c r="AF16" s="502">
        <f t="shared" ca="1" si="10"/>
        <v>1969.7074515785087</v>
      </c>
      <c r="AG16" s="502">
        <f t="shared" ca="1" si="11"/>
        <v>1576</v>
      </c>
      <c r="AI16" s="117">
        <f t="shared" ca="1" si="12"/>
        <v>9130876.5375810359</v>
      </c>
      <c r="AJ16" s="117">
        <f t="shared" ca="1" si="13"/>
        <v>344172.37133333331</v>
      </c>
      <c r="AK16" s="117">
        <f t="shared" ca="1" si="14"/>
        <v>26.529952134762492</v>
      </c>
      <c r="AL16" s="117">
        <f t="shared" ca="1" si="15"/>
        <v>45654.382687905178</v>
      </c>
      <c r="AM16" s="117">
        <f t="shared" ca="1" si="16"/>
        <v>6243.6107663854136</v>
      </c>
      <c r="AN16" s="117">
        <f t="shared" ca="1" si="17"/>
        <v>586.66205888341995</v>
      </c>
      <c r="AR16" s="121">
        <f t="shared" ca="1" si="3"/>
        <v>1969.7074515785087</v>
      </c>
      <c r="AS16" s="121">
        <f t="shared" ca="1" si="4"/>
        <v>2263.1095732603585</v>
      </c>
      <c r="AT16" s="121">
        <f t="shared" ca="1" si="5"/>
        <v>2536.9014703276648</v>
      </c>
      <c r="AU16" s="121">
        <f t="shared" ca="1" si="6"/>
        <v>2256.5728317221769</v>
      </c>
      <c r="AW16" s="117">
        <f t="shared" ca="1" si="7"/>
        <v>0.873</v>
      </c>
      <c r="AX16" s="117">
        <f t="shared" ca="1" si="8"/>
        <v>1.0029999999999999</v>
      </c>
      <c r="AY16" s="117">
        <f t="shared" ca="1" si="9"/>
        <v>1.1240000000000001</v>
      </c>
    </row>
    <row r="17" spans="2:51" x14ac:dyDescent="0.35">
      <c r="B17" s="192" t="str">
        <f>坦克个性化细分!I13</f>
        <v>59式</v>
      </c>
      <c r="C17" s="249" t="str">
        <f>VLOOKUP(B17,坦克个性化设定!$B$18:$F$48,5,FALSE)</f>
        <v>轻坦单发</v>
      </c>
      <c r="D17" s="192" t="str">
        <f>坦克个性化细分!J13</f>
        <v>低</v>
      </c>
      <c r="E17" s="114" t="str">
        <f t="shared" si="0"/>
        <v>59式低</v>
      </c>
      <c r="F17" s="120">
        <f>VLOOKUP($B17,坦克属性统计!$B$3:$AY$33,MATCH(F$7,坦克属性统计!$B$3:$AY$3,0),FALSE)</f>
        <v>0.7</v>
      </c>
      <c r="G17" s="120">
        <f>VLOOKUP($B17,坦克属性统计!$B$3:$AY$33,MATCH(G$7,坦克属性统计!$B$3:$AY$3,0),FALSE)</f>
        <v>1.8</v>
      </c>
      <c r="H17" s="120">
        <f>VLOOKUP($B17,坦克属性统计!$B$3:$AY$33,MATCH(H$7,坦克属性统计!$B$3:$AY$3,0),FALSE)</f>
        <v>0</v>
      </c>
      <c r="I17" s="120">
        <f>VLOOKUP($B17,坦克属性统计!$B$3:$AY$33,MATCH(I$7,坦克属性统计!$B$3:$AY$3,0),FALSE)</f>
        <v>1</v>
      </c>
      <c r="J17" s="120">
        <f>VLOOKUP($B17,坦克属性统计!$B$3:$AY$33,MATCH(J$7,坦克属性统计!$B$3:$AY$3,0),FALSE)</f>
        <v>37.700000000000003</v>
      </c>
      <c r="K17" s="120">
        <f>VLOOKUP($B17,坦克属性统计!$B$3:$AY$33,MATCH(K$7,坦克属性统计!$B$3:$AY$3,0),FALSE)</f>
        <v>56.3</v>
      </c>
      <c r="L17" s="120">
        <f>VLOOKUP($B17,坦克属性统计!$B$3:$AY$33,MATCH(L$7,坦克属性统计!$B$3:$AY$3,0),FALSE)</f>
        <v>13.1</v>
      </c>
      <c r="M17" s="209">
        <f>VLOOKUP($B17,坦克属性统计!$B$3:$AY$33,MATCH(M$7,坦克属性统计!$B$3:$AY$3,0),FALSE)</f>
        <v>1</v>
      </c>
      <c r="N17" s="120">
        <f>VLOOKUP($B17,坦克属性统计!$B$3:$AY$33,MATCH(N$7,坦克属性统计!$B$3:$AY$3,0),FALSE)</f>
        <v>3</v>
      </c>
      <c r="O17" s="120">
        <f>VLOOKUP($B17,坦克属性统计!$B$3:$AY$33,MATCH(O$7,坦克属性统计!$B$3:$AY$3,0),FALSE)</f>
        <v>0</v>
      </c>
      <c r="P17" s="120">
        <f>VLOOKUP($B17,坦克属性统计!$B$3:$AY$33,MATCH(P$7,坦克属性统计!$B$3:$AY$3,0),FALSE)</f>
        <v>1.8</v>
      </c>
      <c r="Q17" s="502">
        <f ca="1">VLOOKUP($B17,坦克属性统计!$B$3:$AY$33,MATCH(Q$7,坦克属性统计!$B$3:$AY$3,0),FALSE)*(1+W17/Z17)</f>
        <v>2146.0499999999997</v>
      </c>
      <c r="R17" s="502">
        <f ca="1">VLOOKUP($B17,坦克属性统计!$B$3:$AY$33,MATCH(R$7,坦克属性统计!$B$3:$AY$3,0),FALSE)*(1+X17/AA17)</f>
        <v>235.27066666666664</v>
      </c>
      <c r="S17" s="209">
        <f ca="1">VLOOKUP($B17,坦克属性统计!$B$3:$AY$33,MATCH(S$7,坦克属性统计!$B$3:$AY$3,0),FALSE)</f>
        <v>857</v>
      </c>
      <c r="T17" s="209">
        <f ca="1">VLOOKUP($B17,坦克属性统计!$B$3:$AY$33,MATCH(T$7,坦克属性统计!$B$3:$AY$3,0),FALSE)</f>
        <v>600</v>
      </c>
      <c r="U17" s="502">
        <f ca="1">VLOOKUP($B17,坦克属性统计!$B$3:$AY$33,MATCH(U$7,坦克属性统计!$B$3:$AY$3,0),FALSE)*(1+Y17/AB17)</f>
        <v>763.04</v>
      </c>
      <c r="V17" s="209">
        <f ca="1">VLOOKUP($B17,坦克属性统计!$B$3:$AY$33,MATCH(V$7,坦克属性统计!$B$3:$AY$3,0),FALSE)</f>
        <v>192</v>
      </c>
      <c r="W17" s="209">
        <f>VLOOKUP($B17,坦克属性统计!$B$3:$AY$33,MATCH(W$7,坦克属性统计!$B$3:$AY$3,0),FALSE)</f>
        <v>538</v>
      </c>
      <c r="X17" s="209">
        <f>VLOOKUP($B17,坦克属性统计!$B$3:$AY$33,MATCH(X$7,坦克属性统计!$B$3:$AY$3,0),FALSE)</f>
        <v>538</v>
      </c>
      <c r="Y17" s="209">
        <f>VLOOKUP($B17,坦克属性统计!$B$3:$AY$33,MATCH(Y$7,坦克属性统计!$B$3:$AY$3,0),FALSE)</f>
        <v>538</v>
      </c>
      <c r="Z17" s="209">
        <f>VLOOKUP(B17,坦克部件!$AJ$3:$AQ$33,MATCH("基础系数",坦克部件!$AJ$3:$AQ$3,0),FALSE)</f>
        <v>9000</v>
      </c>
      <c r="AA17" s="209">
        <f t="shared" si="1"/>
        <v>9000</v>
      </c>
      <c r="AB17" s="209">
        <f t="shared" si="1"/>
        <v>9000</v>
      </c>
      <c r="AC17" s="28">
        <f t="shared" si="2"/>
        <v>21</v>
      </c>
      <c r="AD17" s="28" t="s">
        <v>924</v>
      </c>
      <c r="AE17" s="232"/>
      <c r="AF17" s="502">
        <f t="shared" ca="1" si="10"/>
        <v>2697.4871106851547</v>
      </c>
      <c r="AG17" s="502">
        <f t="shared" ca="1" si="11"/>
        <v>2158</v>
      </c>
      <c r="AI17" s="117">
        <f t="shared" ca="1" si="12"/>
        <v>10602954.898199998</v>
      </c>
      <c r="AJ17" s="117">
        <f t="shared" ca="1" si="13"/>
        <v>555874.64</v>
      </c>
      <c r="AK17" s="117">
        <f t="shared" ca="1" si="14"/>
        <v>19.074363417982152</v>
      </c>
      <c r="AL17" s="117">
        <f t="shared" ca="1" si="15"/>
        <v>53014.774490999989</v>
      </c>
      <c r="AM17" s="117">
        <f t="shared" ca="1" si="16"/>
        <v>7803.1366417037707</v>
      </c>
      <c r="AN17" s="117">
        <f t="shared" ca="1" si="17"/>
        <v>745.57001012648038</v>
      </c>
      <c r="AR17" s="121">
        <f t="shared" ca="1" si="3"/>
        <v>2697.4871106851547</v>
      </c>
      <c r="AS17" s="121">
        <f t="shared" ca="1" si="4"/>
        <v>3138.23740928091</v>
      </c>
      <c r="AT17" s="121">
        <f t="shared" ca="1" si="5"/>
        <v>3445.5159301859499</v>
      </c>
      <c r="AU17" s="121">
        <f t="shared" ca="1" si="6"/>
        <v>3093.7468167173379</v>
      </c>
      <c r="AW17" s="117">
        <f t="shared" ca="1" si="7"/>
        <v>0.872</v>
      </c>
      <c r="AX17" s="117">
        <f t="shared" ca="1" si="8"/>
        <v>1.014</v>
      </c>
      <c r="AY17" s="117">
        <f t="shared" ca="1" si="9"/>
        <v>1.1140000000000001</v>
      </c>
    </row>
    <row r="18" spans="2:51" x14ac:dyDescent="0.35">
      <c r="B18" s="192" t="str">
        <f>坦克个性化细分!I14</f>
        <v>Stuart</v>
      </c>
      <c r="C18" s="249" t="str">
        <f>VLOOKUP(B18,坦克个性化设定!$B$18:$F$48,5,FALSE)</f>
        <v>中坦弹夹</v>
      </c>
      <c r="D18" s="192" t="str">
        <f>坦克个性化细分!J14</f>
        <v>低</v>
      </c>
      <c r="E18" s="114" t="str">
        <f t="shared" si="0"/>
        <v>Stuart低</v>
      </c>
      <c r="F18" s="120">
        <f>VLOOKUP($B18,坦克属性统计!$B$3:$AY$33,MATCH(F$7,坦克属性统计!$B$3:$AY$3,0),FALSE)</f>
        <v>0.78</v>
      </c>
      <c r="G18" s="120">
        <f>VLOOKUP($B18,坦克属性统计!$B$3:$AY$33,MATCH(G$7,坦克属性统计!$B$3:$AY$3,0),FALSE)</f>
        <v>1.1200000000000001</v>
      </c>
      <c r="H18" s="120">
        <f>VLOOKUP($B18,坦克属性统计!$B$3:$AY$33,MATCH(H$7,坦克属性统计!$B$3:$AY$3,0),FALSE)</f>
        <v>0.4</v>
      </c>
      <c r="I18" s="120">
        <f>VLOOKUP($B18,坦克属性统计!$B$3:$AY$33,MATCH(I$7,坦克属性统计!$B$3:$AY$3,0),FALSE)</f>
        <v>1.2</v>
      </c>
      <c r="J18" s="120">
        <f>VLOOKUP($B18,坦克属性统计!$B$3:$AY$33,MATCH(J$7,坦克属性统计!$B$3:$AY$3,0),FALSE)</f>
        <v>44.5</v>
      </c>
      <c r="K18" s="120">
        <f>VLOOKUP($B18,坦克属性统计!$B$3:$AY$33,MATCH(K$7,坦克属性统计!$B$3:$AY$3,0),FALSE)</f>
        <v>40</v>
      </c>
      <c r="L18" s="120">
        <f>VLOOKUP($B18,坦克属性统计!$B$3:$AY$33,MATCH(L$7,坦克属性统计!$B$3:$AY$3,0),FALSE)</f>
        <v>12.3</v>
      </c>
      <c r="M18" s="209">
        <f>VLOOKUP($B18,坦克属性统计!$B$3:$AY$33,MATCH(M$7,坦克属性统计!$B$3:$AY$3,0),FALSE)</f>
        <v>6</v>
      </c>
      <c r="N18" s="120">
        <f>VLOOKUP($B18,坦克属性统计!$B$3:$AY$33,MATCH(N$7,坦克属性统计!$B$3:$AY$3,0),FALSE)</f>
        <v>0</v>
      </c>
      <c r="O18" s="120">
        <f>VLOOKUP($B18,坦克属性统计!$B$3:$AY$33,MATCH(O$7,坦克属性统计!$B$3:$AY$3,0),FALSE)</f>
        <v>4.8000000000000007</v>
      </c>
      <c r="P18" s="120">
        <f>VLOOKUP($B18,坦克属性统计!$B$3:$AY$33,MATCH(P$7,坦克属性统计!$B$3:$AY$3,0),FALSE)</f>
        <v>0.93333333333333346</v>
      </c>
      <c r="Q18" s="502">
        <f ca="1">VLOOKUP($B18,坦克属性统计!$B$3:$AY$33,MATCH(Q$7,坦克属性统计!$B$3:$AY$3,0),FALSE)*(1+W18/Z18)</f>
        <v>778.3</v>
      </c>
      <c r="R18" s="502">
        <f ca="1">VLOOKUP($B18,坦克属性统计!$B$3:$AY$33,MATCH(R$7,坦克属性统计!$B$3:$AY$3,0),FALSE)*(1+X18/AA18)</f>
        <v>51.599999999999994</v>
      </c>
      <c r="S18" s="209">
        <f ca="1">VLOOKUP($B18,坦克属性统计!$B$3:$AY$33,MATCH(S$7,坦克属性统计!$B$3:$AY$3,0),FALSE)</f>
        <v>286</v>
      </c>
      <c r="T18" s="209">
        <f ca="1">VLOOKUP($B18,坦克属性统计!$B$3:$AY$33,MATCH(T$7,坦克属性统计!$B$3:$AY$3,0),FALSE)</f>
        <v>214</v>
      </c>
      <c r="U18" s="502">
        <f ca="1">VLOOKUP($B18,坦克属性统计!$B$3:$AY$33,MATCH(U$7,坦克属性统计!$B$3:$AY$3,0),FALSE)*(1+Y18/AB18)</f>
        <v>387</v>
      </c>
      <c r="V18" s="209">
        <f ca="1">VLOOKUP($B18,坦克属性统计!$B$3:$AY$33,MATCH(V$7,坦克属性统计!$B$3:$AY$3,0),FALSE)</f>
        <v>88</v>
      </c>
      <c r="W18" s="209">
        <f>VLOOKUP($B18,坦克属性统计!$B$3:$AY$33,MATCH(W$7,坦克属性统计!$B$3:$AY$3,0),FALSE)</f>
        <v>270</v>
      </c>
      <c r="X18" s="209">
        <f>VLOOKUP($B18,坦克属性统计!$B$3:$AY$33,MATCH(X$7,坦克属性统计!$B$3:$AY$3,0),FALSE)</f>
        <v>270</v>
      </c>
      <c r="Y18" s="209">
        <f>VLOOKUP($B18,坦克属性统计!$B$3:$AY$33,MATCH(Y$7,坦克属性统计!$B$3:$AY$3,0),FALSE)</f>
        <v>270</v>
      </c>
      <c r="Z18" s="209">
        <f>VLOOKUP(B18,坦克部件!$AJ$3:$AQ$33,MATCH("基础系数",坦克部件!$AJ$3:$AQ$3,0),FALSE)</f>
        <v>3600</v>
      </c>
      <c r="AA18" s="209">
        <f t="shared" si="1"/>
        <v>3600</v>
      </c>
      <c r="AB18" s="209">
        <f t="shared" si="1"/>
        <v>3600</v>
      </c>
      <c r="AC18" s="28">
        <f t="shared" si="2"/>
        <v>57.17647058823529</v>
      </c>
      <c r="AD18" s="28" t="s">
        <v>987</v>
      </c>
      <c r="AE18" s="232"/>
      <c r="AF18" s="502">
        <f t="shared" ca="1" si="10"/>
        <v>1309.2724332283806</v>
      </c>
      <c r="AG18" s="502">
        <f t="shared" ca="1" si="11"/>
        <v>1047</v>
      </c>
      <c r="AI18" s="117">
        <f t="shared" ca="1" si="12"/>
        <v>2296223.0682352935</v>
      </c>
      <c r="AJ18" s="117">
        <f t="shared" ca="1" si="13"/>
        <v>96750</v>
      </c>
      <c r="AK18" s="117">
        <f t="shared" ca="1" si="14"/>
        <v>23.733571764705875</v>
      </c>
      <c r="AL18" s="117">
        <f t="shared" ca="1" si="15"/>
        <v>11481.115341176468</v>
      </c>
      <c r="AM18" s="117">
        <f t="shared" ca="1" si="16"/>
        <v>3289.8497737917528</v>
      </c>
      <c r="AN18" s="117">
        <f t="shared" ca="1" si="17"/>
        <v>311.04662029991579</v>
      </c>
    </row>
    <row r="19" spans="2:51" x14ac:dyDescent="0.35">
      <c r="B19" s="192" t="str">
        <f>坦克个性化细分!I15</f>
        <v>T-34</v>
      </c>
      <c r="C19" s="249" t="str">
        <f>VLOOKUP(B19,坦克个性化设定!$B$18:$F$48,5,FALSE)</f>
        <v>中坦弹夹</v>
      </c>
      <c r="D19" s="192" t="str">
        <f>坦克个性化细分!J15</f>
        <v>低</v>
      </c>
      <c r="E19" s="114" t="str">
        <f t="shared" si="0"/>
        <v>T-34低</v>
      </c>
      <c r="F19" s="120">
        <f>VLOOKUP($B19,坦克属性统计!$B$3:$AY$33,MATCH(F$7,坦克属性统计!$B$3:$AY$3,0),FALSE)</f>
        <v>0.75</v>
      </c>
      <c r="G19" s="120">
        <f>VLOOKUP($B19,坦克属性统计!$B$3:$AY$33,MATCH(G$7,坦克属性统计!$B$3:$AY$3,0),FALSE)</f>
        <v>1.76</v>
      </c>
      <c r="H19" s="120">
        <f>VLOOKUP($B19,坦克属性统计!$B$3:$AY$33,MATCH(H$7,坦克属性统计!$B$3:$AY$3,0),FALSE)</f>
        <v>1.2</v>
      </c>
      <c r="I19" s="120">
        <f>VLOOKUP($B19,坦克属性统计!$B$3:$AY$33,MATCH(I$7,坦克属性统计!$B$3:$AY$3,0),FALSE)</f>
        <v>1.2</v>
      </c>
      <c r="J19" s="120">
        <f>VLOOKUP($B19,坦克属性统计!$B$3:$AY$33,MATCH(J$7,坦克属性统计!$B$3:$AY$3,0),FALSE)</f>
        <v>44.5</v>
      </c>
      <c r="K19" s="120">
        <f>VLOOKUP($B19,坦克属性统计!$B$3:$AY$33,MATCH(K$7,坦克属性统计!$B$3:$AY$3,0),FALSE)</f>
        <v>40</v>
      </c>
      <c r="L19" s="120">
        <f>VLOOKUP($B19,坦克属性统计!$B$3:$AY$33,MATCH(L$7,坦克属性统计!$B$3:$AY$3,0),FALSE)</f>
        <v>12.3</v>
      </c>
      <c r="M19" s="209">
        <f>VLOOKUP($B19,坦克属性统计!$B$3:$AY$33,MATCH(M$7,坦克属性统计!$B$3:$AY$3,0),FALSE)</f>
        <v>6</v>
      </c>
      <c r="N19" s="120">
        <f>VLOOKUP($B19,坦克属性统计!$B$3:$AY$33,MATCH(N$7,坦克属性统计!$B$3:$AY$3,0),FALSE)</f>
        <v>0</v>
      </c>
      <c r="O19" s="120">
        <f>VLOOKUP($B19,坦克属性统计!$B$3:$AY$33,MATCH(O$7,坦克属性统计!$B$3:$AY$3,0),FALSE)</f>
        <v>3</v>
      </c>
      <c r="P19" s="120">
        <f>VLOOKUP($B19,坦克属性统计!$B$3:$AY$33,MATCH(P$7,坦克属性统计!$B$3:$AY$3,0),FALSE)</f>
        <v>1.4666666666666668</v>
      </c>
      <c r="Q19" s="502">
        <f ca="1">VLOOKUP($B19,坦克属性统计!$B$3:$AY$33,MATCH(Q$7,坦克属性统计!$B$3:$AY$3,0),FALSE)*(1+W19/Z19)</f>
        <v>1037.74</v>
      </c>
      <c r="R19" s="502">
        <f ca="1">VLOOKUP($B19,坦克属性统计!$B$3:$AY$33,MATCH(R$7,坦克属性统计!$B$3:$AY$3,0),FALSE)*(1+X19/AA19)</f>
        <v>75.260000000000005</v>
      </c>
      <c r="S19" s="209">
        <f ca="1">VLOOKUP($B19,坦克属性统计!$B$3:$AY$33,MATCH(S$7,坦克属性统计!$B$3:$AY$3,0),FALSE)</f>
        <v>343</v>
      </c>
      <c r="T19" s="209">
        <f ca="1">VLOOKUP($B19,坦克属性统计!$B$3:$AY$33,MATCH(T$7,坦克属性统计!$B$3:$AY$3,0),FALSE)</f>
        <v>257</v>
      </c>
      <c r="U19" s="502">
        <f ca="1">VLOOKUP($B19,坦克属性统计!$B$3:$AY$33,MATCH(U$7,坦克属性统计!$B$3:$AY$3,0),FALSE)*(1+Y19/AB19)</f>
        <v>457.92</v>
      </c>
      <c r="V19" s="209">
        <f ca="1">VLOOKUP($B19,坦克属性统计!$B$3:$AY$33,MATCH(V$7,坦克属性统计!$B$3:$AY$3,0),FALSE)</f>
        <v>106</v>
      </c>
      <c r="W19" s="209">
        <f>VLOOKUP($B19,坦克属性统计!$B$3:$AY$33,MATCH(W$7,坦克属性统计!$B$3:$AY$3,0),FALSE)</f>
        <v>270</v>
      </c>
      <c r="X19" s="209">
        <f>VLOOKUP($B19,坦克属性统计!$B$3:$AY$33,MATCH(X$7,坦克属性统计!$B$3:$AY$3,0),FALSE)</f>
        <v>270</v>
      </c>
      <c r="Y19" s="209">
        <f>VLOOKUP($B19,坦克属性统计!$B$3:$AY$33,MATCH(Y$7,坦克属性统计!$B$3:$AY$3,0),FALSE)</f>
        <v>270</v>
      </c>
      <c r="Z19" s="209">
        <f>VLOOKUP(B19,坦克部件!$AJ$3:$AQ$33,MATCH("基础系数",坦克部件!$AJ$3:$AQ$3,0),FALSE)</f>
        <v>4500</v>
      </c>
      <c r="AA19" s="209">
        <f t="shared" si="1"/>
        <v>4500</v>
      </c>
      <c r="AB19" s="209">
        <f t="shared" si="1"/>
        <v>4500</v>
      </c>
      <c r="AC19" s="28">
        <f t="shared" si="2"/>
        <v>42</v>
      </c>
      <c r="AD19" s="28" t="s">
        <v>921</v>
      </c>
      <c r="AE19" s="232"/>
      <c r="AF19" s="502">
        <f t="shared" ca="1" si="10"/>
        <v>1491.7427999325889</v>
      </c>
      <c r="AG19" s="502">
        <f t="shared" ca="1" si="11"/>
        <v>1193</v>
      </c>
      <c r="AI19" s="117">
        <f t="shared" ca="1" si="12"/>
        <v>3280213.1208000006</v>
      </c>
      <c r="AJ19" s="117">
        <f t="shared" ca="1" si="13"/>
        <v>137376</v>
      </c>
      <c r="AK19" s="117">
        <f t="shared" ca="1" si="14"/>
        <v>23.877628703703706</v>
      </c>
      <c r="AL19" s="117">
        <f t="shared" ca="1" si="15"/>
        <v>16401.065604000003</v>
      </c>
      <c r="AM19" s="117">
        <f t="shared" ca="1" si="16"/>
        <v>3921.441898128799</v>
      </c>
      <c r="AN19" s="117">
        <f t="shared" ca="1" si="17"/>
        <v>370.64268507553203</v>
      </c>
    </row>
    <row r="20" spans="2:51" x14ac:dyDescent="0.35">
      <c r="B20" s="192" t="str">
        <f>坦克个性化细分!I16</f>
        <v>四号</v>
      </c>
      <c r="C20" s="249" t="str">
        <f>VLOOKUP(B20,坦克个性化设定!$B$18:$F$48,5,FALSE)</f>
        <v>中坦单发</v>
      </c>
      <c r="D20" s="192" t="str">
        <f>坦克个性化细分!J16</f>
        <v>中</v>
      </c>
      <c r="E20" s="114" t="str">
        <f t="shared" si="0"/>
        <v>四号中</v>
      </c>
      <c r="F20" s="120">
        <f>VLOOKUP($B20,坦克属性统计!$B$3:$AY$33,MATCH(F$7,坦克属性统计!$B$3:$AY$3,0),FALSE)</f>
        <v>0.64</v>
      </c>
      <c r="G20" s="120">
        <f>VLOOKUP($B20,坦克属性统计!$B$3:$AY$33,MATCH(G$7,坦克属性统计!$B$3:$AY$3,0),FALSE)</f>
        <v>2.4</v>
      </c>
      <c r="H20" s="120">
        <f>VLOOKUP($B20,坦克属性统计!$B$3:$AY$33,MATCH(H$7,坦克属性统计!$B$3:$AY$3,0),FALSE)</f>
        <v>0</v>
      </c>
      <c r="I20" s="120">
        <f>VLOOKUP($B20,坦克属性统计!$B$3:$AY$33,MATCH(I$7,坦克属性统计!$B$3:$AY$3,0),FALSE)</f>
        <v>1</v>
      </c>
      <c r="J20" s="120">
        <f>VLOOKUP($B20,坦克属性统计!$B$3:$AY$33,MATCH(J$7,坦克属性统计!$B$3:$AY$3,0),FALSE)</f>
        <v>36.299999999999997</v>
      </c>
      <c r="K20" s="120">
        <f>VLOOKUP($B20,坦克属性统计!$B$3:$AY$33,MATCH(K$7,坦克属性统计!$B$3:$AY$3,0),FALSE)</f>
        <v>51</v>
      </c>
      <c r="L20" s="120">
        <f>VLOOKUP($B20,坦克属性统计!$B$3:$AY$33,MATCH(L$7,坦克属性统计!$B$3:$AY$3,0),FALSE)</f>
        <v>11.3</v>
      </c>
      <c r="M20" s="209">
        <f>VLOOKUP($B20,坦克属性统计!$B$3:$AY$33,MATCH(M$7,坦克属性统计!$B$3:$AY$3,0),FALSE)</f>
        <v>1</v>
      </c>
      <c r="N20" s="120">
        <f>VLOOKUP($B20,坦克属性统计!$B$3:$AY$33,MATCH(N$7,坦克属性统计!$B$3:$AY$3,0),FALSE)</f>
        <v>4.5</v>
      </c>
      <c r="O20" s="120">
        <f>VLOOKUP($B20,坦克属性统计!$B$3:$AY$33,MATCH(O$7,坦克属性统计!$B$3:$AY$3,0),FALSE)</f>
        <v>0</v>
      </c>
      <c r="P20" s="120">
        <f>VLOOKUP($B20,坦克属性统计!$B$3:$AY$33,MATCH(P$7,坦克属性统计!$B$3:$AY$3,0),FALSE)</f>
        <v>2.4</v>
      </c>
      <c r="Q20" s="502">
        <f ca="1">VLOOKUP($B20,坦克属性统计!$B$3:$AY$33,MATCH(Q$7,坦克属性统计!$B$3:$AY$3,0),FALSE)*(1+W20/Z20)</f>
        <v>1105.0666666666666</v>
      </c>
      <c r="R20" s="502">
        <f ca="1">VLOOKUP($B20,坦克属性统计!$B$3:$AY$33,MATCH(R$7,坦克属性统计!$B$3:$AY$3,0),FALSE)*(1+X20/AA20)</f>
        <v>212.26666666666665</v>
      </c>
      <c r="S20" s="209">
        <f ca="1">VLOOKUP($B20,坦克属性统计!$B$3:$AY$33,MATCH(S$7,坦克属性统计!$B$3:$AY$3,0),FALSE)</f>
        <v>404</v>
      </c>
      <c r="T20" s="209">
        <f ca="1">VLOOKUP($B20,坦克属性统计!$B$3:$AY$33,MATCH(T$7,坦克属性统计!$B$3:$AY$3,0),FALSE)</f>
        <v>303</v>
      </c>
      <c r="U20" s="502">
        <f ca="1">VLOOKUP($B20,坦克属性统计!$B$3:$AY$33,MATCH(U$7,坦克属性统计!$B$3:$AY$3,0),FALSE)*(1+Y20/AB20)</f>
        <v>472.5333333333333</v>
      </c>
      <c r="V20" s="209">
        <f ca="1">VLOOKUP($B20,坦克属性统计!$B$3:$AY$33,MATCH(V$7,坦克属性统计!$B$3:$AY$3,0),FALSE)</f>
        <v>108</v>
      </c>
      <c r="W20" s="209">
        <f>VLOOKUP($B20,坦克属性统计!$B$3:$AY$33,MATCH(W$7,坦克属性统计!$B$3:$AY$3,0),FALSE)</f>
        <v>380</v>
      </c>
      <c r="X20" s="209">
        <f>VLOOKUP($B20,坦克属性统计!$B$3:$AY$33,MATCH(X$7,坦克属性统计!$B$3:$AY$3,0),FALSE)</f>
        <v>380</v>
      </c>
      <c r="Y20" s="209">
        <f>VLOOKUP($B20,坦克属性统计!$B$3:$AY$33,MATCH(Y$7,坦克属性统计!$B$3:$AY$3,0),FALSE)</f>
        <v>380</v>
      </c>
      <c r="Z20" s="209">
        <f>VLOOKUP(B20,坦克部件!$AJ$3:$AQ$33,MATCH("基础系数",坦克部件!$AJ$3:$AQ$3,0),FALSE)</f>
        <v>5700</v>
      </c>
      <c r="AA20" s="209">
        <f t="shared" si="1"/>
        <v>5700</v>
      </c>
      <c r="AB20" s="209">
        <f t="shared" si="1"/>
        <v>5700</v>
      </c>
      <c r="AC20" s="28">
        <f t="shared" si="2"/>
        <v>14.333333333333334</v>
      </c>
      <c r="AD20" s="28" t="s">
        <v>921</v>
      </c>
      <c r="AE20" s="232"/>
      <c r="AF20" s="502">
        <f t="shared" ca="1" si="10"/>
        <v>1314.7549610658104</v>
      </c>
      <c r="AG20" s="502">
        <f t="shared" ca="1" si="11"/>
        <v>1052</v>
      </c>
      <c r="AI20" s="117">
        <f t="shared" ca="1" si="12"/>
        <v>3362153.0548148146</v>
      </c>
      <c r="AJ20" s="117">
        <f t="shared" ca="1" si="13"/>
        <v>167040.53333333333</v>
      </c>
      <c r="AK20" s="117">
        <f t="shared" ca="1" si="14"/>
        <v>20.127767720338625</v>
      </c>
      <c r="AL20" s="117">
        <f t="shared" ca="1" si="15"/>
        <v>16810.765274074074</v>
      </c>
      <c r="AM20" s="117">
        <f t="shared" ca="1" si="16"/>
        <v>4287.7884580213076</v>
      </c>
      <c r="AN20" s="117">
        <f t="shared" ca="1" si="17"/>
        <v>408.70592524862337</v>
      </c>
    </row>
    <row r="21" spans="2:51" x14ac:dyDescent="0.35">
      <c r="B21" s="192" t="str">
        <f>坦克个性化细分!I17</f>
        <v>玛蒂尔达</v>
      </c>
      <c r="C21" s="249" t="str">
        <f>VLOOKUP(B21,坦克个性化设定!$B$18:$F$48,5,FALSE)</f>
        <v>中坦弹夹</v>
      </c>
      <c r="D21" s="192" t="str">
        <f>坦克个性化细分!J17</f>
        <v>低</v>
      </c>
      <c r="E21" s="114" t="str">
        <f t="shared" si="0"/>
        <v>玛蒂尔达低</v>
      </c>
      <c r="F21" s="120">
        <f>VLOOKUP($B21,坦克属性统计!$B$3:$AY$33,MATCH(F$7,坦克属性统计!$B$3:$AY$3,0),FALSE)</f>
        <v>0.75</v>
      </c>
      <c r="G21" s="120">
        <f>VLOOKUP($B21,坦克属性统计!$B$3:$AY$33,MATCH(G$7,坦克属性统计!$B$3:$AY$3,0),FALSE)</f>
        <v>1.38</v>
      </c>
      <c r="H21" s="120">
        <f>VLOOKUP($B21,坦克属性统计!$B$3:$AY$33,MATCH(H$7,坦克属性统计!$B$3:$AY$3,0),FALSE)</f>
        <v>0.72</v>
      </c>
      <c r="I21" s="120">
        <f>VLOOKUP($B21,坦克属性统计!$B$3:$AY$33,MATCH(I$7,坦克属性统计!$B$3:$AY$3,0),FALSE)</f>
        <v>1.2</v>
      </c>
      <c r="J21" s="120">
        <f>VLOOKUP($B21,坦克属性统计!$B$3:$AY$33,MATCH(J$7,坦克属性统计!$B$3:$AY$3,0),FALSE)</f>
        <v>44.5</v>
      </c>
      <c r="K21" s="120">
        <f>VLOOKUP($B21,坦克属性统计!$B$3:$AY$33,MATCH(K$7,坦克属性统计!$B$3:$AY$3,0),FALSE)</f>
        <v>40</v>
      </c>
      <c r="L21" s="120">
        <f>VLOOKUP($B21,坦克属性统计!$B$3:$AY$33,MATCH(L$7,坦克属性统计!$B$3:$AY$3,0),FALSE)</f>
        <v>12.3</v>
      </c>
      <c r="M21" s="209">
        <f>VLOOKUP($B21,坦克属性统计!$B$3:$AY$33,MATCH(M$7,坦克属性统计!$B$3:$AY$3,0),FALSE)</f>
        <v>6</v>
      </c>
      <c r="N21" s="120">
        <f>VLOOKUP($B21,坦克属性统计!$B$3:$AY$33,MATCH(N$7,坦克属性统计!$B$3:$AY$3,0),FALSE)</f>
        <v>0</v>
      </c>
      <c r="O21" s="120">
        <f>VLOOKUP($B21,坦克属性统计!$B$3:$AY$33,MATCH(O$7,坦克属性统计!$B$3:$AY$3,0),FALSE)</f>
        <v>3</v>
      </c>
      <c r="P21" s="120">
        <f>VLOOKUP($B21,坦克属性统计!$B$3:$AY$33,MATCH(P$7,坦克属性统计!$B$3:$AY$3,0),FALSE)</f>
        <v>1.1499999999999999</v>
      </c>
      <c r="Q21" s="502">
        <f ca="1">VLOOKUP($B21,坦克属性统计!$B$3:$AY$33,MATCH(Q$7,坦克属性统计!$B$3:$AY$3,0),FALSE)*(1+W21/Z21)</f>
        <v>1337.6</v>
      </c>
      <c r="R21" s="502">
        <f ca="1">VLOOKUP($B21,坦克属性统计!$B$3:$AY$33,MATCH(R$7,坦克属性统计!$B$3:$AY$3,0),FALSE)*(1+X21/AA21)</f>
        <v>68.266666666666666</v>
      </c>
      <c r="S21" s="209">
        <f ca="1">VLOOKUP($B21,坦克属性统计!$B$3:$AY$33,MATCH(S$7,坦克属性统计!$B$3:$AY$3,0),FALSE)</f>
        <v>429</v>
      </c>
      <c r="T21" s="209">
        <f ca="1">VLOOKUP($B21,坦克属性统计!$B$3:$AY$33,MATCH(T$7,坦克属性统计!$B$3:$AY$3,0),FALSE)</f>
        <v>321</v>
      </c>
      <c r="U21" s="502">
        <f ca="1">VLOOKUP($B21,坦克属性统计!$B$3:$AY$33,MATCH(U$7,坦克属性统计!$B$3:$AY$3,0),FALSE)*(1+Y21/AB21)</f>
        <v>576</v>
      </c>
      <c r="V21" s="209">
        <f ca="1">VLOOKUP($B21,坦克属性统计!$B$3:$AY$33,MATCH(V$7,坦克属性统计!$B$3:$AY$3,0),FALSE)</f>
        <v>132</v>
      </c>
      <c r="W21" s="209">
        <f>VLOOKUP($B21,坦克属性统计!$B$3:$AY$33,MATCH(W$7,坦克属性统计!$B$3:$AY$3,0),FALSE)</f>
        <v>380</v>
      </c>
      <c r="X21" s="209">
        <f>VLOOKUP($B21,坦克属性统计!$B$3:$AY$33,MATCH(X$7,坦克属性统计!$B$3:$AY$3,0),FALSE)</f>
        <v>380</v>
      </c>
      <c r="Y21" s="209">
        <f>VLOOKUP($B21,坦克属性统计!$B$3:$AY$33,MATCH(Y$7,坦克属性统计!$B$3:$AY$3,0),FALSE)</f>
        <v>380</v>
      </c>
      <c r="Z21" s="209">
        <f>VLOOKUP(B21,坦克部件!$AJ$3:$AQ$33,MATCH("基础系数",坦克部件!$AJ$3:$AQ$3,0),FALSE)</f>
        <v>5700</v>
      </c>
      <c r="AA21" s="209">
        <f t="shared" si="1"/>
        <v>5700</v>
      </c>
      <c r="AB21" s="209">
        <f t="shared" si="1"/>
        <v>5700</v>
      </c>
      <c r="AC21" s="28">
        <f t="shared" si="2"/>
        <v>57.272727272727266</v>
      </c>
      <c r="AD21" s="28" t="s">
        <v>922</v>
      </c>
      <c r="AE21" s="232"/>
      <c r="AF21" s="502">
        <f t="shared" ca="1" si="10"/>
        <v>1864.6332784646675</v>
      </c>
      <c r="AG21" s="502">
        <f t="shared" ca="1" si="11"/>
        <v>1492</v>
      </c>
      <c r="AI21" s="117">
        <f t="shared" ca="1" si="12"/>
        <v>5229772.7999999989</v>
      </c>
      <c r="AJ21" s="117">
        <f t="shared" ca="1" si="13"/>
        <v>216000</v>
      </c>
      <c r="AK21" s="117">
        <f t="shared" ca="1" si="14"/>
        <v>24.211911111111107</v>
      </c>
      <c r="AL21" s="117">
        <f t="shared" ca="1" si="15"/>
        <v>26148.863999999994</v>
      </c>
      <c r="AM21" s="117">
        <f t="shared" ca="1" si="16"/>
        <v>4920.8623634480973</v>
      </c>
      <c r="AN21" s="117">
        <f t="shared" ca="1" si="17"/>
        <v>464.75800154489002</v>
      </c>
    </row>
    <row r="22" spans="2:51" x14ac:dyDescent="0.35">
      <c r="B22" s="192" t="str">
        <f>坦克个性化细分!I18</f>
        <v>谢尔曼</v>
      </c>
      <c r="C22" s="249" t="str">
        <f>VLOOKUP(B22,坦克个性化设定!$B$18:$F$48,5,FALSE)</f>
        <v>中坦单发</v>
      </c>
      <c r="D22" s="192" t="str">
        <f>坦克个性化细分!J18</f>
        <v>中</v>
      </c>
      <c r="E22" s="114" t="str">
        <f t="shared" si="0"/>
        <v>谢尔曼中</v>
      </c>
      <c r="F22" s="120">
        <f>VLOOKUP($B22,坦克属性统计!$B$3:$AY$33,MATCH(F$7,坦克属性统计!$B$3:$AY$3,0),FALSE)</f>
        <v>0.71</v>
      </c>
      <c r="G22" s="120">
        <f>VLOOKUP($B22,坦克属性统计!$B$3:$AY$33,MATCH(G$7,坦克属性统计!$B$3:$AY$3,0),FALSE)</f>
        <v>2.4</v>
      </c>
      <c r="H22" s="120">
        <f>VLOOKUP($B22,坦克属性统计!$B$3:$AY$33,MATCH(H$7,坦克属性统计!$B$3:$AY$3,0),FALSE)</f>
        <v>0</v>
      </c>
      <c r="I22" s="120">
        <f>VLOOKUP($B22,坦克属性统计!$B$3:$AY$33,MATCH(I$7,坦克属性统计!$B$3:$AY$3,0),FALSE)</f>
        <v>1</v>
      </c>
      <c r="J22" s="120">
        <f>VLOOKUP($B22,坦克属性统计!$B$3:$AY$33,MATCH(J$7,坦克属性统计!$B$3:$AY$3,0),FALSE)</f>
        <v>36.299999999999997</v>
      </c>
      <c r="K22" s="120">
        <f>VLOOKUP($B22,坦克属性统计!$B$3:$AY$33,MATCH(K$7,坦克属性统计!$B$3:$AY$3,0),FALSE)</f>
        <v>51</v>
      </c>
      <c r="L22" s="120">
        <f>VLOOKUP($B22,坦克属性统计!$B$3:$AY$33,MATCH(L$7,坦克属性统计!$B$3:$AY$3,0),FALSE)</f>
        <v>11.3</v>
      </c>
      <c r="M22" s="209">
        <f>VLOOKUP($B22,坦克属性统计!$B$3:$AY$33,MATCH(M$7,坦克属性统计!$B$3:$AY$3,0),FALSE)</f>
        <v>1</v>
      </c>
      <c r="N22" s="120">
        <f>VLOOKUP($B22,坦克属性统计!$B$3:$AY$33,MATCH(N$7,坦克属性统计!$B$3:$AY$3,0),FALSE)</f>
        <v>4.5</v>
      </c>
      <c r="O22" s="120">
        <f>VLOOKUP($B22,坦克属性统计!$B$3:$AY$33,MATCH(O$7,坦克属性统计!$B$3:$AY$3,0),FALSE)</f>
        <v>0</v>
      </c>
      <c r="P22" s="120">
        <f>VLOOKUP($B22,坦克属性统计!$B$3:$AY$33,MATCH(P$7,坦克属性统计!$B$3:$AY$3,0),FALSE)</f>
        <v>2.4</v>
      </c>
      <c r="Q22" s="502">
        <f ca="1">VLOOKUP($B22,坦克属性统计!$B$3:$AY$33,MATCH(Q$7,坦克属性统计!$B$3:$AY$3,0),FALSE)*(1+W22/Z22)</f>
        <v>1398.088888888889</v>
      </c>
      <c r="R22" s="502">
        <f ca="1">VLOOKUP($B22,坦克属性统计!$B$3:$AY$33,MATCH(R$7,坦克属性统计!$B$3:$AY$3,0),FALSE)*(1+X22/AA22)</f>
        <v>257.93055555555554</v>
      </c>
      <c r="S22" s="209">
        <f ca="1">VLOOKUP($B22,坦克属性统计!$B$3:$AY$33,MATCH(S$7,坦克属性统计!$B$3:$AY$3,0),FALSE)</f>
        <v>508</v>
      </c>
      <c r="T22" s="209">
        <f ca="1">VLOOKUP($B22,坦克属性统计!$B$3:$AY$33,MATCH(T$7,坦克属性统计!$B$3:$AY$3,0),FALSE)</f>
        <v>381</v>
      </c>
      <c r="U22" s="502">
        <f ca="1">VLOOKUP($B22,坦克属性统计!$B$3:$AY$33,MATCH(U$7,坦克属性统计!$B$3:$AY$3,0),FALSE)*(1+Y22/AB22)</f>
        <v>585.34444444444443</v>
      </c>
      <c r="V22" s="209">
        <f ca="1">VLOOKUP($B22,坦克属性统计!$B$3:$AY$33,MATCH(V$7,坦克属性统计!$B$3:$AY$3,0),FALSE)</f>
        <v>136</v>
      </c>
      <c r="W22" s="209">
        <f>VLOOKUP($B22,坦克属性统计!$B$3:$AY$33,MATCH(W$7,坦克属性统计!$B$3:$AY$3,0),FALSE)</f>
        <v>380</v>
      </c>
      <c r="X22" s="209">
        <f>VLOOKUP($B22,坦克属性统计!$B$3:$AY$33,MATCH(X$7,坦克属性统计!$B$3:$AY$3,0),FALSE)</f>
        <v>380</v>
      </c>
      <c r="Y22" s="209">
        <f>VLOOKUP($B22,坦克属性统计!$B$3:$AY$33,MATCH(Y$7,坦克属性统计!$B$3:$AY$3,0),FALSE)</f>
        <v>380</v>
      </c>
      <c r="Z22" s="209">
        <f>VLOOKUP(B22,坦克部件!$AJ$3:$AQ$33,MATCH("基础系数",坦克部件!$AJ$3:$AQ$3,0),FALSE)</f>
        <v>7200</v>
      </c>
      <c r="AA22" s="209">
        <f t="shared" si="1"/>
        <v>7200</v>
      </c>
      <c r="AB22" s="209">
        <f t="shared" si="1"/>
        <v>7200</v>
      </c>
      <c r="AC22" s="28">
        <f t="shared" si="2"/>
        <v>14.333333333333334</v>
      </c>
      <c r="AD22" s="28" t="s">
        <v>922</v>
      </c>
      <c r="AE22" s="232"/>
      <c r="AF22" s="502">
        <f t="shared" ca="1" si="10"/>
        <v>1610.6512943719647</v>
      </c>
      <c r="AG22" s="502">
        <f t="shared" ca="1" si="11"/>
        <v>1289</v>
      </c>
      <c r="AI22" s="117">
        <f t="shared" ca="1" si="12"/>
        <v>5168741.094855967</v>
      </c>
      <c r="AJ22" s="117">
        <f t="shared" ca="1" si="13"/>
        <v>260185.60555555555</v>
      </c>
      <c r="AK22" s="117">
        <f t="shared" ca="1" si="14"/>
        <v>19.865592040803055</v>
      </c>
      <c r="AL22" s="117">
        <f t="shared" ca="1" si="15"/>
        <v>25843.705474279835</v>
      </c>
      <c r="AM22" s="117">
        <f t="shared" ca="1" si="16"/>
        <v>5348.1708184185309</v>
      </c>
      <c r="AN22" s="117">
        <f t="shared" ca="1" si="17"/>
        <v>510.08392011075546</v>
      </c>
    </row>
    <row r="23" spans="2:51" x14ac:dyDescent="0.35">
      <c r="B23" s="192" t="str">
        <f>坦克个性化细分!I19</f>
        <v>彗星</v>
      </c>
      <c r="C23" s="249" t="str">
        <f>VLOOKUP(B23,坦克个性化设定!$B$18:$F$48,5,FALSE)</f>
        <v>中坦单发</v>
      </c>
      <c r="D23" s="192" t="str">
        <f>坦克个性化细分!J19</f>
        <v>高</v>
      </c>
      <c r="E23" s="114" t="str">
        <f t="shared" si="0"/>
        <v>彗星高</v>
      </c>
      <c r="F23" s="120">
        <f>VLOOKUP($B23,坦克属性统计!$B$3:$AY$33,MATCH(F$7,坦克属性统计!$B$3:$AY$3,0),FALSE)</f>
        <v>0.67</v>
      </c>
      <c r="G23" s="120">
        <f>VLOOKUP($B23,坦克属性统计!$B$3:$AY$33,MATCH(G$7,坦克属性统计!$B$3:$AY$3,0),FALSE)</f>
        <v>2.4</v>
      </c>
      <c r="H23" s="120">
        <f>VLOOKUP($B23,坦克属性统计!$B$3:$AY$33,MATCH(H$7,坦克属性统计!$B$3:$AY$3,0),FALSE)</f>
        <v>0</v>
      </c>
      <c r="I23" s="120">
        <f>VLOOKUP($B23,坦克属性统计!$B$3:$AY$33,MATCH(I$7,坦克属性统计!$B$3:$AY$3,0),FALSE)</f>
        <v>1</v>
      </c>
      <c r="J23" s="120">
        <f>VLOOKUP($B23,坦克属性统计!$B$3:$AY$33,MATCH(J$7,坦克属性统计!$B$3:$AY$3,0),FALSE)</f>
        <v>37.4</v>
      </c>
      <c r="K23" s="120">
        <f>VLOOKUP($B23,坦克属性统计!$B$3:$AY$33,MATCH(K$7,坦克属性统计!$B$3:$AY$3,0),FALSE)</f>
        <v>52.5</v>
      </c>
      <c r="L23" s="120">
        <f>VLOOKUP($B23,坦克属性统计!$B$3:$AY$33,MATCH(L$7,坦克属性统计!$B$3:$AY$3,0),FALSE)</f>
        <v>11.6</v>
      </c>
      <c r="M23" s="209">
        <f>VLOOKUP($B23,坦克属性统计!$B$3:$AY$33,MATCH(M$7,坦克属性统计!$B$3:$AY$3,0),FALSE)</f>
        <v>1</v>
      </c>
      <c r="N23" s="120">
        <f>VLOOKUP($B23,坦克属性统计!$B$3:$AY$33,MATCH(N$7,坦克属性统计!$B$3:$AY$3,0),FALSE)</f>
        <v>4.5</v>
      </c>
      <c r="O23" s="120">
        <f>VLOOKUP($B23,坦克属性统计!$B$3:$AY$33,MATCH(O$7,坦克属性统计!$B$3:$AY$3,0),FALSE)</f>
        <v>0</v>
      </c>
      <c r="P23" s="120">
        <f>VLOOKUP($B23,坦克属性统计!$B$3:$AY$33,MATCH(P$7,坦克属性统计!$B$3:$AY$3,0),FALSE)</f>
        <v>2.4</v>
      </c>
      <c r="Q23" s="502">
        <f ca="1">VLOOKUP($B23,坦克属性统计!$B$3:$AY$33,MATCH(Q$7,坦克属性统计!$B$3:$AY$3,0),FALSE)*(1+W23/Z23)</f>
        <v>1509.6833333333334</v>
      </c>
      <c r="R23" s="502">
        <f ca="1">VLOOKUP($B23,坦克属性统计!$B$3:$AY$33,MATCH(R$7,坦克属性统计!$B$3:$AY$3,0),FALSE)*(1+X23/AA23)</f>
        <v>262.14166666666665</v>
      </c>
      <c r="S23" s="209">
        <f ca="1">VLOOKUP($B23,坦克属性统计!$B$3:$AY$33,MATCH(S$7,坦克属性统计!$B$3:$AY$3,0),FALSE)</f>
        <v>532</v>
      </c>
      <c r="T23" s="209">
        <f ca="1">VLOOKUP($B23,坦克属性统计!$B$3:$AY$33,MATCH(T$7,坦克属性统计!$B$3:$AY$3,0),FALSE)</f>
        <v>399</v>
      </c>
      <c r="U23" s="502">
        <f ca="1">VLOOKUP($B23,坦克属性统计!$B$3:$AY$33,MATCH(U$7,坦克属性统计!$B$3:$AY$3,0),FALSE)*(1+Y23/AB23)</f>
        <v>613.7694444444445</v>
      </c>
      <c r="V23" s="209">
        <f ca="1">VLOOKUP($B23,坦克属性统计!$B$3:$AY$33,MATCH(V$7,坦克属性统计!$B$3:$AY$3,0),FALSE)</f>
        <v>143</v>
      </c>
      <c r="W23" s="209">
        <f>VLOOKUP($B23,坦克属性统计!$B$3:$AY$33,MATCH(W$7,坦克属性统计!$B$3:$AY$3,0),FALSE)</f>
        <v>380</v>
      </c>
      <c r="X23" s="209">
        <f>VLOOKUP($B23,坦克属性统计!$B$3:$AY$33,MATCH(X$7,坦克属性统计!$B$3:$AY$3,0),FALSE)</f>
        <v>380</v>
      </c>
      <c r="Y23" s="209">
        <f>VLOOKUP($B23,坦克属性统计!$B$3:$AY$33,MATCH(Y$7,坦克属性统计!$B$3:$AY$3,0),FALSE)</f>
        <v>380</v>
      </c>
      <c r="Z23" s="209">
        <f>VLOOKUP(B23,坦克部件!$AJ$3:$AQ$33,MATCH("基础系数",坦克部件!$AJ$3:$AQ$3,0),FALSE)</f>
        <v>7200</v>
      </c>
      <c r="AA23" s="209">
        <f t="shared" si="1"/>
        <v>7200</v>
      </c>
      <c r="AB23" s="209">
        <f t="shared" si="1"/>
        <v>7200</v>
      </c>
      <c r="AC23" s="28">
        <f t="shared" si="2"/>
        <v>14.333333333333334</v>
      </c>
      <c r="AD23" s="28" t="s">
        <v>922</v>
      </c>
      <c r="AE23" s="232"/>
      <c r="AF23" s="502">
        <f t="shared" ca="1" si="10"/>
        <v>1768.1314010504586</v>
      </c>
      <c r="AG23" s="502">
        <f t="shared" ca="1" si="11"/>
        <v>1415</v>
      </c>
      <c r="AI23" s="117">
        <f t="shared" ca="1" si="12"/>
        <v>5672429.6403240738</v>
      </c>
      <c r="AJ23" s="117">
        <f t="shared" ca="1" si="13"/>
        <v>285709.67638888891</v>
      </c>
      <c r="AK23" s="117">
        <f t="shared" ca="1" si="14"/>
        <v>19.853824035707987</v>
      </c>
      <c r="AL23" s="117">
        <f t="shared" ca="1" si="15"/>
        <v>28362.14820162037</v>
      </c>
      <c r="AM23" s="117">
        <f t="shared" ca="1" si="16"/>
        <v>5604.2111361948992</v>
      </c>
      <c r="AN23" s="117">
        <f t="shared" ca="1" si="17"/>
        <v>534.51817217835435</v>
      </c>
    </row>
    <row r="24" spans="2:51" x14ac:dyDescent="0.35">
      <c r="B24" s="192" t="str">
        <f>坦克个性化细分!I20</f>
        <v>M-48</v>
      </c>
      <c r="C24" s="249" t="str">
        <f>VLOOKUP(B24,坦克个性化设定!$B$18:$F$48,5,FALSE)</f>
        <v>中坦弹夹</v>
      </c>
      <c r="D24" s="192" t="str">
        <f>坦克个性化细分!J20</f>
        <v>低</v>
      </c>
      <c r="E24" s="114" t="str">
        <f t="shared" si="0"/>
        <v>M-48低</v>
      </c>
      <c r="F24" s="120">
        <f>VLOOKUP($B24,坦克属性统计!$B$3:$AY$33,MATCH(F$7,坦克属性统计!$B$3:$AY$3,0),FALSE)</f>
        <v>0.71</v>
      </c>
      <c r="G24" s="120">
        <f>VLOOKUP($B24,坦克属性统计!$B$3:$AY$33,MATCH(G$7,坦克属性统计!$B$3:$AY$3,0),FALSE)</f>
        <v>1.73</v>
      </c>
      <c r="H24" s="120">
        <f>VLOOKUP($B24,坦克属性统计!$B$3:$AY$33,MATCH(H$7,坦克属性统计!$B$3:$AY$3,0),FALSE)</f>
        <v>0.87999999999999989</v>
      </c>
      <c r="I24" s="120">
        <f>VLOOKUP($B24,坦克属性统计!$B$3:$AY$33,MATCH(I$7,坦克属性统计!$B$3:$AY$3,0),FALSE)</f>
        <v>1.2</v>
      </c>
      <c r="J24" s="120">
        <f>VLOOKUP($B24,坦克属性统计!$B$3:$AY$33,MATCH(J$7,坦克属性统计!$B$3:$AY$3,0),FALSE)</f>
        <v>44.5</v>
      </c>
      <c r="K24" s="120">
        <f>VLOOKUP($B24,坦克属性统计!$B$3:$AY$33,MATCH(K$7,坦克属性统计!$B$3:$AY$3,0),FALSE)</f>
        <v>40</v>
      </c>
      <c r="L24" s="120">
        <f>VLOOKUP($B24,坦克属性统计!$B$3:$AY$33,MATCH(L$7,坦克属性统计!$B$3:$AY$3,0),FALSE)</f>
        <v>12.3</v>
      </c>
      <c r="M24" s="209">
        <f>VLOOKUP($B24,坦克属性统计!$B$3:$AY$33,MATCH(M$7,坦克属性统计!$B$3:$AY$3,0),FALSE)</f>
        <v>4</v>
      </c>
      <c r="N24" s="120">
        <f>VLOOKUP($B24,坦克属性统计!$B$3:$AY$33,MATCH(N$7,坦克属性统计!$B$3:$AY$3,0),FALSE)</f>
        <v>0</v>
      </c>
      <c r="O24" s="120">
        <f>VLOOKUP($B24,坦克属性统计!$B$3:$AY$33,MATCH(O$7,坦克属性统计!$B$3:$AY$3,0),FALSE)</f>
        <v>4</v>
      </c>
      <c r="P24" s="120">
        <f>VLOOKUP($B24,坦克属性统计!$B$3:$AY$33,MATCH(P$7,坦克属性统计!$B$3:$AY$3,0),FALSE)</f>
        <v>1.4416666666666667</v>
      </c>
      <c r="Q24" s="502">
        <f ca="1">VLOOKUP($B24,坦克属性统计!$B$3:$AY$33,MATCH(Q$7,坦克属性统计!$B$3:$AY$3,0),FALSE)*(1+W24/Z24)</f>
        <v>1929.1263888888886</v>
      </c>
      <c r="R24" s="502">
        <f ca="1">VLOOKUP($B24,坦克属性统计!$B$3:$AY$33,MATCH(R$7,坦克属性统计!$B$3:$AY$3,0),FALSE)*(1+X24/AA24)</f>
        <v>111.7711111111111</v>
      </c>
      <c r="S24" s="209">
        <f ca="1">VLOOKUP($B24,坦克属性统计!$B$3:$AY$33,MATCH(S$7,坦克属性统计!$B$3:$AY$3,0),FALSE)</f>
        <v>543</v>
      </c>
      <c r="T24" s="209">
        <f ca="1">VLOOKUP($B24,坦克属性统计!$B$3:$AY$33,MATCH(T$7,坦克属性统计!$B$3:$AY$3,0),FALSE)</f>
        <v>407</v>
      </c>
      <c r="U24" s="502">
        <f ca="1">VLOOKUP($B24,坦克属性统计!$B$3:$AY$33,MATCH(U$7,坦克属性统计!$B$3:$AY$3,0),FALSE)*(1+Y24/AB24)</f>
        <v>735.1099999999999</v>
      </c>
      <c r="V24" s="209">
        <f ca="1">VLOOKUP($B24,坦克属性统计!$B$3:$AY$33,MATCH(V$7,坦克属性统计!$B$3:$AY$3,0),FALSE)</f>
        <v>167</v>
      </c>
      <c r="W24" s="209">
        <f>VLOOKUP($B24,坦克属性统计!$B$3:$AY$33,MATCH(W$7,坦克属性统计!$B$3:$AY$3,0),FALSE)</f>
        <v>538</v>
      </c>
      <c r="X24" s="209">
        <f>VLOOKUP($B24,坦克属性统计!$B$3:$AY$33,MATCH(X$7,坦克属性统计!$B$3:$AY$3,0),FALSE)</f>
        <v>538</v>
      </c>
      <c r="Y24" s="209">
        <f>VLOOKUP($B24,坦克属性统计!$B$3:$AY$33,MATCH(Y$7,坦克属性统计!$B$3:$AY$3,0),FALSE)</f>
        <v>538</v>
      </c>
      <c r="Z24" s="209">
        <f>VLOOKUP(B24,坦克部件!$AJ$3:$AQ$33,MATCH("基础系数",坦克部件!$AJ$3:$AQ$3,0),FALSE)</f>
        <v>7200</v>
      </c>
      <c r="AA24" s="209">
        <f t="shared" si="1"/>
        <v>7200</v>
      </c>
      <c r="AB24" s="209">
        <f t="shared" si="1"/>
        <v>7200</v>
      </c>
      <c r="AC24" s="28">
        <f t="shared" si="2"/>
        <v>38.554216867469883</v>
      </c>
      <c r="AD24" s="28" t="s">
        <v>923</v>
      </c>
      <c r="AE24" s="232"/>
      <c r="AF24" s="502">
        <f t="shared" ca="1" si="10"/>
        <v>2366.3094698319146</v>
      </c>
      <c r="AG24" s="502">
        <f t="shared" ca="1" si="11"/>
        <v>1893</v>
      </c>
      <c r="AI24" s="117">
        <f t="shared" ca="1" si="12"/>
        <v>8313083.3719470454</v>
      </c>
      <c r="AJ24" s="117">
        <f t="shared" ca="1" si="13"/>
        <v>349177.24999999994</v>
      </c>
      <c r="AK24" s="117">
        <f t="shared" ca="1" si="14"/>
        <v>23.807631716977685</v>
      </c>
      <c r="AL24" s="117">
        <f t="shared" ca="1" si="15"/>
        <v>41565.416859735225</v>
      </c>
      <c r="AM24" s="117">
        <f t="shared" ca="1" si="16"/>
        <v>6250.9412639996481</v>
      </c>
      <c r="AN24" s="117">
        <f t="shared" ca="1" si="17"/>
        <v>590.91221852319143</v>
      </c>
    </row>
    <row r="25" spans="2:51" x14ac:dyDescent="0.35">
      <c r="B25" s="192" t="str">
        <f>坦克个性化细分!I21</f>
        <v>潘兴</v>
      </c>
      <c r="C25" s="249" t="str">
        <f>VLOOKUP(B25,坦克个性化设定!$B$18:$F$48,5,FALSE)</f>
        <v>中坦单发</v>
      </c>
      <c r="D25" s="192" t="str">
        <f>坦克个性化细分!J21</f>
        <v>中</v>
      </c>
      <c r="E25" s="114" t="str">
        <f t="shared" si="0"/>
        <v>潘兴中</v>
      </c>
      <c r="F25" s="120">
        <f>VLOOKUP($B25,坦克属性统计!$B$3:$AY$33,MATCH(F$7,坦克属性统计!$B$3:$AY$3,0),FALSE)</f>
        <v>0.64</v>
      </c>
      <c r="G25" s="120">
        <f>VLOOKUP($B25,坦克属性统计!$B$3:$AY$33,MATCH(G$7,坦克属性统计!$B$3:$AY$3,0),FALSE)</f>
        <v>2.4</v>
      </c>
      <c r="H25" s="120">
        <f>VLOOKUP($B25,坦克属性统计!$B$3:$AY$33,MATCH(H$7,坦克属性统计!$B$3:$AY$3,0),FALSE)</f>
        <v>0</v>
      </c>
      <c r="I25" s="120">
        <f>VLOOKUP($B25,坦克属性统计!$B$3:$AY$33,MATCH(I$7,坦克属性统计!$B$3:$AY$3,0),FALSE)</f>
        <v>1</v>
      </c>
      <c r="J25" s="120">
        <f>VLOOKUP($B25,坦克属性统计!$B$3:$AY$33,MATCH(J$7,坦克属性统计!$B$3:$AY$3,0),FALSE)</f>
        <v>36.299999999999997</v>
      </c>
      <c r="K25" s="120">
        <f>VLOOKUP($B25,坦克属性统计!$B$3:$AY$33,MATCH(K$7,坦克属性统计!$B$3:$AY$3,0),FALSE)</f>
        <v>51</v>
      </c>
      <c r="L25" s="120">
        <f>VLOOKUP($B25,坦克属性统计!$B$3:$AY$33,MATCH(L$7,坦克属性统计!$B$3:$AY$3,0),FALSE)</f>
        <v>11.3</v>
      </c>
      <c r="M25" s="209">
        <f>VLOOKUP($B25,坦克属性统计!$B$3:$AY$33,MATCH(M$7,坦克属性统计!$B$3:$AY$3,0),FALSE)</f>
        <v>1</v>
      </c>
      <c r="N25" s="120">
        <f>VLOOKUP($B25,坦克属性统计!$B$3:$AY$33,MATCH(N$7,坦克属性统计!$B$3:$AY$3,0),FALSE)</f>
        <v>4.5</v>
      </c>
      <c r="O25" s="120">
        <f>VLOOKUP($B25,坦克属性统计!$B$3:$AY$33,MATCH(O$7,坦克属性统计!$B$3:$AY$3,0),FALSE)</f>
        <v>0</v>
      </c>
      <c r="P25" s="120">
        <f>VLOOKUP($B25,坦克属性统计!$B$3:$AY$33,MATCH(P$7,坦克属性统计!$B$3:$AY$3,0),FALSE)</f>
        <v>2.4</v>
      </c>
      <c r="Q25" s="502">
        <f ca="1">VLOOKUP($B25,坦克属性统计!$B$3:$AY$33,MATCH(Q$7,坦克属性统计!$B$3:$AY$3,0),FALSE)*(1+W25/Z25)</f>
        <v>1817.5188888888888</v>
      </c>
      <c r="R25" s="502">
        <f ca="1">VLOOKUP($B25,坦克属性统计!$B$3:$AY$33,MATCH(R$7,坦克属性统计!$B$3:$AY$3,0),FALSE)*(1+X25/AA25)</f>
        <v>322.17244444444441</v>
      </c>
      <c r="S25" s="209">
        <f ca="1">VLOOKUP($B25,坦克属性统计!$B$3:$AY$33,MATCH(S$7,坦克属性统计!$B$3:$AY$3,0),FALSE)</f>
        <v>644</v>
      </c>
      <c r="T25" s="209">
        <f ca="1">VLOOKUP($B25,坦克属性统计!$B$3:$AY$33,MATCH(T$7,坦克属性统计!$B$3:$AY$3,0),FALSE)</f>
        <v>483</v>
      </c>
      <c r="U25" s="502">
        <f ca="1">VLOOKUP($B25,坦克属性统计!$B$3:$AY$33,MATCH(U$7,坦克属性统计!$B$3:$AY$3,0),FALSE)*(1+Y25/AB25)</f>
        <v>748.20311111111107</v>
      </c>
      <c r="V25" s="209">
        <f ca="1">VLOOKUP($B25,坦克属性统计!$B$3:$AY$33,MATCH(V$7,坦克属性统计!$B$3:$AY$3,0),FALSE)</f>
        <v>173</v>
      </c>
      <c r="W25" s="209">
        <f>VLOOKUP($B25,坦克属性统计!$B$3:$AY$33,MATCH(W$7,坦克属性统计!$B$3:$AY$3,0),FALSE)</f>
        <v>538</v>
      </c>
      <c r="X25" s="209">
        <f>VLOOKUP($B25,坦克属性统计!$B$3:$AY$33,MATCH(X$7,坦克属性统计!$B$3:$AY$3,0),FALSE)</f>
        <v>538</v>
      </c>
      <c r="Y25" s="209">
        <f>VLOOKUP($B25,坦克属性统计!$B$3:$AY$33,MATCH(Y$7,坦克属性统计!$B$3:$AY$3,0),FALSE)</f>
        <v>538</v>
      </c>
      <c r="Z25" s="209">
        <f>VLOOKUP(B25,坦克部件!$AJ$3:$AQ$33,MATCH("基础系数",坦克部件!$AJ$3:$AQ$3,0),FALSE)</f>
        <v>9000</v>
      </c>
      <c r="AA25" s="209">
        <f t="shared" si="1"/>
        <v>9000</v>
      </c>
      <c r="AB25" s="209">
        <f t="shared" si="1"/>
        <v>9000</v>
      </c>
      <c r="AC25" s="28">
        <f t="shared" si="2"/>
        <v>14.333333333333334</v>
      </c>
      <c r="AD25" s="28" t="s">
        <v>923</v>
      </c>
      <c r="AE25" s="232"/>
      <c r="AF25" s="502">
        <f t="shared" ca="1" si="10"/>
        <v>2090.1211922241309</v>
      </c>
      <c r="AG25" s="502">
        <f t="shared" ca="1" si="11"/>
        <v>1672</v>
      </c>
      <c r="AI25" s="117">
        <f t="shared" ca="1" si="12"/>
        <v>8392947.8800210692</v>
      </c>
      <c r="AJ25" s="117">
        <f t="shared" ca="1" si="13"/>
        <v>421612.45311111107</v>
      </c>
      <c r="AK25" s="117">
        <f t="shared" ca="1" si="14"/>
        <v>19.90678363053286</v>
      </c>
      <c r="AL25" s="117">
        <f t="shared" ca="1" si="15"/>
        <v>41964.739400105347</v>
      </c>
      <c r="AM25" s="117">
        <f t="shared" ca="1" si="16"/>
        <v>6808.6503252202374</v>
      </c>
      <c r="AN25" s="117">
        <f t="shared" ca="1" si="17"/>
        <v>649.3169126944955</v>
      </c>
    </row>
    <row r="26" spans="2:51" x14ac:dyDescent="0.35">
      <c r="B26" s="192" t="str">
        <f>坦克个性化细分!I22</f>
        <v>百夫长</v>
      </c>
      <c r="C26" s="249" t="str">
        <f>VLOOKUP(B26,坦克个性化设定!$B$18:$F$48,5,FALSE)</f>
        <v>中坦单发</v>
      </c>
      <c r="D26" s="192" t="str">
        <f>坦克个性化细分!J22</f>
        <v>高</v>
      </c>
      <c r="E26" s="114" t="str">
        <f t="shared" si="0"/>
        <v>百夫长高</v>
      </c>
      <c r="F26" s="120">
        <f>VLOOKUP($B26,坦克属性统计!$B$3:$AY$33,MATCH(F$7,坦克属性统计!$B$3:$AY$3,0),FALSE)</f>
        <v>0.71</v>
      </c>
      <c r="G26" s="120">
        <f>VLOOKUP($B26,坦克属性统计!$B$3:$AY$33,MATCH(G$7,坦克属性统计!$B$3:$AY$3,0),FALSE)</f>
        <v>2.4</v>
      </c>
      <c r="H26" s="120">
        <f>VLOOKUP($B26,坦克属性统计!$B$3:$AY$33,MATCH(H$7,坦克属性统计!$B$3:$AY$3,0),FALSE)</f>
        <v>0</v>
      </c>
      <c r="I26" s="120">
        <f>VLOOKUP($B26,坦克属性统计!$B$3:$AY$33,MATCH(I$7,坦克属性统计!$B$3:$AY$3,0),FALSE)</f>
        <v>1</v>
      </c>
      <c r="J26" s="120">
        <f>VLOOKUP($B26,坦克属性统计!$B$3:$AY$33,MATCH(J$7,坦克属性统计!$B$3:$AY$3,0),FALSE)</f>
        <v>46.7</v>
      </c>
      <c r="K26" s="120">
        <f>VLOOKUP($B26,坦克属性统计!$B$3:$AY$33,MATCH(K$7,坦克属性统计!$B$3:$AY$3,0),FALSE)</f>
        <v>42</v>
      </c>
      <c r="L26" s="120">
        <f>VLOOKUP($B26,坦克属性统计!$B$3:$AY$33,MATCH(L$7,坦克属性统计!$B$3:$AY$3,0),FALSE)</f>
        <v>12.9</v>
      </c>
      <c r="M26" s="209">
        <f>VLOOKUP($B26,坦克属性统计!$B$3:$AY$33,MATCH(M$7,坦克属性统计!$B$3:$AY$3,0),FALSE)</f>
        <v>1</v>
      </c>
      <c r="N26" s="120">
        <f>VLOOKUP($B26,坦克属性统计!$B$3:$AY$33,MATCH(N$7,坦克属性统计!$B$3:$AY$3,0),FALSE)</f>
        <v>4.5</v>
      </c>
      <c r="O26" s="120">
        <f>VLOOKUP($B26,坦克属性统计!$B$3:$AY$33,MATCH(O$7,坦克属性统计!$B$3:$AY$3,0),FALSE)</f>
        <v>0</v>
      </c>
      <c r="P26" s="120">
        <f>VLOOKUP($B26,坦克属性统计!$B$3:$AY$33,MATCH(P$7,坦克属性统计!$B$3:$AY$3,0),FALSE)</f>
        <v>2.4</v>
      </c>
      <c r="Q26" s="502">
        <f ca="1">VLOOKUP($B26,坦克属性统计!$B$3:$AY$33,MATCH(Q$7,坦克属性统计!$B$3:$AY$3,0),FALSE)*(1+W26/Z26)</f>
        <v>2163.0064444444442</v>
      </c>
      <c r="R26" s="502">
        <f ca="1">VLOOKUP($B26,坦克属性统计!$B$3:$AY$33,MATCH(R$7,坦克属性统计!$B$3:$AY$3,0),FALSE)*(1+X26/AA26)</f>
        <v>287.19977777777774</v>
      </c>
      <c r="S26" s="209">
        <f ca="1">VLOOKUP($B26,坦克属性统计!$B$3:$AY$33,MATCH(S$7,坦克属性统计!$B$3:$AY$3,0),FALSE)</f>
        <v>677</v>
      </c>
      <c r="T26" s="209">
        <f ca="1">VLOOKUP($B26,坦克属性统计!$B$3:$AY$33,MATCH(T$7,坦克属性统计!$B$3:$AY$3,0),FALSE)</f>
        <v>508</v>
      </c>
      <c r="U26" s="502">
        <f ca="1">VLOOKUP($B26,坦克属性统计!$B$3:$AY$33,MATCH(U$7,坦克属性统计!$B$3:$AY$3,0),FALSE)*(1+Y26/AB26)</f>
        <v>786.35511111111111</v>
      </c>
      <c r="V26" s="209">
        <f ca="1">VLOOKUP($B26,坦克属性统计!$B$3:$AY$33,MATCH(V$7,坦克属性统计!$B$3:$AY$3,0),FALSE)</f>
        <v>181</v>
      </c>
      <c r="W26" s="209">
        <f>VLOOKUP($B26,坦克属性统计!$B$3:$AY$33,MATCH(W$7,坦克属性统计!$B$3:$AY$3,0),FALSE)</f>
        <v>538</v>
      </c>
      <c r="X26" s="209">
        <f>VLOOKUP($B26,坦克属性统计!$B$3:$AY$33,MATCH(X$7,坦克属性统计!$B$3:$AY$3,0),FALSE)</f>
        <v>538</v>
      </c>
      <c r="Y26" s="209">
        <f>VLOOKUP($B26,坦克属性统计!$B$3:$AY$33,MATCH(Y$7,坦克属性统计!$B$3:$AY$3,0),FALSE)</f>
        <v>538</v>
      </c>
      <c r="Z26" s="209">
        <f>VLOOKUP(B26,坦克部件!$AJ$3:$AQ$33,MATCH("基础系数",坦克部件!$AJ$3:$AQ$3,0),FALSE)</f>
        <v>9000</v>
      </c>
      <c r="AA26" s="209">
        <f t="shared" si="1"/>
        <v>9000</v>
      </c>
      <c r="AB26" s="209">
        <f t="shared" si="1"/>
        <v>9000</v>
      </c>
      <c r="AC26" s="28">
        <f t="shared" si="2"/>
        <v>14.333333333333334</v>
      </c>
      <c r="AD26" s="28" t="s">
        <v>923</v>
      </c>
      <c r="AE26" s="232"/>
      <c r="AF26" s="502">
        <f t="shared" ca="1" si="10"/>
        <v>2263.1095732603585</v>
      </c>
      <c r="AG26" s="502">
        <f t="shared" ca="1" si="11"/>
        <v>1810</v>
      </c>
      <c r="AI26" s="117">
        <f t="shared" ca="1" si="12"/>
        <v>8904081.239194287</v>
      </c>
      <c r="AJ26" s="117">
        <f t="shared" ca="1" si="13"/>
        <v>465915.40333333332</v>
      </c>
      <c r="AK26" s="117">
        <f t="shared" ca="1" si="14"/>
        <v>19.110939830473846</v>
      </c>
      <c r="AL26" s="117">
        <f t="shared" ca="1" si="15"/>
        <v>44520.406195971438</v>
      </c>
      <c r="AM26" s="117">
        <f t="shared" ca="1" si="16"/>
        <v>7144.4790539920032</v>
      </c>
      <c r="AN26" s="117">
        <f t="shared" ca="1" si="17"/>
        <v>682.57996112787646</v>
      </c>
    </row>
    <row r="27" spans="2:51" x14ac:dyDescent="0.35">
      <c r="B27" s="192" t="str">
        <f>坦克个性化细分!I23</f>
        <v>挑战者</v>
      </c>
      <c r="C27" s="249" t="str">
        <f>VLOOKUP(B27,坦克个性化设定!$B$18:$F$48,5,FALSE)</f>
        <v>中坦单发</v>
      </c>
      <c r="D27" s="192" t="str">
        <f>坦克个性化细分!J23</f>
        <v>低</v>
      </c>
      <c r="E27" s="114" t="str">
        <f t="shared" si="0"/>
        <v>挑战者低</v>
      </c>
      <c r="F27" s="120">
        <f>VLOOKUP($B27,坦克属性统计!$B$3:$AY$33,MATCH(F$7,坦克属性统计!$B$3:$AY$3,0),FALSE)</f>
        <v>0.71</v>
      </c>
      <c r="G27" s="120">
        <f>VLOOKUP($B27,坦克属性统计!$B$3:$AY$33,MATCH(G$7,坦克属性统计!$B$3:$AY$3,0),FALSE)</f>
        <v>2.4</v>
      </c>
      <c r="H27" s="120">
        <f>VLOOKUP($B27,坦克属性统计!$B$3:$AY$33,MATCH(H$7,坦克属性统计!$B$3:$AY$3,0),FALSE)</f>
        <v>0</v>
      </c>
      <c r="I27" s="120">
        <f>VLOOKUP($B27,坦克属性统计!$B$3:$AY$33,MATCH(I$7,坦克属性统计!$B$3:$AY$3,0),FALSE)</f>
        <v>1</v>
      </c>
      <c r="J27" s="120">
        <f>VLOOKUP($B27,坦克属性统计!$B$3:$AY$33,MATCH(J$7,坦克属性统计!$B$3:$AY$3,0),FALSE)</f>
        <v>35.6</v>
      </c>
      <c r="K27" s="120">
        <f>VLOOKUP($B27,坦克属性统计!$B$3:$AY$33,MATCH(K$7,坦克属性统计!$B$3:$AY$3,0),FALSE)</f>
        <v>50</v>
      </c>
      <c r="L27" s="120">
        <f>VLOOKUP($B27,坦克属性统计!$B$3:$AY$33,MATCH(L$7,坦克属性统计!$B$3:$AY$3,0),FALSE)</f>
        <v>11.1</v>
      </c>
      <c r="M27" s="209">
        <f>VLOOKUP($B27,坦克属性统计!$B$3:$AY$33,MATCH(M$7,坦克属性统计!$B$3:$AY$3,0),FALSE)</f>
        <v>1</v>
      </c>
      <c r="N27" s="120">
        <f>VLOOKUP($B27,坦克属性统计!$B$3:$AY$33,MATCH(N$7,坦克属性统计!$B$3:$AY$3,0),FALSE)</f>
        <v>4.5</v>
      </c>
      <c r="O27" s="120">
        <f>VLOOKUP($B27,坦克属性统计!$B$3:$AY$33,MATCH(O$7,坦克属性统计!$B$3:$AY$3,0),FALSE)</f>
        <v>0</v>
      </c>
      <c r="P27" s="120">
        <f>VLOOKUP($B27,坦克属性统计!$B$3:$AY$33,MATCH(P$7,坦克属性统计!$B$3:$AY$3,0),FALSE)</f>
        <v>2.4</v>
      </c>
      <c r="Q27" s="502">
        <f ca="1">VLOOKUP($B27,坦克属性统计!$B$3:$AY$33,MATCH(Q$7,坦克属性统计!$B$3:$AY$3,0),FALSE)*(1+W27/Z27)</f>
        <v>2526.5102222222222</v>
      </c>
      <c r="R27" s="502">
        <f ca="1">VLOOKUP($B27,坦克属性统计!$B$3:$AY$33,MATCH(R$7,坦克属性统计!$B$3:$AY$3,0),FALSE)*(1+X27/AA27)</f>
        <v>348.66688888888888</v>
      </c>
      <c r="S27" s="209">
        <f ca="1">VLOOKUP($B27,坦克属性统计!$B$3:$AY$33,MATCH(S$7,坦克属性统计!$B$3:$AY$3,0),FALSE)</f>
        <v>789</v>
      </c>
      <c r="T27" s="209">
        <f ca="1">VLOOKUP($B27,坦克属性统计!$B$3:$AY$33,MATCH(T$7,坦克属性统计!$B$3:$AY$3,0),FALSE)</f>
        <v>591</v>
      </c>
      <c r="U27" s="502">
        <f ca="1">VLOOKUP($B27,坦克属性统计!$B$3:$AY$33,MATCH(U$7,坦克属性统计!$B$3:$AY$3,0),FALSE)*(1+Y27/AB27)</f>
        <v>915.64799999999991</v>
      </c>
      <c r="V27" s="209">
        <f ca="1">VLOOKUP($B27,坦克属性统计!$B$3:$AY$33,MATCH(V$7,坦克属性统计!$B$3:$AY$3,0),FALSE)</f>
        <v>211</v>
      </c>
      <c r="W27" s="209">
        <f>VLOOKUP($B27,坦克属性统计!$B$3:$AY$33,MATCH(W$7,坦克属性统计!$B$3:$AY$3,0),FALSE)</f>
        <v>538</v>
      </c>
      <c r="X27" s="209">
        <f>VLOOKUP($B27,坦克属性统计!$B$3:$AY$33,MATCH(X$7,坦克属性统计!$B$3:$AY$3,0),FALSE)</f>
        <v>538</v>
      </c>
      <c r="Y27" s="209">
        <f>VLOOKUP($B27,坦克属性统计!$B$3:$AY$33,MATCH(Y$7,坦克属性统计!$B$3:$AY$3,0),FALSE)</f>
        <v>538</v>
      </c>
      <c r="Z27" s="209">
        <f>VLOOKUP(B27,坦克部件!$AJ$3:$AQ$33,MATCH("基础系数",坦克部件!$AJ$3:$AQ$3,0),FALSE)</f>
        <v>9000</v>
      </c>
      <c r="AA27" s="209">
        <f t="shared" si="1"/>
        <v>9000</v>
      </c>
      <c r="AB27" s="209">
        <f t="shared" si="1"/>
        <v>9000</v>
      </c>
      <c r="AC27" s="28">
        <f t="shared" si="2"/>
        <v>14.333333333333334</v>
      </c>
      <c r="AD27" s="28" t="s">
        <v>924</v>
      </c>
      <c r="AE27" s="232"/>
      <c r="AF27" s="502">
        <f t="shared" ca="1" si="10"/>
        <v>3138.23740928091</v>
      </c>
      <c r="AG27" s="502">
        <f t="shared" ca="1" si="11"/>
        <v>2511</v>
      </c>
      <c r="AI27" s="117">
        <f t="shared" ca="1" si="12"/>
        <v>12626383.244637499</v>
      </c>
      <c r="AJ27" s="117">
        <f t="shared" ca="1" si="13"/>
        <v>631797.12</v>
      </c>
      <c r="AK27" s="117">
        <f t="shared" ca="1" si="14"/>
        <v>19.984869897218744</v>
      </c>
      <c r="AL27" s="117">
        <f t="shared" ca="1" si="15"/>
        <v>63131.916223187494</v>
      </c>
      <c r="AM27" s="117">
        <f t="shared" ca="1" si="16"/>
        <v>8336.240376951635</v>
      </c>
      <c r="AN27" s="117">
        <f t="shared" ca="1" si="17"/>
        <v>794.85666632418702</v>
      </c>
    </row>
    <row r="28" spans="2:51" x14ac:dyDescent="0.35">
      <c r="B28" s="192" t="str">
        <f>坦克个性化细分!I24</f>
        <v>B-1</v>
      </c>
      <c r="C28" s="249" t="str">
        <f>VLOOKUP(B28,坦克个性化设定!$B$18:$F$48,5,FALSE)</f>
        <v>重坦自动</v>
      </c>
      <c r="D28" s="192" t="str">
        <f>坦克个性化细分!J24</f>
        <v>低</v>
      </c>
      <c r="E28" s="114" t="str">
        <f t="shared" si="0"/>
        <v>B-1低</v>
      </c>
      <c r="F28" s="120">
        <f>VLOOKUP($B28,坦克属性统计!$B$3:$AY$33,MATCH(F$7,坦克属性统计!$B$3:$AY$3,0),FALSE)</f>
        <v>0.77</v>
      </c>
      <c r="G28" s="120">
        <f>VLOOKUP($B28,坦克属性统计!$B$3:$AY$33,MATCH(G$7,坦克属性统计!$B$3:$AY$3,0),FALSE)</f>
        <v>3.18</v>
      </c>
      <c r="H28" s="120">
        <f>VLOOKUP($B28,坦克属性统计!$B$3:$AY$33,MATCH(H$7,坦克属性统计!$B$3:$AY$3,0),FALSE)</f>
        <v>2.8</v>
      </c>
      <c r="I28" s="120">
        <f>VLOOKUP($B28,坦克属性统计!$B$3:$AY$33,MATCH(I$7,坦克属性统计!$B$3:$AY$3,0),FALSE)</f>
        <v>1.2</v>
      </c>
      <c r="J28" s="120">
        <f>VLOOKUP($B28,坦克属性统计!$B$3:$AY$33,MATCH(J$7,坦克属性统计!$B$3:$AY$3,0),FALSE)</f>
        <v>39.200000000000003</v>
      </c>
      <c r="K28" s="120">
        <f>VLOOKUP($B28,坦克属性统计!$B$3:$AY$33,MATCH(K$7,坦克属性统计!$B$3:$AY$3,0),FALSE)</f>
        <v>35</v>
      </c>
      <c r="L28" s="120">
        <f>VLOOKUP($B28,坦克属性统计!$B$3:$AY$33,MATCH(L$7,坦克属性统计!$B$3:$AY$3,0),FALSE)</f>
        <v>10.5</v>
      </c>
      <c r="M28" s="209">
        <f>VLOOKUP($B28,坦克属性统计!$B$3:$AY$33,MATCH(M$7,坦克属性统计!$B$3:$AY$3,0),FALSE)</f>
        <v>2</v>
      </c>
      <c r="N28" s="120">
        <f>VLOOKUP($B28,坦克属性统计!$B$3:$AY$33,MATCH(N$7,坦克属性统计!$B$3:$AY$3,0),FALSE)</f>
        <v>5.3999999999999995</v>
      </c>
      <c r="O28" s="120">
        <f>VLOOKUP($B28,坦克属性统计!$B$3:$AY$33,MATCH(O$7,坦克属性统计!$B$3:$AY$3,0),FALSE)</f>
        <v>0</v>
      </c>
      <c r="P28" s="120">
        <f>VLOOKUP($B28,坦克属性统计!$B$3:$AY$33,MATCH(P$7,坦克属性统计!$B$3:$AY$3,0),FALSE)</f>
        <v>2.6500000000000004</v>
      </c>
      <c r="Q28" s="502">
        <f ca="1">VLOOKUP($B28,坦克属性统计!$B$3:$AY$33,MATCH(Q$7,坦克属性统计!$B$3:$AY$3,0),FALSE)*(1+W28/Z28)</f>
        <v>998.67499999999995</v>
      </c>
      <c r="R28" s="502">
        <f ca="1">VLOOKUP($B28,坦克属性统计!$B$3:$AY$33,MATCH(R$7,坦克属性统计!$B$3:$AY$3,0),FALSE)*(1+X28/AA28)</f>
        <v>187.04999999999998</v>
      </c>
      <c r="S28" s="209">
        <f ca="1">VLOOKUP($B28,坦克属性统计!$B$3:$AY$33,MATCH(S$7,坦克属性统计!$B$3:$AY$3,0),FALSE)</f>
        <v>286</v>
      </c>
      <c r="T28" s="209">
        <f ca="1">VLOOKUP($B28,坦克属性统计!$B$3:$AY$33,MATCH(T$7,坦克属性统计!$B$3:$AY$3,0),FALSE)</f>
        <v>229</v>
      </c>
      <c r="U28" s="502">
        <f ca="1">VLOOKUP($B28,坦克属性统计!$B$3:$AY$33,MATCH(U$7,坦克属性统计!$B$3:$AY$3,0),FALSE)*(1+Y28/AB28)</f>
        <v>451.5</v>
      </c>
      <c r="V28" s="209">
        <f ca="1">VLOOKUP($B28,坦克属性统计!$B$3:$AY$33,MATCH(V$7,坦克属性统计!$B$3:$AY$3,0),FALSE)</f>
        <v>95</v>
      </c>
      <c r="W28" s="209">
        <f>VLOOKUP($B28,坦克属性统计!$B$3:$AY$33,MATCH(W$7,坦克属性统计!$B$3:$AY$3,0),FALSE)</f>
        <v>270</v>
      </c>
      <c r="X28" s="209">
        <f>VLOOKUP($B28,坦克属性统计!$B$3:$AY$33,MATCH(X$7,坦克属性统计!$B$3:$AY$3,0),FALSE)</f>
        <v>270</v>
      </c>
      <c r="Y28" s="209">
        <f>VLOOKUP($B28,坦克属性统计!$B$3:$AY$33,MATCH(Y$7,坦克属性统计!$B$3:$AY$3,0),FALSE)</f>
        <v>270</v>
      </c>
      <c r="Z28" s="209">
        <f>VLOOKUP(B28,坦克部件!$AJ$3:$AQ$33,MATCH("基础系数",坦克部件!$AJ$3:$AQ$3,0),FALSE)</f>
        <v>3600</v>
      </c>
      <c r="AA28" s="209">
        <f t="shared" si="1"/>
        <v>3600</v>
      </c>
      <c r="AB28" s="209">
        <f t="shared" si="1"/>
        <v>3600</v>
      </c>
      <c r="AC28" s="28">
        <f t="shared" si="2"/>
        <v>13.111111111111112</v>
      </c>
      <c r="AD28" s="28" t="s">
        <v>987</v>
      </c>
      <c r="AE28" s="232"/>
      <c r="AF28" s="502">
        <f t="shared" ca="1" si="10"/>
        <v>1482.2644321475595</v>
      </c>
      <c r="AG28" s="502">
        <f t="shared" ca="1" si="11"/>
        <v>1186</v>
      </c>
      <c r="AI28" s="117">
        <f t="shared" ca="1" si="12"/>
        <v>2449183.8591666664</v>
      </c>
      <c r="AJ28" s="117">
        <f t="shared" ca="1" si="13"/>
        <v>116261.25</v>
      </c>
      <c r="AK28" s="117">
        <f t="shared" ca="1" si="14"/>
        <v>21.066209585452302</v>
      </c>
      <c r="AL28" s="117">
        <f t="shared" ca="1" si="15"/>
        <v>12245.919295833331</v>
      </c>
      <c r="AM28" s="117">
        <f t="shared" ca="1" si="16"/>
        <v>3584.7896632275838</v>
      </c>
      <c r="AN28" s="117">
        <f t="shared" ca="1" si="17"/>
        <v>340.97103982596531</v>
      </c>
    </row>
    <row r="29" spans="2:51" x14ac:dyDescent="0.35">
      <c r="B29" s="192" t="str">
        <f>坦克个性化细分!I25</f>
        <v>KV-1</v>
      </c>
      <c r="C29" s="249" t="str">
        <f>VLOOKUP(B29,坦克个性化设定!$B$18:$F$48,5,FALSE)</f>
        <v>重坦自动</v>
      </c>
      <c r="D29" s="192" t="str">
        <f>坦克个性化细分!J25</f>
        <v>低</v>
      </c>
      <c r="E29" s="114" t="str">
        <f t="shared" si="0"/>
        <v>KV-1低</v>
      </c>
      <c r="F29" s="120">
        <f>VLOOKUP($B29,坦克属性统计!$B$3:$AY$33,MATCH(F$7,坦克属性统计!$B$3:$AY$3,0),FALSE)</f>
        <v>0.74</v>
      </c>
      <c r="G29" s="120">
        <f>VLOOKUP($B29,坦克属性统计!$B$3:$AY$33,MATCH(G$7,坦克属性统计!$B$3:$AY$3,0),FALSE)</f>
        <v>2.5</v>
      </c>
      <c r="H29" s="120">
        <f>VLOOKUP($B29,坦克属性统计!$B$3:$AY$33,MATCH(H$7,坦克属性统计!$B$3:$AY$3,0),FALSE)</f>
        <v>1.88</v>
      </c>
      <c r="I29" s="120">
        <f>VLOOKUP($B29,坦克属性统计!$B$3:$AY$33,MATCH(I$7,坦克属性统计!$B$3:$AY$3,0),FALSE)</f>
        <v>1.2</v>
      </c>
      <c r="J29" s="120">
        <f>VLOOKUP($B29,坦克属性统计!$B$3:$AY$33,MATCH(J$7,坦克属性统计!$B$3:$AY$3,0),FALSE)</f>
        <v>39.200000000000003</v>
      </c>
      <c r="K29" s="120">
        <f>VLOOKUP($B29,坦克属性统计!$B$3:$AY$33,MATCH(K$7,坦克属性统计!$B$3:$AY$3,0),FALSE)</f>
        <v>35</v>
      </c>
      <c r="L29" s="120">
        <f>VLOOKUP($B29,坦克属性统计!$B$3:$AY$33,MATCH(L$7,坦克属性统计!$B$3:$AY$3,0),FALSE)</f>
        <v>10.5</v>
      </c>
      <c r="M29" s="209">
        <f>VLOOKUP($B29,坦克属性统计!$B$3:$AY$33,MATCH(M$7,坦克属性统计!$B$3:$AY$3,0),FALSE)</f>
        <v>3</v>
      </c>
      <c r="N29" s="120">
        <f>VLOOKUP($B29,坦克属性统计!$B$3:$AY$33,MATCH(N$7,坦克属性统计!$B$3:$AY$3,0),FALSE)</f>
        <v>3.6</v>
      </c>
      <c r="O29" s="120">
        <f>VLOOKUP($B29,坦克属性统计!$B$3:$AY$33,MATCH(O$7,坦克属性统计!$B$3:$AY$3,0),FALSE)</f>
        <v>0</v>
      </c>
      <c r="P29" s="120">
        <f>VLOOKUP($B29,坦克属性统计!$B$3:$AY$33,MATCH(P$7,坦克属性统计!$B$3:$AY$3,0),FALSE)</f>
        <v>2.0833333333333335</v>
      </c>
      <c r="Q29" s="502">
        <f ca="1">VLOOKUP($B29,坦克属性统计!$B$3:$AY$33,MATCH(Q$7,坦克属性统计!$B$3:$AY$3,0),FALSE)*(1+W29/Z29)</f>
        <v>1146.92</v>
      </c>
      <c r="R29" s="502">
        <f ca="1">VLOOKUP($B29,坦克属性统计!$B$3:$AY$33,MATCH(R$7,坦克属性统计!$B$3:$AY$3,0),FALSE)*(1+X29/AA29)</f>
        <v>151.58000000000001</v>
      </c>
      <c r="S29" s="209">
        <f ca="1">VLOOKUP($B29,坦克属性统计!$B$3:$AY$33,MATCH(S$7,坦克属性统计!$B$3:$AY$3,0),FALSE)</f>
        <v>343</v>
      </c>
      <c r="T29" s="209">
        <f ca="1">VLOOKUP($B29,坦克属性统计!$B$3:$AY$33,MATCH(T$7,坦克属性统计!$B$3:$AY$3,0),FALSE)</f>
        <v>274</v>
      </c>
      <c r="U29" s="502">
        <f ca="1">VLOOKUP($B29,坦克属性统计!$B$3:$AY$33,MATCH(U$7,坦克属性统计!$B$3:$AY$3,0),FALSE)*(1+Y29/AB29)</f>
        <v>534.24</v>
      </c>
      <c r="V29" s="209">
        <f ca="1">VLOOKUP($B29,坦克属性统计!$B$3:$AY$33,MATCH(V$7,坦克属性统计!$B$3:$AY$3,0),FALSE)</f>
        <v>114</v>
      </c>
      <c r="W29" s="209">
        <f>VLOOKUP($B29,坦克属性统计!$B$3:$AY$33,MATCH(W$7,坦克属性统计!$B$3:$AY$3,0),FALSE)</f>
        <v>270</v>
      </c>
      <c r="X29" s="209">
        <f>VLOOKUP($B29,坦克属性统计!$B$3:$AY$33,MATCH(X$7,坦克属性统计!$B$3:$AY$3,0),FALSE)</f>
        <v>270</v>
      </c>
      <c r="Y29" s="209">
        <f>VLOOKUP($B29,坦克属性统计!$B$3:$AY$33,MATCH(Y$7,坦克属性统计!$B$3:$AY$3,0),FALSE)</f>
        <v>270</v>
      </c>
      <c r="Z29" s="209">
        <f>VLOOKUP(B29,坦克部件!$AJ$3:$AQ$33,MATCH("基础系数",坦克部件!$AJ$3:$AQ$3,0),FALSE)</f>
        <v>4500</v>
      </c>
      <c r="AA29" s="209">
        <f t="shared" si="1"/>
        <v>4500</v>
      </c>
      <c r="AB29" s="209">
        <f t="shared" si="1"/>
        <v>4500</v>
      </c>
      <c r="AC29" s="28">
        <f t="shared" si="2"/>
        <v>19.666666666666668</v>
      </c>
      <c r="AD29" s="28" t="s">
        <v>921</v>
      </c>
      <c r="AE29" s="232"/>
      <c r="AF29" s="502">
        <f t="shared" ca="1" si="10"/>
        <v>1668.1540880551638</v>
      </c>
      <c r="AG29" s="502">
        <f t="shared" ca="1" si="11"/>
        <v>1335</v>
      </c>
      <c r="AI29" s="117">
        <f t="shared" ca="1" si="12"/>
        <v>3419052.6274666674</v>
      </c>
      <c r="AJ29" s="117">
        <f t="shared" ca="1" si="13"/>
        <v>164813.04</v>
      </c>
      <c r="AK29" s="117">
        <f t="shared" ca="1" si="14"/>
        <v>20.74503708848928</v>
      </c>
      <c r="AL29" s="117">
        <f t="shared" ca="1" si="15"/>
        <v>17095.263137333339</v>
      </c>
      <c r="AM29" s="117">
        <f t="shared" ca="1" si="16"/>
        <v>4265.0709623326702</v>
      </c>
      <c r="AN29" s="117">
        <f t="shared" ca="1" si="17"/>
        <v>405.97172315322655</v>
      </c>
    </row>
    <row r="30" spans="2:51" x14ac:dyDescent="0.35">
      <c r="B30" s="192" t="str">
        <f>坦克个性化细分!I26</f>
        <v>丘吉尔</v>
      </c>
      <c r="C30" s="249" t="str">
        <f>VLOOKUP(B30,坦克个性化设定!$B$18:$F$48,5,FALSE)</f>
        <v>重坦单发</v>
      </c>
      <c r="D30" s="192" t="str">
        <f>坦克个性化细分!J26</f>
        <v>中</v>
      </c>
      <c r="E30" s="114" t="str">
        <f t="shared" si="0"/>
        <v>丘吉尔中</v>
      </c>
      <c r="F30" s="120">
        <f>VLOOKUP($B30,坦克属性统计!$B$3:$AY$33,MATCH(F$7,坦克属性统计!$B$3:$AY$3,0),FALSE)</f>
        <v>0.7</v>
      </c>
      <c r="G30" s="120">
        <f>VLOOKUP($B30,坦克属性统计!$B$3:$AY$33,MATCH(G$7,坦克属性统计!$B$3:$AY$3,0),FALSE)</f>
        <v>3</v>
      </c>
      <c r="H30" s="120">
        <f>VLOOKUP($B30,坦克属性统计!$B$3:$AY$33,MATCH(H$7,坦克属性统计!$B$3:$AY$3,0),FALSE)</f>
        <v>0</v>
      </c>
      <c r="I30" s="120">
        <f>VLOOKUP($B30,坦克属性统计!$B$3:$AY$33,MATCH(I$7,坦克属性统计!$B$3:$AY$3,0),FALSE)</f>
        <v>1</v>
      </c>
      <c r="J30" s="120">
        <f>VLOOKUP($B30,坦克属性统计!$B$3:$AY$33,MATCH(J$7,坦克属性统计!$B$3:$AY$3,0),FALSE)</f>
        <v>32</v>
      </c>
      <c r="K30" s="120">
        <f>VLOOKUP($B30,坦克属性统计!$B$3:$AY$33,MATCH(K$7,坦克属性统计!$B$3:$AY$3,0),FALSE)</f>
        <v>44.6</v>
      </c>
      <c r="L30" s="120">
        <f>VLOOKUP($B30,坦克属性统计!$B$3:$AY$33,MATCH(L$7,坦克属性统计!$B$3:$AY$3,0),FALSE)</f>
        <v>9.6</v>
      </c>
      <c r="M30" s="209">
        <f>VLOOKUP($B30,坦克属性统计!$B$3:$AY$33,MATCH(M$7,坦克属性统计!$B$3:$AY$3,0),FALSE)</f>
        <v>1</v>
      </c>
      <c r="N30" s="120">
        <f>VLOOKUP($B30,坦克属性统计!$B$3:$AY$33,MATCH(N$7,坦克属性统计!$B$3:$AY$3,0),FALSE)</f>
        <v>6</v>
      </c>
      <c r="O30" s="120">
        <f>VLOOKUP($B30,坦克属性统计!$B$3:$AY$33,MATCH(O$7,坦克属性统计!$B$3:$AY$3,0),FALSE)</f>
        <v>0</v>
      </c>
      <c r="P30" s="120">
        <f>VLOOKUP($B30,坦克属性统计!$B$3:$AY$33,MATCH(P$7,坦克属性统计!$B$3:$AY$3,0),FALSE)</f>
        <v>3</v>
      </c>
      <c r="Q30" s="502">
        <f ca="1">VLOOKUP($B30,坦克属性统计!$B$3:$AY$33,MATCH(Q$7,坦克属性统计!$B$3:$AY$3,0),FALSE)*(1+W30/Z30)</f>
        <v>1262.9333333333334</v>
      </c>
      <c r="R30" s="502">
        <f ca="1">VLOOKUP($B30,坦克属性统计!$B$3:$AY$33,MATCH(R$7,坦克属性统计!$B$3:$AY$3,0),FALSE)*(1+X30/AA30)</f>
        <v>253.86666666666667</v>
      </c>
      <c r="S30" s="209">
        <f ca="1">VLOOKUP($B30,坦克属性统计!$B$3:$AY$33,MATCH(S$7,坦克属性统计!$B$3:$AY$3,0),FALSE)</f>
        <v>387</v>
      </c>
      <c r="T30" s="209">
        <f ca="1">VLOOKUP($B30,坦克属性统计!$B$3:$AY$33,MATCH(T$7,坦克属性统计!$B$3:$AY$3,0),FALSE)</f>
        <v>309</v>
      </c>
      <c r="U30" s="502">
        <f ca="1">VLOOKUP($B30,坦克属性统计!$B$3:$AY$33,MATCH(U$7,坦克属性统计!$B$3:$AY$3,0),FALSE)*(1+Y30/AB30)</f>
        <v>551.4666666666667</v>
      </c>
      <c r="V30" s="209">
        <f ca="1">VLOOKUP($B30,坦克属性统计!$B$3:$AY$33,MATCH(V$7,坦克属性统计!$B$3:$AY$3,0),FALSE)</f>
        <v>117</v>
      </c>
      <c r="W30" s="209">
        <f>VLOOKUP($B30,坦克属性统计!$B$3:$AY$33,MATCH(W$7,坦克属性统计!$B$3:$AY$3,0),FALSE)</f>
        <v>380</v>
      </c>
      <c r="X30" s="209">
        <f>VLOOKUP($B30,坦克属性统计!$B$3:$AY$33,MATCH(X$7,坦克属性统计!$B$3:$AY$3,0),FALSE)</f>
        <v>380</v>
      </c>
      <c r="Y30" s="209">
        <f>VLOOKUP($B30,坦克属性统计!$B$3:$AY$33,MATCH(Y$7,坦克属性统计!$B$3:$AY$3,0),FALSE)</f>
        <v>380</v>
      </c>
      <c r="Z30" s="209">
        <f>VLOOKUP(B30,坦克部件!$AJ$3:$AQ$33,MATCH("基础系数",坦克部件!$AJ$3:$AQ$3,0),FALSE)</f>
        <v>5700</v>
      </c>
      <c r="AA30" s="209">
        <f t="shared" si="1"/>
        <v>5700</v>
      </c>
      <c r="AB30" s="209">
        <f t="shared" si="1"/>
        <v>5700</v>
      </c>
      <c r="AC30" s="28">
        <f t="shared" si="2"/>
        <v>11</v>
      </c>
      <c r="AD30" s="28" t="s">
        <v>921</v>
      </c>
      <c r="AE30" s="232"/>
      <c r="AF30" s="502">
        <f t="shared" ca="1" si="10"/>
        <v>1443.3238746924849</v>
      </c>
      <c r="AG30" s="502">
        <f t="shared" ca="1" si="11"/>
        <v>1155</v>
      </c>
      <c r="AI30" s="117">
        <f t="shared" ca="1" si="12"/>
        <v>3526783.4311111113</v>
      </c>
      <c r="AJ30" s="117">
        <f t="shared" ca="1" si="13"/>
        <v>191910.40000000002</v>
      </c>
      <c r="AK30" s="117">
        <f t="shared" ca="1" si="14"/>
        <v>18.377239748919866</v>
      </c>
      <c r="AL30" s="117">
        <f t="shared" ca="1" si="15"/>
        <v>17633.917155555555</v>
      </c>
      <c r="AM30" s="117">
        <f t="shared" ca="1" si="16"/>
        <v>4577.6010874207423</v>
      </c>
      <c r="AN30" s="117">
        <f t="shared" ca="1" si="17"/>
        <v>438.07579252910108</v>
      </c>
    </row>
    <row r="31" spans="2:51" x14ac:dyDescent="0.35">
      <c r="B31" s="192" t="str">
        <f>坦克个性化细分!I27</f>
        <v>黑豹</v>
      </c>
      <c r="C31" s="249" t="str">
        <f>VLOOKUP(B31,坦克个性化设定!$B$18:$F$48,5,FALSE)</f>
        <v>重坦单发</v>
      </c>
      <c r="D31" s="192" t="str">
        <f>坦克个性化细分!J27</f>
        <v>低</v>
      </c>
      <c r="E31" s="114" t="str">
        <f t="shared" si="0"/>
        <v>黑豹低</v>
      </c>
      <c r="F31" s="120">
        <f>VLOOKUP($B31,坦克属性统计!$B$3:$AY$33,MATCH(F$7,坦克属性统计!$B$3:$AY$3,0),FALSE)</f>
        <v>0.64</v>
      </c>
      <c r="G31" s="120">
        <f>VLOOKUP($B31,坦克属性统计!$B$3:$AY$33,MATCH(G$7,坦克属性统计!$B$3:$AY$3,0),FALSE)</f>
        <v>3</v>
      </c>
      <c r="H31" s="120">
        <f>VLOOKUP($B31,坦克属性统计!$B$3:$AY$33,MATCH(H$7,坦克属性统计!$B$3:$AY$3,0),FALSE)</f>
        <v>0</v>
      </c>
      <c r="I31" s="120">
        <f>VLOOKUP($B31,坦克属性统计!$B$3:$AY$33,MATCH(I$7,坦克属性统计!$B$3:$AY$3,0),FALSE)</f>
        <v>1</v>
      </c>
      <c r="J31" s="120">
        <f>VLOOKUP($B31,坦克属性统计!$B$3:$AY$33,MATCH(J$7,坦克属性统计!$B$3:$AY$3,0),FALSE)</f>
        <v>31.3</v>
      </c>
      <c r="K31" s="120">
        <f>VLOOKUP($B31,坦克属性统计!$B$3:$AY$33,MATCH(K$7,坦克属性统计!$B$3:$AY$3,0),FALSE)</f>
        <v>43.8</v>
      </c>
      <c r="L31" s="120">
        <f>VLOOKUP($B31,坦克属性统计!$B$3:$AY$33,MATCH(L$7,坦克属性统计!$B$3:$AY$3,0),FALSE)</f>
        <v>9.5</v>
      </c>
      <c r="M31" s="209">
        <f>VLOOKUP($B31,坦克属性统计!$B$3:$AY$33,MATCH(M$7,坦克属性统计!$B$3:$AY$3,0),FALSE)</f>
        <v>1</v>
      </c>
      <c r="N31" s="120">
        <f>VLOOKUP($B31,坦克属性统计!$B$3:$AY$33,MATCH(N$7,坦克属性统计!$B$3:$AY$3,0),FALSE)</f>
        <v>6</v>
      </c>
      <c r="O31" s="120">
        <f>VLOOKUP($B31,坦克属性统计!$B$3:$AY$33,MATCH(O$7,坦克属性统计!$B$3:$AY$3,0),FALSE)</f>
        <v>0</v>
      </c>
      <c r="P31" s="120">
        <f>VLOOKUP($B31,坦克属性统计!$B$3:$AY$33,MATCH(P$7,坦克属性统计!$B$3:$AY$3,0),FALSE)</f>
        <v>3</v>
      </c>
      <c r="Q31" s="502">
        <f ca="1">VLOOKUP($B31,坦克属性统计!$B$3:$AY$33,MATCH(Q$7,坦克属性统计!$B$3:$AY$3,0),FALSE)*(1+W31/Z31)</f>
        <v>1513.6</v>
      </c>
      <c r="R31" s="502">
        <f ca="1">VLOOKUP($B31,坦克属性统计!$B$3:$AY$33,MATCH(R$7,坦克属性统计!$B$3:$AY$3,0),FALSE)*(1+X31/AA31)</f>
        <v>315.73333333333335</v>
      </c>
      <c r="S31" s="209">
        <f ca="1">VLOOKUP($B31,坦克属性统计!$B$3:$AY$33,MATCH(S$7,坦克属性统计!$B$3:$AY$3,0),FALSE)</f>
        <v>471</v>
      </c>
      <c r="T31" s="209">
        <f ca="1">VLOOKUP($B31,坦克属性统计!$B$3:$AY$33,MATCH(T$7,坦克属性统计!$B$3:$AY$3,0),FALSE)</f>
        <v>377</v>
      </c>
      <c r="U31" s="502">
        <f ca="1">VLOOKUP($B31,坦克属性统计!$B$3:$AY$33,MATCH(U$7,坦克属性统计!$B$3:$AY$3,0),FALSE)*(1+Y31/AB31)</f>
        <v>672</v>
      </c>
      <c r="V31" s="209">
        <f ca="1">VLOOKUP($B31,坦克属性统计!$B$3:$AY$33,MATCH(V$7,坦克属性统计!$B$3:$AY$3,0),FALSE)</f>
        <v>143</v>
      </c>
      <c r="W31" s="209">
        <f>VLOOKUP($B31,坦克属性统计!$B$3:$AY$33,MATCH(W$7,坦克属性统计!$B$3:$AY$3,0),FALSE)</f>
        <v>380</v>
      </c>
      <c r="X31" s="209">
        <f>VLOOKUP($B31,坦克属性统计!$B$3:$AY$33,MATCH(X$7,坦克属性统计!$B$3:$AY$3,0),FALSE)</f>
        <v>380</v>
      </c>
      <c r="Y31" s="209">
        <f>VLOOKUP($B31,坦克属性统计!$B$3:$AY$33,MATCH(Y$7,坦克属性统计!$B$3:$AY$3,0),FALSE)</f>
        <v>380</v>
      </c>
      <c r="Z31" s="209">
        <f>VLOOKUP(B31,坦克部件!$AJ$3:$AQ$33,MATCH("基础系数",坦克部件!$AJ$3:$AQ$3,0),FALSE)</f>
        <v>5700</v>
      </c>
      <c r="AA31" s="209">
        <f t="shared" si="1"/>
        <v>5700</v>
      </c>
      <c r="AB31" s="209">
        <f t="shared" si="1"/>
        <v>5700</v>
      </c>
      <c r="AC31" s="28">
        <f t="shared" si="2"/>
        <v>11</v>
      </c>
      <c r="AD31" s="28" t="s">
        <v>922</v>
      </c>
      <c r="AE31" s="232"/>
      <c r="AF31" s="502">
        <f t="shared" ca="1" si="10"/>
        <v>2147.1126398326255</v>
      </c>
      <c r="AG31" s="502">
        <f t="shared" ca="1" si="11"/>
        <v>1718</v>
      </c>
      <c r="AI31" s="117">
        <f t="shared" ca="1" si="12"/>
        <v>5256833.706666667</v>
      </c>
      <c r="AJ31" s="117">
        <f t="shared" ca="1" si="13"/>
        <v>284928</v>
      </c>
      <c r="AK31" s="117">
        <f t="shared" ca="1" si="14"/>
        <v>18.449691524408507</v>
      </c>
      <c r="AL31" s="117">
        <f t="shared" ca="1" si="15"/>
        <v>26284.168533333333</v>
      </c>
      <c r="AM31" s="117">
        <f t="shared" ca="1" si="16"/>
        <v>5578.6393370904816</v>
      </c>
      <c r="AN31" s="117">
        <f t="shared" ca="1" si="17"/>
        <v>533.78647416359286</v>
      </c>
    </row>
    <row r="32" spans="2:51" x14ac:dyDescent="0.35">
      <c r="B32" s="192" t="str">
        <f>坦克个性化细分!I28</f>
        <v>虎式</v>
      </c>
      <c r="C32" s="249" t="str">
        <f>VLOOKUP(B32,坦克个性化设定!$B$18:$F$48,5,FALSE)</f>
        <v>重坦单发</v>
      </c>
      <c r="D32" s="192" t="str">
        <f>坦克个性化细分!J28</f>
        <v>中</v>
      </c>
      <c r="E32" s="114" t="str">
        <f t="shared" si="0"/>
        <v>虎式中</v>
      </c>
      <c r="F32" s="120">
        <f>VLOOKUP($B32,坦克属性统计!$B$3:$AY$33,MATCH(F$7,坦克属性统计!$B$3:$AY$3,0),FALSE)</f>
        <v>0.7</v>
      </c>
      <c r="G32" s="120">
        <f>VLOOKUP($B32,坦克属性统计!$B$3:$AY$33,MATCH(G$7,坦克属性统计!$B$3:$AY$3,0),FALSE)</f>
        <v>3</v>
      </c>
      <c r="H32" s="120">
        <f>VLOOKUP($B32,坦克属性统计!$B$3:$AY$33,MATCH(H$7,坦克属性统计!$B$3:$AY$3,0),FALSE)</f>
        <v>0</v>
      </c>
      <c r="I32" s="120">
        <f>VLOOKUP($B32,坦克属性统计!$B$3:$AY$33,MATCH(I$7,坦克属性统计!$B$3:$AY$3,0),FALSE)</f>
        <v>1</v>
      </c>
      <c r="J32" s="120">
        <f>VLOOKUP($B32,坦克属性统计!$B$3:$AY$33,MATCH(J$7,坦克属性统计!$B$3:$AY$3,0),FALSE)</f>
        <v>32</v>
      </c>
      <c r="K32" s="120">
        <f>VLOOKUP($B32,坦克属性统计!$B$3:$AY$33,MATCH(K$7,坦克属性统计!$B$3:$AY$3,0),FALSE)</f>
        <v>44.6</v>
      </c>
      <c r="L32" s="120">
        <f>VLOOKUP($B32,坦克属性统计!$B$3:$AY$33,MATCH(L$7,坦克属性统计!$B$3:$AY$3,0),FALSE)</f>
        <v>9.6</v>
      </c>
      <c r="M32" s="209">
        <f>VLOOKUP($B32,坦克属性统计!$B$3:$AY$33,MATCH(M$7,坦克属性统计!$B$3:$AY$3,0),FALSE)</f>
        <v>1</v>
      </c>
      <c r="N32" s="120">
        <f>VLOOKUP($B32,坦克属性统计!$B$3:$AY$33,MATCH(N$7,坦克属性统计!$B$3:$AY$3,0),FALSE)</f>
        <v>6</v>
      </c>
      <c r="O32" s="120">
        <f>VLOOKUP($B32,坦克属性统计!$B$3:$AY$33,MATCH(O$7,坦克属性统计!$B$3:$AY$3,0),FALSE)</f>
        <v>0</v>
      </c>
      <c r="P32" s="120">
        <f>VLOOKUP($B32,坦克属性统计!$B$3:$AY$33,MATCH(P$7,坦克属性统计!$B$3:$AY$3,0),FALSE)</f>
        <v>3</v>
      </c>
      <c r="Q32" s="502">
        <f ca="1">VLOOKUP($B32,坦克属性统计!$B$3:$AY$33,MATCH(Q$7,坦克属性统计!$B$3:$AY$3,0),FALSE)*(1+W32/Z32)</f>
        <v>1478.1000000000001</v>
      </c>
      <c r="R32" s="502">
        <f ca="1">VLOOKUP($B32,坦克属性统计!$B$3:$AY$33,MATCH(R$7,坦克属性统计!$B$3:$AY$3,0),FALSE)*(1+X32/AA32)</f>
        <v>333.73055555555555</v>
      </c>
      <c r="S32" s="209">
        <f ca="1">VLOOKUP($B32,坦克属性统计!$B$3:$AY$33,MATCH(S$7,坦克属性统计!$B$3:$AY$3,0),FALSE)</f>
        <v>486</v>
      </c>
      <c r="T32" s="209">
        <f ca="1">VLOOKUP($B32,坦克属性统计!$B$3:$AY$33,MATCH(T$7,坦克属性统计!$B$3:$AY$3,0),FALSE)</f>
        <v>388</v>
      </c>
      <c r="U32" s="502">
        <f ca="1">VLOOKUP($B32,坦克属性统计!$B$3:$AY$33,MATCH(U$7,坦克属性统计!$B$3:$AY$3,0),FALSE)*(1+Y32/AB32)</f>
        <v>683.25277777777785</v>
      </c>
      <c r="V32" s="209">
        <f ca="1">VLOOKUP($B32,坦克属性统计!$B$3:$AY$33,MATCH(V$7,坦克属性统计!$B$3:$AY$3,0),FALSE)</f>
        <v>147</v>
      </c>
      <c r="W32" s="209">
        <f>VLOOKUP($B32,坦克属性统计!$B$3:$AY$33,MATCH(W$7,坦克属性统计!$B$3:$AY$3,0),FALSE)</f>
        <v>380</v>
      </c>
      <c r="X32" s="209">
        <f>VLOOKUP($B32,坦克属性统计!$B$3:$AY$33,MATCH(X$7,坦克属性统计!$B$3:$AY$3,0),FALSE)</f>
        <v>380</v>
      </c>
      <c r="Y32" s="209">
        <f>VLOOKUP($B32,坦克属性统计!$B$3:$AY$33,MATCH(Y$7,坦克属性统计!$B$3:$AY$3,0),FALSE)</f>
        <v>380</v>
      </c>
      <c r="Z32" s="209">
        <f>VLOOKUP(B32,坦克部件!$AJ$3:$AQ$33,MATCH("基础系数",坦克部件!$AJ$3:$AQ$3,0),FALSE)</f>
        <v>7200</v>
      </c>
      <c r="AA32" s="209">
        <f t="shared" si="1"/>
        <v>7200</v>
      </c>
      <c r="AB32" s="209">
        <f t="shared" si="1"/>
        <v>7200</v>
      </c>
      <c r="AC32" s="28">
        <f t="shared" si="2"/>
        <v>11</v>
      </c>
      <c r="AD32" s="28" t="s">
        <v>922</v>
      </c>
      <c r="AE32" s="232"/>
      <c r="AF32" s="502">
        <f t="shared" ca="1" si="10"/>
        <v>1767.8489781820656</v>
      </c>
      <c r="AG32" s="502">
        <f t="shared" ca="1" si="11"/>
        <v>1414</v>
      </c>
      <c r="AI32" s="117">
        <f t="shared" ca="1" si="12"/>
        <v>5426158.475833334</v>
      </c>
      <c r="AJ32" s="117">
        <f t="shared" ca="1" si="13"/>
        <v>298581.46388888895</v>
      </c>
      <c r="AK32" s="117">
        <f t="shared" ca="1" si="14"/>
        <v>18.173125702982585</v>
      </c>
      <c r="AL32" s="117">
        <f t="shared" ca="1" si="15"/>
        <v>27130.792379166669</v>
      </c>
      <c r="AM32" s="117">
        <f t="shared" ca="1" si="16"/>
        <v>5707.1206073470676</v>
      </c>
      <c r="AN32" s="117">
        <f t="shared" ca="1" si="17"/>
        <v>546.42608273113115</v>
      </c>
    </row>
    <row r="33" spans="2:40" x14ac:dyDescent="0.35">
      <c r="B33" s="192" t="str">
        <f>坦克个性化细分!I29</f>
        <v>KV-2</v>
      </c>
      <c r="C33" s="249" t="str">
        <f>VLOOKUP(B33,坦克个性化设定!$B$18:$F$48,5,FALSE)</f>
        <v>重坦自动</v>
      </c>
      <c r="D33" s="192" t="str">
        <f>坦克个性化细分!J29</f>
        <v>高</v>
      </c>
      <c r="E33" s="114" t="str">
        <f t="shared" si="0"/>
        <v>KV-2高</v>
      </c>
      <c r="F33" s="120">
        <f>VLOOKUP($B33,坦克属性统计!$B$3:$AY$33,MATCH(F$7,坦克属性统计!$B$3:$AY$3,0),FALSE)</f>
        <v>0.83</v>
      </c>
      <c r="G33" s="120">
        <f>VLOOKUP($B33,坦克属性统计!$B$3:$AY$33,MATCH(G$7,坦克属性统计!$B$3:$AY$3,0),FALSE)</f>
        <v>2.7</v>
      </c>
      <c r="H33" s="120">
        <f>VLOOKUP($B33,坦克属性统计!$B$3:$AY$33,MATCH(H$7,坦克属性统计!$B$3:$AY$3,0),FALSE)</f>
        <v>2</v>
      </c>
      <c r="I33" s="120">
        <f>VLOOKUP($B33,坦克属性统计!$B$3:$AY$33,MATCH(I$7,坦克属性统计!$B$3:$AY$3,0),FALSE)</f>
        <v>1.2</v>
      </c>
      <c r="J33" s="120">
        <f>VLOOKUP($B33,坦克属性统计!$B$3:$AY$33,MATCH(J$7,坦克属性统计!$B$3:$AY$3,0),FALSE)</f>
        <v>41.1</v>
      </c>
      <c r="K33" s="120">
        <f>VLOOKUP($B33,坦克属性统计!$B$3:$AY$33,MATCH(K$7,坦克属性统计!$B$3:$AY$3,0),FALSE)</f>
        <v>36.799999999999997</v>
      </c>
      <c r="L33" s="120">
        <f>VLOOKUP($B33,坦克属性统计!$B$3:$AY$33,MATCH(L$7,坦克属性统计!$B$3:$AY$3,0),FALSE)</f>
        <v>11</v>
      </c>
      <c r="M33" s="209">
        <f>VLOOKUP($B33,坦克属性统计!$B$3:$AY$33,MATCH(M$7,坦克属性统计!$B$3:$AY$3,0),FALSE)</f>
        <v>2</v>
      </c>
      <c r="N33" s="120">
        <f>VLOOKUP($B33,坦克属性统计!$B$3:$AY$33,MATCH(N$7,坦克属性统计!$B$3:$AY$3,0),FALSE)</f>
        <v>4.05</v>
      </c>
      <c r="O33" s="120">
        <f>VLOOKUP($B33,坦克属性统计!$B$3:$AY$33,MATCH(O$7,坦克属性统计!$B$3:$AY$3,0),FALSE)</f>
        <v>0</v>
      </c>
      <c r="P33" s="120">
        <f>VLOOKUP($B33,坦克属性统计!$B$3:$AY$33,MATCH(P$7,坦克属性统计!$B$3:$AY$3,0),FALSE)</f>
        <v>2.2500000000000004</v>
      </c>
      <c r="Q33" s="502">
        <f ca="1">VLOOKUP($B33,坦克属性统计!$B$3:$AY$33,MATCH(Q$7,坦克属性统计!$B$3:$AY$3,0),FALSE)*(1+W33/Z33)</f>
        <v>1578.1138888888891</v>
      </c>
      <c r="R33" s="502">
        <f ca="1">VLOOKUP($B33,坦克属性统计!$B$3:$AY$33,MATCH(R$7,坦克属性统计!$B$3:$AY$3,0),FALSE)*(1+X33/AA33)</f>
        <v>237.92777777777778</v>
      </c>
      <c r="S33" s="209">
        <f ca="1">VLOOKUP($B33,坦克属性统计!$B$3:$AY$33,MATCH(S$7,坦克属性统计!$B$3:$AY$3,0),FALSE)</f>
        <v>463</v>
      </c>
      <c r="T33" s="209">
        <f ca="1">VLOOKUP($B33,坦克属性统计!$B$3:$AY$33,MATCH(T$7,坦克属性统计!$B$3:$AY$3,0),FALSE)</f>
        <v>370</v>
      </c>
      <c r="U33" s="502">
        <f ca="1">VLOOKUP($B33,坦克属性统计!$B$3:$AY$33,MATCH(U$7,坦克属性统计!$B$3:$AY$3,0),FALSE)*(1+Y33/AB33)</f>
        <v>715.88888888888891</v>
      </c>
      <c r="V33" s="209">
        <f ca="1">VLOOKUP($B33,坦克属性统计!$B$3:$AY$33,MATCH(V$7,坦克属性统计!$B$3:$AY$3,0),FALSE)</f>
        <v>154</v>
      </c>
      <c r="W33" s="209">
        <f>VLOOKUP($B33,坦克属性统计!$B$3:$AY$33,MATCH(W$7,坦克属性统计!$B$3:$AY$3,0),FALSE)</f>
        <v>380</v>
      </c>
      <c r="X33" s="209">
        <f>VLOOKUP($B33,坦克属性统计!$B$3:$AY$33,MATCH(X$7,坦克属性统计!$B$3:$AY$3,0),FALSE)</f>
        <v>380</v>
      </c>
      <c r="Y33" s="209">
        <f>VLOOKUP($B33,坦克属性统计!$B$3:$AY$33,MATCH(Y$7,坦克属性统计!$B$3:$AY$3,0),FALSE)</f>
        <v>380</v>
      </c>
      <c r="Z33" s="209">
        <f>VLOOKUP(B33,坦克部件!$AJ$3:$AQ$33,MATCH("基础系数",坦克部件!$AJ$3:$AQ$3,0),FALSE)</f>
        <v>7200</v>
      </c>
      <c r="AA33" s="209">
        <f t="shared" si="1"/>
        <v>7200</v>
      </c>
      <c r="AB33" s="209">
        <f t="shared" si="1"/>
        <v>7200</v>
      </c>
      <c r="AC33" s="28">
        <f t="shared" si="2"/>
        <v>16.814814814814817</v>
      </c>
      <c r="AD33" s="28" t="s">
        <v>922</v>
      </c>
      <c r="AE33" s="232"/>
      <c r="AF33" s="502">
        <f t="shared" ca="1" si="10"/>
        <v>1905.6169493045115</v>
      </c>
      <c r="AG33" s="502">
        <f t="shared" ca="1" si="11"/>
        <v>1524</v>
      </c>
      <c r="AI33" s="117">
        <f t="shared" ca="1" si="12"/>
        <v>6313578.4193061283</v>
      </c>
      <c r="AJ33" s="117">
        <f t="shared" ca="1" si="13"/>
        <v>298167.72222222225</v>
      </c>
      <c r="AK33" s="117">
        <f t="shared" ca="1" si="14"/>
        <v>21.174587149311435</v>
      </c>
      <c r="AL33" s="117">
        <f t="shared" ca="1" si="15"/>
        <v>31567.892096530642</v>
      </c>
      <c r="AM33" s="117">
        <f t="shared" ca="1" si="16"/>
        <v>5742.2610034615536</v>
      </c>
      <c r="AN33" s="117">
        <f t="shared" ca="1" si="17"/>
        <v>546.04736261813616</v>
      </c>
    </row>
    <row r="34" spans="2:40" x14ac:dyDescent="0.35">
      <c r="B34" s="192" t="str">
        <f>坦克个性化细分!I30</f>
        <v>征服者</v>
      </c>
      <c r="C34" s="249" t="str">
        <f>VLOOKUP(B34,坦克个性化设定!$B$18:$F$48,5,FALSE)</f>
        <v>重坦单发</v>
      </c>
      <c r="D34" s="192" t="str">
        <f>坦克个性化细分!J30</f>
        <v>低</v>
      </c>
      <c r="E34" s="114" t="str">
        <f t="shared" si="0"/>
        <v>征服者低</v>
      </c>
      <c r="F34" s="120">
        <f>VLOOKUP($B34,坦克属性统计!$B$3:$AY$33,MATCH(F$7,坦克属性统计!$B$3:$AY$3,0),FALSE)</f>
        <v>0.67</v>
      </c>
      <c r="G34" s="120">
        <f>VLOOKUP($B34,坦克属性统计!$B$3:$AY$33,MATCH(G$7,坦克属性统计!$B$3:$AY$3,0),FALSE)</f>
        <v>3</v>
      </c>
      <c r="H34" s="120">
        <f>VLOOKUP($B34,坦克属性统计!$B$3:$AY$33,MATCH(H$7,坦克属性统计!$B$3:$AY$3,0),FALSE)</f>
        <v>0</v>
      </c>
      <c r="I34" s="120">
        <f>VLOOKUP($B34,坦克属性统计!$B$3:$AY$33,MATCH(I$7,坦克属性统计!$B$3:$AY$3,0),FALSE)</f>
        <v>1</v>
      </c>
      <c r="J34" s="120">
        <f>VLOOKUP($B34,坦克属性统计!$B$3:$AY$33,MATCH(J$7,坦克属性统计!$B$3:$AY$3,0),FALSE)</f>
        <v>31.3</v>
      </c>
      <c r="K34" s="120">
        <f>VLOOKUP($B34,坦克属性统计!$B$3:$AY$33,MATCH(K$7,坦克属性统计!$B$3:$AY$3,0),FALSE)</f>
        <v>43.8</v>
      </c>
      <c r="L34" s="120">
        <f>VLOOKUP($B34,坦克属性统计!$B$3:$AY$33,MATCH(L$7,坦克属性统计!$B$3:$AY$3,0),FALSE)</f>
        <v>9.5</v>
      </c>
      <c r="M34" s="209">
        <f>VLOOKUP($B34,坦克属性统计!$B$3:$AY$33,MATCH(M$7,坦克属性统计!$B$3:$AY$3,0),FALSE)</f>
        <v>1</v>
      </c>
      <c r="N34" s="120">
        <f>VLOOKUP($B34,坦克属性统计!$B$3:$AY$33,MATCH(N$7,坦克属性统计!$B$3:$AY$3,0),FALSE)</f>
        <v>6</v>
      </c>
      <c r="O34" s="120">
        <f>VLOOKUP($B34,坦克属性统计!$B$3:$AY$33,MATCH(O$7,坦克属性统计!$B$3:$AY$3,0),FALSE)</f>
        <v>0</v>
      </c>
      <c r="P34" s="120">
        <f>VLOOKUP($B34,坦克属性统计!$B$3:$AY$33,MATCH(P$7,坦克属性统计!$B$3:$AY$3,0),FALSE)</f>
        <v>3</v>
      </c>
      <c r="Q34" s="502">
        <f ca="1">VLOOKUP($B34,坦克属性统计!$B$3:$AY$33,MATCH(Q$7,坦克属性统计!$B$3:$AY$3,0),FALSE)*(1+W34/Z34)</f>
        <v>2066.6908333333331</v>
      </c>
      <c r="R34" s="502">
        <f ca="1">VLOOKUP($B34,坦克属性统计!$B$3:$AY$33,MATCH(R$7,坦克属性统计!$B$3:$AY$3,0),FALSE)*(1+X34/AA34)</f>
        <v>376.15277777777777</v>
      </c>
      <c r="S34" s="209">
        <f ca="1">VLOOKUP($B34,坦克属性统计!$B$3:$AY$33,MATCH(S$7,坦克属性统计!$B$3:$AY$3,0),FALSE)</f>
        <v>597</v>
      </c>
      <c r="T34" s="209">
        <f ca="1">VLOOKUP($B34,坦克属性统计!$B$3:$AY$33,MATCH(T$7,坦克属性统计!$B$3:$AY$3,0),FALSE)</f>
        <v>478</v>
      </c>
      <c r="U34" s="502">
        <f ca="1">VLOOKUP($B34,坦克属性统计!$B$3:$AY$33,MATCH(U$7,坦克属性统计!$B$3:$AY$3,0),FALSE)*(1+Y34/AB34)</f>
        <v>857.62833333333322</v>
      </c>
      <c r="V34" s="209">
        <f ca="1">VLOOKUP($B34,坦克属性统计!$B$3:$AY$33,MATCH(V$7,坦克属性统计!$B$3:$AY$3,0),FALSE)</f>
        <v>181</v>
      </c>
      <c r="W34" s="209">
        <f>VLOOKUP($B34,坦克属性统计!$B$3:$AY$33,MATCH(W$7,坦克属性统计!$B$3:$AY$3,0),FALSE)</f>
        <v>538</v>
      </c>
      <c r="X34" s="209">
        <f>VLOOKUP($B34,坦克属性统计!$B$3:$AY$33,MATCH(X$7,坦克属性统计!$B$3:$AY$3,0),FALSE)</f>
        <v>538</v>
      </c>
      <c r="Y34" s="209">
        <f>VLOOKUP($B34,坦克属性统计!$B$3:$AY$33,MATCH(Y$7,坦克属性统计!$B$3:$AY$3,0),FALSE)</f>
        <v>538</v>
      </c>
      <c r="Z34" s="209">
        <f>VLOOKUP(B34,坦克部件!$AJ$3:$AQ$33,MATCH("基础系数",坦克部件!$AJ$3:$AQ$3,0),FALSE)</f>
        <v>7200</v>
      </c>
      <c r="AA34" s="209">
        <f t="shared" si="1"/>
        <v>7200</v>
      </c>
      <c r="AB34" s="209">
        <f t="shared" si="1"/>
        <v>7200</v>
      </c>
      <c r="AC34" s="28">
        <f t="shared" si="2"/>
        <v>11</v>
      </c>
      <c r="AD34" s="28" t="s">
        <v>923</v>
      </c>
      <c r="AE34" s="232"/>
      <c r="AF34" s="502">
        <f t="shared" ca="1" si="10"/>
        <v>2757.5445268365784</v>
      </c>
      <c r="AG34" s="502">
        <f t="shared" ca="1" si="11"/>
        <v>2206</v>
      </c>
      <c r="AI34" s="117">
        <f t="shared" ca="1" si="12"/>
        <v>8551306.4754282404</v>
      </c>
      <c r="AJ34" s="117">
        <f t="shared" ca="1" si="13"/>
        <v>460975.22916666663</v>
      </c>
      <c r="AK34" s="117">
        <f t="shared" ca="1" si="14"/>
        <v>18.550468516251872</v>
      </c>
      <c r="AL34" s="117">
        <f t="shared" ca="1" si="15"/>
        <v>42756.5323771412</v>
      </c>
      <c r="AM34" s="117">
        <f t="shared" ca="1" si="16"/>
        <v>7097.4062976823288</v>
      </c>
      <c r="AN34" s="117">
        <f t="shared" ca="1" si="17"/>
        <v>678.95156614199414</v>
      </c>
    </row>
    <row r="35" spans="2:40" x14ac:dyDescent="0.35">
      <c r="B35" s="192" t="str">
        <f>坦克个性化细分!I31</f>
        <v>IS-4</v>
      </c>
      <c r="C35" s="249" t="str">
        <f>VLOOKUP(B35,坦克个性化设定!$B$18:$F$48,5,FALSE)</f>
        <v>重坦自动</v>
      </c>
      <c r="D35" s="192" t="str">
        <f>坦克个性化细分!J31</f>
        <v>中</v>
      </c>
      <c r="E35" s="114" t="str">
        <f t="shared" si="0"/>
        <v>IS-4中</v>
      </c>
      <c r="F35" s="120">
        <f>VLOOKUP($B35,坦克属性统计!$B$3:$AY$33,MATCH(F$7,坦克属性统计!$B$3:$AY$3,0),FALSE)</f>
        <v>0.67</v>
      </c>
      <c r="G35" s="120">
        <f>VLOOKUP($B35,坦克属性统计!$B$3:$AY$33,MATCH(G$7,坦克属性统计!$B$3:$AY$3,0),FALSE)</f>
        <v>2.7</v>
      </c>
      <c r="H35" s="120">
        <f>VLOOKUP($B35,坦克属性统计!$B$3:$AY$33,MATCH(H$7,坦克属性统计!$B$3:$AY$3,0),FALSE)</f>
        <v>2</v>
      </c>
      <c r="I35" s="120">
        <f>VLOOKUP($B35,坦克属性统计!$B$3:$AY$33,MATCH(I$7,坦克属性统计!$B$3:$AY$3,0),FALSE)</f>
        <v>1.2</v>
      </c>
      <c r="J35" s="120">
        <f>VLOOKUP($B35,坦克属性统计!$B$3:$AY$33,MATCH(J$7,坦克属性统计!$B$3:$AY$3,0),FALSE)</f>
        <v>32</v>
      </c>
      <c r="K35" s="120">
        <f>VLOOKUP($B35,坦克属性统计!$B$3:$AY$33,MATCH(K$7,坦克属性统计!$B$3:$AY$3,0),FALSE)</f>
        <v>44.6</v>
      </c>
      <c r="L35" s="120">
        <f>VLOOKUP($B35,坦克属性统计!$B$3:$AY$33,MATCH(L$7,坦克属性统计!$B$3:$AY$3,0),FALSE)</f>
        <v>9.6</v>
      </c>
      <c r="M35" s="209">
        <f>VLOOKUP($B35,坦克属性统计!$B$3:$AY$33,MATCH(M$7,坦克属性统计!$B$3:$AY$3,0),FALSE)</f>
        <v>2</v>
      </c>
      <c r="N35" s="120">
        <f>VLOOKUP($B35,坦克属性统计!$B$3:$AY$33,MATCH(N$7,坦克属性统计!$B$3:$AY$3,0),FALSE)</f>
        <v>4.5</v>
      </c>
      <c r="O35" s="120">
        <f>VLOOKUP($B35,坦克属性统计!$B$3:$AY$33,MATCH(O$7,坦克属性统计!$B$3:$AY$3,0),FALSE)</f>
        <v>0</v>
      </c>
      <c r="P35" s="120">
        <f>VLOOKUP($B35,坦克属性统计!$B$3:$AY$33,MATCH(P$7,坦克属性统计!$B$3:$AY$3,0),FALSE)</f>
        <v>2.2500000000000004</v>
      </c>
      <c r="Q35" s="502">
        <f ca="1">VLOOKUP($B35,坦克属性统计!$B$3:$AY$33,MATCH(Q$7,坦克属性统计!$B$3:$AY$3,0),FALSE)*(1+W35/Z35)</f>
        <v>1937.2737777777777</v>
      </c>
      <c r="R35" s="502">
        <f ca="1">VLOOKUP($B35,坦克属性统计!$B$3:$AY$33,MATCH(R$7,坦克属性统计!$B$3:$AY$3,0),FALSE)*(1+X35/AA35)</f>
        <v>321.11266666666666</v>
      </c>
      <c r="S35" s="209">
        <f ca="1">VLOOKUP($B35,坦克属性统计!$B$3:$AY$33,MATCH(S$7,坦克属性统计!$B$3:$AY$3,0),FALSE)</f>
        <v>560</v>
      </c>
      <c r="T35" s="209">
        <f ca="1">VLOOKUP($B35,坦克属性统计!$B$3:$AY$33,MATCH(T$7,坦克属性统计!$B$3:$AY$3,0),FALSE)</f>
        <v>448</v>
      </c>
      <c r="U35" s="502">
        <f ca="1">VLOOKUP($B35,坦克属性统计!$B$3:$AY$33,MATCH(U$7,坦克属性统计!$B$3:$AY$3,0),FALSE)*(1+Y35/AB35)</f>
        <v>872.1971111111111</v>
      </c>
      <c r="V35" s="209">
        <f ca="1">VLOOKUP($B35,坦克属性统计!$B$3:$AY$33,MATCH(V$7,坦克属性统计!$B$3:$AY$3,0),FALSE)</f>
        <v>186</v>
      </c>
      <c r="W35" s="209">
        <f>VLOOKUP($B35,坦克属性统计!$B$3:$AY$33,MATCH(W$7,坦克属性统计!$B$3:$AY$3,0),FALSE)</f>
        <v>538</v>
      </c>
      <c r="X35" s="209">
        <f>VLOOKUP($B35,坦克属性统计!$B$3:$AY$33,MATCH(X$7,坦克属性统计!$B$3:$AY$3,0),FALSE)</f>
        <v>538</v>
      </c>
      <c r="Y35" s="209">
        <f>VLOOKUP($B35,坦克属性统计!$B$3:$AY$33,MATCH(Y$7,坦克属性统计!$B$3:$AY$3,0),FALSE)</f>
        <v>538</v>
      </c>
      <c r="Z35" s="209">
        <f>VLOOKUP(B35,坦克部件!$AJ$3:$AQ$33,MATCH("基础系数",坦克部件!$AJ$3:$AQ$3,0),FALSE)</f>
        <v>9000</v>
      </c>
      <c r="AA35" s="209">
        <f t="shared" si="1"/>
        <v>9000</v>
      </c>
      <c r="AB35" s="209">
        <f t="shared" si="1"/>
        <v>9000</v>
      </c>
      <c r="AC35" s="28">
        <f t="shared" si="2"/>
        <v>15.333333333333334</v>
      </c>
      <c r="AD35" s="28" t="s">
        <v>923</v>
      </c>
      <c r="AE35" s="232"/>
      <c r="AF35" s="502">
        <f t="shared" ca="1" si="10"/>
        <v>2275.2157624648539</v>
      </c>
      <c r="AG35" s="502">
        <f t="shared" ca="1" si="11"/>
        <v>1820</v>
      </c>
      <c r="AI35" s="117">
        <f t="shared" ca="1" si="12"/>
        <v>9538608.2822996527</v>
      </c>
      <c r="AJ35" s="117">
        <f t="shared" ca="1" si="13"/>
        <v>439587.34399999998</v>
      </c>
      <c r="AK35" s="117">
        <f t="shared" ca="1" si="14"/>
        <v>21.699005698170538</v>
      </c>
      <c r="AL35" s="117">
        <f t="shared" ca="1" si="15"/>
        <v>47693.041411498263</v>
      </c>
      <c r="AM35" s="117">
        <f t="shared" ca="1" si="16"/>
        <v>6980.5471519895791</v>
      </c>
      <c r="AN35" s="117">
        <f t="shared" ca="1" si="17"/>
        <v>663.01383394315383</v>
      </c>
    </row>
    <row r="36" spans="2:40" x14ac:dyDescent="0.35">
      <c r="B36" s="192" t="str">
        <f>坦克个性化细分!I32</f>
        <v>T-32</v>
      </c>
      <c r="C36" s="249" t="str">
        <f>VLOOKUP(B36,坦克个性化设定!$B$18:$F$48,5,FALSE)</f>
        <v>重坦单发</v>
      </c>
      <c r="D36" s="192" t="str">
        <f>坦克个性化细分!J32</f>
        <v>高</v>
      </c>
      <c r="E36" s="114" t="str">
        <f t="shared" si="0"/>
        <v>T-32高</v>
      </c>
      <c r="F36" s="120">
        <f>VLOOKUP($B36,坦克属性统计!$B$3:$AY$33,MATCH(F$7,坦克属性统计!$B$3:$AY$3,0),FALSE)</f>
        <v>0.64</v>
      </c>
      <c r="G36" s="120">
        <f>VLOOKUP($B36,坦克属性统计!$B$3:$AY$33,MATCH(G$7,坦克属性统计!$B$3:$AY$3,0),FALSE)</f>
        <v>3</v>
      </c>
      <c r="H36" s="120">
        <f>VLOOKUP($B36,坦克属性统计!$B$3:$AY$33,MATCH(H$7,坦克属性统计!$B$3:$AY$3,0),FALSE)</f>
        <v>0</v>
      </c>
      <c r="I36" s="120">
        <f>VLOOKUP($B36,坦克属性统计!$B$3:$AY$33,MATCH(I$7,坦克属性统计!$B$3:$AY$3,0),FALSE)</f>
        <v>1</v>
      </c>
      <c r="J36" s="120">
        <f>VLOOKUP($B36,坦克属性统计!$B$3:$AY$33,MATCH(J$7,坦克属性统计!$B$3:$AY$3,0),FALSE)</f>
        <v>32.9</v>
      </c>
      <c r="K36" s="120">
        <f>VLOOKUP($B36,坦克属性统计!$B$3:$AY$33,MATCH(K$7,坦克属性统计!$B$3:$AY$3,0),FALSE)</f>
        <v>45.9</v>
      </c>
      <c r="L36" s="120">
        <f>VLOOKUP($B36,坦克属性统计!$B$3:$AY$33,MATCH(L$7,坦克属性统计!$B$3:$AY$3,0),FALSE)</f>
        <v>9.9</v>
      </c>
      <c r="M36" s="209">
        <f>VLOOKUP($B36,坦克属性统计!$B$3:$AY$33,MATCH(M$7,坦克属性统计!$B$3:$AY$3,0),FALSE)</f>
        <v>1</v>
      </c>
      <c r="N36" s="120">
        <f>VLOOKUP($B36,坦克属性统计!$B$3:$AY$33,MATCH(N$7,坦克属性统计!$B$3:$AY$3,0),FALSE)</f>
        <v>6</v>
      </c>
      <c r="O36" s="120">
        <f>VLOOKUP($B36,坦克属性统计!$B$3:$AY$33,MATCH(O$7,坦克属性统计!$B$3:$AY$3,0),FALSE)</f>
        <v>0</v>
      </c>
      <c r="P36" s="120">
        <f>VLOOKUP($B36,坦克属性统计!$B$3:$AY$33,MATCH(P$7,坦克属性统计!$B$3:$AY$3,0),FALSE)</f>
        <v>3</v>
      </c>
      <c r="Q36" s="502">
        <f ca="1">VLOOKUP($B36,坦克属性统计!$B$3:$AY$33,MATCH(Q$7,坦克属性统计!$B$3:$AY$3,0),FALSE)*(1+W36/Z36)</f>
        <v>2141.8108888888887</v>
      </c>
      <c r="R36" s="502">
        <f ca="1">VLOOKUP($B36,坦克属性统计!$B$3:$AY$33,MATCH(R$7,坦克属性统计!$B$3:$AY$3,0),FALSE)*(1+X36/AA36)</f>
        <v>414.37311111111109</v>
      </c>
      <c r="S36" s="209">
        <f ca="1">VLOOKUP($B36,坦克属性统计!$B$3:$AY$33,MATCH(S$7,坦克属性统计!$B$3:$AY$3,0),FALSE)</f>
        <v>647</v>
      </c>
      <c r="T36" s="209">
        <f ca="1">VLOOKUP($B36,坦克属性统计!$B$3:$AY$33,MATCH(T$7,坦克属性统计!$B$3:$AY$3,0),FALSE)</f>
        <v>518</v>
      </c>
      <c r="U36" s="502">
        <f ca="1">VLOOKUP($B36,坦克属性统计!$B$3:$AY$33,MATCH(U$7,坦克属性统计!$B$3:$AY$3,0),FALSE)*(1+Y36/AB36)</f>
        <v>916.70777777777766</v>
      </c>
      <c r="V36" s="209">
        <f ca="1">VLOOKUP($B36,坦克属性统计!$B$3:$AY$33,MATCH(V$7,坦克属性统计!$B$3:$AY$3,0),FALSE)</f>
        <v>196</v>
      </c>
      <c r="W36" s="209">
        <f>VLOOKUP($B36,坦克属性统计!$B$3:$AY$33,MATCH(W$7,坦克属性统计!$B$3:$AY$3,0),FALSE)</f>
        <v>538</v>
      </c>
      <c r="X36" s="209">
        <f>VLOOKUP($B36,坦克属性统计!$B$3:$AY$33,MATCH(X$7,坦克属性统计!$B$3:$AY$3,0),FALSE)</f>
        <v>538</v>
      </c>
      <c r="Y36" s="209">
        <f>VLOOKUP($B36,坦克属性统计!$B$3:$AY$33,MATCH(Y$7,坦克属性统计!$B$3:$AY$3,0),FALSE)</f>
        <v>538</v>
      </c>
      <c r="Z36" s="209">
        <f>VLOOKUP(B36,坦克部件!$AJ$3:$AQ$33,MATCH("基础系数",坦克部件!$AJ$3:$AQ$3,0),FALSE)</f>
        <v>9000</v>
      </c>
      <c r="AA36" s="209">
        <f t="shared" si="1"/>
        <v>9000</v>
      </c>
      <c r="AB36" s="209">
        <f t="shared" si="1"/>
        <v>9000</v>
      </c>
      <c r="AC36" s="28">
        <f t="shared" si="2"/>
        <v>11</v>
      </c>
      <c r="AD36" s="28" t="s">
        <v>923</v>
      </c>
      <c r="AE36" s="232"/>
      <c r="AF36" s="502">
        <f t="shared" ca="1" si="10"/>
        <v>2536.9014703276648</v>
      </c>
      <c r="AG36" s="502">
        <f t="shared" ca="1" si="11"/>
        <v>2030</v>
      </c>
      <c r="AI36" s="117">
        <f t="shared" ca="1" si="12"/>
        <v>9762597.2558459733</v>
      </c>
      <c r="AJ36" s="117">
        <f t="shared" ca="1" si="13"/>
        <v>533982.28055555548</v>
      </c>
      <c r="AK36" s="117">
        <f t="shared" ca="1" si="14"/>
        <v>18.282623995854248</v>
      </c>
      <c r="AL36" s="117">
        <f t="shared" ca="1" si="15"/>
        <v>48812.986279229866</v>
      </c>
      <c r="AM36" s="117">
        <f t="shared" ca="1" si="16"/>
        <v>7634.1028735194895</v>
      </c>
      <c r="AN36" s="117">
        <f t="shared" ca="1" si="17"/>
        <v>730.74091205813534</v>
      </c>
    </row>
    <row r="37" spans="2:40" x14ac:dyDescent="0.35">
      <c r="B37" s="192" t="str">
        <f>坦克个性化细分!I33</f>
        <v>M1A2</v>
      </c>
      <c r="C37" s="249" t="str">
        <f>VLOOKUP(B37,坦克个性化设定!$B$18:$F$48,5,FALSE)</f>
        <v>重坦单发</v>
      </c>
      <c r="D37" s="192" t="str">
        <f>坦克个性化细分!J33</f>
        <v>低</v>
      </c>
      <c r="E37" s="114" t="str">
        <f t="shared" si="0"/>
        <v>M1A2低</v>
      </c>
      <c r="F37" s="120">
        <f>VLOOKUP($B37,坦克属性统计!$B$3:$AY$33,MATCH(F$7,坦克属性统计!$B$3:$AY$3,0),FALSE)</f>
        <v>0.74</v>
      </c>
      <c r="G37" s="120">
        <f>VLOOKUP($B37,坦克属性统计!$B$3:$AY$33,MATCH(G$7,坦克属性统计!$B$3:$AY$3,0),FALSE)</f>
        <v>3</v>
      </c>
      <c r="H37" s="120">
        <f>VLOOKUP($B37,坦克属性统计!$B$3:$AY$33,MATCH(H$7,坦克属性统计!$B$3:$AY$3,0),FALSE)</f>
        <v>0</v>
      </c>
      <c r="I37" s="120">
        <f>VLOOKUP($B37,坦克属性统计!$B$3:$AY$33,MATCH(I$7,坦克属性统计!$B$3:$AY$3,0),FALSE)</f>
        <v>1</v>
      </c>
      <c r="J37" s="120">
        <f>VLOOKUP($B37,坦克属性统计!$B$3:$AY$33,MATCH(J$7,坦克属性统计!$B$3:$AY$3,0),FALSE)</f>
        <v>31.3</v>
      </c>
      <c r="K37" s="120">
        <f>VLOOKUP($B37,坦克属性统计!$B$3:$AY$33,MATCH(K$7,坦克属性统计!$B$3:$AY$3,0),FALSE)</f>
        <v>43.8</v>
      </c>
      <c r="L37" s="120">
        <f>VLOOKUP($B37,坦克属性统计!$B$3:$AY$33,MATCH(L$7,坦克属性统计!$B$3:$AY$3,0),FALSE)</f>
        <v>9.5</v>
      </c>
      <c r="M37" s="209">
        <f>VLOOKUP($B37,坦克属性统计!$B$3:$AY$33,MATCH(M$7,坦克属性统计!$B$3:$AY$3,0),FALSE)</f>
        <v>1</v>
      </c>
      <c r="N37" s="120">
        <f>VLOOKUP($B37,坦克属性统计!$B$3:$AY$33,MATCH(N$7,坦克属性统计!$B$3:$AY$3,0),FALSE)</f>
        <v>6</v>
      </c>
      <c r="O37" s="120">
        <f>VLOOKUP($B37,坦克属性统计!$B$3:$AY$33,MATCH(O$7,坦克属性统计!$B$3:$AY$3,0),FALSE)</f>
        <v>0</v>
      </c>
      <c r="P37" s="120">
        <f>VLOOKUP($B37,坦克属性统计!$B$3:$AY$33,MATCH(P$7,坦克属性统计!$B$3:$AY$3,0),FALSE)</f>
        <v>3</v>
      </c>
      <c r="Q37" s="502">
        <f ca="1">VLOOKUP($B37,坦克属性统计!$B$3:$AY$33,MATCH(Q$7,坦克属性统计!$B$3:$AY$3,0),FALSE)*(1+W37/Z37)</f>
        <v>2540.2873333333332</v>
      </c>
      <c r="R37" s="502">
        <f ca="1">VLOOKUP($B37,坦克属性统计!$B$3:$AY$33,MATCH(R$7,坦克属性统计!$B$3:$AY$3,0),FALSE)*(1+X37/AA37)</f>
        <v>474.78044444444441</v>
      </c>
      <c r="S37" s="209">
        <f ca="1">VLOOKUP($B37,坦克属性统计!$B$3:$AY$33,MATCH(S$7,坦克属性统计!$B$3:$AY$3,0),FALSE)</f>
        <v>754</v>
      </c>
      <c r="T37" s="209">
        <f ca="1">VLOOKUP($B37,坦克属性统计!$B$3:$AY$33,MATCH(T$7,坦克属性统计!$B$3:$AY$3,0),FALSE)</f>
        <v>603</v>
      </c>
      <c r="U37" s="502">
        <f ca="1">VLOOKUP($B37,坦克属性统计!$B$3:$AY$33,MATCH(U$7,坦克属性统计!$B$3:$AY$3,0),FALSE)*(1+Y37/AB37)</f>
        <v>1068.2559999999999</v>
      </c>
      <c r="V37" s="209">
        <f ca="1">VLOOKUP($B37,坦克属性统计!$B$3:$AY$33,MATCH(V$7,坦克属性统计!$B$3:$AY$3,0),FALSE)</f>
        <v>228</v>
      </c>
      <c r="W37" s="209">
        <f>VLOOKUP($B37,坦克属性统计!$B$3:$AY$33,MATCH(W$7,坦克属性统计!$B$3:$AY$3,0),FALSE)</f>
        <v>538</v>
      </c>
      <c r="X37" s="209">
        <f>VLOOKUP($B37,坦克属性统计!$B$3:$AY$33,MATCH(X$7,坦克属性统计!$B$3:$AY$3,0),FALSE)</f>
        <v>538</v>
      </c>
      <c r="Y37" s="209">
        <f>VLOOKUP($B37,坦克属性统计!$B$3:$AY$33,MATCH(Y$7,坦克属性统计!$B$3:$AY$3,0),FALSE)</f>
        <v>538</v>
      </c>
      <c r="Z37" s="209">
        <f>VLOOKUP(B37,坦克部件!$AJ$3:$AQ$33,MATCH("基础系数",坦克部件!$AJ$3:$AQ$3,0),FALSE)</f>
        <v>9000</v>
      </c>
      <c r="AA37" s="209">
        <f t="shared" si="1"/>
        <v>9000</v>
      </c>
      <c r="AB37" s="209">
        <f t="shared" si="1"/>
        <v>9000</v>
      </c>
      <c r="AC37" s="28">
        <f t="shared" si="2"/>
        <v>11</v>
      </c>
      <c r="AD37" s="28" t="s">
        <v>924</v>
      </c>
      <c r="AE37" s="232"/>
      <c r="AF37" s="502">
        <f t="shared" ca="1" si="10"/>
        <v>3445.5159301859499</v>
      </c>
      <c r="AG37" s="502">
        <f t="shared" ca="1" si="11"/>
        <v>2756</v>
      </c>
      <c r="AI37" s="117">
        <f t="shared" ca="1" si="12"/>
        <v>13266866.240502518</v>
      </c>
      <c r="AJ37" s="117">
        <f t="shared" ca="1" si="13"/>
        <v>724811.69599999988</v>
      </c>
      <c r="AK37" s="117">
        <f t="shared" ca="1" si="14"/>
        <v>18.303879909386175</v>
      </c>
      <c r="AL37" s="117">
        <f t="shared" ca="1" si="15"/>
        <v>66334.331202512592</v>
      </c>
      <c r="AM37" s="117">
        <f t="shared" ca="1" si="16"/>
        <v>8894.6389876290796</v>
      </c>
      <c r="AN37" s="117">
        <f t="shared" ca="1" si="17"/>
        <v>851.35873519921074</v>
      </c>
    </row>
    <row r="39" spans="2:40" x14ac:dyDescent="0.35">
      <c r="B39" s="761" t="s">
        <v>2163</v>
      </c>
      <c r="C39" s="834"/>
      <c r="D39" s="834"/>
      <c r="E39" s="834"/>
      <c r="F39" s="834"/>
      <c r="G39" s="834"/>
      <c r="H39" s="834"/>
      <c r="I39" s="834"/>
      <c r="J39" s="834"/>
      <c r="K39" s="834"/>
      <c r="L39" s="834"/>
      <c r="M39" s="834"/>
      <c r="N39" s="834"/>
      <c r="O39" s="834"/>
      <c r="P39" s="834"/>
      <c r="Q39" s="834"/>
    </row>
    <row r="40" spans="2:40" x14ac:dyDescent="0.35">
      <c r="B40" s="118" t="s">
        <v>736</v>
      </c>
      <c r="C40" s="479" t="s">
        <v>644</v>
      </c>
      <c r="D40" s="485" t="s">
        <v>582</v>
      </c>
      <c r="E40" s="493" t="s">
        <v>2159</v>
      </c>
      <c r="F40" s="493" t="s">
        <v>2158</v>
      </c>
      <c r="G40" s="118" t="s">
        <v>704</v>
      </c>
      <c r="H40" s="118" t="s">
        <v>60</v>
      </c>
      <c r="I40" s="118" t="s">
        <v>702</v>
      </c>
      <c r="J40" s="118" t="s">
        <v>703</v>
      </c>
      <c r="K40" s="118" t="s">
        <v>771</v>
      </c>
      <c r="L40" s="473" t="s">
        <v>438</v>
      </c>
      <c r="M40" s="493" t="s">
        <v>2113</v>
      </c>
      <c r="N40" s="473" t="s">
        <v>435</v>
      </c>
      <c r="O40" s="473" t="s">
        <v>436</v>
      </c>
      <c r="P40" s="493" t="s">
        <v>2147</v>
      </c>
      <c r="Q40" s="493" t="s">
        <v>2160</v>
      </c>
    </row>
    <row r="41" spans="2:40" x14ac:dyDescent="0.35">
      <c r="B41" s="118" t="s">
        <v>615</v>
      </c>
      <c r="C41" s="480" t="str">
        <f>VLOOKUP(B41,坦克个性化设定!$B$18:$F$48,5,FALSE)</f>
        <v>轻坦弹夹</v>
      </c>
      <c r="D41" s="479" t="str">
        <f>VLOOKUP(B41,坦克个性化细分!$I$3:$J$33,2,FALSE)</f>
        <v>低</v>
      </c>
      <c r="E41" s="118" t="str">
        <f>VLOOKUP(B41,坦克个性化设定!$B$18:$F$48,MATCH(E$40,坦克个性化设定!$B$18:$F$18,0),FALSE)</f>
        <v>T1</v>
      </c>
      <c r="F41" s="118">
        <f>VLOOKUP(E41&amp;D41,坦克标准养成属性!$E$3:$M$15,MATCH(F$40,坦克标准养成属性!$E$3:$M$3,0),FALSE)</f>
        <v>4</v>
      </c>
      <c r="G41" s="118">
        <f t="shared" ref="G41:G70" si="18">VLOOKUP($B41&amp;$F41,所有坦克升星属性,MATCH(G$40,所有坦克升星属性标头,0),FALSE)</f>
        <v>0.25</v>
      </c>
      <c r="H41" s="118">
        <f>VLOOKUP($B41,坦克个性化设定!$B$51:$T$81,MATCH(H$40,坦克个性化设定!$B$51:$T$51,0),FALSE)</f>
        <v>18</v>
      </c>
      <c r="I41" s="118">
        <f t="shared" ref="I41:J70" si="19">VLOOKUP($B41&amp;$F41,所有坦克升星属性,MATCH(I$40,所有坦克升星属性标头,0),FALSE)</f>
        <v>0</v>
      </c>
      <c r="J41" s="118">
        <f t="shared" si="19"/>
        <v>5.0999999999999996</v>
      </c>
      <c r="K41" s="28">
        <f>IF(LEN(C41)=5,(60-(H41-1)*G41)/I41+H41,IF(RIGHT(C41,2)="弹夹",((60-(H41-1)*G41)/(J41+(H41-1)*G41)+1)*H41,60/I41+H41))</f>
        <v>125.32620320855615</v>
      </c>
      <c r="L41" s="502">
        <f ca="1">VLOOKUP($B41&amp;"最终",坦克标准养成属性!$O$3:$AA$63,MATCH(L$40,坦克标准养成属性!$O$3:$AA$3,0),FALSE)</f>
        <v>1027.2097183684232</v>
      </c>
      <c r="M41" s="502">
        <f ca="1">VLOOKUP($B41&amp;"最终",坦克标准养成属性!$O$3:$AA$63,MATCH(M$40,坦克标准养成属性!$O$3:$AA$3,0),FALSE)</f>
        <v>33.773537717742343</v>
      </c>
      <c r="N41" s="118">
        <f ca="1">VLOOKUP($B41&amp;"最终",坦克标准养成属性!$O$3:$AA$63,MATCH(N$40,坦克标准养成属性!$O$3:$AA$3,0),FALSE)</f>
        <v>460</v>
      </c>
      <c r="O41" s="118">
        <f ca="1">VLOOKUP($B41&amp;"最终",坦克标准养成属性!$O$3:$AA$63,MATCH(O$40,坦克标准养成属性!$O$3:$AA$3,0),FALSE)</f>
        <v>322</v>
      </c>
      <c r="P41" s="118">
        <f ca="1">VLOOKUP($B41&amp;"最终",坦克标准养成属性!$O$3:$AA$63,MATCH(P$40,坦克标准养成属性!$O$3:$AA$3,0),FALSE)</f>
        <v>420</v>
      </c>
      <c r="Q41" s="502">
        <f ca="1">POWER(M41*L41*K41/2+AVERAGE(N41:O41)*P41*100,$C$2)</f>
        <v>4312.301014408843</v>
      </c>
    </row>
    <row r="42" spans="2:40" x14ac:dyDescent="0.35">
      <c r="B42" s="118" t="s">
        <v>616</v>
      </c>
      <c r="C42" s="480" t="str">
        <f>VLOOKUP(B42,坦克个性化设定!$B$18:$F$48,5,FALSE)</f>
        <v>轻坦弹夹</v>
      </c>
      <c r="D42" s="479" t="str">
        <f>VLOOKUP(B42,坦克个性化细分!$I$3:$J$33,2,FALSE)</f>
        <v>低</v>
      </c>
      <c r="E42" s="118" t="str">
        <f>VLOOKUP(B42,坦克个性化设定!$B$18:$F$48,MATCH(E$40,坦克个性化设定!$B$18:$F$18,0),FALSE)</f>
        <v>T2</v>
      </c>
      <c r="F42" s="118">
        <f>VLOOKUP(E42&amp;D42,坦克标准养成属性!$E$3:$M$15,MATCH(F$40,坦克标准养成属性!$E$3:$M$3,0),FALSE)</f>
        <v>6</v>
      </c>
      <c r="G42" s="118">
        <f t="shared" si="18"/>
        <v>0.2</v>
      </c>
      <c r="H42" s="118">
        <f>VLOOKUP($B42,坦克个性化设定!$B$51:$T$81,MATCH(H$40,坦克个性化设定!$B$51:$T$51,0),FALSE)</f>
        <v>14.999999999999998</v>
      </c>
      <c r="I42" s="118">
        <f t="shared" si="19"/>
        <v>0</v>
      </c>
      <c r="J42" s="118">
        <f t="shared" si="19"/>
        <v>5.4</v>
      </c>
      <c r="K42" s="28">
        <f t="shared" ref="K42:K70" si="20">IF(LEN(C42)=5,(60-(H42-1)*G42)/I42+H42,IF(RIGHT(C42,2)="弹夹",((60-(H42-1)*G42)/(J42+(H42-1)*G42)+1)*H42,60/I42+H42))</f>
        <v>119.63414634146342</v>
      </c>
      <c r="L42" s="502">
        <f ca="1">VLOOKUP($B42&amp;"最终",坦克标准养成属性!$O$3:$AA$63,MATCH(L$40,坦克标准养成属性!$O$3:$AA$3,0),FALSE)</f>
        <v>1335.8791470877848</v>
      </c>
      <c r="M42" s="502">
        <f ca="1">VLOOKUP($B42&amp;"最终",坦克标准养成属性!$O$3:$AA$63,MATCH(M$40,坦克标准养成属性!$O$3:$AA$3,0),FALSE)</f>
        <v>44.206189392967481</v>
      </c>
      <c r="N42" s="118">
        <f ca="1">VLOOKUP($B42&amp;"最终",坦克标准养成属性!$O$3:$AA$63,MATCH(N$40,坦克标准养成属性!$O$3:$AA$3,0),FALSE)</f>
        <v>591</v>
      </c>
      <c r="O42" s="118">
        <f ca="1">VLOOKUP($B42&amp;"最终",坦克标准养成属性!$O$3:$AA$63,MATCH(O$40,坦克标准养成属性!$O$3:$AA$3,0),FALSE)</f>
        <v>414</v>
      </c>
      <c r="P42" s="118">
        <f ca="1">VLOOKUP($B42&amp;"最终",坦克标准养成属性!$O$3:$AA$63,MATCH(P$40,坦克标准养成属性!$O$3:$AA$3,0),FALSE)</f>
        <v>540</v>
      </c>
      <c r="Q42" s="502">
        <f t="shared" ref="Q42:Q70" ca="1" si="21">POWER(M42*L42*K42/2+AVERAGE(N42:O42)*P42*100,$C$2)</f>
        <v>5537.8195177168609</v>
      </c>
    </row>
    <row r="43" spans="2:40" x14ac:dyDescent="0.35">
      <c r="B43" s="118" t="s">
        <v>617</v>
      </c>
      <c r="C43" s="480" t="str">
        <f>VLOOKUP(B43,坦克个性化设定!$B$18:$F$48,5,FALSE)</f>
        <v>轻坦半自动</v>
      </c>
      <c r="D43" s="479" t="str">
        <f>VLOOKUP(B43,坦克个性化细分!$I$3:$J$33,2,FALSE)</f>
        <v>中</v>
      </c>
      <c r="E43" s="118" t="str">
        <f>VLOOKUP(B43,坦克个性化设定!$B$18:$F$48,MATCH(E$40,坦克个性化设定!$B$18:$F$18,0),FALSE)</f>
        <v>T2</v>
      </c>
      <c r="F43" s="118">
        <f>VLOOKUP(E43&amp;D43,坦克标准养成属性!$E$3:$M$15,MATCH(F$40,坦克标准养成属性!$E$3:$M$3,0),FALSE)</f>
        <v>11</v>
      </c>
      <c r="G43" s="118">
        <f t="shared" si="18"/>
        <v>0.4</v>
      </c>
      <c r="H43" s="118">
        <f>VLOOKUP($B43,坦克个性化设定!$B$51:$T$81,MATCH(H$40,坦克个性化设定!$B$51:$T$51,0),FALSE)</f>
        <v>4</v>
      </c>
      <c r="I43" s="118">
        <f t="shared" si="19"/>
        <v>0.79</v>
      </c>
      <c r="J43" s="118">
        <f t="shared" si="19"/>
        <v>0</v>
      </c>
      <c r="K43" s="28">
        <f t="shared" si="20"/>
        <v>78.430379746835442</v>
      </c>
      <c r="L43" s="502">
        <f ca="1">VLOOKUP($B43&amp;"最终",坦克标准养成属性!$O$3:$AA$63,MATCH(L$40,坦克标准养成属性!$O$3:$AA$3,0),FALSE)</f>
        <v>2064.0002764061978</v>
      </c>
      <c r="M43" s="502">
        <f ca="1">VLOOKUP($B43&amp;"最终",坦克标准养成属性!$O$3:$AA$63,MATCH(M$40,坦克标准养成属性!$O$3:$AA$3,0),FALSE)</f>
        <v>90.20020301863137</v>
      </c>
      <c r="N43" s="118">
        <f ca="1">VLOOKUP($B43&amp;"最终",坦克标准养成属性!$O$3:$AA$63,MATCH(N$40,坦克标准养成属性!$O$3:$AA$3,0),FALSE)</f>
        <v>717</v>
      </c>
      <c r="O43" s="118">
        <f ca="1">VLOOKUP($B43&amp;"最终",坦克标准养成属性!$O$3:$AA$63,MATCH(O$40,坦克标准养成属性!$O$3:$AA$3,0),FALSE)</f>
        <v>502</v>
      </c>
      <c r="P43" s="118">
        <f ca="1">VLOOKUP($B43&amp;"最终",坦克标准养成属性!$O$3:$AA$63,MATCH(P$40,坦克标准养成属性!$O$3:$AA$3,0),FALSE)</f>
        <v>717</v>
      </c>
      <c r="Q43" s="502">
        <f t="shared" ca="1" si="21"/>
        <v>7141.5662925813185</v>
      </c>
    </row>
    <row r="44" spans="2:40" x14ac:dyDescent="0.35">
      <c r="B44" s="118" t="s">
        <v>618</v>
      </c>
      <c r="C44" s="480" t="str">
        <f>VLOOKUP(B44,坦克个性化设定!$B$18:$F$48,5,FALSE)</f>
        <v>轻坦半自动</v>
      </c>
      <c r="D44" s="479" t="str">
        <f>VLOOKUP(B44,坦克个性化细分!$I$3:$J$33,2,FALSE)</f>
        <v>低</v>
      </c>
      <c r="E44" s="118" t="str">
        <f>VLOOKUP(B44,坦克个性化设定!$B$18:$F$48,MATCH(E$40,坦克个性化设定!$B$18:$F$18,0),FALSE)</f>
        <v>T3</v>
      </c>
      <c r="F44" s="118">
        <f>VLOOKUP(E44&amp;D44,坦克标准养成属性!$E$3:$M$15,MATCH(F$40,坦克标准养成属性!$E$3:$M$3,0),FALSE)</f>
        <v>8</v>
      </c>
      <c r="G44" s="118">
        <f t="shared" si="18"/>
        <v>0.4</v>
      </c>
      <c r="H44" s="118">
        <f>VLOOKUP($B44,坦克个性化设定!$B$51:$T$81,MATCH(H$40,坦克个性化设定!$B$51:$T$51,0),FALSE)</f>
        <v>6</v>
      </c>
      <c r="I44" s="118">
        <f t="shared" si="19"/>
        <v>1.04</v>
      </c>
      <c r="J44" s="118">
        <f t="shared" si="19"/>
        <v>0</v>
      </c>
      <c r="K44" s="28">
        <f t="shared" si="20"/>
        <v>61.769230769230766</v>
      </c>
      <c r="L44" s="502">
        <f ca="1">VLOOKUP($B44&amp;"最终",坦克标准养成属性!$O$3:$AA$63,MATCH(L$40,坦克标准养成属性!$O$3:$AA$3,0),FALSE)</f>
        <v>1700.5153189786433</v>
      </c>
      <c r="M44" s="502">
        <f ca="1">VLOOKUP($B44&amp;"最终",坦克标准养成属性!$O$3:$AA$63,MATCH(M$40,坦克标准养成属性!$O$3:$AA$3,0),FALSE)</f>
        <v>122.88695393797558</v>
      </c>
      <c r="N44" s="118">
        <f ca="1">VLOOKUP($B44&amp;"最终",坦克标准养成属性!$O$3:$AA$63,MATCH(N$40,坦克标准养成属性!$O$3:$AA$3,0),FALSE)</f>
        <v>690</v>
      </c>
      <c r="O44" s="118">
        <f ca="1">VLOOKUP($B44&amp;"最终",坦克标准养成属性!$O$3:$AA$63,MATCH(O$40,坦克标准养成属性!$O$3:$AA$3,0),FALSE)</f>
        <v>483</v>
      </c>
      <c r="P44" s="118">
        <f ca="1">VLOOKUP($B44&amp;"最终",坦克标准养成属性!$O$3:$AA$63,MATCH(P$40,坦克标准养成属性!$O$3:$AA$3,0),FALSE)</f>
        <v>690</v>
      </c>
      <c r="Q44" s="502">
        <f t="shared" ca="1" si="21"/>
        <v>6849.9995271823045</v>
      </c>
    </row>
    <row r="45" spans="2:40" x14ac:dyDescent="0.35">
      <c r="B45" s="118" t="s">
        <v>619</v>
      </c>
      <c r="C45" s="480" t="str">
        <f>VLOOKUP(B45,坦克个性化设定!$B$18:$F$48,5,FALSE)</f>
        <v>轻坦弹夹</v>
      </c>
      <c r="D45" s="479" t="str">
        <f>VLOOKUP(B45,坦克个性化细分!$I$3:$J$33,2,FALSE)</f>
        <v>中</v>
      </c>
      <c r="E45" s="118" t="str">
        <f>VLOOKUP(B45,坦克个性化设定!$B$18:$F$48,MATCH(E$40,坦克个性化设定!$B$18:$F$18,0),FALSE)</f>
        <v>T3</v>
      </c>
      <c r="F45" s="118">
        <f>VLOOKUP(E45&amp;D45,坦克标准养成属性!$E$3:$M$15,MATCH(F$40,坦克标准养成属性!$E$3:$M$3,0),FALSE)</f>
        <v>14</v>
      </c>
      <c r="G45" s="118">
        <f t="shared" si="18"/>
        <v>0.3</v>
      </c>
      <c r="H45" s="118">
        <f>VLOOKUP($B45,坦克个性化设定!$B$51:$T$81,MATCH(H$40,坦克个性化设定!$B$51:$T$51,0),FALSE)</f>
        <v>9</v>
      </c>
      <c r="I45" s="118">
        <f t="shared" si="19"/>
        <v>0</v>
      </c>
      <c r="J45" s="118">
        <f t="shared" si="19"/>
        <v>4.0999999999999996</v>
      </c>
      <c r="K45" s="28">
        <f t="shared" si="20"/>
        <v>88.753846153846155</v>
      </c>
      <c r="L45" s="502">
        <f ca="1">VLOOKUP($B45&amp;"最终",坦克标准养成属性!$O$3:$AA$63,MATCH(L$40,坦克标准养成属性!$O$3:$AA$3,0),FALSE)</f>
        <v>2477.8596085876902</v>
      </c>
      <c r="M45" s="502">
        <f ca="1">VLOOKUP($B45&amp;"最终",坦克标准养成属性!$O$3:$AA$63,MATCH(M$40,坦克标准养成属性!$O$3:$AA$3,0),FALSE)</f>
        <v>92.344460033938589</v>
      </c>
      <c r="N45" s="118">
        <f ca="1">VLOOKUP($B45&amp;"最终",坦克标准养成属性!$O$3:$AA$63,MATCH(N$40,坦克标准养成属性!$O$3:$AA$3,0),FALSE)</f>
        <v>992</v>
      </c>
      <c r="O45" s="118">
        <f ca="1">VLOOKUP($B45&amp;"最终",坦克标准养成属性!$O$3:$AA$63,MATCH(O$40,坦克标准养成属性!$O$3:$AA$3,0),FALSE)</f>
        <v>695</v>
      </c>
      <c r="P45" s="118">
        <f ca="1">VLOOKUP($B45&amp;"最终",坦克标准养成属性!$O$3:$AA$63,MATCH(P$40,坦克标准养成属性!$O$3:$AA$3,0),FALSE)</f>
        <v>906</v>
      </c>
      <c r="Q45" s="502">
        <f t="shared" ca="1" si="21"/>
        <v>9304.5836550574895</v>
      </c>
    </row>
    <row r="46" spans="2:40" x14ac:dyDescent="0.35">
      <c r="B46" s="118" t="s">
        <v>716</v>
      </c>
      <c r="C46" s="480" t="str">
        <f>VLOOKUP(B46,坦克个性化设定!$B$18:$F$48,5,FALSE)</f>
        <v>轻坦单发</v>
      </c>
      <c r="D46" s="479" t="str">
        <f>VLOOKUP(B46,坦克个性化细分!$I$3:$J$33,2,FALSE)</f>
        <v>高</v>
      </c>
      <c r="E46" s="118" t="str">
        <f>VLOOKUP(B46,坦克个性化设定!$B$18:$F$48,MATCH(E$40,坦克个性化设定!$B$18:$F$18,0),FALSE)</f>
        <v>T3</v>
      </c>
      <c r="F46" s="118">
        <f>VLOOKUP(E46&amp;D46,坦克标准养成属性!$E$3:$M$15,MATCH(F$40,坦克标准养成属性!$E$3:$M$3,0),FALSE)</f>
        <v>14</v>
      </c>
      <c r="G46" s="118">
        <f t="shared" si="18"/>
        <v>0</v>
      </c>
      <c r="H46" s="118">
        <f>VLOOKUP($B46,坦克个性化设定!$B$51:$T$81,MATCH(H$40,坦克个性化设定!$B$51:$T$51,0),FALSE)</f>
        <v>1</v>
      </c>
      <c r="I46" s="118">
        <f t="shared" si="19"/>
        <v>2.2799999999999998</v>
      </c>
      <c r="J46" s="118">
        <f t="shared" si="19"/>
        <v>0</v>
      </c>
      <c r="K46" s="28">
        <f t="shared" si="20"/>
        <v>27.315789473684212</v>
      </c>
      <c r="L46" s="502">
        <f ca="1">VLOOKUP($B46&amp;"最终",坦克标准养成属性!$O$3:$AA$63,MATCH(L$40,坦克标准养成属性!$O$3:$AA$3,0),FALSE)</f>
        <v>2443.1479547270965</v>
      </c>
      <c r="M46" s="502">
        <f ca="1">VLOOKUP($B46&amp;"最终",坦克标准养成属性!$O$3:$AA$63,MATCH(M$40,坦克标准养成属性!$O$3:$AA$3,0),FALSE)</f>
        <v>331.07450510108436</v>
      </c>
      <c r="N46" s="118">
        <f ca="1">VLOOKUP($B46&amp;"最终",坦克标准养成属性!$O$3:$AA$63,MATCH(N$40,坦克标准养成属性!$O$3:$AA$3,0),FALSE)</f>
        <v>1150</v>
      </c>
      <c r="O46" s="118">
        <f ca="1">VLOOKUP($B46&amp;"最终",坦克标准养成属性!$O$3:$AA$63,MATCH(O$40,坦克标准养成属性!$O$3:$AA$3,0),FALSE)</f>
        <v>805</v>
      </c>
      <c r="P46" s="118">
        <f ca="1">VLOOKUP($B46&amp;"最终",坦克标准养成属性!$O$3:$AA$63,MATCH(P$40,坦克标准养成属性!$O$3:$AA$3,0),FALSE)</f>
        <v>966</v>
      </c>
      <c r="Q46" s="502">
        <f t="shared" ca="1" si="21"/>
        <v>10270.047680922473</v>
      </c>
    </row>
    <row r="47" spans="2:40" x14ac:dyDescent="0.35">
      <c r="B47" s="118" t="s">
        <v>620</v>
      </c>
      <c r="C47" s="480" t="str">
        <f>VLOOKUP(B47,坦克个性化设定!$B$18:$F$48,5,FALSE)</f>
        <v>轻坦半自动</v>
      </c>
      <c r="D47" s="479" t="str">
        <f>VLOOKUP(B47,坦克个性化细分!$I$3:$J$33,2,FALSE)</f>
        <v>低</v>
      </c>
      <c r="E47" s="118" t="str">
        <f>VLOOKUP(B47,坦克个性化设定!$B$18:$F$48,MATCH(E$40,坦克个性化设定!$B$18:$F$18,0),FALSE)</f>
        <v>T4</v>
      </c>
      <c r="F47" s="118">
        <f>VLOOKUP(E47&amp;D47,坦克标准养成属性!$E$3:$M$15,MATCH(F$40,坦克标准养成属性!$E$3:$M$3,0),FALSE)</f>
        <v>10</v>
      </c>
      <c r="G47" s="118">
        <f t="shared" si="18"/>
        <v>0.3</v>
      </c>
      <c r="H47" s="118">
        <f>VLOOKUP($B47,坦克个性化设定!$B$51:$T$81,MATCH(H$40,坦克个性化设定!$B$51:$T$51,0),FALSE)</f>
        <v>6</v>
      </c>
      <c r="I47" s="118">
        <f t="shared" si="19"/>
        <v>1.04</v>
      </c>
      <c r="J47" s="118">
        <f t="shared" si="19"/>
        <v>0</v>
      </c>
      <c r="K47" s="28">
        <f t="shared" si="20"/>
        <v>62.25</v>
      </c>
      <c r="L47" s="502">
        <f ca="1">VLOOKUP($B47&amp;"最终",坦克标准养成属性!$O$3:$AA$63,MATCH(L$40,坦克标准养成属性!$O$3:$AA$3,0),FALSE)</f>
        <v>2216.1522863377127</v>
      </c>
      <c r="M47" s="502">
        <f ca="1">VLOOKUP($B47&amp;"最终",坦克标准养成属性!$O$3:$AA$63,MATCH(M$40,坦克标准养成属性!$O$3:$AA$3,0),FALSE)</f>
        <v>147.13578416803367</v>
      </c>
      <c r="N47" s="118">
        <f ca="1">VLOOKUP($B47&amp;"最终",坦克标准养成属性!$O$3:$AA$63,MATCH(N$40,坦克标准养成属性!$O$3:$AA$3,0),FALSE)</f>
        <v>870</v>
      </c>
      <c r="O47" s="118">
        <f ca="1">VLOOKUP($B47&amp;"最终",坦克标准养成属性!$O$3:$AA$63,MATCH(O$40,坦克标准养成属性!$O$3:$AA$3,0),FALSE)</f>
        <v>609</v>
      </c>
      <c r="P47" s="118">
        <f ca="1">VLOOKUP($B47&amp;"最终",坦克标准养成属性!$O$3:$AA$63,MATCH(P$40,坦克标准养成属性!$O$3:$AA$3,0),FALSE)</f>
        <v>870</v>
      </c>
      <c r="Q47" s="502">
        <f t="shared" ca="1" si="21"/>
        <v>8630.5036847294868</v>
      </c>
    </row>
    <row r="48" spans="2:40" x14ac:dyDescent="0.35">
      <c r="B48" s="118" t="s">
        <v>717</v>
      </c>
      <c r="C48" s="480" t="str">
        <f>VLOOKUP(B48,坦克个性化设定!$B$18:$F$48,5,FALSE)</f>
        <v>轻坦单发</v>
      </c>
      <c r="D48" s="479" t="str">
        <f>VLOOKUP(B48,坦克个性化细分!$I$3:$J$33,2,FALSE)</f>
        <v>中</v>
      </c>
      <c r="E48" s="118" t="str">
        <f>VLOOKUP(B48,坦克个性化设定!$B$18:$F$48,MATCH(E$40,坦克个性化设定!$B$18:$F$18,0),FALSE)</f>
        <v>T4</v>
      </c>
      <c r="F48" s="118">
        <f>VLOOKUP(E48&amp;D48,坦克标准养成属性!$E$3:$M$15,MATCH(F$40,坦克标准养成属性!$E$3:$M$3,0),FALSE)</f>
        <v>17</v>
      </c>
      <c r="G48" s="118">
        <f t="shared" si="18"/>
        <v>0</v>
      </c>
      <c r="H48" s="118">
        <f>VLOOKUP($B48,坦克个性化设定!$B$51:$T$81,MATCH(H$40,坦克个性化设定!$B$51:$T$51,0),FALSE)</f>
        <v>1</v>
      </c>
      <c r="I48" s="118">
        <f t="shared" si="19"/>
        <v>2.2799999999999998</v>
      </c>
      <c r="J48" s="118">
        <f t="shared" si="19"/>
        <v>0</v>
      </c>
      <c r="K48" s="28">
        <f t="shared" si="20"/>
        <v>27.315789473684212</v>
      </c>
      <c r="L48" s="502">
        <f ca="1">VLOOKUP($B48&amp;"最终",坦克标准养成属性!$O$3:$AA$63,MATCH(L$40,坦克标准养成属性!$O$3:$AA$3,0),FALSE)</f>
        <v>3069.692914072984</v>
      </c>
      <c r="M48" s="502">
        <f ca="1">VLOOKUP($B48&amp;"最终",坦克标准养成属性!$O$3:$AA$63,MATCH(M$40,坦克标准养成属性!$O$3:$AA$3,0),FALSE)</f>
        <v>357.69050218874577</v>
      </c>
      <c r="N48" s="118">
        <f ca="1">VLOOKUP($B48&amp;"最终",坦克标准养成属性!$O$3:$AA$63,MATCH(N$40,坦克标准养成属性!$O$3:$AA$3,0),FALSE)</f>
        <v>1339</v>
      </c>
      <c r="O48" s="118">
        <f ca="1">VLOOKUP($B48&amp;"最终",坦克标准养成属性!$O$3:$AA$63,MATCH(O$40,坦克标准养成属性!$O$3:$AA$3,0),FALSE)</f>
        <v>938</v>
      </c>
      <c r="P48" s="118">
        <f ca="1">VLOOKUP($B48&amp;"最终",坦克标准养成属性!$O$3:$AA$63,MATCH(P$40,坦克标准养成属性!$O$3:$AA$3,0),FALSE)</f>
        <v>1125</v>
      </c>
      <c r="Q48" s="502">
        <f t="shared" ca="1" si="21"/>
        <v>11961.505692054518</v>
      </c>
    </row>
    <row r="49" spans="2:17" x14ac:dyDescent="0.35">
      <c r="B49" s="118" t="s">
        <v>621</v>
      </c>
      <c r="C49" s="480" t="str">
        <f>VLOOKUP(B49,坦克个性化设定!$B$18:$F$48,5,FALSE)</f>
        <v>轻坦半自动</v>
      </c>
      <c r="D49" s="479" t="str">
        <f>VLOOKUP(B49,坦克个性化细分!$I$3:$J$33,2,FALSE)</f>
        <v>高</v>
      </c>
      <c r="E49" s="118" t="str">
        <f>VLOOKUP(B49,坦克个性化设定!$B$18:$F$48,MATCH(E$40,坦克个性化设定!$B$18:$F$18,0),FALSE)</f>
        <v>T4</v>
      </c>
      <c r="F49" s="118">
        <f>VLOOKUP(E49&amp;D49,坦克标准养成属性!$E$3:$M$15,MATCH(F$40,坦克标准养成属性!$E$3:$M$3,0),FALSE)</f>
        <v>17</v>
      </c>
      <c r="G49" s="118">
        <f t="shared" si="18"/>
        <v>0.4</v>
      </c>
      <c r="H49" s="118">
        <f>VLOOKUP($B49,坦克个性化设定!$B$51:$T$81,MATCH(H$40,坦克个性化设定!$B$51:$T$51,0),FALSE)</f>
        <v>4</v>
      </c>
      <c r="I49" s="118">
        <f t="shared" si="19"/>
        <v>1.05</v>
      </c>
      <c r="J49" s="118">
        <f t="shared" si="19"/>
        <v>0</v>
      </c>
      <c r="K49" s="28">
        <f t="shared" si="20"/>
        <v>59.999999999999993</v>
      </c>
      <c r="L49" s="502">
        <f ca="1">VLOOKUP($B49&amp;"最终",坦克标准养成属性!$O$3:$AA$63,MATCH(L$40,坦克标准养成属性!$O$3:$AA$3,0),FALSE)</f>
        <v>3574.808310532223</v>
      </c>
      <c r="M49" s="502">
        <f ca="1">VLOOKUP($B49&amp;"最终",坦克标准养成属性!$O$3:$AA$63,MATCH(M$40,坦克标准养成属性!$O$3:$AA$3,0),FALSE)</f>
        <v>185.81021299855095</v>
      </c>
      <c r="N49" s="118">
        <f ca="1">VLOOKUP($B49&amp;"最终",坦克标准养成属性!$O$3:$AA$63,MATCH(N$40,坦克标准养成属性!$O$3:$AA$3,0),FALSE)</f>
        <v>1200</v>
      </c>
      <c r="O49" s="118">
        <f ca="1">VLOOKUP($B49&amp;"最终",坦克标准养成属性!$O$3:$AA$63,MATCH(O$40,坦克标准养成属性!$O$3:$AA$3,0),FALSE)</f>
        <v>840</v>
      </c>
      <c r="P49" s="118">
        <f ca="1">VLOOKUP($B49&amp;"最终",坦克标准养成属性!$O$3:$AA$63,MATCH(P$40,坦克标准养成属性!$O$3:$AA$3,0),FALSE)</f>
        <v>1200</v>
      </c>
      <c r="Q49" s="502">
        <f t="shared" ca="1" si="21"/>
        <v>11930.091232185505</v>
      </c>
    </row>
    <row r="50" spans="2:17" x14ac:dyDescent="0.35">
      <c r="B50" s="118" t="s">
        <v>622</v>
      </c>
      <c r="C50" s="480" t="str">
        <f>VLOOKUP(B50,坦克个性化设定!$B$18:$F$48,5,FALSE)</f>
        <v>轻坦单发</v>
      </c>
      <c r="D50" s="479" t="str">
        <f>VLOOKUP(B50,坦克个性化细分!$I$3:$J$33,2,FALSE)</f>
        <v>低</v>
      </c>
      <c r="E50" s="118" t="str">
        <f>VLOOKUP(B50,坦克个性化设定!$B$18:$F$48,MATCH(E$40,坦克个性化设定!$B$18:$F$18,0),FALSE)</f>
        <v>T5</v>
      </c>
      <c r="F50" s="118">
        <f>VLOOKUP(E50&amp;D50,坦克标准养成属性!$E$3:$M$15,MATCH(F$40,坦克标准养成属性!$E$3:$M$3,0),FALSE)</f>
        <v>12</v>
      </c>
      <c r="G50" s="118">
        <f t="shared" si="18"/>
        <v>0</v>
      </c>
      <c r="H50" s="118">
        <f>VLOOKUP($B50,坦克个性化设定!$B$51:$T$81,MATCH(H$40,坦克个性化设定!$B$51:$T$51,0),FALSE)</f>
        <v>1</v>
      </c>
      <c r="I50" s="118">
        <f t="shared" si="19"/>
        <v>2.2799999999999998</v>
      </c>
      <c r="J50" s="118">
        <f t="shared" si="19"/>
        <v>0</v>
      </c>
      <c r="K50" s="28">
        <f t="shared" si="20"/>
        <v>27.315789473684212</v>
      </c>
      <c r="L50" s="502">
        <f ca="1">VLOOKUP($B50&amp;"最终",坦克标准养成属性!$O$3:$AA$63,MATCH(L$40,坦克标准养成属性!$O$3:$AA$3,0),FALSE)</f>
        <v>3036.770441829532</v>
      </c>
      <c r="M50" s="502">
        <f ca="1">VLOOKUP($B50&amp;"最终",坦克标准养成属性!$O$3:$AA$63,MATCH(M$40,坦克标准养成属性!$O$3:$AA$3,0),FALSE)</f>
        <v>332.87995235852776</v>
      </c>
      <c r="N50" s="118">
        <f ca="1">VLOOKUP($B50&amp;"最终",坦克标准养成属性!$O$3:$AA$63,MATCH(N$40,坦克标准养成属性!$O$3:$AA$3,0),FALSE)</f>
        <v>1286</v>
      </c>
      <c r="O50" s="118">
        <f ca="1">VLOOKUP($B50&amp;"最终",坦克标准养成属性!$O$3:$AA$63,MATCH(O$40,坦克标准养成属性!$O$3:$AA$3,0),FALSE)</f>
        <v>900</v>
      </c>
      <c r="P50" s="118">
        <f ca="1">VLOOKUP($B50&amp;"最终",坦克标准养成属性!$O$3:$AA$63,MATCH(P$40,坦克标准养成属性!$O$3:$AA$3,0),FALSE)</f>
        <v>1080</v>
      </c>
      <c r="Q50" s="502">
        <f t="shared" ca="1" si="21"/>
        <v>11482.616976612037</v>
      </c>
    </row>
    <row r="51" spans="2:17" x14ac:dyDescent="0.35">
      <c r="B51" s="118" t="s">
        <v>623</v>
      </c>
      <c r="C51" s="480" t="str">
        <f>VLOOKUP(B51,坦克个性化设定!$B$18:$F$48,5,FALSE)</f>
        <v>中坦弹夹</v>
      </c>
      <c r="D51" s="479" t="str">
        <f>VLOOKUP(B51,坦克个性化细分!$I$3:$J$33,2,FALSE)</f>
        <v>低</v>
      </c>
      <c r="E51" s="118" t="str">
        <f>VLOOKUP(B51,坦克个性化设定!$B$18:$F$48,MATCH(E$40,坦克个性化设定!$B$18:$F$18,0),FALSE)</f>
        <v>T1</v>
      </c>
      <c r="F51" s="118">
        <f>VLOOKUP(E51&amp;D51,坦克标准养成属性!$E$3:$M$15,MATCH(F$40,坦克标准养成属性!$E$3:$M$3,0),FALSE)</f>
        <v>4</v>
      </c>
      <c r="G51" s="118">
        <f t="shared" si="18"/>
        <v>0.4</v>
      </c>
      <c r="H51" s="118">
        <f>VLOOKUP($B51,坦克个性化设定!$B$51:$T$81,MATCH(H$40,坦克个性化设定!$B$51:$T$51,0),FALSE)</f>
        <v>6</v>
      </c>
      <c r="I51" s="118">
        <f t="shared" si="19"/>
        <v>0</v>
      </c>
      <c r="J51" s="118">
        <f t="shared" si="19"/>
        <v>3.1</v>
      </c>
      <c r="K51" s="28">
        <f t="shared" si="20"/>
        <v>74.235294117647058</v>
      </c>
      <c r="L51" s="502">
        <f ca="1">VLOOKUP($B51&amp;"最终",坦克标准养成属性!$O$3:$AA$63,MATCH(L$40,坦克标准养成属性!$O$3:$AA$3,0),FALSE)</f>
        <v>1013.8377961602521</v>
      </c>
      <c r="M51" s="502">
        <f ca="1">VLOOKUP($B51&amp;"最终",坦克标准养成属性!$O$3:$AA$63,MATCH(M$40,坦克标准养成属性!$O$3:$AA$3,0),FALSE)</f>
        <v>67.277457377405369</v>
      </c>
      <c r="N51" s="118">
        <f ca="1">VLOOKUP($B51&amp;"最终",坦克标准养成属性!$O$3:$AA$63,MATCH(N$40,坦克标准养成属性!$O$3:$AA$3,0),FALSE)</f>
        <v>400</v>
      </c>
      <c r="O51" s="118">
        <f ca="1">VLOOKUP($B51&amp;"最终",坦克标准养成属性!$O$3:$AA$63,MATCH(O$40,坦克标准养成属性!$O$3:$AA$3,0),FALSE)</f>
        <v>300</v>
      </c>
      <c r="P51" s="118">
        <f ca="1">VLOOKUP($B51&amp;"最终",坦克标准养成属性!$O$3:$AA$63,MATCH(P$40,坦克标准养成属性!$O$3:$AA$3,0),FALSE)</f>
        <v>504</v>
      </c>
      <c r="Q51" s="502">
        <f t="shared" ca="1" si="21"/>
        <v>4491.2956258152763</v>
      </c>
    </row>
    <row r="52" spans="2:17" x14ac:dyDescent="0.35">
      <c r="B52" s="118" t="s">
        <v>624</v>
      </c>
      <c r="C52" s="480" t="str">
        <f>VLOOKUP(B52,坦克个性化设定!$B$18:$F$48,5,FALSE)</f>
        <v>中坦弹夹</v>
      </c>
      <c r="D52" s="479" t="str">
        <f>VLOOKUP(B52,坦克个性化细分!$I$3:$J$33,2,FALSE)</f>
        <v>低</v>
      </c>
      <c r="E52" s="118" t="str">
        <f>VLOOKUP(B52,坦克个性化设定!$B$18:$F$48,MATCH(E$40,坦克个性化设定!$B$18:$F$18,0),FALSE)</f>
        <v>T2</v>
      </c>
      <c r="F52" s="118">
        <f>VLOOKUP(E52&amp;D52,坦克标准养成属性!$E$3:$M$15,MATCH(F$40,坦克标准养成属性!$E$3:$M$3,0),FALSE)</f>
        <v>6</v>
      </c>
      <c r="G52" s="118">
        <f t="shared" si="18"/>
        <v>1</v>
      </c>
      <c r="H52" s="118">
        <f>VLOOKUP($B52,坦克个性化设定!$B$51:$T$81,MATCH(H$40,坦克个性化设定!$B$51:$T$51,0),FALSE)</f>
        <v>6</v>
      </c>
      <c r="I52" s="118">
        <f t="shared" si="19"/>
        <v>0</v>
      </c>
      <c r="J52" s="118">
        <f t="shared" si="19"/>
        <v>1.8</v>
      </c>
      <c r="K52" s="28">
        <f t="shared" si="20"/>
        <v>54.529411764705884</v>
      </c>
      <c r="L52" s="502">
        <f ca="1">VLOOKUP($B52&amp;"最终",坦克标准养成属性!$O$3:$AA$63,MATCH(L$40,坦克标准养成属性!$O$3:$AA$3,0),FALSE)</f>
        <v>1469.7746192252339</v>
      </c>
      <c r="M52" s="502">
        <f ca="1">VLOOKUP($B52&amp;"最终",坦克标准养成属性!$O$3:$AA$63,MATCH(M$40,坦克标准养成属性!$O$3:$AA$3,0),FALSE)</f>
        <v>107.28821043289405</v>
      </c>
      <c r="N52" s="118">
        <f ca="1">VLOOKUP($B52&amp;"最终",坦克标准养成属性!$O$3:$AA$63,MATCH(N$40,坦克标准养成属性!$O$3:$AA$3,0),FALSE)</f>
        <v>514</v>
      </c>
      <c r="O52" s="118">
        <f ca="1">VLOOKUP($B52&amp;"最终",坦克标准养成属性!$O$3:$AA$63,MATCH(O$40,坦克标准养成属性!$O$3:$AA$3,0),FALSE)</f>
        <v>386</v>
      </c>
      <c r="P52" s="118">
        <f ca="1">VLOOKUP($B52&amp;"最终",坦克标准养成属性!$O$3:$AA$63,MATCH(P$40,坦克标准养成属性!$O$3:$AA$3,0),FALSE)</f>
        <v>648</v>
      </c>
      <c r="Q52" s="502">
        <f t="shared" ca="1" si="21"/>
        <v>5784.4064110683894</v>
      </c>
    </row>
    <row r="53" spans="2:17" x14ac:dyDescent="0.35">
      <c r="B53" s="118" t="s">
        <v>626</v>
      </c>
      <c r="C53" s="480" t="str">
        <f>VLOOKUP(B53,坦克个性化设定!$B$18:$F$48,5,FALSE)</f>
        <v>中坦单发</v>
      </c>
      <c r="D53" s="479" t="str">
        <f>VLOOKUP(B53,坦克个性化细分!$I$3:$J$33,2,FALSE)</f>
        <v>中</v>
      </c>
      <c r="E53" s="118" t="str">
        <f>VLOOKUP(B53,坦克个性化设定!$B$18:$F$48,MATCH(E$40,坦克个性化设定!$B$18:$F$18,0),FALSE)</f>
        <v>T2</v>
      </c>
      <c r="F53" s="118">
        <f>VLOOKUP(E53&amp;D53,坦克标准养成属性!$E$3:$M$15,MATCH(F$40,坦克标准养成属性!$E$3:$M$3,0),FALSE)</f>
        <v>11</v>
      </c>
      <c r="G53" s="118">
        <f t="shared" si="18"/>
        <v>0</v>
      </c>
      <c r="H53" s="118">
        <f>VLOOKUP($B53,坦克个性化设定!$B$51:$T$81,MATCH(H$40,坦克个性化设定!$B$51:$T$51,0),FALSE)</f>
        <v>1</v>
      </c>
      <c r="I53" s="118">
        <f t="shared" si="19"/>
        <v>3.4</v>
      </c>
      <c r="J53" s="118">
        <f t="shared" si="19"/>
        <v>0</v>
      </c>
      <c r="K53" s="28">
        <f t="shared" si="20"/>
        <v>18.647058823529413</v>
      </c>
      <c r="L53" s="502">
        <f ca="1">VLOOKUP($B53&amp;"最终",坦克标准养成属性!$O$3:$AA$63,MATCH(L$40,坦克标准养成属性!$O$3:$AA$3,0),FALSE)</f>
        <v>2012.4132142914746</v>
      </c>
      <c r="M53" s="502">
        <f ca="1">VLOOKUP($B53&amp;"最终",坦克标准养成属性!$O$3:$AA$63,MATCH(M$40,坦克标准养成属性!$O$3:$AA$3,0),FALSE)</f>
        <v>386.45583881075663</v>
      </c>
      <c r="N53" s="118">
        <f ca="1">VLOOKUP($B53&amp;"最终",坦克标准养成属性!$O$3:$AA$63,MATCH(N$40,坦克标准养成属性!$O$3:$AA$3,0),FALSE)</f>
        <v>785</v>
      </c>
      <c r="O53" s="118">
        <f ca="1">VLOOKUP($B53&amp;"最终",坦克标准养成属性!$O$3:$AA$63,MATCH(O$40,坦克标准养成属性!$O$3:$AA$3,0),FALSE)</f>
        <v>589</v>
      </c>
      <c r="P53" s="118">
        <f ca="1">VLOOKUP($B53&amp;"最终",坦克标准养成属性!$O$3:$AA$63,MATCH(P$40,坦克标准养成属性!$O$3:$AA$3,0),FALSE)</f>
        <v>860</v>
      </c>
      <c r="Q53" s="502">
        <f t="shared" ca="1" si="21"/>
        <v>8144.5068121616714</v>
      </c>
    </row>
    <row r="54" spans="2:17" x14ac:dyDescent="0.35">
      <c r="B54" s="118" t="s">
        <v>627</v>
      </c>
      <c r="C54" s="480" t="str">
        <f>VLOOKUP(B54,坦克个性化设定!$B$18:$F$48,5,FALSE)</f>
        <v>中坦弹夹</v>
      </c>
      <c r="D54" s="479" t="str">
        <f>VLOOKUP(B54,坦克个性化细分!$I$3:$J$33,2,FALSE)</f>
        <v>低</v>
      </c>
      <c r="E54" s="118" t="str">
        <f>VLOOKUP(B54,坦克个性化设定!$B$18:$F$48,MATCH(E$40,坦克个性化设定!$B$18:$F$18,0),FALSE)</f>
        <v>T3</v>
      </c>
      <c r="F54" s="118">
        <f>VLOOKUP(E54&amp;D54,坦克标准养成属性!$E$3:$M$15,MATCH(F$40,坦克标准养成属性!$E$3:$M$3,0),FALSE)</f>
        <v>8</v>
      </c>
      <c r="G54" s="118">
        <f t="shared" si="18"/>
        <v>0.6</v>
      </c>
      <c r="H54" s="118">
        <f>VLOOKUP($B54,坦克个性化设定!$B$51:$T$81,MATCH(H$40,坦克个性化设定!$B$51:$T$51,0),FALSE)</f>
        <v>6</v>
      </c>
      <c r="I54" s="118">
        <f t="shared" si="19"/>
        <v>0</v>
      </c>
      <c r="J54" s="118">
        <f t="shared" si="19"/>
        <v>2</v>
      </c>
      <c r="K54" s="28">
        <f t="shared" si="20"/>
        <v>74.400000000000006</v>
      </c>
      <c r="L54" s="502">
        <f ca="1">VLOOKUP($B54&amp;"最终",坦克标准养成属性!$O$3:$AA$63,MATCH(L$40,坦克标准养成属性!$O$3:$AA$3,0),FALSE)</f>
        <v>1923.7207198465774</v>
      </c>
      <c r="M54" s="502">
        <f ca="1">VLOOKUP($B54&amp;"最终",坦克标准养成属性!$O$3:$AA$63,MATCH(M$40,坦克标准养成属性!$O$3:$AA$3,0),FALSE)</f>
        <v>97.676925273740295</v>
      </c>
      <c r="N54" s="118">
        <f ca="1">VLOOKUP($B54&amp;"最终",坦克标准养成属性!$O$3:$AA$63,MATCH(N$40,坦克标准养成属性!$O$3:$AA$3,0),FALSE)</f>
        <v>657</v>
      </c>
      <c r="O54" s="118">
        <f ca="1">VLOOKUP($B54&amp;"最终",坦克标准养成属性!$O$3:$AA$63,MATCH(O$40,坦克标准养成属性!$O$3:$AA$3,0),FALSE)</f>
        <v>493</v>
      </c>
      <c r="P54" s="118">
        <f ca="1">VLOOKUP($B54&amp;"最终",坦克标准养成属性!$O$3:$AA$63,MATCH(P$40,坦克标准养成属性!$O$3:$AA$3,0),FALSE)</f>
        <v>828</v>
      </c>
      <c r="Q54" s="502">
        <f t="shared" ca="1" si="21"/>
        <v>7389.1810270151045</v>
      </c>
    </row>
    <row r="55" spans="2:17" x14ac:dyDescent="0.35">
      <c r="B55" s="118" t="s">
        <v>718</v>
      </c>
      <c r="C55" s="480" t="str">
        <f>VLOOKUP(B55,坦克个性化设定!$B$18:$F$48,5,FALSE)</f>
        <v>中坦单发</v>
      </c>
      <c r="D55" s="479" t="str">
        <f>VLOOKUP(B55,坦克个性化细分!$I$3:$J$33,2,FALSE)</f>
        <v>中</v>
      </c>
      <c r="E55" s="118" t="str">
        <f>VLOOKUP(B55,坦克个性化设定!$B$18:$F$48,MATCH(E$40,坦克个性化设定!$B$18:$F$18,0),FALSE)</f>
        <v>T3</v>
      </c>
      <c r="F55" s="118">
        <f>VLOOKUP(E55&amp;D55,坦克标准养成属性!$E$3:$M$15,MATCH(F$40,坦克标准养成属性!$E$3:$M$3,0),FALSE)</f>
        <v>14</v>
      </c>
      <c r="G55" s="118">
        <f t="shared" si="18"/>
        <v>0</v>
      </c>
      <c r="H55" s="118">
        <f>VLOOKUP($B55,坦克个性化设定!$B$51:$T$81,MATCH(H$40,坦克个性化设定!$B$51:$T$51,0),FALSE)</f>
        <v>1</v>
      </c>
      <c r="I55" s="118">
        <f t="shared" si="19"/>
        <v>3.4</v>
      </c>
      <c r="J55" s="118">
        <f t="shared" si="19"/>
        <v>0</v>
      </c>
      <c r="K55" s="28">
        <f t="shared" si="20"/>
        <v>18.647058823529413</v>
      </c>
      <c r="L55" s="502">
        <f ca="1">VLOOKUP($B55&amp;"最终",坦克标准养成属性!$O$3:$AA$63,MATCH(L$40,坦克标准养成属性!$O$3:$AA$3,0),FALSE)</f>
        <v>2596.1655510928649</v>
      </c>
      <c r="M55" s="502">
        <f ca="1">VLOOKUP($B55&amp;"最终",坦克标准养成属性!$O$3:$AA$63,MATCH(M$40,坦克标准养成属性!$O$3:$AA$3,0),FALSE)</f>
        <v>478.03700163518187</v>
      </c>
      <c r="N55" s="118">
        <f ca="1">VLOOKUP($B55&amp;"最终",坦克标准养成属性!$O$3:$AA$63,MATCH(N$40,坦克标准养成属性!$O$3:$AA$3,0),FALSE)</f>
        <v>992</v>
      </c>
      <c r="O55" s="118">
        <f ca="1">VLOOKUP($B55&amp;"最终",坦克标准养成属性!$O$3:$AA$63,MATCH(O$40,坦克标准养成属性!$O$3:$AA$3,0),FALSE)</f>
        <v>744</v>
      </c>
      <c r="P55" s="118">
        <f ca="1">VLOOKUP($B55&amp;"最终",坦克标准养成属性!$O$3:$AA$63,MATCH(P$40,坦克标准养成属性!$O$3:$AA$3,0),FALSE)</f>
        <v>1087</v>
      </c>
      <c r="Q55" s="502">
        <f t="shared" ca="1" si="21"/>
        <v>10291.874912173902</v>
      </c>
    </row>
    <row r="56" spans="2:17" x14ac:dyDescent="0.35">
      <c r="B56" s="118" t="s">
        <v>625</v>
      </c>
      <c r="C56" s="480" t="str">
        <f>VLOOKUP(B56,坦克个性化设定!$B$18:$F$48,5,FALSE)</f>
        <v>中坦单发</v>
      </c>
      <c r="D56" s="479" t="str">
        <f>VLOOKUP(B56,坦克个性化细分!$I$3:$J$33,2,FALSE)</f>
        <v>高</v>
      </c>
      <c r="E56" s="118" t="str">
        <f>VLOOKUP(B56,坦克个性化设定!$B$18:$F$48,MATCH(E$40,坦克个性化设定!$B$18:$F$18,0),FALSE)</f>
        <v>T3</v>
      </c>
      <c r="F56" s="118">
        <f>VLOOKUP(E56&amp;D56,坦克标准养成属性!$E$3:$M$15,MATCH(F$40,坦克标准养成属性!$E$3:$M$3,0),FALSE)</f>
        <v>14</v>
      </c>
      <c r="G56" s="118">
        <f t="shared" si="18"/>
        <v>0</v>
      </c>
      <c r="H56" s="118">
        <f>VLOOKUP($B56,坦克个性化设定!$B$51:$T$81,MATCH(H$40,坦克个性化设定!$B$51:$T$51,0),FALSE)</f>
        <v>1</v>
      </c>
      <c r="I56" s="118">
        <f t="shared" si="19"/>
        <v>3.4</v>
      </c>
      <c r="J56" s="118">
        <f t="shared" si="19"/>
        <v>0</v>
      </c>
      <c r="K56" s="28">
        <f t="shared" si="20"/>
        <v>18.647058823529413</v>
      </c>
      <c r="L56" s="502">
        <f ca="1">VLOOKUP($B56&amp;"最终",坦克标准养成属性!$O$3:$AA$63,MATCH(L$40,坦克标准养成属性!$O$3:$AA$3,0),FALSE)</f>
        <v>2850.5343628600854</v>
      </c>
      <c r="M56" s="502">
        <f ca="1">VLOOKUP($B56&amp;"最终",坦克标准养成属性!$O$3:$AA$63,MATCH(M$40,坦克标准养成属性!$O$3:$AA$3,0),FALSE)</f>
        <v>495.35117522859798</v>
      </c>
      <c r="N56" s="118">
        <f ca="1">VLOOKUP($B56&amp;"最终",坦克标准养成属性!$O$3:$AA$63,MATCH(N$40,坦克标准养成属性!$O$3:$AA$3,0),FALSE)</f>
        <v>1058</v>
      </c>
      <c r="O56" s="118">
        <f ca="1">VLOOKUP($B56&amp;"最终",坦克标准养成属性!$O$3:$AA$63,MATCH(O$40,坦克标准养成属性!$O$3:$AA$3,0),FALSE)</f>
        <v>794</v>
      </c>
      <c r="P56" s="118">
        <f ca="1">VLOOKUP($B56&amp;"最终",坦克标准养成属性!$O$3:$AA$63,MATCH(P$40,坦克标准养成属性!$O$3:$AA$3,0),FALSE)</f>
        <v>1159</v>
      </c>
      <c r="Q56" s="502">
        <f t="shared" ca="1" si="21"/>
        <v>10976.71938601273</v>
      </c>
    </row>
    <row r="57" spans="2:17" x14ac:dyDescent="0.35">
      <c r="B57" s="118" t="s">
        <v>719</v>
      </c>
      <c r="C57" s="480" t="str">
        <f>VLOOKUP(B57,坦克个性化设定!$B$18:$F$48,5,FALSE)</f>
        <v>中坦弹夹</v>
      </c>
      <c r="D57" s="479" t="str">
        <f>VLOOKUP(B57,坦克个性化细分!$I$3:$J$33,2,FALSE)</f>
        <v>低</v>
      </c>
      <c r="E57" s="118" t="str">
        <f>VLOOKUP(B57,坦克个性化设定!$B$18:$F$48,MATCH(E$40,坦克个性化设定!$B$18:$F$18,0),FALSE)</f>
        <v>T4</v>
      </c>
      <c r="F57" s="118">
        <f>VLOOKUP(E57&amp;D57,坦克标准养成属性!$E$3:$M$15,MATCH(F$40,坦克标准养成属性!$E$3:$M$3,0),FALSE)</f>
        <v>10</v>
      </c>
      <c r="G57" s="118">
        <f t="shared" si="18"/>
        <v>0.75</v>
      </c>
      <c r="H57" s="118">
        <f>VLOOKUP($B57,坦克个性化设定!$B$51:$T$81,MATCH(H$40,坦克个性化设定!$B$51:$T$51,0),FALSE)</f>
        <v>4</v>
      </c>
      <c r="I57" s="118">
        <f t="shared" si="19"/>
        <v>0</v>
      </c>
      <c r="J57" s="118">
        <f t="shared" si="19"/>
        <v>2.8</v>
      </c>
      <c r="K57" s="28">
        <f t="shared" si="20"/>
        <v>49.742574257425744</v>
      </c>
      <c r="L57" s="502">
        <f ca="1">VLOOKUP($B57&amp;"最终",坦克标准养成属性!$O$3:$AA$63,MATCH(L$40,坦克标准养成属性!$O$3:$AA$3,0),FALSE)</f>
        <v>2739.0952479737771</v>
      </c>
      <c r="M57" s="502">
        <f ca="1">VLOOKUP($B57&amp;"最终",坦克标准养成属性!$O$3:$AA$63,MATCH(M$40,坦克标准养成属性!$O$3:$AA$3,0),FALSE)</f>
        <v>159.55695145077485</v>
      </c>
      <c r="N57" s="118">
        <f ca="1">VLOOKUP($B57&amp;"最终",坦克标准养成属性!$O$3:$AA$63,MATCH(N$40,坦克标准养成属性!$O$3:$AA$3,0),FALSE)</f>
        <v>829</v>
      </c>
      <c r="O57" s="118">
        <f ca="1">VLOOKUP($B57&amp;"最终",坦克标准养成属性!$O$3:$AA$63,MATCH(O$40,坦克标准养成属性!$O$3:$AA$3,0),FALSE)</f>
        <v>621</v>
      </c>
      <c r="P57" s="118">
        <f ca="1">VLOOKUP($B57&amp;"最终",坦克标准养成属性!$O$3:$AA$63,MATCH(P$40,坦克标准养成属性!$O$3:$AA$3,0),FALSE)</f>
        <v>1044</v>
      </c>
      <c r="Q57" s="502">
        <f t="shared" ca="1" si="21"/>
        <v>9303.7513561482119</v>
      </c>
    </row>
    <row r="58" spans="2:17" x14ac:dyDescent="0.35">
      <c r="B58" s="118" t="s">
        <v>720</v>
      </c>
      <c r="C58" s="480" t="str">
        <f>VLOOKUP(B58,坦克个性化设定!$B$18:$F$48,5,FALSE)</f>
        <v>中坦单发</v>
      </c>
      <c r="D58" s="479" t="str">
        <f>VLOOKUP(B58,坦克个性化细分!$I$3:$J$33,2,FALSE)</f>
        <v>中</v>
      </c>
      <c r="E58" s="118" t="str">
        <f>VLOOKUP(B58,坦克个性化设定!$B$18:$F$48,MATCH(E$40,坦克个性化设定!$B$18:$F$18,0),FALSE)</f>
        <v>T4</v>
      </c>
      <c r="F58" s="118">
        <f>VLOOKUP(E58&amp;D58,坦克标准养成属性!$E$3:$M$15,MATCH(F$40,坦克标准养成属性!$E$3:$M$3,0),FALSE)</f>
        <v>17</v>
      </c>
      <c r="G58" s="118">
        <f t="shared" si="18"/>
        <v>0</v>
      </c>
      <c r="H58" s="118">
        <f>VLOOKUP($B58,坦克个性化设定!$B$51:$T$81,MATCH(H$40,坦克个性化设定!$B$51:$T$51,0),FALSE)</f>
        <v>1</v>
      </c>
      <c r="I58" s="118">
        <f t="shared" si="19"/>
        <v>3.4</v>
      </c>
      <c r="J58" s="118">
        <f t="shared" si="19"/>
        <v>0</v>
      </c>
      <c r="K58" s="28">
        <f t="shared" si="20"/>
        <v>18.647058823529413</v>
      </c>
      <c r="L58" s="502">
        <f ca="1">VLOOKUP($B58&amp;"最终",坦克标准养成属性!$O$3:$AA$63,MATCH(L$40,坦克标准养成属性!$O$3:$AA$3,0),FALSE)</f>
        <v>3282.8125337685874</v>
      </c>
      <c r="M58" s="502">
        <f ca="1">VLOOKUP($B58&amp;"最终",坦克标准养成属性!$O$3:$AA$63,MATCH(M$40,坦克标准养成属性!$O$3:$AA$3,0),FALSE)</f>
        <v>583.77066726194118</v>
      </c>
      <c r="N58" s="118">
        <f ca="1">VLOOKUP($B58&amp;"最终",坦克标准养成属性!$O$3:$AA$63,MATCH(N$40,坦克标准养成属性!$O$3:$AA$3,0),FALSE)</f>
        <v>1232</v>
      </c>
      <c r="O58" s="118">
        <f ca="1">VLOOKUP($B58&amp;"最终",坦克标准养成属性!$O$3:$AA$63,MATCH(O$40,坦克标准养成属性!$O$3:$AA$3,0),FALSE)</f>
        <v>924</v>
      </c>
      <c r="P58" s="118">
        <f ca="1">VLOOKUP($B58&amp;"最终",坦克标准养成属性!$O$3:$AA$63,MATCH(P$40,坦克标准养成属性!$O$3:$AA$3,0),FALSE)</f>
        <v>1350</v>
      </c>
      <c r="Q58" s="502">
        <f t="shared" ca="1" si="21"/>
        <v>12782.711052866845</v>
      </c>
    </row>
    <row r="59" spans="2:17" x14ac:dyDescent="0.35">
      <c r="B59" s="118" t="s">
        <v>634</v>
      </c>
      <c r="C59" s="480" t="str">
        <f>VLOOKUP(B59,坦克个性化设定!$B$18:$F$48,5,FALSE)</f>
        <v>中坦单发</v>
      </c>
      <c r="D59" s="479" t="str">
        <f>VLOOKUP(B59,坦克个性化细分!$I$3:$J$33,2,FALSE)</f>
        <v>高</v>
      </c>
      <c r="E59" s="118" t="str">
        <f>VLOOKUP(B59,坦克个性化设定!$B$18:$F$48,MATCH(E$40,坦克个性化设定!$B$18:$F$18,0),FALSE)</f>
        <v>T4</v>
      </c>
      <c r="F59" s="118">
        <f>VLOOKUP(E59&amp;D59,坦克标准养成属性!$E$3:$M$15,MATCH(F$40,坦克标准养成属性!$E$3:$M$3,0),FALSE)</f>
        <v>17</v>
      </c>
      <c r="G59" s="118">
        <f t="shared" si="18"/>
        <v>0</v>
      </c>
      <c r="H59" s="118">
        <f>VLOOKUP($B59,坦克个性化设定!$B$51:$T$81,MATCH(H$40,坦克个性化设定!$B$51:$T$51,0),FALSE)</f>
        <v>1</v>
      </c>
      <c r="I59" s="118">
        <f t="shared" si="19"/>
        <v>3.4</v>
      </c>
      <c r="J59" s="118">
        <f t="shared" si="19"/>
        <v>0</v>
      </c>
      <c r="K59" s="28">
        <f t="shared" si="20"/>
        <v>18.647058823529413</v>
      </c>
      <c r="L59" s="502">
        <f ca="1">VLOOKUP($B59&amp;"最终",坦克标准养成属性!$O$3:$AA$63,MATCH(L$40,坦克标准养成属性!$O$3:$AA$3,0),FALSE)</f>
        <v>3964.616516764263</v>
      </c>
      <c r="M59" s="502">
        <f ca="1">VLOOKUP($B59&amp;"最终",坦克标准养成属性!$O$3:$AA$63,MATCH(M$40,坦克标准养成属性!$O$3:$AA$3,0),FALSE)</f>
        <v>526.64690044324664</v>
      </c>
      <c r="N59" s="118">
        <f ca="1">VLOOKUP($B59&amp;"最终",坦克标准养成属性!$O$3:$AA$63,MATCH(N$40,坦克标准养成属性!$O$3:$AA$3,0),FALSE)</f>
        <v>1314</v>
      </c>
      <c r="O59" s="118">
        <f ca="1">VLOOKUP($B59&amp;"最终",坦克标准养成属性!$O$3:$AA$63,MATCH(O$40,坦克标准养成属性!$O$3:$AA$3,0),FALSE)</f>
        <v>986</v>
      </c>
      <c r="P59" s="118">
        <f ca="1">VLOOKUP($B59&amp;"最终",坦克标准养成属性!$O$3:$AA$63,MATCH(P$40,坦克标准养成属性!$O$3:$AA$3,0),FALSE)</f>
        <v>1440</v>
      </c>
      <c r="Q59" s="502">
        <f t="shared" ca="1" si="21"/>
        <v>13603.936606948828</v>
      </c>
    </row>
    <row r="60" spans="2:17" x14ac:dyDescent="0.35">
      <c r="B60" s="118" t="s">
        <v>636</v>
      </c>
      <c r="C60" s="480" t="str">
        <f>VLOOKUP(B60,坦克个性化设定!$B$18:$F$48,5,FALSE)</f>
        <v>中坦单发</v>
      </c>
      <c r="D60" s="479" t="str">
        <f>VLOOKUP(B60,坦克个性化细分!$I$3:$J$33,2,FALSE)</f>
        <v>低</v>
      </c>
      <c r="E60" s="118" t="str">
        <f>VLOOKUP(B60,坦克个性化设定!$B$18:$F$48,MATCH(E$40,坦克个性化设定!$B$18:$F$18,0),FALSE)</f>
        <v>T5</v>
      </c>
      <c r="F60" s="118">
        <f>VLOOKUP(E60&amp;D60,坦克标准养成属性!$E$3:$M$15,MATCH(F$40,坦克标准养成属性!$E$3:$M$3,0),FALSE)</f>
        <v>12</v>
      </c>
      <c r="G60" s="118">
        <f t="shared" si="18"/>
        <v>0</v>
      </c>
      <c r="H60" s="118">
        <f>VLOOKUP($B60,坦克个性化设定!$B$51:$T$81,MATCH(H$40,坦克个性化设定!$B$51:$T$51,0),FALSE)</f>
        <v>1</v>
      </c>
      <c r="I60" s="118">
        <f t="shared" si="19"/>
        <v>3.4</v>
      </c>
      <c r="J60" s="118">
        <f t="shared" si="19"/>
        <v>0</v>
      </c>
      <c r="K60" s="28">
        <f t="shared" si="20"/>
        <v>18.647058823529413</v>
      </c>
      <c r="L60" s="502">
        <f ca="1">VLOOKUP($B60&amp;"最终",坦克标准养成属性!$O$3:$AA$63,MATCH(L$40,坦克标准养成属性!$O$3:$AA$3,0),FALSE)</f>
        <v>3575.9909959369274</v>
      </c>
      <c r="M60" s="502">
        <f ca="1">VLOOKUP($B60&amp;"最终",坦克标准养成属性!$O$3:$AA$63,MATCH(M$40,坦克标准养成属性!$O$3:$AA$3,0),FALSE)</f>
        <v>493.1977285759333</v>
      </c>
      <c r="N60" s="118">
        <f ca="1">VLOOKUP($B60&amp;"最终",坦克标准养成属性!$O$3:$AA$63,MATCH(N$40,坦克标准养成属性!$O$3:$AA$3,0),FALSE)</f>
        <v>1183</v>
      </c>
      <c r="O60" s="118">
        <f ca="1">VLOOKUP($B60&amp;"最终",坦克标准养成属性!$O$3:$AA$63,MATCH(O$40,坦克标准养成属性!$O$3:$AA$3,0),FALSE)</f>
        <v>887</v>
      </c>
      <c r="P60" s="118">
        <f ca="1">VLOOKUP($B60&amp;"最终",坦克标准养成属性!$O$3:$AA$63,MATCH(P$40,坦克标准养成属性!$O$3:$AA$3,0),FALSE)</f>
        <v>1296</v>
      </c>
      <c r="Q60" s="502">
        <f t="shared" ca="1" si="21"/>
        <v>12271.089399602788</v>
      </c>
    </row>
    <row r="61" spans="2:17" x14ac:dyDescent="0.35">
      <c r="B61" s="118" t="s">
        <v>721</v>
      </c>
      <c r="C61" s="480" t="str">
        <f>VLOOKUP(B61,坦克个性化设定!$B$18:$F$48,5,FALSE)</f>
        <v>重坦自动</v>
      </c>
      <c r="D61" s="479" t="str">
        <f>VLOOKUP(B61,坦克个性化细分!$I$3:$J$33,2,FALSE)</f>
        <v>低</v>
      </c>
      <c r="E61" s="118" t="str">
        <f>VLOOKUP(B61,坦克个性化设定!$B$18:$F$48,MATCH(E$40,坦克个性化设定!$B$18:$F$18,0),FALSE)</f>
        <v>T1</v>
      </c>
      <c r="F61" s="118">
        <f>VLOOKUP(E61&amp;D61,坦克标准养成属性!$E$3:$M$15,MATCH(F$40,坦克标准养成属性!$E$3:$M$3,0),FALSE)</f>
        <v>4</v>
      </c>
      <c r="G61" s="118">
        <f t="shared" si="18"/>
        <v>2.8</v>
      </c>
      <c r="H61" s="118">
        <f>VLOOKUP($B61,坦克个性化设定!$B$51:$T$81,MATCH(H$40,坦克个性化设定!$B$51:$T$51,0),FALSE)</f>
        <v>2</v>
      </c>
      <c r="I61" s="118">
        <f t="shared" si="19"/>
        <v>3.99</v>
      </c>
      <c r="J61" s="118">
        <f t="shared" si="19"/>
        <v>0</v>
      </c>
      <c r="K61" s="28">
        <f t="shared" si="20"/>
        <v>17.037593984962406</v>
      </c>
      <c r="L61" s="502">
        <f ca="1">VLOOKUP($B61&amp;"最终",坦克标准养成属性!$O$3:$AA$63,MATCH(L$40,坦克标准养成属性!$O$3:$AA$3,0),FALSE)</f>
        <v>1302.1283447755372</v>
      </c>
      <c r="M61" s="502">
        <f ca="1">VLOOKUP($B61&amp;"最终",坦克标准养成属性!$O$3:$AA$63,MATCH(M$40,坦克标准养成属性!$O$3:$AA$3,0),FALSE)</f>
        <v>242.70588006962666</v>
      </c>
      <c r="N61" s="118">
        <f ca="1">VLOOKUP($B61&amp;"最终",坦克标准养成属性!$O$3:$AA$63,MATCH(N$40,坦克标准养成属性!$O$3:$AA$3,0),FALSE)</f>
        <v>400</v>
      </c>
      <c r="O61" s="118">
        <f ca="1">VLOOKUP($B61&amp;"最终",坦克标准养成属性!$O$3:$AA$63,MATCH(O$40,坦克标准养成属性!$O$3:$AA$3,0),FALSE)</f>
        <v>320</v>
      </c>
      <c r="P61" s="118">
        <f ca="1">VLOOKUP($B61&amp;"最终",坦克标准养成属性!$O$3:$AA$63,MATCH(P$40,坦克标准养成属性!$O$3:$AA$3,0),FALSE)</f>
        <v>588</v>
      </c>
      <c r="Q61" s="502">
        <f t="shared" ca="1" si="21"/>
        <v>4884.6935669079357</v>
      </c>
    </row>
    <row r="62" spans="2:17" x14ac:dyDescent="0.35">
      <c r="B62" s="118" t="s">
        <v>630</v>
      </c>
      <c r="C62" s="480" t="str">
        <f>VLOOKUP(B62,坦克个性化设定!$B$18:$F$48,5,FALSE)</f>
        <v>重坦自动</v>
      </c>
      <c r="D62" s="479" t="str">
        <f>VLOOKUP(B62,坦克个性化细分!$I$3:$J$33,2,FALSE)</f>
        <v>低</v>
      </c>
      <c r="E62" s="118" t="str">
        <f>VLOOKUP(B62,坦克个性化设定!$B$18:$F$48,MATCH(E$40,坦克个性化设定!$B$18:$F$18,0),FALSE)</f>
        <v>T2</v>
      </c>
      <c r="F62" s="118">
        <f>VLOOKUP(E62&amp;D62,坦克标准养成属性!$E$3:$M$15,MATCH(F$40,坦克标准养成属性!$E$3:$M$3,0),FALSE)</f>
        <v>6</v>
      </c>
      <c r="G62" s="118">
        <f t="shared" si="18"/>
        <v>1.88</v>
      </c>
      <c r="H62" s="118">
        <f>VLOOKUP($B62,坦克个性化设定!$B$51:$T$81,MATCH(H$40,坦克个性化设定!$B$51:$T$51,0),FALSE)</f>
        <v>3</v>
      </c>
      <c r="I62" s="118">
        <f t="shared" si="19"/>
        <v>2.66</v>
      </c>
      <c r="J62" s="118">
        <f t="shared" si="19"/>
        <v>0</v>
      </c>
      <c r="K62" s="28">
        <f t="shared" si="20"/>
        <v>25.556390977443609</v>
      </c>
      <c r="L62" s="502">
        <f ca="1">VLOOKUP($B62&amp;"最终",坦克标准养成属性!$O$3:$AA$63,MATCH(L$40,坦克标准养成属性!$O$3:$AA$3,0),FALSE)</f>
        <v>1621.9066831006664</v>
      </c>
      <c r="M62" s="502">
        <f ca="1">VLOOKUP($B62&amp;"最终",坦克标准养成属性!$O$3:$AA$63,MATCH(M$40,坦克标准养成属性!$O$3:$AA$3,0),FALSE)</f>
        <v>214.5854216140271</v>
      </c>
      <c r="N62" s="118">
        <f ca="1">VLOOKUP($B62&amp;"最终",坦克标准养成属性!$O$3:$AA$63,MATCH(N$40,坦克标准养成属性!$O$3:$AA$3,0),FALSE)</f>
        <v>514</v>
      </c>
      <c r="O62" s="118">
        <f ca="1">VLOOKUP($B62&amp;"最终",坦克标准养成属性!$O$3:$AA$63,MATCH(O$40,坦克标准养成属性!$O$3:$AA$3,0),FALSE)</f>
        <v>411</v>
      </c>
      <c r="P62" s="118">
        <f ca="1">VLOOKUP($B62&amp;"最终",坦克标准养成属性!$O$3:$AA$63,MATCH(P$40,坦克标准养成属性!$O$3:$AA$3,0),FALSE)</f>
        <v>756</v>
      </c>
      <c r="Q62" s="502">
        <f t="shared" ca="1" si="21"/>
        <v>6277.9209606553104</v>
      </c>
    </row>
    <row r="63" spans="2:17" x14ac:dyDescent="0.35">
      <c r="B63" s="118" t="s">
        <v>631</v>
      </c>
      <c r="C63" s="480" t="str">
        <f>VLOOKUP(B63,坦克个性化设定!$B$18:$F$48,5,FALSE)</f>
        <v>重坦单发</v>
      </c>
      <c r="D63" s="479" t="str">
        <f>VLOOKUP(B63,坦克个性化细分!$I$3:$J$33,2,FALSE)</f>
        <v>中</v>
      </c>
      <c r="E63" s="118" t="str">
        <f>VLOOKUP(B63,坦克个性化设定!$B$18:$F$48,MATCH(E$40,坦克个性化设定!$B$18:$F$18,0),FALSE)</f>
        <v>T2</v>
      </c>
      <c r="F63" s="118">
        <f>VLOOKUP(E63&amp;D63,坦克标准养成属性!$E$3:$M$15,MATCH(F$40,坦克标准养成属性!$E$3:$M$3,0),FALSE)</f>
        <v>11</v>
      </c>
      <c r="G63" s="118">
        <f t="shared" si="18"/>
        <v>0</v>
      </c>
      <c r="H63" s="118">
        <f>VLOOKUP($B63,坦克个性化设定!$B$51:$T$81,MATCH(H$40,坦克个性化设定!$B$51:$T$51,0),FALSE)</f>
        <v>1</v>
      </c>
      <c r="I63" s="118">
        <f t="shared" si="19"/>
        <v>4.51</v>
      </c>
      <c r="J63" s="118">
        <f t="shared" si="19"/>
        <v>0</v>
      </c>
      <c r="K63" s="28">
        <f t="shared" si="20"/>
        <v>14.303769401330378</v>
      </c>
      <c r="L63" s="502">
        <f ca="1">VLOOKUP($B63&amp;"最终",坦克标准养成属性!$O$3:$AA$63,MATCH(L$40,坦克标准养成属性!$O$3:$AA$3,0),FALSE)</f>
        <v>2301.3552223761258</v>
      </c>
      <c r="M63" s="502">
        <f ca="1">VLOOKUP($B63&amp;"最终",坦克标准养成属性!$O$3:$AA$63,MATCH(M$40,坦克标准养成属性!$O$3:$AA$3,0),FALSE)</f>
        <v>463.01761224840902</v>
      </c>
      <c r="N63" s="118">
        <f ca="1">VLOOKUP($B63&amp;"最终",坦克标准养成属性!$O$3:$AA$63,MATCH(N$40,坦克标准养成属性!$O$3:$AA$3,0),FALSE)</f>
        <v>751</v>
      </c>
      <c r="O63" s="118">
        <f ca="1">VLOOKUP($B63&amp;"最终",坦克标准养成属性!$O$3:$AA$63,MATCH(O$40,坦克标准养成属性!$O$3:$AA$3,0),FALSE)</f>
        <v>601</v>
      </c>
      <c r="P63" s="118">
        <f ca="1">VLOOKUP($B63&amp;"最终",坦克标准养成属性!$O$3:$AA$63,MATCH(P$40,坦克标准养成属性!$O$3:$AA$3,0),FALSE)</f>
        <v>1004</v>
      </c>
      <c r="Q63" s="502">
        <f t="shared" ca="1" si="21"/>
        <v>8688.5683214623114</v>
      </c>
    </row>
    <row r="64" spans="2:17" x14ac:dyDescent="0.35">
      <c r="B64" s="118" t="s">
        <v>628</v>
      </c>
      <c r="C64" s="480" t="str">
        <f>VLOOKUP(B64,坦克个性化设定!$B$18:$F$48,5,FALSE)</f>
        <v>重坦单发</v>
      </c>
      <c r="D64" s="479" t="str">
        <f>VLOOKUP(B64,坦克个性化细分!$I$3:$J$33,2,FALSE)</f>
        <v>低</v>
      </c>
      <c r="E64" s="118" t="str">
        <f>VLOOKUP(B64,坦克个性化设定!$B$18:$F$48,MATCH(E$40,坦克个性化设定!$B$18:$F$18,0),FALSE)</f>
        <v>T3</v>
      </c>
      <c r="F64" s="118">
        <f>VLOOKUP(E64&amp;D64,坦克标准养成属性!$E$3:$M$15,MATCH(F$40,坦克标准养成属性!$E$3:$M$3,0),FALSE)</f>
        <v>8</v>
      </c>
      <c r="G64" s="118">
        <f t="shared" si="18"/>
        <v>0</v>
      </c>
      <c r="H64" s="118">
        <f>VLOOKUP($B64,坦克个性化设定!$B$51:$T$81,MATCH(H$40,坦克个性化设定!$B$51:$T$51,0),FALSE)</f>
        <v>1</v>
      </c>
      <c r="I64" s="118">
        <f t="shared" si="19"/>
        <v>4.51</v>
      </c>
      <c r="J64" s="118">
        <f t="shared" si="19"/>
        <v>0</v>
      </c>
      <c r="K64" s="28">
        <f t="shared" si="20"/>
        <v>14.303769401330378</v>
      </c>
      <c r="L64" s="502">
        <f ca="1">VLOOKUP($B64&amp;"最终",坦克标准养成属性!$O$3:$AA$63,MATCH(L$40,坦克标准养成属性!$O$3:$AA$3,0),FALSE)</f>
        <v>2174.5996615253971</v>
      </c>
      <c r="M64" s="502">
        <f ca="1">VLOOKUP($B64&amp;"最终",坦克标准养成属性!$O$3:$AA$63,MATCH(M$40,坦克标准养成属性!$O$3:$AA$3,0),FALSE)</f>
        <v>453.36436744795554</v>
      </c>
      <c r="N64" s="118">
        <f ca="1">VLOOKUP($B64&amp;"最终",坦克标准养成属性!$O$3:$AA$63,MATCH(N$40,坦克标准养成属性!$O$3:$AA$3,0),FALSE)</f>
        <v>723</v>
      </c>
      <c r="O64" s="118">
        <f ca="1">VLOOKUP($B64&amp;"最终",坦克标准养成属性!$O$3:$AA$63,MATCH(O$40,坦克标准养成属性!$O$3:$AA$3,0),FALSE)</f>
        <v>578</v>
      </c>
      <c r="P64" s="118">
        <f ca="1">VLOOKUP($B64&amp;"最终",坦克标准养成属性!$O$3:$AA$63,MATCH(P$40,坦克标准养成属性!$O$3:$AA$3,0),FALSE)</f>
        <v>966</v>
      </c>
      <c r="Q64" s="502">
        <f t="shared" ca="1" si="21"/>
        <v>8359.9786482980926</v>
      </c>
    </row>
    <row r="65" spans="2:18" x14ac:dyDescent="0.35">
      <c r="B65" s="118" t="s">
        <v>632</v>
      </c>
      <c r="C65" s="480" t="str">
        <f>VLOOKUP(B65,坦克个性化设定!$B$18:$F$48,5,FALSE)</f>
        <v>重坦单发</v>
      </c>
      <c r="D65" s="479" t="str">
        <f>VLOOKUP(B65,坦克个性化细分!$I$3:$J$33,2,FALSE)</f>
        <v>中</v>
      </c>
      <c r="E65" s="118" t="str">
        <f>VLOOKUP(B65,坦克个性化设定!$B$18:$F$48,MATCH(E$40,坦克个性化设定!$B$18:$F$18,0),FALSE)</f>
        <v>T3</v>
      </c>
      <c r="F65" s="118">
        <f>VLOOKUP(E65&amp;D65,坦克标准养成属性!$E$3:$M$15,MATCH(F$40,坦克标准养成属性!$E$3:$M$3,0),FALSE)</f>
        <v>14</v>
      </c>
      <c r="G65" s="118">
        <f t="shared" si="18"/>
        <v>0</v>
      </c>
      <c r="H65" s="118">
        <f>VLOOKUP($B65,坦克个性化设定!$B$51:$T$81,MATCH(H$40,坦克个性化设定!$B$51:$T$51,0),FALSE)</f>
        <v>1</v>
      </c>
      <c r="I65" s="118">
        <f t="shared" si="19"/>
        <v>4.51</v>
      </c>
      <c r="J65" s="118">
        <f t="shared" si="19"/>
        <v>0</v>
      </c>
      <c r="K65" s="28">
        <f t="shared" si="20"/>
        <v>14.303769401330378</v>
      </c>
      <c r="L65" s="502">
        <f ca="1">VLOOKUP($B65&amp;"最终",坦克标准养成属性!$O$3:$AA$63,MATCH(L$40,坦克标准养成属性!$O$3:$AA$3,0),FALSE)</f>
        <v>2742.1252187335581</v>
      </c>
      <c r="M65" s="502">
        <f ca="1">VLOOKUP($B65&amp;"最终",坦克标准养成属性!$O$3:$AA$63,MATCH(M$40,坦克标准养成属性!$O$3:$AA$3,0),FALSE)</f>
        <v>619.6070071463389</v>
      </c>
      <c r="N65" s="118">
        <f ca="1">VLOOKUP($B65&amp;"最终",坦克标准养成属性!$O$3:$AA$63,MATCH(N$40,坦克标准养成属性!$O$3:$AA$3,0),FALSE)</f>
        <v>949</v>
      </c>
      <c r="O65" s="118">
        <f ca="1">VLOOKUP($B65&amp;"最终",坦克标准养成属性!$O$3:$AA$63,MATCH(O$40,坦克标准养成属性!$O$3:$AA$3,0),FALSE)</f>
        <v>759</v>
      </c>
      <c r="P65" s="118">
        <f ca="1">VLOOKUP($B65&amp;"最终",坦克标准养成属性!$O$3:$AA$63,MATCH(P$40,坦克标准养成属性!$O$3:$AA$3,0),FALSE)</f>
        <v>1268</v>
      </c>
      <c r="Q65" s="502">
        <f t="shared" ca="1" si="21"/>
        <v>10974.44933387631</v>
      </c>
    </row>
    <row r="66" spans="2:18" x14ac:dyDescent="0.35">
      <c r="B66" s="118" t="s">
        <v>633</v>
      </c>
      <c r="C66" s="480" t="str">
        <f>VLOOKUP(B66,坦克个性化设定!$B$18:$F$48,5,FALSE)</f>
        <v>重坦自动</v>
      </c>
      <c r="D66" s="479" t="str">
        <f>VLOOKUP(B66,坦克个性化细分!$I$3:$J$33,2,FALSE)</f>
        <v>高</v>
      </c>
      <c r="E66" s="118" t="str">
        <f>VLOOKUP(B66,坦克个性化设定!$B$18:$F$48,MATCH(E$40,坦克个性化设定!$B$18:$F$18,0),FALSE)</f>
        <v>T3</v>
      </c>
      <c r="F66" s="118">
        <f>VLOOKUP(E66&amp;D66,坦克标准养成属性!$E$3:$M$15,MATCH(F$40,坦克标准养成属性!$E$3:$M$3,0),FALSE)</f>
        <v>14</v>
      </c>
      <c r="G66" s="118">
        <f t="shared" si="18"/>
        <v>2</v>
      </c>
      <c r="H66" s="118">
        <f>VLOOKUP($B66,坦克个性化设定!$B$51:$T$81,MATCH(H$40,坦克个性化设定!$B$51:$T$51,0),FALSE)</f>
        <v>2</v>
      </c>
      <c r="I66" s="118">
        <f t="shared" si="19"/>
        <v>3.02</v>
      </c>
      <c r="J66" s="118">
        <f t="shared" si="19"/>
        <v>0</v>
      </c>
      <c r="K66" s="28">
        <f t="shared" si="20"/>
        <v>21.867549668874172</v>
      </c>
      <c r="L66" s="502">
        <f ca="1">VLOOKUP($B66&amp;"最终",坦克标准养成属性!$O$3:$AA$63,MATCH(L$40,坦克标准养成属性!$O$3:$AA$3,0),FALSE)</f>
        <v>2980.3270452232159</v>
      </c>
      <c r="M66" s="502">
        <f ca="1">VLOOKUP($B66&amp;"最终",坦克标准养成属性!$O$3:$AA$63,MATCH(M$40,坦克标准养成属性!$O$3:$AA$3,0),FALSE)</f>
        <v>449.44355408056771</v>
      </c>
      <c r="N66" s="118">
        <f ca="1">VLOOKUP($B66&amp;"最终",坦克标准养成属性!$O$3:$AA$63,MATCH(N$40,坦克标准养成属性!$O$3:$AA$3,0),FALSE)</f>
        <v>920</v>
      </c>
      <c r="O66" s="118">
        <f ca="1">VLOOKUP($B66&amp;"最终",坦克标准养成属性!$O$3:$AA$63,MATCH(O$40,坦克标准养成属性!$O$3:$AA$3,0),FALSE)</f>
        <v>736</v>
      </c>
      <c r="P66" s="118">
        <f ca="1">VLOOKUP($B66&amp;"最终",坦克标准养成属性!$O$3:$AA$63,MATCH(P$40,坦克标准养成属性!$O$3:$AA$3,0),FALSE)</f>
        <v>1352</v>
      </c>
      <c r="Q66" s="502">
        <f t="shared" ca="1" si="21"/>
        <v>11251.27853662015</v>
      </c>
    </row>
    <row r="67" spans="2:18" x14ac:dyDescent="0.35">
      <c r="B67" s="118" t="s">
        <v>635</v>
      </c>
      <c r="C67" s="480" t="str">
        <f>VLOOKUP(B67,坦克个性化设定!$B$18:$F$48,5,FALSE)</f>
        <v>重坦单发</v>
      </c>
      <c r="D67" s="479" t="str">
        <f>VLOOKUP(B67,坦克个性化细分!$I$3:$J$33,2,FALSE)</f>
        <v>低</v>
      </c>
      <c r="E67" s="118" t="str">
        <f>VLOOKUP(B67,坦克个性化设定!$B$18:$F$48,MATCH(E$40,坦克个性化设定!$B$18:$F$18,0),FALSE)</f>
        <v>T4</v>
      </c>
      <c r="F67" s="118">
        <f>VLOOKUP(E67&amp;D67,坦克标准养成属性!$E$3:$M$15,MATCH(F$40,坦克标准养成属性!$E$3:$M$3,0),FALSE)</f>
        <v>10</v>
      </c>
      <c r="G67" s="118">
        <f t="shared" si="18"/>
        <v>0</v>
      </c>
      <c r="H67" s="118">
        <f>VLOOKUP($B67,坦克个性化设定!$B$51:$T$81,MATCH(H$40,坦克个性化设定!$B$51:$T$51,0),FALSE)</f>
        <v>1</v>
      </c>
      <c r="I67" s="118">
        <f t="shared" si="19"/>
        <v>4.51</v>
      </c>
      <c r="J67" s="118">
        <f t="shared" si="19"/>
        <v>0</v>
      </c>
      <c r="K67" s="28">
        <f t="shared" si="20"/>
        <v>14.303769401330378</v>
      </c>
      <c r="L67" s="502">
        <f ca="1">VLOOKUP($B67&amp;"最终",坦克标准养成属性!$O$3:$AA$63,MATCH(L$40,坦克标准养成属性!$O$3:$AA$3,0),FALSE)</f>
        <v>2934.7714518582861</v>
      </c>
      <c r="M67" s="502">
        <f ca="1">VLOOKUP($B67&amp;"最终",坦克标准养成属性!$O$3:$AA$63,MATCH(M$40,坦克标准养成属性!$O$3:$AA$3,0),FALSE)</f>
        <v>534.33939430174178</v>
      </c>
      <c r="N67" s="118">
        <f ca="1">VLOOKUP($B67&amp;"最终",坦克标准养成属性!$O$3:$AA$63,MATCH(N$40,坦克标准养成属性!$O$3:$AA$3,0),FALSE)</f>
        <v>911</v>
      </c>
      <c r="O67" s="118">
        <f ca="1">VLOOKUP($B67&amp;"最终",坦克标准养成属性!$O$3:$AA$63,MATCH(O$40,坦克标准养成属性!$O$3:$AA$3,0),FALSE)</f>
        <v>729</v>
      </c>
      <c r="P67" s="118">
        <f ca="1">VLOOKUP($B67&amp;"最终",坦克标准养成属性!$O$3:$AA$63,MATCH(P$40,坦克标准养成属性!$O$3:$AA$3,0),FALSE)</f>
        <v>1218</v>
      </c>
      <c r="Q67" s="502">
        <f t="shared" ca="1" si="21"/>
        <v>10539.987102446281</v>
      </c>
    </row>
    <row r="68" spans="2:18" x14ac:dyDescent="0.35">
      <c r="B68" s="118" t="s">
        <v>629</v>
      </c>
      <c r="C68" s="480" t="str">
        <f>VLOOKUP(B68,坦克个性化设定!$B$18:$F$48,5,FALSE)</f>
        <v>重坦自动</v>
      </c>
      <c r="D68" s="479" t="str">
        <f>VLOOKUP(B68,坦克个性化细分!$I$3:$J$33,2,FALSE)</f>
        <v>中</v>
      </c>
      <c r="E68" s="118" t="str">
        <f>VLOOKUP(B68,坦克个性化设定!$B$18:$F$48,MATCH(E$40,坦克个性化设定!$B$18:$F$18,0),FALSE)</f>
        <v>T4</v>
      </c>
      <c r="F68" s="118">
        <f>VLOOKUP(E68&amp;D68,坦克标准养成属性!$E$3:$M$15,MATCH(F$40,坦克标准养成属性!$E$3:$M$3,0),FALSE)</f>
        <v>17</v>
      </c>
      <c r="G68" s="118">
        <f t="shared" si="18"/>
        <v>2</v>
      </c>
      <c r="H68" s="118">
        <f>VLOOKUP($B68,坦克个性化设定!$B$51:$T$81,MATCH(H$40,坦克个性化设定!$B$51:$T$51,0),FALSE)</f>
        <v>2</v>
      </c>
      <c r="I68" s="118">
        <f t="shared" si="19"/>
        <v>3.35</v>
      </c>
      <c r="J68" s="118">
        <f t="shared" si="19"/>
        <v>0</v>
      </c>
      <c r="K68" s="28">
        <f t="shared" si="20"/>
        <v>19.910447761194028</v>
      </c>
      <c r="L68" s="502">
        <f ca="1">VLOOKUP($B68&amp;"最终",坦克标准养成属性!$O$3:$AA$63,MATCH(L$40,坦克标准养成属性!$O$3:$AA$3,0),FALSE)</f>
        <v>3496.1526392569153</v>
      </c>
      <c r="M68" s="502">
        <f ca="1">VLOOKUP($B68&amp;"最终",坦克标准养成属性!$O$3:$AA$63,MATCH(M$40,坦克标准养成属性!$O$3:$AA$3,0),FALSE)</f>
        <v>580.14623861865493</v>
      </c>
      <c r="N68" s="118">
        <f ca="1">VLOOKUP($B68&amp;"最终",坦克标准养成属性!$O$3:$AA$63,MATCH(N$40,坦克标准养成属性!$O$3:$AA$3,0),FALSE)</f>
        <v>1071</v>
      </c>
      <c r="O68" s="118">
        <f ca="1">VLOOKUP($B68&amp;"最终",坦克标准养成属性!$O$3:$AA$63,MATCH(O$40,坦克标准养成属性!$O$3:$AA$3,0),FALSE)</f>
        <v>857</v>
      </c>
      <c r="P68" s="118">
        <f ca="1">VLOOKUP($B68&amp;"最终",坦克标准养成属性!$O$3:$AA$63,MATCH(P$40,坦克标准养成属性!$O$3:$AA$3,0),FALSE)</f>
        <v>1575</v>
      </c>
      <c r="Q68" s="502">
        <f t="shared" ca="1" si="21"/>
        <v>13115.714983726984</v>
      </c>
    </row>
    <row r="69" spans="2:18" x14ac:dyDescent="0.35">
      <c r="B69" s="118" t="s">
        <v>722</v>
      </c>
      <c r="C69" s="480" t="str">
        <f>VLOOKUP(B69,坦克个性化设定!$B$18:$F$48,5,FALSE)</f>
        <v>重坦单发</v>
      </c>
      <c r="D69" s="479" t="str">
        <f>VLOOKUP(B69,坦克个性化细分!$I$3:$J$33,2,FALSE)</f>
        <v>高</v>
      </c>
      <c r="E69" s="118" t="str">
        <f>VLOOKUP(B69,坦克个性化设定!$B$18:$F$48,MATCH(E$40,坦克个性化设定!$B$18:$F$18,0),FALSE)</f>
        <v>T4</v>
      </c>
      <c r="F69" s="118">
        <f>VLOOKUP(E69&amp;D69,坦克标准养成属性!$E$3:$M$15,MATCH(F$40,坦克标准养成属性!$E$3:$M$3,0),FALSE)</f>
        <v>17</v>
      </c>
      <c r="G69" s="118">
        <f t="shared" si="18"/>
        <v>0</v>
      </c>
      <c r="H69" s="118">
        <f>VLOOKUP($B69,坦克个性化设定!$B$51:$T$81,MATCH(H$40,坦克个性化设定!$B$51:$T$51,0),FALSE)</f>
        <v>1</v>
      </c>
      <c r="I69" s="118">
        <f t="shared" si="19"/>
        <v>4.51</v>
      </c>
      <c r="J69" s="118">
        <f t="shared" si="19"/>
        <v>0</v>
      </c>
      <c r="K69" s="28">
        <f t="shared" si="20"/>
        <v>14.303769401330378</v>
      </c>
      <c r="L69" s="502">
        <f ca="1">VLOOKUP($B69&amp;"最终",坦克标准养成属性!$O$3:$AA$63,MATCH(L$40,坦克标准养成属性!$O$3:$AA$3,0),FALSE)</f>
        <v>3923.655721526331</v>
      </c>
      <c r="M69" s="502">
        <f ca="1">VLOOKUP($B69&amp;"最终",坦克标准养成属性!$O$3:$AA$63,MATCH(M$40,坦克标准养成属性!$O$3:$AA$3,0),FALSE)</f>
        <v>760.66051963371046</v>
      </c>
      <c r="N69" s="118">
        <f ca="1">VLOOKUP($B69&amp;"最终",坦克标准养成属性!$O$3:$AA$63,MATCH(N$40,坦克标准养成属性!$O$3:$AA$3,0),FALSE)</f>
        <v>1257</v>
      </c>
      <c r="O69" s="118">
        <f ca="1">VLOOKUP($B69&amp;"最终",坦克标准养成属性!$O$3:$AA$63,MATCH(O$40,坦克标准养成属性!$O$3:$AA$3,0),FALSE)</f>
        <v>1006</v>
      </c>
      <c r="P69" s="118">
        <f ca="1">VLOOKUP($B69&amp;"最终",坦克标准养成属性!$O$3:$AA$63,MATCH(P$40,坦克标准养成属性!$O$3:$AA$3,0),FALSE)</f>
        <v>1680</v>
      </c>
      <c r="Q69" s="502">
        <f t="shared" ca="1" si="21"/>
        <v>14540.883759973611</v>
      </c>
    </row>
    <row r="70" spans="2:18" x14ac:dyDescent="0.35">
      <c r="B70" s="118" t="s">
        <v>637</v>
      </c>
      <c r="C70" s="480" t="str">
        <f>VLOOKUP(B70,坦克个性化设定!$B$18:$F$48,5,FALSE)</f>
        <v>重坦单发</v>
      </c>
      <c r="D70" s="479" t="str">
        <f>VLOOKUP(B70,坦克个性化细分!$I$3:$J$33,2,FALSE)</f>
        <v>低</v>
      </c>
      <c r="E70" s="118" t="str">
        <f>VLOOKUP(B70,坦克个性化设定!$B$18:$F$48,MATCH(E$40,坦克个性化设定!$B$18:$F$18,0),FALSE)</f>
        <v>T5</v>
      </c>
      <c r="F70" s="118">
        <f>VLOOKUP(E70&amp;D70,坦克标准养成属性!$E$3:$M$15,MATCH(F$40,坦克标准养成属性!$E$3:$M$3,0),FALSE)</f>
        <v>12</v>
      </c>
      <c r="G70" s="118">
        <f t="shared" si="18"/>
        <v>0</v>
      </c>
      <c r="H70" s="118">
        <f>VLOOKUP($B70,坦克个性化设定!$B$51:$T$81,MATCH(H$40,坦克个性化设定!$B$51:$T$51,0),FALSE)</f>
        <v>1</v>
      </c>
      <c r="I70" s="118">
        <f t="shared" si="19"/>
        <v>4.51</v>
      </c>
      <c r="J70" s="118">
        <f t="shared" si="19"/>
        <v>0</v>
      </c>
      <c r="K70" s="28">
        <f t="shared" si="20"/>
        <v>14.303769401330378</v>
      </c>
      <c r="L70" s="502">
        <f ca="1">VLOOKUP($B70&amp;"最终",坦克标准养成属性!$O$3:$AA$63,MATCH(L$40,坦克标准养成属性!$O$3:$AA$3,0),FALSE)</f>
        <v>3595.594276369357</v>
      </c>
      <c r="M70" s="502">
        <f ca="1">VLOOKUP($B70&amp;"最终",坦克标准养成属性!$O$3:$AA$63,MATCH(M$40,坦克标准养成属性!$O$3:$AA$3,0),FALSE)</f>
        <v>671.91451935435873</v>
      </c>
      <c r="N70" s="118">
        <f ca="1">VLOOKUP($B70&amp;"最终",坦克标准养成属性!$O$3:$AA$63,MATCH(N$40,坦克标准养成属性!$O$3:$AA$3,0),FALSE)</f>
        <v>1131</v>
      </c>
      <c r="O70" s="118">
        <f ca="1">VLOOKUP($B70&amp;"最终",坦克标准养成属性!$O$3:$AA$63,MATCH(O$40,坦克标准养成属性!$O$3:$AA$3,0),FALSE)</f>
        <v>905</v>
      </c>
      <c r="P70" s="118">
        <f ca="1">VLOOKUP($B70&amp;"最终",坦克标准养成属性!$O$3:$AA$63,MATCH(P$40,坦克标准养成属性!$O$3:$AA$3,0),FALSE)</f>
        <v>1512</v>
      </c>
      <c r="Q70" s="502">
        <f t="shared" ca="1" si="21"/>
        <v>13084.344351500669</v>
      </c>
    </row>
    <row r="71" spans="2:18" x14ac:dyDescent="0.35">
      <c r="L71" s="117">
        <v>1.7999999999999999E-2</v>
      </c>
      <c r="M71" s="117">
        <v>1.1000000000000001</v>
      </c>
      <c r="N71" s="117">
        <v>-130.4</v>
      </c>
      <c r="O71" s="117">
        <v>3580</v>
      </c>
      <c r="P71" s="117">
        <v>3797</v>
      </c>
      <c r="R71" s="121">
        <f ca="1">L74-M74+P71</f>
        <v>-3240.7123607085123</v>
      </c>
    </row>
    <row r="72" spans="2:18" x14ac:dyDescent="0.35">
      <c r="B72" s="761" t="s">
        <v>2164</v>
      </c>
      <c r="C72" s="834"/>
      <c r="D72" s="834"/>
      <c r="E72" s="834"/>
      <c r="G72" s="783" t="s">
        <v>2173</v>
      </c>
      <c r="H72" s="784"/>
      <c r="I72" s="784"/>
      <c r="J72" s="784"/>
      <c r="K72" s="784"/>
      <c r="L72" s="784"/>
      <c r="M72" s="784"/>
      <c r="N72" s="784"/>
      <c r="O72" s="785"/>
    </row>
    <row r="73" spans="2:18" x14ac:dyDescent="0.35">
      <c r="B73" s="493" t="s">
        <v>2155</v>
      </c>
      <c r="C73" s="493" t="s">
        <v>2159</v>
      </c>
      <c r="D73" s="493" t="s">
        <v>2156</v>
      </c>
      <c r="E73" s="493" t="s">
        <v>2157</v>
      </c>
      <c r="G73" s="563" t="s">
        <v>2165</v>
      </c>
      <c r="H73" s="563" t="s">
        <v>2166</v>
      </c>
      <c r="I73" s="563" t="s">
        <v>2167</v>
      </c>
      <c r="J73" s="563" t="s">
        <v>2168</v>
      </c>
      <c r="K73" s="563" t="s">
        <v>2169</v>
      </c>
      <c r="L73" s="563" t="s">
        <v>2170</v>
      </c>
      <c r="M73" s="563" t="s">
        <v>2171</v>
      </c>
      <c r="N73" s="563" t="s">
        <v>2172</v>
      </c>
      <c r="O73" s="568" t="s">
        <v>2571</v>
      </c>
    </row>
    <row r="74" spans="2:18" x14ac:dyDescent="0.35">
      <c r="B74" s="118" t="s">
        <v>615</v>
      </c>
      <c r="C74" s="118" t="str">
        <f>VLOOKUP(B74,坦克个性化设定!$B$18:$F$48,MATCH(C$73,坦克个性化设定!$B$18:$F$18,0),FALSE)</f>
        <v>T1</v>
      </c>
      <c r="D74" s="502">
        <f ca="1">AF8</f>
        <v>1166.2176235119921</v>
      </c>
      <c r="E74" s="502">
        <f ca="1">Q41</f>
        <v>4312.301014408843</v>
      </c>
      <c r="G74" s="564">
        <v>1</v>
      </c>
      <c r="H74" s="502">
        <f ca="1">AVERAGE(D75,D85,D95,D74,D84,D94,E74,E84,E94)</f>
        <v>2455.7439205817686</v>
      </c>
      <c r="I74" s="502">
        <f ca="1">AVERAGE(D75,D85,D95,D74,D84,D94,E74,E84,E94)</f>
        <v>2455.7439205817686</v>
      </c>
      <c r="J74" s="502">
        <v>7248.1280706198568</v>
      </c>
      <c r="K74" s="502">
        <f ca="1">POWER(I74*J74*I74*J74*J74,1/5)</f>
        <v>4701.2002018720495</v>
      </c>
      <c r="L74" s="502">
        <f ca="1">I74*2-K74</f>
        <v>210.28763929148772</v>
      </c>
      <c r="M74" s="502">
        <f>ROUND($L$71*G74^4+$M$71*G74^3+$N$71*G74^2+$O$71*G74+$P$71,0)</f>
        <v>7248</v>
      </c>
      <c r="N74" s="502">
        <f>M74</f>
        <v>7248</v>
      </c>
      <c r="O74" s="502">
        <f ca="1">AVERAGE(L74,L74,M74)</f>
        <v>2556.1917595276586</v>
      </c>
    </row>
    <row r="75" spans="2:18" x14ac:dyDescent="0.35">
      <c r="B75" s="118" t="s">
        <v>616</v>
      </c>
      <c r="C75" s="118" t="str">
        <f>VLOOKUP(B75,坦克个性化设定!$B$18:$F$48,MATCH(C$73,坦克个性化设定!$B$18:$F$18,0),FALSE)</f>
        <v>T2</v>
      </c>
      <c r="D75" s="502">
        <f t="shared" ref="D75:D103" ca="1" si="22">AF9</f>
        <v>1295.7537012281748</v>
      </c>
      <c r="E75" s="502">
        <f t="shared" ref="E75:E103" ca="1" si="23">Q42</f>
        <v>5537.8195177168609</v>
      </c>
      <c r="G75" s="564">
        <v>2</v>
      </c>
      <c r="H75" s="502">
        <f t="shared" ref="H75:H82" ca="1" si="24">AVERAGE(D76,D86,D96,D75,D85,D95,E75,E85,E95)</f>
        <v>2883.4966157800727</v>
      </c>
      <c r="I75" s="502">
        <f ca="1">ROUND((H$97-H$74)/(G$97-G$74)*(G75-G$74)+H$74,0)</f>
        <v>2883</v>
      </c>
      <c r="J75" s="502">
        <v>7769.1594381718978</v>
      </c>
      <c r="K75" s="502">
        <f t="shared" ref="K75:K97" ca="1" si="25">POWER(I75*J75*I75*J75*J75,1/5)</f>
        <v>5225.9142275751301</v>
      </c>
      <c r="L75" s="502">
        <f t="shared" ref="L75:L97" ca="1" si="26">I75*2-K75</f>
        <v>540.0857724248699</v>
      </c>
      <c r="M75" s="502">
        <f t="shared" ref="M75:M97" si="27">ROUND($L$71*G75^4+$M$71*G75^3+$N$71*G75^2+$O$71*G75+$P$71,0)</f>
        <v>10444</v>
      </c>
      <c r="N75" s="502">
        <f t="shared" ref="N75:N97" si="28">M75</f>
        <v>10444</v>
      </c>
      <c r="O75" s="502">
        <f t="shared" ref="O75:O97" ca="1" si="29">AVERAGE(L75,L75,M75)</f>
        <v>3841.3905149499133</v>
      </c>
    </row>
    <row r="76" spans="2:18" x14ac:dyDescent="0.35">
      <c r="B76" s="118" t="s">
        <v>617</v>
      </c>
      <c r="C76" s="118" t="str">
        <f>VLOOKUP(B76,坦克个性化设定!$B$18:$F$48,MATCH(C$73,坦克个性化设定!$B$18:$F$18,0),FALSE)</f>
        <v>T2</v>
      </c>
      <c r="D76" s="502">
        <f t="shared" ca="1" si="22"/>
        <v>1137.5932276058684</v>
      </c>
      <c r="E76" s="502">
        <f t="shared" ca="1" si="23"/>
        <v>7141.5662925813185</v>
      </c>
      <c r="G76" s="564">
        <v>3</v>
      </c>
      <c r="H76" s="502">
        <f t="shared" ca="1" si="24"/>
        <v>3724.0640892485703</v>
      </c>
      <c r="I76" s="502">
        <f t="shared" ref="I76:I96" ca="1" si="30">ROUND((H$97-H$74)/(G$97-G$74)*(G76-G$74)+H$74,0)</f>
        <v>3310</v>
      </c>
      <c r="J76" s="502">
        <v>8327.6451226631725</v>
      </c>
      <c r="K76" s="502">
        <f t="shared" ca="1" si="25"/>
        <v>5757.6402184475046</v>
      </c>
      <c r="L76" s="502">
        <f t="shared" ca="1" si="26"/>
        <v>862.35978155249541</v>
      </c>
      <c r="M76" s="502">
        <f t="shared" si="27"/>
        <v>13395</v>
      </c>
      <c r="N76" s="502">
        <f t="shared" si="28"/>
        <v>13395</v>
      </c>
      <c r="O76" s="502">
        <f t="shared" ca="1" si="29"/>
        <v>5039.9065210349972</v>
      </c>
    </row>
    <row r="77" spans="2:18" x14ac:dyDescent="0.35">
      <c r="B77" s="118" t="s">
        <v>618</v>
      </c>
      <c r="C77" s="118" t="str">
        <f>VLOOKUP(B77,坦克个性化设定!$B$18:$F$48,MATCH(C$73,坦克个性化设定!$B$18:$F$18,0),FALSE)</f>
        <v>T3</v>
      </c>
      <c r="D77" s="502">
        <f t="shared" ca="1" si="22"/>
        <v>1634.5173953703793</v>
      </c>
      <c r="E77" s="502">
        <f t="shared" ca="1" si="23"/>
        <v>6849.9995271823045</v>
      </c>
      <c r="G77" s="564">
        <v>4</v>
      </c>
      <c r="H77" s="502">
        <f t="shared" ca="1" si="24"/>
        <v>3664.5709540218927</v>
      </c>
      <c r="I77" s="502">
        <f t="shared" ca="1" si="30"/>
        <v>3737</v>
      </c>
      <c r="J77" s="502">
        <v>8926.2775260194539</v>
      </c>
      <c r="K77" s="502">
        <f t="shared" ca="1" si="25"/>
        <v>6301.02888257012</v>
      </c>
      <c r="L77" s="502">
        <f t="shared" ca="1" si="26"/>
        <v>1172.97111742988</v>
      </c>
      <c r="M77" s="502">
        <f t="shared" si="27"/>
        <v>16106</v>
      </c>
      <c r="N77" s="502">
        <f t="shared" si="28"/>
        <v>16106</v>
      </c>
      <c r="O77" s="502">
        <f t="shared" ca="1" si="29"/>
        <v>6150.6474116199197</v>
      </c>
    </row>
    <row r="78" spans="2:18" x14ac:dyDescent="0.35">
      <c r="B78" s="118" t="s">
        <v>619</v>
      </c>
      <c r="C78" s="118" t="str">
        <f>VLOOKUP(B78,坦克个性化设定!$B$18:$F$48,MATCH(C$73,坦克个性化设定!$B$18:$F$18,0),FALSE)</f>
        <v>T3</v>
      </c>
      <c r="D78" s="502">
        <f t="shared" ca="1" si="22"/>
        <v>1357.2157974798349</v>
      </c>
      <c r="E78" s="502">
        <f t="shared" ca="1" si="23"/>
        <v>9304.5836550574895</v>
      </c>
      <c r="G78" s="564">
        <v>5</v>
      </c>
      <c r="H78" s="502">
        <f t="shared" ca="1" si="24"/>
        <v>4500.3813945138927</v>
      </c>
      <c r="I78" s="502">
        <f t="shared" ca="1" si="30"/>
        <v>4164</v>
      </c>
      <c r="J78" s="502">
        <v>9567.9425933605198</v>
      </c>
      <c r="K78" s="502">
        <f t="shared" ca="1" si="25"/>
        <v>6859.5468225339728</v>
      </c>
      <c r="L78" s="502">
        <f t="shared" ca="1" si="26"/>
        <v>1468.4531774660272</v>
      </c>
      <c r="M78" s="502">
        <f t="shared" si="27"/>
        <v>18586</v>
      </c>
      <c r="N78" s="502">
        <f t="shared" si="28"/>
        <v>18586</v>
      </c>
      <c r="O78" s="502">
        <f t="shared" ca="1" si="29"/>
        <v>7174.3021183106857</v>
      </c>
    </row>
    <row r="79" spans="2:18" x14ac:dyDescent="0.35">
      <c r="B79" s="118" t="s">
        <v>716</v>
      </c>
      <c r="C79" s="118" t="str">
        <f>VLOOKUP(B79,坦克个性化设定!$B$18:$F$48,MATCH(C$73,坦克个性化设定!$B$18:$F$18,0),FALSE)</f>
        <v>T3</v>
      </c>
      <c r="D79" s="502">
        <f t="shared" ca="1" si="22"/>
        <v>1523.0602291284974</v>
      </c>
      <c r="E79" s="502">
        <f t="shared" ca="1" si="23"/>
        <v>10270.047680922473</v>
      </c>
      <c r="G79" s="564">
        <v>6</v>
      </c>
      <c r="H79" s="502">
        <f t="shared" ca="1" si="24"/>
        <v>4990.8305241541657</v>
      </c>
      <c r="I79" s="502">
        <f t="shared" ca="1" si="30"/>
        <v>4591</v>
      </c>
      <c r="J79" s="502">
        <v>10255.733725844155</v>
      </c>
      <c r="K79" s="502">
        <f t="shared" ca="1" si="25"/>
        <v>7436.0612616727612</v>
      </c>
      <c r="L79" s="502">
        <f t="shared" ca="1" si="26"/>
        <v>1745.9387383272388</v>
      </c>
      <c r="M79" s="502">
        <f t="shared" si="27"/>
        <v>20844</v>
      </c>
      <c r="N79" s="502">
        <f t="shared" si="28"/>
        <v>20844</v>
      </c>
      <c r="O79" s="502">
        <f t="shared" ca="1" si="29"/>
        <v>8111.9591588848261</v>
      </c>
    </row>
    <row r="80" spans="2:18" x14ac:dyDescent="0.35">
      <c r="B80" s="118" t="s">
        <v>620</v>
      </c>
      <c r="C80" s="118" t="str">
        <f>VLOOKUP(B80,坦克个性化设定!$B$18:$F$48,MATCH(C$73,坦克个性化设定!$B$18:$F$18,0),FALSE)</f>
        <v>T4</v>
      </c>
      <c r="D80" s="502">
        <f t="shared" ca="1" si="22"/>
        <v>2098.7665376801801</v>
      </c>
      <c r="E80" s="502">
        <f t="shared" ca="1" si="23"/>
        <v>8630.5036847294868</v>
      </c>
      <c r="G80" s="564">
        <v>7</v>
      </c>
      <c r="H80" s="502">
        <f t="shared" ca="1" si="24"/>
        <v>4651.3034724441195</v>
      </c>
      <c r="I80" s="502">
        <f t="shared" ca="1" si="30"/>
        <v>5018</v>
      </c>
      <c r="J80" s="502">
        <v>10992.966693634304</v>
      </c>
      <c r="K80" s="502">
        <f t="shared" ca="1" si="25"/>
        <v>8033.0636864678263</v>
      </c>
      <c r="L80" s="502">
        <f t="shared" ca="1" si="26"/>
        <v>2002.9363135321737</v>
      </c>
      <c r="M80" s="502">
        <f t="shared" si="27"/>
        <v>22888</v>
      </c>
      <c r="N80" s="502">
        <f t="shared" si="28"/>
        <v>22888</v>
      </c>
      <c r="O80" s="502">
        <f t="shared" ca="1" si="29"/>
        <v>8964.6242090214491</v>
      </c>
    </row>
    <row r="81" spans="2:15" x14ac:dyDescent="0.35">
      <c r="B81" s="118" t="s">
        <v>717</v>
      </c>
      <c r="C81" s="118" t="str">
        <f>VLOOKUP(B81,坦克个性化设定!$B$18:$F$48,MATCH(C$73,坦克个性化设定!$B$18:$F$18,0),FALSE)</f>
        <v>T4</v>
      </c>
      <c r="D81" s="502">
        <f t="shared" ca="1" si="22"/>
        <v>1799.5316196354372</v>
      </c>
      <c r="E81" s="502">
        <f t="shared" ca="1" si="23"/>
        <v>11961.505692054518</v>
      </c>
      <c r="G81" s="564">
        <v>8</v>
      </c>
      <c r="H81" s="502">
        <f t="shared" ca="1" si="24"/>
        <v>5643.835422015477</v>
      </c>
      <c r="I81" s="502">
        <f t="shared" ca="1" si="30"/>
        <v>5446</v>
      </c>
      <c r="J81" s="502">
        <v>11783.195620887313</v>
      </c>
      <c r="K81" s="502">
        <f t="shared" ca="1" si="25"/>
        <v>8653.4424046536024</v>
      </c>
      <c r="L81" s="502">
        <f t="shared" ca="1" si="26"/>
        <v>2238.5575953463976</v>
      </c>
      <c r="M81" s="502">
        <f t="shared" si="27"/>
        <v>24728</v>
      </c>
      <c r="N81" s="502">
        <f t="shared" si="28"/>
        <v>24728</v>
      </c>
      <c r="O81" s="502">
        <f t="shared" ca="1" si="29"/>
        <v>9735.0383968975984</v>
      </c>
    </row>
    <row r="82" spans="2:15" x14ac:dyDescent="0.35">
      <c r="B82" s="118" t="s">
        <v>621</v>
      </c>
      <c r="C82" s="118" t="str">
        <f>VLOOKUP(B82,坦克个性化设定!$B$18:$F$48,MATCH(C$73,坦克个性化设定!$B$18:$F$18,0),FALSE)</f>
        <v>T4</v>
      </c>
      <c r="D82" s="502">
        <f t="shared" ca="1" si="22"/>
        <v>1969.7074515785087</v>
      </c>
      <c r="E82" s="502">
        <f t="shared" ca="1" si="23"/>
        <v>11930.091232185505</v>
      </c>
      <c r="G82" s="564">
        <v>9</v>
      </c>
      <c r="H82" s="502">
        <f t="shared" ca="1" si="24"/>
        <v>6236.20783826961</v>
      </c>
      <c r="I82" s="502">
        <f t="shared" ca="1" si="30"/>
        <v>5873</v>
      </c>
      <c r="J82" s="502">
        <v>12630.230119818165</v>
      </c>
      <c r="K82" s="502">
        <f t="shared" ca="1" si="25"/>
        <v>9298.0260448825848</v>
      </c>
      <c r="L82" s="502">
        <f t="shared" ca="1" si="26"/>
        <v>2447.9739551174152</v>
      </c>
      <c r="M82" s="502">
        <f t="shared" si="27"/>
        <v>26375</v>
      </c>
      <c r="N82" s="502">
        <f t="shared" si="28"/>
        <v>26375</v>
      </c>
      <c r="O82" s="502">
        <f t="shared" ca="1" si="29"/>
        <v>10423.64930341161</v>
      </c>
    </row>
    <row r="83" spans="2:15" x14ac:dyDescent="0.35">
      <c r="B83" s="118" t="s">
        <v>622</v>
      </c>
      <c r="C83" s="118" t="str">
        <f>VLOOKUP(B83,坦克个性化设定!$B$18:$F$48,MATCH(C$73,坦克个性化设定!$B$18:$F$18,0),FALSE)</f>
        <v>T5</v>
      </c>
      <c r="D83" s="502">
        <f t="shared" ca="1" si="22"/>
        <v>2697.4871106851547</v>
      </c>
      <c r="E83" s="502">
        <f t="shared" ca="1" si="23"/>
        <v>11482.616976612037</v>
      </c>
      <c r="G83" s="564">
        <v>10</v>
      </c>
      <c r="H83" s="502">
        <f ca="1">ROUND((H$97-H$82)/(G$97-G$82)*(G83-G$82)+H$82,0)</f>
        <v>6639</v>
      </c>
      <c r="I83" s="502">
        <f t="shared" ca="1" si="30"/>
        <v>6300</v>
      </c>
      <c r="J83" s="502">
        <v>13538.15365644837</v>
      </c>
      <c r="K83" s="502">
        <f t="shared" ca="1" si="25"/>
        <v>9969.4656921578317</v>
      </c>
      <c r="L83" s="502">
        <f t="shared" ca="1" si="26"/>
        <v>2630.5343078421683</v>
      </c>
      <c r="M83" s="502">
        <f t="shared" si="27"/>
        <v>27837</v>
      </c>
      <c r="N83" s="502">
        <f t="shared" si="28"/>
        <v>27837</v>
      </c>
      <c r="O83" s="502">
        <f t="shared" ca="1" si="29"/>
        <v>11032.689538561446</v>
      </c>
    </row>
    <row r="84" spans="2:15" x14ac:dyDescent="0.35">
      <c r="B84" s="118" t="s">
        <v>623</v>
      </c>
      <c r="C84" s="118" t="str">
        <f>VLOOKUP(B84,坦克个性化设定!$B$18:$F$48,MATCH(C$73,坦克个性化设定!$B$18:$F$18,0),FALSE)</f>
        <v>T1</v>
      </c>
      <c r="D84" s="502">
        <f t="shared" ca="1" si="22"/>
        <v>1309.2724332283806</v>
      </c>
      <c r="E84" s="502">
        <f t="shared" ca="1" si="23"/>
        <v>4491.2956258152763</v>
      </c>
      <c r="G84" s="564">
        <v>11</v>
      </c>
      <c r="H84" s="502">
        <f t="shared" ref="H84:H96" ca="1" si="31">ROUND((H$97-H$82)/(G$97-G$82)*(G84-G$82)+H$82,0)</f>
        <v>7042</v>
      </c>
      <c r="I84" s="502">
        <f t="shared" ca="1" si="30"/>
        <v>6727</v>
      </c>
      <c r="J84" s="502">
        <v>14511.343236574778</v>
      </c>
      <c r="K84" s="502">
        <f t="shared" ca="1" si="25"/>
        <v>10669.722879878633</v>
      </c>
      <c r="L84" s="502">
        <f t="shared" ca="1" si="26"/>
        <v>2784.2771201213673</v>
      </c>
      <c r="M84" s="502">
        <f t="shared" si="27"/>
        <v>29126</v>
      </c>
      <c r="N84" s="502">
        <f t="shared" si="28"/>
        <v>29126</v>
      </c>
      <c r="O84" s="502">
        <f t="shared" ca="1" si="29"/>
        <v>11564.851413414246</v>
      </c>
    </row>
    <row r="85" spans="2:15" x14ac:dyDescent="0.35">
      <c r="B85" s="118" t="s">
        <v>624</v>
      </c>
      <c r="C85" s="118" t="str">
        <f>VLOOKUP(B85,坦克个性化设定!$B$18:$F$48,MATCH(C$73,坦克个性化设定!$B$18:$F$18,0),FALSE)</f>
        <v>T2</v>
      </c>
      <c r="D85" s="502">
        <f t="shared" ca="1" si="22"/>
        <v>1491.7427999325889</v>
      </c>
      <c r="E85" s="502">
        <f t="shared" ca="1" si="23"/>
        <v>5784.4064110683894</v>
      </c>
      <c r="G85" s="564">
        <v>12</v>
      </c>
      <c r="H85" s="502">
        <f t="shared" ca="1" si="31"/>
        <v>7445</v>
      </c>
      <c r="I85" s="502">
        <f t="shared" ca="1" si="30"/>
        <v>7154</v>
      </c>
      <c r="J85" s="502">
        <v>15554.490506863425</v>
      </c>
      <c r="K85" s="502">
        <f t="shared" ca="1" si="25"/>
        <v>11400.740183189224</v>
      </c>
      <c r="L85" s="502">
        <f t="shared" ca="1" si="26"/>
        <v>2907.2598168107761</v>
      </c>
      <c r="M85" s="502">
        <f t="shared" si="27"/>
        <v>30253</v>
      </c>
      <c r="N85" s="502">
        <f t="shared" si="28"/>
        <v>30253</v>
      </c>
      <c r="O85" s="502">
        <f t="shared" ca="1" si="29"/>
        <v>12022.506544540518</v>
      </c>
    </row>
    <row r="86" spans="2:15" x14ac:dyDescent="0.35">
      <c r="B86" s="118" t="s">
        <v>626</v>
      </c>
      <c r="C86" s="118" t="str">
        <f>VLOOKUP(B86,坦克个性化设定!$B$18:$F$48,MATCH(C$73,坦克个性化设定!$B$18:$F$18,0),FALSE)</f>
        <v>T2</v>
      </c>
      <c r="D86" s="502">
        <f t="shared" ca="1" si="22"/>
        <v>1314.7549610658104</v>
      </c>
      <c r="E86" s="502">
        <f t="shared" ca="1" si="23"/>
        <v>8144.5068121616714</v>
      </c>
      <c r="G86" s="564">
        <v>13</v>
      </c>
      <c r="H86" s="502">
        <f t="shared" ca="1" si="31"/>
        <v>7848</v>
      </c>
      <c r="I86" s="502">
        <f t="shared" ca="1" si="30"/>
        <v>7581</v>
      </c>
      <c r="J86" s="502">
        <v>16672.62437279458</v>
      </c>
      <c r="K86" s="502">
        <f t="shared" ca="1" si="25"/>
        <v>12164.464018819583</v>
      </c>
      <c r="L86" s="502">
        <f t="shared" ca="1" si="26"/>
        <v>2997.5359811804174</v>
      </c>
      <c r="M86" s="502">
        <f t="shared" si="27"/>
        <v>31230</v>
      </c>
      <c r="N86" s="502">
        <f t="shared" si="28"/>
        <v>31230</v>
      </c>
      <c r="O86" s="502">
        <f t="shared" ca="1" si="29"/>
        <v>12408.357320786943</v>
      </c>
    </row>
    <row r="87" spans="2:15" x14ac:dyDescent="0.35">
      <c r="B87" s="118" t="s">
        <v>627</v>
      </c>
      <c r="C87" s="118" t="str">
        <f>VLOOKUP(B87,坦克个性化设定!$B$18:$F$48,MATCH(C$73,坦克个性化设定!$B$18:$F$18,0),FALSE)</f>
        <v>T3</v>
      </c>
      <c r="D87" s="502">
        <f t="shared" ca="1" si="22"/>
        <v>1864.6332784646675</v>
      </c>
      <c r="E87" s="502">
        <f t="shared" ca="1" si="23"/>
        <v>7389.1810270151045</v>
      </c>
      <c r="G87" s="564">
        <v>14</v>
      </c>
      <c r="H87" s="502">
        <f t="shared" ca="1" si="31"/>
        <v>8251</v>
      </c>
      <c r="I87" s="502">
        <f t="shared" ca="1" si="30"/>
        <v>8008</v>
      </c>
      <c r="J87" s="502">
        <v>17871.135242497763</v>
      </c>
      <c r="K87" s="502">
        <f t="shared" ca="1" si="25"/>
        <v>12962.86238789826</v>
      </c>
      <c r="L87" s="502">
        <f t="shared" ca="1" si="26"/>
        <v>3053.1376121017402</v>
      </c>
      <c r="M87" s="502">
        <f t="shared" si="27"/>
        <v>32068</v>
      </c>
      <c r="N87" s="502">
        <f t="shared" si="28"/>
        <v>32068</v>
      </c>
      <c r="O87" s="502">
        <f t="shared" ca="1" si="29"/>
        <v>12724.758408067826</v>
      </c>
    </row>
    <row r="88" spans="2:15" x14ac:dyDescent="0.35">
      <c r="B88" s="118" t="s">
        <v>718</v>
      </c>
      <c r="C88" s="118" t="str">
        <f>VLOOKUP(B88,坦克个性化设定!$B$18:$F$48,MATCH(C$73,坦克个性化设定!$B$18:$F$18,0),FALSE)</f>
        <v>T3</v>
      </c>
      <c r="D88" s="502">
        <f t="shared" ca="1" si="22"/>
        <v>1610.6512943719647</v>
      </c>
      <c r="E88" s="502">
        <f t="shared" ca="1" si="23"/>
        <v>10291.874912173902</v>
      </c>
      <c r="G88" s="564">
        <v>15</v>
      </c>
      <c r="H88" s="502">
        <f t="shared" ca="1" si="31"/>
        <v>8653</v>
      </c>
      <c r="I88" s="502">
        <f t="shared" ca="1" si="30"/>
        <v>8435</v>
      </c>
      <c r="J88" s="502">
        <v>19155.80101335379</v>
      </c>
      <c r="K88" s="502">
        <f t="shared" ca="1" si="25"/>
        <v>13797.939138747544</v>
      </c>
      <c r="L88" s="502">
        <f t="shared" ca="1" si="26"/>
        <v>3072.0608612524557</v>
      </c>
      <c r="M88" s="502">
        <f t="shared" si="27"/>
        <v>32781</v>
      </c>
      <c r="N88" s="502">
        <f t="shared" si="28"/>
        <v>32781</v>
      </c>
      <c r="O88" s="502">
        <f t="shared" ca="1" si="29"/>
        <v>12975.040574168304</v>
      </c>
    </row>
    <row r="89" spans="2:15" x14ac:dyDescent="0.35">
      <c r="B89" s="118" t="s">
        <v>625</v>
      </c>
      <c r="C89" s="118" t="str">
        <f>VLOOKUP(B89,坦克个性化设定!$B$18:$F$48,MATCH(C$73,坦克个性化设定!$B$18:$F$18,0),FALSE)</f>
        <v>T3</v>
      </c>
      <c r="D89" s="502">
        <f t="shared" ca="1" si="22"/>
        <v>1768.1314010504586</v>
      </c>
      <c r="E89" s="502">
        <f t="shared" ca="1" si="23"/>
        <v>10976.71938601273</v>
      </c>
      <c r="G89" s="564">
        <v>16</v>
      </c>
      <c r="H89" s="502">
        <f t="shared" ca="1" si="31"/>
        <v>9056</v>
      </c>
      <c r="I89" s="502">
        <f t="shared" ca="1" si="30"/>
        <v>8862</v>
      </c>
      <c r="J89" s="502">
        <v>20532.814926642575</v>
      </c>
      <c r="K89" s="502">
        <f t="shared" ca="1" si="25"/>
        <v>14671.745799252112</v>
      </c>
      <c r="L89" s="502">
        <f t="shared" ca="1" si="26"/>
        <v>3052.2542007478878</v>
      </c>
      <c r="M89" s="502">
        <f t="shared" si="27"/>
        <v>33380</v>
      </c>
      <c r="N89" s="502">
        <f t="shared" si="28"/>
        <v>33380</v>
      </c>
      <c r="O89" s="502">
        <f t="shared" ca="1" si="29"/>
        <v>13161.502800498592</v>
      </c>
    </row>
    <row r="90" spans="2:15" x14ac:dyDescent="0.35">
      <c r="B90" s="118" t="s">
        <v>719</v>
      </c>
      <c r="C90" s="118" t="str">
        <f>VLOOKUP(B90,坦克个性化设定!$B$18:$F$48,MATCH(C$73,坦克个性化设定!$B$18:$F$18,0),FALSE)</f>
        <v>T4</v>
      </c>
      <c r="D90" s="502">
        <f t="shared" ca="1" si="22"/>
        <v>2366.3094698319146</v>
      </c>
      <c r="E90" s="502">
        <f t="shared" ca="1" si="23"/>
        <v>9303.7513561482119</v>
      </c>
      <c r="G90" s="564">
        <v>17</v>
      </c>
      <c r="H90" s="502">
        <f t="shared" ca="1" si="31"/>
        <v>9459</v>
      </c>
      <c r="I90" s="502">
        <f t="shared" ca="1" si="30"/>
        <v>9290</v>
      </c>
      <c r="J90" s="502">
        <v>22008.815424521006</v>
      </c>
      <c r="K90" s="502">
        <f t="shared" ca="1" si="25"/>
        <v>15587.062849273345</v>
      </c>
      <c r="L90" s="502">
        <f t="shared" ca="1" si="26"/>
        <v>2992.9371507266551</v>
      </c>
      <c r="M90" s="502">
        <f t="shared" si="27"/>
        <v>33879</v>
      </c>
      <c r="N90" s="502">
        <f t="shared" si="28"/>
        <v>33879</v>
      </c>
      <c r="O90" s="502">
        <f t="shared" ca="1" si="29"/>
        <v>13288.291433817771</v>
      </c>
    </row>
    <row r="91" spans="2:15" x14ac:dyDescent="0.35">
      <c r="B91" s="118" t="s">
        <v>720</v>
      </c>
      <c r="C91" s="118" t="str">
        <f>VLOOKUP(B91,坦克个性化设定!$B$18:$F$48,MATCH(C$73,坦克个性化设定!$B$18:$F$18,0),FALSE)</f>
        <v>T4</v>
      </c>
      <c r="D91" s="502">
        <f t="shared" ca="1" si="22"/>
        <v>2090.1211922241309</v>
      </c>
      <c r="E91" s="502">
        <f t="shared" ca="1" si="23"/>
        <v>12782.711052866845</v>
      </c>
      <c r="G91" s="564">
        <v>18</v>
      </c>
      <c r="H91" s="502">
        <f t="shared" ca="1" si="31"/>
        <v>9862</v>
      </c>
      <c r="I91" s="502">
        <f t="shared" ca="1" si="30"/>
        <v>9717</v>
      </c>
      <c r="J91" s="502">
        <v>23590.918153268456</v>
      </c>
      <c r="K91" s="502">
        <f t="shared" ca="1" si="25"/>
        <v>16544.733934410116</v>
      </c>
      <c r="L91" s="502">
        <f t="shared" ca="1" si="26"/>
        <v>2889.2660655898835</v>
      </c>
      <c r="M91" s="502">
        <f t="shared" si="27"/>
        <v>34292</v>
      </c>
      <c r="N91" s="502">
        <f t="shared" si="28"/>
        <v>34292</v>
      </c>
      <c r="O91" s="502">
        <f t="shared" ca="1" si="29"/>
        <v>13356.844043726589</v>
      </c>
    </row>
    <row r="92" spans="2:15" x14ac:dyDescent="0.35">
      <c r="B92" s="118" t="s">
        <v>634</v>
      </c>
      <c r="C92" s="118" t="str">
        <f>VLOOKUP(B92,坦克个性化设定!$B$18:$F$48,MATCH(C$73,坦克个性化设定!$B$18:$F$18,0),FALSE)</f>
        <v>T4</v>
      </c>
      <c r="D92" s="502">
        <f t="shared" ca="1" si="22"/>
        <v>2263.1095732603585</v>
      </c>
      <c r="E92" s="502">
        <f t="shared" ca="1" si="23"/>
        <v>13603.936606948828</v>
      </c>
      <c r="G92" s="564">
        <v>19</v>
      </c>
      <c r="H92" s="502">
        <f t="shared" ca="1" si="31"/>
        <v>10265</v>
      </c>
      <c r="I92" s="502">
        <f t="shared" ca="1" si="30"/>
        <v>10144</v>
      </c>
      <c r="J92" s="502">
        <v>25286.750267084091</v>
      </c>
      <c r="K92" s="502">
        <f t="shared" ca="1" si="25"/>
        <v>17547.671995679164</v>
      </c>
      <c r="L92" s="502">
        <f t="shared" ca="1" si="26"/>
        <v>2740.328004320836</v>
      </c>
      <c r="M92" s="502">
        <f t="shared" si="27"/>
        <v>34633</v>
      </c>
      <c r="N92" s="502">
        <f t="shared" si="28"/>
        <v>34633</v>
      </c>
      <c r="O92" s="502">
        <f t="shared" ca="1" si="29"/>
        <v>13371.218669547225</v>
      </c>
    </row>
    <row r="93" spans="2:15" x14ac:dyDescent="0.35">
      <c r="B93" s="118" t="s">
        <v>636</v>
      </c>
      <c r="C93" s="118" t="str">
        <f>VLOOKUP(B93,坦克个性化设定!$B$18:$F$48,MATCH(C$73,坦克个性化设定!$B$18:$F$18,0),FALSE)</f>
        <v>T5</v>
      </c>
      <c r="D93" s="502">
        <f t="shared" ca="1" si="22"/>
        <v>3138.23740928091</v>
      </c>
      <c r="E93" s="502">
        <f t="shared" ca="1" si="23"/>
        <v>12271.089399602788</v>
      </c>
      <c r="G93" s="564">
        <v>20</v>
      </c>
      <c r="H93" s="502">
        <f t="shared" ca="1" si="31"/>
        <v>10668</v>
      </c>
      <c r="I93" s="502">
        <f t="shared" ca="1" si="30"/>
        <v>10571</v>
      </c>
      <c r="J93" s="502">
        <v>27104.487197811239</v>
      </c>
      <c r="K93" s="502">
        <f t="shared" ca="1" si="25"/>
        <v>18598.209956219835</v>
      </c>
      <c r="L93" s="502">
        <f t="shared" ca="1" si="26"/>
        <v>2543.7900437801654</v>
      </c>
      <c r="M93" s="502">
        <f t="shared" si="27"/>
        <v>34917</v>
      </c>
      <c r="N93" s="502">
        <f t="shared" si="28"/>
        <v>34917</v>
      </c>
      <c r="O93" s="502">
        <f t="shared" ca="1" si="29"/>
        <v>13334.860029186777</v>
      </c>
    </row>
    <row r="94" spans="2:15" x14ac:dyDescent="0.35">
      <c r="B94" s="118" t="s">
        <v>721</v>
      </c>
      <c r="C94" s="118" t="str">
        <f>VLOOKUP(B94,坦克个性化设定!$B$18:$F$48,MATCH(C$73,坦克个性化设定!$B$18:$F$18,0),FALSE)</f>
        <v>T1</v>
      </c>
      <c r="D94" s="502">
        <f t="shared" ca="1" si="22"/>
        <v>1482.2644321475595</v>
      </c>
      <c r="E94" s="502">
        <f t="shared" ca="1" si="23"/>
        <v>4884.6935669079357</v>
      </c>
      <c r="G94" s="564">
        <v>21</v>
      </c>
      <c r="H94" s="502">
        <f t="shared" ca="1" si="31"/>
        <v>11071</v>
      </c>
      <c r="I94" s="502">
        <f t="shared" ca="1" si="30"/>
        <v>10998</v>
      </c>
      <c r="J94" s="502">
        <v>29052.892067851655</v>
      </c>
      <c r="K94" s="502">
        <f t="shared" ca="1" si="25"/>
        <v>19698.769958478992</v>
      </c>
      <c r="L94" s="502">
        <f t="shared" ca="1" si="26"/>
        <v>2297.2300415210084</v>
      </c>
      <c r="M94" s="502">
        <f t="shared" si="27"/>
        <v>35158</v>
      </c>
      <c r="N94" s="502">
        <f t="shared" si="28"/>
        <v>35158</v>
      </c>
      <c r="O94" s="502">
        <f t="shared" ca="1" si="29"/>
        <v>13250.820027680673</v>
      </c>
    </row>
    <row r="95" spans="2:15" x14ac:dyDescent="0.35">
      <c r="B95" s="118" t="s">
        <v>630</v>
      </c>
      <c r="C95" s="118" t="str">
        <f>VLOOKUP(B95,坦克个性化设定!$B$18:$F$48,MATCH(C$73,坦克个性化设定!$B$18:$F$18,0),FALSE)</f>
        <v>T2</v>
      </c>
      <c r="D95" s="502">
        <f t="shared" ca="1" si="22"/>
        <v>1668.1540880551638</v>
      </c>
      <c r="E95" s="502">
        <f t="shared" ca="1" si="23"/>
        <v>6277.9209606553104</v>
      </c>
      <c r="G95" s="564">
        <v>22</v>
      </c>
      <c r="H95" s="502">
        <f t="shared" ca="1" si="31"/>
        <v>11474</v>
      </c>
      <c r="I95" s="502">
        <f t="shared" ca="1" si="30"/>
        <v>11425</v>
      </c>
      <c r="J95" s="502">
        <v>31141.357936275534</v>
      </c>
      <c r="K95" s="502">
        <f t="shared" ca="1" si="25"/>
        <v>20851.870124863821</v>
      </c>
      <c r="L95" s="502">
        <f t="shared" ca="1" si="26"/>
        <v>1998.1298751361792</v>
      </c>
      <c r="M95" s="502">
        <f t="shared" si="27"/>
        <v>35373</v>
      </c>
      <c r="N95" s="502">
        <f t="shared" si="28"/>
        <v>35373</v>
      </c>
      <c r="O95" s="502">
        <f t="shared" ca="1" si="29"/>
        <v>13123.086583424119</v>
      </c>
    </row>
    <row r="96" spans="2:15" x14ac:dyDescent="0.35">
      <c r="B96" s="118" t="s">
        <v>631</v>
      </c>
      <c r="C96" s="118" t="str">
        <f>VLOOKUP(B96,坦克个性化设定!$B$18:$F$48,MATCH(C$73,坦克个性化设定!$B$18:$F$18,0),FALSE)</f>
        <v>T2</v>
      </c>
      <c r="D96" s="502">
        <f t="shared" ca="1" si="22"/>
        <v>1443.3238746924849</v>
      </c>
      <c r="E96" s="502">
        <f t="shared" ca="1" si="23"/>
        <v>8688.5683214623114</v>
      </c>
      <c r="G96" s="564">
        <v>23</v>
      </c>
      <c r="H96" s="502">
        <f t="shared" ca="1" si="31"/>
        <v>11876</v>
      </c>
      <c r="I96" s="502">
        <f t="shared" ca="1" si="30"/>
        <v>11852</v>
      </c>
      <c r="J96" s="502">
        <v>33379.953081791165</v>
      </c>
      <c r="K96" s="502">
        <f t="shared" ca="1" si="25"/>
        <v>22060.131161466845</v>
      </c>
      <c r="L96" s="502">
        <f t="shared" ca="1" si="26"/>
        <v>1643.8688385331552</v>
      </c>
      <c r="M96" s="502">
        <f t="shared" si="27"/>
        <v>35576</v>
      </c>
      <c r="N96" s="502">
        <f t="shared" si="28"/>
        <v>35576</v>
      </c>
      <c r="O96" s="502">
        <f t="shared" ca="1" si="29"/>
        <v>12954.579225688771</v>
      </c>
    </row>
    <row r="97" spans="2:15" x14ac:dyDescent="0.35">
      <c r="B97" s="118" t="s">
        <v>628</v>
      </c>
      <c r="C97" s="118" t="str">
        <f>VLOOKUP(B97,坦克个性化设定!$B$18:$F$48,MATCH(C$73,坦克个性化设定!$B$18:$F$18,0),FALSE)</f>
        <v>T3</v>
      </c>
      <c r="D97" s="502">
        <f t="shared" ca="1" si="22"/>
        <v>2147.1126398326255</v>
      </c>
      <c r="E97" s="502">
        <f t="shared" ca="1" si="23"/>
        <v>8359.9786482980926</v>
      </c>
      <c r="G97" s="564">
        <v>24</v>
      </c>
      <c r="H97" s="502">
        <f ca="1">AVERAGE(E83,E93,E103)</f>
        <v>12279.350242571832</v>
      </c>
      <c r="I97" s="502">
        <f ca="1">AVERAGE(E83,E93,E103)</f>
        <v>12279.350242571832</v>
      </c>
      <c r="J97" s="502">
        <v>35779.469540878978</v>
      </c>
      <c r="K97" s="502">
        <f t="shared" ca="1" si="25"/>
        <v>23326.549029551043</v>
      </c>
      <c r="L97" s="502">
        <f t="shared" ca="1" si="26"/>
        <v>1232.1514555926224</v>
      </c>
      <c r="M97" s="502">
        <f t="shared" si="27"/>
        <v>35785</v>
      </c>
      <c r="N97" s="502">
        <f t="shared" si="28"/>
        <v>35785</v>
      </c>
      <c r="O97" s="502">
        <f t="shared" ca="1" si="29"/>
        <v>12749.767637061748</v>
      </c>
    </row>
    <row r="98" spans="2:15" x14ac:dyDescent="0.35">
      <c r="B98" s="118" t="s">
        <v>632</v>
      </c>
      <c r="C98" s="118" t="str">
        <f>VLOOKUP(B98,坦克个性化设定!$B$18:$F$48,MATCH(C$73,坦克个性化设定!$B$18:$F$18,0),FALSE)</f>
        <v>T3</v>
      </c>
      <c r="D98" s="502">
        <f t="shared" ca="1" si="22"/>
        <v>1767.8489781820656</v>
      </c>
      <c r="E98" s="502">
        <f t="shared" ca="1" si="23"/>
        <v>10974.44933387631</v>
      </c>
    </row>
    <row r="99" spans="2:15" x14ac:dyDescent="0.35">
      <c r="B99" s="118" t="s">
        <v>633</v>
      </c>
      <c r="C99" s="118" t="str">
        <f>VLOOKUP(B99,坦克个性化设定!$B$18:$F$48,MATCH(C$73,坦克个性化设定!$B$18:$F$18,0),FALSE)</f>
        <v>T3</v>
      </c>
      <c r="D99" s="502">
        <f t="shared" ca="1" si="22"/>
        <v>1905.6169493045115</v>
      </c>
      <c r="E99" s="502">
        <f t="shared" ca="1" si="23"/>
        <v>11251.27853662015</v>
      </c>
    </row>
    <row r="100" spans="2:15" x14ac:dyDescent="0.35">
      <c r="B100" s="118" t="s">
        <v>635</v>
      </c>
      <c r="C100" s="118" t="str">
        <f>VLOOKUP(B100,坦克个性化设定!$B$18:$F$48,MATCH(C$73,坦克个性化设定!$B$18:$F$18,0),FALSE)</f>
        <v>T4</v>
      </c>
      <c r="D100" s="502">
        <f t="shared" ca="1" si="22"/>
        <v>2757.5445268365784</v>
      </c>
      <c r="E100" s="502">
        <f t="shared" ca="1" si="23"/>
        <v>10539.987102446281</v>
      </c>
      <c r="H100" s="121"/>
    </row>
    <row r="101" spans="2:15" x14ac:dyDescent="0.35">
      <c r="B101" s="118" t="s">
        <v>629</v>
      </c>
      <c r="C101" s="118" t="str">
        <f>VLOOKUP(B101,坦克个性化设定!$B$18:$F$48,MATCH(C$73,坦克个性化设定!$B$18:$F$18,0),FALSE)</f>
        <v>T4</v>
      </c>
      <c r="D101" s="502">
        <f t="shared" ca="1" si="22"/>
        <v>2275.2157624648539</v>
      </c>
      <c r="E101" s="502">
        <f t="shared" ca="1" si="23"/>
        <v>13115.714983726984</v>
      </c>
      <c r="H101" s="121"/>
    </row>
    <row r="102" spans="2:15" x14ac:dyDescent="0.35">
      <c r="B102" s="118" t="s">
        <v>722</v>
      </c>
      <c r="C102" s="118" t="str">
        <f>VLOOKUP(B102,坦克个性化设定!$B$18:$F$48,MATCH(C$73,坦克个性化设定!$B$18:$F$18,0),FALSE)</f>
        <v>T4</v>
      </c>
      <c r="D102" s="502">
        <f t="shared" ca="1" si="22"/>
        <v>2536.9014703276648</v>
      </c>
      <c r="E102" s="502">
        <f t="shared" ca="1" si="23"/>
        <v>14540.883759973611</v>
      </c>
      <c r="H102" s="121"/>
    </row>
    <row r="103" spans="2:15" x14ac:dyDescent="0.35">
      <c r="B103" s="118" t="s">
        <v>637</v>
      </c>
      <c r="C103" s="118" t="str">
        <f>VLOOKUP(B103,坦克个性化设定!$B$18:$F$48,MATCH(C$73,坦克个性化设定!$B$18:$F$18,0),FALSE)</f>
        <v>T5</v>
      </c>
      <c r="D103" s="502">
        <f t="shared" ca="1" si="22"/>
        <v>3445.5159301859499</v>
      </c>
      <c r="E103" s="502">
        <f t="shared" ca="1" si="23"/>
        <v>13084.344351500669</v>
      </c>
      <c r="H103" s="121"/>
    </row>
    <row r="104" spans="2:15" x14ac:dyDescent="0.35">
      <c r="H104" s="121"/>
    </row>
    <row r="105" spans="2:15" x14ac:dyDescent="0.35">
      <c r="H105" s="121"/>
    </row>
    <row r="106" spans="2:15" x14ac:dyDescent="0.35">
      <c r="H106" s="121"/>
    </row>
    <row r="107" spans="2:15" x14ac:dyDescent="0.35">
      <c r="H107" s="121"/>
    </row>
    <row r="108" spans="2:15" x14ac:dyDescent="0.35">
      <c r="H108" s="121"/>
    </row>
    <row r="109" spans="2:15" x14ac:dyDescent="0.35">
      <c r="H109" s="121"/>
    </row>
    <row r="110" spans="2:15" x14ac:dyDescent="0.35">
      <c r="H110" s="121"/>
    </row>
    <row r="111" spans="2:15" x14ac:dyDescent="0.35">
      <c r="H111" s="121"/>
    </row>
    <row r="112" spans="2:15" x14ac:dyDescent="0.35">
      <c r="H112" s="121"/>
    </row>
    <row r="113" spans="8:8" x14ac:dyDescent="0.35">
      <c r="H113" s="121"/>
    </row>
    <row r="114" spans="8:8" x14ac:dyDescent="0.35">
      <c r="H114" s="121"/>
    </row>
    <row r="115" spans="8:8" x14ac:dyDescent="0.35">
      <c r="H115" s="121"/>
    </row>
    <row r="116" spans="8:8" x14ac:dyDescent="0.35">
      <c r="H116" s="121"/>
    </row>
  </sheetData>
  <mergeCells count="3">
    <mergeCell ref="B39:Q39"/>
    <mergeCell ref="B72:E72"/>
    <mergeCell ref="G72:O72"/>
  </mergeCells>
  <phoneticPr fontId="101" type="noConversion"/>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dimension ref="B3:AI234"/>
  <sheetViews>
    <sheetView workbookViewId="0">
      <selection activeCell="T5" sqref="T5:AI234"/>
    </sheetView>
  </sheetViews>
  <sheetFormatPr defaultColWidth="9" defaultRowHeight="13" x14ac:dyDescent="0.35"/>
  <cols>
    <col min="1" max="16384" width="9" style="274"/>
  </cols>
  <sheetData>
    <row r="3" spans="2:35" x14ac:dyDescent="0.35">
      <c r="B3" s="273" t="s">
        <v>1217</v>
      </c>
      <c r="C3" s="273" t="s">
        <v>1221</v>
      </c>
      <c r="J3" s="287"/>
      <c r="K3" s="287"/>
      <c r="L3" s="287"/>
    </row>
    <row r="4" spans="2:35" x14ac:dyDescent="0.35">
      <c r="B4" s="273" t="s">
        <v>1218</v>
      </c>
      <c r="C4" s="8">
        <v>1</v>
      </c>
    </row>
    <row r="5" spans="2:35" x14ac:dyDescent="0.35">
      <c r="B5" s="273" t="s">
        <v>1219</v>
      </c>
      <c r="C5" s="8">
        <v>2</v>
      </c>
      <c r="T5" s="763" t="s">
        <v>1243</v>
      </c>
      <c r="U5" s="744"/>
      <c r="V5" s="744"/>
      <c r="W5" s="744"/>
      <c r="X5" s="744"/>
      <c r="Y5" s="744"/>
      <c r="Z5" s="744"/>
      <c r="AA5" s="158"/>
      <c r="AB5" s="158"/>
      <c r="AC5" s="158"/>
      <c r="AD5" s="158"/>
      <c r="AE5" s="158"/>
      <c r="AF5" s="158"/>
      <c r="AG5" s="158"/>
      <c r="AH5" s="158"/>
      <c r="AI5" s="158"/>
    </row>
    <row r="6" spans="2:35" x14ac:dyDescent="0.35">
      <c r="B6" s="273" t="s">
        <v>1220</v>
      </c>
      <c r="C6" s="8">
        <v>3</v>
      </c>
      <c r="T6" s="273" t="s">
        <v>1236</v>
      </c>
      <c r="U6" s="273" t="s">
        <v>1237</v>
      </c>
      <c r="V6" s="273" t="s">
        <v>1238</v>
      </c>
      <c r="W6" s="273" t="s">
        <v>1242</v>
      </c>
      <c r="X6" s="273" t="s">
        <v>1217</v>
      </c>
      <c r="Y6" s="273" t="s">
        <v>1228</v>
      </c>
      <c r="Z6" s="273" t="s">
        <v>1230</v>
      </c>
      <c r="AA6" s="158"/>
      <c r="AB6" s="158"/>
      <c r="AC6" s="158"/>
      <c r="AD6" s="158"/>
      <c r="AE6" s="158"/>
      <c r="AF6" s="158"/>
      <c r="AG6" s="158"/>
      <c r="AH6" s="158"/>
      <c r="AI6" s="158"/>
    </row>
    <row r="7" spans="2:35" x14ac:dyDescent="0.35">
      <c r="T7" s="256" t="str">
        <f>W7&amp;V7&amp;LEFT(道具价值!R988)&amp;LEFT(X7,1)&amp;LEFT(Y7,1)</f>
        <v>T2低轻贴三</v>
      </c>
      <c r="U7" s="8">
        <v>1</v>
      </c>
      <c r="V7" s="8" t="s">
        <v>1239</v>
      </c>
      <c r="W7" s="256" t="str">
        <f>VLOOKUP($U7,'坦克涂装-作废'!$B$23:$I$99,MATCH(W$6,'坦克涂装-作废'!$B$23:$I$23,0),FALSE)</f>
        <v>T2低</v>
      </c>
      <c r="X7" s="256" t="str">
        <f>VLOOKUP($U7,'坦克涂装-作废'!$B$23:$I$99,MATCH(X$6,'坦克涂装-作废'!$B$23:$I$23,0),FALSE)</f>
        <v>贴花</v>
      </c>
      <c r="Y7" s="256" t="str">
        <f>VLOOKUP($U7,'坦克涂装-作废'!$B$23:$I$99,MATCH(Y$6,'坦克涂装-作废'!$B$23:$I$23,0),FALSE)</f>
        <v>三天</v>
      </c>
      <c r="Z7" s="159">
        <f>VLOOKUP($U7,'坦克涂装-作废'!$B$23:$I$99,MATCH(Z$6,'坦克涂装-作废'!$B$23:$I$23,0),FALSE)</f>
        <v>202.50000000000003</v>
      </c>
      <c r="AA7" s="158"/>
      <c r="AB7" s="158"/>
      <c r="AC7" s="158"/>
      <c r="AD7" s="158"/>
      <c r="AE7" s="158"/>
      <c r="AF7" s="158"/>
      <c r="AG7" s="158"/>
      <c r="AH7" s="158"/>
      <c r="AI7" s="158"/>
    </row>
    <row r="8" spans="2:35" x14ac:dyDescent="0.35">
      <c r="T8" s="256" t="str">
        <f>W8&amp;V8&amp;LEFT(道具价值!R989)&amp;LEFT(X8,1)&amp;LEFT(Y8,1)</f>
        <v>T2低中贴三</v>
      </c>
      <c r="U8" s="256">
        <f>IF(V7="重",U7+1,U7)</f>
        <v>1</v>
      </c>
      <c r="V8" s="8" t="s">
        <v>1240</v>
      </c>
      <c r="W8" s="256" t="str">
        <f>VLOOKUP($U8,'坦克涂装-作废'!$B$23:$I$99,MATCH(W$6,'坦克涂装-作废'!$B$23:$I$23,0),FALSE)</f>
        <v>T2低</v>
      </c>
      <c r="X8" s="256" t="str">
        <f>VLOOKUP($U8,'坦克涂装-作废'!$B$23:$I$99,MATCH(X$6,'坦克涂装-作废'!$B$23:$I$23,0),FALSE)</f>
        <v>贴花</v>
      </c>
      <c r="Y8" s="256" t="str">
        <f>VLOOKUP($U8,'坦克涂装-作废'!$B$23:$I$99,MATCH(Y$6,'坦克涂装-作废'!$B$23:$I$23,0),FALSE)</f>
        <v>三天</v>
      </c>
      <c r="Z8" s="159">
        <f>VLOOKUP($U8,'坦克涂装-作废'!$B$23:$I$99,MATCH(Z$6,'坦克涂装-作废'!$B$23:$I$23,0),FALSE)</f>
        <v>202.50000000000003</v>
      </c>
      <c r="AA8" s="158"/>
      <c r="AB8" s="158"/>
      <c r="AC8" s="158"/>
      <c r="AD8" s="158"/>
      <c r="AE8" s="158"/>
      <c r="AF8" s="158"/>
      <c r="AG8" s="158"/>
      <c r="AH8" s="158"/>
      <c r="AI8" s="158"/>
    </row>
    <row r="9" spans="2:35" x14ac:dyDescent="0.35">
      <c r="B9" s="273" t="s">
        <v>1222</v>
      </c>
      <c r="C9" s="273" t="s">
        <v>1223</v>
      </c>
      <c r="D9" s="273" t="s">
        <v>1224</v>
      </c>
      <c r="E9" s="273" t="s">
        <v>1218</v>
      </c>
      <c r="F9" s="273" t="s">
        <v>1219</v>
      </c>
      <c r="G9" s="273" t="s">
        <v>1220</v>
      </c>
      <c r="T9" s="256" t="str">
        <f>W9&amp;V9&amp;LEFT(道具价值!R990)&amp;LEFT(X9,1)&amp;LEFT(Y9,1)</f>
        <v>T2低重贴三</v>
      </c>
      <c r="U9" s="256">
        <f>IF(V8="重",U8+1,U8)</f>
        <v>1</v>
      </c>
      <c r="V9" s="8" t="s">
        <v>1241</v>
      </c>
      <c r="W9" s="256" t="str">
        <f>VLOOKUP($U9,'坦克涂装-作废'!$B$23:$I$99,MATCH(W$6,'坦克涂装-作废'!$B$23:$I$23,0),FALSE)</f>
        <v>T2低</v>
      </c>
      <c r="X9" s="256" t="str">
        <f>VLOOKUP($U9,'坦克涂装-作废'!$B$23:$I$99,MATCH(X$6,'坦克涂装-作废'!$B$23:$I$23,0),FALSE)</f>
        <v>贴花</v>
      </c>
      <c r="Y9" s="256" t="str">
        <f>VLOOKUP($U9,'坦克涂装-作废'!$B$23:$I$99,MATCH(Y$6,'坦克涂装-作废'!$B$23:$I$23,0),FALSE)</f>
        <v>三天</v>
      </c>
      <c r="Z9" s="159">
        <f>VLOOKUP($U9,'坦克涂装-作废'!$B$23:$I$99,MATCH(Z$6,'坦克涂装-作废'!$B$23:$I$23,0),FALSE)</f>
        <v>202.50000000000003</v>
      </c>
      <c r="AA9" s="158"/>
      <c r="AB9" s="158"/>
      <c r="AC9" s="158"/>
      <c r="AD9" s="158"/>
      <c r="AE9" s="158"/>
      <c r="AF9" s="158"/>
      <c r="AG9" s="158"/>
      <c r="AH9" s="158"/>
      <c r="AI9" s="158"/>
    </row>
    <row r="10" spans="2:35" x14ac:dyDescent="0.35">
      <c r="B10" s="257" t="s">
        <v>1103</v>
      </c>
      <c r="C10" s="277">
        <f>游戏时长规划!D68</f>
        <v>16.2</v>
      </c>
      <c r="D10" s="8">
        <v>1.26</v>
      </c>
      <c r="E10" s="273">
        <f>$D10*$C10*VLOOKUP(E$9,$B$3:$C$6,2,FALSE)*基础经济系数!$C$2</f>
        <v>2041.1999999999998</v>
      </c>
      <c r="F10" s="278">
        <f>$D10*$C10*VLOOKUP(F$9,$B$3:$C$6,2,FALSE)*基础经济系数!$C$2</f>
        <v>4082.3999999999996</v>
      </c>
      <c r="G10" s="278">
        <f>$D10*$C10*VLOOKUP(G$9,$B$3:$C$6,2,FALSE)*基础经济系数!$C$2</f>
        <v>6123.5999999999995</v>
      </c>
      <c r="T10" s="256" t="str">
        <f>W10&amp;V10&amp;LEFT(道具价值!R991)&amp;LEFT(X10,1)&amp;LEFT(Y10,1)</f>
        <v>T2低轻贴永</v>
      </c>
      <c r="U10" s="256">
        <f>IF(V9="重",U9+1,U9)</f>
        <v>2</v>
      </c>
      <c r="V10" s="256" t="str">
        <f>V7</f>
        <v>轻</v>
      </c>
      <c r="W10" s="256" t="str">
        <f>VLOOKUP($U10,'坦克涂装-作废'!$B$23:$I$99,MATCH(W$6,'坦克涂装-作废'!$B$23:$I$23,0),FALSE)</f>
        <v>T2低</v>
      </c>
      <c r="X10" s="256" t="str">
        <f>VLOOKUP($U10,'坦克涂装-作废'!$B$23:$I$99,MATCH(X$6,'坦克涂装-作废'!$B$23:$I$23,0),FALSE)</f>
        <v>贴花</v>
      </c>
      <c r="Y10" s="256" t="str">
        <f>VLOOKUP($U10,'坦克涂装-作废'!$B$23:$I$99,MATCH(Y$6,'坦克涂装-作废'!$B$23:$I$23,0),FALSE)</f>
        <v>永久</v>
      </c>
      <c r="Z10" s="159">
        <f>VLOOKUP($U10,'坦克涂装-作废'!$B$23:$I$99,MATCH(Z$6,'坦克涂装-作废'!$B$23:$I$23,0),FALSE)</f>
        <v>2024.9999999999998</v>
      </c>
      <c r="AA10" s="158"/>
      <c r="AB10" s="158"/>
      <c r="AC10" s="158"/>
      <c r="AD10" s="158"/>
      <c r="AE10" s="158"/>
      <c r="AF10" s="158"/>
      <c r="AG10" s="158"/>
      <c r="AH10" s="158"/>
      <c r="AI10" s="158"/>
    </row>
    <row r="11" spans="2:35" x14ac:dyDescent="0.35">
      <c r="B11" s="257" t="s">
        <v>1104</v>
      </c>
      <c r="C11" s="277">
        <f>游戏时长规划!D69</f>
        <v>48.6</v>
      </c>
      <c r="D11" s="8">
        <v>0.92</v>
      </c>
      <c r="E11" s="273">
        <f>$D11*$C11*VLOOKUP(E$9,$B$3:$C$6,2,FALSE)*基础经济系数!$C$2</f>
        <v>4471.2000000000007</v>
      </c>
      <c r="F11" s="278">
        <f>$D11*$C11*VLOOKUP(F$9,$B$3:$C$6,2,FALSE)*基础经济系数!$C$2</f>
        <v>8942.4000000000015</v>
      </c>
      <c r="G11" s="278">
        <f>$D11*$C11*VLOOKUP(G$9,$B$3:$C$6,2,FALSE)*基础经济系数!$C$2</f>
        <v>13413.600000000002</v>
      </c>
      <c r="T11" s="256" t="str">
        <f>W11&amp;V11&amp;LEFT(道具价值!R992)&amp;LEFT(X11,1)&amp;LEFT(Y11,1)</f>
        <v>T2低中贴永</v>
      </c>
      <c r="U11" s="256">
        <f>IF(V10="重",U10+1,U10)</f>
        <v>2</v>
      </c>
      <c r="V11" s="256" t="str">
        <f>V8</f>
        <v>中</v>
      </c>
      <c r="W11" s="256" t="str">
        <f>VLOOKUP($U11,'坦克涂装-作废'!$B$23:$I$99,MATCH(W$6,'坦克涂装-作废'!$B$23:$I$23,0),FALSE)</f>
        <v>T2低</v>
      </c>
      <c r="X11" s="256" t="str">
        <f>VLOOKUP($U11,'坦克涂装-作废'!$B$23:$I$99,MATCH(X$6,'坦克涂装-作废'!$B$23:$I$23,0),FALSE)</f>
        <v>贴花</v>
      </c>
      <c r="Y11" s="256" t="str">
        <f>VLOOKUP($U11,'坦克涂装-作废'!$B$23:$I$99,MATCH(Y$6,'坦克涂装-作废'!$B$23:$I$23,0),FALSE)</f>
        <v>永久</v>
      </c>
      <c r="Z11" s="159">
        <f>VLOOKUP($U11,'坦克涂装-作废'!$B$23:$I$99,MATCH(Z$6,'坦克涂装-作废'!$B$23:$I$23,0),FALSE)</f>
        <v>2024.9999999999998</v>
      </c>
      <c r="AA11" s="158"/>
      <c r="AB11" s="158"/>
      <c r="AC11" s="158"/>
      <c r="AD11" s="158"/>
      <c r="AE11" s="158"/>
      <c r="AF11" s="158"/>
      <c r="AG11" s="158"/>
      <c r="AH11" s="158"/>
      <c r="AI11" s="158"/>
    </row>
    <row r="12" spans="2:35" x14ac:dyDescent="0.35">
      <c r="B12" s="257" t="s">
        <v>1105</v>
      </c>
      <c r="C12" s="277">
        <f>游戏时长规划!D70</f>
        <v>36.700000000000003</v>
      </c>
      <c r="D12" s="8">
        <v>0.76</v>
      </c>
      <c r="E12" s="273">
        <f>$D12*$C12*VLOOKUP(E$9,$B$3:$C$6,2,FALSE)*基础经济系数!$C$2</f>
        <v>2789.2000000000003</v>
      </c>
      <c r="F12" s="273">
        <f>$D12*$C12*VLOOKUP(F$9,$B$3:$C$6,2,FALSE)*基础经济系数!$C$2</f>
        <v>5578.4000000000005</v>
      </c>
      <c r="G12" s="278">
        <f>$D12*$C12*VLOOKUP(G$9,$B$3:$C$6,2,FALSE)*基础经济系数!$C$2</f>
        <v>8367.6000000000022</v>
      </c>
      <c r="T12" s="256" t="str">
        <f>W12&amp;V12&amp;LEFT(道具价值!R993)&amp;LEFT(X12,1)&amp;LEFT(Y12,1)</f>
        <v>T2低重贴永</v>
      </c>
      <c r="U12" s="256">
        <f>IF(V11="重",U11+1,U11)</f>
        <v>2</v>
      </c>
      <c r="V12" s="256" t="str">
        <f>V9</f>
        <v>重</v>
      </c>
      <c r="W12" s="256" t="str">
        <f>VLOOKUP($U12,'坦克涂装-作废'!$B$23:$I$99,MATCH(W$6,'坦克涂装-作废'!$B$23:$I$23,0),FALSE)</f>
        <v>T2低</v>
      </c>
      <c r="X12" s="256" t="str">
        <f>VLOOKUP($U12,'坦克涂装-作废'!$B$23:$I$99,MATCH(X$6,'坦克涂装-作废'!$B$23:$I$23,0),FALSE)</f>
        <v>贴花</v>
      </c>
      <c r="Y12" s="256" t="str">
        <f>VLOOKUP($U12,'坦克涂装-作废'!$B$23:$I$99,MATCH(Y$6,'坦克涂装-作废'!$B$23:$I$23,0),FALSE)</f>
        <v>永久</v>
      </c>
      <c r="Z12" s="159">
        <f>VLOOKUP($U12,'坦克涂装-作废'!$B$23:$I$99,MATCH(Z$6,'坦克涂装-作废'!$B$23:$I$23,0),FALSE)</f>
        <v>2024.9999999999998</v>
      </c>
      <c r="AA12" s="158"/>
      <c r="AB12" s="158"/>
      <c r="AC12" s="158"/>
      <c r="AD12" s="158"/>
      <c r="AE12" s="158"/>
      <c r="AF12" s="158"/>
      <c r="AG12" s="158"/>
      <c r="AH12" s="158"/>
      <c r="AI12" s="158"/>
    </row>
    <row r="13" spans="2:35" x14ac:dyDescent="0.35">
      <c r="B13" s="257" t="s">
        <v>1106</v>
      </c>
      <c r="C13" s="277">
        <f>游戏时长规划!D71</f>
        <v>110.4</v>
      </c>
      <c r="D13" s="8">
        <v>0.6</v>
      </c>
      <c r="E13" s="273">
        <f>$D13*$C13*VLOOKUP(E$9,$B$3:$C$6,2,FALSE)*基础经济系数!$C$2</f>
        <v>6623.9999999999991</v>
      </c>
      <c r="F13" s="273">
        <f>$D13*$C13*VLOOKUP(F$9,$B$3:$C$6,2,FALSE)*基础经济系数!$C$2</f>
        <v>13247.999999999998</v>
      </c>
      <c r="G13" s="278">
        <f>$D13*$C13*VLOOKUP(G$9,$B$3:$C$6,2,FALSE)*基础经济系数!$C$2</f>
        <v>19871.999999999996</v>
      </c>
      <c r="T13" s="256" t="str">
        <f>W13&amp;V13&amp;LEFT(道具价值!R994)&amp;LEFT(X13,1)&amp;LEFT(Y13,1)</f>
        <v>T2中轻贴三</v>
      </c>
      <c r="U13" s="256">
        <f>IF(V12="重",U12+1,U12)</f>
        <v>3</v>
      </c>
      <c r="V13" s="256" t="str">
        <f>V10</f>
        <v>轻</v>
      </c>
      <c r="W13" s="256" t="str">
        <f>VLOOKUP($U13,'坦克涂装-作废'!$B$23:$I$99,MATCH(W$6,'坦克涂装-作废'!$B$23:$I$23,0),FALSE)</f>
        <v>T2中</v>
      </c>
      <c r="X13" s="256" t="str">
        <f>VLOOKUP($U13,'坦克涂装-作废'!$B$23:$I$99,MATCH(X$6,'坦克涂装-作废'!$B$23:$I$23,0),FALSE)</f>
        <v>贴花</v>
      </c>
      <c r="Y13" s="256" t="str">
        <f>VLOOKUP($U13,'坦克涂装-作废'!$B$23:$I$99,MATCH(Y$6,'坦克涂装-作废'!$B$23:$I$23,0),FALSE)</f>
        <v>三天</v>
      </c>
      <c r="Z13" s="159">
        <f>VLOOKUP($U13,'坦克涂装-作废'!$B$23:$I$99,MATCH(Z$6,'坦克涂装-作废'!$B$23:$I$23,0),FALSE)</f>
        <v>648</v>
      </c>
      <c r="AA13" s="158"/>
      <c r="AB13" s="158"/>
      <c r="AC13" s="158"/>
      <c r="AD13" s="158"/>
      <c r="AE13" s="158"/>
      <c r="AF13" s="158"/>
      <c r="AG13" s="158"/>
      <c r="AH13" s="158"/>
      <c r="AI13" s="158"/>
    </row>
    <row r="14" spans="2:35" x14ac:dyDescent="0.35">
      <c r="B14" s="257" t="s">
        <v>1107</v>
      </c>
      <c r="C14" s="277">
        <f>游戏时长规划!D72</f>
        <v>133.4</v>
      </c>
      <c r="D14" s="8">
        <v>0.45</v>
      </c>
      <c r="E14" s="273">
        <f>$D14*$C14*VLOOKUP(E$9,$B$3:$C$6,2,FALSE)*基础经济系数!$C$2</f>
        <v>6003</v>
      </c>
      <c r="F14" s="273">
        <f>$D14*$C14*VLOOKUP(F$9,$B$3:$C$6,2,FALSE)*基础经济系数!$C$2</f>
        <v>12006</v>
      </c>
      <c r="G14" s="278">
        <f>$D14*$C14*VLOOKUP(G$9,$B$3:$C$6,2,FALSE)*基础经济系数!$C$2</f>
        <v>18009</v>
      </c>
      <c r="T14" s="256" t="str">
        <f>W14&amp;V14&amp;LEFT(道具价值!R995)&amp;LEFT(X14,1)&amp;LEFT(Y14,1)</f>
        <v>T2中中贴三</v>
      </c>
      <c r="U14" s="256">
        <f>IF(V13="重",U13+1,U13)</f>
        <v>3</v>
      </c>
      <c r="V14" s="256" t="str">
        <f>V11</f>
        <v>中</v>
      </c>
      <c r="W14" s="256" t="str">
        <f>VLOOKUP($U14,'坦克涂装-作废'!$B$23:$I$99,MATCH(W$6,'坦克涂装-作废'!$B$23:$I$23,0),FALSE)</f>
        <v>T2中</v>
      </c>
      <c r="X14" s="256" t="str">
        <f>VLOOKUP($U14,'坦克涂装-作废'!$B$23:$I$99,MATCH(X$6,'坦克涂装-作废'!$B$23:$I$23,0),FALSE)</f>
        <v>贴花</v>
      </c>
      <c r="Y14" s="256" t="str">
        <f>VLOOKUP($U14,'坦克涂装-作废'!$B$23:$I$99,MATCH(Y$6,'坦克涂装-作废'!$B$23:$I$23,0),FALSE)</f>
        <v>三天</v>
      </c>
      <c r="Z14" s="159">
        <f>VLOOKUP($U14,'坦克涂装-作废'!$B$23:$I$99,MATCH(Z$6,'坦克涂装-作废'!$B$23:$I$23,0),FALSE)</f>
        <v>648</v>
      </c>
      <c r="AA14" s="158"/>
      <c r="AB14" s="158"/>
      <c r="AC14" s="158"/>
      <c r="AD14" s="158"/>
      <c r="AE14" s="158"/>
      <c r="AF14" s="158"/>
      <c r="AG14" s="158"/>
      <c r="AH14" s="158"/>
      <c r="AI14" s="158"/>
    </row>
    <row r="15" spans="2:35" x14ac:dyDescent="0.35">
      <c r="B15" s="257" t="s">
        <v>1108</v>
      </c>
      <c r="C15" s="277">
        <f>游戏时长规划!D73</f>
        <v>88.6</v>
      </c>
      <c r="D15" s="8">
        <v>0.3</v>
      </c>
      <c r="E15" s="273">
        <f>$D15*$C15*VLOOKUP(E$9,$B$3:$C$6,2,FALSE)*基础经济系数!$C$2</f>
        <v>2658</v>
      </c>
      <c r="F15" s="273">
        <f>$D15*$C15*VLOOKUP(F$9,$B$3:$C$6,2,FALSE)*基础经济系数!$C$2</f>
        <v>5316</v>
      </c>
      <c r="G15" s="273">
        <f>$D15*$C15*VLOOKUP(G$9,$B$3:$C$6,2,FALSE)*基础经济系数!$C$2</f>
        <v>7973.9999999999991</v>
      </c>
      <c r="T15" s="256" t="str">
        <f>W15&amp;V15&amp;LEFT(道具价值!R996)&amp;LEFT(X15,1)&amp;LEFT(Y15,1)</f>
        <v>T2中重贴三</v>
      </c>
      <c r="U15" s="256">
        <f>IF(V14="重",U14+1,U14)</f>
        <v>3</v>
      </c>
      <c r="V15" s="256" t="str">
        <f>V12</f>
        <v>重</v>
      </c>
      <c r="W15" s="256" t="str">
        <f>VLOOKUP($U15,'坦克涂装-作废'!$B$23:$I$99,MATCH(W$6,'坦克涂装-作废'!$B$23:$I$23,0),FALSE)</f>
        <v>T2中</v>
      </c>
      <c r="X15" s="256" t="str">
        <f>VLOOKUP($U15,'坦克涂装-作废'!$B$23:$I$99,MATCH(X$6,'坦克涂装-作废'!$B$23:$I$23,0),FALSE)</f>
        <v>贴花</v>
      </c>
      <c r="Y15" s="256" t="str">
        <f>VLOOKUP($U15,'坦克涂装-作废'!$B$23:$I$99,MATCH(Y$6,'坦克涂装-作废'!$B$23:$I$23,0),FALSE)</f>
        <v>三天</v>
      </c>
      <c r="Z15" s="159">
        <f>VLOOKUP($U15,'坦克涂装-作废'!$B$23:$I$99,MATCH(Z$6,'坦克涂装-作废'!$B$23:$I$23,0),FALSE)</f>
        <v>648</v>
      </c>
      <c r="AA15" s="158"/>
      <c r="AB15" s="158"/>
      <c r="AC15" s="158"/>
      <c r="AD15" s="158"/>
      <c r="AE15" s="158"/>
      <c r="AF15" s="158"/>
      <c r="AG15" s="158"/>
      <c r="AH15" s="158"/>
      <c r="AI15" s="158"/>
    </row>
    <row r="16" spans="2:35" x14ac:dyDescent="0.35">
      <c r="B16" s="257" t="s">
        <v>1109</v>
      </c>
      <c r="C16" s="277">
        <f>游戏时长规划!D74</f>
        <v>217.1</v>
      </c>
      <c r="D16" s="8">
        <v>0.24</v>
      </c>
      <c r="E16" s="273">
        <f>$D16*$C16*VLOOKUP(E$9,$B$3:$C$6,2,FALSE)*基础经济系数!$C$2</f>
        <v>5210.3999999999996</v>
      </c>
      <c r="F16" s="273">
        <f>$D16*$C16*VLOOKUP(F$9,$B$3:$C$6,2,FALSE)*基础经济系数!$C$2</f>
        <v>10420.799999999999</v>
      </c>
      <c r="G16" s="273">
        <f>$D16*$C16*VLOOKUP(G$9,$B$3:$C$6,2,FALSE)*基础经济系数!$C$2</f>
        <v>15631.2</v>
      </c>
      <c r="T16" s="256" t="str">
        <f>W16&amp;V16&amp;LEFT(道具价值!R997)&amp;LEFT(X16,1)&amp;LEFT(Y16,1)</f>
        <v>T2中轻贴永</v>
      </c>
      <c r="U16" s="256">
        <f>IF(V15="重",U15+1,U15)</f>
        <v>4</v>
      </c>
      <c r="V16" s="256" t="str">
        <f>V13</f>
        <v>轻</v>
      </c>
      <c r="W16" s="256" t="str">
        <f>VLOOKUP($U16,'坦克涂装-作废'!$B$23:$I$99,MATCH(W$6,'坦克涂装-作废'!$B$23:$I$23,0),FALSE)</f>
        <v>T2中</v>
      </c>
      <c r="X16" s="256" t="str">
        <f>VLOOKUP($U16,'坦克涂装-作废'!$B$23:$I$99,MATCH(X$6,'坦克涂装-作废'!$B$23:$I$23,0),FALSE)</f>
        <v>贴花</v>
      </c>
      <c r="Y16" s="256" t="str">
        <f>VLOOKUP($U16,'坦克涂装-作废'!$B$23:$I$99,MATCH(Y$6,'坦克涂装-作废'!$B$23:$I$23,0),FALSE)</f>
        <v>永久</v>
      </c>
      <c r="Z16" s="159">
        <f>VLOOKUP($U16,'坦克涂装-作废'!$B$23:$I$99,MATCH(Z$6,'坦克涂装-作废'!$B$23:$I$23,0),FALSE)</f>
        <v>4050</v>
      </c>
      <c r="AA16" s="158"/>
      <c r="AB16" s="158"/>
      <c r="AC16" s="158"/>
      <c r="AD16" s="158"/>
      <c r="AE16" s="158"/>
      <c r="AF16" s="158"/>
      <c r="AG16" s="158"/>
      <c r="AH16" s="158"/>
      <c r="AI16" s="158"/>
    </row>
    <row r="17" spans="2:35" x14ac:dyDescent="0.35">
      <c r="B17" s="257" t="s">
        <v>1110</v>
      </c>
      <c r="C17" s="277">
        <f>游戏时长规划!D75</f>
        <v>283.89999999999998</v>
      </c>
      <c r="D17" s="8">
        <v>0.18</v>
      </c>
      <c r="E17" s="273">
        <f>$D17*$C17*VLOOKUP(E$9,$B$3:$C$6,2,FALSE)*基础经济系数!$C$2</f>
        <v>5110.2</v>
      </c>
      <c r="F17" s="273">
        <f>$D17*$C17*VLOOKUP(F$9,$B$3:$C$6,2,FALSE)*基础经济系数!$C$2</f>
        <v>10220.4</v>
      </c>
      <c r="G17" s="273">
        <f>$D17*$C17*VLOOKUP(G$9,$B$3:$C$6,2,FALSE)*基础经济系数!$C$2</f>
        <v>15330.599999999999</v>
      </c>
      <c r="T17" s="256" t="str">
        <f>W17&amp;V17&amp;LEFT(道具价值!R998)&amp;LEFT(X17,1)&amp;LEFT(Y17,1)</f>
        <v>T2中中贴永</v>
      </c>
      <c r="U17" s="256">
        <f>IF(V16="重",U16+1,U16)</f>
        <v>4</v>
      </c>
      <c r="V17" s="256" t="str">
        <f>V14</f>
        <v>中</v>
      </c>
      <c r="W17" s="256" t="str">
        <f>VLOOKUP($U17,'坦克涂装-作废'!$B$23:$I$99,MATCH(W$6,'坦克涂装-作废'!$B$23:$I$23,0),FALSE)</f>
        <v>T2中</v>
      </c>
      <c r="X17" s="256" t="str">
        <f>VLOOKUP($U17,'坦克涂装-作废'!$B$23:$I$99,MATCH(X$6,'坦克涂装-作废'!$B$23:$I$23,0),FALSE)</f>
        <v>贴花</v>
      </c>
      <c r="Y17" s="256" t="str">
        <f>VLOOKUP($U17,'坦克涂装-作废'!$B$23:$I$99,MATCH(Y$6,'坦克涂装-作废'!$B$23:$I$23,0),FALSE)</f>
        <v>永久</v>
      </c>
      <c r="Z17" s="159">
        <f>VLOOKUP($U17,'坦克涂装-作废'!$B$23:$I$99,MATCH(Z$6,'坦克涂装-作废'!$B$23:$I$23,0),FALSE)</f>
        <v>4050</v>
      </c>
      <c r="AA17" s="158"/>
      <c r="AB17" s="158"/>
      <c r="AC17" s="158"/>
      <c r="AD17" s="158"/>
      <c r="AE17" s="158"/>
      <c r="AF17" s="158"/>
      <c r="AG17" s="158"/>
      <c r="AH17" s="158"/>
      <c r="AI17" s="158"/>
    </row>
    <row r="18" spans="2:35" x14ac:dyDescent="0.35">
      <c r="B18" s="257" t="s">
        <v>1111</v>
      </c>
      <c r="C18" s="277">
        <f>游戏时长规划!D76</f>
        <v>207.6</v>
      </c>
      <c r="D18" s="8">
        <v>0.16</v>
      </c>
      <c r="E18" s="273">
        <f>$D18*$C18*VLOOKUP(E$9,$B$3:$C$6,2,FALSE)*基础经济系数!$C$2</f>
        <v>3321.6</v>
      </c>
      <c r="F18" s="273">
        <f>$D18*$C18*VLOOKUP(F$9,$B$3:$C$6,2,FALSE)*基础经济系数!$C$2</f>
        <v>6643.2</v>
      </c>
      <c r="G18" s="273">
        <f>$D18*$C18*VLOOKUP(G$9,$B$3:$C$6,2,FALSE)*基础经济系数!$C$2</f>
        <v>9964.7999999999993</v>
      </c>
      <c r="T18" s="256" t="str">
        <f>W18&amp;V18&amp;LEFT(道具价值!R999)&amp;LEFT(X18,1)&amp;LEFT(Y18,1)</f>
        <v>T2中重贴永</v>
      </c>
      <c r="U18" s="256">
        <f>IF(V17="重",U17+1,U17)</f>
        <v>4</v>
      </c>
      <c r="V18" s="256" t="str">
        <f>V15</f>
        <v>重</v>
      </c>
      <c r="W18" s="256" t="str">
        <f>VLOOKUP($U18,'坦克涂装-作废'!$B$23:$I$99,MATCH(W$6,'坦克涂装-作废'!$B$23:$I$23,0),FALSE)</f>
        <v>T2中</v>
      </c>
      <c r="X18" s="256" t="str">
        <f>VLOOKUP($U18,'坦克涂装-作废'!$B$23:$I$99,MATCH(X$6,'坦克涂装-作废'!$B$23:$I$23,0),FALSE)</f>
        <v>贴花</v>
      </c>
      <c r="Y18" s="256" t="str">
        <f>VLOOKUP($U18,'坦克涂装-作废'!$B$23:$I$99,MATCH(Y$6,'坦克涂装-作废'!$B$23:$I$23,0),FALSE)</f>
        <v>永久</v>
      </c>
      <c r="Z18" s="159">
        <f>VLOOKUP($U18,'坦克涂装-作废'!$B$23:$I$99,MATCH(Z$6,'坦克涂装-作废'!$B$23:$I$23,0),FALSE)</f>
        <v>4050</v>
      </c>
      <c r="AA18" s="158"/>
      <c r="AB18" s="158"/>
      <c r="AC18" s="158"/>
      <c r="AD18" s="158"/>
      <c r="AE18" s="158"/>
      <c r="AF18" s="158"/>
      <c r="AG18" s="158"/>
      <c r="AH18" s="158"/>
      <c r="AI18" s="158"/>
    </row>
    <row r="19" spans="2:35" x14ac:dyDescent="0.35">
      <c r="B19" s="257" t="s">
        <v>1112</v>
      </c>
      <c r="C19" s="277">
        <f>游戏时长规划!D77</f>
        <v>462.6</v>
      </c>
      <c r="D19" s="8">
        <v>0.14000000000000001</v>
      </c>
      <c r="E19" s="273">
        <f>$D19*$C19*VLOOKUP(E$9,$B$3:$C$6,2,FALSE)*基础经济系数!$C$2</f>
        <v>6476.4000000000015</v>
      </c>
      <c r="F19" s="273">
        <f>$D19*$C19*VLOOKUP(F$9,$B$3:$C$6,2,FALSE)*基础经济系数!$C$2</f>
        <v>12952.800000000003</v>
      </c>
      <c r="G19" s="273">
        <f>$D19*$C19*VLOOKUP(G$9,$B$3:$C$6,2,FALSE)*基础经济系数!$C$2</f>
        <v>19429.200000000004</v>
      </c>
      <c r="T19" s="256" t="str">
        <f>W19&amp;V19&amp;LEFT(道具价值!R1000)&amp;LEFT(X19,1)&amp;LEFT(Y19,1)</f>
        <v>T3低轻贴三</v>
      </c>
      <c r="U19" s="256">
        <f>IF(V18="重",U18+1,U18)</f>
        <v>5</v>
      </c>
      <c r="V19" s="256" t="str">
        <f>V16</f>
        <v>轻</v>
      </c>
      <c r="W19" s="256" t="str">
        <f>VLOOKUP($U19,'坦克涂装-作废'!$B$23:$I$99,MATCH(W$6,'坦克涂装-作废'!$B$23:$I$23,0),FALSE)</f>
        <v>T3低</v>
      </c>
      <c r="X19" s="256" t="str">
        <f>VLOOKUP($U19,'坦克涂装-作废'!$B$23:$I$99,MATCH(X$6,'坦克涂装-作废'!$B$23:$I$23,0),FALSE)</f>
        <v>贴花</v>
      </c>
      <c r="Y19" s="256" t="str">
        <f>VLOOKUP($U19,'坦克涂装-作废'!$B$23:$I$99,MATCH(Y$6,'坦克涂装-作废'!$B$23:$I$23,0),FALSE)</f>
        <v>三天</v>
      </c>
      <c r="Z19" s="159">
        <f>VLOOKUP($U19,'坦克涂装-作废'!$B$23:$I$99,MATCH(Z$6,'坦克涂装-作废'!$B$23:$I$23,0),FALSE)</f>
        <v>407.77777777777777</v>
      </c>
      <c r="AA19" s="158"/>
      <c r="AB19" s="158"/>
      <c r="AC19" s="158"/>
      <c r="AD19" s="158"/>
      <c r="AE19" s="158"/>
      <c r="AF19" s="158"/>
      <c r="AG19" s="158"/>
      <c r="AH19" s="158"/>
      <c r="AI19" s="158"/>
    </row>
    <row r="20" spans="2:35" x14ac:dyDescent="0.35">
      <c r="B20" s="257" t="s">
        <v>1113</v>
      </c>
      <c r="C20" s="277">
        <f>游戏时长规划!D78</f>
        <v>622.1</v>
      </c>
      <c r="D20" s="8">
        <v>0.12</v>
      </c>
      <c r="E20" s="273">
        <f>$D20*$C20*VLOOKUP(E$9,$B$3:$C$6,2,FALSE)*基础经济系数!$C$2</f>
        <v>7465.2</v>
      </c>
      <c r="F20" s="273">
        <f>$D20*$C20*VLOOKUP(F$9,$B$3:$C$6,2,FALSE)*基础经济系数!$C$2</f>
        <v>14930.4</v>
      </c>
      <c r="G20" s="273">
        <f>$D20*$C20*VLOOKUP(G$9,$B$3:$C$6,2,FALSE)*基础经济系数!$C$2</f>
        <v>22395.600000000002</v>
      </c>
      <c r="T20" s="256" t="str">
        <f>W20&amp;V20&amp;LEFT(道具价值!R1001)&amp;LEFT(X20,1)&amp;LEFT(Y20,1)</f>
        <v>T3低中贴三</v>
      </c>
      <c r="U20" s="256">
        <f>IF(V19="重",U19+1,U19)</f>
        <v>5</v>
      </c>
      <c r="V20" s="256" t="str">
        <f>V17</f>
        <v>中</v>
      </c>
      <c r="W20" s="256" t="str">
        <f>VLOOKUP($U20,'坦克涂装-作废'!$B$23:$I$99,MATCH(W$6,'坦克涂装-作废'!$B$23:$I$23,0),FALSE)</f>
        <v>T3低</v>
      </c>
      <c r="X20" s="256" t="str">
        <f>VLOOKUP($U20,'坦克涂装-作废'!$B$23:$I$99,MATCH(X$6,'坦克涂装-作废'!$B$23:$I$23,0),FALSE)</f>
        <v>贴花</v>
      </c>
      <c r="Y20" s="256" t="str">
        <f>VLOOKUP($U20,'坦克涂装-作废'!$B$23:$I$99,MATCH(Y$6,'坦克涂装-作废'!$B$23:$I$23,0),FALSE)</f>
        <v>三天</v>
      </c>
      <c r="Z20" s="159">
        <f>VLOOKUP($U20,'坦克涂装-作废'!$B$23:$I$99,MATCH(Z$6,'坦克涂装-作废'!$B$23:$I$23,0),FALSE)</f>
        <v>407.77777777777777</v>
      </c>
      <c r="AA20" s="158"/>
      <c r="AB20" s="158"/>
      <c r="AC20" s="158"/>
      <c r="AD20" s="158"/>
      <c r="AE20" s="158"/>
      <c r="AF20" s="158"/>
      <c r="AG20" s="158"/>
      <c r="AH20" s="158"/>
      <c r="AI20" s="158"/>
    </row>
    <row r="21" spans="2:35" x14ac:dyDescent="0.35">
      <c r="T21" s="256" t="str">
        <f>W21&amp;V21&amp;LEFT(道具价值!R1002)&amp;LEFT(X21,1)&amp;LEFT(Y21,1)</f>
        <v>T3低重贴三</v>
      </c>
      <c r="U21" s="256">
        <f>IF(V20="重",U20+1,U20)</f>
        <v>5</v>
      </c>
      <c r="V21" s="256" t="str">
        <f>V18</f>
        <v>重</v>
      </c>
      <c r="W21" s="256" t="str">
        <f>VLOOKUP($U21,'坦克涂装-作废'!$B$23:$I$99,MATCH(W$6,'坦克涂装-作废'!$B$23:$I$23,0),FALSE)</f>
        <v>T3低</v>
      </c>
      <c r="X21" s="256" t="str">
        <f>VLOOKUP($U21,'坦克涂装-作废'!$B$23:$I$99,MATCH(X$6,'坦克涂装-作废'!$B$23:$I$23,0),FALSE)</f>
        <v>贴花</v>
      </c>
      <c r="Y21" s="256" t="str">
        <f>VLOOKUP($U21,'坦克涂装-作废'!$B$23:$I$99,MATCH(Y$6,'坦克涂装-作废'!$B$23:$I$23,0),FALSE)</f>
        <v>三天</v>
      </c>
      <c r="Z21" s="159">
        <f>VLOOKUP($U21,'坦克涂装-作废'!$B$23:$I$99,MATCH(Z$6,'坦克涂装-作废'!$B$23:$I$23,0),FALSE)</f>
        <v>407.77777777777777</v>
      </c>
      <c r="AA21" s="158"/>
      <c r="AB21" s="158"/>
      <c r="AC21" s="158"/>
      <c r="AD21" s="158"/>
      <c r="AE21" s="158"/>
      <c r="AF21" s="158"/>
      <c r="AG21" s="158"/>
      <c r="AH21" s="158"/>
      <c r="AI21" s="158"/>
    </row>
    <row r="22" spans="2:35" x14ac:dyDescent="0.35">
      <c r="T22" s="256" t="str">
        <f>W22&amp;V22&amp;LEFT(道具价值!R1003)&amp;LEFT(X22,1)&amp;LEFT(Y22,1)</f>
        <v>T3低轻贴半</v>
      </c>
      <c r="U22" s="256">
        <f>IF(V21="重",U21+1,U21)</f>
        <v>6</v>
      </c>
      <c r="V22" s="256" t="str">
        <f>V19</f>
        <v>轻</v>
      </c>
      <c r="W22" s="256" t="str">
        <f>VLOOKUP($U22,'坦克涂装-作废'!$B$23:$I$99,MATCH(W$6,'坦克涂装-作废'!$B$23:$I$23,0),FALSE)</f>
        <v>T3低</v>
      </c>
      <c r="X22" s="256" t="str">
        <f>VLOOKUP($U22,'坦克涂装-作废'!$B$23:$I$99,MATCH(X$6,'坦克涂装-作废'!$B$23:$I$23,0),FALSE)</f>
        <v>贴花</v>
      </c>
      <c r="Y22" s="256" t="str">
        <f>VLOOKUP($U22,'坦克涂装-作废'!$B$23:$I$99,MATCH(Y$6,'坦克涂装-作废'!$B$23:$I$23,0),FALSE)</f>
        <v>半月</v>
      </c>
      <c r="Z22" s="159">
        <f>VLOOKUP($U22,'坦克涂装-作废'!$B$23:$I$99,MATCH(Z$6,'坦克涂装-作废'!$B$23:$I$23,0),FALSE)</f>
        <v>815.55555555555554</v>
      </c>
      <c r="AA22" s="158"/>
      <c r="AB22" s="158"/>
      <c r="AC22" s="158"/>
      <c r="AD22" s="158"/>
      <c r="AE22" s="158"/>
      <c r="AF22" s="158"/>
      <c r="AG22" s="158"/>
      <c r="AH22" s="158"/>
      <c r="AI22" s="158"/>
    </row>
    <row r="23" spans="2:35" x14ac:dyDescent="0.35">
      <c r="B23" s="273" t="s">
        <v>1227</v>
      </c>
      <c r="C23" s="273" t="s">
        <v>1222</v>
      </c>
      <c r="D23" s="273" t="s">
        <v>1217</v>
      </c>
      <c r="E23" s="273" t="s">
        <v>1228</v>
      </c>
      <c r="F23" s="273" t="s">
        <v>1229</v>
      </c>
      <c r="G23" s="273" t="s">
        <v>1230</v>
      </c>
      <c r="H23" s="311" t="s">
        <v>1483</v>
      </c>
      <c r="I23" s="273" t="s">
        <v>1234</v>
      </c>
      <c r="T23" s="256" t="str">
        <f>W23&amp;V23&amp;LEFT(道具价值!R1004)&amp;LEFT(X23,1)&amp;LEFT(Y23,1)</f>
        <v>T3低中贴半</v>
      </c>
      <c r="U23" s="256">
        <f>IF(V22="重",U22+1,U22)</f>
        <v>6</v>
      </c>
      <c r="V23" s="256" t="str">
        <f>V20</f>
        <v>中</v>
      </c>
      <c r="W23" s="256" t="str">
        <f>VLOOKUP($U23,'坦克涂装-作废'!$B$23:$I$99,MATCH(W$6,'坦克涂装-作废'!$B$23:$I$23,0),FALSE)</f>
        <v>T3低</v>
      </c>
      <c r="X23" s="256" t="str">
        <f>VLOOKUP($U23,'坦克涂装-作废'!$B$23:$I$99,MATCH(X$6,'坦克涂装-作废'!$B$23:$I$23,0),FALSE)</f>
        <v>贴花</v>
      </c>
      <c r="Y23" s="256" t="str">
        <f>VLOOKUP($U23,'坦克涂装-作废'!$B$23:$I$99,MATCH(Y$6,'坦克涂装-作废'!$B$23:$I$23,0),FALSE)</f>
        <v>半月</v>
      </c>
      <c r="Z23" s="159">
        <f>VLOOKUP($U23,'坦克涂装-作废'!$B$23:$I$99,MATCH(Z$6,'坦克涂装-作废'!$B$23:$I$23,0),FALSE)</f>
        <v>815.55555555555554</v>
      </c>
      <c r="AA23" s="158"/>
      <c r="AB23" s="158"/>
      <c r="AC23" s="158"/>
      <c r="AD23" s="158"/>
      <c r="AE23" s="158"/>
      <c r="AF23" s="158"/>
      <c r="AG23" s="158"/>
      <c r="AH23" s="158"/>
      <c r="AI23" s="158"/>
    </row>
    <row r="24" spans="2:35" x14ac:dyDescent="0.35">
      <c r="B24" s="273">
        <v>1</v>
      </c>
      <c r="C24" s="257" t="s">
        <v>1103</v>
      </c>
      <c r="D24" s="273" t="s">
        <v>1218</v>
      </c>
      <c r="E24" s="273" t="s">
        <v>1233</v>
      </c>
      <c r="F24" s="53">
        <v>9.9206349206349229E-2</v>
      </c>
      <c r="G24" s="388">
        <f>VLOOKUP($C24,$B$9:$G$20,MATCH($D24,$B$9:$G$9,0),FALSE)*F24</f>
        <v>202.50000000000003</v>
      </c>
      <c r="H24" s="53">
        <v>6.6666666666666652E-2</v>
      </c>
      <c r="I24" s="273">
        <f>IF(G24*H24&gt;50,ROUND(G24*H24/5,0)*5,ROUND(G24*H24/2,0)*2)</f>
        <v>14</v>
      </c>
      <c r="J24" s="274">
        <f>IF(G24&lt;50,ROUND(G24/5,0)*5,IF(G24&lt;100,ROUND(G24/10,0)*10,IF(G24&lt;200,ROUND(G24/20,0)*20,IF(G24&lt;500,ROUND(G24/50,0)*50,IF(G24&lt;1000,ROUND(G24/100,0)*100,IF(G24&lt;2000,ROUND(G24/200,0)*200,IF(G24&lt;3000,ROUND(G24/300,0)*300,IF(G24&lt;4000,ROUND(G24/400,0)*400,IF(G24&lt;5000,ROUND(G24/500,0)*500,IF(G24&lt;6000,ROUND(G24/600,0)*600,ROUND(G24/700,0)*700))))))))))</f>
        <v>200</v>
      </c>
      <c r="K24" s="274">
        <f>J24/G24*F24</f>
        <v>9.798157946306095E-2</v>
      </c>
      <c r="L24" s="274">
        <f>IF(POWER(G24,MID(C24,2,1)*1/(MID(C24,2,1)*1+5))&gt;50,ROUND(POWER(G24,MID(C24,2,1)*1/(MID(C24,2,1)*1+5))/5,0)*5,ROUND(POWER(G24,MID(C24,2,1)*1/(MID(C24,2,1)*1+5))/2,0)*2)</f>
        <v>4</v>
      </c>
      <c r="M24" s="274">
        <f>L24/G24</f>
        <v>1.9753086419753083E-2</v>
      </c>
      <c r="O24" s="274" t="s">
        <v>1845</v>
      </c>
      <c r="P24" s="274">
        <v>2</v>
      </c>
      <c r="Q24" s="274" t="s">
        <v>1553</v>
      </c>
      <c r="T24" s="256" t="str">
        <f>W24&amp;V24&amp;LEFT(道具价值!R1005)&amp;LEFT(X24,1)&amp;LEFT(Y24,1)</f>
        <v>T3低重贴半</v>
      </c>
      <c r="U24" s="256">
        <f>IF(V23="重",U23+1,U23)</f>
        <v>6</v>
      </c>
      <c r="V24" s="256" t="str">
        <f>V21</f>
        <v>重</v>
      </c>
      <c r="W24" s="256" t="str">
        <f>VLOOKUP($U24,'坦克涂装-作废'!$B$23:$I$99,MATCH(W$6,'坦克涂装-作废'!$B$23:$I$23,0),FALSE)</f>
        <v>T3低</v>
      </c>
      <c r="X24" s="256" t="str">
        <f>VLOOKUP($U24,'坦克涂装-作废'!$B$23:$I$99,MATCH(X$6,'坦克涂装-作废'!$B$23:$I$23,0),FALSE)</f>
        <v>贴花</v>
      </c>
      <c r="Y24" s="256" t="str">
        <f>VLOOKUP($U24,'坦克涂装-作废'!$B$23:$I$99,MATCH(Y$6,'坦克涂装-作废'!$B$23:$I$23,0),FALSE)</f>
        <v>半月</v>
      </c>
      <c r="Z24" s="159">
        <f>VLOOKUP($U24,'坦克涂装-作废'!$B$23:$I$99,MATCH(Z$6,'坦克涂装-作废'!$B$23:$I$23,0),FALSE)</f>
        <v>815.55555555555554</v>
      </c>
      <c r="AA24" s="158"/>
      <c r="AB24" s="158"/>
      <c r="AC24" s="158"/>
      <c r="AD24" s="158"/>
      <c r="AE24" s="158"/>
      <c r="AF24" s="158"/>
      <c r="AG24" s="158"/>
      <c r="AH24" s="158"/>
      <c r="AI24" s="158"/>
    </row>
    <row r="25" spans="2:35" x14ac:dyDescent="0.35">
      <c r="B25" s="273">
        <v>2</v>
      </c>
      <c r="C25" s="257" t="s">
        <v>1103</v>
      </c>
      <c r="D25" s="273" t="s">
        <v>1218</v>
      </c>
      <c r="E25" s="273" t="s">
        <v>1231</v>
      </c>
      <c r="F25" s="53">
        <v>0.99206349206349209</v>
      </c>
      <c r="G25" s="388">
        <f>VLOOKUP($C25,$B$9:$G$20,MATCH($D25,$B$9:$G$9,0),FALSE)*F25</f>
        <v>2024.9999999999998</v>
      </c>
      <c r="H25" s="53">
        <v>0.02</v>
      </c>
      <c r="I25" s="369">
        <f t="shared" ref="I25:I88" si="0">IF(G25*H25&gt;50,ROUND(G25*H25/5,0)*5,ROUND(G25*H25/2,0)*2)</f>
        <v>40</v>
      </c>
      <c r="J25" s="274">
        <f t="shared" ref="J25:J88" si="1">IF(G25&lt;50,ROUND(G25/5,0)*5,IF(G25&lt;100,ROUND(G25/10,0)*10,IF(G25&lt;200,ROUND(G25/20,0)*20,IF(G25&lt;500,ROUND(G25/50,0)*50,IF(G25&lt;1000,ROUND(G25/100,0)*100,IF(G25&lt;2000,ROUND(G25/200,0)*200,IF(G25&lt;3000,ROUND(G25/300,0)*300,IF(G25&lt;4000,ROUND(G25/400,0)*400,IF(G25&lt;5000,ROUND(G25/500,0)*500,IF(G25&lt;6000,ROUND(G25/600,0)*600,ROUND(G25/700,0)*700))))))))))</f>
        <v>2100</v>
      </c>
      <c r="K25" s="274">
        <f t="shared" ref="K25:K88" si="2">J25/G25*F25</f>
        <v>1.0288065843621401</v>
      </c>
      <c r="L25" s="274">
        <f t="shared" ref="L25:L88" si="3">IF(POWER(G25,MID(C25,2,1)*1/(MID(C25,2,1)*1+5))&gt;50,ROUND(POWER(G25,MID(C25,2,1)*1/(MID(C25,2,1)*1+5))/5,0)*5,ROUND(POWER(G25,MID(C25,2,1)*1/(MID(C25,2,1)*1+5))/2,0)*2)</f>
        <v>8</v>
      </c>
      <c r="M25" s="274">
        <f t="shared" ref="M25:M88" si="4">L25/G25</f>
        <v>3.9506172839506174E-3</v>
      </c>
      <c r="O25" s="274" t="s">
        <v>1845</v>
      </c>
      <c r="P25" s="274">
        <v>4</v>
      </c>
      <c r="Q25" s="274" t="s">
        <v>1554</v>
      </c>
      <c r="T25" s="256" t="str">
        <f>W25&amp;V25&amp;LEFT(道具价值!R1006)&amp;LEFT(X25,1)&amp;LEFT(Y25,1)</f>
        <v>T3低轻贴永</v>
      </c>
      <c r="U25" s="256">
        <f>IF(V24="重",U24+1,U24)</f>
        <v>7</v>
      </c>
      <c r="V25" s="256" t="str">
        <f>V22</f>
        <v>轻</v>
      </c>
      <c r="W25" s="256" t="str">
        <f>VLOOKUP($U25,'坦克涂装-作废'!$B$23:$I$99,MATCH(W$6,'坦克涂装-作废'!$B$23:$I$23,0),FALSE)</f>
        <v>T3低</v>
      </c>
      <c r="X25" s="256" t="str">
        <f>VLOOKUP($U25,'坦克涂装-作废'!$B$23:$I$99,MATCH(X$6,'坦克涂装-作废'!$B$23:$I$23,0),FALSE)</f>
        <v>贴花</v>
      </c>
      <c r="Y25" s="256" t="str">
        <f>VLOOKUP($U25,'坦克涂装-作废'!$B$23:$I$99,MATCH(Y$6,'坦克涂装-作废'!$B$23:$I$23,0),FALSE)</f>
        <v>永久</v>
      </c>
      <c r="Z25" s="159">
        <f>VLOOKUP($U25,'坦克涂装-作废'!$B$23:$I$99,MATCH(Z$6,'坦克涂装-作废'!$B$23:$I$23,0),FALSE)</f>
        <v>2854.4444444444448</v>
      </c>
      <c r="AA25" s="158"/>
      <c r="AB25" s="158"/>
      <c r="AC25" s="158"/>
      <c r="AD25" s="158"/>
      <c r="AE25" s="158"/>
      <c r="AF25" s="158"/>
      <c r="AG25" s="158"/>
      <c r="AH25" s="158"/>
      <c r="AI25" s="158"/>
    </row>
    <row r="26" spans="2:35" x14ac:dyDescent="0.35">
      <c r="B26" s="282">
        <v>3</v>
      </c>
      <c r="C26" s="257" t="s">
        <v>1104</v>
      </c>
      <c r="D26" s="273" t="s">
        <v>1218</v>
      </c>
      <c r="E26" s="273" t="s">
        <v>1233</v>
      </c>
      <c r="F26" s="53">
        <v>0.14492753623188404</v>
      </c>
      <c r="G26" s="388">
        <f t="shared" ref="G26:G78" si="5">VLOOKUP($C26,$B$9:$G$20,MATCH($D26,$B$9:$G$9,0),FALSE)*F26</f>
        <v>648</v>
      </c>
      <c r="H26" s="53">
        <v>0.05</v>
      </c>
      <c r="I26" s="369">
        <f t="shared" si="0"/>
        <v>32</v>
      </c>
      <c r="J26" s="274">
        <f t="shared" si="1"/>
        <v>600</v>
      </c>
      <c r="K26" s="274">
        <f t="shared" si="2"/>
        <v>0.13419216317767041</v>
      </c>
      <c r="L26" s="274">
        <f t="shared" si="3"/>
        <v>6</v>
      </c>
      <c r="M26" s="274">
        <f t="shared" si="4"/>
        <v>9.2592592592592587E-3</v>
      </c>
      <c r="O26" s="274" t="s">
        <v>1845</v>
      </c>
      <c r="P26" s="274">
        <v>2</v>
      </c>
      <c r="Q26" s="274" t="s">
        <v>1553</v>
      </c>
      <c r="T26" s="256" t="str">
        <f>W26&amp;V26&amp;LEFT(道具价值!R1007)&amp;LEFT(X26,1)&amp;LEFT(Y26,1)</f>
        <v>T3低中贴永</v>
      </c>
      <c r="U26" s="256">
        <f>IF(V25="重",U25+1,U25)</f>
        <v>7</v>
      </c>
      <c r="V26" s="256" t="str">
        <f>V23</f>
        <v>中</v>
      </c>
      <c r="W26" s="256" t="str">
        <f>VLOOKUP($U26,'坦克涂装-作废'!$B$23:$I$99,MATCH(W$6,'坦克涂装-作废'!$B$23:$I$23,0),FALSE)</f>
        <v>T3低</v>
      </c>
      <c r="X26" s="256" t="str">
        <f>VLOOKUP($U26,'坦克涂装-作废'!$B$23:$I$99,MATCH(X$6,'坦克涂装-作废'!$B$23:$I$23,0),FALSE)</f>
        <v>贴花</v>
      </c>
      <c r="Y26" s="256" t="str">
        <f>VLOOKUP($U26,'坦克涂装-作废'!$B$23:$I$99,MATCH(Y$6,'坦克涂装-作废'!$B$23:$I$23,0),FALSE)</f>
        <v>永久</v>
      </c>
      <c r="Z26" s="159">
        <f>VLOOKUP($U26,'坦克涂装-作废'!$B$23:$I$99,MATCH(Z$6,'坦克涂装-作废'!$B$23:$I$23,0),FALSE)</f>
        <v>2854.4444444444448</v>
      </c>
      <c r="AA26" s="158"/>
      <c r="AB26" s="158"/>
      <c r="AC26" s="158"/>
      <c r="AD26" s="158"/>
      <c r="AE26" s="158"/>
      <c r="AF26" s="158"/>
      <c r="AG26" s="158"/>
      <c r="AH26" s="158"/>
      <c r="AI26" s="158"/>
    </row>
    <row r="27" spans="2:35" x14ac:dyDescent="0.35">
      <c r="B27" s="282">
        <v>4</v>
      </c>
      <c r="C27" s="257" t="s">
        <v>1104</v>
      </c>
      <c r="D27" s="273" t="s">
        <v>1218</v>
      </c>
      <c r="E27" s="273" t="s">
        <v>1231</v>
      </c>
      <c r="F27" s="53">
        <v>0.90579710144927517</v>
      </c>
      <c r="G27" s="388">
        <f t="shared" si="5"/>
        <v>4050</v>
      </c>
      <c r="H27" s="53">
        <v>1.2E-2</v>
      </c>
      <c r="I27" s="369">
        <f t="shared" si="0"/>
        <v>48</v>
      </c>
      <c r="J27" s="274">
        <f t="shared" si="1"/>
        <v>4000</v>
      </c>
      <c r="K27" s="274">
        <f t="shared" si="2"/>
        <v>0.89461442118446921</v>
      </c>
      <c r="L27" s="274">
        <f t="shared" si="3"/>
        <v>10</v>
      </c>
      <c r="M27" s="274">
        <f t="shared" si="4"/>
        <v>2.4691358024691358E-3</v>
      </c>
      <c r="O27" s="274" t="s">
        <v>1845</v>
      </c>
      <c r="P27" s="274">
        <v>4</v>
      </c>
      <c r="Q27" s="274" t="s">
        <v>1554</v>
      </c>
      <c r="T27" s="256" t="str">
        <f>W27&amp;V27&amp;LEFT(道具价值!R1008)&amp;LEFT(X27,1)&amp;LEFT(Y27,1)</f>
        <v>T3低重贴永</v>
      </c>
      <c r="U27" s="256">
        <f>IF(V26="重",U26+1,U26)</f>
        <v>7</v>
      </c>
      <c r="V27" s="256" t="str">
        <f>V24</f>
        <v>重</v>
      </c>
      <c r="W27" s="256" t="str">
        <f>VLOOKUP($U27,'坦克涂装-作废'!$B$23:$I$99,MATCH(W$6,'坦克涂装-作废'!$B$23:$I$23,0),FALSE)</f>
        <v>T3低</v>
      </c>
      <c r="X27" s="256" t="str">
        <f>VLOOKUP($U27,'坦克涂装-作废'!$B$23:$I$99,MATCH(X$6,'坦克涂装-作废'!$B$23:$I$23,0),FALSE)</f>
        <v>贴花</v>
      </c>
      <c r="Y27" s="256" t="str">
        <f>VLOOKUP($U27,'坦克涂装-作废'!$B$23:$I$99,MATCH(Y$6,'坦克涂装-作废'!$B$23:$I$23,0),FALSE)</f>
        <v>永久</v>
      </c>
      <c r="Z27" s="159">
        <f>VLOOKUP($U27,'坦克涂装-作废'!$B$23:$I$99,MATCH(Z$6,'坦克涂装-作废'!$B$23:$I$23,0),FALSE)</f>
        <v>2854.4444444444448</v>
      </c>
      <c r="AA27" s="158"/>
      <c r="AB27" s="158"/>
      <c r="AC27" s="158"/>
      <c r="AD27" s="158"/>
      <c r="AE27" s="158"/>
      <c r="AF27" s="158"/>
      <c r="AG27" s="158"/>
      <c r="AH27" s="158"/>
      <c r="AI27" s="158"/>
    </row>
    <row r="28" spans="2:35" x14ac:dyDescent="0.35">
      <c r="B28" s="282">
        <v>5</v>
      </c>
      <c r="C28" s="257" t="s">
        <v>1105</v>
      </c>
      <c r="D28" s="273" t="s">
        <v>1218</v>
      </c>
      <c r="E28" s="273" t="s">
        <v>1233</v>
      </c>
      <c r="F28" s="53">
        <v>0.14619883040935672</v>
      </c>
      <c r="G28" s="388">
        <f t="shared" si="5"/>
        <v>407.77777777777777</v>
      </c>
      <c r="H28" s="53">
        <v>0.06</v>
      </c>
      <c r="I28" s="369">
        <f t="shared" si="0"/>
        <v>24</v>
      </c>
      <c r="J28" s="274">
        <f t="shared" si="1"/>
        <v>400</v>
      </c>
      <c r="K28" s="274">
        <f t="shared" si="2"/>
        <v>0.1434102968593145</v>
      </c>
      <c r="L28" s="274">
        <f t="shared" si="3"/>
        <v>10</v>
      </c>
      <c r="M28" s="274">
        <f t="shared" si="4"/>
        <v>2.4523160762942781E-2</v>
      </c>
      <c r="O28" s="274" t="s">
        <v>1845</v>
      </c>
      <c r="P28" s="274">
        <v>4</v>
      </c>
      <c r="Q28" s="274" t="s">
        <v>1555</v>
      </c>
      <c r="T28" s="256" t="str">
        <f>W28&amp;V28&amp;LEFT(道具价值!R1009)&amp;LEFT(X28,1)&amp;LEFT(Y28,1)</f>
        <v>T3低轻图三</v>
      </c>
      <c r="U28" s="256">
        <f>IF(V27="重",U27+1,U27)</f>
        <v>8</v>
      </c>
      <c r="V28" s="256" t="str">
        <f>V25</f>
        <v>轻</v>
      </c>
      <c r="W28" s="256" t="str">
        <f>VLOOKUP($U28,'坦克涂装-作废'!$B$23:$I$99,MATCH(W$6,'坦克涂装-作废'!$B$23:$I$23,0),FALSE)</f>
        <v>T3低</v>
      </c>
      <c r="X28" s="256" t="str">
        <f>VLOOKUP($U28,'坦克涂装-作废'!$B$23:$I$99,MATCH(X$6,'坦克涂装-作废'!$B$23:$I$23,0),FALSE)</f>
        <v>图案</v>
      </c>
      <c r="Y28" s="256" t="str">
        <f>VLOOKUP($U28,'坦克涂装-作废'!$B$23:$I$99,MATCH(Y$6,'坦克涂装-作废'!$B$23:$I$23,0),FALSE)</f>
        <v>三天</v>
      </c>
      <c r="Z28" s="159">
        <f>VLOOKUP($U28,'坦克涂装-作废'!$B$23:$I$99,MATCH(Z$6,'坦克涂装-作废'!$B$23:$I$23,0),FALSE)</f>
        <v>815.55555555555554</v>
      </c>
      <c r="AA28" s="158"/>
      <c r="AB28" s="158"/>
      <c r="AC28" s="158"/>
      <c r="AD28" s="158"/>
      <c r="AE28" s="158"/>
      <c r="AF28" s="158"/>
      <c r="AG28" s="158"/>
      <c r="AH28" s="158"/>
      <c r="AI28" s="158"/>
    </row>
    <row r="29" spans="2:35" x14ac:dyDescent="0.35">
      <c r="B29" s="282">
        <v>6</v>
      </c>
      <c r="C29" s="257" t="s">
        <v>1105</v>
      </c>
      <c r="D29" s="273" t="s">
        <v>1218</v>
      </c>
      <c r="E29" s="273" t="s">
        <v>1232</v>
      </c>
      <c r="F29" s="53">
        <v>0.29239766081871343</v>
      </c>
      <c r="G29" s="388">
        <f t="shared" si="5"/>
        <v>815.55555555555554</v>
      </c>
      <c r="H29" s="53">
        <v>0.04</v>
      </c>
      <c r="I29" s="369">
        <f t="shared" si="0"/>
        <v>32</v>
      </c>
      <c r="J29" s="274">
        <f t="shared" si="1"/>
        <v>800</v>
      </c>
      <c r="K29" s="274">
        <f t="shared" si="2"/>
        <v>0.286820593718629</v>
      </c>
      <c r="L29" s="274">
        <f t="shared" si="3"/>
        <v>12</v>
      </c>
      <c r="M29" s="274">
        <f t="shared" si="4"/>
        <v>1.4713896457765668E-2</v>
      </c>
      <c r="O29" s="274" t="s">
        <v>1845</v>
      </c>
      <c r="P29" s="274">
        <v>6</v>
      </c>
      <c r="Q29" s="274" t="s">
        <v>1556</v>
      </c>
      <c r="T29" s="256" t="str">
        <f>W29&amp;V29&amp;LEFT(道具价值!R1010)&amp;LEFT(X29,1)&amp;LEFT(Y29,1)</f>
        <v>T3低中图三</v>
      </c>
      <c r="U29" s="256">
        <f>IF(V28="重",U28+1,U28)</f>
        <v>8</v>
      </c>
      <c r="V29" s="256" t="str">
        <f>V26</f>
        <v>中</v>
      </c>
      <c r="W29" s="256" t="str">
        <f>VLOOKUP($U29,'坦克涂装-作废'!$B$23:$I$99,MATCH(W$6,'坦克涂装-作废'!$B$23:$I$23,0),FALSE)</f>
        <v>T3低</v>
      </c>
      <c r="X29" s="256" t="str">
        <f>VLOOKUP($U29,'坦克涂装-作废'!$B$23:$I$99,MATCH(X$6,'坦克涂装-作废'!$B$23:$I$23,0),FALSE)</f>
        <v>图案</v>
      </c>
      <c r="Y29" s="256" t="str">
        <f>VLOOKUP($U29,'坦克涂装-作废'!$B$23:$I$99,MATCH(Y$6,'坦克涂装-作废'!$B$23:$I$23,0),FALSE)</f>
        <v>三天</v>
      </c>
      <c r="Z29" s="159">
        <f>VLOOKUP($U29,'坦克涂装-作废'!$B$23:$I$99,MATCH(Z$6,'坦克涂装-作废'!$B$23:$I$23,0),FALSE)</f>
        <v>815.55555555555554</v>
      </c>
      <c r="AA29" s="158"/>
      <c r="AB29" s="158"/>
      <c r="AC29" s="158"/>
      <c r="AD29" s="158"/>
      <c r="AE29" s="158"/>
      <c r="AF29" s="158"/>
      <c r="AG29" s="158"/>
      <c r="AH29" s="158"/>
      <c r="AI29" s="158"/>
    </row>
    <row r="30" spans="2:35" x14ac:dyDescent="0.35">
      <c r="B30" s="282">
        <v>7</v>
      </c>
      <c r="C30" s="257" t="s">
        <v>1105</v>
      </c>
      <c r="D30" s="273" t="s">
        <v>1218</v>
      </c>
      <c r="E30" s="273" t="s">
        <v>1231</v>
      </c>
      <c r="F30" s="53">
        <v>1.0233918128654971</v>
      </c>
      <c r="G30" s="388">
        <f t="shared" si="5"/>
        <v>2854.4444444444448</v>
      </c>
      <c r="H30" s="53">
        <v>1.7142857142857144E-2</v>
      </c>
      <c r="I30" s="369">
        <f t="shared" si="0"/>
        <v>48</v>
      </c>
      <c r="J30" s="274">
        <f t="shared" si="1"/>
        <v>3000</v>
      </c>
      <c r="K30" s="274">
        <f t="shared" si="2"/>
        <v>1.0755772264448586</v>
      </c>
      <c r="L30" s="274">
        <f t="shared" si="3"/>
        <v>20</v>
      </c>
      <c r="M30" s="274">
        <f t="shared" si="4"/>
        <v>7.0066173608407936E-3</v>
      </c>
      <c r="O30" s="274" t="s">
        <v>1845</v>
      </c>
      <c r="P30" s="274">
        <v>4</v>
      </c>
      <c r="Q30" s="274" t="s">
        <v>1555</v>
      </c>
      <c r="T30" s="256" t="str">
        <f>W30&amp;V30&amp;LEFT(道具价值!R1011)&amp;LEFT(X30,1)&amp;LEFT(Y30,1)</f>
        <v>T3低重图三</v>
      </c>
      <c r="U30" s="256">
        <f>IF(V29="重",U29+1,U29)</f>
        <v>8</v>
      </c>
      <c r="V30" s="256" t="str">
        <f>V27</f>
        <v>重</v>
      </c>
      <c r="W30" s="256" t="str">
        <f>VLOOKUP($U30,'坦克涂装-作废'!$B$23:$I$99,MATCH(W$6,'坦克涂装-作废'!$B$23:$I$23,0),FALSE)</f>
        <v>T3低</v>
      </c>
      <c r="X30" s="256" t="str">
        <f>VLOOKUP($U30,'坦克涂装-作废'!$B$23:$I$99,MATCH(X$6,'坦克涂装-作废'!$B$23:$I$23,0),FALSE)</f>
        <v>图案</v>
      </c>
      <c r="Y30" s="256" t="str">
        <f>VLOOKUP($U30,'坦克涂装-作废'!$B$23:$I$99,MATCH(Y$6,'坦克涂装-作废'!$B$23:$I$23,0),FALSE)</f>
        <v>三天</v>
      </c>
      <c r="Z30" s="159">
        <f>VLOOKUP($U30,'坦克涂装-作废'!$B$23:$I$99,MATCH(Z$6,'坦克涂装-作废'!$B$23:$I$23,0),FALSE)</f>
        <v>815.55555555555554</v>
      </c>
      <c r="AA30" s="158"/>
      <c r="AB30" s="158"/>
      <c r="AC30" s="158"/>
      <c r="AD30" s="158"/>
      <c r="AE30" s="158"/>
      <c r="AF30" s="158"/>
      <c r="AG30" s="158"/>
      <c r="AH30" s="158"/>
      <c r="AI30" s="158"/>
    </row>
    <row r="31" spans="2:35" x14ac:dyDescent="0.35">
      <c r="B31" s="282">
        <v>8</v>
      </c>
      <c r="C31" s="257" t="s">
        <v>1105</v>
      </c>
      <c r="D31" s="273" t="s">
        <v>1219</v>
      </c>
      <c r="E31" s="273" t="s">
        <v>1233</v>
      </c>
      <c r="F31" s="53">
        <v>0.14619883040935672</v>
      </c>
      <c r="G31" s="388">
        <f t="shared" si="5"/>
        <v>815.55555555555554</v>
      </c>
      <c r="H31" s="53">
        <v>0.04</v>
      </c>
      <c r="I31" s="369">
        <f t="shared" si="0"/>
        <v>32</v>
      </c>
      <c r="J31" s="274">
        <f t="shared" si="1"/>
        <v>800</v>
      </c>
      <c r="K31" s="274">
        <f t="shared" si="2"/>
        <v>0.1434102968593145</v>
      </c>
      <c r="L31" s="274">
        <f t="shared" si="3"/>
        <v>12</v>
      </c>
      <c r="M31" s="274">
        <f t="shared" si="4"/>
        <v>1.4713896457765668E-2</v>
      </c>
      <c r="O31" s="274" t="s">
        <v>1845</v>
      </c>
      <c r="P31" s="274">
        <v>6</v>
      </c>
      <c r="Q31" s="274" t="s">
        <v>1556</v>
      </c>
      <c r="T31" s="256" t="str">
        <f>W31&amp;V31&amp;LEFT(道具价值!R1012)&amp;LEFT(X31,1)&amp;LEFT(Y31,1)</f>
        <v>T3低轻图半</v>
      </c>
      <c r="U31" s="256">
        <f>IF(V30="重",U30+1,U30)</f>
        <v>9</v>
      </c>
      <c r="V31" s="256" t="str">
        <f>V28</f>
        <v>轻</v>
      </c>
      <c r="W31" s="256" t="str">
        <f>VLOOKUP($U31,'坦克涂装-作废'!$B$23:$I$99,MATCH(W$6,'坦克涂装-作废'!$B$23:$I$23,0),FALSE)</f>
        <v>T3低</v>
      </c>
      <c r="X31" s="256" t="str">
        <f>VLOOKUP($U31,'坦克涂装-作废'!$B$23:$I$99,MATCH(X$6,'坦克涂装-作废'!$B$23:$I$23,0),FALSE)</f>
        <v>图案</v>
      </c>
      <c r="Y31" s="256" t="str">
        <f>VLOOKUP($U31,'坦克涂装-作废'!$B$23:$I$99,MATCH(Y$6,'坦克涂装-作废'!$B$23:$I$23,0),FALSE)</f>
        <v>半月</v>
      </c>
      <c r="Z31" s="159">
        <f>VLOOKUP($U31,'坦克涂装-作废'!$B$23:$I$99,MATCH(Z$6,'坦克涂装-作废'!$B$23:$I$23,0),FALSE)</f>
        <v>1835.0000000000002</v>
      </c>
      <c r="AA31" s="158"/>
      <c r="AB31" s="158"/>
      <c r="AC31" s="158"/>
      <c r="AD31" s="158"/>
      <c r="AE31" s="158"/>
      <c r="AF31" s="158"/>
      <c r="AG31" s="158"/>
      <c r="AH31" s="158"/>
      <c r="AI31" s="158"/>
    </row>
    <row r="32" spans="2:35" x14ac:dyDescent="0.35">
      <c r="B32" s="282">
        <v>9</v>
      </c>
      <c r="C32" s="257" t="s">
        <v>1105</v>
      </c>
      <c r="D32" s="273" t="s">
        <v>1219</v>
      </c>
      <c r="E32" s="273" t="s">
        <v>1232</v>
      </c>
      <c r="F32" s="53">
        <v>0.32894736842105265</v>
      </c>
      <c r="G32" s="388">
        <f t="shared" si="5"/>
        <v>1835.0000000000002</v>
      </c>
      <c r="H32" s="53">
        <v>2.222222222222222E-2</v>
      </c>
      <c r="I32" s="369">
        <f t="shared" si="0"/>
        <v>40</v>
      </c>
      <c r="J32" s="274">
        <f t="shared" si="1"/>
        <v>1800</v>
      </c>
      <c r="K32" s="274">
        <f t="shared" si="2"/>
        <v>0.32267316793345757</v>
      </c>
      <c r="L32" s="274">
        <f t="shared" si="3"/>
        <v>16</v>
      </c>
      <c r="M32" s="274">
        <f t="shared" si="4"/>
        <v>8.7193460490463202E-3</v>
      </c>
      <c r="O32" s="274" t="s">
        <v>1845</v>
      </c>
      <c r="P32" s="274">
        <v>6</v>
      </c>
      <c r="Q32" s="274" t="s">
        <v>1557</v>
      </c>
      <c r="T32" s="256" t="str">
        <f>W32&amp;V32&amp;LEFT(道具价值!R1013)&amp;LEFT(X32,1)&amp;LEFT(Y32,1)</f>
        <v>T3低中图半</v>
      </c>
      <c r="U32" s="256">
        <f>IF(V31="重",U31+1,U31)</f>
        <v>9</v>
      </c>
      <c r="V32" s="256" t="str">
        <f>V29</f>
        <v>中</v>
      </c>
      <c r="W32" s="256" t="str">
        <f>VLOOKUP($U32,'坦克涂装-作废'!$B$23:$I$99,MATCH(W$6,'坦克涂装-作废'!$B$23:$I$23,0),FALSE)</f>
        <v>T3低</v>
      </c>
      <c r="X32" s="256" t="str">
        <f>VLOOKUP($U32,'坦克涂装-作废'!$B$23:$I$99,MATCH(X$6,'坦克涂装-作废'!$B$23:$I$23,0),FALSE)</f>
        <v>图案</v>
      </c>
      <c r="Y32" s="256" t="str">
        <f>VLOOKUP($U32,'坦克涂装-作废'!$B$23:$I$99,MATCH(Y$6,'坦克涂装-作废'!$B$23:$I$23,0),FALSE)</f>
        <v>半月</v>
      </c>
      <c r="Z32" s="159">
        <f>VLOOKUP($U32,'坦克涂装-作废'!$B$23:$I$99,MATCH(Z$6,'坦克涂装-作废'!$B$23:$I$23,0),FALSE)</f>
        <v>1835.0000000000002</v>
      </c>
      <c r="AA32" s="158"/>
      <c r="AB32" s="158"/>
      <c r="AC32" s="158"/>
      <c r="AD32" s="158"/>
      <c r="AE32" s="158"/>
      <c r="AF32" s="158"/>
      <c r="AG32" s="158"/>
      <c r="AH32" s="158"/>
      <c r="AI32" s="158"/>
    </row>
    <row r="33" spans="2:35" x14ac:dyDescent="0.35">
      <c r="B33" s="282">
        <v>10</v>
      </c>
      <c r="C33" s="257" t="s">
        <v>1105</v>
      </c>
      <c r="D33" s="273" t="s">
        <v>1219</v>
      </c>
      <c r="E33" s="273" t="s">
        <v>1231</v>
      </c>
      <c r="F33" s="53">
        <v>1.0233918128654971</v>
      </c>
      <c r="G33" s="388">
        <f t="shared" si="5"/>
        <v>5708.8888888888896</v>
      </c>
      <c r="H33" s="53">
        <v>1.1428571428571429E-2</v>
      </c>
      <c r="I33" s="369">
        <f t="shared" si="0"/>
        <v>65</v>
      </c>
      <c r="J33" s="274">
        <f t="shared" si="1"/>
        <v>6000</v>
      </c>
      <c r="K33" s="274">
        <f t="shared" si="2"/>
        <v>1.0755772264448586</v>
      </c>
      <c r="L33" s="274">
        <f t="shared" si="3"/>
        <v>26</v>
      </c>
      <c r="M33" s="274">
        <f t="shared" si="4"/>
        <v>4.5543012845465159E-3</v>
      </c>
      <c r="O33" s="274" t="s">
        <v>1845</v>
      </c>
      <c r="P33" s="274">
        <v>8</v>
      </c>
      <c r="Q33" s="274" t="s">
        <v>1558</v>
      </c>
      <c r="T33" s="256" t="str">
        <f>W33&amp;V33&amp;LEFT(道具价值!R1014)&amp;LEFT(X33,1)&amp;LEFT(Y33,1)</f>
        <v>T3低重图半</v>
      </c>
      <c r="U33" s="256">
        <f>IF(V32="重",U32+1,U32)</f>
        <v>9</v>
      </c>
      <c r="V33" s="256" t="str">
        <f>V30</f>
        <v>重</v>
      </c>
      <c r="W33" s="256" t="str">
        <f>VLOOKUP($U33,'坦克涂装-作废'!$B$23:$I$99,MATCH(W$6,'坦克涂装-作废'!$B$23:$I$23,0),FALSE)</f>
        <v>T3低</v>
      </c>
      <c r="X33" s="256" t="str">
        <f>VLOOKUP($U33,'坦克涂装-作废'!$B$23:$I$99,MATCH(X$6,'坦克涂装-作废'!$B$23:$I$23,0),FALSE)</f>
        <v>图案</v>
      </c>
      <c r="Y33" s="256" t="str">
        <f>VLOOKUP($U33,'坦克涂装-作废'!$B$23:$I$99,MATCH(Y$6,'坦克涂装-作废'!$B$23:$I$23,0),FALSE)</f>
        <v>半月</v>
      </c>
      <c r="Z33" s="159">
        <f>VLOOKUP($U33,'坦克涂装-作废'!$B$23:$I$99,MATCH(Z$6,'坦克涂装-作废'!$B$23:$I$23,0),FALSE)</f>
        <v>1835.0000000000002</v>
      </c>
      <c r="AA33" s="158"/>
      <c r="AB33" s="158"/>
      <c r="AC33" s="158"/>
      <c r="AD33" s="158"/>
      <c r="AE33" s="158"/>
      <c r="AF33" s="158"/>
      <c r="AG33" s="158"/>
      <c r="AH33" s="158"/>
      <c r="AI33" s="158"/>
    </row>
    <row r="34" spans="2:35" x14ac:dyDescent="0.35">
      <c r="B34" s="282">
        <v>11</v>
      </c>
      <c r="C34" s="257" t="s">
        <v>1106</v>
      </c>
      <c r="D34" s="273" t="s">
        <v>1218</v>
      </c>
      <c r="E34" s="273" t="s">
        <v>1233</v>
      </c>
      <c r="F34" s="53">
        <v>0.16</v>
      </c>
      <c r="G34" s="388">
        <f t="shared" si="5"/>
        <v>1059.8399999999999</v>
      </c>
      <c r="H34" s="53">
        <v>4.4444444444444446E-2</v>
      </c>
      <c r="I34" s="369">
        <f t="shared" si="0"/>
        <v>48</v>
      </c>
      <c r="J34" s="274">
        <f t="shared" si="1"/>
        <v>1000</v>
      </c>
      <c r="K34" s="274">
        <f t="shared" si="2"/>
        <v>0.15096618357487923</v>
      </c>
      <c r="L34" s="274">
        <f t="shared" si="3"/>
        <v>14</v>
      </c>
      <c r="M34" s="274">
        <f t="shared" si="4"/>
        <v>1.3209541062801934E-2</v>
      </c>
      <c r="O34" s="274" t="s">
        <v>1845</v>
      </c>
      <c r="P34" s="274">
        <v>12</v>
      </c>
      <c r="Q34" s="274" t="s">
        <v>1559</v>
      </c>
      <c r="T34" s="256" t="str">
        <f>W34&amp;V34&amp;LEFT(道具价值!R1015)&amp;LEFT(X34,1)&amp;LEFT(Y34,1)</f>
        <v>T3低轻图永</v>
      </c>
      <c r="U34" s="256">
        <f>IF(V33="重",U33+1,U33)</f>
        <v>10</v>
      </c>
      <c r="V34" s="256" t="str">
        <f>V31</f>
        <v>轻</v>
      </c>
      <c r="W34" s="256" t="str">
        <f>VLOOKUP($U34,'坦克涂装-作废'!$B$23:$I$99,MATCH(W$6,'坦克涂装-作废'!$B$23:$I$23,0),FALSE)</f>
        <v>T3低</v>
      </c>
      <c r="X34" s="256" t="str">
        <f>VLOOKUP($U34,'坦克涂装-作废'!$B$23:$I$99,MATCH(X$6,'坦克涂装-作废'!$B$23:$I$23,0),FALSE)</f>
        <v>图案</v>
      </c>
      <c r="Y34" s="256" t="str">
        <f>VLOOKUP($U34,'坦克涂装-作废'!$B$23:$I$99,MATCH(Y$6,'坦克涂装-作废'!$B$23:$I$23,0),FALSE)</f>
        <v>永久</v>
      </c>
      <c r="Z34" s="159">
        <f>VLOOKUP($U34,'坦克涂装-作废'!$B$23:$I$99,MATCH(Z$6,'坦克涂装-作废'!$B$23:$I$23,0),FALSE)</f>
        <v>5708.8888888888896</v>
      </c>
      <c r="AA34" s="158"/>
      <c r="AB34" s="158"/>
      <c r="AC34" s="158"/>
      <c r="AD34" s="158"/>
      <c r="AE34" s="158"/>
      <c r="AF34" s="158"/>
      <c r="AG34" s="158"/>
      <c r="AH34" s="158"/>
      <c r="AI34" s="158"/>
    </row>
    <row r="35" spans="2:35" x14ac:dyDescent="0.35">
      <c r="B35" s="282">
        <v>12</v>
      </c>
      <c r="C35" s="257" t="s">
        <v>1106</v>
      </c>
      <c r="D35" s="273" t="s">
        <v>1218</v>
      </c>
      <c r="E35" s="273" t="s">
        <v>1232</v>
      </c>
      <c r="F35" s="53">
        <v>0.31111111111111112</v>
      </c>
      <c r="G35" s="388">
        <f t="shared" si="5"/>
        <v>2060.7999999999997</v>
      </c>
      <c r="H35" s="53">
        <v>2.2857142857142857E-2</v>
      </c>
      <c r="I35" s="369">
        <f t="shared" si="0"/>
        <v>48</v>
      </c>
      <c r="J35" s="274">
        <f t="shared" si="1"/>
        <v>2100</v>
      </c>
      <c r="K35" s="274">
        <f t="shared" si="2"/>
        <v>0.3170289855072464</v>
      </c>
      <c r="L35" s="274">
        <f t="shared" si="3"/>
        <v>18</v>
      </c>
      <c r="M35" s="274">
        <f t="shared" si="4"/>
        <v>8.7344720496894419E-3</v>
      </c>
      <c r="O35" s="274" t="s">
        <v>1846</v>
      </c>
      <c r="P35" s="274">
        <v>8</v>
      </c>
      <c r="Q35" s="274" t="s">
        <v>1557</v>
      </c>
      <c r="T35" s="256" t="str">
        <f>W35&amp;V35&amp;LEFT(道具价值!R1016)&amp;LEFT(X35,1)&amp;LEFT(Y35,1)</f>
        <v>T3低中图永</v>
      </c>
      <c r="U35" s="256">
        <f>IF(V34="重",U34+1,U34)</f>
        <v>10</v>
      </c>
      <c r="V35" s="256" t="str">
        <f>V32</f>
        <v>中</v>
      </c>
      <c r="W35" s="256" t="str">
        <f>VLOOKUP($U35,'坦克涂装-作废'!$B$23:$I$99,MATCH(W$6,'坦克涂装-作废'!$B$23:$I$23,0),FALSE)</f>
        <v>T3低</v>
      </c>
      <c r="X35" s="256" t="str">
        <f>VLOOKUP($U35,'坦克涂装-作废'!$B$23:$I$99,MATCH(X$6,'坦克涂装-作废'!$B$23:$I$23,0),FALSE)</f>
        <v>图案</v>
      </c>
      <c r="Y35" s="256" t="str">
        <f>VLOOKUP($U35,'坦克涂装-作废'!$B$23:$I$99,MATCH(Y$6,'坦克涂装-作废'!$B$23:$I$23,0),FALSE)</f>
        <v>永久</v>
      </c>
      <c r="Z35" s="159">
        <f>VLOOKUP($U35,'坦克涂装-作废'!$B$23:$I$99,MATCH(Z$6,'坦克涂装-作废'!$B$23:$I$23,0),FALSE)</f>
        <v>5708.8888888888896</v>
      </c>
      <c r="AA35" s="158"/>
      <c r="AB35" s="158"/>
      <c r="AC35" s="158"/>
      <c r="AD35" s="158"/>
      <c r="AE35" s="158"/>
      <c r="AF35" s="158"/>
      <c r="AG35" s="158"/>
      <c r="AH35" s="158"/>
      <c r="AI35" s="158"/>
    </row>
    <row r="36" spans="2:35" x14ac:dyDescent="0.35">
      <c r="B36" s="282">
        <v>13</v>
      </c>
      <c r="C36" s="257" t="s">
        <v>1106</v>
      </c>
      <c r="D36" s="273" t="s">
        <v>1218</v>
      </c>
      <c r="E36" s="273" t="s">
        <v>1231</v>
      </c>
      <c r="F36" s="53">
        <v>1.0666666666666667</v>
      </c>
      <c r="G36" s="388">
        <f t="shared" si="5"/>
        <v>7065.5999999999985</v>
      </c>
      <c r="H36" s="53">
        <v>1.1666666666666667E-2</v>
      </c>
      <c r="I36" s="369">
        <f t="shared" si="0"/>
        <v>80</v>
      </c>
      <c r="J36" s="274">
        <f t="shared" si="1"/>
        <v>7000</v>
      </c>
      <c r="K36" s="274">
        <f t="shared" si="2"/>
        <v>1.0567632850241548</v>
      </c>
      <c r="L36" s="274">
        <f t="shared" si="3"/>
        <v>28</v>
      </c>
      <c r="M36" s="274">
        <f t="shared" si="4"/>
        <v>3.9628623188405808E-3</v>
      </c>
      <c r="O36" s="274" t="s">
        <v>1846</v>
      </c>
      <c r="P36" s="274">
        <v>8</v>
      </c>
      <c r="Q36" s="274" t="s">
        <v>1558</v>
      </c>
      <c r="T36" s="256" t="str">
        <f>W36&amp;V36&amp;LEFT(道具价值!R1017)&amp;LEFT(X36,1)&amp;LEFT(Y36,1)</f>
        <v>T3低重图永</v>
      </c>
      <c r="U36" s="256">
        <f>IF(V35="重",U35+1,U35)</f>
        <v>10</v>
      </c>
      <c r="V36" s="256" t="str">
        <f>V33</f>
        <v>重</v>
      </c>
      <c r="W36" s="256" t="str">
        <f>VLOOKUP($U36,'坦克涂装-作废'!$B$23:$I$99,MATCH(W$6,'坦克涂装-作废'!$B$23:$I$23,0),FALSE)</f>
        <v>T3低</v>
      </c>
      <c r="X36" s="256" t="str">
        <f>VLOOKUP($U36,'坦克涂装-作废'!$B$23:$I$99,MATCH(X$6,'坦克涂装-作废'!$B$23:$I$23,0),FALSE)</f>
        <v>图案</v>
      </c>
      <c r="Y36" s="256" t="str">
        <f>VLOOKUP($U36,'坦克涂装-作废'!$B$23:$I$99,MATCH(Y$6,'坦克涂装-作废'!$B$23:$I$23,0),FALSE)</f>
        <v>永久</v>
      </c>
      <c r="Z36" s="159">
        <f>VLOOKUP($U36,'坦克涂装-作废'!$B$23:$I$99,MATCH(Z$6,'坦克涂装-作废'!$B$23:$I$23,0),FALSE)</f>
        <v>5708.8888888888896</v>
      </c>
      <c r="AA36" s="158"/>
      <c r="AB36" s="158"/>
      <c r="AC36" s="158"/>
      <c r="AD36" s="158"/>
      <c r="AE36" s="158"/>
      <c r="AF36" s="158"/>
      <c r="AG36" s="158"/>
      <c r="AH36" s="158"/>
      <c r="AI36" s="158"/>
    </row>
    <row r="37" spans="2:35" x14ac:dyDescent="0.35">
      <c r="B37" s="282">
        <v>14</v>
      </c>
      <c r="C37" s="257" t="s">
        <v>1106</v>
      </c>
      <c r="D37" s="273" t="s">
        <v>1219</v>
      </c>
      <c r="E37" s="273" t="s">
        <v>1233</v>
      </c>
      <c r="F37" s="53">
        <v>0.15555555555555556</v>
      </c>
      <c r="G37" s="388">
        <f t="shared" si="5"/>
        <v>2060.7999999999997</v>
      </c>
      <c r="H37" s="53">
        <v>2.2857142857142857E-2</v>
      </c>
      <c r="I37" s="369">
        <f t="shared" si="0"/>
        <v>48</v>
      </c>
      <c r="J37" s="274">
        <f t="shared" si="1"/>
        <v>2100</v>
      </c>
      <c r="K37" s="274">
        <f t="shared" si="2"/>
        <v>0.1585144927536232</v>
      </c>
      <c r="L37" s="274">
        <f t="shared" si="3"/>
        <v>18</v>
      </c>
      <c r="M37" s="274">
        <f t="shared" si="4"/>
        <v>8.7344720496894419E-3</v>
      </c>
      <c r="O37" s="274" t="s">
        <v>1846</v>
      </c>
      <c r="P37" s="274">
        <v>14</v>
      </c>
      <c r="Q37" s="274" t="s">
        <v>1559</v>
      </c>
      <c r="T37" s="256" t="str">
        <f>W37&amp;V37&amp;LEFT(道具价值!R1018)&amp;LEFT(X37,1)&amp;LEFT(Y37,1)</f>
        <v>T3中轻贴三</v>
      </c>
      <c r="U37" s="256">
        <f>IF(V36="重",U36+1,U36)</f>
        <v>11</v>
      </c>
      <c r="V37" s="256" t="str">
        <f>V34</f>
        <v>轻</v>
      </c>
      <c r="W37" s="256" t="str">
        <f>VLOOKUP($U37,'坦克涂装-作废'!$B$23:$I$99,MATCH(W$6,'坦克涂装-作废'!$B$23:$I$23,0),FALSE)</f>
        <v>T3中</v>
      </c>
      <c r="X37" s="256" t="str">
        <f>VLOOKUP($U37,'坦克涂装-作废'!$B$23:$I$99,MATCH(X$6,'坦克涂装-作废'!$B$23:$I$23,0),FALSE)</f>
        <v>贴花</v>
      </c>
      <c r="Y37" s="256" t="str">
        <f>VLOOKUP($U37,'坦克涂装-作废'!$B$23:$I$99,MATCH(Y$6,'坦克涂装-作废'!$B$23:$I$23,0),FALSE)</f>
        <v>三天</v>
      </c>
      <c r="Z37" s="159">
        <f>VLOOKUP($U37,'坦克涂装-作废'!$B$23:$I$99,MATCH(Z$6,'坦克涂装-作废'!$B$23:$I$23,0),FALSE)</f>
        <v>1059.8399999999999</v>
      </c>
      <c r="AA37" s="158"/>
      <c r="AB37" s="158"/>
      <c r="AC37" s="158"/>
      <c r="AD37" s="158"/>
      <c r="AE37" s="158"/>
      <c r="AF37" s="158"/>
      <c r="AG37" s="158"/>
      <c r="AH37" s="158"/>
      <c r="AI37" s="158"/>
    </row>
    <row r="38" spans="2:35" x14ac:dyDescent="0.35">
      <c r="B38" s="282">
        <v>15</v>
      </c>
      <c r="C38" s="257" t="s">
        <v>1106</v>
      </c>
      <c r="D38" s="273" t="s">
        <v>1219</v>
      </c>
      <c r="E38" s="273" t="s">
        <v>1232</v>
      </c>
      <c r="F38" s="53">
        <v>0.31111111111111112</v>
      </c>
      <c r="G38" s="388">
        <f t="shared" si="5"/>
        <v>4121.5999999999995</v>
      </c>
      <c r="H38" s="53">
        <v>1.7142857142857144E-2</v>
      </c>
      <c r="I38" s="369">
        <f t="shared" si="0"/>
        <v>70</v>
      </c>
      <c r="J38" s="274">
        <f t="shared" si="1"/>
        <v>4000</v>
      </c>
      <c r="K38" s="274">
        <f t="shared" si="2"/>
        <v>0.30193236714975852</v>
      </c>
      <c r="L38" s="274">
        <f t="shared" si="3"/>
        <v>22</v>
      </c>
      <c r="M38" s="274">
        <f t="shared" si="4"/>
        <v>5.3377329192546589E-3</v>
      </c>
      <c r="O38" s="274" t="s">
        <v>1845</v>
      </c>
      <c r="P38" s="274">
        <v>8</v>
      </c>
      <c r="Q38" s="274" t="s">
        <v>1560</v>
      </c>
      <c r="T38" s="256" t="str">
        <f>W38&amp;V38&amp;LEFT(道具价值!R1019)&amp;LEFT(X38,1)&amp;LEFT(Y38,1)</f>
        <v>T3中中贴三</v>
      </c>
      <c r="U38" s="256">
        <f>IF(V37="重",U37+1,U37)</f>
        <v>11</v>
      </c>
      <c r="V38" s="256" t="str">
        <f>V35</f>
        <v>中</v>
      </c>
      <c r="W38" s="256" t="str">
        <f>VLOOKUP($U38,'坦克涂装-作废'!$B$23:$I$99,MATCH(W$6,'坦克涂装-作废'!$B$23:$I$23,0),FALSE)</f>
        <v>T3中</v>
      </c>
      <c r="X38" s="256" t="str">
        <f>VLOOKUP($U38,'坦克涂装-作废'!$B$23:$I$99,MATCH(X$6,'坦克涂装-作废'!$B$23:$I$23,0),FALSE)</f>
        <v>贴花</v>
      </c>
      <c r="Y38" s="256" t="str">
        <f>VLOOKUP($U38,'坦克涂装-作废'!$B$23:$I$99,MATCH(Y$6,'坦克涂装-作废'!$B$23:$I$23,0),FALSE)</f>
        <v>三天</v>
      </c>
      <c r="Z38" s="159">
        <f>VLOOKUP($U38,'坦克涂装-作废'!$B$23:$I$99,MATCH(Z$6,'坦克涂装-作废'!$B$23:$I$23,0),FALSE)</f>
        <v>1059.8399999999999</v>
      </c>
      <c r="AA38" s="158"/>
      <c r="AB38" s="158"/>
      <c r="AC38" s="158"/>
      <c r="AD38" s="158"/>
      <c r="AE38" s="158"/>
      <c r="AF38" s="158"/>
      <c r="AG38" s="158"/>
      <c r="AH38" s="158"/>
      <c r="AI38" s="158"/>
    </row>
    <row r="39" spans="2:35" x14ac:dyDescent="0.35">
      <c r="B39" s="282">
        <v>16</v>
      </c>
      <c r="C39" s="257" t="s">
        <v>1106</v>
      </c>
      <c r="D39" s="273" t="s">
        <v>1219</v>
      </c>
      <c r="E39" s="273" t="s">
        <v>1231</v>
      </c>
      <c r="F39" s="53">
        <v>1.0666666666666667</v>
      </c>
      <c r="G39" s="388">
        <f t="shared" si="5"/>
        <v>14131.199999999997</v>
      </c>
      <c r="H39" s="53">
        <v>7.4999999999999997E-3</v>
      </c>
      <c r="I39" s="369">
        <f t="shared" si="0"/>
        <v>105</v>
      </c>
      <c r="J39" s="274">
        <f t="shared" si="1"/>
        <v>14000</v>
      </c>
      <c r="K39" s="274">
        <f t="shared" si="2"/>
        <v>1.0567632850241548</v>
      </c>
      <c r="L39" s="274">
        <f t="shared" si="3"/>
        <v>36</v>
      </c>
      <c r="M39" s="274">
        <f t="shared" si="4"/>
        <v>2.5475543478260874E-3</v>
      </c>
      <c r="O39" s="274" t="s">
        <v>1845</v>
      </c>
      <c r="P39" s="274">
        <v>8</v>
      </c>
      <c r="Q39" s="274" t="s">
        <v>1561</v>
      </c>
      <c r="T39" s="256" t="str">
        <f>W39&amp;V39&amp;LEFT(道具价值!R1020)&amp;LEFT(X39,1)&amp;LEFT(Y39,1)</f>
        <v>T3中重贴三</v>
      </c>
      <c r="U39" s="256">
        <f>IF(V38="重",U38+1,U38)</f>
        <v>11</v>
      </c>
      <c r="V39" s="256" t="str">
        <f>V36</f>
        <v>重</v>
      </c>
      <c r="W39" s="256" t="str">
        <f>VLOOKUP($U39,'坦克涂装-作废'!$B$23:$I$99,MATCH(W$6,'坦克涂装-作废'!$B$23:$I$23,0),FALSE)</f>
        <v>T3中</v>
      </c>
      <c r="X39" s="256" t="str">
        <f>VLOOKUP($U39,'坦克涂装-作废'!$B$23:$I$99,MATCH(X$6,'坦克涂装-作废'!$B$23:$I$23,0),FALSE)</f>
        <v>贴花</v>
      </c>
      <c r="Y39" s="256" t="str">
        <f>VLOOKUP($U39,'坦克涂装-作废'!$B$23:$I$99,MATCH(Y$6,'坦克涂装-作废'!$B$23:$I$23,0),FALSE)</f>
        <v>三天</v>
      </c>
      <c r="Z39" s="159">
        <f>VLOOKUP($U39,'坦克涂装-作废'!$B$23:$I$99,MATCH(Z$6,'坦克涂装-作废'!$B$23:$I$23,0),FALSE)</f>
        <v>1059.8399999999999</v>
      </c>
      <c r="AA39" s="158"/>
      <c r="AB39" s="158"/>
      <c r="AC39" s="158"/>
      <c r="AD39" s="158"/>
      <c r="AE39" s="158"/>
      <c r="AF39" s="158"/>
      <c r="AG39" s="158"/>
      <c r="AH39" s="158"/>
      <c r="AI39" s="158"/>
    </row>
    <row r="40" spans="2:35" x14ac:dyDescent="0.35">
      <c r="B40" s="282">
        <v>17</v>
      </c>
      <c r="C40" s="257" t="s">
        <v>1107</v>
      </c>
      <c r="D40" s="273" t="s">
        <v>1218</v>
      </c>
      <c r="E40" s="273" t="s">
        <v>1233</v>
      </c>
      <c r="F40" s="53">
        <v>0.14414414414414409</v>
      </c>
      <c r="G40" s="388">
        <f t="shared" si="5"/>
        <v>865.29729729729695</v>
      </c>
      <c r="H40" s="53">
        <v>4.4444444444444446E-2</v>
      </c>
      <c r="I40" s="369">
        <f t="shared" si="0"/>
        <v>38</v>
      </c>
      <c r="J40" s="274">
        <f t="shared" si="1"/>
        <v>900</v>
      </c>
      <c r="K40" s="274">
        <f t="shared" si="2"/>
        <v>0.14992503748125938</v>
      </c>
      <c r="L40" s="274">
        <f t="shared" si="3"/>
        <v>12</v>
      </c>
      <c r="M40" s="274">
        <f t="shared" si="4"/>
        <v>1.3868065967016497E-2</v>
      </c>
      <c r="O40" s="274" t="s">
        <v>1845</v>
      </c>
      <c r="P40" s="274">
        <v>14</v>
      </c>
      <c r="Q40" s="274" t="s">
        <v>1562</v>
      </c>
      <c r="T40" s="256" t="str">
        <f>W40&amp;V40&amp;LEFT(道具价值!R1021)&amp;LEFT(X40,1)&amp;LEFT(Y40,1)</f>
        <v>T3中轻贴半</v>
      </c>
      <c r="U40" s="256">
        <f>IF(V39="重",U39+1,U39)</f>
        <v>12</v>
      </c>
      <c r="V40" s="256" t="str">
        <f>V37</f>
        <v>轻</v>
      </c>
      <c r="W40" s="256" t="str">
        <f>VLOOKUP($U40,'坦克涂装-作废'!$B$23:$I$99,MATCH(W$6,'坦克涂装-作废'!$B$23:$I$23,0),FALSE)</f>
        <v>T3中</v>
      </c>
      <c r="X40" s="256" t="str">
        <f>VLOOKUP($U40,'坦克涂装-作废'!$B$23:$I$99,MATCH(X$6,'坦克涂装-作废'!$B$23:$I$23,0),FALSE)</f>
        <v>贴花</v>
      </c>
      <c r="Y40" s="256" t="str">
        <f>VLOOKUP($U40,'坦克涂装-作废'!$B$23:$I$99,MATCH(Y$6,'坦克涂装-作废'!$B$23:$I$23,0),FALSE)</f>
        <v>半月</v>
      </c>
      <c r="Z40" s="159">
        <f>VLOOKUP($U40,'坦克涂装-作废'!$B$23:$I$99,MATCH(Z$6,'坦克涂装-作废'!$B$23:$I$23,0),FALSE)</f>
        <v>2060.7999999999997</v>
      </c>
      <c r="AA40" s="158"/>
      <c r="AB40" s="158"/>
      <c r="AC40" s="158"/>
      <c r="AD40" s="158"/>
      <c r="AE40" s="158"/>
      <c r="AF40" s="158"/>
      <c r="AG40" s="158"/>
      <c r="AH40" s="158"/>
      <c r="AI40" s="158"/>
    </row>
    <row r="41" spans="2:35" x14ac:dyDescent="0.35">
      <c r="B41" s="282">
        <v>18</v>
      </c>
      <c r="C41" s="257" t="s">
        <v>1107</v>
      </c>
      <c r="D41" s="273" t="s">
        <v>1218</v>
      </c>
      <c r="E41" s="273" t="s">
        <v>1232</v>
      </c>
      <c r="F41" s="53">
        <v>0.32032032032032021</v>
      </c>
      <c r="G41" s="388">
        <f t="shared" si="5"/>
        <v>1922.8828828828823</v>
      </c>
      <c r="H41" s="53">
        <v>2.5000000000000001E-2</v>
      </c>
      <c r="I41" s="369">
        <f t="shared" si="0"/>
        <v>48</v>
      </c>
      <c r="J41" s="274">
        <f t="shared" si="1"/>
        <v>2000</v>
      </c>
      <c r="K41" s="274">
        <f t="shared" si="2"/>
        <v>0.3331667499583541</v>
      </c>
      <c r="L41" s="274">
        <f t="shared" si="3"/>
        <v>18</v>
      </c>
      <c r="M41" s="274">
        <f t="shared" si="4"/>
        <v>9.3609445277361356E-3</v>
      </c>
      <c r="O41" s="274" t="s">
        <v>1846</v>
      </c>
      <c r="P41" s="274">
        <v>8</v>
      </c>
      <c r="Q41" s="274" t="s">
        <v>1560</v>
      </c>
      <c r="T41" s="256" t="str">
        <f>W41&amp;V41&amp;LEFT(道具价值!R1022)&amp;LEFT(X41,1)&amp;LEFT(Y41,1)</f>
        <v>T3中中贴半</v>
      </c>
      <c r="U41" s="256">
        <f>IF(V40="重",U40+1,U40)</f>
        <v>12</v>
      </c>
      <c r="V41" s="256" t="str">
        <f>V38</f>
        <v>中</v>
      </c>
      <c r="W41" s="256" t="str">
        <f>VLOOKUP($U41,'坦克涂装-作废'!$B$23:$I$99,MATCH(W$6,'坦克涂装-作废'!$B$23:$I$23,0),FALSE)</f>
        <v>T3中</v>
      </c>
      <c r="X41" s="256" t="str">
        <f>VLOOKUP($U41,'坦克涂装-作废'!$B$23:$I$99,MATCH(X$6,'坦克涂装-作废'!$B$23:$I$23,0),FALSE)</f>
        <v>贴花</v>
      </c>
      <c r="Y41" s="256" t="str">
        <f>VLOOKUP($U41,'坦克涂装-作废'!$B$23:$I$99,MATCH(Y$6,'坦克涂装-作废'!$B$23:$I$23,0),FALSE)</f>
        <v>半月</v>
      </c>
      <c r="Z41" s="159">
        <f>VLOOKUP($U41,'坦克涂装-作废'!$B$23:$I$99,MATCH(Z$6,'坦克涂装-作废'!$B$23:$I$23,0),FALSE)</f>
        <v>2060.7999999999997</v>
      </c>
      <c r="AA41" s="158"/>
      <c r="AB41" s="158"/>
      <c r="AC41" s="158"/>
      <c r="AD41" s="158"/>
      <c r="AE41" s="158"/>
      <c r="AF41" s="158"/>
      <c r="AG41" s="158"/>
      <c r="AH41" s="158"/>
      <c r="AI41" s="158"/>
    </row>
    <row r="42" spans="2:35" x14ac:dyDescent="0.35">
      <c r="B42" s="282">
        <v>19</v>
      </c>
      <c r="C42" s="257" t="s">
        <v>1107</v>
      </c>
      <c r="D42" s="273" t="s">
        <v>1218</v>
      </c>
      <c r="E42" s="273" t="s">
        <v>1231</v>
      </c>
      <c r="F42" s="53">
        <v>1.1211211211211207</v>
      </c>
      <c r="G42" s="388">
        <f t="shared" si="5"/>
        <v>6730.0900900900879</v>
      </c>
      <c r="H42" s="53">
        <v>1.1428571428571429E-2</v>
      </c>
      <c r="I42" s="369">
        <f t="shared" si="0"/>
        <v>75</v>
      </c>
      <c r="J42" s="274">
        <f t="shared" si="1"/>
        <v>7000</v>
      </c>
      <c r="K42" s="274">
        <f t="shared" si="2"/>
        <v>1.1660836248542394</v>
      </c>
      <c r="L42" s="274">
        <f t="shared" si="3"/>
        <v>28</v>
      </c>
      <c r="M42" s="274">
        <f t="shared" si="4"/>
        <v>4.1604197901049488E-3</v>
      </c>
      <c r="O42" s="274" t="s">
        <v>1846</v>
      </c>
      <c r="P42" s="274">
        <v>12</v>
      </c>
      <c r="Q42" s="274" t="s">
        <v>1561</v>
      </c>
      <c r="T42" s="256" t="str">
        <f>W42&amp;V42&amp;LEFT(道具价值!R1023)&amp;LEFT(X42,1)&amp;LEFT(Y42,1)</f>
        <v>T3中重贴半</v>
      </c>
      <c r="U42" s="256">
        <f>IF(V41="重",U41+1,U41)</f>
        <v>12</v>
      </c>
      <c r="V42" s="256" t="str">
        <f>V39</f>
        <v>重</v>
      </c>
      <c r="W42" s="256" t="str">
        <f>VLOOKUP($U42,'坦克涂装-作废'!$B$23:$I$99,MATCH(W$6,'坦克涂装-作废'!$B$23:$I$23,0),FALSE)</f>
        <v>T3中</v>
      </c>
      <c r="X42" s="256" t="str">
        <f>VLOOKUP($U42,'坦克涂装-作废'!$B$23:$I$99,MATCH(X$6,'坦克涂装-作废'!$B$23:$I$23,0),FALSE)</f>
        <v>贴花</v>
      </c>
      <c r="Y42" s="256" t="str">
        <f>VLOOKUP($U42,'坦克涂装-作废'!$B$23:$I$99,MATCH(Y$6,'坦克涂装-作废'!$B$23:$I$23,0),FALSE)</f>
        <v>半月</v>
      </c>
      <c r="Z42" s="159">
        <f>VLOOKUP($U42,'坦克涂装-作废'!$B$23:$I$99,MATCH(Z$6,'坦克涂装-作废'!$B$23:$I$23,0),FALSE)</f>
        <v>2060.7999999999997</v>
      </c>
      <c r="AA42" s="158"/>
      <c r="AB42" s="158"/>
      <c r="AC42" s="158"/>
      <c r="AD42" s="158"/>
      <c r="AE42" s="158"/>
      <c r="AF42" s="158"/>
      <c r="AG42" s="158"/>
      <c r="AH42" s="158"/>
      <c r="AI42" s="158"/>
    </row>
    <row r="43" spans="2:35" x14ac:dyDescent="0.35">
      <c r="B43" s="282">
        <v>20</v>
      </c>
      <c r="C43" s="257" t="s">
        <v>1107</v>
      </c>
      <c r="D43" s="273" t="s">
        <v>1219</v>
      </c>
      <c r="E43" s="273" t="s">
        <v>1233</v>
      </c>
      <c r="F43" s="53">
        <v>0.1601601601601601</v>
      </c>
      <c r="G43" s="388">
        <f t="shared" si="5"/>
        <v>1922.8828828828823</v>
      </c>
      <c r="H43" s="53">
        <v>2.5000000000000001E-2</v>
      </c>
      <c r="I43" s="369">
        <f t="shared" si="0"/>
        <v>48</v>
      </c>
      <c r="J43" s="274">
        <f t="shared" si="1"/>
        <v>2000</v>
      </c>
      <c r="K43" s="274">
        <f t="shared" si="2"/>
        <v>0.16658337497917705</v>
      </c>
      <c r="L43" s="274">
        <f t="shared" si="3"/>
        <v>18</v>
      </c>
      <c r="M43" s="274">
        <f t="shared" si="4"/>
        <v>9.3609445277361356E-3</v>
      </c>
      <c r="O43" s="274" t="s">
        <v>1846</v>
      </c>
      <c r="P43" s="274">
        <v>18</v>
      </c>
      <c r="Q43" s="274" t="s">
        <v>1562</v>
      </c>
      <c r="T43" s="256" t="str">
        <f>W43&amp;V43&amp;LEFT(道具价值!R1024)&amp;LEFT(X43,1)&amp;LEFT(Y43,1)</f>
        <v>T3中轻贴永</v>
      </c>
      <c r="U43" s="256">
        <f>IF(V42="重",U42+1,U42)</f>
        <v>13</v>
      </c>
      <c r="V43" s="256" t="str">
        <f>V40</f>
        <v>轻</v>
      </c>
      <c r="W43" s="256" t="str">
        <f>VLOOKUP($U43,'坦克涂装-作废'!$B$23:$I$99,MATCH(W$6,'坦克涂装-作废'!$B$23:$I$23,0),FALSE)</f>
        <v>T3中</v>
      </c>
      <c r="X43" s="256" t="str">
        <f>VLOOKUP($U43,'坦克涂装-作废'!$B$23:$I$99,MATCH(X$6,'坦克涂装-作废'!$B$23:$I$23,0),FALSE)</f>
        <v>贴花</v>
      </c>
      <c r="Y43" s="256" t="str">
        <f>VLOOKUP($U43,'坦克涂装-作废'!$B$23:$I$99,MATCH(Y$6,'坦克涂装-作废'!$B$23:$I$23,0),FALSE)</f>
        <v>永久</v>
      </c>
      <c r="Z43" s="159">
        <f>VLOOKUP($U43,'坦克涂装-作废'!$B$23:$I$99,MATCH(Z$6,'坦克涂装-作废'!$B$23:$I$23,0),FALSE)</f>
        <v>7065.5999999999985</v>
      </c>
      <c r="AA43" s="158"/>
      <c r="AB43" s="158"/>
      <c r="AC43" s="158"/>
      <c r="AD43" s="158"/>
      <c r="AE43" s="158"/>
      <c r="AF43" s="158"/>
      <c r="AG43" s="158"/>
      <c r="AH43" s="158"/>
      <c r="AI43" s="158"/>
    </row>
    <row r="44" spans="2:35" x14ac:dyDescent="0.35">
      <c r="B44" s="282">
        <v>21</v>
      </c>
      <c r="C44" s="257" t="s">
        <v>1107</v>
      </c>
      <c r="D44" s="273" t="s">
        <v>1219</v>
      </c>
      <c r="E44" s="273" t="s">
        <v>1232</v>
      </c>
      <c r="F44" s="53">
        <v>0.32032032032032021</v>
      </c>
      <c r="G44" s="388">
        <f t="shared" si="5"/>
        <v>3845.7657657657646</v>
      </c>
      <c r="H44" s="53">
        <v>1.4999999999999999E-2</v>
      </c>
      <c r="I44" s="369">
        <f t="shared" si="0"/>
        <v>60</v>
      </c>
      <c r="J44" s="274">
        <f t="shared" si="1"/>
        <v>4000</v>
      </c>
      <c r="K44" s="274">
        <f t="shared" si="2"/>
        <v>0.3331667499583541</v>
      </c>
      <c r="L44" s="274">
        <f t="shared" si="3"/>
        <v>22</v>
      </c>
      <c r="M44" s="274">
        <f t="shared" si="4"/>
        <v>5.720577211394305E-3</v>
      </c>
      <c r="O44" s="274" t="s">
        <v>1845</v>
      </c>
      <c r="P44" s="274">
        <v>8</v>
      </c>
      <c r="Q44" s="274" t="s">
        <v>1563</v>
      </c>
      <c r="T44" s="256" t="str">
        <f>W44&amp;V44&amp;LEFT(道具价值!R1025)&amp;LEFT(X44,1)&amp;LEFT(Y44,1)</f>
        <v>T3中中贴永</v>
      </c>
      <c r="U44" s="256">
        <f>IF(V43="重",U43+1,U43)</f>
        <v>13</v>
      </c>
      <c r="V44" s="256" t="str">
        <f>V41</f>
        <v>中</v>
      </c>
      <c r="W44" s="256" t="str">
        <f>VLOOKUP($U44,'坦克涂装-作废'!$B$23:$I$99,MATCH(W$6,'坦克涂装-作废'!$B$23:$I$23,0),FALSE)</f>
        <v>T3中</v>
      </c>
      <c r="X44" s="256" t="str">
        <f>VLOOKUP($U44,'坦克涂装-作废'!$B$23:$I$99,MATCH(X$6,'坦克涂装-作废'!$B$23:$I$23,0),FALSE)</f>
        <v>贴花</v>
      </c>
      <c r="Y44" s="256" t="str">
        <f>VLOOKUP($U44,'坦克涂装-作废'!$B$23:$I$99,MATCH(Y$6,'坦克涂装-作废'!$B$23:$I$23,0),FALSE)</f>
        <v>永久</v>
      </c>
      <c r="Z44" s="159">
        <f>VLOOKUP($U44,'坦克涂装-作废'!$B$23:$I$99,MATCH(Z$6,'坦克涂装-作废'!$B$23:$I$23,0),FALSE)</f>
        <v>7065.5999999999985</v>
      </c>
      <c r="AA44" s="158"/>
      <c r="AB44" s="158"/>
      <c r="AC44" s="158"/>
      <c r="AD44" s="158"/>
      <c r="AE44" s="158"/>
      <c r="AF44" s="158"/>
      <c r="AG44" s="158"/>
      <c r="AH44" s="158"/>
      <c r="AI44" s="158"/>
    </row>
    <row r="45" spans="2:35" x14ac:dyDescent="0.35">
      <c r="B45" s="282">
        <v>22</v>
      </c>
      <c r="C45" s="257" t="s">
        <v>1107</v>
      </c>
      <c r="D45" s="273" t="s">
        <v>1219</v>
      </c>
      <c r="E45" s="273" t="s">
        <v>1231</v>
      </c>
      <c r="F45" s="53">
        <v>0.96096096096096062</v>
      </c>
      <c r="G45" s="388">
        <f t="shared" si="5"/>
        <v>11537.297297297293</v>
      </c>
      <c r="H45" s="53">
        <v>7.4999999999999997E-3</v>
      </c>
      <c r="I45" s="369">
        <f t="shared" si="0"/>
        <v>85</v>
      </c>
      <c r="J45" s="274">
        <f t="shared" si="1"/>
        <v>11200</v>
      </c>
      <c r="K45" s="274">
        <f t="shared" si="2"/>
        <v>0.93286689988339166</v>
      </c>
      <c r="L45" s="274">
        <f t="shared" si="3"/>
        <v>34</v>
      </c>
      <c r="M45" s="274">
        <f t="shared" si="4"/>
        <v>2.9469640179910057E-3</v>
      </c>
      <c r="O45" s="274" t="s">
        <v>1845</v>
      </c>
      <c r="P45" s="274">
        <v>12</v>
      </c>
      <c r="Q45" s="274" t="s">
        <v>1564</v>
      </c>
      <c r="T45" s="256" t="str">
        <f>W45&amp;V45&amp;LEFT(道具价值!R1026)&amp;LEFT(X45,1)&amp;LEFT(Y45,1)</f>
        <v>T3中重贴永</v>
      </c>
      <c r="U45" s="256">
        <f>IF(V44="重",U44+1,U44)</f>
        <v>13</v>
      </c>
      <c r="V45" s="256" t="str">
        <f>V42</f>
        <v>重</v>
      </c>
      <c r="W45" s="256" t="str">
        <f>VLOOKUP($U45,'坦克涂装-作废'!$B$23:$I$99,MATCH(W$6,'坦克涂装-作废'!$B$23:$I$23,0),FALSE)</f>
        <v>T3中</v>
      </c>
      <c r="X45" s="256" t="str">
        <f>VLOOKUP($U45,'坦克涂装-作废'!$B$23:$I$99,MATCH(X$6,'坦克涂装-作废'!$B$23:$I$23,0),FALSE)</f>
        <v>贴花</v>
      </c>
      <c r="Y45" s="256" t="str">
        <f>VLOOKUP($U45,'坦克涂装-作废'!$B$23:$I$99,MATCH(Y$6,'坦克涂装-作废'!$B$23:$I$23,0),FALSE)</f>
        <v>永久</v>
      </c>
      <c r="Z45" s="159">
        <f>VLOOKUP($U45,'坦克涂装-作废'!$B$23:$I$99,MATCH(Z$6,'坦克涂装-作废'!$B$23:$I$23,0),FALSE)</f>
        <v>7065.5999999999985</v>
      </c>
      <c r="AA45" s="158"/>
      <c r="AB45" s="158"/>
      <c r="AC45" s="158"/>
      <c r="AD45" s="158"/>
      <c r="AE45" s="158"/>
      <c r="AF45" s="158"/>
      <c r="AG45" s="158"/>
      <c r="AH45" s="158"/>
      <c r="AI45" s="158"/>
    </row>
    <row r="46" spans="2:35" x14ac:dyDescent="0.35">
      <c r="B46" s="282">
        <v>23</v>
      </c>
      <c r="C46" s="257" t="s">
        <v>1108</v>
      </c>
      <c r="D46" s="273" t="s">
        <v>1218</v>
      </c>
      <c r="E46" s="273" t="s">
        <v>1233</v>
      </c>
      <c r="F46" s="53">
        <v>0.2133333333333334</v>
      </c>
      <c r="G46" s="388">
        <f t="shared" si="5"/>
        <v>567.04000000000019</v>
      </c>
      <c r="H46" s="53">
        <v>6.25E-2</v>
      </c>
      <c r="I46" s="369">
        <f t="shared" si="0"/>
        <v>36</v>
      </c>
      <c r="J46" s="274">
        <f t="shared" si="1"/>
        <v>600</v>
      </c>
      <c r="K46" s="274">
        <f t="shared" si="2"/>
        <v>0.22573363431151244</v>
      </c>
      <c r="L46" s="274">
        <f t="shared" si="3"/>
        <v>16</v>
      </c>
      <c r="M46" s="274">
        <f t="shared" si="4"/>
        <v>2.8216704288939042E-2</v>
      </c>
      <c r="O46" s="274" t="s">
        <v>1845</v>
      </c>
      <c r="P46" s="274">
        <v>18</v>
      </c>
      <c r="Q46" s="274" t="s">
        <v>1565</v>
      </c>
      <c r="T46" s="256" t="str">
        <f>W46&amp;V46&amp;LEFT(道具价值!R1027)&amp;LEFT(X46,1)&amp;LEFT(Y46,1)</f>
        <v>T3中轻图三</v>
      </c>
      <c r="U46" s="256">
        <f>IF(V45="重",U45+1,U45)</f>
        <v>14</v>
      </c>
      <c r="V46" s="256" t="str">
        <f>V43</f>
        <v>轻</v>
      </c>
      <c r="W46" s="256" t="str">
        <f>VLOOKUP($U46,'坦克涂装-作废'!$B$23:$I$99,MATCH(W$6,'坦克涂装-作废'!$B$23:$I$23,0),FALSE)</f>
        <v>T3中</v>
      </c>
      <c r="X46" s="256" t="str">
        <f>VLOOKUP($U46,'坦克涂装-作废'!$B$23:$I$99,MATCH(X$6,'坦克涂装-作废'!$B$23:$I$23,0),FALSE)</f>
        <v>图案</v>
      </c>
      <c r="Y46" s="256" t="str">
        <f>VLOOKUP($U46,'坦克涂装-作废'!$B$23:$I$99,MATCH(Y$6,'坦克涂装-作废'!$B$23:$I$23,0),FALSE)</f>
        <v>三天</v>
      </c>
      <c r="Z46" s="159">
        <f>VLOOKUP($U46,'坦克涂装-作废'!$B$23:$I$99,MATCH(Z$6,'坦克涂装-作废'!$B$23:$I$23,0),FALSE)</f>
        <v>2060.7999999999997</v>
      </c>
      <c r="AA46" s="158"/>
      <c r="AB46" s="158"/>
      <c r="AC46" s="158"/>
      <c r="AD46" s="158"/>
      <c r="AE46" s="158"/>
      <c r="AF46" s="158"/>
      <c r="AG46" s="158"/>
      <c r="AH46" s="158"/>
      <c r="AI46" s="158"/>
    </row>
    <row r="47" spans="2:35" x14ac:dyDescent="0.35">
      <c r="B47" s="282">
        <v>24</v>
      </c>
      <c r="C47" s="257" t="s">
        <v>1108</v>
      </c>
      <c r="D47" s="273" t="s">
        <v>1218</v>
      </c>
      <c r="E47" s="273" t="s">
        <v>1232</v>
      </c>
      <c r="F47" s="53">
        <v>0.33333333333333343</v>
      </c>
      <c r="G47" s="388">
        <f t="shared" si="5"/>
        <v>886.00000000000023</v>
      </c>
      <c r="H47" s="53">
        <v>4.8000000000000001E-2</v>
      </c>
      <c r="I47" s="369">
        <f t="shared" si="0"/>
        <v>42</v>
      </c>
      <c r="J47" s="274">
        <f t="shared" si="1"/>
        <v>900</v>
      </c>
      <c r="K47" s="274">
        <f t="shared" si="2"/>
        <v>0.33860045146726864</v>
      </c>
      <c r="L47" s="274">
        <f t="shared" si="3"/>
        <v>20</v>
      </c>
      <c r="M47" s="274">
        <f t="shared" si="4"/>
        <v>2.2573363431151235E-2</v>
      </c>
      <c r="O47" s="274" t="s">
        <v>1846</v>
      </c>
      <c r="P47" s="274">
        <v>12</v>
      </c>
      <c r="Q47" s="274" t="s">
        <v>1563</v>
      </c>
      <c r="T47" s="256" t="str">
        <f>W47&amp;V47&amp;LEFT(道具价值!R1028)&amp;LEFT(X47,1)&amp;LEFT(Y47,1)</f>
        <v>T3中中图三</v>
      </c>
      <c r="U47" s="256">
        <f>IF(V46="重",U46+1,U46)</f>
        <v>14</v>
      </c>
      <c r="V47" s="256" t="str">
        <f>V44</f>
        <v>中</v>
      </c>
      <c r="W47" s="256" t="str">
        <f>VLOOKUP($U47,'坦克涂装-作废'!$B$23:$I$99,MATCH(W$6,'坦克涂装-作废'!$B$23:$I$23,0),FALSE)</f>
        <v>T3中</v>
      </c>
      <c r="X47" s="256" t="str">
        <f>VLOOKUP($U47,'坦克涂装-作废'!$B$23:$I$99,MATCH(X$6,'坦克涂装-作废'!$B$23:$I$23,0),FALSE)</f>
        <v>图案</v>
      </c>
      <c r="Y47" s="256" t="str">
        <f>VLOOKUP($U47,'坦克涂装-作废'!$B$23:$I$99,MATCH(Y$6,'坦克涂装-作废'!$B$23:$I$23,0),FALSE)</f>
        <v>三天</v>
      </c>
      <c r="Z47" s="159">
        <f>VLOOKUP($U47,'坦克涂装-作废'!$B$23:$I$99,MATCH(Z$6,'坦克涂装-作废'!$B$23:$I$23,0),FALSE)</f>
        <v>2060.7999999999997</v>
      </c>
      <c r="AA47" s="158"/>
      <c r="AB47" s="158"/>
      <c r="AC47" s="158"/>
      <c r="AD47" s="158"/>
      <c r="AE47" s="158"/>
      <c r="AF47" s="158"/>
      <c r="AG47" s="158"/>
      <c r="AH47" s="158"/>
      <c r="AI47" s="158"/>
    </row>
    <row r="48" spans="2:35" x14ac:dyDescent="0.35">
      <c r="B48" s="282">
        <v>25</v>
      </c>
      <c r="C48" s="257" t="s">
        <v>1108</v>
      </c>
      <c r="D48" s="273" t="s">
        <v>1218</v>
      </c>
      <c r="E48" s="273" t="s">
        <v>1231</v>
      </c>
      <c r="F48" s="53">
        <v>1.0666666666666671</v>
      </c>
      <c r="G48" s="388">
        <f t="shared" si="5"/>
        <v>2835.2000000000012</v>
      </c>
      <c r="H48" s="53">
        <v>2.4999999999999998E-2</v>
      </c>
      <c r="I48" s="369">
        <f t="shared" si="0"/>
        <v>70</v>
      </c>
      <c r="J48" s="274">
        <f t="shared" si="1"/>
        <v>2700</v>
      </c>
      <c r="K48" s="274">
        <f t="shared" si="2"/>
        <v>1.0158013544018059</v>
      </c>
      <c r="L48" s="274">
        <f t="shared" si="3"/>
        <v>34</v>
      </c>
      <c r="M48" s="274">
        <f t="shared" si="4"/>
        <v>1.1992099322799092E-2</v>
      </c>
      <c r="O48" s="274" t="s">
        <v>1846</v>
      </c>
      <c r="P48" s="274">
        <v>14</v>
      </c>
      <c r="Q48" s="274" t="s">
        <v>1564</v>
      </c>
      <c r="T48" s="256" t="str">
        <f>W48&amp;V48&amp;LEFT(道具价值!R1029)&amp;LEFT(X48,1)&amp;LEFT(Y48,1)</f>
        <v>T3中重图三</v>
      </c>
      <c r="U48" s="256">
        <f>IF(V47="重",U47+1,U47)</f>
        <v>14</v>
      </c>
      <c r="V48" s="256" t="str">
        <f>V45</f>
        <v>重</v>
      </c>
      <c r="W48" s="256" t="str">
        <f>VLOOKUP($U48,'坦克涂装-作废'!$B$23:$I$99,MATCH(W$6,'坦克涂装-作废'!$B$23:$I$23,0),FALSE)</f>
        <v>T3中</v>
      </c>
      <c r="X48" s="256" t="str">
        <f>VLOOKUP($U48,'坦克涂装-作废'!$B$23:$I$99,MATCH(X$6,'坦克涂装-作废'!$B$23:$I$23,0),FALSE)</f>
        <v>图案</v>
      </c>
      <c r="Y48" s="256" t="str">
        <f>VLOOKUP($U48,'坦克涂装-作废'!$B$23:$I$99,MATCH(Y$6,'坦克涂装-作废'!$B$23:$I$23,0),FALSE)</f>
        <v>三天</v>
      </c>
      <c r="Z48" s="159">
        <f>VLOOKUP($U48,'坦克涂装-作废'!$B$23:$I$99,MATCH(Z$6,'坦克涂装-作废'!$B$23:$I$23,0),FALSE)</f>
        <v>2060.7999999999997</v>
      </c>
      <c r="AA48" s="158"/>
      <c r="AB48" s="158"/>
      <c r="AC48" s="158"/>
      <c r="AD48" s="158"/>
      <c r="AE48" s="158"/>
      <c r="AF48" s="158"/>
      <c r="AG48" s="158"/>
      <c r="AH48" s="158"/>
      <c r="AI48" s="158"/>
    </row>
    <row r="49" spans="2:35" x14ac:dyDescent="0.35">
      <c r="B49" s="282">
        <v>26</v>
      </c>
      <c r="C49" s="257" t="s">
        <v>1108</v>
      </c>
      <c r="D49" s="273" t="s">
        <v>1219</v>
      </c>
      <c r="E49" s="273" t="s">
        <v>1233</v>
      </c>
      <c r="F49" s="53">
        <v>0.16666666666666671</v>
      </c>
      <c r="G49" s="388">
        <f t="shared" si="5"/>
        <v>886.00000000000023</v>
      </c>
      <c r="H49" s="53">
        <v>4.8000000000000001E-2</v>
      </c>
      <c r="I49" s="369">
        <f t="shared" si="0"/>
        <v>42</v>
      </c>
      <c r="J49" s="274">
        <f t="shared" si="1"/>
        <v>900</v>
      </c>
      <c r="K49" s="274">
        <f t="shared" si="2"/>
        <v>0.16930022573363432</v>
      </c>
      <c r="L49" s="274">
        <f t="shared" si="3"/>
        <v>20</v>
      </c>
      <c r="M49" s="274">
        <f t="shared" si="4"/>
        <v>2.2573363431151235E-2</v>
      </c>
      <c r="O49" s="274" t="s">
        <v>1846</v>
      </c>
      <c r="P49" s="274">
        <v>22</v>
      </c>
      <c r="Q49" s="274" t="s">
        <v>1565</v>
      </c>
      <c r="T49" s="256" t="str">
        <f>W49&amp;V49&amp;LEFT(道具价值!R1030)&amp;LEFT(X49,1)&amp;LEFT(Y49,1)</f>
        <v>T3中轻图半</v>
      </c>
      <c r="U49" s="256">
        <f>IF(V48="重",U48+1,U48)</f>
        <v>15</v>
      </c>
      <c r="V49" s="256" t="str">
        <f>V46</f>
        <v>轻</v>
      </c>
      <c r="W49" s="256" t="str">
        <f>VLOOKUP($U49,'坦克涂装-作废'!$B$23:$I$99,MATCH(W$6,'坦克涂装-作废'!$B$23:$I$23,0),FALSE)</f>
        <v>T3中</v>
      </c>
      <c r="X49" s="256" t="str">
        <f>VLOOKUP($U49,'坦克涂装-作废'!$B$23:$I$99,MATCH(X$6,'坦克涂装-作废'!$B$23:$I$23,0),FALSE)</f>
        <v>图案</v>
      </c>
      <c r="Y49" s="256" t="str">
        <f>VLOOKUP($U49,'坦克涂装-作废'!$B$23:$I$99,MATCH(Y$6,'坦克涂装-作废'!$B$23:$I$23,0),FALSE)</f>
        <v>半月</v>
      </c>
      <c r="Z49" s="159">
        <f>VLOOKUP($U49,'坦克涂装-作废'!$B$23:$I$99,MATCH(Z$6,'坦克涂装-作废'!$B$23:$I$23,0),FALSE)</f>
        <v>4121.5999999999995</v>
      </c>
      <c r="AA49" s="158"/>
      <c r="AB49" s="158"/>
      <c r="AC49" s="158"/>
      <c r="AD49" s="158"/>
      <c r="AE49" s="158"/>
      <c r="AF49" s="158"/>
      <c r="AG49" s="158"/>
      <c r="AH49" s="158"/>
      <c r="AI49" s="158"/>
    </row>
    <row r="50" spans="2:35" x14ac:dyDescent="0.35">
      <c r="B50" s="282">
        <v>27</v>
      </c>
      <c r="C50" s="257" t="s">
        <v>1108</v>
      </c>
      <c r="D50" s="273" t="s">
        <v>1219</v>
      </c>
      <c r="E50" s="273" t="s">
        <v>1232</v>
      </c>
      <c r="F50" s="53">
        <v>0.33333333333333343</v>
      </c>
      <c r="G50" s="388">
        <f t="shared" si="5"/>
        <v>1772.0000000000005</v>
      </c>
      <c r="H50" s="53">
        <v>3.2000000000000001E-2</v>
      </c>
      <c r="I50" s="369">
        <f t="shared" si="0"/>
        <v>55</v>
      </c>
      <c r="J50" s="274">
        <f t="shared" si="1"/>
        <v>1800</v>
      </c>
      <c r="K50" s="274">
        <f t="shared" si="2"/>
        <v>0.33860045146726864</v>
      </c>
      <c r="L50" s="274">
        <f t="shared" si="3"/>
        <v>28</v>
      </c>
      <c r="M50" s="274">
        <f t="shared" si="4"/>
        <v>1.5801354401805866E-2</v>
      </c>
      <c r="O50" s="274" t="s">
        <v>1845</v>
      </c>
      <c r="P50" s="274">
        <v>12</v>
      </c>
      <c r="Q50" s="274" t="s">
        <v>1566</v>
      </c>
      <c r="T50" s="256" t="str">
        <f>W50&amp;V50&amp;LEFT(道具价值!R1031)&amp;LEFT(X50,1)&amp;LEFT(Y50,1)</f>
        <v>T3中中图半</v>
      </c>
      <c r="U50" s="256">
        <f>IF(V49="重",U49+1,U49)</f>
        <v>15</v>
      </c>
      <c r="V50" s="256" t="str">
        <f>V47</f>
        <v>中</v>
      </c>
      <c r="W50" s="256" t="str">
        <f>VLOOKUP($U50,'坦克涂装-作废'!$B$23:$I$99,MATCH(W$6,'坦克涂装-作废'!$B$23:$I$23,0),FALSE)</f>
        <v>T3中</v>
      </c>
      <c r="X50" s="256" t="str">
        <f>VLOOKUP($U50,'坦克涂装-作废'!$B$23:$I$99,MATCH(X$6,'坦克涂装-作废'!$B$23:$I$23,0),FALSE)</f>
        <v>图案</v>
      </c>
      <c r="Y50" s="256" t="str">
        <f>VLOOKUP($U50,'坦克涂装-作废'!$B$23:$I$99,MATCH(Y$6,'坦克涂装-作废'!$B$23:$I$23,0),FALSE)</f>
        <v>半月</v>
      </c>
      <c r="Z50" s="159">
        <f>VLOOKUP($U50,'坦克涂装-作废'!$B$23:$I$99,MATCH(Z$6,'坦克涂装-作废'!$B$23:$I$23,0),FALSE)</f>
        <v>4121.5999999999995</v>
      </c>
      <c r="AA50" s="158"/>
      <c r="AB50" s="158"/>
      <c r="AC50" s="158"/>
      <c r="AD50" s="158"/>
      <c r="AE50" s="158"/>
      <c r="AF50" s="158"/>
      <c r="AG50" s="158"/>
      <c r="AH50" s="158"/>
      <c r="AI50" s="158"/>
    </row>
    <row r="51" spans="2:35" x14ac:dyDescent="0.35">
      <c r="B51" s="282">
        <v>28</v>
      </c>
      <c r="C51" s="257" t="s">
        <v>1108</v>
      </c>
      <c r="D51" s="273" t="s">
        <v>1219</v>
      </c>
      <c r="E51" s="273" t="s">
        <v>1231</v>
      </c>
      <c r="F51" s="53">
        <v>1.0666666666666669</v>
      </c>
      <c r="G51" s="388">
        <f t="shared" si="5"/>
        <v>5670.4000000000015</v>
      </c>
      <c r="H51" s="53">
        <v>1.6250000000000004E-2</v>
      </c>
      <c r="I51" s="369">
        <f t="shared" si="0"/>
        <v>90</v>
      </c>
      <c r="J51" s="274">
        <f t="shared" si="1"/>
        <v>5400</v>
      </c>
      <c r="K51" s="274">
        <f t="shared" si="2"/>
        <v>1.0158013544018059</v>
      </c>
      <c r="L51" s="274">
        <f t="shared" si="3"/>
        <v>46</v>
      </c>
      <c r="M51" s="274">
        <f t="shared" si="4"/>
        <v>8.1123024830699747E-3</v>
      </c>
      <c r="O51" s="274" t="s">
        <v>1845</v>
      </c>
      <c r="P51" s="274">
        <v>16</v>
      </c>
      <c r="Q51" s="274" t="s">
        <v>1567</v>
      </c>
      <c r="T51" s="256" t="str">
        <f>W51&amp;V51&amp;LEFT(道具价值!R1032)&amp;LEFT(X51,1)&amp;LEFT(Y51,1)</f>
        <v>T3中重图半</v>
      </c>
      <c r="U51" s="256">
        <f>IF(V50="重",U50+1,U50)</f>
        <v>15</v>
      </c>
      <c r="V51" s="256" t="str">
        <f>V48</f>
        <v>重</v>
      </c>
      <c r="W51" s="256" t="str">
        <f>VLOOKUP($U51,'坦克涂装-作废'!$B$23:$I$99,MATCH(W$6,'坦克涂装-作废'!$B$23:$I$23,0),FALSE)</f>
        <v>T3中</v>
      </c>
      <c r="X51" s="256" t="str">
        <f>VLOOKUP($U51,'坦克涂装-作废'!$B$23:$I$99,MATCH(X$6,'坦克涂装-作废'!$B$23:$I$23,0),FALSE)</f>
        <v>图案</v>
      </c>
      <c r="Y51" s="256" t="str">
        <f>VLOOKUP($U51,'坦克涂装-作废'!$B$23:$I$99,MATCH(Y$6,'坦克涂装-作废'!$B$23:$I$23,0),FALSE)</f>
        <v>半月</v>
      </c>
      <c r="Z51" s="159">
        <f>VLOOKUP($U51,'坦克涂装-作废'!$B$23:$I$99,MATCH(Z$6,'坦克涂装-作废'!$B$23:$I$23,0),FALSE)</f>
        <v>4121.5999999999995</v>
      </c>
      <c r="AA51" s="158"/>
      <c r="AB51" s="158"/>
      <c r="AC51" s="158"/>
      <c r="AD51" s="158"/>
      <c r="AE51" s="158"/>
      <c r="AF51" s="158"/>
      <c r="AG51" s="158"/>
      <c r="AH51" s="158"/>
      <c r="AI51" s="158"/>
    </row>
    <row r="52" spans="2:35" x14ac:dyDescent="0.35">
      <c r="B52" s="282">
        <v>29</v>
      </c>
      <c r="C52" s="257" t="s">
        <v>1108</v>
      </c>
      <c r="D52" s="273" t="s">
        <v>1220</v>
      </c>
      <c r="E52" s="273" t="s">
        <v>1233</v>
      </c>
      <c r="F52" s="53">
        <v>0.17777777777777787</v>
      </c>
      <c r="G52" s="388">
        <f t="shared" si="5"/>
        <v>1417.6000000000006</v>
      </c>
      <c r="H52" s="53">
        <v>3.4999999999999996E-2</v>
      </c>
      <c r="I52" s="369">
        <f t="shared" si="0"/>
        <v>50</v>
      </c>
      <c r="J52" s="274">
        <f t="shared" si="1"/>
        <v>1400</v>
      </c>
      <c r="K52" s="274">
        <f t="shared" si="2"/>
        <v>0.17557060446450967</v>
      </c>
      <c r="L52" s="274">
        <f t="shared" si="3"/>
        <v>26</v>
      </c>
      <c r="M52" s="274">
        <f t="shared" si="4"/>
        <v>1.8340857787810375E-2</v>
      </c>
      <c r="O52" s="274" t="s">
        <v>1845</v>
      </c>
      <c r="P52" s="274">
        <v>26</v>
      </c>
      <c r="Q52" s="274" t="s">
        <v>1568</v>
      </c>
      <c r="T52" s="256" t="str">
        <f>W52&amp;V52&amp;LEFT(道具价值!R1033)&amp;LEFT(X52,1)&amp;LEFT(Y52,1)</f>
        <v>T3中轻图永</v>
      </c>
      <c r="U52" s="256">
        <f>IF(V51="重",U51+1,U51)</f>
        <v>16</v>
      </c>
      <c r="V52" s="256" t="str">
        <f>V49</f>
        <v>轻</v>
      </c>
      <c r="W52" s="256" t="str">
        <f>VLOOKUP($U52,'坦克涂装-作废'!$B$23:$I$99,MATCH(W$6,'坦克涂装-作废'!$B$23:$I$23,0),FALSE)</f>
        <v>T3中</v>
      </c>
      <c r="X52" s="256" t="str">
        <f>VLOOKUP($U52,'坦克涂装-作废'!$B$23:$I$99,MATCH(X$6,'坦克涂装-作废'!$B$23:$I$23,0),FALSE)</f>
        <v>图案</v>
      </c>
      <c r="Y52" s="256" t="str">
        <f>VLOOKUP($U52,'坦克涂装-作废'!$B$23:$I$99,MATCH(Y$6,'坦克涂装-作废'!$B$23:$I$23,0),FALSE)</f>
        <v>永久</v>
      </c>
      <c r="Z52" s="159">
        <f>VLOOKUP($U52,'坦克涂装-作废'!$B$23:$I$99,MATCH(Z$6,'坦克涂装-作废'!$B$23:$I$23,0),FALSE)</f>
        <v>14131.199999999997</v>
      </c>
      <c r="AA52" s="158"/>
      <c r="AB52" s="158"/>
      <c r="AC52" s="158"/>
      <c r="AD52" s="158"/>
      <c r="AE52" s="158"/>
      <c r="AF52" s="158"/>
      <c r="AG52" s="158"/>
      <c r="AH52" s="158"/>
      <c r="AI52" s="158"/>
    </row>
    <row r="53" spans="2:35" x14ac:dyDescent="0.35">
      <c r="B53" s="282">
        <v>30</v>
      </c>
      <c r="C53" s="257" t="s">
        <v>1108</v>
      </c>
      <c r="D53" s="273" t="s">
        <v>1220</v>
      </c>
      <c r="E53" s="273" t="s">
        <v>1232</v>
      </c>
      <c r="F53" s="53">
        <v>0.35555555555555574</v>
      </c>
      <c r="G53" s="388">
        <f t="shared" si="5"/>
        <v>2835.2000000000012</v>
      </c>
      <c r="H53" s="53">
        <v>2.4999999999999998E-2</v>
      </c>
      <c r="I53" s="369">
        <f t="shared" si="0"/>
        <v>70</v>
      </c>
      <c r="J53" s="274">
        <f t="shared" si="1"/>
        <v>2700</v>
      </c>
      <c r="K53" s="274">
        <f t="shared" si="2"/>
        <v>0.33860045146726864</v>
      </c>
      <c r="L53" s="274">
        <f t="shared" si="3"/>
        <v>34</v>
      </c>
      <c r="M53" s="274">
        <f t="shared" si="4"/>
        <v>1.1992099322799092E-2</v>
      </c>
      <c r="O53" s="274" t="s">
        <v>1846</v>
      </c>
      <c r="P53" s="274">
        <v>16</v>
      </c>
      <c r="Q53" s="274" t="s">
        <v>1566</v>
      </c>
      <c r="T53" s="256" t="str">
        <f>W53&amp;V53&amp;LEFT(道具价值!R1034)&amp;LEFT(X53,1)&amp;LEFT(Y53,1)</f>
        <v>T3中中图永</v>
      </c>
      <c r="U53" s="256">
        <f>IF(V52="重",U52+1,U52)</f>
        <v>16</v>
      </c>
      <c r="V53" s="256" t="str">
        <f>V50</f>
        <v>中</v>
      </c>
      <c r="W53" s="256" t="str">
        <f>VLOOKUP($U53,'坦克涂装-作废'!$B$23:$I$99,MATCH(W$6,'坦克涂装-作废'!$B$23:$I$23,0),FALSE)</f>
        <v>T3中</v>
      </c>
      <c r="X53" s="256" t="str">
        <f>VLOOKUP($U53,'坦克涂装-作废'!$B$23:$I$99,MATCH(X$6,'坦克涂装-作废'!$B$23:$I$23,0),FALSE)</f>
        <v>图案</v>
      </c>
      <c r="Y53" s="256" t="str">
        <f>VLOOKUP($U53,'坦克涂装-作废'!$B$23:$I$99,MATCH(Y$6,'坦克涂装-作废'!$B$23:$I$23,0),FALSE)</f>
        <v>永久</v>
      </c>
      <c r="Z53" s="159">
        <f>VLOOKUP($U53,'坦克涂装-作废'!$B$23:$I$99,MATCH(Z$6,'坦克涂装-作废'!$B$23:$I$23,0),FALSE)</f>
        <v>14131.199999999997</v>
      </c>
      <c r="AA53" s="158"/>
      <c r="AB53" s="158"/>
      <c r="AC53" s="158"/>
      <c r="AD53" s="158"/>
      <c r="AE53" s="158"/>
      <c r="AF53" s="158"/>
      <c r="AG53" s="158"/>
      <c r="AH53" s="158"/>
      <c r="AI53" s="158"/>
    </row>
    <row r="54" spans="2:35" x14ac:dyDescent="0.35">
      <c r="B54" s="282">
        <v>31</v>
      </c>
      <c r="C54" s="257" t="s">
        <v>1108</v>
      </c>
      <c r="D54" s="273" t="s">
        <v>1220</v>
      </c>
      <c r="E54" s="273" t="s">
        <v>1231</v>
      </c>
      <c r="F54" s="53">
        <v>1.2000000000000004</v>
      </c>
      <c r="G54" s="388">
        <f t="shared" si="5"/>
        <v>9568.8000000000029</v>
      </c>
      <c r="H54" s="53">
        <v>1.2592592592592593E-2</v>
      </c>
      <c r="I54" s="369">
        <f t="shared" si="0"/>
        <v>120</v>
      </c>
      <c r="J54" s="274">
        <f t="shared" si="1"/>
        <v>9800</v>
      </c>
      <c r="K54" s="274">
        <f t="shared" si="2"/>
        <v>1.2289942312515676</v>
      </c>
      <c r="L54" s="274">
        <f t="shared" si="3"/>
        <v>60</v>
      </c>
      <c r="M54" s="274">
        <f t="shared" si="4"/>
        <v>6.2703787308753429E-3</v>
      </c>
      <c r="O54" s="274" t="s">
        <v>1846</v>
      </c>
      <c r="P54" s="274">
        <v>20</v>
      </c>
      <c r="Q54" s="274" t="s">
        <v>1567</v>
      </c>
      <c r="T54" s="256" t="str">
        <f>W54&amp;V54&amp;LEFT(道具价值!R1035)&amp;LEFT(X54,1)&amp;LEFT(Y54,1)</f>
        <v>T3中重图永</v>
      </c>
      <c r="U54" s="256">
        <f>IF(V53="重",U53+1,U53)</f>
        <v>16</v>
      </c>
      <c r="V54" s="256" t="str">
        <f>V51</f>
        <v>重</v>
      </c>
      <c r="W54" s="256" t="str">
        <f>VLOOKUP($U54,'坦克涂装-作废'!$B$23:$I$99,MATCH(W$6,'坦克涂装-作废'!$B$23:$I$23,0),FALSE)</f>
        <v>T3中</v>
      </c>
      <c r="X54" s="256" t="str">
        <f>VLOOKUP($U54,'坦克涂装-作废'!$B$23:$I$99,MATCH(X$6,'坦克涂装-作废'!$B$23:$I$23,0),FALSE)</f>
        <v>图案</v>
      </c>
      <c r="Y54" s="256" t="str">
        <f>VLOOKUP($U54,'坦克涂装-作废'!$B$23:$I$99,MATCH(Y$6,'坦克涂装-作废'!$B$23:$I$23,0),FALSE)</f>
        <v>永久</v>
      </c>
      <c r="Z54" s="159">
        <f>VLOOKUP($U54,'坦克涂装-作废'!$B$23:$I$99,MATCH(Z$6,'坦克涂装-作废'!$B$23:$I$23,0),FALSE)</f>
        <v>14131.199999999997</v>
      </c>
      <c r="AA54" s="158"/>
      <c r="AB54" s="158"/>
      <c r="AC54" s="158"/>
      <c r="AD54" s="158"/>
      <c r="AE54" s="158"/>
      <c r="AF54" s="158"/>
      <c r="AG54" s="158"/>
      <c r="AH54" s="158"/>
      <c r="AI54" s="158"/>
    </row>
    <row r="55" spans="2:35" x14ac:dyDescent="0.35">
      <c r="B55" s="282">
        <v>32</v>
      </c>
      <c r="C55" s="257" t="s">
        <v>1109</v>
      </c>
      <c r="D55" s="273" t="s">
        <v>1218</v>
      </c>
      <c r="E55" s="273" t="s">
        <v>1233</v>
      </c>
      <c r="F55" s="53">
        <v>0.14035087719298242</v>
      </c>
      <c r="G55" s="388">
        <f t="shared" si="5"/>
        <v>731.28421052631552</v>
      </c>
      <c r="H55" s="53">
        <v>6.25E-2</v>
      </c>
      <c r="I55" s="369">
        <f t="shared" si="0"/>
        <v>46</v>
      </c>
      <c r="J55" s="274">
        <f t="shared" si="1"/>
        <v>700</v>
      </c>
      <c r="K55" s="274">
        <f t="shared" si="2"/>
        <v>0.13434669123291879</v>
      </c>
      <c r="L55" s="274">
        <f t="shared" si="3"/>
        <v>18</v>
      </c>
      <c r="M55" s="274">
        <f t="shared" si="4"/>
        <v>2.4614233072316912E-2</v>
      </c>
      <c r="O55" s="274" t="s">
        <v>1846</v>
      </c>
      <c r="P55" s="274">
        <v>36</v>
      </c>
      <c r="Q55" s="274" t="s">
        <v>1568</v>
      </c>
      <c r="T55" s="256" t="str">
        <f>W55&amp;V55&amp;LEFT(道具价值!R1036)&amp;LEFT(X55,1)&amp;LEFT(Y55,1)</f>
        <v>T3高轻贴三</v>
      </c>
      <c r="U55" s="256">
        <f>IF(V54="重",U54+1,U54)</f>
        <v>17</v>
      </c>
      <c r="V55" s="256" t="str">
        <f>V52</f>
        <v>轻</v>
      </c>
      <c r="W55" s="256" t="str">
        <f>VLOOKUP($U55,'坦克涂装-作废'!$B$23:$I$99,MATCH(W$6,'坦克涂装-作废'!$B$23:$I$23,0),FALSE)</f>
        <v>T3高</v>
      </c>
      <c r="X55" s="256" t="str">
        <f>VLOOKUP($U55,'坦克涂装-作废'!$B$23:$I$99,MATCH(X$6,'坦克涂装-作废'!$B$23:$I$23,0),FALSE)</f>
        <v>贴花</v>
      </c>
      <c r="Y55" s="256" t="str">
        <f>VLOOKUP($U55,'坦克涂装-作废'!$B$23:$I$99,MATCH(Y$6,'坦克涂装-作废'!$B$23:$I$23,0),FALSE)</f>
        <v>三天</v>
      </c>
      <c r="Z55" s="159">
        <f>VLOOKUP($U55,'坦克涂装-作废'!$B$23:$I$99,MATCH(Z$6,'坦克涂装-作废'!$B$23:$I$23,0),FALSE)</f>
        <v>865.29729729729695</v>
      </c>
      <c r="AA55" s="158"/>
      <c r="AB55" s="158"/>
      <c r="AC55" s="158"/>
      <c r="AD55" s="158"/>
      <c r="AE55" s="158"/>
      <c r="AF55" s="158"/>
      <c r="AG55" s="158"/>
      <c r="AH55" s="158"/>
      <c r="AI55" s="158"/>
    </row>
    <row r="56" spans="2:35" x14ac:dyDescent="0.35">
      <c r="B56" s="282">
        <v>33</v>
      </c>
      <c r="C56" s="257" t="s">
        <v>1109</v>
      </c>
      <c r="D56" s="273" t="s">
        <v>1218</v>
      </c>
      <c r="E56" s="273" t="s">
        <v>1232</v>
      </c>
      <c r="F56" s="53">
        <v>0.26315789473684204</v>
      </c>
      <c r="G56" s="388">
        <f t="shared" si="5"/>
        <v>1371.1578947368416</v>
      </c>
      <c r="H56" s="53">
        <v>0.04</v>
      </c>
      <c r="I56" s="369">
        <f t="shared" si="0"/>
        <v>55</v>
      </c>
      <c r="J56" s="274">
        <f t="shared" si="1"/>
        <v>1400</v>
      </c>
      <c r="K56" s="274">
        <f t="shared" si="2"/>
        <v>0.26869338246583757</v>
      </c>
      <c r="L56" s="274">
        <f t="shared" si="3"/>
        <v>24</v>
      </c>
      <c r="M56" s="274">
        <f t="shared" si="4"/>
        <v>1.7503454629203139E-2</v>
      </c>
      <c r="O56" s="274" t="s">
        <v>1845</v>
      </c>
      <c r="P56" s="274">
        <v>14</v>
      </c>
      <c r="Q56" s="274" t="s">
        <v>1569</v>
      </c>
      <c r="T56" s="256" t="str">
        <f>W56&amp;V56&amp;LEFT(道具价值!R1037)&amp;LEFT(X56,1)&amp;LEFT(Y56,1)</f>
        <v>T3高中贴三</v>
      </c>
      <c r="U56" s="256">
        <f>IF(V55="重",U55+1,U55)</f>
        <v>17</v>
      </c>
      <c r="V56" s="256" t="str">
        <f>V53</f>
        <v>中</v>
      </c>
      <c r="W56" s="256" t="str">
        <f>VLOOKUP($U56,'坦克涂装-作废'!$B$23:$I$99,MATCH(W$6,'坦克涂装-作废'!$B$23:$I$23,0),FALSE)</f>
        <v>T3高</v>
      </c>
      <c r="X56" s="256" t="str">
        <f>VLOOKUP($U56,'坦克涂装-作废'!$B$23:$I$99,MATCH(X$6,'坦克涂装-作废'!$B$23:$I$23,0),FALSE)</f>
        <v>贴花</v>
      </c>
      <c r="Y56" s="256" t="str">
        <f>VLOOKUP($U56,'坦克涂装-作废'!$B$23:$I$99,MATCH(Y$6,'坦克涂装-作废'!$B$23:$I$23,0),FALSE)</f>
        <v>三天</v>
      </c>
      <c r="Z56" s="159">
        <f>VLOOKUP($U56,'坦克涂装-作废'!$B$23:$I$99,MATCH(Z$6,'坦克涂装-作废'!$B$23:$I$23,0),FALSE)</f>
        <v>865.29729729729695</v>
      </c>
      <c r="AA56" s="158"/>
      <c r="AB56" s="158"/>
      <c r="AC56" s="158"/>
      <c r="AD56" s="158"/>
      <c r="AE56" s="158"/>
      <c r="AF56" s="158"/>
      <c r="AG56" s="158"/>
      <c r="AH56" s="158"/>
      <c r="AI56" s="158"/>
    </row>
    <row r="57" spans="2:35" x14ac:dyDescent="0.35">
      <c r="B57" s="282">
        <v>34</v>
      </c>
      <c r="C57" s="257" t="s">
        <v>1109</v>
      </c>
      <c r="D57" s="273" t="s">
        <v>1218</v>
      </c>
      <c r="E57" s="273" t="s">
        <v>1231</v>
      </c>
      <c r="F57" s="53">
        <v>0.78947368421052611</v>
      </c>
      <c r="G57" s="388">
        <f t="shared" si="5"/>
        <v>4113.4736842105249</v>
      </c>
      <c r="H57" s="53">
        <v>2.2222222222222227E-2</v>
      </c>
      <c r="I57" s="369">
        <f t="shared" si="0"/>
        <v>90</v>
      </c>
      <c r="J57" s="274">
        <f t="shared" si="1"/>
        <v>4000</v>
      </c>
      <c r="K57" s="274">
        <f t="shared" si="2"/>
        <v>0.76769537847382174</v>
      </c>
      <c r="L57" s="274">
        <f t="shared" si="3"/>
        <v>40</v>
      </c>
      <c r="M57" s="274">
        <f t="shared" si="4"/>
        <v>9.7241414606684101E-3</v>
      </c>
      <c r="O57" s="274" t="s">
        <v>1845</v>
      </c>
      <c r="P57" s="274">
        <v>20</v>
      </c>
      <c r="Q57" s="274" t="s">
        <v>1570</v>
      </c>
      <c r="T57" s="256" t="str">
        <f>W57&amp;V57&amp;LEFT(道具价值!R1038)&amp;LEFT(X57,1)&amp;LEFT(Y57,1)</f>
        <v>T3高重贴三</v>
      </c>
      <c r="U57" s="256">
        <f>IF(V56="重",U56+1,U56)</f>
        <v>17</v>
      </c>
      <c r="V57" s="256" t="str">
        <f>V54</f>
        <v>重</v>
      </c>
      <c r="W57" s="256" t="str">
        <f>VLOOKUP($U57,'坦克涂装-作废'!$B$23:$I$99,MATCH(W$6,'坦克涂装-作废'!$B$23:$I$23,0),FALSE)</f>
        <v>T3高</v>
      </c>
      <c r="X57" s="256" t="str">
        <f>VLOOKUP($U57,'坦克涂装-作废'!$B$23:$I$99,MATCH(X$6,'坦克涂装-作废'!$B$23:$I$23,0),FALSE)</f>
        <v>贴花</v>
      </c>
      <c r="Y57" s="256" t="str">
        <f>VLOOKUP($U57,'坦克涂装-作废'!$B$23:$I$99,MATCH(Y$6,'坦克涂装-作废'!$B$23:$I$23,0),FALSE)</f>
        <v>三天</v>
      </c>
      <c r="Z57" s="159">
        <f>VLOOKUP($U57,'坦克涂装-作废'!$B$23:$I$99,MATCH(Z$6,'坦克涂装-作废'!$B$23:$I$23,0),FALSE)</f>
        <v>865.29729729729695</v>
      </c>
      <c r="AA57" s="158"/>
      <c r="AB57" s="158"/>
      <c r="AC57" s="158"/>
      <c r="AD57" s="158"/>
      <c r="AE57" s="158"/>
      <c r="AF57" s="158"/>
      <c r="AG57" s="158"/>
      <c r="AH57" s="158"/>
      <c r="AI57" s="158"/>
    </row>
    <row r="58" spans="2:35" x14ac:dyDescent="0.35">
      <c r="B58" s="282">
        <v>35</v>
      </c>
      <c r="C58" s="257" t="s">
        <v>1109</v>
      </c>
      <c r="D58" s="273" t="s">
        <v>1219</v>
      </c>
      <c r="E58" s="273" t="s">
        <v>1233</v>
      </c>
      <c r="F58" s="53">
        <v>0.13157894736842102</v>
      </c>
      <c r="G58" s="388">
        <f t="shared" si="5"/>
        <v>1371.1578947368416</v>
      </c>
      <c r="H58" s="53">
        <v>0.04</v>
      </c>
      <c r="I58" s="369">
        <f t="shared" si="0"/>
        <v>55</v>
      </c>
      <c r="J58" s="274">
        <f t="shared" si="1"/>
        <v>1400</v>
      </c>
      <c r="K58" s="274">
        <f t="shared" si="2"/>
        <v>0.13434669123291879</v>
      </c>
      <c r="L58" s="274">
        <f t="shared" si="3"/>
        <v>24</v>
      </c>
      <c r="M58" s="274">
        <f t="shared" si="4"/>
        <v>1.7503454629203139E-2</v>
      </c>
      <c r="O58" s="274" t="s">
        <v>1845</v>
      </c>
      <c r="P58" s="274">
        <v>32</v>
      </c>
      <c r="Q58" s="274" t="s">
        <v>1571</v>
      </c>
      <c r="T58" s="256" t="str">
        <f>W58&amp;V58&amp;LEFT(道具价值!R1039)&amp;LEFT(X58,1)&amp;LEFT(Y58,1)</f>
        <v>T3高轻贴半</v>
      </c>
      <c r="U58" s="256">
        <f>IF(V57="重",U57+1,U57)</f>
        <v>18</v>
      </c>
      <c r="V58" s="256" t="str">
        <f>V55</f>
        <v>轻</v>
      </c>
      <c r="W58" s="256" t="str">
        <f>VLOOKUP($U58,'坦克涂装-作废'!$B$23:$I$99,MATCH(W$6,'坦克涂装-作废'!$B$23:$I$23,0),FALSE)</f>
        <v>T3高</v>
      </c>
      <c r="X58" s="256" t="str">
        <f>VLOOKUP($U58,'坦克涂装-作废'!$B$23:$I$99,MATCH(X$6,'坦克涂装-作废'!$B$23:$I$23,0),FALSE)</f>
        <v>贴花</v>
      </c>
      <c r="Y58" s="256" t="str">
        <f>VLOOKUP($U58,'坦克涂装-作废'!$B$23:$I$99,MATCH(Y$6,'坦克涂装-作废'!$B$23:$I$23,0),FALSE)</f>
        <v>半月</v>
      </c>
      <c r="Z58" s="159">
        <f>VLOOKUP($U58,'坦克涂装-作废'!$B$23:$I$99,MATCH(Z$6,'坦克涂装-作废'!$B$23:$I$23,0),FALSE)</f>
        <v>1922.8828828828823</v>
      </c>
      <c r="AA58" s="158"/>
      <c r="AB58" s="158"/>
      <c r="AC58" s="158"/>
      <c r="AD58" s="158"/>
      <c r="AE58" s="158"/>
      <c r="AF58" s="158"/>
      <c r="AG58" s="158"/>
      <c r="AH58" s="158"/>
      <c r="AI58" s="158"/>
    </row>
    <row r="59" spans="2:35" x14ac:dyDescent="0.35">
      <c r="B59" s="282">
        <v>36</v>
      </c>
      <c r="C59" s="257" t="s">
        <v>1109</v>
      </c>
      <c r="D59" s="273" t="s">
        <v>1219</v>
      </c>
      <c r="E59" s="273" t="s">
        <v>1232</v>
      </c>
      <c r="F59" s="53">
        <v>0.26315789473684204</v>
      </c>
      <c r="G59" s="388">
        <f t="shared" si="5"/>
        <v>2742.3157894736833</v>
      </c>
      <c r="H59" s="53">
        <v>0.03</v>
      </c>
      <c r="I59" s="369">
        <f t="shared" si="0"/>
        <v>80</v>
      </c>
      <c r="J59" s="274">
        <f t="shared" si="1"/>
        <v>2700</v>
      </c>
      <c r="K59" s="274">
        <f t="shared" si="2"/>
        <v>0.25909719023491479</v>
      </c>
      <c r="L59" s="274">
        <f t="shared" si="3"/>
        <v>34</v>
      </c>
      <c r="M59" s="274">
        <f t="shared" si="4"/>
        <v>1.2398280362352222E-2</v>
      </c>
      <c r="O59" s="274" t="s">
        <v>1846</v>
      </c>
      <c r="P59" s="274">
        <v>20</v>
      </c>
      <c r="Q59" s="274" t="s">
        <v>1569</v>
      </c>
      <c r="T59" s="256" t="str">
        <f>W59&amp;V59&amp;LEFT(道具价值!R1040)&amp;LEFT(X59,1)&amp;LEFT(Y59,1)</f>
        <v>T3高中贴半</v>
      </c>
      <c r="U59" s="256">
        <f>IF(V58="重",U58+1,U58)</f>
        <v>18</v>
      </c>
      <c r="V59" s="256" t="str">
        <f>V56</f>
        <v>中</v>
      </c>
      <c r="W59" s="256" t="str">
        <f>VLOOKUP($U59,'坦克涂装-作废'!$B$23:$I$99,MATCH(W$6,'坦克涂装-作废'!$B$23:$I$23,0),FALSE)</f>
        <v>T3高</v>
      </c>
      <c r="X59" s="256" t="str">
        <f>VLOOKUP($U59,'坦克涂装-作废'!$B$23:$I$99,MATCH(X$6,'坦克涂装-作废'!$B$23:$I$23,0),FALSE)</f>
        <v>贴花</v>
      </c>
      <c r="Y59" s="256" t="str">
        <f>VLOOKUP($U59,'坦克涂装-作废'!$B$23:$I$99,MATCH(Y$6,'坦克涂装-作废'!$B$23:$I$23,0),FALSE)</f>
        <v>半月</v>
      </c>
      <c r="Z59" s="159">
        <f>VLOOKUP($U59,'坦克涂装-作废'!$B$23:$I$99,MATCH(Z$6,'坦克涂装-作废'!$B$23:$I$23,0),FALSE)</f>
        <v>1922.8828828828823</v>
      </c>
      <c r="AA59" s="158"/>
      <c r="AB59" s="158"/>
      <c r="AC59" s="158"/>
      <c r="AD59" s="158"/>
      <c r="AE59" s="158"/>
      <c r="AF59" s="158"/>
      <c r="AG59" s="158"/>
      <c r="AH59" s="158"/>
      <c r="AI59" s="158"/>
    </row>
    <row r="60" spans="2:35" x14ac:dyDescent="0.35">
      <c r="B60" s="282">
        <v>37</v>
      </c>
      <c r="C60" s="257" t="s">
        <v>1109</v>
      </c>
      <c r="D60" s="273" t="s">
        <v>1219</v>
      </c>
      <c r="E60" s="273" t="s">
        <v>1231</v>
      </c>
      <c r="F60" s="53">
        <v>1.0526315789473684</v>
      </c>
      <c r="G60" s="388">
        <f t="shared" si="5"/>
        <v>10969.263157894735</v>
      </c>
      <c r="H60" s="53">
        <v>1.3333333333333331E-2</v>
      </c>
      <c r="I60" s="369">
        <f t="shared" si="0"/>
        <v>145</v>
      </c>
      <c r="J60" s="274">
        <f t="shared" si="1"/>
        <v>11200</v>
      </c>
      <c r="K60" s="274">
        <f t="shared" si="2"/>
        <v>1.0747735298633505</v>
      </c>
      <c r="L60" s="274">
        <f t="shared" si="3"/>
        <v>60</v>
      </c>
      <c r="M60" s="274">
        <f t="shared" si="4"/>
        <v>5.4698295716259799E-3</v>
      </c>
      <c r="O60" s="274" t="s">
        <v>1846</v>
      </c>
      <c r="P60" s="274">
        <v>26</v>
      </c>
      <c r="Q60" s="274" t="s">
        <v>1570</v>
      </c>
      <c r="T60" s="256" t="str">
        <f>W60&amp;V60&amp;LEFT(道具价值!R1041)&amp;LEFT(X60,1)&amp;LEFT(Y60,1)</f>
        <v>T3高重贴半</v>
      </c>
      <c r="U60" s="256">
        <f>IF(V59="重",U59+1,U59)</f>
        <v>18</v>
      </c>
      <c r="V60" s="256" t="str">
        <f>V57</f>
        <v>重</v>
      </c>
      <c r="W60" s="256" t="str">
        <f>VLOOKUP($U60,'坦克涂装-作废'!$B$23:$I$99,MATCH(W$6,'坦克涂装-作废'!$B$23:$I$23,0),FALSE)</f>
        <v>T3高</v>
      </c>
      <c r="X60" s="256" t="str">
        <f>VLOOKUP($U60,'坦克涂装-作废'!$B$23:$I$99,MATCH(X$6,'坦克涂装-作废'!$B$23:$I$23,0),FALSE)</f>
        <v>贴花</v>
      </c>
      <c r="Y60" s="256" t="str">
        <f>VLOOKUP($U60,'坦克涂装-作废'!$B$23:$I$99,MATCH(Y$6,'坦克涂装-作废'!$B$23:$I$23,0),FALSE)</f>
        <v>半月</v>
      </c>
      <c r="Z60" s="159">
        <f>VLOOKUP($U60,'坦克涂装-作废'!$B$23:$I$99,MATCH(Z$6,'坦克涂装-作废'!$B$23:$I$23,0),FALSE)</f>
        <v>1922.8828828828823</v>
      </c>
      <c r="AA60" s="158"/>
      <c r="AB60" s="158"/>
      <c r="AC60" s="158"/>
      <c r="AD60" s="158"/>
      <c r="AE60" s="158"/>
      <c r="AF60" s="158"/>
      <c r="AG60" s="158"/>
      <c r="AH60" s="158"/>
      <c r="AI60" s="158"/>
    </row>
    <row r="61" spans="2:35" x14ac:dyDescent="0.35">
      <c r="B61" s="282">
        <v>38</v>
      </c>
      <c r="C61" s="257" t="s">
        <v>1109</v>
      </c>
      <c r="D61" s="273" t="s">
        <v>1220</v>
      </c>
      <c r="E61" s="273" t="s">
        <v>1233</v>
      </c>
      <c r="F61" s="53">
        <v>0.13157894736842105</v>
      </c>
      <c r="G61" s="388">
        <f t="shared" si="5"/>
        <v>2056.7368421052633</v>
      </c>
      <c r="H61" s="53">
        <v>3.5555555555555549E-2</v>
      </c>
      <c r="I61" s="369">
        <f t="shared" si="0"/>
        <v>75</v>
      </c>
      <c r="J61" s="274">
        <f t="shared" si="1"/>
        <v>2100</v>
      </c>
      <c r="K61" s="274">
        <f t="shared" si="2"/>
        <v>0.13434669123291876</v>
      </c>
      <c r="L61" s="274">
        <f t="shared" si="3"/>
        <v>30</v>
      </c>
      <c r="M61" s="274">
        <f t="shared" si="4"/>
        <v>1.4586212191002609E-2</v>
      </c>
      <c r="O61" s="274" t="s">
        <v>1846</v>
      </c>
      <c r="P61" s="274">
        <v>46</v>
      </c>
      <c r="Q61" s="274" t="s">
        <v>1571</v>
      </c>
      <c r="T61" s="256" t="str">
        <f>W61&amp;V61&amp;LEFT(道具价值!R1042)&amp;LEFT(X61,1)&amp;LEFT(Y61,1)</f>
        <v>T3高轻贴永</v>
      </c>
      <c r="U61" s="256">
        <f>IF(V60="重",U60+1,U60)</f>
        <v>19</v>
      </c>
      <c r="V61" s="256" t="str">
        <f>V58</f>
        <v>轻</v>
      </c>
      <c r="W61" s="256" t="str">
        <f>VLOOKUP($U61,'坦克涂装-作废'!$B$23:$I$99,MATCH(W$6,'坦克涂装-作废'!$B$23:$I$23,0),FALSE)</f>
        <v>T3高</v>
      </c>
      <c r="X61" s="256" t="str">
        <f>VLOOKUP($U61,'坦克涂装-作废'!$B$23:$I$99,MATCH(X$6,'坦克涂装-作废'!$B$23:$I$23,0),FALSE)</f>
        <v>贴花</v>
      </c>
      <c r="Y61" s="256" t="str">
        <f>VLOOKUP($U61,'坦克涂装-作废'!$B$23:$I$99,MATCH(Y$6,'坦克涂装-作废'!$B$23:$I$23,0),FALSE)</f>
        <v>永久</v>
      </c>
      <c r="Z61" s="159">
        <f>VLOOKUP($U61,'坦克涂装-作废'!$B$23:$I$99,MATCH(Z$6,'坦克涂装-作废'!$B$23:$I$23,0),FALSE)</f>
        <v>6730.0900900900879</v>
      </c>
      <c r="AA61" s="158"/>
      <c r="AB61" s="158"/>
      <c r="AC61" s="158"/>
      <c r="AD61" s="158"/>
      <c r="AE61" s="158"/>
      <c r="AF61" s="158"/>
      <c r="AG61" s="158"/>
      <c r="AH61" s="158"/>
      <c r="AI61" s="158"/>
    </row>
    <row r="62" spans="2:35" x14ac:dyDescent="0.35">
      <c r="B62" s="282">
        <v>39</v>
      </c>
      <c r="C62" s="257" t="s">
        <v>1109</v>
      </c>
      <c r="D62" s="273" t="s">
        <v>1220</v>
      </c>
      <c r="E62" s="273" t="s">
        <v>1232</v>
      </c>
      <c r="F62" s="53">
        <v>0.29239766081871343</v>
      </c>
      <c r="G62" s="388">
        <f t="shared" si="5"/>
        <v>4570.5263157894733</v>
      </c>
      <c r="H62" s="53">
        <v>2.1999999999999999E-2</v>
      </c>
      <c r="I62" s="369">
        <f t="shared" si="0"/>
        <v>100</v>
      </c>
      <c r="J62" s="274">
        <f t="shared" si="1"/>
        <v>4500</v>
      </c>
      <c r="K62" s="274">
        <f t="shared" si="2"/>
        <v>0.28788576692768308</v>
      </c>
      <c r="L62" s="274">
        <f t="shared" si="3"/>
        <v>42</v>
      </c>
      <c r="M62" s="274">
        <f t="shared" si="4"/>
        <v>9.1893136803316445E-3</v>
      </c>
      <c r="O62" s="274" t="s">
        <v>1845</v>
      </c>
      <c r="P62" s="274">
        <v>18</v>
      </c>
      <c r="Q62" s="274" t="s">
        <v>1572</v>
      </c>
      <c r="T62" s="256" t="str">
        <f>W62&amp;V62&amp;LEFT(道具价值!R1043)&amp;LEFT(X62,1)&amp;LEFT(Y62,1)</f>
        <v>T3高中贴永</v>
      </c>
      <c r="U62" s="256">
        <f>IF(V61="重",U61+1,U61)</f>
        <v>19</v>
      </c>
      <c r="V62" s="256" t="str">
        <f>V59</f>
        <v>中</v>
      </c>
      <c r="W62" s="256" t="str">
        <f>VLOOKUP($U62,'坦克涂装-作废'!$B$23:$I$99,MATCH(W$6,'坦克涂装-作废'!$B$23:$I$23,0),FALSE)</f>
        <v>T3高</v>
      </c>
      <c r="X62" s="256" t="str">
        <f>VLOOKUP($U62,'坦克涂装-作废'!$B$23:$I$99,MATCH(X$6,'坦克涂装-作废'!$B$23:$I$23,0),FALSE)</f>
        <v>贴花</v>
      </c>
      <c r="Y62" s="256" t="str">
        <f>VLOOKUP($U62,'坦克涂装-作废'!$B$23:$I$99,MATCH(Y$6,'坦克涂装-作废'!$B$23:$I$23,0),FALSE)</f>
        <v>永久</v>
      </c>
      <c r="Z62" s="159">
        <f>VLOOKUP($U62,'坦克涂装-作废'!$B$23:$I$99,MATCH(Z$6,'坦克涂装-作废'!$B$23:$I$23,0),FALSE)</f>
        <v>6730.0900900900879</v>
      </c>
      <c r="AA62" s="158"/>
      <c r="AB62" s="158"/>
      <c r="AC62" s="158"/>
      <c r="AD62" s="158"/>
      <c r="AE62" s="158"/>
      <c r="AF62" s="158"/>
      <c r="AG62" s="158"/>
      <c r="AH62" s="158"/>
      <c r="AI62" s="158"/>
    </row>
    <row r="63" spans="2:35" x14ac:dyDescent="0.35">
      <c r="B63" s="282">
        <v>40</v>
      </c>
      <c r="C63" s="257" t="s">
        <v>1109</v>
      </c>
      <c r="D63" s="273" t="s">
        <v>1220</v>
      </c>
      <c r="E63" s="273" t="s">
        <v>1231</v>
      </c>
      <c r="F63" s="53">
        <v>0.93567251461988288</v>
      </c>
      <c r="G63" s="388">
        <f t="shared" si="5"/>
        <v>14625.684210526313</v>
      </c>
      <c r="H63" s="53">
        <v>1.125E-2</v>
      </c>
      <c r="I63" s="369">
        <f t="shared" si="0"/>
        <v>165</v>
      </c>
      <c r="J63" s="274">
        <f t="shared" si="1"/>
        <v>14700</v>
      </c>
      <c r="K63" s="274">
        <f t="shared" si="2"/>
        <v>0.94042683863043153</v>
      </c>
      <c r="L63" s="274">
        <f t="shared" si="3"/>
        <v>70</v>
      </c>
      <c r="M63" s="274">
        <f t="shared" si="4"/>
        <v>4.7861008751727326E-3</v>
      </c>
      <c r="O63" s="274" t="s">
        <v>1845</v>
      </c>
      <c r="P63" s="274">
        <v>24</v>
      </c>
      <c r="Q63" s="274" t="s">
        <v>1573</v>
      </c>
      <c r="T63" s="256" t="str">
        <f>W63&amp;V63&amp;LEFT(道具价值!R1044)&amp;LEFT(X63,1)&amp;LEFT(Y63,1)</f>
        <v>T3高重贴永</v>
      </c>
      <c r="U63" s="256">
        <f>IF(V62="重",U62+1,U62)</f>
        <v>19</v>
      </c>
      <c r="V63" s="256" t="str">
        <f>V60</f>
        <v>重</v>
      </c>
      <c r="W63" s="256" t="str">
        <f>VLOOKUP($U63,'坦克涂装-作废'!$B$23:$I$99,MATCH(W$6,'坦克涂装-作废'!$B$23:$I$23,0),FALSE)</f>
        <v>T3高</v>
      </c>
      <c r="X63" s="256" t="str">
        <f>VLOOKUP($U63,'坦克涂装-作废'!$B$23:$I$99,MATCH(X$6,'坦克涂装-作废'!$B$23:$I$23,0),FALSE)</f>
        <v>贴花</v>
      </c>
      <c r="Y63" s="256" t="str">
        <f>VLOOKUP($U63,'坦克涂装-作废'!$B$23:$I$99,MATCH(Y$6,'坦克涂装-作废'!$B$23:$I$23,0),FALSE)</f>
        <v>永久</v>
      </c>
      <c r="Z63" s="159">
        <f>VLOOKUP($U63,'坦克涂装-作废'!$B$23:$I$99,MATCH(Z$6,'坦克涂装-作废'!$B$23:$I$23,0),FALSE)</f>
        <v>6730.0900900900879</v>
      </c>
      <c r="AA63" s="158"/>
      <c r="AB63" s="158"/>
      <c r="AC63" s="158"/>
      <c r="AD63" s="158"/>
      <c r="AE63" s="158"/>
      <c r="AF63" s="158"/>
      <c r="AG63" s="158"/>
      <c r="AH63" s="158"/>
      <c r="AI63" s="158"/>
    </row>
    <row r="64" spans="2:35" x14ac:dyDescent="0.35">
      <c r="B64" s="282">
        <v>41</v>
      </c>
      <c r="C64" s="257" t="s">
        <v>1110</v>
      </c>
      <c r="D64" s="273" t="s">
        <v>1218</v>
      </c>
      <c r="E64" s="273" t="s">
        <v>1233</v>
      </c>
      <c r="F64" s="53">
        <v>0.15594541910331383</v>
      </c>
      <c r="G64" s="388">
        <f t="shared" si="5"/>
        <v>796.9122807017543</v>
      </c>
      <c r="H64" s="53">
        <v>0.05</v>
      </c>
      <c r="I64" s="369">
        <f t="shared" si="0"/>
        <v>40</v>
      </c>
      <c r="J64" s="274">
        <f t="shared" si="1"/>
        <v>800</v>
      </c>
      <c r="K64" s="274">
        <f t="shared" si="2"/>
        <v>0.15654964580642639</v>
      </c>
      <c r="L64" s="274">
        <f t="shared" si="3"/>
        <v>20</v>
      </c>
      <c r="M64" s="274">
        <f t="shared" si="4"/>
        <v>2.5096865093342729E-2</v>
      </c>
      <c r="O64" s="274" t="s">
        <v>1845</v>
      </c>
      <c r="P64" s="274">
        <v>40</v>
      </c>
      <c r="Q64" s="274" t="s">
        <v>1574</v>
      </c>
      <c r="T64" s="256" t="str">
        <f>W64&amp;V64&amp;LEFT(道具价值!R1045)&amp;LEFT(X64,1)&amp;LEFT(Y64,1)</f>
        <v>T3高轻图三</v>
      </c>
      <c r="U64" s="256">
        <f>IF(V63="重",U63+1,U63)</f>
        <v>20</v>
      </c>
      <c r="V64" s="256" t="str">
        <f>V61</f>
        <v>轻</v>
      </c>
      <c r="W64" s="256" t="str">
        <f>VLOOKUP($U64,'坦克涂装-作废'!$B$23:$I$99,MATCH(W$6,'坦克涂装-作废'!$B$23:$I$23,0),FALSE)</f>
        <v>T3高</v>
      </c>
      <c r="X64" s="256" t="str">
        <f>VLOOKUP($U64,'坦克涂装-作废'!$B$23:$I$99,MATCH(X$6,'坦克涂装-作废'!$B$23:$I$23,0),FALSE)</f>
        <v>图案</v>
      </c>
      <c r="Y64" s="256" t="str">
        <f>VLOOKUP($U64,'坦克涂装-作废'!$B$23:$I$99,MATCH(Y$6,'坦克涂装-作废'!$B$23:$I$23,0),FALSE)</f>
        <v>三天</v>
      </c>
      <c r="Z64" s="159">
        <f>VLOOKUP($U64,'坦克涂装-作废'!$B$23:$I$99,MATCH(Z$6,'坦克涂装-作废'!$B$23:$I$23,0),FALSE)</f>
        <v>1922.8828828828823</v>
      </c>
      <c r="AA64" s="158"/>
      <c r="AB64" s="158"/>
      <c r="AC64" s="158"/>
      <c r="AD64" s="158"/>
      <c r="AE64" s="158"/>
      <c r="AF64" s="158"/>
      <c r="AG64" s="158"/>
      <c r="AH64" s="158"/>
      <c r="AI64" s="158"/>
    </row>
    <row r="65" spans="2:35" x14ac:dyDescent="0.35">
      <c r="B65" s="282">
        <v>42</v>
      </c>
      <c r="C65" s="257" t="s">
        <v>1110</v>
      </c>
      <c r="D65" s="273" t="s">
        <v>1218</v>
      </c>
      <c r="E65" s="273" t="s">
        <v>1232</v>
      </c>
      <c r="F65" s="53">
        <v>0.31189083820662766</v>
      </c>
      <c r="G65" s="388">
        <f t="shared" si="5"/>
        <v>1593.8245614035086</v>
      </c>
      <c r="H65" s="53">
        <v>3.5000000000000003E-2</v>
      </c>
      <c r="I65" s="369">
        <f t="shared" si="0"/>
        <v>55</v>
      </c>
      <c r="J65" s="274">
        <f t="shared" si="1"/>
        <v>1600</v>
      </c>
      <c r="K65" s="274">
        <f t="shared" si="2"/>
        <v>0.31309929161285277</v>
      </c>
      <c r="L65" s="274">
        <f t="shared" si="3"/>
        <v>26</v>
      </c>
      <c r="M65" s="274">
        <f t="shared" si="4"/>
        <v>1.6312962310672773E-2</v>
      </c>
      <c r="O65" s="274" t="s">
        <v>1846</v>
      </c>
      <c r="P65" s="274">
        <v>24</v>
      </c>
      <c r="Q65" s="274" t="s">
        <v>1572</v>
      </c>
      <c r="T65" s="256" t="str">
        <f>W65&amp;V65&amp;LEFT(道具价值!R1046)&amp;LEFT(X65,1)&amp;LEFT(Y65,1)</f>
        <v>T3高中图三</v>
      </c>
      <c r="U65" s="256">
        <f>IF(V64="重",U64+1,U64)</f>
        <v>20</v>
      </c>
      <c r="V65" s="256" t="str">
        <f>V62</f>
        <v>中</v>
      </c>
      <c r="W65" s="256" t="str">
        <f>VLOOKUP($U65,'坦克涂装-作废'!$B$23:$I$99,MATCH(W$6,'坦克涂装-作废'!$B$23:$I$23,0),FALSE)</f>
        <v>T3高</v>
      </c>
      <c r="X65" s="256" t="str">
        <f>VLOOKUP($U65,'坦克涂装-作废'!$B$23:$I$99,MATCH(X$6,'坦克涂装-作废'!$B$23:$I$23,0),FALSE)</f>
        <v>图案</v>
      </c>
      <c r="Y65" s="256" t="str">
        <f>VLOOKUP($U65,'坦克涂装-作废'!$B$23:$I$99,MATCH(Y$6,'坦克涂装-作废'!$B$23:$I$23,0),FALSE)</f>
        <v>三天</v>
      </c>
      <c r="Z65" s="159">
        <f>VLOOKUP($U65,'坦克涂装-作废'!$B$23:$I$99,MATCH(Z$6,'坦克涂装-作废'!$B$23:$I$23,0),FALSE)</f>
        <v>1922.8828828828823</v>
      </c>
      <c r="AA65" s="158"/>
      <c r="AB65" s="158"/>
      <c r="AC65" s="158"/>
      <c r="AD65" s="158"/>
      <c r="AE65" s="158"/>
      <c r="AF65" s="158"/>
      <c r="AG65" s="158"/>
      <c r="AH65" s="158"/>
      <c r="AI65" s="158"/>
    </row>
    <row r="66" spans="2:35" x14ac:dyDescent="0.35">
      <c r="B66" s="282">
        <v>43</v>
      </c>
      <c r="C66" s="257" t="s">
        <v>1110</v>
      </c>
      <c r="D66" s="273" t="s">
        <v>1218</v>
      </c>
      <c r="E66" s="273" t="s">
        <v>1231</v>
      </c>
      <c r="F66" s="53">
        <v>0.93567251461988299</v>
      </c>
      <c r="G66" s="388">
        <f t="shared" si="5"/>
        <v>4781.4736842105258</v>
      </c>
      <c r="H66" s="53">
        <v>0.02</v>
      </c>
      <c r="I66" s="369">
        <f t="shared" si="0"/>
        <v>95</v>
      </c>
      <c r="J66" s="274">
        <f t="shared" si="1"/>
        <v>5000</v>
      </c>
      <c r="K66" s="274">
        <f t="shared" si="2"/>
        <v>0.97843528629016474</v>
      </c>
      <c r="L66" s="274">
        <f t="shared" si="3"/>
        <v>44</v>
      </c>
      <c r="M66" s="274">
        <f t="shared" si="4"/>
        <v>9.2021838675590013E-3</v>
      </c>
      <c r="O66" s="274" t="s">
        <v>1846</v>
      </c>
      <c r="P66" s="274">
        <v>32</v>
      </c>
      <c r="Q66" s="274" t="s">
        <v>1573</v>
      </c>
      <c r="T66" s="256" t="str">
        <f>W66&amp;V66&amp;LEFT(道具价值!R1047)&amp;LEFT(X66,1)&amp;LEFT(Y66,1)</f>
        <v>T3高重图三</v>
      </c>
      <c r="U66" s="256">
        <f>IF(V65="重",U65+1,U65)</f>
        <v>20</v>
      </c>
      <c r="V66" s="256" t="str">
        <f>V63</f>
        <v>重</v>
      </c>
      <c r="W66" s="256" t="str">
        <f>VLOOKUP($U66,'坦克涂装-作废'!$B$23:$I$99,MATCH(W$6,'坦克涂装-作废'!$B$23:$I$23,0),FALSE)</f>
        <v>T3高</v>
      </c>
      <c r="X66" s="256" t="str">
        <f>VLOOKUP($U66,'坦克涂装-作废'!$B$23:$I$99,MATCH(X$6,'坦克涂装-作废'!$B$23:$I$23,0),FALSE)</f>
        <v>图案</v>
      </c>
      <c r="Y66" s="256" t="str">
        <f>VLOOKUP($U66,'坦克涂装-作废'!$B$23:$I$99,MATCH(Y$6,'坦克涂装-作废'!$B$23:$I$23,0),FALSE)</f>
        <v>三天</v>
      </c>
      <c r="Z66" s="159">
        <f>VLOOKUP($U66,'坦克涂装-作废'!$B$23:$I$99,MATCH(Z$6,'坦克涂装-作废'!$B$23:$I$23,0),FALSE)</f>
        <v>1922.8828828828823</v>
      </c>
      <c r="AA66" s="158"/>
      <c r="AB66" s="158"/>
      <c r="AC66" s="158"/>
      <c r="AD66" s="158"/>
      <c r="AE66" s="158"/>
      <c r="AF66" s="158"/>
      <c r="AG66" s="158"/>
      <c r="AH66" s="158"/>
      <c r="AI66" s="158"/>
    </row>
    <row r="67" spans="2:35" x14ac:dyDescent="0.35">
      <c r="B67" s="282">
        <v>44</v>
      </c>
      <c r="C67" s="257" t="s">
        <v>1110</v>
      </c>
      <c r="D67" s="273" t="s">
        <v>1219</v>
      </c>
      <c r="E67" s="273" t="s">
        <v>1233</v>
      </c>
      <c r="F67" s="53">
        <v>0.15594541910331383</v>
      </c>
      <c r="G67" s="388">
        <f t="shared" si="5"/>
        <v>1593.8245614035086</v>
      </c>
      <c r="H67" s="53">
        <v>3.5000000000000003E-2</v>
      </c>
      <c r="I67" s="369">
        <f t="shared" si="0"/>
        <v>55</v>
      </c>
      <c r="J67" s="274">
        <f t="shared" si="1"/>
        <v>1600</v>
      </c>
      <c r="K67" s="274">
        <f t="shared" si="2"/>
        <v>0.15654964580642639</v>
      </c>
      <c r="L67" s="274">
        <f t="shared" si="3"/>
        <v>26</v>
      </c>
      <c r="M67" s="274">
        <f t="shared" si="4"/>
        <v>1.6312962310672773E-2</v>
      </c>
      <c r="O67" s="274" t="s">
        <v>1846</v>
      </c>
      <c r="P67" s="274">
        <v>55</v>
      </c>
      <c r="Q67" s="274" t="s">
        <v>1574</v>
      </c>
      <c r="T67" s="256" t="str">
        <f>W67&amp;V67&amp;LEFT(道具价值!R1048)&amp;LEFT(X67,1)&amp;LEFT(Y67,1)</f>
        <v>T3高轻图半</v>
      </c>
      <c r="U67" s="256">
        <f>IF(V66="重",U66+1,U66)</f>
        <v>21</v>
      </c>
      <c r="V67" s="256" t="str">
        <f>V64</f>
        <v>轻</v>
      </c>
      <c r="W67" s="256" t="str">
        <f>VLOOKUP($U67,'坦克涂装-作废'!$B$23:$I$99,MATCH(W$6,'坦克涂装-作废'!$B$23:$I$23,0),FALSE)</f>
        <v>T3高</v>
      </c>
      <c r="X67" s="256" t="str">
        <f>VLOOKUP($U67,'坦克涂装-作废'!$B$23:$I$99,MATCH(X$6,'坦克涂装-作废'!$B$23:$I$23,0),FALSE)</f>
        <v>图案</v>
      </c>
      <c r="Y67" s="256" t="str">
        <f>VLOOKUP($U67,'坦克涂装-作废'!$B$23:$I$99,MATCH(Y$6,'坦克涂装-作废'!$B$23:$I$23,0),FALSE)</f>
        <v>半月</v>
      </c>
      <c r="Z67" s="159">
        <f>VLOOKUP($U67,'坦克涂装-作废'!$B$23:$I$99,MATCH(Z$6,'坦克涂装-作废'!$B$23:$I$23,0),FALSE)</f>
        <v>3845.7657657657646</v>
      </c>
      <c r="AA67" s="158"/>
      <c r="AB67" s="158"/>
      <c r="AC67" s="158"/>
      <c r="AD67" s="158"/>
      <c r="AE67" s="158"/>
      <c r="AF67" s="158"/>
      <c r="AG67" s="158"/>
      <c r="AH67" s="158"/>
      <c r="AI67" s="158"/>
    </row>
    <row r="68" spans="2:35" x14ac:dyDescent="0.35">
      <c r="B68" s="282">
        <v>45</v>
      </c>
      <c r="C68" s="257" t="s">
        <v>1110</v>
      </c>
      <c r="D68" s="273" t="s">
        <v>1219</v>
      </c>
      <c r="E68" s="273" t="s">
        <v>1232</v>
      </c>
      <c r="F68" s="53">
        <v>0.31189083820662766</v>
      </c>
      <c r="G68" s="388">
        <f t="shared" si="5"/>
        <v>3187.6491228070172</v>
      </c>
      <c r="H68" s="53">
        <v>2.5000000000000001E-2</v>
      </c>
      <c r="I68" s="369">
        <f t="shared" si="0"/>
        <v>80</v>
      </c>
      <c r="J68" s="274">
        <f t="shared" si="1"/>
        <v>3200</v>
      </c>
      <c r="K68" s="274">
        <f t="shared" si="2"/>
        <v>0.31309929161285277</v>
      </c>
      <c r="L68" s="274">
        <f t="shared" si="3"/>
        <v>36</v>
      </c>
      <c r="M68" s="274">
        <f t="shared" si="4"/>
        <v>1.1293589292004228E-2</v>
      </c>
      <c r="O68" s="274" t="s">
        <v>1845</v>
      </c>
      <c r="P68" s="274">
        <v>24</v>
      </c>
      <c r="Q68" s="274" t="s">
        <v>1575</v>
      </c>
      <c r="T68" s="256" t="str">
        <f>W68&amp;V68&amp;LEFT(道具价值!R1049)&amp;LEFT(X68,1)&amp;LEFT(Y68,1)</f>
        <v>T3高中图半</v>
      </c>
      <c r="U68" s="256">
        <f>IF(V67="重",U67+1,U67)</f>
        <v>21</v>
      </c>
      <c r="V68" s="256" t="str">
        <f>V65</f>
        <v>中</v>
      </c>
      <c r="W68" s="256" t="str">
        <f>VLOOKUP($U68,'坦克涂装-作废'!$B$23:$I$99,MATCH(W$6,'坦克涂装-作废'!$B$23:$I$23,0),FALSE)</f>
        <v>T3高</v>
      </c>
      <c r="X68" s="256" t="str">
        <f>VLOOKUP($U68,'坦克涂装-作废'!$B$23:$I$99,MATCH(X$6,'坦克涂装-作废'!$B$23:$I$23,0),FALSE)</f>
        <v>图案</v>
      </c>
      <c r="Y68" s="256" t="str">
        <f>VLOOKUP($U68,'坦克涂装-作废'!$B$23:$I$99,MATCH(Y$6,'坦克涂装-作废'!$B$23:$I$23,0),FALSE)</f>
        <v>半月</v>
      </c>
      <c r="Z68" s="159">
        <f>VLOOKUP($U68,'坦克涂装-作废'!$B$23:$I$99,MATCH(Z$6,'坦克涂装-作废'!$B$23:$I$23,0),FALSE)</f>
        <v>3845.7657657657646</v>
      </c>
      <c r="AA68" s="158"/>
      <c r="AB68" s="158"/>
      <c r="AC68" s="158"/>
      <c r="AD68" s="158"/>
      <c r="AE68" s="158"/>
      <c r="AF68" s="158"/>
      <c r="AG68" s="158"/>
      <c r="AH68" s="158"/>
      <c r="AI68" s="158"/>
    </row>
    <row r="69" spans="2:35" x14ac:dyDescent="0.35">
      <c r="B69" s="282">
        <v>46</v>
      </c>
      <c r="C69" s="257" t="s">
        <v>1110</v>
      </c>
      <c r="D69" s="273" t="s">
        <v>1219</v>
      </c>
      <c r="E69" s="273" t="s">
        <v>1231</v>
      </c>
      <c r="F69" s="53">
        <v>0.9356725146198831</v>
      </c>
      <c r="G69" s="388">
        <f t="shared" si="5"/>
        <v>9562.9473684210534</v>
      </c>
      <c r="H69" s="53">
        <v>1.3333333333333334E-2</v>
      </c>
      <c r="I69" s="369">
        <f t="shared" si="0"/>
        <v>130</v>
      </c>
      <c r="J69" s="274">
        <f t="shared" si="1"/>
        <v>9800</v>
      </c>
      <c r="K69" s="274">
        <f t="shared" si="2"/>
        <v>0.95886658056436158</v>
      </c>
      <c r="L69" s="274">
        <f t="shared" si="3"/>
        <v>60</v>
      </c>
      <c r="M69" s="274">
        <f t="shared" si="4"/>
        <v>6.2742162733356813E-3</v>
      </c>
      <c r="O69" s="274" t="s">
        <v>1845</v>
      </c>
      <c r="P69" s="274">
        <v>34</v>
      </c>
      <c r="Q69" s="274" t="s">
        <v>1576</v>
      </c>
      <c r="T69" s="256" t="str">
        <f>W69&amp;V69&amp;LEFT(道具价值!R1050)&amp;LEFT(X69,1)&amp;LEFT(Y69,1)</f>
        <v>T3高重图半</v>
      </c>
      <c r="U69" s="256">
        <f>IF(V68="重",U68+1,U68)</f>
        <v>21</v>
      </c>
      <c r="V69" s="256" t="str">
        <f>V66</f>
        <v>重</v>
      </c>
      <c r="W69" s="256" t="str">
        <f>VLOOKUP($U69,'坦克涂装-作废'!$B$23:$I$99,MATCH(W$6,'坦克涂装-作废'!$B$23:$I$23,0),FALSE)</f>
        <v>T3高</v>
      </c>
      <c r="X69" s="256" t="str">
        <f>VLOOKUP($U69,'坦克涂装-作废'!$B$23:$I$99,MATCH(X$6,'坦克涂装-作废'!$B$23:$I$23,0),FALSE)</f>
        <v>图案</v>
      </c>
      <c r="Y69" s="256" t="str">
        <f>VLOOKUP($U69,'坦克涂装-作废'!$B$23:$I$99,MATCH(Y$6,'坦克涂装-作废'!$B$23:$I$23,0),FALSE)</f>
        <v>半月</v>
      </c>
      <c r="Z69" s="159">
        <f>VLOOKUP($U69,'坦克涂装-作废'!$B$23:$I$99,MATCH(Z$6,'坦克涂装-作废'!$B$23:$I$23,0),FALSE)</f>
        <v>3845.7657657657646</v>
      </c>
      <c r="AA69" s="158"/>
      <c r="AB69" s="158"/>
      <c r="AC69" s="158"/>
      <c r="AD69" s="158"/>
      <c r="AE69" s="158"/>
      <c r="AF69" s="158"/>
      <c r="AG69" s="158"/>
      <c r="AH69" s="158"/>
      <c r="AI69" s="158"/>
    </row>
    <row r="70" spans="2:35" x14ac:dyDescent="0.35">
      <c r="B70" s="282">
        <v>47</v>
      </c>
      <c r="C70" s="257" t="s">
        <v>1110</v>
      </c>
      <c r="D70" s="273" t="s">
        <v>1220</v>
      </c>
      <c r="E70" s="273" t="s">
        <v>1233</v>
      </c>
      <c r="F70" s="53">
        <v>0.15594541910331386</v>
      </c>
      <c r="G70" s="388">
        <f t="shared" si="5"/>
        <v>2390.7368421052633</v>
      </c>
      <c r="H70" s="53">
        <v>0.03</v>
      </c>
      <c r="I70" s="369">
        <f t="shared" si="0"/>
        <v>70</v>
      </c>
      <c r="J70" s="274">
        <f t="shared" si="1"/>
        <v>2400</v>
      </c>
      <c r="K70" s="274">
        <f t="shared" si="2"/>
        <v>0.15654964580642636</v>
      </c>
      <c r="L70" s="274">
        <f t="shared" si="3"/>
        <v>32</v>
      </c>
      <c r="M70" s="274">
        <f t="shared" si="4"/>
        <v>1.3384994716449453E-2</v>
      </c>
      <c r="O70" s="274" t="s">
        <v>1845</v>
      </c>
      <c r="P70" s="274">
        <v>65</v>
      </c>
      <c r="Q70" s="274" t="s">
        <v>1577</v>
      </c>
      <c r="T70" s="256" t="str">
        <f>W70&amp;V70&amp;LEFT(道具价值!R1051)&amp;LEFT(X70,1)&amp;LEFT(Y70,1)</f>
        <v>T3高轻图永</v>
      </c>
      <c r="U70" s="256">
        <f>IF(V69="重",U69+1,U69)</f>
        <v>22</v>
      </c>
      <c r="V70" s="256" t="str">
        <f>V67</f>
        <v>轻</v>
      </c>
      <c r="W70" s="256" t="str">
        <f>VLOOKUP($U70,'坦克涂装-作废'!$B$23:$I$99,MATCH(W$6,'坦克涂装-作废'!$B$23:$I$23,0),FALSE)</f>
        <v>T3高</v>
      </c>
      <c r="X70" s="256" t="str">
        <f>VLOOKUP($U70,'坦克涂装-作废'!$B$23:$I$99,MATCH(X$6,'坦克涂装-作废'!$B$23:$I$23,0),FALSE)</f>
        <v>图案</v>
      </c>
      <c r="Y70" s="256" t="str">
        <f>VLOOKUP($U70,'坦克涂装-作废'!$B$23:$I$99,MATCH(Y$6,'坦克涂装-作废'!$B$23:$I$23,0),FALSE)</f>
        <v>永久</v>
      </c>
      <c r="Z70" s="159">
        <f>VLOOKUP($U70,'坦克涂装-作废'!$B$23:$I$99,MATCH(Z$6,'坦克涂装-作废'!$B$23:$I$23,0),FALSE)</f>
        <v>11537.297297297293</v>
      </c>
      <c r="AA70" s="158"/>
      <c r="AB70" s="158"/>
      <c r="AC70" s="158"/>
      <c r="AD70" s="158"/>
      <c r="AE70" s="158"/>
      <c r="AF70" s="158"/>
      <c r="AG70" s="158"/>
      <c r="AH70" s="158"/>
      <c r="AI70" s="158"/>
    </row>
    <row r="71" spans="2:35" x14ac:dyDescent="0.35">
      <c r="B71" s="282">
        <v>48</v>
      </c>
      <c r="C71" s="257" t="s">
        <v>1110</v>
      </c>
      <c r="D71" s="273" t="s">
        <v>1220</v>
      </c>
      <c r="E71" s="273" t="s">
        <v>1232</v>
      </c>
      <c r="F71" s="53">
        <v>0.31189083820662772</v>
      </c>
      <c r="G71" s="388">
        <f t="shared" si="5"/>
        <v>4781.4736842105267</v>
      </c>
      <c r="H71" s="53">
        <v>0.02</v>
      </c>
      <c r="I71" s="369">
        <f t="shared" si="0"/>
        <v>95</v>
      </c>
      <c r="J71" s="274">
        <f t="shared" si="1"/>
        <v>5000</v>
      </c>
      <c r="K71" s="274">
        <f t="shared" si="2"/>
        <v>0.32614509543005493</v>
      </c>
      <c r="L71" s="274">
        <f t="shared" si="3"/>
        <v>44</v>
      </c>
      <c r="M71" s="274">
        <f t="shared" si="4"/>
        <v>9.2021838675589995E-3</v>
      </c>
      <c r="O71" s="274" t="s">
        <v>1846</v>
      </c>
      <c r="P71" s="274">
        <v>34</v>
      </c>
      <c r="Q71" s="274" t="s">
        <v>1575</v>
      </c>
      <c r="T71" s="256" t="str">
        <f>W71&amp;V71&amp;LEFT(道具价值!R1052)&amp;LEFT(X71,1)&amp;LEFT(Y71,1)</f>
        <v>T3高中图永</v>
      </c>
      <c r="U71" s="256">
        <f>IF(V70="重",U70+1,U70)</f>
        <v>22</v>
      </c>
      <c r="V71" s="256" t="str">
        <f>V68</f>
        <v>中</v>
      </c>
      <c r="W71" s="256" t="str">
        <f>VLOOKUP($U71,'坦克涂装-作废'!$B$23:$I$99,MATCH(W$6,'坦克涂装-作废'!$B$23:$I$23,0),FALSE)</f>
        <v>T3高</v>
      </c>
      <c r="X71" s="256" t="str">
        <f>VLOOKUP($U71,'坦克涂装-作废'!$B$23:$I$99,MATCH(X$6,'坦克涂装-作废'!$B$23:$I$23,0),FALSE)</f>
        <v>图案</v>
      </c>
      <c r="Y71" s="256" t="str">
        <f>VLOOKUP($U71,'坦克涂装-作废'!$B$23:$I$99,MATCH(Y$6,'坦克涂装-作废'!$B$23:$I$23,0),FALSE)</f>
        <v>永久</v>
      </c>
      <c r="Z71" s="159">
        <f>VLOOKUP($U71,'坦克涂装-作废'!$B$23:$I$99,MATCH(Z$6,'坦克涂装-作废'!$B$23:$I$23,0),FALSE)</f>
        <v>11537.297297297293</v>
      </c>
      <c r="AA71" s="158"/>
      <c r="AB71" s="158"/>
      <c r="AC71" s="158"/>
      <c r="AD71" s="158"/>
      <c r="AE71" s="158"/>
      <c r="AF71" s="158"/>
      <c r="AG71" s="158"/>
      <c r="AH71" s="158"/>
      <c r="AI71" s="158"/>
    </row>
    <row r="72" spans="2:35" x14ac:dyDescent="0.35">
      <c r="B72" s="282">
        <v>49</v>
      </c>
      <c r="C72" s="257" t="s">
        <v>1110</v>
      </c>
      <c r="D72" s="273" t="s">
        <v>1220</v>
      </c>
      <c r="E72" s="273" t="s">
        <v>1231</v>
      </c>
      <c r="F72" s="53">
        <v>0.9356725146198831</v>
      </c>
      <c r="G72" s="388">
        <f t="shared" si="5"/>
        <v>14344.421052631578</v>
      </c>
      <c r="H72" s="53">
        <v>1.0555555555555556E-2</v>
      </c>
      <c r="I72" s="369">
        <f t="shared" si="0"/>
        <v>150</v>
      </c>
      <c r="J72" s="274">
        <f t="shared" si="1"/>
        <v>14000</v>
      </c>
      <c r="K72" s="274">
        <f t="shared" si="2"/>
        <v>0.91320626720415388</v>
      </c>
      <c r="L72" s="274">
        <f t="shared" si="3"/>
        <v>70</v>
      </c>
      <c r="M72" s="274">
        <f t="shared" si="4"/>
        <v>4.8799459903721967E-3</v>
      </c>
      <c r="O72" s="274" t="s">
        <v>1846</v>
      </c>
      <c r="P72" s="274">
        <v>50</v>
      </c>
      <c r="Q72" s="274" t="s">
        <v>1576</v>
      </c>
      <c r="T72" s="256" t="str">
        <f>W72&amp;V72&amp;LEFT(道具价值!R1053)&amp;LEFT(X72,1)&amp;LEFT(Y72,1)</f>
        <v>T3高重图永</v>
      </c>
      <c r="U72" s="256">
        <f>IF(V71="重",U71+1,U71)</f>
        <v>22</v>
      </c>
      <c r="V72" s="256" t="str">
        <f>V69</f>
        <v>重</v>
      </c>
      <c r="W72" s="256" t="str">
        <f>VLOOKUP($U72,'坦克涂装-作废'!$B$23:$I$99,MATCH(W$6,'坦克涂装-作废'!$B$23:$I$23,0),FALSE)</f>
        <v>T3高</v>
      </c>
      <c r="X72" s="256" t="str">
        <f>VLOOKUP($U72,'坦克涂装-作废'!$B$23:$I$99,MATCH(X$6,'坦克涂装-作废'!$B$23:$I$23,0),FALSE)</f>
        <v>图案</v>
      </c>
      <c r="Y72" s="256" t="str">
        <f>VLOOKUP($U72,'坦克涂装-作废'!$B$23:$I$99,MATCH(Y$6,'坦克涂装-作废'!$B$23:$I$23,0),FALSE)</f>
        <v>永久</v>
      </c>
      <c r="Z72" s="159">
        <f>VLOOKUP($U72,'坦克涂装-作废'!$B$23:$I$99,MATCH(Z$6,'坦克涂装-作废'!$B$23:$I$23,0),FALSE)</f>
        <v>11537.297297297293</v>
      </c>
      <c r="AA72" s="158"/>
      <c r="AB72" s="158"/>
      <c r="AC72" s="158"/>
      <c r="AD72" s="158"/>
      <c r="AE72" s="158"/>
      <c r="AF72" s="158"/>
      <c r="AG72" s="158"/>
      <c r="AH72" s="158"/>
      <c r="AI72" s="158"/>
    </row>
    <row r="73" spans="2:35" x14ac:dyDescent="0.35">
      <c r="B73" s="282">
        <v>50</v>
      </c>
      <c r="C73" s="257" t="s">
        <v>1111</v>
      </c>
      <c r="D73" s="273" t="s">
        <v>1218</v>
      </c>
      <c r="E73" s="273" t="s">
        <v>1233</v>
      </c>
      <c r="F73" s="53">
        <v>0.15</v>
      </c>
      <c r="G73" s="388">
        <f t="shared" si="5"/>
        <v>498.23999999999995</v>
      </c>
      <c r="H73" s="53">
        <v>8.3333333333333329E-2</v>
      </c>
      <c r="I73" s="369">
        <f t="shared" si="0"/>
        <v>42</v>
      </c>
      <c r="J73" s="274">
        <f t="shared" si="1"/>
        <v>500</v>
      </c>
      <c r="K73" s="274">
        <f t="shared" si="2"/>
        <v>0.15052986512524083</v>
      </c>
      <c r="L73" s="274">
        <f t="shared" si="3"/>
        <v>22</v>
      </c>
      <c r="M73" s="274">
        <f t="shared" si="4"/>
        <v>4.4155427103403984E-2</v>
      </c>
      <c r="O73" s="274" t="s">
        <v>1846</v>
      </c>
      <c r="P73" s="274">
        <v>90</v>
      </c>
      <c r="Q73" s="274" t="s">
        <v>1577</v>
      </c>
      <c r="T73" s="256" t="str">
        <f>W73&amp;V73&amp;LEFT(道具价值!R1054)&amp;LEFT(X73,1)&amp;LEFT(Y73,1)</f>
        <v>T4低轻贴三</v>
      </c>
      <c r="U73" s="256">
        <f>IF(V72="重",U72+1,U72)</f>
        <v>23</v>
      </c>
      <c r="V73" s="256" t="str">
        <f>V70</f>
        <v>轻</v>
      </c>
      <c r="W73" s="256" t="str">
        <f>VLOOKUP($U73,'坦克涂装-作废'!$B$23:$I$99,MATCH(W$6,'坦克涂装-作废'!$B$23:$I$23,0),FALSE)</f>
        <v>T4低</v>
      </c>
      <c r="X73" s="256" t="str">
        <f>VLOOKUP($U73,'坦克涂装-作废'!$B$23:$I$99,MATCH(X$6,'坦克涂装-作废'!$B$23:$I$23,0),FALSE)</f>
        <v>贴花</v>
      </c>
      <c r="Y73" s="256" t="str">
        <f>VLOOKUP($U73,'坦克涂装-作废'!$B$23:$I$99,MATCH(Y$6,'坦克涂装-作废'!$B$23:$I$23,0),FALSE)</f>
        <v>三天</v>
      </c>
      <c r="Z73" s="159">
        <f>VLOOKUP($U73,'坦克涂装-作废'!$B$23:$I$99,MATCH(Z$6,'坦克涂装-作废'!$B$23:$I$23,0),FALSE)</f>
        <v>567.04000000000019</v>
      </c>
      <c r="AA73" s="158"/>
      <c r="AB73" s="158"/>
      <c r="AC73" s="158"/>
      <c r="AD73" s="158"/>
      <c r="AE73" s="158"/>
      <c r="AF73" s="158"/>
      <c r="AG73" s="158"/>
      <c r="AH73" s="158"/>
      <c r="AI73" s="158"/>
    </row>
    <row r="74" spans="2:35" x14ac:dyDescent="0.35">
      <c r="B74" s="282">
        <v>51</v>
      </c>
      <c r="C74" s="257" t="s">
        <v>1111</v>
      </c>
      <c r="D74" s="273" t="s">
        <v>1218</v>
      </c>
      <c r="E74" s="273" t="s">
        <v>1232</v>
      </c>
      <c r="F74" s="53">
        <v>0.3125</v>
      </c>
      <c r="G74" s="388">
        <f t="shared" si="5"/>
        <v>1038</v>
      </c>
      <c r="H74" s="53">
        <v>6.4000000000000001E-2</v>
      </c>
      <c r="I74" s="369">
        <f t="shared" si="0"/>
        <v>65</v>
      </c>
      <c r="J74" s="274">
        <f t="shared" si="1"/>
        <v>1000</v>
      </c>
      <c r="K74" s="274">
        <f t="shared" si="2"/>
        <v>0.30105973025048172</v>
      </c>
      <c r="L74" s="274">
        <f t="shared" si="3"/>
        <v>32</v>
      </c>
      <c r="M74" s="274">
        <f t="shared" si="4"/>
        <v>3.0828516377649325E-2</v>
      </c>
      <c r="T74" s="256" t="str">
        <f>W74&amp;V74&amp;LEFT(道具价值!R1055)&amp;LEFT(X74,1)&amp;LEFT(Y74,1)</f>
        <v>T4低中贴三</v>
      </c>
      <c r="U74" s="256">
        <f>IF(V73="重",U73+1,U73)</f>
        <v>23</v>
      </c>
      <c r="V74" s="256" t="str">
        <f>V71</f>
        <v>中</v>
      </c>
      <c r="W74" s="256" t="str">
        <f>VLOOKUP($U74,'坦克涂装-作废'!$B$23:$I$99,MATCH(W$6,'坦克涂装-作废'!$B$23:$I$23,0),FALSE)</f>
        <v>T4低</v>
      </c>
      <c r="X74" s="256" t="str">
        <f>VLOOKUP($U74,'坦克涂装-作废'!$B$23:$I$99,MATCH(X$6,'坦克涂装-作废'!$B$23:$I$23,0),FALSE)</f>
        <v>贴花</v>
      </c>
      <c r="Y74" s="256" t="str">
        <f>VLOOKUP($U74,'坦克涂装-作废'!$B$23:$I$99,MATCH(Y$6,'坦克涂装-作废'!$B$23:$I$23,0),FALSE)</f>
        <v>三天</v>
      </c>
      <c r="Z74" s="159">
        <f>VLOOKUP($U74,'坦克涂装-作废'!$B$23:$I$99,MATCH(Z$6,'坦克涂装-作废'!$B$23:$I$23,0),FALSE)</f>
        <v>567.04000000000019</v>
      </c>
      <c r="AA74" s="158"/>
      <c r="AB74" s="158"/>
      <c r="AC74" s="158"/>
      <c r="AD74" s="158"/>
      <c r="AE74" s="158"/>
      <c r="AF74" s="158"/>
      <c r="AG74" s="158"/>
      <c r="AH74" s="158"/>
      <c r="AI74" s="158"/>
    </row>
    <row r="75" spans="2:35" x14ac:dyDescent="0.35">
      <c r="B75" s="282">
        <v>52</v>
      </c>
      <c r="C75" s="257" t="s">
        <v>1111</v>
      </c>
      <c r="D75" s="273" t="s">
        <v>1218</v>
      </c>
      <c r="E75" s="273" t="s">
        <v>1231</v>
      </c>
      <c r="F75" s="53">
        <v>1.125</v>
      </c>
      <c r="G75" s="388">
        <f t="shared" si="5"/>
        <v>3736.7999999999997</v>
      </c>
      <c r="H75" s="53">
        <v>3.3333333333333333E-2</v>
      </c>
      <c r="I75" s="369">
        <f t="shared" si="0"/>
        <v>125</v>
      </c>
      <c r="J75" s="274">
        <f t="shared" si="1"/>
        <v>3600</v>
      </c>
      <c r="K75" s="274">
        <f t="shared" si="2"/>
        <v>1.0838150289017343</v>
      </c>
      <c r="L75" s="274">
        <f t="shared" si="3"/>
        <v>60</v>
      </c>
      <c r="M75" s="274">
        <f t="shared" si="4"/>
        <v>1.6056518946692359E-2</v>
      </c>
      <c r="T75" s="256" t="str">
        <f>W75&amp;V75&amp;LEFT(道具价值!R1056)&amp;LEFT(X75,1)&amp;LEFT(Y75,1)</f>
        <v>T4低重贴三</v>
      </c>
      <c r="U75" s="256">
        <f>IF(V74="重",U74+1,U74)</f>
        <v>23</v>
      </c>
      <c r="V75" s="256" t="str">
        <f>V72</f>
        <v>重</v>
      </c>
      <c r="W75" s="256" t="str">
        <f>VLOOKUP($U75,'坦克涂装-作废'!$B$23:$I$99,MATCH(W$6,'坦克涂装-作废'!$B$23:$I$23,0),FALSE)</f>
        <v>T4低</v>
      </c>
      <c r="X75" s="256" t="str">
        <f>VLOOKUP($U75,'坦克涂装-作废'!$B$23:$I$99,MATCH(X$6,'坦克涂装-作废'!$B$23:$I$23,0),FALSE)</f>
        <v>贴花</v>
      </c>
      <c r="Y75" s="256" t="str">
        <f>VLOOKUP($U75,'坦克涂装-作废'!$B$23:$I$99,MATCH(Y$6,'坦克涂装-作废'!$B$23:$I$23,0),FALSE)</f>
        <v>三天</v>
      </c>
      <c r="Z75" s="159">
        <f>VLOOKUP($U75,'坦克涂装-作废'!$B$23:$I$99,MATCH(Z$6,'坦克涂装-作废'!$B$23:$I$23,0),FALSE)</f>
        <v>567.04000000000019</v>
      </c>
      <c r="AA75" s="158"/>
      <c r="AB75" s="158"/>
      <c r="AC75" s="158"/>
      <c r="AD75" s="158"/>
      <c r="AE75" s="158"/>
      <c r="AF75" s="158"/>
      <c r="AG75" s="158"/>
      <c r="AH75" s="158"/>
      <c r="AI75" s="158"/>
    </row>
    <row r="76" spans="2:35" x14ac:dyDescent="0.35">
      <c r="B76" s="282">
        <v>53</v>
      </c>
      <c r="C76" s="257" t="s">
        <v>1111</v>
      </c>
      <c r="D76" s="273" t="s">
        <v>1219</v>
      </c>
      <c r="E76" s="273" t="s">
        <v>1233</v>
      </c>
      <c r="F76" s="53">
        <v>0.15625</v>
      </c>
      <c r="G76" s="388">
        <f t="shared" si="5"/>
        <v>1038</v>
      </c>
      <c r="H76" s="53">
        <v>6.4000000000000001E-2</v>
      </c>
      <c r="I76" s="369">
        <f t="shared" si="0"/>
        <v>65</v>
      </c>
      <c r="J76" s="274">
        <f t="shared" si="1"/>
        <v>1000</v>
      </c>
      <c r="K76" s="274">
        <f t="shared" si="2"/>
        <v>0.15052986512524086</v>
      </c>
      <c r="L76" s="274">
        <f t="shared" si="3"/>
        <v>32</v>
      </c>
      <c r="M76" s="274">
        <f t="shared" si="4"/>
        <v>3.0828516377649325E-2</v>
      </c>
      <c r="T76" s="256" t="str">
        <f>W76&amp;V76&amp;LEFT(道具价值!R1057)&amp;LEFT(X76,1)&amp;LEFT(Y76,1)</f>
        <v>T4低轻贴半</v>
      </c>
      <c r="U76" s="256">
        <f>IF(V75="重",U75+1,U75)</f>
        <v>24</v>
      </c>
      <c r="V76" s="256" t="str">
        <f>V73</f>
        <v>轻</v>
      </c>
      <c r="W76" s="256" t="str">
        <f>VLOOKUP($U76,'坦克涂装-作废'!$B$23:$I$99,MATCH(W$6,'坦克涂装-作废'!$B$23:$I$23,0),FALSE)</f>
        <v>T4低</v>
      </c>
      <c r="X76" s="256" t="str">
        <f>VLOOKUP($U76,'坦克涂装-作废'!$B$23:$I$99,MATCH(X$6,'坦克涂装-作废'!$B$23:$I$23,0),FALSE)</f>
        <v>贴花</v>
      </c>
      <c r="Y76" s="256" t="str">
        <f>VLOOKUP($U76,'坦克涂装-作废'!$B$23:$I$99,MATCH(Y$6,'坦克涂装-作废'!$B$23:$I$23,0),FALSE)</f>
        <v>半月</v>
      </c>
      <c r="Z76" s="159">
        <f>VLOOKUP($U76,'坦克涂装-作废'!$B$23:$I$99,MATCH(Z$6,'坦克涂装-作废'!$B$23:$I$23,0),FALSE)</f>
        <v>886.00000000000023</v>
      </c>
      <c r="AA76" s="158"/>
      <c r="AB76" s="158"/>
      <c r="AC76" s="158"/>
      <c r="AD76" s="158"/>
      <c r="AE76" s="158"/>
      <c r="AF76" s="158"/>
      <c r="AG76" s="158"/>
      <c r="AH76" s="158"/>
      <c r="AI76" s="158"/>
    </row>
    <row r="77" spans="2:35" x14ac:dyDescent="0.35">
      <c r="B77" s="282">
        <v>54</v>
      </c>
      <c r="C77" s="257" t="s">
        <v>1111</v>
      </c>
      <c r="D77" s="273" t="s">
        <v>1219</v>
      </c>
      <c r="E77" s="273" t="s">
        <v>1232</v>
      </c>
      <c r="F77" s="53">
        <v>0.3125</v>
      </c>
      <c r="G77" s="388">
        <f t="shared" si="5"/>
        <v>2076</v>
      </c>
      <c r="H77" s="53">
        <v>4.3999999999999997E-2</v>
      </c>
      <c r="I77" s="369">
        <f t="shared" si="0"/>
        <v>90</v>
      </c>
      <c r="J77" s="274">
        <f t="shared" si="1"/>
        <v>2100</v>
      </c>
      <c r="K77" s="274">
        <f t="shared" si="2"/>
        <v>0.31611271676300579</v>
      </c>
      <c r="L77" s="274">
        <f t="shared" si="3"/>
        <v>46</v>
      </c>
      <c r="M77" s="274">
        <f t="shared" si="4"/>
        <v>2.2157996146435453E-2</v>
      </c>
      <c r="T77" s="256" t="str">
        <f>W77&amp;V77&amp;LEFT(道具价值!R1058)&amp;LEFT(X77,1)&amp;LEFT(Y77,1)</f>
        <v>T4低中贴半</v>
      </c>
      <c r="U77" s="256">
        <f>IF(V76="重",U76+1,U76)</f>
        <v>24</v>
      </c>
      <c r="V77" s="256" t="str">
        <f>V74</f>
        <v>中</v>
      </c>
      <c r="W77" s="256" t="str">
        <f>VLOOKUP($U77,'坦克涂装-作废'!$B$23:$I$99,MATCH(W$6,'坦克涂装-作废'!$B$23:$I$23,0),FALSE)</f>
        <v>T4低</v>
      </c>
      <c r="X77" s="256" t="str">
        <f>VLOOKUP($U77,'坦克涂装-作废'!$B$23:$I$99,MATCH(X$6,'坦克涂装-作废'!$B$23:$I$23,0),FALSE)</f>
        <v>贴花</v>
      </c>
      <c r="Y77" s="256" t="str">
        <f>VLOOKUP($U77,'坦克涂装-作废'!$B$23:$I$99,MATCH(Y$6,'坦克涂装-作废'!$B$23:$I$23,0),FALSE)</f>
        <v>半月</v>
      </c>
      <c r="Z77" s="159">
        <f>VLOOKUP($U77,'坦克涂装-作废'!$B$23:$I$99,MATCH(Z$6,'坦克涂装-作废'!$B$23:$I$23,0),FALSE)</f>
        <v>886.00000000000023</v>
      </c>
      <c r="AA77" s="158"/>
      <c r="AB77" s="158"/>
      <c r="AC77" s="158"/>
      <c r="AD77" s="158"/>
      <c r="AE77" s="158"/>
      <c r="AF77" s="158"/>
      <c r="AG77" s="158"/>
      <c r="AH77" s="158"/>
      <c r="AI77" s="158"/>
    </row>
    <row r="78" spans="2:35" x14ac:dyDescent="0.35">
      <c r="B78" s="282">
        <v>55</v>
      </c>
      <c r="C78" s="257" t="s">
        <v>1111</v>
      </c>
      <c r="D78" s="273" t="s">
        <v>1219</v>
      </c>
      <c r="E78" s="273" t="s">
        <v>1231</v>
      </c>
      <c r="F78" s="53">
        <v>1.125</v>
      </c>
      <c r="G78" s="388">
        <f t="shared" si="5"/>
        <v>7473.5999999999995</v>
      </c>
      <c r="H78" s="53">
        <v>2.3333333333333334E-2</v>
      </c>
      <c r="I78" s="369">
        <f t="shared" si="0"/>
        <v>175</v>
      </c>
      <c r="J78" s="274">
        <f t="shared" si="1"/>
        <v>7700</v>
      </c>
      <c r="K78" s="274">
        <f t="shared" si="2"/>
        <v>1.1590799614643545</v>
      </c>
      <c r="L78" s="274">
        <f t="shared" si="3"/>
        <v>85</v>
      </c>
      <c r="M78" s="274">
        <f t="shared" si="4"/>
        <v>1.137336758724042E-2</v>
      </c>
      <c r="T78" s="256" t="str">
        <f>W78&amp;V78&amp;LEFT(道具价值!R1059)&amp;LEFT(X78,1)&amp;LEFT(Y78,1)</f>
        <v>T4低重贴半</v>
      </c>
      <c r="U78" s="256">
        <f>IF(V77="重",U77+1,U77)</f>
        <v>24</v>
      </c>
      <c r="V78" s="256" t="str">
        <f>V75</f>
        <v>重</v>
      </c>
      <c r="W78" s="256" t="str">
        <f>VLOOKUP($U78,'坦克涂装-作废'!$B$23:$I$99,MATCH(W$6,'坦克涂装-作废'!$B$23:$I$23,0),FALSE)</f>
        <v>T4低</v>
      </c>
      <c r="X78" s="256" t="str">
        <f>VLOOKUP($U78,'坦克涂装-作废'!$B$23:$I$99,MATCH(X$6,'坦克涂装-作废'!$B$23:$I$23,0),FALSE)</f>
        <v>贴花</v>
      </c>
      <c r="Y78" s="256" t="str">
        <f>VLOOKUP($U78,'坦克涂装-作废'!$B$23:$I$99,MATCH(Y$6,'坦克涂装-作废'!$B$23:$I$23,0),FALSE)</f>
        <v>半月</v>
      </c>
      <c r="Z78" s="159">
        <f>VLOOKUP($U78,'坦克涂装-作废'!$B$23:$I$99,MATCH(Z$6,'坦克涂装-作废'!$B$23:$I$23,0),FALSE)</f>
        <v>886.00000000000023</v>
      </c>
      <c r="AA78" s="158"/>
      <c r="AB78" s="158"/>
      <c r="AC78" s="158"/>
      <c r="AD78" s="158"/>
      <c r="AE78" s="158"/>
      <c r="AF78" s="158"/>
      <c r="AG78" s="158"/>
      <c r="AH78" s="158"/>
      <c r="AI78" s="158"/>
    </row>
    <row r="79" spans="2:35" x14ac:dyDescent="0.35">
      <c r="B79" s="282">
        <v>56</v>
      </c>
      <c r="C79" s="257" t="s">
        <v>1111</v>
      </c>
      <c r="D79" s="273" t="s">
        <v>1220</v>
      </c>
      <c r="E79" s="273" t="s">
        <v>1233</v>
      </c>
      <c r="F79" s="53">
        <v>0.16666666666666666</v>
      </c>
      <c r="G79" s="388">
        <f t="shared" ref="G79:G99" si="6">VLOOKUP($C79,$B$9:$G$20,MATCH($D79,$B$9:$G$9,0),FALSE)*F79</f>
        <v>1660.7999999999997</v>
      </c>
      <c r="H79" s="53">
        <v>0.05</v>
      </c>
      <c r="I79" s="369">
        <f t="shared" si="0"/>
        <v>85</v>
      </c>
      <c r="J79" s="274">
        <f t="shared" si="1"/>
        <v>1600</v>
      </c>
      <c r="K79" s="274">
        <f t="shared" si="2"/>
        <v>0.16056518946692358</v>
      </c>
      <c r="L79" s="274">
        <f t="shared" si="3"/>
        <v>40</v>
      </c>
      <c r="M79" s="274">
        <f t="shared" si="4"/>
        <v>2.408477842003854E-2</v>
      </c>
      <c r="T79" s="256" t="str">
        <f>W79&amp;V79&amp;LEFT(道具价值!R1060)&amp;LEFT(X79,1)&amp;LEFT(Y79,1)</f>
        <v>T4低轻贴永</v>
      </c>
      <c r="U79" s="256">
        <f>IF(V78="重",U78+1,U78)</f>
        <v>25</v>
      </c>
      <c r="V79" s="256" t="str">
        <f>V76</f>
        <v>轻</v>
      </c>
      <c r="W79" s="256" t="str">
        <f>VLOOKUP($U79,'坦克涂装-作废'!$B$23:$I$99,MATCH(W$6,'坦克涂装-作废'!$B$23:$I$23,0),FALSE)</f>
        <v>T4低</v>
      </c>
      <c r="X79" s="256" t="str">
        <f>VLOOKUP($U79,'坦克涂装-作废'!$B$23:$I$99,MATCH(X$6,'坦克涂装-作废'!$B$23:$I$23,0),FALSE)</f>
        <v>贴花</v>
      </c>
      <c r="Y79" s="256" t="str">
        <f>VLOOKUP($U79,'坦克涂装-作废'!$B$23:$I$99,MATCH(Y$6,'坦克涂装-作废'!$B$23:$I$23,0),FALSE)</f>
        <v>永久</v>
      </c>
      <c r="Z79" s="159">
        <f>VLOOKUP($U79,'坦克涂装-作废'!$B$23:$I$99,MATCH(Z$6,'坦克涂装-作废'!$B$23:$I$23,0),FALSE)</f>
        <v>2835.2000000000012</v>
      </c>
      <c r="AA79" s="158"/>
      <c r="AB79" s="158"/>
      <c r="AC79" s="158"/>
      <c r="AD79" s="158"/>
      <c r="AE79" s="158"/>
      <c r="AF79" s="158"/>
      <c r="AG79" s="158"/>
      <c r="AH79" s="158"/>
      <c r="AI79" s="158"/>
    </row>
    <row r="80" spans="2:35" x14ac:dyDescent="0.35">
      <c r="B80" s="282">
        <v>57</v>
      </c>
      <c r="C80" s="257" t="s">
        <v>1111</v>
      </c>
      <c r="D80" s="273" t="s">
        <v>1220</v>
      </c>
      <c r="E80" s="273" t="s">
        <v>1232</v>
      </c>
      <c r="F80" s="53">
        <v>0.33333333333333331</v>
      </c>
      <c r="G80" s="388">
        <f t="shared" si="6"/>
        <v>3321.5999999999995</v>
      </c>
      <c r="H80" s="53">
        <v>3.5000000000000003E-2</v>
      </c>
      <c r="I80" s="369">
        <f t="shared" si="0"/>
        <v>115</v>
      </c>
      <c r="J80" s="274">
        <f t="shared" si="1"/>
        <v>3200</v>
      </c>
      <c r="K80" s="274">
        <f t="shared" si="2"/>
        <v>0.32113037893384716</v>
      </c>
      <c r="L80" s="274">
        <f t="shared" si="3"/>
        <v>60</v>
      </c>
      <c r="M80" s="274">
        <f t="shared" si="4"/>
        <v>1.8063583815028903E-2</v>
      </c>
      <c r="T80" s="256" t="str">
        <f>W80&amp;V80&amp;LEFT(道具价值!R1061)&amp;LEFT(X80,1)&amp;LEFT(Y80,1)</f>
        <v>T4低中贴永</v>
      </c>
      <c r="U80" s="256">
        <f>IF(V79="重",U79+1,U79)</f>
        <v>25</v>
      </c>
      <c r="V80" s="256" t="str">
        <f>V77</f>
        <v>中</v>
      </c>
      <c r="W80" s="256" t="str">
        <f>VLOOKUP($U80,'坦克涂装-作废'!$B$23:$I$99,MATCH(W$6,'坦克涂装-作废'!$B$23:$I$23,0),FALSE)</f>
        <v>T4低</v>
      </c>
      <c r="X80" s="256" t="str">
        <f>VLOOKUP($U80,'坦克涂装-作废'!$B$23:$I$99,MATCH(X$6,'坦克涂装-作废'!$B$23:$I$23,0),FALSE)</f>
        <v>贴花</v>
      </c>
      <c r="Y80" s="256" t="str">
        <f>VLOOKUP($U80,'坦克涂装-作废'!$B$23:$I$99,MATCH(Y$6,'坦克涂装-作废'!$B$23:$I$23,0),FALSE)</f>
        <v>永久</v>
      </c>
      <c r="Z80" s="159">
        <f>VLOOKUP($U80,'坦克涂装-作废'!$B$23:$I$99,MATCH(Z$6,'坦克涂装-作废'!$B$23:$I$23,0),FALSE)</f>
        <v>2835.2000000000012</v>
      </c>
      <c r="AA80" s="158"/>
      <c r="AB80" s="158"/>
      <c r="AC80" s="158"/>
      <c r="AD80" s="158"/>
      <c r="AE80" s="158"/>
      <c r="AF80" s="158"/>
      <c r="AG80" s="158"/>
      <c r="AH80" s="158"/>
      <c r="AI80" s="158"/>
    </row>
    <row r="81" spans="2:35" x14ac:dyDescent="0.35">
      <c r="B81" s="282">
        <v>58</v>
      </c>
      <c r="C81" s="257" t="s">
        <v>1111</v>
      </c>
      <c r="D81" s="273" t="s">
        <v>1220</v>
      </c>
      <c r="E81" s="273" t="s">
        <v>1231</v>
      </c>
      <c r="F81" s="53">
        <v>1.1250000000000002</v>
      </c>
      <c r="G81" s="388">
        <f t="shared" si="6"/>
        <v>11210.400000000001</v>
      </c>
      <c r="H81" s="53">
        <v>1.8518518518518514E-2</v>
      </c>
      <c r="I81" s="369">
        <f t="shared" si="0"/>
        <v>210</v>
      </c>
      <c r="J81" s="274">
        <f t="shared" si="1"/>
        <v>11200</v>
      </c>
      <c r="K81" s="274">
        <f t="shared" si="2"/>
        <v>1.1239563262684651</v>
      </c>
      <c r="L81" s="274">
        <f t="shared" si="3"/>
        <v>105</v>
      </c>
      <c r="M81" s="274">
        <f t="shared" si="4"/>
        <v>9.3663027189038739E-3</v>
      </c>
      <c r="T81" s="256" t="str">
        <f>W81&amp;V81&amp;LEFT(道具价值!R1062)&amp;LEFT(X81,1)&amp;LEFT(Y81,1)</f>
        <v>T4低重贴永</v>
      </c>
      <c r="U81" s="256">
        <f>IF(V80="重",U80+1,U80)</f>
        <v>25</v>
      </c>
      <c r="V81" s="256" t="str">
        <f>V78</f>
        <v>重</v>
      </c>
      <c r="W81" s="256" t="str">
        <f>VLOOKUP($U81,'坦克涂装-作废'!$B$23:$I$99,MATCH(W$6,'坦克涂装-作废'!$B$23:$I$23,0),FALSE)</f>
        <v>T4低</v>
      </c>
      <c r="X81" s="256" t="str">
        <f>VLOOKUP($U81,'坦克涂装-作废'!$B$23:$I$99,MATCH(X$6,'坦克涂装-作废'!$B$23:$I$23,0),FALSE)</f>
        <v>贴花</v>
      </c>
      <c r="Y81" s="256" t="str">
        <f>VLOOKUP($U81,'坦克涂装-作废'!$B$23:$I$99,MATCH(Y$6,'坦克涂装-作废'!$B$23:$I$23,0),FALSE)</f>
        <v>永久</v>
      </c>
      <c r="Z81" s="159">
        <f>VLOOKUP($U81,'坦克涂装-作废'!$B$23:$I$99,MATCH(Z$6,'坦克涂装-作废'!$B$23:$I$23,0),FALSE)</f>
        <v>2835.2000000000012</v>
      </c>
      <c r="AA81" s="158"/>
      <c r="AB81" s="158"/>
      <c r="AC81" s="158"/>
      <c r="AD81" s="158"/>
      <c r="AE81" s="158"/>
      <c r="AF81" s="158"/>
      <c r="AG81" s="158"/>
      <c r="AH81" s="158"/>
      <c r="AI81" s="158"/>
    </row>
    <row r="82" spans="2:35" x14ac:dyDescent="0.35">
      <c r="B82" s="282">
        <v>59</v>
      </c>
      <c r="C82" s="257" t="s">
        <v>1112</v>
      </c>
      <c r="D82" s="273" t="s">
        <v>1218</v>
      </c>
      <c r="E82" s="273" t="s">
        <v>1233</v>
      </c>
      <c r="F82" s="53">
        <v>0.15037593984962405</v>
      </c>
      <c r="G82" s="388">
        <f t="shared" si="6"/>
        <v>973.89473684210543</v>
      </c>
      <c r="H82" s="53">
        <v>7.0000000000000007E-2</v>
      </c>
      <c r="I82" s="369">
        <f t="shared" si="0"/>
        <v>70</v>
      </c>
      <c r="J82" s="274">
        <f t="shared" si="1"/>
        <v>1000</v>
      </c>
      <c r="K82" s="274">
        <f t="shared" si="2"/>
        <v>0.15440676919276139</v>
      </c>
      <c r="L82" s="274">
        <f t="shared" si="3"/>
        <v>32</v>
      </c>
      <c r="M82" s="274">
        <f t="shared" si="4"/>
        <v>3.2857760484219622E-2</v>
      </c>
      <c r="T82" s="256" t="str">
        <f>W82&amp;V82&amp;LEFT(道具价值!R1063)&amp;LEFT(X82,1)&amp;LEFT(Y82,1)</f>
        <v>T4低轻图三</v>
      </c>
      <c r="U82" s="256">
        <f>IF(V81="重",U81+1,U81)</f>
        <v>26</v>
      </c>
      <c r="V82" s="256" t="str">
        <f>V79</f>
        <v>轻</v>
      </c>
      <c r="W82" s="256" t="str">
        <f>VLOOKUP($U82,'坦克涂装-作废'!$B$23:$I$99,MATCH(W$6,'坦克涂装-作废'!$B$23:$I$23,0),FALSE)</f>
        <v>T4低</v>
      </c>
      <c r="X82" s="256" t="str">
        <f>VLOOKUP($U82,'坦克涂装-作废'!$B$23:$I$99,MATCH(X$6,'坦克涂装-作废'!$B$23:$I$23,0),FALSE)</f>
        <v>图案</v>
      </c>
      <c r="Y82" s="256" t="str">
        <f>VLOOKUP($U82,'坦克涂装-作废'!$B$23:$I$99,MATCH(Y$6,'坦克涂装-作废'!$B$23:$I$23,0),FALSE)</f>
        <v>三天</v>
      </c>
      <c r="Z82" s="159">
        <f>VLOOKUP($U82,'坦克涂装-作废'!$B$23:$I$99,MATCH(Z$6,'坦克涂装-作废'!$B$23:$I$23,0),FALSE)</f>
        <v>886.00000000000023</v>
      </c>
      <c r="AA82" s="158"/>
      <c r="AB82" s="158"/>
      <c r="AC82" s="158"/>
      <c r="AD82" s="158"/>
      <c r="AE82" s="158"/>
      <c r="AF82" s="158"/>
      <c r="AG82" s="158"/>
      <c r="AH82" s="158"/>
      <c r="AI82" s="158"/>
    </row>
    <row r="83" spans="2:35" x14ac:dyDescent="0.35">
      <c r="B83" s="282">
        <v>60</v>
      </c>
      <c r="C83" s="257" t="s">
        <v>1112</v>
      </c>
      <c r="D83" s="273" t="s">
        <v>1218</v>
      </c>
      <c r="E83" s="273" t="s">
        <v>1232</v>
      </c>
      <c r="F83" s="53">
        <v>0.33834586466165412</v>
      </c>
      <c r="G83" s="388">
        <f t="shared" si="6"/>
        <v>2191.2631578947371</v>
      </c>
      <c r="H83" s="53">
        <v>4.8888888888888891E-2</v>
      </c>
      <c r="I83" s="369">
        <f t="shared" si="0"/>
        <v>105</v>
      </c>
      <c r="J83" s="274">
        <f t="shared" si="1"/>
        <v>2100</v>
      </c>
      <c r="K83" s="274">
        <f t="shared" si="2"/>
        <v>0.32425421530479892</v>
      </c>
      <c r="L83" s="274">
        <f t="shared" si="3"/>
        <v>46</v>
      </c>
      <c r="M83" s="274">
        <f t="shared" si="4"/>
        <v>2.0992458087140314E-2</v>
      </c>
      <c r="T83" s="256" t="str">
        <f>W83&amp;V83&amp;LEFT(道具价值!R1064)&amp;LEFT(X83,1)&amp;LEFT(Y83,1)</f>
        <v>T4低中图三</v>
      </c>
      <c r="U83" s="256">
        <f>IF(V82="重",U82+1,U82)</f>
        <v>26</v>
      </c>
      <c r="V83" s="256" t="str">
        <f>V80</f>
        <v>中</v>
      </c>
      <c r="W83" s="256" t="str">
        <f>VLOOKUP($U83,'坦克涂装-作废'!$B$23:$I$99,MATCH(W$6,'坦克涂装-作废'!$B$23:$I$23,0),FALSE)</f>
        <v>T4低</v>
      </c>
      <c r="X83" s="256" t="str">
        <f>VLOOKUP($U83,'坦克涂装-作废'!$B$23:$I$99,MATCH(X$6,'坦克涂装-作废'!$B$23:$I$23,0),FALSE)</f>
        <v>图案</v>
      </c>
      <c r="Y83" s="256" t="str">
        <f>VLOOKUP($U83,'坦克涂装-作废'!$B$23:$I$99,MATCH(Y$6,'坦克涂装-作废'!$B$23:$I$23,0),FALSE)</f>
        <v>三天</v>
      </c>
      <c r="Z83" s="159">
        <f>VLOOKUP($U83,'坦克涂装-作废'!$B$23:$I$99,MATCH(Z$6,'坦克涂装-作废'!$B$23:$I$23,0),FALSE)</f>
        <v>886.00000000000023</v>
      </c>
      <c r="AA83" s="158"/>
      <c r="AB83" s="158"/>
      <c r="AC83" s="158"/>
      <c r="AD83" s="158"/>
      <c r="AE83" s="158"/>
      <c r="AF83" s="158"/>
      <c r="AG83" s="158"/>
      <c r="AH83" s="158"/>
      <c r="AI83" s="158"/>
    </row>
    <row r="84" spans="2:35" x14ac:dyDescent="0.35">
      <c r="B84" s="282">
        <v>61</v>
      </c>
      <c r="C84" s="257" t="s">
        <v>1112</v>
      </c>
      <c r="D84" s="273" t="s">
        <v>1218</v>
      </c>
      <c r="E84" s="273" t="s">
        <v>1231</v>
      </c>
      <c r="F84" s="53">
        <v>1.0526315789473684</v>
      </c>
      <c r="G84" s="388">
        <f t="shared" si="6"/>
        <v>6817.2631578947376</v>
      </c>
      <c r="H84" s="53">
        <v>2.7142857142857142E-2</v>
      </c>
      <c r="I84" s="369">
        <f t="shared" si="0"/>
        <v>185</v>
      </c>
      <c r="J84" s="274">
        <f t="shared" si="1"/>
        <v>7000</v>
      </c>
      <c r="K84" s="274">
        <f t="shared" si="2"/>
        <v>1.0808473843493298</v>
      </c>
      <c r="L84" s="274">
        <f t="shared" si="3"/>
        <v>85</v>
      </c>
      <c r="M84" s="274">
        <f t="shared" si="4"/>
        <v>1.2468346612315483E-2</v>
      </c>
      <c r="T84" s="256" t="str">
        <f>W84&amp;V84&amp;LEFT(道具价值!R1065)&amp;LEFT(X84,1)&amp;LEFT(Y84,1)</f>
        <v>T4低重图三</v>
      </c>
      <c r="U84" s="256">
        <f>IF(V83="重",U83+1,U83)</f>
        <v>26</v>
      </c>
      <c r="V84" s="256" t="str">
        <f>V81</f>
        <v>重</v>
      </c>
      <c r="W84" s="256" t="str">
        <f>VLOOKUP($U84,'坦克涂装-作废'!$B$23:$I$99,MATCH(W$6,'坦克涂装-作废'!$B$23:$I$23,0),FALSE)</f>
        <v>T4低</v>
      </c>
      <c r="X84" s="256" t="str">
        <f>VLOOKUP($U84,'坦克涂装-作废'!$B$23:$I$99,MATCH(X$6,'坦克涂装-作废'!$B$23:$I$23,0),FALSE)</f>
        <v>图案</v>
      </c>
      <c r="Y84" s="256" t="str">
        <f>VLOOKUP($U84,'坦克涂装-作废'!$B$23:$I$99,MATCH(Y$6,'坦克涂装-作废'!$B$23:$I$23,0),FALSE)</f>
        <v>三天</v>
      </c>
      <c r="Z84" s="159">
        <f>VLOOKUP($U84,'坦克涂装-作废'!$B$23:$I$99,MATCH(Z$6,'坦克涂装-作废'!$B$23:$I$23,0),FALSE)</f>
        <v>886.00000000000023</v>
      </c>
      <c r="AA84" s="158"/>
      <c r="AB84" s="158"/>
      <c r="AC84" s="158"/>
      <c r="AD84" s="158"/>
      <c r="AE84" s="158"/>
      <c r="AF84" s="158"/>
      <c r="AG84" s="158"/>
      <c r="AH84" s="158"/>
      <c r="AI84" s="158"/>
    </row>
    <row r="85" spans="2:35" x14ac:dyDescent="0.35">
      <c r="B85" s="282">
        <v>62</v>
      </c>
      <c r="C85" s="257" t="s">
        <v>1112</v>
      </c>
      <c r="D85" s="273" t="s">
        <v>1219</v>
      </c>
      <c r="E85" s="273" t="s">
        <v>1233</v>
      </c>
      <c r="F85" s="53">
        <v>0.16917293233082706</v>
      </c>
      <c r="G85" s="388">
        <f t="shared" si="6"/>
        <v>2191.2631578947371</v>
      </c>
      <c r="H85" s="53">
        <v>4.8888888888888891E-2</v>
      </c>
      <c r="I85" s="369">
        <f t="shared" si="0"/>
        <v>105</v>
      </c>
      <c r="J85" s="274">
        <f t="shared" si="1"/>
        <v>2100</v>
      </c>
      <c r="K85" s="274">
        <f t="shared" si="2"/>
        <v>0.16212710765239946</v>
      </c>
      <c r="L85" s="274">
        <f t="shared" si="3"/>
        <v>46</v>
      </c>
      <c r="M85" s="274">
        <f t="shared" si="4"/>
        <v>2.0992458087140314E-2</v>
      </c>
      <c r="T85" s="256" t="str">
        <f>W85&amp;V85&amp;LEFT(道具价值!R1066)&amp;LEFT(X85,1)&amp;LEFT(Y85,1)</f>
        <v>T4低轻图半</v>
      </c>
      <c r="U85" s="256">
        <f>IF(V84="重",U84+1,U84)</f>
        <v>27</v>
      </c>
      <c r="V85" s="256" t="str">
        <f>V82</f>
        <v>轻</v>
      </c>
      <c r="W85" s="256" t="str">
        <f>VLOOKUP($U85,'坦克涂装-作废'!$B$23:$I$99,MATCH(W$6,'坦克涂装-作废'!$B$23:$I$23,0),FALSE)</f>
        <v>T4低</v>
      </c>
      <c r="X85" s="256" t="str">
        <f>VLOOKUP($U85,'坦克涂装-作废'!$B$23:$I$99,MATCH(X$6,'坦克涂装-作废'!$B$23:$I$23,0),FALSE)</f>
        <v>图案</v>
      </c>
      <c r="Y85" s="256" t="str">
        <f>VLOOKUP($U85,'坦克涂装-作废'!$B$23:$I$99,MATCH(Y$6,'坦克涂装-作废'!$B$23:$I$23,0),FALSE)</f>
        <v>半月</v>
      </c>
      <c r="Z85" s="159">
        <f>VLOOKUP($U85,'坦克涂装-作废'!$B$23:$I$99,MATCH(Z$6,'坦克涂装-作废'!$B$23:$I$23,0),FALSE)</f>
        <v>1772.0000000000005</v>
      </c>
      <c r="AA85" s="158"/>
      <c r="AB85" s="158"/>
      <c r="AC85" s="158"/>
      <c r="AD85" s="158"/>
      <c r="AE85" s="158"/>
      <c r="AF85" s="158"/>
      <c r="AG85" s="158"/>
      <c r="AH85" s="158"/>
      <c r="AI85" s="158"/>
    </row>
    <row r="86" spans="2:35" x14ac:dyDescent="0.35">
      <c r="B86" s="282">
        <v>63</v>
      </c>
      <c r="C86" s="257" t="s">
        <v>1112</v>
      </c>
      <c r="D86" s="273" t="s">
        <v>1219</v>
      </c>
      <c r="E86" s="273" t="s">
        <v>1232</v>
      </c>
      <c r="F86" s="53">
        <v>0.3007518796992481</v>
      </c>
      <c r="G86" s="388">
        <f t="shared" si="6"/>
        <v>3895.5789473684217</v>
      </c>
      <c r="H86" s="53">
        <v>3.5000000000000003E-2</v>
      </c>
      <c r="I86" s="369">
        <f t="shared" si="0"/>
        <v>135</v>
      </c>
      <c r="J86" s="274">
        <f t="shared" si="1"/>
        <v>4000</v>
      </c>
      <c r="K86" s="274">
        <f t="shared" si="2"/>
        <v>0.30881353838552278</v>
      </c>
      <c r="L86" s="274">
        <f t="shared" si="3"/>
        <v>60</v>
      </c>
      <c r="M86" s="274">
        <f t="shared" si="4"/>
        <v>1.5402075226977948E-2</v>
      </c>
      <c r="T86" s="256" t="str">
        <f>W86&amp;V86&amp;LEFT(道具价值!R1067)&amp;LEFT(X86,1)&amp;LEFT(Y86,1)</f>
        <v>T4低中图半</v>
      </c>
      <c r="U86" s="256">
        <f>IF(V85="重",U85+1,U85)</f>
        <v>27</v>
      </c>
      <c r="V86" s="256" t="str">
        <f>V83</f>
        <v>中</v>
      </c>
      <c r="W86" s="256" t="str">
        <f>VLOOKUP($U86,'坦克涂装-作废'!$B$23:$I$99,MATCH(W$6,'坦克涂装-作废'!$B$23:$I$23,0),FALSE)</f>
        <v>T4低</v>
      </c>
      <c r="X86" s="256" t="str">
        <f>VLOOKUP($U86,'坦克涂装-作废'!$B$23:$I$99,MATCH(X$6,'坦克涂装-作废'!$B$23:$I$23,0),FALSE)</f>
        <v>图案</v>
      </c>
      <c r="Y86" s="256" t="str">
        <f>VLOOKUP($U86,'坦克涂装-作废'!$B$23:$I$99,MATCH(Y$6,'坦克涂装-作废'!$B$23:$I$23,0),FALSE)</f>
        <v>半月</v>
      </c>
      <c r="Z86" s="159">
        <f>VLOOKUP($U86,'坦克涂装-作废'!$B$23:$I$99,MATCH(Z$6,'坦克涂装-作废'!$B$23:$I$23,0),FALSE)</f>
        <v>1772.0000000000005</v>
      </c>
      <c r="AA86" s="158"/>
      <c r="AB86" s="158"/>
      <c r="AC86" s="158"/>
      <c r="AD86" s="158"/>
      <c r="AE86" s="158"/>
      <c r="AF86" s="158"/>
      <c r="AG86" s="158"/>
      <c r="AH86" s="158"/>
      <c r="AI86" s="158"/>
    </row>
    <row r="87" spans="2:35" x14ac:dyDescent="0.35">
      <c r="B87" s="282">
        <v>64</v>
      </c>
      <c r="C87" s="257" t="s">
        <v>1112</v>
      </c>
      <c r="D87" s="273" t="s">
        <v>1219</v>
      </c>
      <c r="E87" s="273" t="s">
        <v>1231</v>
      </c>
      <c r="F87" s="53">
        <v>0.90225563909774442</v>
      </c>
      <c r="G87" s="388">
        <f t="shared" si="6"/>
        <v>11686.736842105267</v>
      </c>
      <c r="H87" s="53">
        <v>0.02</v>
      </c>
      <c r="I87" s="369">
        <f t="shared" si="0"/>
        <v>235</v>
      </c>
      <c r="J87" s="274">
        <f t="shared" si="1"/>
        <v>11900</v>
      </c>
      <c r="K87" s="274">
        <f t="shared" si="2"/>
        <v>0.91872027669693013</v>
      </c>
      <c r="L87" s="274">
        <f t="shared" si="3"/>
        <v>110</v>
      </c>
      <c r="M87" s="274">
        <f t="shared" si="4"/>
        <v>9.412379305375411E-3</v>
      </c>
      <c r="T87" s="256" t="str">
        <f>W87&amp;V87&amp;LEFT(道具价值!R1068)&amp;LEFT(X87,1)&amp;LEFT(Y87,1)</f>
        <v>T4低重图半</v>
      </c>
      <c r="U87" s="256">
        <f>IF(V86="重",U86+1,U86)</f>
        <v>27</v>
      </c>
      <c r="V87" s="256" t="str">
        <f>V84</f>
        <v>重</v>
      </c>
      <c r="W87" s="256" t="str">
        <f>VLOOKUP($U87,'坦克涂装-作废'!$B$23:$I$99,MATCH(W$6,'坦克涂装-作废'!$B$23:$I$23,0),FALSE)</f>
        <v>T4低</v>
      </c>
      <c r="X87" s="256" t="str">
        <f>VLOOKUP($U87,'坦克涂装-作废'!$B$23:$I$99,MATCH(X$6,'坦克涂装-作废'!$B$23:$I$23,0),FALSE)</f>
        <v>图案</v>
      </c>
      <c r="Y87" s="256" t="str">
        <f>VLOOKUP($U87,'坦克涂装-作废'!$B$23:$I$99,MATCH(Y$6,'坦克涂装-作废'!$B$23:$I$23,0),FALSE)</f>
        <v>半月</v>
      </c>
      <c r="Z87" s="159">
        <f>VLOOKUP($U87,'坦克涂装-作废'!$B$23:$I$99,MATCH(Z$6,'坦克涂装-作废'!$B$23:$I$23,0),FALSE)</f>
        <v>1772.0000000000005</v>
      </c>
      <c r="AA87" s="158"/>
      <c r="AB87" s="158"/>
      <c r="AC87" s="158"/>
      <c r="AD87" s="158"/>
      <c r="AE87" s="158"/>
      <c r="AF87" s="158"/>
      <c r="AG87" s="158"/>
      <c r="AH87" s="158"/>
      <c r="AI87" s="158"/>
    </row>
    <row r="88" spans="2:35" x14ac:dyDescent="0.35">
      <c r="B88" s="282">
        <v>65</v>
      </c>
      <c r="C88" s="257" t="s">
        <v>1112</v>
      </c>
      <c r="D88" s="273" t="s">
        <v>1220</v>
      </c>
      <c r="E88" s="273" t="s">
        <v>1233</v>
      </c>
      <c r="F88" s="53">
        <v>0.15037593984962405</v>
      </c>
      <c r="G88" s="388">
        <f t="shared" si="6"/>
        <v>2921.6842105263163</v>
      </c>
      <c r="H88" s="53">
        <v>0.04</v>
      </c>
      <c r="I88" s="369">
        <f t="shared" si="0"/>
        <v>115</v>
      </c>
      <c r="J88" s="274">
        <f t="shared" si="1"/>
        <v>3000</v>
      </c>
      <c r="K88" s="274">
        <f t="shared" si="2"/>
        <v>0.15440676919276139</v>
      </c>
      <c r="L88" s="274">
        <f t="shared" si="3"/>
        <v>55</v>
      </c>
      <c r="M88" s="274">
        <f t="shared" si="4"/>
        <v>1.8824758610750825E-2</v>
      </c>
      <c r="T88" s="256" t="str">
        <f>W88&amp;V88&amp;LEFT(道具价值!R1069)&amp;LEFT(X88,1)&amp;LEFT(Y88,1)</f>
        <v>T4低轻图永</v>
      </c>
      <c r="U88" s="256">
        <f>IF(V87="重",U87+1,U87)</f>
        <v>28</v>
      </c>
      <c r="V88" s="256" t="str">
        <f>V85</f>
        <v>轻</v>
      </c>
      <c r="W88" s="256" t="str">
        <f>VLOOKUP($U88,'坦克涂装-作废'!$B$23:$I$99,MATCH(W$6,'坦克涂装-作废'!$B$23:$I$23,0),FALSE)</f>
        <v>T4低</v>
      </c>
      <c r="X88" s="256" t="str">
        <f>VLOOKUP($U88,'坦克涂装-作废'!$B$23:$I$99,MATCH(X$6,'坦克涂装-作废'!$B$23:$I$23,0),FALSE)</f>
        <v>图案</v>
      </c>
      <c r="Y88" s="256" t="str">
        <f>VLOOKUP($U88,'坦克涂装-作废'!$B$23:$I$99,MATCH(Y$6,'坦克涂装-作废'!$B$23:$I$23,0),FALSE)</f>
        <v>永久</v>
      </c>
      <c r="Z88" s="159">
        <f>VLOOKUP($U88,'坦克涂装-作废'!$B$23:$I$99,MATCH(Z$6,'坦克涂装-作废'!$B$23:$I$23,0),FALSE)</f>
        <v>5670.4000000000015</v>
      </c>
      <c r="AA88" s="158"/>
      <c r="AB88" s="158"/>
      <c r="AC88" s="158"/>
      <c r="AD88" s="158"/>
      <c r="AE88" s="158"/>
      <c r="AF88" s="158"/>
      <c r="AG88" s="158"/>
      <c r="AH88" s="158"/>
      <c r="AI88" s="158"/>
    </row>
    <row r="89" spans="2:35" x14ac:dyDescent="0.35">
      <c r="B89" s="282">
        <v>66</v>
      </c>
      <c r="C89" s="257" t="s">
        <v>1112</v>
      </c>
      <c r="D89" s="273" t="s">
        <v>1220</v>
      </c>
      <c r="E89" s="273" t="s">
        <v>1232</v>
      </c>
      <c r="F89" s="53">
        <v>0.3007518796992481</v>
      </c>
      <c r="G89" s="388">
        <f t="shared" si="6"/>
        <v>5843.3684210526326</v>
      </c>
      <c r="H89" s="53">
        <v>2.8333333333333332E-2</v>
      </c>
      <c r="I89" s="369">
        <f t="shared" ref="I89:I99" si="7">IF(G89*H89&gt;50,ROUND(G89*H89/5,0)*5,ROUND(G89*H89/2,0)*2)</f>
        <v>165</v>
      </c>
      <c r="J89" s="274">
        <f t="shared" ref="J89:J99" si="8">IF(G89&lt;50,ROUND(G89/5,0)*5,IF(G89&lt;100,ROUND(G89/10,0)*10,IF(G89&lt;200,ROUND(G89/20,0)*20,IF(G89&lt;500,ROUND(G89/50,0)*50,IF(G89&lt;1000,ROUND(G89/100,0)*100,IF(G89&lt;2000,ROUND(G89/200,0)*200,IF(G89&lt;3000,ROUND(G89/300,0)*300,IF(G89&lt;4000,ROUND(G89/400,0)*400,IF(G89&lt;5000,ROUND(G89/500,0)*500,IF(G89&lt;6000,ROUND(G89/600,0)*600,ROUND(G89/700,0)*700))))))))))</f>
        <v>6000</v>
      </c>
      <c r="K89" s="274">
        <f t="shared" ref="K89:K99" si="9">J89/G89*F89</f>
        <v>0.30881353838552278</v>
      </c>
      <c r="L89" s="274">
        <f t="shared" ref="L89:L99" si="10">IF(POWER(G89,MID(C89,2,1)*1/(MID(C89,2,1)*1+5))&gt;50,ROUND(POWER(G89,MID(C89,2,1)*1/(MID(C89,2,1)*1+5))/5,0)*5,ROUND(POWER(G89,MID(C89,2,1)*1/(MID(C89,2,1)*1+5))/2,0)*2)</f>
        <v>75</v>
      </c>
      <c r="M89" s="274">
        <f t="shared" ref="M89:M99" si="11">L89/G89</f>
        <v>1.283506268914829E-2</v>
      </c>
      <c r="T89" s="256" t="str">
        <f>W89&amp;V89&amp;LEFT(道具价值!R1070)&amp;LEFT(X89,1)&amp;LEFT(Y89,1)</f>
        <v>T4低中图永</v>
      </c>
      <c r="U89" s="256">
        <f>IF(V88="重",U88+1,U88)</f>
        <v>28</v>
      </c>
      <c r="V89" s="256" t="str">
        <f>V86</f>
        <v>中</v>
      </c>
      <c r="W89" s="256" t="str">
        <f>VLOOKUP($U89,'坦克涂装-作废'!$B$23:$I$99,MATCH(W$6,'坦克涂装-作废'!$B$23:$I$23,0),FALSE)</f>
        <v>T4低</v>
      </c>
      <c r="X89" s="256" t="str">
        <f>VLOOKUP($U89,'坦克涂装-作废'!$B$23:$I$99,MATCH(X$6,'坦克涂装-作废'!$B$23:$I$23,0),FALSE)</f>
        <v>图案</v>
      </c>
      <c r="Y89" s="256" t="str">
        <f>VLOOKUP($U89,'坦克涂装-作废'!$B$23:$I$99,MATCH(Y$6,'坦克涂装-作废'!$B$23:$I$23,0),FALSE)</f>
        <v>永久</v>
      </c>
      <c r="Z89" s="159">
        <f>VLOOKUP($U89,'坦克涂装-作废'!$B$23:$I$99,MATCH(Z$6,'坦克涂装-作废'!$B$23:$I$23,0),FALSE)</f>
        <v>5670.4000000000015</v>
      </c>
      <c r="AA89" s="158"/>
      <c r="AB89" s="158"/>
      <c r="AC89" s="158"/>
      <c r="AD89" s="158"/>
      <c r="AE89" s="158"/>
      <c r="AF89" s="158"/>
      <c r="AG89" s="158"/>
      <c r="AH89" s="158"/>
      <c r="AI89" s="158"/>
    </row>
    <row r="90" spans="2:35" x14ac:dyDescent="0.35">
      <c r="B90" s="282">
        <v>67</v>
      </c>
      <c r="C90" s="257" t="s">
        <v>1112</v>
      </c>
      <c r="D90" s="273" t="s">
        <v>1220</v>
      </c>
      <c r="E90" s="273" t="s">
        <v>1231</v>
      </c>
      <c r="F90" s="53">
        <v>1.0025062656641603</v>
      </c>
      <c r="G90" s="388">
        <f t="shared" si="6"/>
        <v>19477.894736842107</v>
      </c>
      <c r="H90" s="53">
        <v>1.6250000000000001E-2</v>
      </c>
      <c r="I90" s="369">
        <f t="shared" si="7"/>
        <v>315</v>
      </c>
      <c r="J90" s="274">
        <f t="shared" si="8"/>
        <v>19600</v>
      </c>
      <c r="K90" s="274">
        <f t="shared" si="9"/>
        <v>1.0087908920593744</v>
      </c>
      <c r="L90" s="274">
        <f t="shared" si="10"/>
        <v>140</v>
      </c>
      <c r="M90" s="274">
        <f t="shared" si="11"/>
        <v>7.1876351059230433E-3</v>
      </c>
      <c r="T90" s="256" t="str">
        <f>W90&amp;V90&amp;LEFT(道具价值!R1071)&amp;LEFT(X90,1)&amp;LEFT(Y90,1)</f>
        <v>T4低重图永</v>
      </c>
      <c r="U90" s="256">
        <f>IF(V89="重",U89+1,U89)</f>
        <v>28</v>
      </c>
      <c r="V90" s="256" t="str">
        <f>V87</f>
        <v>重</v>
      </c>
      <c r="W90" s="256" t="str">
        <f>VLOOKUP($U90,'坦克涂装-作废'!$B$23:$I$99,MATCH(W$6,'坦克涂装-作废'!$B$23:$I$23,0),FALSE)</f>
        <v>T4低</v>
      </c>
      <c r="X90" s="256" t="str">
        <f>VLOOKUP($U90,'坦克涂装-作废'!$B$23:$I$99,MATCH(X$6,'坦克涂装-作废'!$B$23:$I$23,0),FALSE)</f>
        <v>图案</v>
      </c>
      <c r="Y90" s="256" t="str">
        <f>VLOOKUP($U90,'坦克涂装-作废'!$B$23:$I$99,MATCH(Y$6,'坦克涂装-作废'!$B$23:$I$23,0),FALSE)</f>
        <v>永久</v>
      </c>
      <c r="Z90" s="159">
        <f>VLOOKUP($U90,'坦克涂装-作废'!$B$23:$I$99,MATCH(Z$6,'坦克涂装-作废'!$B$23:$I$23,0),FALSE)</f>
        <v>5670.4000000000015</v>
      </c>
      <c r="AA90" s="158"/>
      <c r="AB90" s="158"/>
      <c r="AC90" s="158"/>
      <c r="AD90" s="158"/>
      <c r="AE90" s="158"/>
      <c r="AF90" s="158"/>
      <c r="AG90" s="158"/>
      <c r="AH90" s="158"/>
      <c r="AI90" s="158"/>
    </row>
    <row r="91" spans="2:35" x14ac:dyDescent="0.35">
      <c r="B91" s="282">
        <v>68</v>
      </c>
      <c r="C91" s="257" t="s">
        <v>1113</v>
      </c>
      <c r="D91" s="273" t="s">
        <v>1218</v>
      </c>
      <c r="E91" s="273" t="s">
        <v>1233</v>
      </c>
      <c r="F91" s="53">
        <v>0.14619883040935674</v>
      </c>
      <c r="G91" s="388">
        <f t="shared" si="6"/>
        <v>1091.4035087719299</v>
      </c>
      <c r="H91" s="53">
        <v>6.4000000000000001E-2</v>
      </c>
      <c r="I91" s="369">
        <f t="shared" si="7"/>
        <v>70</v>
      </c>
      <c r="J91" s="274">
        <f t="shared" si="8"/>
        <v>1000</v>
      </c>
      <c r="K91" s="274">
        <f t="shared" si="9"/>
        <v>0.13395488399507047</v>
      </c>
      <c r="L91" s="274">
        <f t="shared" si="10"/>
        <v>34</v>
      </c>
      <c r="M91" s="274">
        <f t="shared" si="11"/>
        <v>3.1152547821893584E-2</v>
      </c>
      <c r="T91" s="256" t="str">
        <f>W91&amp;V91&amp;LEFT(道具价值!R1072)&amp;LEFT(X91,1)&amp;LEFT(Y91,1)</f>
        <v>T4低轻模三</v>
      </c>
      <c r="U91" s="256">
        <f>IF(V90="重",U90+1,U90)</f>
        <v>29</v>
      </c>
      <c r="V91" s="256" t="str">
        <f>V88</f>
        <v>轻</v>
      </c>
      <c r="W91" s="256" t="str">
        <f>VLOOKUP($U91,'坦克涂装-作废'!$B$23:$I$99,MATCH(W$6,'坦克涂装-作废'!$B$23:$I$23,0),FALSE)</f>
        <v>T4低</v>
      </c>
      <c r="X91" s="256" t="str">
        <f>VLOOKUP($U91,'坦克涂装-作废'!$B$23:$I$99,MATCH(X$6,'坦克涂装-作废'!$B$23:$I$23,0),FALSE)</f>
        <v>模型</v>
      </c>
      <c r="Y91" s="256" t="str">
        <f>VLOOKUP($U91,'坦克涂装-作废'!$B$23:$I$99,MATCH(Y$6,'坦克涂装-作废'!$B$23:$I$23,0),FALSE)</f>
        <v>三天</v>
      </c>
      <c r="Z91" s="159">
        <f>VLOOKUP($U91,'坦克涂装-作废'!$B$23:$I$99,MATCH(Z$6,'坦克涂装-作废'!$B$23:$I$23,0),FALSE)</f>
        <v>1417.6000000000006</v>
      </c>
      <c r="AA91" s="158"/>
      <c r="AB91" s="158"/>
      <c r="AC91" s="158"/>
      <c r="AD91" s="158"/>
      <c r="AE91" s="158"/>
      <c r="AF91" s="158"/>
      <c r="AG91" s="158"/>
      <c r="AH91" s="158"/>
      <c r="AI91" s="158"/>
    </row>
    <row r="92" spans="2:35" x14ac:dyDescent="0.35">
      <c r="B92" s="282">
        <v>69</v>
      </c>
      <c r="C92" s="257" t="s">
        <v>1113</v>
      </c>
      <c r="D92" s="273" t="s">
        <v>1218</v>
      </c>
      <c r="E92" s="273" t="s">
        <v>1232</v>
      </c>
      <c r="F92" s="53">
        <v>0.29239766081871349</v>
      </c>
      <c r="G92" s="388">
        <f t="shared" si="6"/>
        <v>2182.8070175438597</v>
      </c>
      <c r="H92" s="53">
        <v>4.3999999999999997E-2</v>
      </c>
      <c r="I92" s="369">
        <f t="shared" si="7"/>
        <v>95</v>
      </c>
      <c r="J92" s="274">
        <f t="shared" si="8"/>
        <v>2100</v>
      </c>
      <c r="K92" s="274">
        <f t="shared" si="9"/>
        <v>0.28130525638964798</v>
      </c>
      <c r="L92" s="274">
        <f t="shared" si="10"/>
        <v>46</v>
      </c>
      <c r="M92" s="274">
        <f t="shared" si="11"/>
        <v>2.1073782350104483E-2</v>
      </c>
      <c r="T92" s="256" t="str">
        <f>W92&amp;V92&amp;LEFT(道具价值!R1073)&amp;LEFT(X92,1)&amp;LEFT(Y92,1)</f>
        <v>T4低中模三</v>
      </c>
      <c r="U92" s="256">
        <f>IF(V91="重",U91+1,U91)</f>
        <v>29</v>
      </c>
      <c r="V92" s="256" t="str">
        <f>V89</f>
        <v>中</v>
      </c>
      <c r="W92" s="256" t="str">
        <f>VLOOKUP($U92,'坦克涂装-作废'!$B$23:$I$99,MATCH(W$6,'坦克涂装-作废'!$B$23:$I$23,0),FALSE)</f>
        <v>T4低</v>
      </c>
      <c r="X92" s="256" t="str">
        <f>VLOOKUP($U92,'坦克涂装-作废'!$B$23:$I$99,MATCH(X$6,'坦克涂装-作废'!$B$23:$I$23,0),FALSE)</f>
        <v>模型</v>
      </c>
      <c r="Y92" s="256" t="str">
        <f>VLOOKUP($U92,'坦克涂装-作废'!$B$23:$I$99,MATCH(Y$6,'坦克涂装-作废'!$B$23:$I$23,0),FALSE)</f>
        <v>三天</v>
      </c>
      <c r="Z92" s="159">
        <f>VLOOKUP($U92,'坦克涂装-作废'!$B$23:$I$99,MATCH(Z$6,'坦克涂装-作废'!$B$23:$I$23,0),FALSE)</f>
        <v>1417.6000000000006</v>
      </c>
      <c r="AA92" s="158"/>
      <c r="AB92" s="158"/>
      <c r="AC92" s="158"/>
      <c r="AD92" s="158"/>
      <c r="AE92" s="158"/>
      <c r="AF92" s="158"/>
      <c r="AG92" s="158"/>
      <c r="AH92" s="158"/>
      <c r="AI92" s="158"/>
    </row>
    <row r="93" spans="2:35" x14ac:dyDescent="0.35">
      <c r="B93" s="282">
        <v>70</v>
      </c>
      <c r="C93" s="257" t="s">
        <v>1113</v>
      </c>
      <c r="D93" s="273" t="s">
        <v>1218</v>
      </c>
      <c r="E93" s="273" t="s">
        <v>1231</v>
      </c>
      <c r="F93" s="53">
        <v>0.81871345029239773</v>
      </c>
      <c r="G93" s="388">
        <f t="shared" si="6"/>
        <v>6111.8596491228072</v>
      </c>
      <c r="H93" s="53">
        <v>2.7142857142857142E-2</v>
      </c>
      <c r="I93" s="369">
        <f t="shared" si="7"/>
        <v>165</v>
      </c>
      <c r="J93" s="274">
        <f t="shared" si="8"/>
        <v>6300</v>
      </c>
      <c r="K93" s="274">
        <f t="shared" si="9"/>
        <v>0.84391576916894395</v>
      </c>
      <c r="L93" s="274">
        <f t="shared" si="10"/>
        <v>80</v>
      </c>
      <c r="M93" s="274">
        <f t="shared" si="11"/>
        <v>1.3089305807518313E-2</v>
      </c>
      <c r="T93" s="256" t="str">
        <f>W93&amp;V93&amp;LEFT(道具价值!R1074)&amp;LEFT(X93,1)&amp;LEFT(Y93,1)</f>
        <v>T4低重模三</v>
      </c>
      <c r="U93" s="256">
        <f>IF(V92="重",U92+1,U92)</f>
        <v>29</v>
      </c>
      <c r="V93" s="256" t="str">
        <f>V90</f>
        <v>重</v>
      </c>
      <c r="W93" s="256" t="str">
        <f>VLOOKUP($U93,'坦克涂装-作废'!$B$23:$I$99,MATCH(W$6,'坦克涂装-作废'!$B$23:$I$23,0),FALSE)</f>
        <v>T4低</v>
      </c>
      <c r="X93" s="256" t="str">
        <f>VLOOKUP($U93,'坦克涂装-作废'!$B$23:$I$99,MATCH(X$6,'坦克涂装-作废'!$B$23:$I$23,0),FALSE)</f>
        <v>模型</v>
      </c>
      <c r="Y93" s="256" t="str">
        <f>VLOOKUP($U93,'坦克涂装-作废'!$B$23:$I$99,MATCH(Y$6,'坦克涂装-作废'!$B$23:$I$23,0),FALSE)</f>
        <v>三天</v>
      </c>
      <c r="Z93" s="159">
        <f>VLOOKUP($U93,'坦克涂装-作废'!$B$23:$I$99,MATCH(Z$6,'坦克涂装-作废'!$B$23:$I$23,0),FALSE)</f>
        <v>1417.6000000000006</v>
      </c>
      <c r="AA93" s="158"/>
      <c r="AB93" s="158"/>
      <c r="AC93" s="158"/>
      <c r="AD93" s="158"/>
      <c r="AE93" s="158"/>
      <c r="AF93" s="158"/>
      <c r="AG93" s="158"/>
      <c r="AH93" s="158"/>
      <c r="AI93" s="158"/>
    </row>
    <row r="94" spans="2:35" x14ac:dyDescent="0.35">
      <c r="B94" s="282">
        <v>71</v>
      </c>
      <c r="C94" s="257" t="s">
        <v>1113</v>
      </c>
      <c r="D94" s="273" t="s">
        <v>1219</v>
      </c>
      <c r="E94" s="273" t="s">
        <v>1233</v>
      </c>
      <c r="F94" s="53">
        <v>0.14619883040935674</v>
      </c>
      <c r="G94" s="388">
        <f t="shared" si="6"/>
        <v>2182.8070175438597</v>
      </c>
      <c r="H94" s="53">
        <v>4.3999999999999997E-2</v>
      </c>
      <c r="I94" s="369">
        <f t="shared" si="7"/>
        <v>95</v>
      </c>
      <c r="J94" s="274">
        <f t="shared" si="8"/>
        <v>2100</v>
      </c>
      <c r="K94" s="274">
        <f t="shared" si="9"/>
        <v>0.14065262819482399</v>
      </c>
      <c r="L94" s="274">
        <f t="shared" si="10"/>
        <v>46</v>
      </c>
      <c r="M94" s="274">
        <f t="shared" si="11"/>
        <v>2.1073782350104483E-2</v>
      </c>
      <c r="T94" s="256" t="str">
        <f>W94&amp;V94&amp;LEFT(道具价值!R1075)&amp;LEFT(X94,1)&amp;LEFT(Y94,1)</f>
        <v>T4低轻模半</v>
      </c>
      <c r="U94" s="256">
        <f>IF(V93="重",U93+1,U93)</f>
        <v>30</v>
      </c>
      <c r="V94" s="256" t="str">
        <f>V91</f>
        <v>轻</v>
      </c>
      <c r="W94" s="256" t="str">
        <f>VLOOKUP($U94,'坦克涂装-作废'!$B$23:$I$99,MATCH(W$6,'坦克涂装-作废'!$B$23:$I$23,0),FALSE)</f>
        <v>T4低</v>
      </c>
      <c r="X94" s="256" t="str">
        <f>VLOOKUP($U94,'坦克涂装-作废'!$B$23:$I$99,MATCH(X$6,'坦克涂装-作废'!$B$23:$I$23,0),FALSE)</f>
        <v>模型</v>
      </c>
      <c r="Y94" s="256" t="str">
        <f>VLOOKUP($U94,'坦克涂装-作废'!$B$23:$I$99,MATCH(Y$6,'坦克涂装-作废'!$B$23:$I$23,0),FALSE)</f>
        <v>半月</v>
      </c>
      <c r="Z94" s="159">
        <f>VLOOKUP($U94,'坦克涂装-作废'!$B$23:$I$99,MATCH(Z$6,'坦克涂装-作废'!$B$23:$I$23,0),FALSE)</f>
        <v>2835.2000000000012</v>
      </c>
      <c r="AA94" s="158"/>
      <c r="AB94" s="158"/>
      <c r="AC94" s="158"/>
      <c r="AD94" s="158"/>
      <c r="AE94" s="158"/>
      <c r="AF94" s="158"/>
      <c r="AG94" s="158"/>
      <c r="AH94" s="158"/>
      <c r="AI94" s="158"/>
    </row>
    <row r="95" spans="2:35" x14ac:dyDescent="0.35">
      <c r="B95" s="282">
        <v>72</v>
      </c>
      <c r="C95" s="257" t="s">
        <v>1113</v>
      </c>
      <c r="D95" s="273" t="s">
        <v>1219</v>
      </c>
      <c r="E95" s="273" t="s">
        <v>1232</v>
      </c>
      <c r="F95" s="53">
        <v>0.29239766081871349</v>
      </c>
      <c r="G95" s="388">
        <f t="shared" si="6"/>
        <v>4365.6140350877195</v>
      </c>
      <c r="H95" s="53">
        <v>3.2000000000000001E-2</v>
      </c>
      <c r="I95" s="369">
        <f t="shared" si="7"/>
        <v>140</v>
      </c>
      <c r="J95" s="274">
        <f t="shared" si="8"/>
        <v>4500</v>
      </c>
      <c r="K95" s="274">
        <f t="shared" si="9"/>
        <v>0.30139848898890859</v>
      </c>
      <c r="L95" s="274">
        <f t="shared" si="10"/>
        <v>65</v>
      </c>
      <c r="M95" s="274">
        <f t="shared" si="11"/>
        <v>1.4889085356052082E-2</v>
      </c>
      <c r="T95" s="256" t="str">
        <f>W95&amp;V95&amp;LEFT(道具价值!R1076)&amp;LEFT(X95,1)&amp;LEFT(Y95,1)</f>
        <v>T4低中模半</v>
      </c>
      <c r="U95" s="256">
        <f>IF(V94="重",U94+1,U94)</f>
        <v>30</v>
      </c>
      <c r="V95" s="256" t="str">
        <f>V92</f>
        <v>中</v>
      </c>
      <c r="W95" s="256" t="str">
        <f>VLOOKUP($U95,'坦克涂装-作废'!$B$23:$I$99,MATCH(W$6,'坦克涂装-作废'!$B$23:$I$23,0),FALSE)</f>
        <v>T4低</v>
      </c>
      <c r="X95" s="256" t="str">
        <f>VLOOKUP($U95,'坦克涂装-作废'!$B$23:$I$99,MATCH(X$6,'坦克涂装-作废'!$B$23:$I$23,0),FALSE)</f>
        <v>模型</v>
      </c>
      <c r="Y95" s="256" t="str">
        <f>VLOOKUP($U95,'坦克涂装-作废'!$B$23:$I$99,MATCH(Y$6,'坦克涂装-作废'!$B$23:$I$23,0),FALSE)</f>
        <v>半月</v>
      </c>
      <c r="Z95" s="159">
        <f>VLOOKUP($U95,'坦克涂装-作废'!$B$23:$I$99,MATCH(Z$6,'坦克涂装-作废'!$B$23:$I$23,0),FALSE)</f>
        <v>2835.2000000000012</v>
      </c>
      <c r="AA95" s="158"/>
      <c r="AB95" s="158"/>
      <c r="AC95" s="158"/>
      <c r="AD95" s="158"/>
      <c r="AE95" s="158"/>
      <c r="AF95" s="158"/>
      <c r="AG95" s="158"/>
      <c r="AH95" s="158"/>
      <c r="AI95" s="158"/>
    </row>
    <row r="96" spans="2:35" x14ac:dyDescent="0.35">
      <c r="B96" s="282">
        <v>73</v>
      </c>
      <c r="C96" s="257" t="s">
        <v>1113</v>
      </c>
      <c r="D96" s="273" t="s">
        <v>1219</v>
      </c>
      <c r="E96" s="273" t="s">
        <v>1231</v>
      </c>
      <c r="F96" s="53">
        <v>1.0526315789473686</v>
      </c>
      <c r="G96" s="388">
        <f t="shared" si="6"/>
        <v>15716.210526315792</v>
      </c>
      <c r="H96" s="53">
        <v>1.6666666666666666E-2</v>
      </c>
      <c r="I96" s="369">
        <f t="shared" si="7"/>
        <v>260</v>
      </c>
      <c r="J96" s="274">
        <f t="shared" si="8"/>
        <v>15400</v>
      </c>
      <c r="K96" s="274">
        <f t="shared" si="9"/>
        <v>1.0314526067620426</v>
      </c>
      <c r="L96" s="274">
        <f t="shared" si="10"/>
        <v>125</v>
      </c>
      <c r="M96" s="274">
        <f t="shared" si="11"/>
        <v>7.9535712372073072E-3</v>
      </c>
      <c r="T96" s="256" t="str">
        <f>W96&amp;V96&amp;LEFT(道具价值!R1077)&amp;LEFT(X96,1)&amp;LEFT(Y96,1)</f>
        <v>T4低重模半</v>
      </c>
      <c r="U96" s="256">
        <f>IF(V95="重",U95+1,U95)</f>
        <v>30</v>
      </c>
      <c r="V96" s="256" t="str">
        <f>V93</f>
        <v>重</v>
      </c>
      <c r="W96" s="256" t="str">
        <f>VLOOKUP($U96,'坦克涂装-作废'!$B$23:$I$99,MATCH(W$6,'坦克涂装-作废'!$B$23:$I$23,0),FALSE)</f>
        <v>T4低</v>
      </c>
      <c r="X96" s="256" t="str">
        <f>VLOOKUP($U96,'坦克涂装-作废'!$B$23:$I$99,MATCH(X$6,'坦克涂装-作废'!$B$23:$I$23,0),FALSE)</f>
        <v>模型</v>
      </c>
      <c r="Y96" s="256" t="str">
        <f>VLOOKUP($U96,'坦克涂装-作废'!$B$23:$I$99,MATCH(Y$6,'坦克涂装-作废'!$B$23:$I$23,0),FALSE)</f>
        <v>半月</v>
      </c>
      <c r="Z96" s="159">
        <f>VLOOKUP($U96,'坦克涂装-作废'!$B$23:$I$99,MATCH(Z$6,'坦克涂装-作废'!$B$23:$I$23,0),FALSE)</f>
        <v>2835.2000000000012</v>
      </c>
      <c r="AA96" s="158"/>
      <c r="AB96" s="158"/>
      <c r="AC96" s="158"/>
      <c r="AD96" s="158"/>
      <c r="AE96" s="158"/>
      <c r="AF96" s="158"/>
      <c r="AG96" s="158"/>
      <c r="AH96" s="158"/>
      <c r="AI96" s="158"/>
    </row>
    <row r="97" spans="2:35" x14ac:dyDescent="0.35">
      <c r="B97" s="282">
        <v>74</v>
      </c>
      <c r="C97" s="257" t="s">
        <v>1113</v>
      </c>
      <c r="D97" s="273" t="s">
        <v>1220</v>
      </c>
      <c r="E97" s="273" t="s">
        <v>1233</v>
      </c>
      <c r="F97" s="53">
        <v>0.15594541910331383</v>
      </c>
      <c r="G97" s="388">
        <f t="shared" si="6"/>
        <v>3492.4912280701756</v>
      </c>
      <c r="H97" s="53">
        <v>3.5000000000000003E-2</v>
      </c>
      <c r="I97" s="369">
        <f t="shared" si="7"/>
        <v>120</v>
      </c>
      <c r="J97" s="274">
        <f t="shared" si="8"/>
        <v>3600</v>
      </c>
      <c r="K97" s="274">
        <f t="shared" si="9"/>
        <v>0.16074586079408454</v>
      </c>
      <c r="L97" s="274">
        <f t="shared" si="10"/>
        <v>60</v>
      </c>
      <c r="M97" s="274">
        <f t="shared" si="11"/>
        <v>1.7179713872367785E-2</v>
      </c>
      <c r="T97" s="256" t="str">
        <f>W97&amp;V97&amp;LEFT(道具价值!R1078)&amp;LEFT(X97,1)&amp;LEFT(Y97,1)</f>
        <v>T4低轻模永</v>
      </c>
      <c r="U97" s="256">
        <f>IF(V96="重",U96+1,U96)</f>
        <v>31</v>
      </c>
      <c r="V97" s="256" t="str">
        <f>V94</f>
        <v>轻</v>
      </c>
      <c r="W97" s="256" t="str">
        <f>VLOOKUP($U97,'坦克涂装-作废'!$B$23:$I$99,MATCH(W$6,'坦克涂装-作废'!$B$23:$I$23,0),FALSE)</f>
        <v>T4低</v>
      </c>
      <c r="X97" s="256" t="str">
        <f>VLOOKUP($U97,'坦克涂装-作废'!$B$23:$I$99,MATCH(X$6,'坦克涂装-作废'!$B$23:$I$23,0),FALSE)</f>
        <v>模型</v>
      </c>
      <c r="Y97" s="256" t="str">
        <f>VLOOKUP($U97,'坦克涂装-作废'!$B$23:$I$99,MATCH(Y$6,'坦克涂装-作废'!$B$23:$I$23,0),FALSE)</f>
        <v>永久</v>
      </c>
      <c r="Z97" s="159">
        <f>VLOOKUP($U97,'坦克涂装-作废'!$B$23:$I$99,MATCH(Z$6,'坦克涂装-作废'!$B$23:$I$23,0),FALSE)</f>
        <v>9568.8000000000029</v>
      </c>
      <c r="AA97" s="158"/>
      <c r="AB97" s="158"/>
      <c r="AC97" s="158"/>
      <c r="AD97" s="158"/>
      <c r="AE97" s="158"/>
      <c r="AF97" s="158"/>
      <c r="AG97" s="158"/>
      <c r="AH97" s="158"/>
      <c r="AI97" s="158"/>
    </row>
    <row r="98" spans="2:35" x14ac:dyDescent="0.35">
      <c r="B98" s="282">
        <v>75</v>
      </c>
      <c r="C98" s="257" t="s">
        <v>1113</v>
      </c>
      <c r="D98" s="273" t="s">
        <v>1220</v>
      </c>
      <c r="E98" s="273" t="s">
        <v>1232</v>
      </c>
      <c r="F98" s="53">
        <v>0.31189083820662766</v>
      </c>
      <c r="G98" s="388">
        <f t="shared" si="6"/>
        <v>6984.9824561403511</v>
      </c>
      <c r="H98" s="53">
        <v>2.5000000000000001E-2</v>
      </c>
      <c r="I98" s="369">
        <f t="shared" si="7"/>
        <v>175</v>
      </c>
      <c r="J98" s="274">
        <f t="shared" si="8"/>
        <v>7000</v>
      </c>
      <c r="K98" s="274">
        <f t="shared" si="9"/>
        <v>0.31256139598849775</v>
      </c>
      <c r="L98" s="274">
        <f t="shared" si="10"/>
        <v>85</v>
      </c>
      <c r="M98" s="274">
        <f t="shared" si="11"/>
        <v>1.2168963992927181E-2</v>
      </c>
      <c r="T98" s="256" t="str">
        <f>W98&amp;V98&amp;LEFT(道具价值!R1079)&amp;LEFT(X98,1)&amp;LEFT(Y98,1)</f>
        <v>T4低中模永</v>
      </c>
      <c r="U98" s="256">
        <f>IF(V97="重",U97+1,U97)</f>
        <v>31</v>
      </c>
      <c r="V98" s="256" t="str">
        <f>V95</f>
        <v>中</v>
      </c>
      <c r="W98" s="256" t="str">
        <f>VLOOKUP($U98,'坦克涂装-作废'!$B$23:$I$99,MATCH(W$6,'坦克涂装-作废'!$B$23:$I$23,0),FALSE)</f>
        <v>T4低</v>
      </c>
      <c r="X98" s="256" t="str">
        <f>VLOOKUP($U98,'坦克涂装-作废'!$B$23:$I$99,MATCH(X$6,'坦克涂装-作废'!$B$23:$I$23,0),FALSE)</f>
        <v>模型</v>
      </c>
      <c r="Y98" s="256" t="str">
        <f>VLOOKUP($U98,'坦克涂装-作废'!$B$23:$I$99,MATCH(Y$6,'坦克涂装-作废'!$B$23:$I$23,0),FALSE)</f>
        <v>永久</v>
      </c>
      <c r="Z98" s="159">
        <f>VLOOKUP($U98,'坦克涂装-作废'!$B$23:$I$99,MATCH(Z$6,'坦克涂装-作废'!$B$23:$I$23,0),FALSE)</f>
        <v>9568.8000000000029</v>
      </c>
      <c r="AA98" s="158"/>
      <c r="AB98" s="158"/>
      <c r="AC98" s="158"/>
      <c r="AD98" s="158"/>
      <c r="AE98" s="158"/>
      <c r="AF98" s="158"/>
      <c r="AG98" s="158"/>
      <c r="AH98" s="158"/>
      <c r="AI98" s="158"/>
    </row>
    <row r="99" spans="2:35" x14ac:dyDescent="0.35">
      <c r="B99" s="282">
        <v>76</v>
      </c>
      <c r="C99" s="257" t="s">
        <v>1113</v>
      </c>
      <c r="D99" s="273" t="s">
        <v>1220</v>
      </c>
      <c r="E99" s="273" t="s">
        <v>1231</v>
      </c>
      <c r="F99" s="53">
        <v>1.0526315789473684</v>
      </c>
      <c r="G99" s="388">
        <f t="shared" si="6"/>
        <v>23574.315789473687</v>
      </c>
      <c r="H99" s="53">
        <v>1.3888888888888888E-2</v>
      </c>
      <c r="I99" s="369">
        <f t="shared" si="7"/>
        <v>325</v>
      </c>
      <c r="J99" s="274">
        <f t="shared" si="8"/>
        <v>23800</v>
      </c>
      <c r="K99" s="274">
        <f t="shared" si="9"/>
        <v>1.0627087463608922</v>
      </c>
      <c r="L99" s="274">
        <f t="shared" si="10"/>
        <v>155</v>
      </c>
      <c r="M99" s="274">
        <f t="shared" si="11"/>
        <v>6.5749522227580414E-3</v>
      </c>
      <c r="T99" s="256" t="str">
        <f>W99&amp;V99&amp;LEFT(道具价值!R1080)&amp;LEFT(X99,1)&amp;LEFT(Y99,1)</f>
        <v>T4低重模永</v>
      </c>
      <c r="U99" s="256">
        <f>IF(V98="重",U98+1,U98)</f>
        <v>31</v>
      </c>
      <c r="V99" s="256" t="str">
        <f>V96</f>
        <v>重</v>
      </c>
      <c r="W99" s="256" t="str">
        <f>VLOOKUP($U99,'坦克涂装-作废'!$B$23:$I$99,MATCH(W$6,'坦克涂装-作废'!$B$23:$I$23,0),FALSE)</f>
        <v>T4低</v>
      </c>
      <c r="X99" s="256" t="str">
        <f>VLOOKUP($U99,'坦克涂装-作废'!$B$23:$I$99,MATCH(X$6,'坦克涂装-作废'!$B$23:$I$23,0),FALSE)</f>
        <v>模型</v>
      </c>
      <c r="Y99" s="256" t="str">
        <f>VLOOKUP($U99,'坦克涂装-作废'!$B$23:$I$99,MATCH(Y$6,'坦克涂装-作废'!$B$23:$I$23,0),FALSE)</f>
        <v>永久</v>
      </c>
      <c r="Z99" s="159">
        <f>VLOOKUP($U99,'坦克涂装-作废'!$B$23:$I$99,MATCH(Z$6,'坦克涂装-作废'!$B$23:$I$23,0),FALSE)</f>
        <v>9568.8000000000029</v>
      </c>
      <c r="AA99" s="158"/>
      <c r="AB99" s="158"/>
      <c r="AC99" s="158"/>
      <c r="AD99" s="158"/>
      <c r="AE99" s="158"/>
      <c r="AF99" s="158"/>
      <c r="AG99" s="158"/>
      <c r="AH99" s="158"/>
      <c r="AI99" s="158"/>
    </row>
    <row r="100" spans="2:35" x14ac:dyDescent="0.35">
      <c r="T100" s="256" t="str">
        <f>W100&amp;V100&amp;LEFT(道具价值!R1081)&amp;LEFT(X100,1)&amp;LEFT(Y100,1)</f>
        <v>T4中轻贴三</v>
      </c>
      <c r="U100" s="256">
        <f>IF(V99="重",U99+1,U99)</f>
        <v>32</v>
      </c>
      <c r="V100" s="256" t="str">
        <f>V97</f>
        <v>轻</v>
      </c>
      <c r="W100" s="256" t="str">
        <f>VLOOKUP($U100,'坦克涂装-作废'!$B$23:$I$99,MATCH(W$6,'坦克涂装-作废'!$B$23:$I$23,0),FALSE)</f>
        <v>T4中</v>
      </c>
      <c r="X100" s="256" t="str">
        <f>VLOOKUP($U100,'坦克涂装-作废'!$B$23:$I$99,MATCH(X$6,'坦克涂装-作废'!$B$23:$I$23,0),FALSE)</f>
        <v>贴花</v>
      </c>
      <c r="Y100" s="256" t="str">
        <f>VLOOKUP($U100,'坦克涂装-作废'!$B$23:$I$99,MATCH(Y$6,'坦克涂装-作废'!$B$23:$I$23,0),FALSE)</f>
        <v>三天</v>
      </c>
      <c r="Z100" s="159">
        <f>VLOOKUP($U100,'坦克涂装-作废'!$B$23:$I$99,MATCH(Z$6,'坦克涂装-作废'!$B$23:$I$23,0),FALSE)</f>
        <v>731.28421052631552</v>
      </c>
      <c r="AA100" s="158"/>
      <c r="AB100" s="158"/>
      <c r="AC100" s="158"/>
      <c r="AD100" s="158"/>
      <c r="AE100" s="158"/>
      <c r="AF100" s="158"/>
      <c r="AG100" s="158"/>
      <c r="AH100" s="158"/>
      <c r="AI100" s="158"/>
    </row>
    <row r="101" spans="2:35" x14ac:dyDescent="0.35">
      <c r="T101" s="256" t="str">
        <f>W101&amp;V101&amp;LEFT(道具价值!R1082)&amp;LEFT(X101,1)&amp;LEFT(Y101,1)</f>
        <v>T4中中贴三</v>
      </c>
      <c r="U101" s="256">
        <f>IF(V100="重",U100+1,U100)</f>
        <v>32</v>
      </c>
      <c r="V101" s="256" t="str">
        <f>V98</f>
        <v>中</v>
      </c>
      <c r="W101" s="256" t="str">
        <f>VLOOKUP($U101,'坦克涂装-作废'!$B$23:$I$99,MATCH(W$6,'坦克涂装-作废'!$B$23:$I$23,0),FALSE)</f>
        <v>T4中</v>
      </c>
      <c r="X101" s="256" t="str">
        <f>VLOOKUP($U101,'坦克涂装-作废'!$B$23:$I$99,MATCH(X$6,'坦克涂装-作废'!$B$23:$I$23,0),FALSE)</f>
        <v>贴花</v>
      </c>
      <c r="Y101" s="256" t="str">
        <f>VLOOKUP($U101,'坦克涂装-作废'!$B$23:$I$99,MATCH(Y$6,'坦克涂装-作废'!$B$23:$I$23,0),FALSE)</f>
        <v>三天</v>
      </c>
      <c r="Z101" s="159">
        <f>VLOOKUP($U101,'坦克涂装-作废'!$B$23:$I$99,MATCH(Z$6,'坦克涂装-作废'!$B$23:$I$23,0),FALSE)</f>
        <v>731.28421052631552</v>
      </c>
      <c r="AA101" s="158"/>
      <c r="AB101" s="158"/>
      <c r="AC101" s="158"/>
      <c r="AD101" s="158"/>
      <c r="AE101" s="158"/>
      <c r="AF101" s="158"/>
      <c r="AG101" s="158"/>
      <c r="AH101" s="158"/>
      <c r="AI101" s="158"/>
    </row>
    <row r="102" spans="2:35" x14ac:dyDescent="0.35">
      <c r="T102" s="256" t="str">
        <f>W102&amp;V102&amp;LEFT(道具价值!R1083)&amp;LEFT(X102,1)&amp;LEFT(Y102,1)</f>
        <v>T4中重贴三</v>
      </c>
      <c r="U102" s="256">
        <f>IF(V101="重",U101+1,U101)</f>
        <v>32</v>
      </c>
      <c r="V102" s="256" t="str">
        <f>V99</f>
        <v>重</v>
      </c>
      <c r="W102" s="256" t="str">
        <f>VLOOKUP($U102,'坦克涂装-作废'!$B$23:$I$99,MATCH(W$6,'坦克涂装-作废'!$B$23:$I$23,0),FALSE)</f>
        <v>T4中</v>
      </c>
      <c r="X102" s="256" t="str">
        <f>VLOOKUP($U102,'坦克涂装-作废'!$B$23:$I$99,MATCH(X$6,'坦克涂装-作废'!$B$23:$I$23,0),FALSE)</f>
        <v>贴花</v>
      </c>
      <c r="Y102" s="256" t="str">
        <f>VLOOKUP($U102,'坦克涂装-作废'!$B$23:$I$99,MATCH(Y$6,'坦克涂装-作废'!$B$23:$I$23,0),FALSE)</f>
        <v>三天</v>
      </c>
      <c r="Z102" s="159">
        <f>VLOOKUP($U102,'坦克涂装-作废'!$B$23:$I$99,MATCH(Z$6,'坦克涂装-作废'!$B$23:$I$23,0),FALSE)</f>
        <v>731.28421052631552</v>
      </c>
      <c r="AA102" s="158"/>
      <c r="AB102" s="158"/>
      <c r="AC102" s="158"/>
      <c r="AD102" s="158"/>
      <c r="AE102" s="158"/>
      <c r="AF102" s="158"/>
      <c r="AG102" s="158"/>
      <c r="AH102" s="158"/>
      <c r="AI102" s="158"/>
    </row>
    <row r="103" spans="2:35" x14ac:dyDescent="0.35">
      <c r="T103" s="256" t="str">
        <f>W103&amp;V103&amp;LEFT(道具价值!R1084)&amp;LEFT(X103,1)&amp;LEFT(Y103,1)</f>
        <v>T4中轻贴半</v>
      </c>
      <c r="U103" s="256">
        <f>IF(V102="重",U102+1,U102)</f>
        <v>33</v>
      </c>
      <c r="V103" s="256" t="str">
        <f>V100</f>
        <v>轻</v>
      </c>
      <c r="W103" s="256" t="str">
        <f>VLOOKUP($U103,'坦克涂装-作废'!$B$23:$I$99,MATCH(W$6,'坦克涂装-作废'!$B$23:$I$23,0),FALSE)</f>
        <v>T4中</v>
      </c>
      <c r="X103" s="256" t="str">
        <f>VLOOKUP($U103,'坦克涂装-作废'!$B$23:$I$99,MATCH(X$6,'坦克涂装-作废'!$B$23:$I$23,0),FALSE)</f>
        <v>贴花</v>
      </c>
      <c r="Y103" s="256" t="str">
        <f>VLOOKUP($U103,'坦克涂装-作废'!$B$23:$I$99,MATCH(Y$6,'坦克涂装-作废'!$B$23:$I$23,0),FALSE)</f>
        <v>半月</v>
      </c>
      <c r="Z103" s="159">
        <f>VLOOKUP($U103,'坦克涂装-作废'!$B$23:$I$99,MATCH(Z$6,'坦克涂装-作废'!$B$23:$I$23,0),FALSE)</f>
        <v>1371.1578947368416</v>
      </c>
      <c r="AA103" s="158"/>
      <c r="AB103" s="158"/>
      <c r="AC103" s="158"/>
      <c r="AD103" s="158"/>
      <c r="AE103" s="158"/>
      <c r="AF103" s="158"/>
      <c r="AG103" s="158"/>
      <c r="AH103" s="158"/>
      <c r="AI103" s="158"/>
    </row>
    <row r="104" spans="2:35" x14ac:dyDescent="0.35">
      <c r="T104" s="256" t="str">
        <f>W104&amp;V104&amp;LEFT(道具价值!R1085)&amp;LEFT(X104,1)&amp;LEFT(Y104,1)</f>
        <v>T4中中贴半</v>
      </c>
      <c r="U104" s="256">
        <f>IF(V103="重",U103+1,U103)</f>
        <v>33</v>
      </c>
      <c r="V104" s="256" t="str">
        <f>V101</f>
        <v>中</v>
      </c>
      <c r="W104" s="256" t="str">
        <f>VLOOKUP($U104,'坦克涂装-作废'!$B$23:$I$99,MATCH(W$6,'坦克涂装-作废'!$B$23:$I$23,0),FALSE)</f>
        <v>T4中</v>
      </c>
      <c r="X104" s="256" t="str">
        <f>VLOOKUP($U104,'坦克涂装-作废'!$B$23:$I$99,MATCH(X$6,'坦克涂装-作废'!$B$23:$I$23,0),FALSE)</f>
        <v>贴花</v>
      </c>
      <c r="Y104" s="256" t="str">
        <f>VLOOKUP($U104,'坦克涂装-作废'!$B$23:$I$99,MATCH(Y$6,'坦克涂装-作废'!$B$23:$I$23,0),FALSE)</f>
        <v>半月</v>
      </c>
      <c r="Z104" s="159">
        <f>VLOOKUP($U104,'坦克涂装-作废'!$B$23:$I$99,MATCH(Z$6,'坦克涂装-作废'!$B$23:$I$23,0),FALSE)</f>
        <v>1371.1578947368416</v>
      </c>
      <c r="AA104" s="158"/>
      <c r="AB104" s="158"/>
      <c r="AC104" s="158"/>
      <c r="AD104" s="158"/>
      <c r="AE104" s="158"/>
      <c r="AF104" s="158"/>
      <c r="AG104" s="158"/>
      <c r="AH104" s="158"/>
      <c r="AI104" s="158"/>
    </row>
    <row r="105" spans="2:35" x14ac:dyDescent="0.35">
      <c r="T105" s="256" t="str">
        <f>W105&amp;V105&amp;LEFT(道具价值!R1086)&amp;LEFT(X105,1)&amp;LEFT(Y105,1)</f>
        <v>T4中重贴半</v>
      </c>
      <c r="U105" s="256">
        <f>IF(V104="重",U104+1,U104)</f>
        <v>33</v>
      </c>
      <c r="V105" s="256" t="str">
        <f>V102</f>
        <v>重</v>
      </c>
      <c r="W105" s="256" t="str">
        <f>VLOOKUP($U105,'坦克涂装-作废'!$B$23:$I$99,MATCH(W$6,'坦克涂装-作废'!$B$23:$I$23,0),FALSE)</f>
        <v>T4中</v>
      </c>
      <c r="X105" s="256" t="str">
        <f>VLOOKUP($U105,'坦克涂装-作废'!$B$23:$I$99,MATCH(X$6,'坦克涂装-作废'!$B$23:$I$23,0),FALSE)</f>
        <v>贴花</v>
      </c>
      <c r="Y105" s="256" t="str">
        <f>VLOOKUP($U105,'坦克涂装-作废'!$B$23:$I$99,MATCH(Y$6,'坦克涂装-作废'!$B$23:$I$23,0),FALSE)</f>
        <v>半月</v>
      </c>
      <c r="Z105" s="159">
        <f>VLOOKUP($U105,'坦克涂装-作废'!$B$23:$I$99,MATCH(Z$6,'坦克涂装-作废'!$B$23:$I$23,0),FALSE)</f>
        <v>1371.1578947368416</v>
      </c>
      <c r="AA105" s="158"/>
      <c r="AB105" s="158"/>
      <c r="AC105" s="158"/>
      <c r="AD105" s="158"/>
      <c r="AE105" s="158"/>
      <c r="AF105" s="158"/>
      <c r="AG105" s="158"/>
      <c r="AH105" s="158"/>
      <c r="AI105" s="158"/>
    </row>
    <row r="106" spans="2:35" x14ac:dyDescent="0.35">
      <c r="T106" s="256" t="str">
        <f>W106&amp;V106&amp;LEFT(道具价值!R1087)&amp;LEFT(X106,1)&amp;LEFT(Y106,1)</f>
        <v>T4中轻贴永</v>
      </c>
      <c r="U106" s="256">
        <f>IF(V105="重",U105+1,U105)</f>
        <v>34</v>
      </c>
      <c r="V106" s="256" t="str">
        <f>V103</f>
        <v>轻</v>
      </c>
      <c r="W106" s="256" t="str">
        <f>VLOOKUP($U106,'坦克涂装-作废'!$B$23:$I$99,MATCH(W$6,'坦克涂装-作废'!$B$23:$I$23,0),FALSE)</f>
        <v>T4中</v>
      </c>
      <c r="X106" s="256" t="str">
        <f>VLOOKUP($U106,'坦克涂装-作废'!$B$23:$I$99,MATCH(X$6,'坦克涂装-作废'!$B$23:$I$23,0),FALSE)</f>
        <v>贴花</v>
      </c>
      <c r="Y106" s="256" t="str">
        <f>VLOOKUP($U106,'坦克涂装-作废'!$B$23:$I$99,MATCH(Y$6,'坦克涂装-作废'!$B$23:$I$23,0),FALSE)</f>
        <v>永久</v>
      </c>
      <c r="Z106" s="159">
        <f>VLOOKUP($U106,'坦克涂装-作废'!$B$23:$I$99,MATCH(Z$6,'坦克涂装-作废'!$B$23:$I$23,0),FALSE)</f>
        <v>4113.4736842105249</v>
      </c>
      <c r="AA106" s="158"/>
      <c r="AB106" s="158"/>
      <c r="AC106" s="158"/>
      <c r="AD106" s="158"/>
      <c r="AE106" s="158"/>
      <c r="AF106" s="158"/>
      <c r="AG106" s="158"/>
      <c r="AH106" s="158"/>
      <c r="AI106" s="158"/>
    </row>
    <row r="107" spans="2:35" x14ac:dyDescent="0.35">
      <c r="T107" s="256" t="str">
        <f>W107&amp;V107&amp;LEFT(道具价值!R1088)&amp;LEFT(X107,1)&amp;LEFT(Y107,1)</f>
        <v>T4中中贴永</v>
      </c>
      <c r="U107" s="256">
        <f>IF(V106="重",U106+1,U106)</f>
        <v>34</v>
      </c>
      <c r="V107" s="256" t="str">
        <f>V104</f>
        <v>中</v>
      </c>
      <c r="W107" s="256" t="str">
        <f>VLOOKUP($U107,'坦克涂装-作废'!$B$23:$I$99,MATCH(W$6,'坦克涂装-作废'!$B$23:$I$23,0),FALSE)</f>
        <v>T4中</v>
      </c>
      <c r="X107" s="256" t="str">
        <f>VLOOKUP($U107,'坦克涂装-作废'!$B$23:$I$99,MATCH(X$6,'坦克涂装-作废'!$B$23:$I$23,0),FALSE)</f>
        <v>贴花</v>
      </c>
      <c r="Y107" s="256" t="str">
        <f>VLOOKUP($U107,'坦克涂装-作废'!$B$23:$I$99,MATCH(Y$6,'坦克涂装-作废'!$B$23:$I$23,0),FALSE)</f>
        <v>永久</v>
      </c>
      <c r="Z107" s="159">
        <f>VLOOKUP($U107,'坦克涂装-作废'!$B$23:$I$99,MATCH(Z$6,'坦克涂装-作废'!$B$23:$I$23,0),FALSE)</f>
        <v>4113.4736842105249</v>
      </c>
      <c r="AA107" s="158"/>
      <c r="AB107" s="158"/>
      <c r="AC107" s="158"/>
      <c r="AD107" s="158"/>
      <c r="AE107" s="158"/>
      <c r="AF107" s="158"/>
      <c r="AG107" s="158"/>
      <c r="AH107" s="158"/>
      <c r="AI107" s="158"/>
    </row>
    <row r="108" spans="2:35" x14ac:dyDescent="0.35">
      <c r="T108" s="256" t="str">
        <f>W108&amp;V108&amp;LEFT(道具价值!R1089)&amp;LEFT(X108,1)&amp;LEFT(Y108,1)</f>
        <v>T4中重贴永</v>
      </c>
      <c r="U108" s="256">
        <f>IF(V107="重",U107+1,U107)</f>
        <v>34</v>
      </c>
      <c r="V108" s="256" t="str">
        <f>V105</f>
        <v>重</v>
      </c>
      <c r="W108" s="256" t="str">
        <f>VLOOKUP($U108,'坦克涂装-作废'!$B$23:$I$99,MATCH(W$6,'坦克涂装-作废'!$B$23:$I$23,0),FALSE)</f>
        <v>T4中</v>
      </c>
      <c r="X108" s="256" t="str">
        <f>VLOOKUP($U108,'坦克涂装-作废'!$B$23:$I$99,MATCH(X$6,'坦克涂装-作废'!$B$23:$I$23,0),FALSE)</f>
        <v>贴花</v>
      </c>
      <c r="Y108" s="256" t="str">
        <f>VLOOKUP($U108,'坦克涂装-作废'!$B$23:$I$99,MATCH(Y$6,'坦克涂装-作废'!$B$23:$I$23,0),FALSE)</f>
        <v>永久</v>
      </c>
      <c r="Z108" s="159">
        <f>VLOOKUP($U108,'坦克涂装-作废'!$B$23:$I$99,MATCH(Z$6,'坦克涂装-作废'!$B$23:$I$23,0),FALSE)</f>
        <v>4113.4736842105249</v>
      </c>
      <c r="AA108" s="158"/>
      <c r="AB108" s="158"/>
      <c r="AC108" s="158"/>
      <c r="AD108" s="158"/>
      <c r="AE108" s="158"/>
      <c r="AF108" s="158"/>
      <c r="AG108" s="158"/>
      <c r="AH108" s="158"/>
      <c r="AI108" s="158"/>
    </row>
    <row r="109" spans="2:35" x14ac:dyDescent="0.35">
      <c r="T109" s="256" t="str">
        <f>W109&amp;V109&amp;LEFT(道具价值!R1090)&amp;LEFT(X109,1)&amp;LEFT(Y109,1)</f>
        <v>T4中轻图三</v>
      </c>
      <c r="U109" s="256">
        <f>IF(V108="重",U108+1,U108)</f>
        <v>35</v>
      </c>
      <c r="V109" s="256" t="str">
        <f>V106</f>
        <v>轻</v>
      </c>
      <c r="W109" s="256" t="str">
        <f>VLOOKUP($U109,'坦克涂装-作废'!$B$23:$I$99,MATCH(W$6,'坦克涂装-作废'!$B$23:$I$23,0),FALSE)</f>
        <v>T4中</v>
      </c>
      <c r="X109" s="256" t="str">
        <f>VLOOKUP($U109,'坦克涂装-作废'!$B$23:$I$99,MATCH(X$6,'坦克涂装-作废'!$B$23:$I$23,0),FALSE)</f>
        <v>图案</v>
      </c>
      <c r="Y109" s="256" t="str">
        <f>VLOOKUP($U109,'坦克涂装-作废'!$B$23:$I$99,MATCH(Y$6,'坦克涂装-作废'!$B$23:$I$23,0),FALSE)</f>
        <v>三天</v>
      </c>
      <c r="Z109" s="159">
        <f>VLOOKUP($U109,'坦克涂装-作废'!$B$23:$I$99,MATCH(Z$6,'坦克涂装-作废'!$B$23:$I$23,0),FALSE)</f>
        <v>1371.1578947368416</v>
      </c>
      <c r="AA109" s="158"/>
      <c r="AB109" s="158"/>
      <c r="AC109" s="158"/>
      <c r="AD109" s="158"/>
      <c r="AE109" s="158"/>
      <c r="AF109" s="158"/>
      <c r="AG109" s="158"/>
      <c r="AH109" s="158"/>
      <c r="AI109" s="158"/>
    </row>
    <row r="110" spans="2:35" x14ac:dyDescent="0.35">
      <c r="T110" s="256" t="str">
        <f>W110&amp;V110&amp;LEFT(道具价值!R1091)&amp;LEFT(X110,1)&amp;LEFT(Y110,1)</f>
        <v>T4中中图三</v>
      </c>
      <c r="U110" s="256">
        <f>IF(V109="重",U109+1,U109)</f>
        <v>35</v>
      </c>
      <c r="V110" s="256" t="str">
        <f>V107</f>
        <v>中</v>
      </c>
      <c r="W110" s="256" t="str">
        <f>VLOOKUP($U110,'坦克涂装-作废'!$B$23:$I$99,MATCH(W$6,'坦克涂装-作废'!$B$23:$I$23,0),FALSE)</f>
        <v>T4中</v>
      </c>
      <c r="X110" s="256" t="str">
        <f>VLOOKUP($U110,'坦克涂装-作废'!$B$23:$I$99,MATCH(X$6,'坦克涂装-作废'!$B$23:$I$23,0),FALSE)</f>
        <v>图案</v>
      </c>
      <c r="Y110" s="256" t="str">
        <f>VLOOKUP($U110,'坦克涂装-作废'!$B$23:$I$99,MATCH(Y$6,'坦克涂装-作废'!$B$23:$I$23,0),FALSE)</f>
        <v>三天</v>
      </c>
      <c r="Z110" s="159">
        <f>VLOOKUP($U110,'坦克涂装-作废'!$B$23:$I$99,MATCH(Z$6,'坦克涂装-作废'!$B$23:$I$23,0),FALSE)</f>
        <v>1371.1578947368416</v>
      </c>
      <c r="AA110" s="158"/>
      <c r="AB110" s="158"/>
      <c r="AC110" s="158"/>
      <c r="AD110" s="158"/>
      <c r="AE110" s="158"/>
      <c r="AF110" s="158"/>
      <c r="AG110" s="158"/>
      <c r="AH110" s="158"/>
      <c r="AI110" s="158"/>
    </row>
    <row r="111" spans="2:35" x14ac:dyDescent="0.35">
      <c r="T111" s="256" t="str">
        <f>W111&amp;V111&amp;LEFT(道具价值!R1092)&amp;LEFT(X111,1)&amp;LEFT(Y111,1)</f>
        <v>T4中重图三</v>
      </c>
      <c r="U111" s="256">
        <f>IF(V110="重",U110+1,U110)</f>
        <v>35</v>
      </c>
      <c r="V111" s="256" t="str">
        <f>V108</f>
        <v>重</v>
      </c>
      <c r="W111" s="256" t="str">
        <f>VLOOKUP($U111,'坦克涂装-作废'!$B$23:$I$99,MATCH(W$6,'坦克涂装-作废'!$B$23:$I$23,0),FALSE)</f>
        <v>T4中</v>
      </c>
      <c r="X111" s="256" t="str">
        <f>VLOOKUP($U111,'坦克涂装-作废'!$B$23:$I$99,MATCH(X$6,'坦克涂装-作废'!$B$23:$I$23,0),FALSE)</f>
        <v>图案</v>
      </c>
      <c r="Y111" s="256" t="str">
        <f>VLOOKUP($U111,'坦克涂装-作废'!$B$23:$I$99,MATCH(Y$6,'坦克涂装-作废'!$B$23:$I$23,0),FALSE)</f>
        <v>三天</v>
      </c>
      <c r="Z111" s="159">
        <f>VLOOKUP($U111,'坦克涂装-作废'!$B$23:$I$99,MATCH(Z$6,'坦克涂装-作废'!$B$23:$I$23,0),FALSE)</f>
        <v>1371.1578947368416</v>
      </c>
      <c r="AA111" s="158"/>
      <c r="AB111" s="158"/>
      <c r="AC111" s="158"/>
      <c r="AD111" s="158"/>
      <c r="AE111" s="158"/>
      <c r="AF111" s="158"/>
      <c r="AG111" s="158"/>
      <c r="AH111" s="158"/>
      <c r="AI111" s="158"/>
    </row>
    <row r="112" spans="2:35" x14ac:dyDescent="0.35">
      <c r="T112" s="256" t="str">
        <f>W112&amp;V112&amp;LEFT(道具价值!R1093)&amp;LEFT(X112,1)&amp;LEFT(Y112,1)</f>
        <v>T4中轻图半</v>
      </c>
      <c r="U112" s="256">
        <f>IF(V111="重",U111+1,U111)</f>
        <v>36</v>
      </c>
      <c r="V112" s="256" t="str">
        <f>V109</f>
        <v>轻</v>
      </c>
      <c r="W112" s="256" t="str">
        <f>VLOOKUP($U112,'坦克涂装-作废'!$B$23:$I$99,MATCH(W$6,'坦克涂装-作废'!$B$23:$I$23,0),FALSE)</f>
        <v>T4中</v>
      </c>
      <c r="X112" s="256" t="str">
        <f>VLOOKUP($U112,'坦克涂装-作废'!$B$23:$I$99,MATCH(X$6,'坦克涂装-作废'!$B$23:$I$23,0),FALSE)</f>
        <v>图案</v>
      </c>
      <c r="Y112" s="256" t="str">
        <f>VLOOKUP($U112,'坦克涂装-作废'!$B$23:$I$99,MATCH(Y$6,'坦克涂装-作废'!$B$23:$I$23,0),FALSE)</f>
        <v>半月</v>
      </c>
      <c r="Z112" s="159">
        <f>VLOOKUP($U112,'坦克涂装-作废'!$B$23:$I$99,MATCH(Z$6,'坦克涂装-作废'!$B$23:$I$23,0),FALSE)</f>
        <v>2742.3157894736833</v>
      </c>
      <c r="AA112" s="158"/>
      <c r="AB112" s="158"/>
      <c r="AC112" s="158"/>
      <c r="AD112" s="158"/>
      <c r="AE112" s="158"/>
      <c r="AF112" s="158"/>
      <c r="AG112" s="158"/>
      <c r="AH112" s="158"/>
      <c r="AI112" s="158"/>
    </row>
    <row r="113" spans="20:35" x14ac:dyDescent="0.35">
      <c r="T113" s="256" t="str">
        <f>W113&amp;V113&amp;LEFT(道具价值!R1094)&amp;LEFT(X113,1)&amp;LEFT(Y113,1)</f>
        <v>T4中中图半</v>
      </c>
      <c r="U113" s="256">
        <f>IF(V112="重",U112+1,U112)</f>
        <v>36</v>
      </c>
      <c r="V113" s="256" t="str">
        <f>V110</f>
        <v>中</v>
      </c>
      <c r="W113" s="256" t="str">
        <f>VLOOKUP($U113,'坦克涂装-作废'!$B$23:$I$99,MATCH(W$6,'坦克涂装-作废'!$B$23:$I$23,0),FALSE)</f>
        <v>T4中</v>
      </c>
      <c r="X113" s="256" t="str">
        <f>VLOOKUP($U113,'坦克涂装-作废'!$B$23:$I$99,MATCH(X$6,'坦克涂装-作废'!$B$23:$I$23,0),FALSE)</f>
        <v>图案</v>
      </c>
      <c r="Y113" s="256" t="str">
        <f>VLOOKUP($U113,'坦克涂装-作废'!$B$23:$I$99,MATCH(Y$6,'坦克涂装-作废'!$B$23:$I$23,0),FALSE)</f>
        <v>半月</v>
      </c>
      <c r="Z113" s="159">
        <f>VLOOKUP($U113,'坦克涂装-作废'!$B$23:$I$99,MATCH(Z$6,'坦克涂装-作废'!$B$23:$I$23,0),FALSE)</f>
        <v>2742.3157894736833</v>
      </c>
      <c r="AA113" s="158"/>
      <c r="AB113" s="158"/>
      <c r="AC113" s="158"/>
      <c r="AD113" s="158"/>
      <c r="AE113" s="158"/>
      <c r="AF113" s="158"/>
      <c r="AG113" s="158"/>
      <c r="AH113" s="158"/>
      <c r="AI113" s="158"/>
    </row>
    <row r="114" spans="20:35" x14ac:dyDescent="0.35">
      <c r="T114" s="256" t="str">
        <f>W114&amp;V114&amp;LEFT(道具价值!R1095)&amp;LEFT(X114,1)&amp;LEFT(Y114,1)</f>
        <v>T4中重图半</v>
      </c>
      <c r="U114" s="256">
        <f>IF(V113="重",U113+1,U113)</f>
        <v>36</v>
      </c>
      <c r="V114" s="256" t="str">
        <f>V111</f>
        <v>重</v>
      </c>
      <c r="W114" s="256" t="str">
        <f>VLOOKUP($U114,'坦克涂装-作废'!$B$23:$I$99,MATCH(W$6,'坦克涂装-作废'!$B$23:$I$23,0),FALSE)</f>
        <v>T4中</v>
      </c>
      <c r="X114" s="256" t="str">
        <f>VLOOKUP($U114,'坦克涂装-作废'!$B$23:$I$99,MATCH(X$6,'坦克涂装-作废'!$B$23:$I$23,0),FALSE)</f>
        <v>图案</v>
      </c>
      <c r="Y114" s="256" t="str">
        <f>VLOOKUP($U114,'坦克涂装-作废'!$B$23:$I$99,MATCH(Y$6,'坦克涂装-作废'!$B$23:$I$23,0),FALSE)</f>
        <v>半月</v>
      </c>
      <c r="Z114" s="159">
        <f>VLOOKUP($U114,'坦克涂装-作废'!$B$23:$I$99,MATCH(Z$6,'坦克涂装-作废'!$B$23:$I$23,0),FALSE)</f>
        <v>2742.3157894736833</v>
      </c>
      <c r="AA114" s="158"/>
      <c r="AB114" s="158"/>
      <c r="AC114" s="158"/>
      <c r="AD114" s="158"/>
      <c r="AE114" s="158"/>
      <c r="AF114" s="158"/>
      <c r="AG114" s="158"/>
      <c r="AH114" s="158"/>
      <c r="AI114" s="158"/>
    </row>
    <row r="115" spans="20:35" x14ac:dyDescent="0.35">
      <c r="T115" s="256" t="str">
        <f>W115&amp;V115&amp;LEFT(道具价值!R1096)&amp;LEFT(X115,1)&amp;LEFT(Y115,1)</f>
        <v>T4中轻图永</v>
      </c>
      <c r="U115" s="256">
        <f>IF(V114="重",U114+1,U114)</f>
        <v>37</v>
      </c>
      <c r="V115" s="256" t="str">
        <f>V112</f>
        <v>轻</v>
      </c>
      <c r="W115" s="256" t="str">
        <f>VLOOKUP($U115,'坦克涂装-作废'!$B$23:$I$99,MATCH(W$6,'坦克涂装-作废'!$B$23:$I$23,0),FALSE)</f>
        <v>T4中</v>
      </c>
      <c r="X115" s="256" t="str">
        <f>VLOOKUP($U115,'坦克涂装-作废'!$B$23:$I$99,MATCH(X$6,'坦克涂装-作废'!$B$23:$I$23,0),FALSE)</f>
        <v>图案</v>
      </c>
      <c r="Y115" s="256" t="str">
        <f>VLOOKUP($U115,'坦克涂装-作废'!$B$23:$I$99,MATCH(Y$6,'坦克涂装-作废'!$B$23:$I$23,0),FALSE)</f>
        <v>永久</v>
      </c>
      <c r="Z115" s="159">
        <f>VLOOKUP($U115,'坦克涂装-作废'!$B$23:$I$99,MATCH(Z$6,'坦克涂装-作废'!$B$23:$I$23,0),FALSE)</f>
        <v>10969.263157894735</v>
      </c>
      <c r="AA115" s="158"/>
      <c r="AB115" s="158"/>
      <c r="AC115" s="158"/>
      <c r="AD115" s="158"/>
      <c r="AE115" s="158"/>
      <c r="AF115" s="158"/>
      <c r="AG115" s="158"/>
      <c r="AH115" s="158"/>
      <c r="AI115" s="158"/>
    </row>
    <row r="116" spans="20:35" x14ac:dyDescent="0.35">
      <c r="T116" s="256" t="str">
        <f>W116&amp;V116&amp;LEFT(道具价值!R1097)&amp;LEFT(X116,1)&amp;LEFT(Y116,1)</f>
        <v>T4中中图永</v>
      </c>
      <c r="U116" s="256">
        <f>IF(V115="重",U115+1,U115)</f>
        <v>37</v>
      </c>
      <c r="V116" s="256" t="str">
        <f>V113</f>
        <v>中</v>
      </c>
      <c r="W116" s="256" t="str">
        <f>VLOOKUP($U116,'坦克涂装-作废'!$B$23:$I$99,MATCH(W$6,'坦克涂装-作废'!$B$23:$I$23,0),FALSE)</f>
        <v>T4中</v>
      </c>
      <c r="X116" s="256" t="str">
        <f>VLOOKUP($U116,'坦克涂装-作废'!$B$23:$I$99,MATCH(X$6,'坦克涂装-作废'!$B$23:$I$23,0),FALSE)</f>
        <v>图案</v>
      </c>
      <c r="Y116" s="256" t="str">
        <f>VLOOKUP($U116,'坦克涂装-作废'!$B$23:$I$99,MATCH(Y$6,'坦克涂装-作废'!$B$23:$I$23,0),FALSE)</f>
        <v>永久</v>
      </c>
      <c r="Z116" s="159">
        <f>VLOOKUP($U116,'坦克涂装-作废'!$B$23:$I$99,MATCH(Z$6,'坦克涂装-作废'!$B$23:$I$23,0),FALSE)</f>
        <v>10969.263157894735</v>
      </c>
      <c r="AA116" s="158"/>
      <c r="AB116" s="158"/>
      <c r="AC116" s="158"/>
      <c r="AD116" s="158"/>
      <c r="AE116" s="158"/>
      <c r="AF116" s="158"/>
      <c r="AG116" s="158"/>
      <c r="AH116" s="158"/>
      <c r="AI116" s="158"/>
    </row>
    <row r="117" spans="20:35" x14ac:dyDescent="0.35">
      <c r="T117" s="256" t="str">
        <f>W117&amp;V117&amp;LEFT(道具价值!R1098)&amp;LEFT(X117,1)&amp;LEFT(Y117,1)</f>
        <v>T4中重图永</v>
      </c>
      <c r="U117" s="256">
        <f>IF(V116="重",U116+1,U116)</f>
        <v>37</v>
      </c>
      <c r="V117" s="256" t="str">
        <f>V114</f>
        <v>重</v>
      </c>
      <c r="W117" s="256" t="str">
        <f>VLOOKUP($U117,'坦克涂装-作废'!$B$23:$I$99,MATCH(W$6,'坦克涂装-作废'!$B$23:$I$23,0),FALSE)</f>
        <v>T4中</v>
      </c>
      <c r="X117" s="256" t="str">
        <f>VLOOKUP($U117,'坦克涂装-作废'!$B$23:$I$99,MATCH(X$6,'坦克涂装-作废'!$B$23:$I$23,0),FALSE)</f>
        <v>图案</v>
      </c>
      <c r="Y117" s="256" t="str">
        <f>VLOOKUP($U117,'坦克涂装-作废'!$B$23:$I$99,MATCH(Y$6,'坦克涂装-作废'!$B$23:$I$23,0),FALSE)</f>
        <v>永久</v>
      </c>
      <c r="Z117" s="159">
        <f>VLOOKUP($U117,'坦克涂装-作废'!$B$23:$I$99,MATCH(Z$6,'坦克涂装-作废'!$B$23:$I$23,0),FALSE)</f>
        <v>10969.263157894735</v>
      </c>
      <c r="AA117" s="158"/>
      <c r="AB117" s="158"/>
      <c r="AC117" s="158"/>
      <c r="AD117" s="158"/>
      <c r="AE117" s="158"/>
      <c r="AF117" s="158"/>
      <c r="AG117" s="158"/>
      <c r="AH117" s="158"/>
      <c r="AI117" s="158"/>
    </row>
    <row r="118" spans="20:35" x14ac:dyDescent="0.35">
      <c r="T118" s="256" t="str">
        <f>W118&amp;V118&amp;LEFT(道具价值!R1099)&amp;LEFT(X118,1)&amp;LEFT(Y118,1)</f>
        <v>T4中轻模三</v>
      </c>
      <c r="U118" s="256">
        <f>IF(V117="重",U117+1,U117)</f>
        <v>38</v>
      </c>
      <c r="V118" s="256" t="str">
        <f>V115</f>
        <v>轻</v>
      </c>
      <c r="W118" s="256" t="str">
        <f>VLOOKUP($U118,'坦克涂装-作废'!$B$23:$I$99,MATCH(W$6,'坦克涂装-作废'!$B$23:$I$23,0),FALSE)</f>
        <v>T4中</v>
      </c>
      <c r="X118" s="256" t="str">
        <f>VLOOKUP($U118,'坦克涂装-作废'!$B$23:$I$99,MATCH(X$6,'坦克涂装-作废'!$B$23:$I$23,0),FALSE)</f>
        <v>模型</v>
      </c>
      <c r="Y118" s="256" t="str">
        <f>VLOOKUP($U118,'坦克涂装-作废'!$B$23:$I$99,MATCH(Y$6,'坦克涂装-作废'!$B$23:$I$23,0),FALSE)</f>
        <v>三天</v>
      </c>
      <c r="Z118" s="159">
        <f>VLOOKUP($U118,'坦克涂装-作废'!$B$23:$I$99,MATCH(Z$6,'坦克涂装-作废'!$B$23:$I$23,0),FALSE)</f>
        <v>2056.7368421052633</v>
      </c>
      <c r="AA118" s="158"/>
      <c r="AB118" s="158"/>
      <c r="AC118" s="158"/>
      <c r="AD118" s="158"/>
      <c r="AE118" s="158"/>
      <c r="AF118" s="158"/>
      <c r="AG118" s="158"/>
      <c r="AH118" s="158"/>
      <c r="AI118" s="158"/>
    </row>
    <row r="119" spans="20:35" x14ac:dyDescent="0.35">
      <c r="T119" s="256" t="str">
        <f>W119&amp;V119&amp;LEFT(道具价值!R1100)&amp;LEFT(X119,1)&amp;LEFT(Y119,1)</f>
        <v>T4中中模三</v>
      </c>
      <c r="U119" s="256">
        <f>IF(V118="重",U118+1,U118)</f>
        <v>38</v>
      </c>
      <c r="V119" s="256" t="str">
        <f>V116</f>
        <v>中</v>
      </c>
      <c r="W119" s="256" t="str">
        <f>VLOOKUP($U119,'坦克涂装-作废'!$B$23:$I$99,MATCH(W$6,'坦克涂装-作废'!$B$23:$I$23,0),FALSE)</f>
        <v>T4中</v>
      </c>
      <c r="X119" s="256" t="str">
        <f>VLOOKUP($U119,'坦克涂装-作废'!$B$23:$I$99,MATCH(X$6,'坦克涂装-作废'!$B$23:$I$23,0),FALSE)</f>
        <v>模型</v>
      </c>
      <c r="Y119" s="256" t="str">
        <f>VLOOKUP($U119,'坦克涂装-作废'!$B$23:$I$99,MATCH(Y$6,'坦克涂装-作废'!$B$23:$I$23,0),FALSE)</f>
        <v>三天</v>
      </c>
      <c r="Z119" s="159">
        <f>VLOOKUP($U119,'坦克涂装-作废'!$B$23:$I$99,MATCH(Z$6,'坦克涂装-作废'!$B$23:$I$23,0),FALSE)</f>
        <v>2056.7368421052633</v>
      </c>
      <c r="AA119" s="158"/>
      <c r="AB119" s="158"/>
      <c r="AC119" s="158"/>
      <c r="AD119" s="158"/>
      <c r="AE119" s="158"/>
      <c r="AF119" s="158"/>
      <c r="AG119" s="158"/>
      <c r="AH119" s="158"/>
      <c r="AI119" s="158"/>
    </row>
    <row r="120" spans="20:35" x14ac:dyDescent="0.35">
      <c r="T120" s="256" t="str">
        <f>W120&amp;V120&amp;LEFT(道具价值!R1101)&amp;LEFT(X120,1)&amp;LEFT(Y120,1)</f>
        <v>T4中重模三</v>
      </c>
      <c r="U120" s="256">
        <f>IF(V119="重",U119+1,U119)</f>
        <v>38</v>
      </c>
      <c r="V120" s="256" t="str">
        <f>V117</f>
        <v>重</v>
      </c>
      <c r="W120" s="256" t="str">
        <f>VLOOKUP($U120,'坦克涂装-作废'!$B$23:$I$99,MATCH(W$6,'坦克涂装-作废'!$B$23:$I$23,0),FALSE)</f>
        <v>T4中</v>
      </c>
      <c r="X120" s="256" t="str">
        <f>VLOOKUP($U120,'坦克涂装-作废'!$B$23:$I$99,MATCH(X$6,'坦克涂装-作废'!$B$23:$I$23,0),FALSE)</f>
        <v>模型</v>
      </c>
      <c r="Y120" s="256" t="str">
        <f>VLOOKUP($U120,'坦克涂装-作废'!$B$23:$I$99,MATCH(Y$6,'坦克涂装-作废'!$B$23:$I$23,0),FALSE)</f>
        <v>三天</v>
      </c>
      <c r="Z120" s="159">
        <f>VLOOKUP($U120,'坦克涂装-作废'!$B$23:$I$99,MATCH(Z$6,'坦克涂装-作废'!$B$23:$I$23,0),FALSE)</f>
        <v>2056.7368421052633</v>
      </c>
      <c r="AA120" s="158"/>
      <c r="AB120" s="158"/>
      <c r="AC120" s="158"/>
      <c r="AD120" s="158"/>
      <c r="AE120" s="158"/>
      <c r="AF120" s="158"/>
      <c r="AG120" s="158"/>
      <c r="AH120" s="158"/>
      <c r="AI120" s="158"/>
    </row>
    <row r="121" spans="20:35" x14ac:dyDescent="0.35">
      <c r="T121" s="256" t="str">
        <f>W121&amp;V121&amp;LEFT(道具价值!R1102)&amp;LEFT(X121,1)&amp;LEFT(Y121,1)</f>
        <v>T4中轻模半</v>
      </c>
      <c r="U121" s="256">
        <f>IF(V120="重",U120+1,U120)</f>
        <v>39</v>
      </c>
      <c r="V121" s="256" t="str">
        <f>V118</f>
        <v>轻</v>
      </c>
      <c r="W121" s="256" t="str">
        <f>VLOOKUP($U121,'坦克涂装-作废'!$B$23:$I$99,MATCH(W$6,'坦克涂装-作废'!$B$23:$I$23,0),FALSE)</f>
        <v>T4中</v>
      </c>
      <c r="X121" s="256" t="str">
        <f>VLOOKUP($U121,'坦克涂装-作废'!$B$23:$I$99,MATCH(X$6,'坦克涂装-作废'!$B$23:$I$23,0),FALSE)</f>
        <v>模型</v>
      </c>
      <c r="Y121" s="256" t="str">
        <f>VLOOKUP($U121,'坦克涂装-作废'!$B$23:$I$99,MATCH(Y$6,'坦克涂装-作废'!$B$23:$I$23,0),FALSE)</f>
        <v>半月</v>
      </c>
      <c r="Z121" s="159">
        <f>VLOOKUP($U121,'坦克涂装-作废'!$B$23:$I$99,MATCH(Z$6,'坦克涂装-作废'!$B$23:$I$23,0),FALSE)</f>
        <v>4570.5263157894733</v>
      </c>
      <c r="AA121" s="158"/>
      <c r="AB121" s="158"/>
      <c r="AC121" s="158"/>
      <c r="AD121" s="158"/>
      <c r="AE121" s="158"/>
      <c r="AF121" s="158"/>
      <c r="AG121" s="158"/>
      <c r="AH121" s="158"/>
      <c r="AI121" s="158"/>
    </row>
    <row r="122" spans="20:35" x14ac:dyDescent="0.35">
      <c r="T122" s="256" t="str">
        <f>W122&amp;V122&amp;LEFT(道具价值!R1103)&amp;LEFT(X122,1)&amp;LEFT(Y122,1)</f>
        <v>T4中中模半</v>
      </c>
      <c r="U122" s="256">
        <f>IF(V121="重",U121+1,U121)</f>
        <v>39</v>
      </c>
      <c r="V122" s="256" t="str">
        <f>V119</f>
        <v>中</v>
      </c>
      <c r="W122" s="256" t="str">
        <f>VLOOKUP($U122,'坦克涂装-作废'!$B$23:$I$99,MATCH(W$6,'坦克涂装-作废'!$B$23:$I$23,0),FALSE)</f>
        <v>T4中</v>
      </c>
      <c r="X122" s="256" t="str">
        <f>VLOOKUP($U122,'坦克涂装-作废'!$B$23:$I$99,MATCH(X$6,'坦克涂装-作废'!$B$23:$I$23,0),FALSE)</f>
        <v>模型</v>
      </c>
      <c r="Y122" s="256" t="str">
        <f>VLOOKUP($U122,'坦克涂装-作废'!$B$23:$I$99,MATCH(Y$6,'坦克涂装-作废'!$B$23:$I$23,0),FALSE)</f>
        <v>半月</v>
      </c>
      <c r="Z122" s="159">
        <f>VLOOKUP($U122,'坦克涂装-作废'!$B$23:$I$99,MATCH(Z$6,'坦克涂装-作废'!$B$23:$I$23,0),FALSE)</f>
        <v>4570.5263157894733</v>
      </c>
      <c r="AA122" s="158"/>
      <c r="AB122" s="158"/>
      <c r="AC122" s="158"/>
      <c r="AD122" s="158"/>
      <c r="AE122" s="158"/>
      <c r="AF122" s="158"/>
      <c r="AG122" s="158"/>
      <c r="AH122" s="158"/>
      <c r="AI122" s="158"/>
    </row>
    <row r="123" spans="20:35" x14ac:dyDescent="0.35">
      <c r="T123" s="256" t="str">
        <f>W123&amp;V123&amp;LEFT(道具价值!R1104)&amp;LEFT(X123,1)&amp;LEFT(Y123,1)</f>
        <v>T4中重模半</v>
      </c>
      <c r="U123" s="256">
        <f>IF(V122="重",U122+1,U122)</f>
        <v>39</v>
      </c>
      <c r="V123" s="256" t="str">
        <f>V120</f>
        <v>重</v>
      </c>
      <c r="W123" s="256" t="str">
        <f>VLOOKUP($U123,'坦克涂装-作废'!$B$23:$I$99,MATCH(W$6,'坦克涂装-作废'!$B$23:$I$23,0),FALSE)</f>
        <v>T4中</v>
      </c>
      <c r="X123" s="256" t="str">
        <f>VLOOKUP($U123,'坦克涂装-作废'!$B$23:$I$99,MATCH(X$6,'坦克涂装-作废'!$B$23:$I$23,0),FALSE)</f>
        <v>模型</v>
      </c>
      <c r="Y123" s="256" t="str">
        <f>VLOOKUP($U123,'坦克涂装-作废'!$B$23:$I$99,MATCH(Y$6,'坦克涂装-作废'!$B$23:$I$23,0),FALSE)</f>
        <v>半月</v>
      </c>
      <c r="Z123" s="159">
        <f>VLOOKUP($U123,'坦克涂装-作废'!$B$23:$I$99,MATCH(Z$6,'坦克涂装-作废'!$B$23:$I$23,0),FALSE)</f>
        <v>4570.5263157894733</v>
      </c>
      <c r="AA123" s="158"/>
      <c r="AB123" s="158"/>
      <c r="AC123" s="158"/>
      <c r="AD123" s="158"/>
      <c r="AE123" s="158"/>
      <c r="AF123" s="158"/>
      <c r="AG123" s="158"/>
      <c r="AH123" s="158"/>
      <c r="AI123" s="158"/>
    </row>
    <row r="124" spans="20:35" x14ac:dyDescent="0.35">
      <c r="T124" s="256" t="str">
        <f>W124&amp;V124&amp;LEFT(道具价值!R1105)&amp;LEFT(X124,1)&amp;LEFT(Y124,1)</f>
        <v>T4中轻模永</v>
      </c>
      <c r="U124" s="256">
        <f>IF(V123="重",U123+1,U123)</f>
        <v>40</v>
      </c>
      <c r="V124" s="256" t="str">
        <f>V121</f>
        <v>轻</v>
      </c>
      <c r="W124" s="256" t="str">
        <f>VLOOKUP($U124,'坦克涂装-作废'!$B$23:$I$99,MATCH(W$6,'坦克涂装-作废'!$B$23:$I$23,0),FALSE)</f>
        <v>T4中</v>
      </c>
      <c r="X124" s="256" t="str">
        <f>VLOOKUP($U124,'坦克涂装-作废'!$B$23:$I$99,MATCH(X$6,'坦克涂装-作废'!$B$23:$I$23,0),FALSE)</f>
        <v>模型</v>
      </c>
      <c r="Y124" s="256" t="str">
        <f>VLOOKUP($U124,'坦克涂装-作废'!$B$23:$I$99,MATCH(Y$6,'坦克涂装-作废'!$B$23:$I$23,0),FALSE)</f>
        <v>永久</v>
      </c>
      <c r="Z124" s="159">
        <f>VLOOKUP($U124,'坦克涂装-作废'!$B$23:$I$99,MATCH(Z$6,'坦克涂装-作废'!$B$23:$I$23,0),FALSE)</f>
        <v>14625.684210526313</v>
      </c>
      <c r="AA124" s="158"/>
      <c r="AB124" s="158"/>
      <c r="AC124" s="158"/>
      <c r="AD124" s="158"/>
      <c r="AE124" s="158"/>
      <c r="AF124" s="158"/>
      <c r="AG124" s="158"/>
      <c r="AH124" s="158"/>
      <c r="AI124" s="158"/>
    </row>
    <row r="125" spans="20:35" x14ac:dyDescent="0.35">
      <c r="T125" s="256" t="str">
        <f>W125&amp;V125&amp;LEFT(道具价值!R1106)&amp;LEFT(X125,1)&amp;LEFT(Y125,1)</f>
        <v>T4中中模永</v>
      </c>
      <c r="U125" s="256">
        <f>IF(V124="重",U124+1,U124)</f>
        <v>40</v>
      </c>
      <c r="V125" s="256" t="str">
        <f>V122</f>
        <v>中</v>
      </c>
      <c r="W125" s="256" t="str">
        <f>VLOOKUP($U125,'坦克涂装-作废'!$B$23:$I$99,MATCH(W$6,'坦克涂装-作废'!$B$23:$I$23,0),FALSE)</f>
        <v>T4中</v>
      </c>
      <c r="X125" s="256" t="str">
        <f>VLOOKUP($U125,'坦克涂装-作废'!$B$23:$I$99,MATCH(X$6,'坦克涂装-作废'!$B$23:$I$23,0),FALSE)</f>
        <v>模型</v>
      </c>
      <c r="Y125" s="256" t="str">
        <f>VLOOKUP($U125,'坦克涂装-作废'!$B$23:$I$99,MATCH(Y$6,'坦克涂装-作废'!$B$23:$I$23,0),FALSE)</f>
        <v>永久</v>
      </c>
      <c r="Z125" s="159">
        <f>VLOOKUP($U125,'坦克涂装-作废'!$B$23:$I$99,MATCH(Z$6,'坦克涂装-作废'!$B$23:$I$23,0),FALSE)</f>
        <v>14625.684210526313</v>
      </c>
      <c r="AA125" s="158"/>
      <c r="AB125" s="158"/>
      <c r="AC125" s="158"/>
      <c r="AD125" s="158"/>
      <c r="AE125" s="158"/>
      <c r="AF125" s="158"/>
      <c r="AG125" s="158"/>
      <c r="AH125" s="158"/>
      <c r="AI125" s="158"/>
    </row>
    <row r="126" spans="20:35" x14ac:dyDescent="0.35">
      <c r="T126" s="256" t="str">
        <f>W126&amp;V126&amp;LEFT(道具价值!R1107)&amp;LEFT(X126,1)&amp;LEFT(Y126,1)</f>
        <v>T4中重模永</v>
      </c>
      <c r="U126" s="256">
        <f>IF(V125="重",U125+1,U125)</f>
        <v>40</v>
      </c>
      <c r="V126" s="256" t="str">
        <f>V123</f>
        <v>重</v>
      </c>
      <c r="W126" s="256" t="str">
        <f>VLOOKUP($U126,'坦克涂装-作废'!$B$23:$I$99,MATCH(W$6,'坦克涂装-作废'!$B$23:$I$23,0),FALSE)</f>
        <v>T4中</v>
      </c>
      <c r="X126" s="256" t="str">
        <f>VLOOKUP($U126,'坦克涂装-作废'!$B$23:$I$99,MATCH(X$6,'坦克涂装-作废'!$B$23:$I$23,0),FALSE)</f>
        <v>模型</v>
      </c>
      <c r="Y126" s="256" t="str">
        <f>VLOOKUP($U126,'坦克涂装-作废'!$B$23:$I$99,MATCH(Y$6,'坦克涂装-作废'!$B$23:$I$23,0),FALSE)</f>
        <v>永久</v>
      </c>
      <c r="Z126" s="159">
        <f>VLOOKUP($U126,'坦克涂装-作废'!$B$23:$I$99,MATCH(Z$6,'坦克涂装-作废'!$B$23:$I$23,0),FALSE)</f>
        <v>14625.684210526313</v>
      </c>
      <c r="AA126" s="158"/>
      <c r="AB126" s="158"/>
      <c r="AC126" s="158"/>
      <c r="AD126" s="158"/>
      <c r="AE126" s="158"/>
      <c r="AF126" s="158"/>
      <c r="AG126" s="158"/>
      <c r="AH126" s="158"/>
      <c r="AI126" s="158"/>
    </row>
    <row r="127" spans="20:35" x14ac:dyDescent="0.35">
      <c r="T127" s="256" t="str">
        <f>W127&amp;V127&amp;LEFT(道具价值!R1108)&amp;LEFT(X127,1)&amp;LEFT(Y127,1)</f>
        <v>T4高轻贴三</v>
      </c>
      <c r="U127" s="256">
        <f>IF(V126="重",U126+1,U126)</f>
        <v>41</v>
      </c>
      <c r="V127" s="256" t="str">
        <f>V124</f>
        <v>轻</v>
      </c>
      <c r="W127" s="256" t="str">
        <f>VLOOKUP($U127,'坦克涂装-作废'!$B$23:$I$99,MATCH(W$6,'坦克涂装-作废'!$B$23:$I$23,0),FALSE)</f>
        <v>T4高</v>
      </c>
      <c r="X127" s="256" t="str">
        <f>VLOOKUP($U127,'坦克涂装-作废'!$B$23:$I$99,MATCH(X$6,'坦克涂装-作废'!$B$23:$I$23,0),FALSE)</f>
        <v>贴花</v>
      </c>
      <c r="Y127" s="256" t="str">
        <f>VLOOKUP($U127,'坦克涂装-作废'!$B$23:$I$99,MATCH(Y$6,'坦克涂装-作废'!$B$23:$I$23,0),FALSE)</f>
        <v>三天</v>
      </c>
      <c r="Z127" s="159">
        <f>VLOOKUP($U127,'坦克涂装-作废'!$B$23:$I$99,MATCH(Z$6,'坦克涂装-作废'!$B$23:$I$23,0),FALSE)</f>
        <v>796.9122807017543</v>
      </c>
      <c r="AA127" s="158"/>
      <c r="AB127" s="158"/>
      <c r="AC127" s="158"/>
      <c r="AD127" s="158"/>
      <c r="AE127" s="158"/>
      <c r="AF127" s="158"/>
      <c r="AG127" s="158"/>
      <c r="AH127" s="158"/>
      <c r="AI127" s="158"/>
    </row>
    <row r="128" spans="20:35" x14ac:dyDescent="0.35">
      <c r="T128" s="256" t="str">
        <f>W128&amp;V128&amp;LEFT(道具价值!R1109)&amp;LEFT(X128,1)&amp;LEFT(Y128,1)</f>
        <v>T4高中贴三</v>
      </c>
      <c r="U128" s="256">
        <f>IF(V127="重",U127+1,U127)</f>
        <v>41</v>
      </c>
      <c r="V128" s="256" t="str">
        <f>V125</f>
        <v>中</v>
      </c>
      <c r="W128" s="256" t="str">
        <f>VLOOKUP($U128,'坦克涂装-作废'!$B$23:$I$99,MATCH(W$6,'坦克涂装-作废'!$B$23:$I$23,0),FALSE)</f>
        <v>T4高</v>
      </c>
      <c r="X128" s="256" t="str">
        <f>VLOOKUP($U128,'坦克涂装-作废'!$B$23:$I$99,MATCH(X$6,'坦克涂装-作废'!$B$23:$I$23,0),FALSE)</f>
        <v>贴花</v>
      </c>
      <c r="Y128" s="256" t="str">
        <f>VLOOKUP($U128,'坦克涂装-作废'!$B$23:$I$99,MATCH(Y$6,'坦克涂装-作废'!$B$23:$I$23,0),FALSE)</f>
        <v>三天</v>
      </c>
      <c r="Z128" s="159">
        <f>VLOOKUP($U128,'坦克涂装-作废'!$B$23:$I$99,MATCH(Z$6,'坦克涂装-作废'!$B$23:$I$23,0),FALSE)</f>
        <v>796.9122807017543</v>
      </c>
      <c r="AA128" s="158"/>
      <c r="AB128" s="158"/>
      <c r="AC128" s="158"/>
      <c r="AD128" s="158"/>
      <c r="AE128" s="158"/>
      <c r="AF128" s="158"/>
      <c r="AG128" s="158"/>
      <c r="AH128" s="158"/>
      <c r="AI128" s="158"/>
    </row>
    <row r="129" spans="20:35" x14ac:dyDescent="0.35">
      <c r="T129" s="256" t="str">
        <f>W129&amp;V129&amp;LEFT(道具价值!R1110)&amp;LEFT(X129,1)&amp;LEFT(Y129,1)</f>
        <v>T4高重贴三</v>
      </c>
      <c r="U129" s="256">
        <f>IF(V128="重",U128+1,U128)</f>
        <v>41</v>
      </c>
      <c r="V129" s="256" t="str">
        <f>V126</f>
        <v>重</v>
      </c>
      <c r="W129" s="256" t="str">
        <f>VLOOKUP($U129,'坦克涂装-作废'!$B$23:$I$99,MATCH(W$6,'坦克涂装-作废'!$B$23:$I$23,0),FALSE)</f>
        <v>T4高</v>
      </c>
      <c r="X129" s="256" t="str">
        <f>VLOOKUP($U129,'坦克涂装-作废'!$B$23:$I$99,MATCH(X$6,'坦克涂装-作废'!$B$23:$I$23,0),FALSE)</f>
        <v>贴花</v>
      </c>
      <c r="Y129" s="256" t="str">
        <f>VLOOKUP($U129,'坦克涂装-作废'!$B$23:$I$99,MATCH(Y$6,'坦克涂装-作废'!$B$23:$I$23,0),FALSE)</f>
        <v>三天</v>
      </c>
      <c r="Z129" s="159">
        <f>VLOOKUP($U129,'坦克涂装-作废'!$B$23:$I$99,MATCH(Z$6,'坦克涂装-作废'!$B$23:$I$23,0),FALSE)</f>
        <v>796.9122807017543</v>
      </c>
      <c r="AA129" s="158"/>
      <c r="AB129" s="158"/>
      <c r="AC129" s="158"/>
      <c r="AD129" s="158"/>
      <c r="AE129" s="158"/>
      <c r="AF129" s="158"/>
      <c r="AG129" s="158"/>
      <c r="AH129" s="158"/>
      <c r="AI129" s="158"/>
    </row>
    <row r="130" spans="20:35" x14ac:dyDescent="0.35">
      <c r="T130" s="256" t="str">
        <f>W130&amp;V130&amp;LEFT(道具价值!R1111)&amp;LEFT(X130,1)&amp;LEFT(Y130,1)</f>
        <v>T4高轻贴半</v>
      </c>
      <c r="U130" s="256">
        <f>IF(V129="重",U129+1,U129)</f>
        <v>42</v>
      </c>
      <c r="V130" s="256" t="str">
        <f>V127</f>
        <v>轻</v>
      </c>
      <c r="W130" s="256" t="str">
        <f>VLOOKUP($U130,'坦克涂装-作废'!$B$23:$I$99,MATCH(W$6,'坦克涂装-作废'!$B$23:$I$23,0),FALSE)</f>
        <v>T4高</v>
      </c>
      <c r="X130" s="256" t="str">
        <f>VLOOKUP($U130,'坦克涂装-作废'!$B$23:$I$99,MATCH(X$6,'坦克涂装-作废'!$B$23:$I$23,0),FALSE)</f>
        <v>贴花</v>
      </c>
      <c r="Y130" s="256" t="str">
        <f>VLOOKUP($U130,'坦克涂装-作废'!$B$23:$I$99,MATCH(Y$6,'坦克涂装-作废'!$B$23:$I$23,0),FALSE)</f>
        <v>半月</v>
      </c>
      <c r="Z130" s="159">
        <f>VLOOKUP($U130,'坦克涂装-作废'!$B$23:$I$99,MATCH(Z$6,'坦克涂装-作废'!$B$23:$I$23,0),FALSE)</f>
        <v>1593.8245614035086</v>
      </c>
      <c r="AA130" s="158"/>
      <c r="AB130" s="158"/>
      <c r="AC130" s="158"/>
      <c r="AD130" s="158"/>
      <c r="AE130" s="158"/>
      <c r="AF130" s="158"/>
      <c r="AG130" s="158"/>
      <c r="AH130" s="158"/>
      <c r="AI130" s="158"/>
    </row>
    <row r="131" spans="20:35" x14ac:dyDescent="0.35">
      <c r="T131" s="256" t="str">
        <f>W131&amp;V131&amp;LEFT(道具价值!R1112)&amp;LEFT(X131,1)&amp;LEFT(Y131,1)</f>
        <v>T4高中贴半</v>
      </c>
      <c r="U131" s="256">
        <f>IF(V130="重",U130+1,U130)</f>
        <v>42</v>
      </c>
      <c r="V131" s="256" t="str">
        <f>V128</f>
        <v>中</v>
      </c>
      <c r="W131" s="256" t="str">
        <f>VLOOKUP($U131,'坦克涂装-作废'!$B$23:$I$99,MATCH(W$6,'坦克涂装-作废'!$B$23:$I$23,0),FALSE)</f>
        <v>T4高</v>
      </c>
      <c r="X131" s="256" t="str">
        <f>VLOOKUP($U131,'坦克涂装-作废'!$B$23:$I$99,MATCH(X$6,'坦克涂装-作废'!$B$23:$I$23,0),FALSE)</f>
        <v>贴花</v>
      </c>
      <c r="Y131" s="256" t="str">
        <f>VLOOKUP($U131,'坦克涂装-作废'!$B$23:$I$99,MATCH(Y$6,'坦克涂装-作废'!$B$23:$I$23,0),FALSE)</f>
        <v>半月</v>
      </c>
      <c r="Z131" s="159">
        <f>VLOOKUP($U131,'坦克涂装-作废'!$B$23:$I$99,MATCH(Z$6,'坦克涂装-作废'!$B$23:$I$23,0),FALSE)</f>
        <v>1593.8245614035086</v>
      </c>
      <c r="AA131" s="158"/>
      <c r="AB131" s="158"/>
      <c r="AC131" s="158"/>
      <c r="AD131" s="158"/>
      <c r="AE131" s="158"/>
      <c r="AF131" s="158"/>
      <c r="AG131" s="158"/>
      <c r="AH131" s="158"/>
      <c r="AI131" s="158"/>
    </row>
    <row r="132" spans="20:35" x14ac:dyDescent="0.35">
      <c r="T132" s="256" t="str">
        <f>W132&amp;V132&amp;LEFT(道具价值!R1113)&amp;LEFT(X132,1)&amp;LEFT(Y132,1)</f>
        <v>T4高重贴半</v>
      </c>
      <c r="U132" s="256">
        <f>IF(V131="重",U131+1,U131)</f>
        <v>42</v>
      </c>
      <c r="V132" s="256" t="str">
        <f>V129</f>
        <v>重</v>
      </c>
      <c r="W132" s="256" t="str">
        <f>VLOOKUP($U132,'坦克涂装-作废'!$B$23:$I$99,MATCH(W$6,'坦克涂装-作废'!$B$23:$I$23,0),FALSE)</f>
        <v>T4高</v>
      </c>
      <c r="X132" s="256" t="str">
        <f>VLOOKUP($U132,'坦克涂装-作废'!$B$23:$I$99,MATCH(X$6,'坦克涂装-作废'!$B$23:$I$23,0),FALSE)</f>
        <v>贴花</v>
      </c>
      <c r="Y132" s="256" t="str">
        <f>VLOOKUP($U132,'坦克涂装-作废'!$B$23:$I$99,MATCH(Y$6,'坦克涂装-作废'!$B$23:$I$23,0),FALSE)</f>
        <v>半月</v>
      </c>
      <c r="Z132" s="159">
        <f>VLOOKUP($U132,'坦克涂装-作废'!$B$23:$I$99,MATCH(Z$6,'坦克涂装-作废'!$B$23:$I$23,0),FALSE)</f>
        <v>1593.8245614035086</v>
      </c>
      <c r="AA132" s="158"/>
      <c r="AB132" s="158"/>
      <c r="AC132" s="158"/>
      <c r="AD132" s="158"/>
      <c r="AE132" s="158"/>
      <c r="AF132" s="158"/>
      <c r="AG132" s="158"/>
      <c r="AH132" s="158"/>
      <c r="AI132" s="158"/>
    </row>
    <row r="133" spans="20:35" x14ac:dyDescent="0.35">
      <c r="T133" s="256" t="str">
        <f>W133&amp;V133&amp;LEFT(道具价值!R1114)&amp;LEFT(X133,1)&amp;LEFT(Y133,1)</f>
        <v>T4高轻贴永</v>
      </c>
      <c r="U133" s="256">
        <f>IF(V132="重",U132+1,U132)</f>
        <v>43</v>
      </c>
      <c r="V133" s="256" t="str">
        <f>V130</f>
        <v>轻</v>
      </c>
      <c r="W133" s="256" t="str">
        <f>VLOOKUP($U133,'坦克涂装-作废'!$B$23:$I$99,MATCH(W$6,'坦克涂装-作废'!$B$23:$I$23,0),FALSE)</f>
        <v>T4高</v>
      </c>
      <c r="X133" s="256" t="str">
        <f>VLOOKUP($U133,'坦克涂装-作废'!$B$23:$I$99,MATCH(X$6,'坦克涂装-作废'!$B$23:$I$23,0),FALSE)</f>
        <v>贴花</v>
      </c>
      <c r="Y133" s="256" t="str">
        <f>VLOOKUP($U133,'坦克涂装-作废'!$B$23:$I$99,MATCH(Y$6,'坦克涂装-作废'!$B$23:$I$23,0),FALSE)</f>
        <v>永久</v>
      </c>
      <c r="Z133" s="159">
        <f>VLOOKUP($U133,'坦克涂装-作废'!$B$23:$I$99,MATCH(Z$6,'坦克涂装-作废'!$B$23:$I$23,0),FALSE)</f>
        <v>4781.4736842105258</v>
      </c>
      <c r="AA133" s="158"/>
      <c r="AB133" s="158"/>
      <c r="AC133" s="158"/>
      <c r="AD133" s="158"/>
      <c r="AE133" s="158"/>
      <c r="AF133" s="158"/>
      <c r="AG133" s="158"/>
      <c r="AH133" s="158"/>
      <c r="AI133" s="158"/>
    </row>
    <row r="134" spans="20:35" x14ac:dyDescent="0.35">
      <c r="T134" s="256" t="str">
        <f>W134&amp;V134&amp;LEFT(道具价值!R1115)&amp;LEFT(X134,1)&amp;LEFT(Y134,1)</f>
        <v>T4高中贴永</v>
      </c>
      <c r="U134" s="256">
        <f>IF(V133="重",U133+1,U133)</f>
        <v>43</v>
      </c>
      <c r="V134" s="256" t="str">
        <f>V131</f>
        <v>中</v>
      </c>
      <c r="W134" s="256" t="str">
        <f>VLOOKUP($U134,'坦克涂装-作废'!$B$23:$I$99,MATCH(W$6,'坦克涂装-作废'!$B$23:$I$23,0),FALSE)</f>
        <v>T4高</v>
      </c>
      <c r="X134" s="256" t="str">
        <f>VLOOKUP($U134,'坦克涂装-作废'!$B$23:$I$99,MATCH(X$6,'坦克涂装-作废'!$B$23:$I$23,0),FALSE)</f>
        <v>贴花</v>
      </c>
      <c r="Y134" s="256" t="str">
        <f>VLOOKUP($U134,'坦克涂装-作废'!$B$23:$I$99,MATCH(Y$6,'坦克涂装-作废'!$B$23:$I$23,0),FALSE)</f>
        <v>永久</v>
      </c>
      <c r="Z134" s="159">
        <f>VLOOKUP($U134,'坦克涂装-作废'!$B$23:$I$99,MATCH(Z$6,'坦克涂装-作废'!$B$23:$I$23,0),FALSE)</f>
        <v>4781.4736842105258</v>
      </c>
      <c r="AA134" s="158"/>
      <c r="AB134" s="158"/>
      <c r="AC134" s="158"/>
      <c r="AD134" s="158"/>
      <c r="AE134" s="158"/>
      <c r="AF134" s="158"/>
      <c r="AG134" s="158"/>
      <c r="AH134" s="158"/>
      <c r="AI134" s="158"/>
    </row>
    <row r="135" spans="20:35" x14ac:dyDescent="0.35">
      <c r="T135" s="256" t="str">
        <f>W135&amp;V135&amp;LEFT(道具价值!R1116)&amp;LEFT(X135,1)&amp;LEFT(Y135,1)</f>
        <v>T4高重贴永</v>
      </c>
      <c r="U135" s="256">
        <f>IF(V134="重",U134+1,U134)</f>
        <v>43</v>
      </c>
      <c r="V135" s="256" t="str">
        <f>V132</f>
        <v>重</v>
      </c>
      <c r="W135" s="256" t="str">
        <f>VLOOKUP($U135,'坦克涂装-作废'!$B$23:$I$99,MATCH(W$6,'坦克涂装-作废'!$B$23:$I$23,0),FALSE)</f>
        <v>T4高</v>
      </c>
      <c r="X135" s="256" t="str">
        <f>VLOOKUP($U135,'坦克涂装-作废'!$B$23:$I$99,MATCH(X$6,'坦克涂装-作废'!$B$23:$I$23,0),FALSE)</f>
        <v>贴花</v>
      </c>
      <c r="Y135" s="256" t="str">
        <f>VLOOKUP($U135,'坦克涂装-作废'!$B$23:$I$99,MATCH(Y$6,'坦克涂装-作废'!$B$23:$I$23,0),FALSE)</f>
        <v>永久</v>
      </c>
      <c r="Z135" s="159">
        <f>VLOOKUP($U135,'坦克涂装-作废'!$B$23:$I$99,MATCH(Z$6,'坦克涂装-作废'!$B$23:$I$23,0),FALSE)</f>
        <v>4781.4736842105258</v>
      </c>
      <c r="AA135" s="158"/>
      <c r="AB135" s="158"/>
      <c r="AC135" s="158"/>
      <c r="AD135" s="158"/>
      <c r="AE135" s="158"/>
      <c r="AF135" s="158"/>
      <c r="AG135" s="158"/>
      <c r="AH135" s="158"/>
      <c r="AI135" s="158"/>
    </row>
    <row r="136" spans="20:35" x14ac:dyDescent="0.35">
      <c r="T136" s="256" t="str">
        <f>W136&amp;V136&amp;LEFT(道具价值!R1117)&amp;LEFT(X136,1)&amp;LEFT(Y136,1)</f>
        <v>T4高轻图三</v>
      </c>
      <c r="U136" s="256">
        <f>IF(V135="重",U135+1,U135)</f>
        <v>44</v>
      </c>
      <c r="V136" s="256" t="str">
        <f>V133</f>
        <v>轻</v>
      </c>
      <c r="W136" s="256" t="str">
        <f>VLOOKUP($U136,'坦克涂装-作废'!$B$23:$I$99,MATCH(W$6,'坦克涂装-作废'!$B$23:$I$23,0),FALSE)</f>
        <v>T4高</v>
      </c>
      <c r="X136" s="256" t="str">
        <f>VLOOKUP($U136,'坦克涂装-作废'!$B$23:$I$99,MATCH(X$6,'坦克涂装-作废'!$B$23:$I$23,0),FALSE)</f>
        <v>图案</v>
      </c>
      <c r="Y136" s="256" t="str">
        <f>VLOOKUP($U136,'坦克涂装-作废'!$B$23:$I$99,MATCH(Y$6,'坦克涂装-作废'!$B$23:$I$23,0),FALSE)</f>
        <v>三天</v>
      </c>
      <c r="Z136" s="159">
        <f>VLOOKUP($U136,'坦克涂装-作废'!$B$23:$I$99,MATCH(Z$6,'坦克涂装-作废'!$B$23:$I$23,0),FALSE)</f>
        <v>1593.8245614035086</v>
      </c>
      <c r="AA136" s="158"/>
      <c r="AB136" s="158"/>
      <c r="AC136" s="158"/>
      <c r="AD136" s="158"/>
      <c r="AE136" s="158"/>
      <c r="AF136" s="158"/>
      <c r="AG136" s="158"/>
      <c r="AH136" s="158"/>
      <c r="AI136" s="158"/>
    </row>
    <row r="137" spans="20:35" x14ac:dyDescent="0.35">
      <c r="T137" s="256" t="str">
        <f>W137&amp;V137&amp;LEFT(道具价值!R1118)&amp;LEFT(X137,1)&amp;LEFT(Y137,1)</f>
        <v>T4高中图三</v>
      </c>
      <c r="U137" s="256">
        <f>IF(V136="重",U136+1,U136)</f>
        <v>44</v>
      </c>
      <c r="V137" s="256" t="str">
        <f>V134</f>
        <v>中</v>
      </c>
      <c r="W137" s="256" t="str">
        <f>VLOOKUP($U137,'坦克涂装-作废'!$B$23:$I$99,MATCH(W$6,'坦克涂装-作废'!$B$23:$I$23,0),FALSE)</f>
        <v>T4高</v>
      </c>
      <c r="X137" s="256" t="str">
        <f>VLOOKUP($U137,'坦克涂装-作废'!$B$23:$I$99,MATCH(X$6,'坦克涂装-作废'!$B$23:$I$23,0),FALSE)</f>
        <v>图案</v>
      </c>
      <c r="Y137" s="256" t="str">
        <f>VLOOKUP($U137,'坦克涂装-作废'!$B$23:$I$99,MATCH(Y$6,'坦克涂装-作废'!$B$23:$I$23,0),FALSE)</f>
        <v>三天</v>
      </c>
      <c r="Z137" s="159">
        <f>VLOOKUP($U137,'坦克涂装-作废'!$B$23:$I$99,MATCH(Z$6,'坦克涂装-作废'!$B$23:$I$23,0),FALSE)</f>
        <v>1593.8245614035086</v>
      </c>
      <c r="AA137" s="158"/>
      <c r="AB137" s="158"/>
      <c r="AC137" s="158"/>
      <c r="AD137" s="158"/>
      <c r="AE137" s="158"/>
      <c r="AF137" s="158"/>
      <c r="AG137" s="158"/>
      <c r="AH137" s="158"/>
      <c r="AI137" s="158"/>
    </row>
    <row r="138" spans="20:35" x14ac:dyDescent="0.35">
      <c r="T138" s="256" t="str">
        <f>W138&amp;V138&amp;LEFT(道具价值!R1119)&amp;LEFT(X138,1)&amp;LEFT(Y138,1)</f>
        <v>T4高重图三</v>
      </c>
      <c r="U138" s="256">
        <f>IF(V137="重",U137+1,U137)</f>
        <v>44</v>
      </c>
      <c r="V138" s="256" t="str">
        <f>V135</f>
        <v>重</v>
      </c>
      <c r="W138" s="256" t="str">
        <f>VLOOKUP($U138,'坦克涂装-作废'!$B$23:$I$99,MATCH(W$6,'坦克涂装-作废'!$B$23:$I$23,0),FALSE)</f>
        <v>T4高</v>
      </c>
      <c r="X138" s="256" t="str">
        <f>VLOOKUP($U138,'坦克涂装-作废'!$B$23:$I$99,MATCH(X$6,'坦克涂装-作废'!$B$23:$I$23,0),FALSE)</f>
        <v>图案</v>
      </c>
      <c r="Y138" s="256" t="str">
        <f>VLOOKUP($U138,'坦克涂装-作废'!$B$23:$I$99,MATCH(Y$6,'坦克涂装-作废'!$B$23:$I$23,0),FALSE)</f>
        <v>三天</v>
      </c>
      <c r="Z138" s="159">
        <f>VLOOKUP($U138,'坦克涂装-作废'!$B$23:$I$99,MATCH(Z$6,'坦克涂装-作废'!$B$23:$I$23,0),FALSE)</f>
        <v>1593.8245614035086</v>
      </c>
      <c r="AA138" s="158"/>
      <c r="AB138" s="158"/>
      <c r="AC138" s="158"/>
      <c r="AD138" s="158"/>
      <c r="AE138" s="158"/>
      <c r="AF138" s="158"/>
      <c r="AG138" s="158"/>
      <c r="AH138" s="158"/>
      <c r="AI138" s="158"/>
    </row>
    <row r="139" spans="20:35" x14ac:dyDescent="0.35">
      <c r="T139" s="256" t="str">
        <f>W139&amp;V139&amp;LEFT(道具价值!R1120)&amp;LEFT(X139,1)&amp;LEFT(Y139,1)</f>
        <v>T4高轻图半</v>
      </c>
      <c r="U139" s="256">
        <f>IF(V138="重",U138+1,U138)</f>
        <v>45</v>
      </c>
      <c r="V139" s="256" t="str">
        <f>V136</f>
        <v>轻</v>
      </c>
      <c r="W139" s="256" t="str">
        <f>VLOOKUP($U139,'坦克涂装-作废'!$B$23:$I$99,MATCH(W$6,'坦克涂装-作废'!$B$23:$I$23,0),FALSE)</f>
        <v>T4高</v>
      </c>
      <c r="X139" s="256" t="str">
        <f>VLOOKUP($U139,'坦克涂装-作废'!$B$23:$I$99,MATCH(X$6,'坦克涂装-作废'!$B$23:$I$23,0),FALSE)</f>
        <v>图案</v>
      </c>
      <c r="Y139" s="256" t="str">
        <f>VLOOKUP($U139,'坦克涂装-作废'!$B$23:$I$99,MATCH(Y$6,'坦克涂装-作废'!$B$23:$I$23,0),FALSE)</f>
        <v>半月</v>
      </c>
      <c r="Z139" s="159">
        <f>VLOOKUP($U139,'坦克涂装-作废'!$B$23:$I$99,MATCH(Z$6,'坦克涂装-作废'!$B$23:$I$23,0),FALSE)</f>
        <v>3187.6491228070172</v>
      </c>
      <c r="AA139" s="158"/>
      <c r="AB139" s="158"/>
      <c r="AC139" s="158"/>
      <c r="AD139" s="158"/>
      <c r="AE139" s="158"/>
      <c r="AF139" s="158"/>
      <c r="AG139" s="158"/>
      <c r="AH139" s="158"/>
      <c r="AI139" s="158"/>
    </row>
    <row r="140" spans="20:35" x14ac:dyDescent="0.35">
      <c r="T140" s="256" t="str">
        <f>W140&amp;V140&amp;LEFT(道具价值!R1121)&amp;LEFT(X140,1)&amp;LEFT(Y140,1)</f>
        <v>T4高中图半</v>
      </c>
      <c r="U140" s="256">
        <f>IF(V139="重",U139+1,U139)</f>
        <v>45</v>
      </c>
      <c r="V140" s="256" t="str">
        <f>V137</f>
        <v>中</v>
      </c>
      <c r="W140" s="256" t="str">
        <f>VLOOKUP($U140,'坦克涂装-作废'!$B$23:$I$99,MATCH(W$6,'坦克涂装-作废'!$B$23:$I$23,0),FALSE)</f>
        <v>T4高</v>
      </c>
      <c r="X140" s="256" t="str">
        <f>VLOOKUP($U140,'坦克涂装-作废'!$B$23:$I$99,MATCH(X$6,'坦克涂装-作废'!$B$23:$I$23,0),FALSE)</f>
        <v>图案</v>
      </c>
      <c r="Y140" s="256" t="str">
        <f>VLOOKUP($U140,'坦克涂装-作废'!$B$23:$I$99,MATCH(Y$6,'坦克涂装-作废'!$B$23:$I$23,0),FALSE)</f>
        <v>半月</v>
      </c>
      <c r="Z140" s="159">
        <f>VLOOKUP($U140,'坦克涂装-作废'!$B$23:$I$99,MATCH(Z$6,'坦克涂装-作废'!$B$23:$I$23,0),FALSE)</f>
        <v>3187.6491228070172</v>
      </c>
      <c r="AA140" s="158"/>
      <c r="AB140" s="158"/>
      <c r="AC140" s="158"/>
      <c r="AD140" s="158"/>
      <c r="AE140" s="158"/>
      <c r="AF140" s="158"/>
      <c r="AG140" s="158"/>
      <c r="AH140" s="158"/>
      <c r="AI140" s="158"/>
    </row>
    <row r="141" spans="20:35" x14ac:dyDescent="0.35">
      <c r="T141" s="256" t="str">
        <f>W141&amp;V141&amp;LEFT(道具价值!R1122)&amp;LEFT(X141,1)&amp;LEFT(Y141,1)</f>
        <v>T4高重图半</v>
      </c>
      <c r="U141" s="256">
        <f>IF(V140="重",U140+1,U140)</f>
        <v>45</v>
      </c>
      <c r="V141" s="256" t="str">
        <f>V138</f>
        <v>重</v>
      </c>
      <c r="W141" s="256" t="str">
        <f>VLOOKUP($U141,'坦克涂装-作废'!$B$23:$I$99,MATCH(W$6,'坦克涂装-作废'!$B$23:$I$23,0),FALSE)</f>
        <v>T4高</v>
      </c>
      <c r="X141" s="256" t="str">
        <f>VLOOKUP($U141,'坦克涂装-作废'!$B$23:$I$99,MATCH(X$6,'坦克涂装-作废'!$B$23:$I$23,0),FALSE)</f>
        <v>图案</v>
      </c>
      <c r="Y141" s="256" t="str">
        <f>VLOOKUP($U141,'坦克涂装-作废'!$B$23:$I$99,MATCH(Y$6,'坦克涂装-作废'!$B$23:$I$23,0),FALSE)</f>
        <v>半月</v>
      </c>
      <c r="Z141" s="159">
        <f>VLOOKUP($U141,'坦克涂装-作废'!$B$23:$I$99,MATCH(Z$6,'坦克涂装-作废'!$B$23:$I$23,0),FALSE)</f>
        <v>3187.6491228070172</v>
      </c>
      <c r="AA141" s="158"/>
      <c r="AB141" s="158"/>
      <c r="AC141" s="158"/>
      <c r="AD141" s="158"/>
      <c r="AE141" s="158"/>
      <c r="AF141" s="158"/>
      <c r="AG141" s="158"/>
      <c r="AH141" s="158"/>
      <c r="AI141" s="158"/>
    </row>
    <row r="142" spans="20:35" x14ac:dyDescent="0.35">
      <c r="T142" s="256" t="str">
        <f>W142&amp;V142&amp;LEFT(道具价值!R1123)&amp;LEFT(X142,1)&amp;LEFT(Y142,1)</f>
        <v>T4高轻图永</v>
      </c>
      <c r="U142" s="256">
        <f>IF(V141="重",U141+1,U141)</f>
        <v>46</v>
      </c>
      <c r="V142" s="256" t="str">
        <f>V139</f>
        <v>轻</v>
      </c>
      <c r="W142" s="256" t="str">
        <f>VLOOKUP($U142,'坦克涂装-作废'!$B$23:$I$99,MATCH(W$6,'坦克涂装-作废'!$B$23:$I$23,0),FALSE)</f>
        <v>T4高</v>
      </c>
      <c r="X142" s="256" t="str">
        <f>VLOOKUP($U142,'坦克涂装-作废'!$B$23:$I$99,MATCH(X$6,'坦克涂装-作废'!$B$23:$I$23,0),FALSE)</f>
        <v>图案</v>
      </c>
      <c r="Y142" s="256" t="str">
        <f>VLOOKUP($U142,'坦克涂装-作废'!$B$23:$I$99,MATCH(Y$6,'坦克涂装-作废'!$B$23:$I$23,0),FALSE)</f>
        <v>永久</v>
      </c>
      <c r="Z142" s="159">
        <f>VLOOKUP($U142,'坦克涂装-作废'!$B$23:$I$99,MATCH(Z$6,'坦克涂装-作废'!$B$23:$I$23,0),FALSE)</f>
        <v>9562.9473684210534</v>
      </c>
      <c r="AA142" s="158"/>
      <c r="AB142" s="158"/>
      <c r="AC142" s="158"/>
      <c r="AD142" s="158"/>
      <c r="AE142" s="158"/>
      <c r="AF142" s="158"/>
      <c r="AG142" s="158"/>
      <c r="AH142" s="158"/>
      <c r="AI142" s="158"/>
    </row>
    <row r="143" spans="20:35" x14ac:dyDescent="0.35">
      <c r="T143" s="256" t="str">
        <f>W143&amp;V143&amp;LEFT(道具价值!R1124)&amp;LEFT(X143,1)&amp;LEFT(Y143,1)</f>
        <v>T4高中图永</v>
      </c>
      <c r="U143" s="256">
        <f>IF(V142="重",U142+1,U142)</f>
        <v>46</v>
      </c>
      <c r="V143" s="256" t="str">
        <f>V140</f>
        <v>中</v>
      </c>
      <c r="W143" s="256" t="str">
        <f>VLOOKUP($U143,'坦克涂装-作废'!$B$23:$I$99,MATCH(W$6,'坦克涂装-作废'!$B$23:$I$23,0),FALSE)</f>
        <v>T4高</v>
      </c>
      <c r="X143" s="256" t="str">
        <f>VLOOKUP($U143,'坦克涂装-作废'!$B$23:$I$99,MATCH(X$6,'坦克涂装-作废'!$B$23:$I$23,0),FALSE)</f>
        <v>图案</v>
      </c>
      <c r="Y143" s="256" t="str">
        <f>VLOOKUP($U143,'坦克涂装-作废'!$B$23:$I$99,MATCH(Y$6,'坦克涂装-作废'!$B$23:$I$23,0),FALSE)</f>
        <v>永久</v>
      </c>
      <c r="Z143" s="159">
        <f>VLOOKUP($U143,'坦克涂装-作废'!$B$23:$I$99,MATCH(Z$6,'坦克涂装-作废'!$B$23:$I$23,0),FALSE)</f>
        <v>9562.9473684210534</v>
      </c>
      <c r="AA143" s="158"/>
      <c r="AB143" s="158"/>
      <c r="AC143" s="158"/>
      <c r="AD143" s="158"/>
      <c r="AE143" s="158"/>
      <c r="AF143" s="158"/>
      <c r="AG143" s="158"/>
      <c r="AH143" s="158"/>
      <c r="AI143" s="158"/>
    </row>
    <row r="144" spans="20:35" x14ac:dyDescent="0.35">
      <c r="T144" s="256" t="str">
        <f>W144&amp;V144&amp;LEFT(道具价值!R1125)&amp;LEFT(X144,1)&amp;LEFT(Y144,1)</f>
        <v>T4高重图永</v>
      </c>
      <c r="U144" s="256">
        <f>IF(V143="重",U143+1,U143)</f>
        <v>46</v>
      </c>
      <c r="V144" s="256" t="str">
        <f>V141</f>
        <v>重</v>
      </c>
      <c r="W144" s="256" t="str">
        <f>VLOOKUP($U144,'坦克涂装-作废'!$B$23:$I$99,MATCH(W$6,'坦克涂装-作废'!$B$23:$I$23,0),FALSE)</f>
        <v>T4高</v>
      </c>
      <c r="X144" s="256" t="str">
        <f>VLOOKUP($U144,'坦克涂装-作废'!$B$23:$I$99,MATCH(X$6,'坦克涂装-作废'!$B$23:$I$23,0),FALSE)</f>
        <v>图案</v>
      </c>
      <c r="Y144" s="256" t="str">
        <f>VLOOKUP($U144,'坦克涂装-作废'!$B$23:$I$99,MATCH(Y$6,'坦克涂装-作废'!$B$23:$I$23,0),FALSE)</f>
        <v>永久</v>
      </c>
      <c r="Z144" s="159">
        <f>VLOOKUP($U144,'坦克涂装-作废'!$B$23:$I$99,MATCH(Z$6,'坦克涂装-作废'!$B$23:$I$23,0),FALSE)</f>
        <v>9562.9473684210534</v>
      </c>
      <c r="AA144" s="158"/>
      <c r="AB144" s="158"/>
      <c r="AC144" s="158"/>
      <c r="AD144" s="158"/>
      <c r="AE144" s="158"/>
      <c r="AF144" s="158"/>
      <c r="AG144" s="158"/>
      <c r="AH144" s="158"/>
      <c r="AI144" s="158"/>
    </row>
    <row r="145" spans="20:35" x14ac:dyDescent="0.35">
      <c r="T145" s="256" t="str">
        <f>W145&amp;V145&amp;LEFT(道具价值!R1126)&amp;LEFT(X145,1)&amp;LEFT(Y145,1)</f>
        <v>T4高轻模三</v>
      </c>
      <c r="U145" s="256">
        <f>IF(V144="重",U144+1,U144)</f>
        <v>47</v>
      </c>
      <c r="V145" s="256" t="str">
        <f>V142</f>
        <v>轻</v>
      </c>
      <c r="W145" s="256" t="str">
        <f>VLOOKUP($U145,'坦克涂装-作废'!$B$23:$I$99,MATCH(W$6,'坦克涂装-作废'!$B$23:$I$23,0),FALSE)</f>
        <v>T4高</v>
      </c>
      <c r="X145" s="256" t="str">
        <f>VLOOKUP($U145,'坦克涂装-作废'!$B$23:$I$99,MATCH(X$6,'坦克涂装-作废'!$B$23:$I$23,0),FALSE)</f>
        <v>模型</v>
      </c>
      <c r="Y145" s="256" t="str">
        <f>VLOOKUP($U145,'坦克涂装-作废'!$B$23:$I$99,MATCH(Y$6,'坦克涂装-作废'!$B$23:$I$23,0),FALSE)</f>
        <v>三天</v>
      </c>
      <c r="Z145" s="159">
        <f>VLOOKUP($U145,'坦克涂装-作废'!$B$23:$I$99,MATCH(Z$6,'坦克涂装-作废'!$B$23:$I$23,0),FALSE)</f>
        <v>2390.7368421052633</v>
      </c>
      <c r="AA145" s="158"/>
      <c r="AB145" s="158"/>
      <c r="AC145" s="158"/>
      <c r="AD145" s="158"/>
      <c r="AE145" s="158"/>
      <c r="AF145" s="158"/>
      <c r="AG145" s="158"/>
      <c r="AH145" s="158"/>
      <c r="AI145" s="158"/>
    </row>
    <row r="146" spans="20:35" x14ac:dyDescent="0.35">
      <c r="T146" s="256" t="str">
        <f>W146&amp;V146&amp;LEFT(道具价值!R1127)&amp;LEFT(X146,1)&amp;LEFT(Y146,1)</f>
        <v>T4高中模三</v>
      </c>
      <c r="U146" s="256">
        <f>IF(V145="重",U145+1,U145)</f>
        <v>47</v>
      </c>
      <c r="V146" s="256" t="str">
        <f>V143</f>
        <v>中</v>
      </c>
      <c r="W146" s="256" t="str">
        <f>VLOOKUP($U146,'坦克涂装-作废'!$B$23:$I$99,MATCH(W$6,'坦克涂装-作废'!$B$23:$I$23,0),FALSE)</f>
        <v>T4高</v>
      </c>
      <c r="X146" s="256" t="str">
        <f>VLOOKUP($U146,'坦克涂装-作废'!$B$23:$I$99,MATCH(X$6,'坦克涂装-作废'!$B$23:$I$23,0),FALSE)</f>
        <v>模型</v>
      </c>
      <c r="Y146" s="256" t="str">
        <f>VLOOKUP($U146,'坦克涂装-作废'!$B$23:$I$99,MATCH(Y$6,'坦克涂装-作废'!$B$23:$I$23,0),FALSE)</f>
        <v>三天</v>
      </c>
      <c r="Z146" s="159">
        <f>VLOOKUP($U146,'坦克涂装-作废'!$B$23:$I$99,MATCH(Z$6,'坦克涂装-作废'!$B$23:$I$23,0),FALSE)</f>
        <v>2390.7368421052633</v>
      </c>
      <c r="AA146" s="158"/>
      <c r="AB146" s="158"/>
      <c r="AC146" s="158"/>
      <c r="AD146" s="158"/>
      <c r="AE146" s="158"/>
      <c r="AF146" s="158"/>
      <c r="AG146" s="158"/>
      <c r="AH146" s="158"/>
      <c r="AI146" s="158"/>
    </row>
    <row r="147" spans="20:35" x14ac:dyDescent="0.35">
      <c r="T147" s="256" t="str">
        <f>W147&amp;V147&amp;LEFT(道具价值!R1128)&amp;LEFT(X147,1)&amp;LEFT(Y147,1)</f>
        <v>T4高重模三</v>
      </c>
      <c r="U147" s="256">
        <f>IF(V146="重",U146+1,U146)</f>
        <v>47</v>
      </c>
      <c r="V147" s="256" t="str">
        <f>V144</f>
        <v>重</v>
      </c>
      <c r="W147" s="256" t="str">
        <f>VLOOKUP($U147,'坦克涂装-作废'!$B$23:$I$99,MATCH(W$6,'坦克涂装-作废'!$B$23:$I$23,0),FALSE)</f>
        <v>T4高</v>
      </c>
      <c r="X147" s="256" t="str">
        <f>VLOOKUP($U147,'坦克涂装-作废'!$B$23:$I$99,MATCH(X$6,'坦克涂装-作废'!$B$23:$I$23,0),FALSE)</f>
        <v>模型</v>
      </c>
      <c r="Y147" s="256" t="str">
        <f>VLOOKUP($U147,'坦克涂装-作废'!$B$23:$I$99,MATCH(Y$6,'坦克涂装-作废'!$B$23:$I$23,0),FALSE)</f>
        <v>三天</v>
      </c>
      <c r="Z147" s="159">
        <f>VLOOKUP($U147,'坦克涂装-作废'!$B$23:$I$99,MATCH(Z$6,'坦克涂装-作废'!$B$23:$I$23,0),FALSE)</f>
        <v>2390.7368421052633</v>
      </c>
      <c r="AA147" s="158"/>
      <c r="AB147" s="158"/>
      <c r="AC147" s="158"/>
      <c r="AD147" s="158"/>
      <c r="AE147" s="158"/>
      <c r="AF147" s="158"/>
      <c r="AG147" s="158"/>
      <c r="AH147" s="158"/>
      <c r="AI147" s="158"/>
    </row>
    <row r="148" spans="20:35" x14ac:dyDescent="0.35">
      <c r="T148" s="256" t="str">
        <f>W148&amp;V148&amp;LEFT(道具价值!R1129)&amp;LEFT(X148,1)&amp;LEFT(Y148,1)</f>
        <v>T4高轻模半</v>
      </c>
      <c r="U148" s="256">
        <f>IF(V147="重",U147+1,U147)</f>
        <v>48</v>
      </c>
      <c r="V148" s="256" t="str">
        <f>V145</f>
        <v>轻</v>
      </c>
      <c r="W148" s="256" t="str">
        <f>VLOOKUP($U148,'坦克涂装-作废'!$B$23:$I$99,MATCH(W$6,'坦克涂装-作废'!$B$23:$I$23,0),FALSE)</f>
        <v>T4高</v>
      </c>
      <c r="X148" s="256" t="str">
        <f>VLOOKUP($U148,'坦克涂装-作废'!$B$23:$I$99,MATCH(X$6,'坦克涂装-作废'!$B$23:$I$23,0),FALSE)</f>
        <v>模型</v>
      </c>
      <c r="Y148" s="256" t="str">
        <f>VLOOKUP($U148,'坦克涂装-作废'!$B$23:$I$99,MATCH(Y$6,'坦克涂装-作废'!$B$23:$I$23,0),FALSE)</f>
        <v>半月</v>
      </c>
      <c r="Z148" s="159">
        <f>VLOOKUP($U148,'坦克涂装-作废'!$B$23:$I$99,MATCH(Z$6,'坦克涂装-作废'!$B$23:$I$23,0),FALSE)</f>
        <v>4781.4736842105267</v>
      </c>
      <c r="AA148" s="158"/>
      <c r="AB148" s="158"/>
      <c r="AC148" s="158"/>
      <c r="AD148" s="158"/>
      <c r="AE148" s="158"/>
      <c r="AF148" s="158"/>
      <c r="AG148" s="158"/>
      <c r="AH148" s="158"/>
      <c r="AI148" s="158"/>
    </row>
    <row r="149" spans="20:35" x14ac:dyDescent="0.35">
      <c r="T149" s="256" t="str">
        <f>W149&amp;V149&amp;LEFT(道具价值!R1130)&amp;LEFT(X149,1)&amp;LEFT(Y149,1)</f>
        <v>T4高中模半</v>
      </c>
      <c r="U149" s="256">
        <f>IF(V148="重",U148+1,U148)</f>
        <v>48</v>
      </c>
      <c r="V149" s="256" t="str">
        <f>V146</f>
        <v>中</v>
      </c>
      <c r="W149" s="256" t="str">
        <f>VLOOKUP($U149,'坦克涂装-作废'!$B$23:$I$99,MATCH(W$6,'坦克涂装-作废'!$B$23:$I$23,0),FALSE)</f>
        <v>T4高</v>
      </c>
      <c r="X149" s="256" t="str">
        <f>VLOOKUP($U149,'坦克涂装-作废'!$B$23:$I$99,MATCH(X$6,'坦克涂装-作废'!$B$23:$I$23,0),FALSE)</f>
        <v>模型</v>
      </c>
      <c r="Y149" s="256" t="str">
        <f>VLOOKUP($U149,'坦克涂装-作废'!$B$23:$I$99,MATCH(Y$6,'坦克涂装-作废'!$B$23:$I$23,0),FALSE)</f>
        <v>半月</v>
      </c>
      <c r="Z149" s="159">
        <f>VLOOKUP($U149,'坦克涂装-作废'!$B$23:$I$99,MATCH(Z$6,'坦克涂装-作废'!$B$23:$I$23,0),FALSE)</f>
        <v>4781.4736842105267</v>
      </c>
      <c r="AA149" s="158"/>
      <c r="AB149" s="158"/>
      <c r="AC149" s="158"/>
      <c r="AD149" s="158"/>
      <c r="AE149" s="158"/>
      <c r="AF149" s="158"/>
      <c r="AG149" s="158"/>
      <c r="AH149" s="158"/>
      <c r="AI149" s="158"/>
    </row>
    <row r="150" spans="20:35" x14ac:dyDescent="0.35">
      <c r="T150" s="256" t="str">
        <f>W150&amp;V150&amp;LEFT(道具价值!R1131)&amp;LEFT(X150,1)&amp;LEFT(Y150,1)</f>
        <v>T4高重模半</v>
      </c>
      <c r="U150" s="256">
        <f>IF(V149="重",U149+1,U149)</f>
        <v>48</v>
      </c>
      <c r="V150" s="256" t="str">
        <f>V147</f>
        <v>重</v>
      </c>
      <c r="W150" s="256" t="str">
        <f>VLOOKUP($U150,'坦克涂装-作废'!$B$23:$I$99,MATCH(W$6,'坦克涂装-作废'!$B$23:$I$23,0),FALSE)</f>
        <v>T4高</v>
      </c>
      <c r="X150" s="256" t="str">
        <f>VLOOKUP($U150,'坦克涂装-作废'!$B$23:$I$99,MATCH(X$6,'坦克涂装-作废'!$B$23:$I$23,0),FALSE)</f>
        <v>模型</v>
      </c>
      <c r="Y150" s="256" t="str">
        <f>VLOOKUP($U150,'坦克涂装-作废'!$B$23:$I$99,MATCH(Y$6,'坦克涂装-作废'!$B$23:$I$23,0),FALSE)</f>
        <v>半月</v>
      </c>
      <c r="Z150" s="159">
        <f>VLOOKUP($U150,'坦克涂装-作废'!$B$23:$I$99,MATCH(Z$6,'坦克涂装-作废'!$B$23:$I$23,0),FALSE)</f>
        <v>4781.4736842105267</v>
      </c>
      <c r="AA150" s="158"/>
      <c r="AB150" s="158"/>
      <c r="AC150" s="158"/>
      <c r="AD150" s="158"/>
      <c r="AE150" s="158"/>
      <c r="AF150" s="158"/>
      <c r="AG150" s="158"/>
      <c r="AH150" s="158"/>
      <c r="AI150" s="158"/>
    </row>
    <row r="151" spans="20:35" x14ac:dyDescent="0.35">
      <c r="T151" s="256" t="str">
        <f>W151&amp;V151&amp;LEFT(道具价值!R1132)&amp;LEFT(X151,1)&amp;LEFT(Y151,1)</f>
        <v>T4高轻模永</v>
      </c>
      <c r="U151" s="256">
        <f>IF(V150="重",U150+1,U150)</f>
        <v>49</v>
      </c>
      <c r="V151" s="256" t="str">
        <f>V148</f>
        <v>轻</v>
      </c>
      <c r="W151" s="256" t="str">
        <f>VLOOKUP($U151,'坦克涂装-作废'!$B$23:$I$99,MATCH(W$6,'坦克涂装-作废'!$B$23:$I$23,0),FALSE)</f>
        <v>T4高</v>
      </c>
      <c r="X151" s="256" t="str">
        <f>VLOOKUP($U151,'坦克涂装-作废'!$B$23:$I$99,MATCH(X$6,'坦克涂装-作废'!$B$23:$I$23,0),FALSE)</f>
        <v>模型</v>
      </c>
      <c r="Y151" s="256" t="str">
        <f>VLOOKUP($U151,'坦克涂装-作废'!$B$23:$I$99,MATCH(Y$6,'坦克涂装-作废'!$B$23:$I$23,0),FALSE)</f>
        <v>永久</v>
      </c>
      <c r="Z151" s="159">
        <f>VLOOKUP($U151,'坦克涂装-作废'!$B$23:$I$99,MATCH(Z$6,'坦克涂装-作废'!$B$23:$I$23,0),FALSE)</f>
        <v>14344.421052631578</v>
      </c>
      <c r="AA151" s="158"/>
      <c r="AB151" s="158"/>
      <c r="AC151" s="158"/>
      <c r="AD151" s="158"/>
      <c r="AE151" s="158"/>
      <c r="AF151" s="158"/>
      <c r="AG151" s="158"/>
      <c r="AH151" s="158"/>
      <c r="AI151" s="158"/>
    </row>
    <row r="152" spans="20:35" x14ac:dyDescent="0.35">
      <c r="T152" s="256" t="str">
        <f>W152&amp;V152&amp;LEFT(道具价值!R1133)&amp;LEFT(X152,1)&amp;LEFT(Y152,1)</f>
        <v>T4高中模永</v>
      </c>
      <c r="U152" s="256">
        <f>IF(V151="重",U151+1,U151)</f>
        <v>49</v>
      </c>
      <c r="V152" s="256" t="str">
        <f>V149</f>
        <v>中</v>
      </c>
      <c r="W152" s="256" t="str">
        <f>VLOOKUP($U152,'坦克涂装-作废'!$B$23:$I$99,MATCH(W$6,'坦克涂装-作废'!$B$23:$I$23,0),FALSE)</f>
        <v>T4高</v>
      </c>
      <c r="X152" s="256" t="str">
        <f>VLOOKUP($U152,'坦克涂装-作废'!$B$23:$I$99,MATCH(X$6,'坦克涂装-作废'!$B$23:$I$23,0),FALSE)</f>
        <v>模型</v>
      </c>
      <c r="Y152" s="256" t="str">
        <f>VLOOKUP($U152,'坦克涂装-作废'!$B$23:$I$99,MATCH(Y$6,'坦克涂装-作废'!$B$23:$I$23,0),FALSE)</f>
        <v>永久</v>
      </c>
      <c r="Z152" s="159">
        <f>VLOOKUP($U152,'坦克涂装-作废'!$B$23:$I$99,MATCH(Z$6,'坦克涂装-作废'!$B$23:$I$23,0),FALSE)</f>
        <v>14344.421052631578</v>
      </c>
      <c r="AA152" s="158"/>
      <c r="AB152" s="158"/>
      <c r="AC152" s="158"/>
      <c r="AD152" s="158"/>
      <c r="AE152" s="158"/>
      <c r="AF152" s="158"/>
      <c r="AG152" s="158"/>
      <c r="AH152" s="158"/>
      <c r="AI152" s="158"/>
    </row>
    <row r="153" spans="20:35" x14ac:dyDescent="0.35">
      <c r="T153" s="256" t="str">
        <f>W153&amp;V153&amp;LEFT(道具价值!R1134)&amp;LEFT(X153,1)&amp;LEFT(Y153,1)</f>
        <v>T4高重模永</v>
      </c>
      <c r="U153" s="256">
        <f>IF(V152="重",U152+1,U152)</f>
        <v>49</v>
      </c>
      <c r="V153" s="256" t="str">
        <f>V150</f>
        <v>重</v>
      </c>
      <c r="W153" s="256" t="str">
        <f>VLOOKUP($U153,'坦克涂装-作废'!$B$23:$I$99,MATCH(W$6,'坦克涂装-作废'!$B$23:$I$23,0),FALSE)</f>
        <v>T4高</v>
      </c>
      <c r="X153" s="256" t="str">
        <f>VLOOKUP($U153,'坦克涂装-作废'!$B$23:$I$99,MATCH(X$6,'坦克涂装-作废'!$B$23:$I$23,0),FALSE)</f>
        <v>模型</v>
      </c>
      <c r="Y153" s="256" t="str">
        <f>VLOOKUP($U153,'坦克涂装-作废'!$B$23:$I$99,MATCH(Y$6,'坦克涂装-作废'!$B$23:$I$23,0),FALSE)</f>
        <v>永久</v>
      </c>
      <c r="Z153" s="159">
        <f>VLOOKUP($U153,'坦克涂装-作废'!$B$23:$I$99,MATCH(Z$6,'坦克涂装-作废'!$B$23:$I$23,0),FALSE)</f>
        <v>14344.421052631578</v>
      </c>
      <c r="AA153" s="158"/>
      <c r="AB153" s="158"/>
      <c r="AC153" s="158"/>
      <c r="AD153" s="158"/>
      <c r="AE153" s="158"/>
      <c r="AF153" s="158"/>
      <c r="AG153" s="158"/>
      <c r="AH153" s="158"/>
      <c r="AI153" s="158"/>
    </row>
    <row r="154" spans="20:35" x14ac:dyDescent="0.35">
      <c r="T154" s="256" t="str">
        <f>W154&amp;V154&amp;LEFT(道具价值!R1135)&amp;LEFT(X154,1)&amp;LEFT(Y154,1)</f>
        <v>T5低轻贴三</v>
      </c>
      <c r="U154" s="256">
        <f>IF(V153="重",U153+1,U153)</f>
        <v>50</v>
      </c>
      <c r="V154" s="256" t="str">
        <f>V151</f>
        <v>轻</v>
      </c>
      <c r="W154" s="256" t="str">
        <f>VLOOKUP($U154,'坦克涂装-作废'!$B$23:$I$99,MATCH(W$6,'坦克涂装-作废'!$B$23:$I$23,0),FALSE)</f>
        <v>T5低</v>
      </c>
      <c r="X154" s="256" t="str">
        <f>VLOOKUP($U154,'坦克涂装-作废'!$B$23:$I$99,MATCH(X$6,'坦克涂装-作废'!$B$23:$I$23,0),FALSE)</f>
        <v>贴花</v>
      </c>
      <c r="Y154" s="256" t="str">
        <f>VLOOKUP($U154,'坦克涂装-作废'!$B$23:$I$99,MATCH(Y$6,'坦克涂装-作废'!$B$23:$I$23,0),FALSE)</f>
        <v>三天</v>
      </c>
      <c r="Z154" s="159">
        <f>VLOOKUP($U154,'坦克涂装-作废'!$B$23:$I$99,MATCH(Z$6,'坦克涂装-作废'!$B$23:$I$23,0),FALSE)</f>
        <v>498.23999999999995</v>
      </c>
      <c r="AA154" s="158"/>
      <c r="AB154" s="158"/>
      <c r="AC154" s="158"/>
      <c r="AD154" s="158"/>
      <c r="AE154" s="158"/>
      <c r="AF154" s="158"/>
      <c r="AG154" s="158"/>
      <c r="AH154" s="158"/>
      <c r="AI154" s="158"/>
    </row>
    <row r="155" spans="20:35" x14ac:dyDescent="0.35">
      <c r="T155" s="256" t="str">
        <f>W155&amp;V155&amp;LEFT(道具价值!R1136)&amp;LEFT(X155,1)&amp;LEFT(Y155,1)</f>
        <v>T5低中贴三</v>
      </c>
      <c r="U155" s="256">
        <f>IF(V154="重",U154+1,U154)</f>
        <v>50</v>
      </c>
      <c r="V155" s="256" t="str">
        <f>V152</f>
        <v>中</v>
      </c>
      <c r="W155" s="256" t="str">
        <f>VLOOKUP($U155,'坦克涂装-作废'!$B$23:$I$99,MATCH(W$6,'坦克涂装-作废'!$B$23:$I$23,0),FALSE)</f>
        <v>T5低</v>
      </c>
      <c r="X155" s="256" t="str">
        <f>VLOOKUP($U155,'坦克涂装-作废'!$B$23:$I$99,MATCH(X$6,'坦克涂装-作废'!$B$23:$I$23,0),FALSE)</f>
        <v>贴花</v>
      </c>
      <c r="Y155" s="256" t="str">
        <f>VLOOKUP($U155,'坦克涂装-作废'!$B$23:$I$99,MATCH(Y$6,'坦克涂装-作废'!$B$23:$I$23,0),FALSE)</f>
        <v>三天</v>
      </c>
      <c r="Z155" s="159">
        <f>VLOOKUP($U155,'坦克涂装-作废'!$B$23:$I$99,MATCH(Z$6,'坦克涂装-作废'!$B$23:$I$23,0),FALSE)</f>
        <v>498.23999999999995</v>
      </c>
      <c r="AA155" s="158"/>
      <c r="AB155" s="158"/>
      <c r="AC155" s="158"/>
      <c r="AD155" s="158"/>
      <c r="AE155" s="158"/>
      <c r="AF155" s="158"/>
      <c r="AG155" s="158"/>
      <c r="AH155" s="158"/>
      <c r="AI155" s="158"/>
    </row>
    <row r="156" spans="20:35" x14ac:dyDescent="0.35">
      <c r="T156" s="256" t="str">
        <f>W156&amp;V156&amp;LEFT(道具价值!R1137)&amp;LEFT(X156,1)&amp;LEFT(Y156,1)</f>
        <v>T5低重贴三</v>
      </c>
      <c r="U156" s="256">
        <f>IF(V155="重",U155+1,U155)</f>
        <v>50</v>
      </c>
      <c r="V156" s="256" t="str">
        <f>V153</f>
        <v>重</v>
      </c>
      <c r="W156" s="256" t="str">
        <f>VLOOKUP($U156,'坦克涂装-作废'!$B$23:$I$99,MATCH(W$6,'坦克涂装-作废'!$B$23:$I$23,0),FALSE)</f>
        <v>T5低</v>
      </c>
      <c r="X156" s="256" t="str">
        <f>VLOOKUP($U156,'坦克涂装-作废'!$B$23:$I$99,MATCH(X$6,'坦克涂装-作废'!$B$23:$I$23,0),FALSE)</f>
        <v>贴花</v>
      </c>
      <c r="Y156" s="256" t="str">
        <f>VLOOKUP($U156,'坦克涂装-作废'!$B$23:$I$99,MATCH(Y$6,'坦克涂装-作废'!$B$23:$I$23,0),FALSE)</f>
        <v>三天</v>
      </c>
      <c r="Z156" s="159">
        <f>VLOOKUP($U156,'坦克涂装-作废'!$B$23:$I$99,MATCH(Z$6,'坦克涂装-作废'!$B$23:$I$23,0),FALSE)</f>
        <v>498.23999999999995</v>
      </c>
      <c r="AA156" s="158"/>
      <c r="AB156" s="158"/>
      <c r="AC156" s="158"/>
      <c r="AD156" s="158"/>
      <c r="AE156" s="158"/>
      <c r="AF156" s="158"/>
      <c r="AG156" s="158"/>
      <c r="AH156" s="158"/>
      <c r="AI156" s="158"/>
    </row>
    <row r="157" spans="20:35" x14ac:dyDescent="0.35">
      <c r="T157" s="256" t="str">
        <f>W157&amp;V157&amp;LEFT(道具价值!R1138)&amp;LEFT(X157,1)&amp;LEFT(Y157,1)</f>
        <v>T5低轻贴半</v>
      </c>
      <c r="U157" s="256">
        <f>IF(V156="重",U156+1,U156)</f>
        <v>51</v>
      </c>
      <c r="V157" s="256" t="str">
        <f>V154</f>
        <v>轻</v>
      </c>
      <c r="W157" s="256" t="str">
        <f>VLOOKUP($U157,'坦克涂装-作废'!$B$23:$I$99,MATCH(W$6,'坦克涂装-作废'!$B$23:$I$23,0),FALSE)</f>
        <v>T5低</v>
      </c>
      <c r="X157" s="256" t="str">
        <f>VLOOKUP($U157,'坦克涂装-作废'!$B$23:$I$99,MATCH(X$6,'坦克涂装-作废'!$B$23:$I$23,0),FALSE)</f>
        <v>贴花</v>
      </c>
      <c r="Y157" s="256" t="str">
        <f>VLOOKUP($U157,'坦克涂装-作废'!$B$23:$I$99,MATCH(Y$6,'坦克涂装-作废'!$B$23:$I$23,0),FALSE)</f>
        <v>半月</v>
      </c>
      <c r="Z157" s="159">
        <f>VLOOKUP($U157,'坦克涂装-作废'!$B$23:$I$99,MATCH(Z$6,'坦克涂装-作废'!$B$23:$I$23,0),FALSE)</f>
        <v>1038</v>
      </c>
      <c r="AA157" s="158"/>
      <c r="AB157" s="158"/>
      <c r="AC157" s="158"/>
      <c r="AD157" s="158"/>
      <c r="AE157" s="158"/>
      <c r="AF157" s="158"/>
      <c r="AG157" s="158"/>
      <c r="AH157" s="158"/>
      <c r="AI157" s="158"/>
    </row>
    <row r="158" spans="20:35" x14ac:dyDescent="0.35">
      <c r="T158" s="256" t="str">
        <f>W158&amp;V158&amp;LEFT(道具价值!R1139)&amp;LEFT(X158,1)&amp;LEFT(Y158,1)</f>
        <v>T5低中贴半</v>
      </c>
      <c r="U158" s="256">
        <f>IF(V157="重",U157+1,U157)</f>
        <v>51</v>
      </c>
      <c r="V158" s="256" t="str">
        <f>V155</f>
        <v>中</v>
      </c>
      <c r="W158" s="256" t="str">
        <f>VLOOKUP($U158,'坦克涂装-作废'!$B$23:$I$99,MATCH(W$6,'坦克涂装-作废'!$B$23:$I$23,0),FALSE)</f>
        <v>T5低</v>
      </c>
      <c r="X158" s="256" t="str">
        <f>VLOOKUP($U158,'坦克涂装-作废'!$B$23:$I$99,MATCH(X$6,'坦克涂装-作废'!$B$23:$I$23,0),FALSE)</f>
        <v>贴花</v>
      </c>
      <c r="Y158" s="256" t="str">
        <f>VLOOKUP($U158,'坦克涂装-作废'!$B$23:$I$99,MATCH(Y$6,'坦克涂装-作废'!$B$23:$I$23,0),FALSE)</f>
        <v>半月</v>
      </c>
      <c r="Z158" s="159">
        <f>VLOOKUP($U158,'坦克涂装-作废'!$B$23:$I$99,MATCH(Z$6,'坦克涂装-作废'!$B$23:$I$23,0),FALSE)</f>
        <v>1038</v>
      </c>
      <c r="AA158" s="158"/>
      <c r="AB158" s="158"/>
      <c r="AC158" s="158"/>
      <c r="AD158" s="158"/>
      <c r="AE158" s="158"/>
      <c r="AF158" s="158"/>
      <c r="AG158" s="158"/>
      <c r="AH158" s="158"/>
      <c r="AI158" s="158"/>
    </row>
    <row r="159" spans="20:35" x14ac:dyDescent="0.35">
      <c r="T159" s="256" t="str">
        <f>W159&amp;V159&amp;LEFT(道具价值!R1140)&amp;LEFT(X159,1)&amp;LEFT(Y159,1)</f>
        <v>T5低重贴半</v>
      </c>
      <c r="U159" s="256">
        <f>IF(V158="重",U158+1,U158)</f>
        <v>51</v>
      </c>
      <c r="V159" s="256" t="str">
        <f>V156</f>
        <v>重</v>
      </c>
      <c r="W159" s="256" t="str">
        <f>VLOOKUP($U159,'坦克涂装-作废'!$B$23:$I$99,MATCH(W$6,'坦克涂装-作废'!$B$23:$I$23,0),FALSE)</f>
        <v>T5低</v>
      </c>
      <c r="X159" s="256" t="str">
        <f>VLOOKUP($U159,'坦克涂装-作废'!$B$23:$I$99,MATCH(X$6,'坦克涂装-作废'!$B$23:$I$23,0),FALSE)</f>
        <v>贴花</v>
      </c>
      <c r="Y159" s="256" t="str">
        <f>VLOOKUP($U159,'坦克涂装-作废'!$B$23:$I$99,MATCH(Y$6,'坦克涂装-作废'!$B$23:$I$23,0),FALSE)</f>
        <v>半月</v>
      </c>
      <c r="Z159" s="159">
        <f>VLOOKUP($U159,'坦克涂装-作废'!$B$23:$I$99,MATCH(Z$6,'坦克涂装-作废'!$B$23:$I$23,0),FALSE)</f>
        <v>1038</v>
      </c>
      <c r="AA159" s="158"/>
      <c r="AB159" s="158"/>
      <c r="AC159" s="158"/>
      <c r="AD159" s="158"/>
      <c r="AE159" s="158"/>
      <c r="AF159" s="158"/>
      <c r="AG159" s="158"/>
      <c r="AH159" s="158"/>
      <c r="AI159" s="158"/>
    </row>
    <row r="160" spans="20:35" x14ac:dyDescent="0.35">
      <c r="T160" s="256" t="str">
        <f>W160&amp;V160&amp;LEFT(道具价值!R1141)&amp;LEFT(X160,1)&amp;LEFT(Y160,1)</f>
        <v>T5低轻贴永</v>
      </c>
      <c r="U160" s="256">
        <f>IF(V159="重",U159+1,U159)</f>
        <v>52</v>
      </c>
      <c r="V160" s="256" t="str">
        <f>V157</f>
        <v>轻</v>
      </c>
      <c r="W160" s="256" t="str">
        <f>VLOOKUP($U160,'坦克涂装-作废'!$B$23:$I$99,MATCH(W$6,'坦克涂装-作废'!$B$23:$I$23,0),FALSE)</f>
        <v>T5低</v>
      </c>
      <c r="X160" s="256" t="str">
        <f>VLOOKUP($U160,'坦克涂装-作废'!$B$23:$I$99,MATCH(X$6,'坦克涂装-作废'!$B$23:$I$23,0),FALSE)</f>
        <v>贴花</v>
      </c>
      <c r="Y160" s="256" t="str">
        <f>VLOOKUP($U160,'坦克涂装-作废'!$B$23:$I$99,MATCH(Y$6,'坦克涂装-作废'!$B$23:$I$23,0),FALSE)</f>
        <v>永久</v>
      </c>
      <c r="Z160" s="159">
        <f>VLOOKUP($U160,'坦克涂装-作废'!$B$23:$I$99,MATCH(Z$6,'坦克涂装-作废'!$B$23:$I$23,0),FALSE)</f>
        <v>3736.7999999999997</v>
      </c>
      <c r="AA160" s="158"/>
      <c r="AB160" s="158"/>
      <c r="AC160" s="158"/>
      <c r="AD160" s="158"/>
      <c r="AE160" s="158"/>
      <c r="AF160" s="158"/>
      <c r="AG160" s="158"/>
      <c r="AH160" s="158"/>
      <c r="AI160" s="158"/>
    </row>
    <row r="161" spans="20:35" x14ac:dyDescent="0.35">
      <c r="T161" s="256" t="str">
        <f>W161&amp;V161&amp;LEFT(道具价值!R1142)&amp;LEFT(X161,1)&amp;LEFT(Y161,1)</f>
        <v>T5低中贴永</v>
      </c>
      <c r="U161" s="256">
        <f>IF(V160="重",U160+1,U160)</f>
        <v>52</v>
      </c>
      <c r="V161" s="256" t="str">
        <f>V158</f>
        <v>中</v>
      </c>
      <c r="W161" s="256" t="str">
        <f>VLOOKUP($U161,'坦克涂装-作废'!$B$23:$I$99,MATCH(W$6,'坦克涂装-作废'!$B$23:$I$23,0),FALSE)</f>
        <v>T5低</v>
      </c>
      <c r="X161" s="256" t="str">
        <f>VLOOKUP($U161,'坦克涂装-作废'!$B$23:$I$99,MATCH(X$6,'坦克涂装-作废'!$B$23:$I$23,0),FALSE)</f>
        <v>贴花</v>
      </c>
      <c r="Y161" s="256" t="str">
        <f>VLOOKUP($U161,'坦克涂装-作废'!$B$23:$I$99,MATCH(Y$6,'坦克涂装-作废'!$B$23:$I$23,0),FALSE)</f>
        <v>永久</v>
      </c>
      <c r="Z161" s="159">
        <f>VLOOKUP($U161,'坦克涂装-作废'!$B$23:$I$99,MATCH(Z$6,'坦克涂装-作废'!$B$23:$I$23,0),FALSE)</f>
        <v>3736.7999999999997</v>
      </c>
      <c r="AA161" s="158"/>
      <c r="AB161" s="158"/>
      <c r="AC161" s="158"/>
      <c r="AD161" s="158"/>
      <c r="AE161" s="158"/>
      <c r="AF161" s="158"/>
      <c r="AG161" s="158"/>
      <c r="AH161" s="158"/>
      <c r="AI161" s="158"/>
    </row>
    <row r="162" spans="20:35" x14ac:dyDescent="0.35">
      <c r="T162" s="256" t="str">
        <f>W162&amp;V162&amp;LEFT(道具价值!R1143)&amp;LEFT(X162,1)&amp;LEFT(Y162,1)</f>
        <v>T5低重贴永</v>
      </c>
      <c r="U162" s="256">
        <f>IF(V161="重",U161+1,U161)</f>
        <v>52</v>
      </c>
      <c r="V162" s="256" t="str">
        <f>V159</f>
        <v>重</v>
      </c>
      <c r="W162" s="256" t="str">
        <f>VLOOKUP($U162,'坦克涂装-作废'!$B$23:$I$99,MATCH(W$6,'坦克涂装-作废'!$B$23:$I$23,0),FALSE)</f>
        <v>T5低</v>
      </c>
      <c r="X162" s="256" t="str">
        <f>VLOOKUP($U162,'坦克涂装-作废'!$B$23:$I$99,MATCH(X$6,'坦克涂装-作废'!$B$23:$I$23,0),FALSE)</f>
        <v>贴花</v>
      </c>
      <c r="Y162" s="256" t="str">
        <f>VLOOKUP($U162,'坦克涂装-作废'!$B$23:$I$99,MATCH(Y$6,'坦克涂装-作废'!$B$23:$I$23,0),FALSE)</f>
        <v>永久</v>
      </c>
      <c r="Z162" s="159">
        <f>VLOOKUP($U162,'坦克涂装-作废'!$B$23:$I$99,MATCH(Z$6,'坦克涂装-作废'!$B$23:$I$23,0),FALSE)</f>
        <v>3736.7999999999997</v>
      </c>
      <c r="AA162" s="158"/>
      <c r="AB162" s="158"/>
      <c r="AC162" s="158"/>
      <c r="AD162" s="158"/>
      <c r="AE162" s="158"/>
      <c r="AF162" s="158"/>
      <c r="AG162" s="158"/>
      <c r="AH162" s="158"/>
      <c r="AI162" s="158"/>
    </row>
    <row r="163" spans="20:35" x14ac:dyDescent="0.35">
      <c r="T163" s="256" t="str">
        <f>W163&amp;V163&amp;LEFT(道具价值!R1144)&amp;LEFT(X163,1)&amp;LEFT(Y163,1)</f>
        <v>T5低轻图三</v>
      </c>
      <c r="U163" s="256">
        <f>IF(V162="重",U162+1,U162)</f>
        <v>53</v>
      </c>
      <c r="V163" s="256" t="str">
        <f>V160</f>
        <v>轻</v>
      </c>
      <c r="W163" s="256" t="str">
        <f>VLOOKUP($U163,'坦克涂装-作废'!$B$23:$I$99,MATCH(W$6,'坦克涂装-作废'!$B$23:$I$23,0),FALSE)</f>
        <v>T5低</v>
      </c>
      <c r="X163" s="256" t="str">
        <f>VLOOKUP($U163,'坦克涂装-作废'!$B$23:$I$99,MATCH(X$6,'坦克涂装-作废'!$B$23:$I$23,0),FALSE)</f>
        <v>图案</v>
      </c>
      <c r="Y163" s="256" t="str">
        <f>VLOOKUP($U163,'坦克涂装-作废'!$B$23:$I$99,MATCH(Y$6,'坦克涂装-作废'!$B$23:$I$23,0),FALSE)</f>
        <v>三天</v>
      </c>
      <c r="Z163" s="159">
        <f>VLOOKUP($U163,'坦克涂装-作废'!$B$23:$I$99,MATCH(Z$6,'坦克涂装-作废'!$B$23:$I$23,0),FALSE)</f>
        <v>1038</v>
      </c>
      <c r="AA163" s="158"/>
      <c r="AB163" s="158"/>
      <c r="AC163" s="158"/>
      <c r="AD163" s="158"/>
      <c r="AE163" s="158"/>
      <c r="AF163" s="158"/>
      <c r="AG163" s="158"/>
      <c r="AH163" s="158"/>
      <c r="AI163" s="158"/>
    </row>
    <row r="164" spans="20:35" x14ac:dyDescent="0.35">
      <c r="T164" s="256" t="str">
        <f>W164&amp;V164&amp;LEFT(道具价值!R1145)&amp;LEFT(X164,1)&amp;LEFT(Y164,1)</f>
        <v>T5低中图三</v>
      </c>
      <c r="U164" s="256">
        <f>IF(V163="重",U163+1,U163)</f>
        <v>53</v>
      </c>
      <c r="V164" s="256" t="str">
        <f>V161</f>
        <v>中</v>
      </c>
      <c r="W164" s="256" t="str">
        <f>VLOOKUP($U164,'坦克涂装-作废'!$B$23:$I$99,MATCH(W$6,'坦克涂装-作废'!$B$23:$I$23,0),FALSE)</f>
        <v>T5低</v>
      </c>
      <c r="X164" s="256" t="str">
        <f>VLOOKUP($U164,'坦克涂装-作废'!$B$23:$I$99,MATCH(X$6,'坦克涂装-作废'!$B$23:$I$23,0),FALSE)</f>
        <v>图案</v>
      </c>
      <c r="Y164" s="256" t="str">
        <f>VLOOKUP($U164,'坦克涂装-作废'!$B$23:$I$99,MATCH(Y$6,'坦克涂装-作废'!$B$23:$I$23,0),FALSE)</f>
        <v>三天</v>
      </c>
      <c r="Z164" s="159">
        <f>VLOOKUP($U164,'坦克涂装-作废'!$B$23:$I$99,MATCH(Z$6,'坦克涂装-作废'!$B$23:$I$23,0),FALSE)</f>
        <v>1038</v>
      </c>
      <c r="AA164" s="158"/>
      <c r="AB164" s="158"/>
      <c r="AC164" s="158"/>
      <c r="AD164" s="158"/>
      <c r="AE164" s="158"/>
      <c r="AF164" s="158"/>
      <c r="AG164" s="158"/>
      <c r="AH164" s="158"/>
      <c r="AI164" s="158"/>
    </row>
    <row r="165" spans="20:35" x14ac:dyDescent="0.35">
      <c r="T165" s="256" t="str">
        <f>W165&amp;V165&amp;LEFT(道具价值!R1146)&amp;LEFT(X165,1)&amp;LEFT(Y165,1)</f>
        <v>T5低重图三</v>
      </c>
      <c r="U165" s="256">
        <f>IF(V164="重",U164+1,U164)</f>
        <v>53</v>
      </c>
      <c r="V165" s="256" t="str">
        <f>V162</f>
        <v>重</v>
      </c>
      <c r="W165" s="256" t="str">
        <f>VLOOKUP($U165,'坦克涂装-作废'!$B$23:$I$99,MATCH(W$6,'坦克涂装-作废'!$B$23:$I$23,0),FALSE)</f>
        <v>T5低</v>
      </c>
      <c r="X165" s="256" t="str">
        <f>VLOOKUP($U165,'坦克涂装-作废'!$B$23:$I$99,MATCH(X$6,'坦克涂装-作废'!$B$23:$I$23,0),FALSE)</f>
        <v>图案</v>
      </c>
      <c r="Y165" s="256" t="str">
        <f>VLOOKUP($U165,'坦克涂装-作废'!$B$23:$I$99,MATCH(Y$6,'坦克涂装-作废'!$B$23:$I$23,0),FALSE)</f>
        <v>三天</v>
      </c>
      <c r="Z165" s="159">
        <f>VLOOKUP($U165,'坦克涂装-作废'!$B$23:$I$99,MATCH(Z$6,'坦克涂装-作废'!$B$23:$I$23,0),FALSE)</f>
        <v>1038</v>
      </c>
      <c r="AA165" s="158"/>
      <c r="AB165" s="158"/>
      <c r="AC165" s="158"/>
      <c r="AD165" s="158"/>
      <c r="AE165" s="158"/>
      <c r="AF165" s="158"/>
      <c r="AG165" s="158"/>
      <c r="AH165" s="158"/>
      <c r="AI165" s="158"/>
    </row>
    <row r="166" spans="20:35" x14ac:dyDescent="0.35">
      <c r="T166" s="256" t="str">
        <f>W166&amp;V166&amp;LEFT(道具价值!R1147)&amp;LEFT(X166,1)&amp;LEFT(Y166,1)</f>
        <v>T5低轻图半</v>
      </c>
      <c r="U166" s="256">
        <f>IF(V165="重",U165+1,U165)</f>
        <v>54</v>
      </c>
      <c r="V166" s="256" t="str">
        <f>V163</f>
        <v>轻</v>
      </c>
      <c r="W166" s="256" t="str">
        <f>VLOOKUP($U166,'坦克涂装-作废'!$B$23:$I$99,MATCH(W$6,'坦克涂装-作废'!$B$23:$I$23,0),FALSE)</f>
        <v>T5低</v>
      </c>
      <c r="X166" s="256" t="str">
        <f>VLOOKUP($U166,'坦克涂装-作废'!$B$23:$I$99,MATCH(X$6,'坦克涂装-作废'!$B$23:$I$23,0),FALSE)</f>
        <v>图案</v>
      </c>
      <c r="Y166" s="256" t="str">
        <f>VLOOKUP($U166,'坦克涂装-作废'!$B$23:$I$99,MATCH(Y$6,'坦克涂装-作废'!$B$23:$I$23,0),FALSE)</f>
        <v>半月</v>
      </c>
      <c r="Z166" s="159">
        <f>VLOOKUP($U166,'坦克涂装-作废'!$B$23:$I$99,MATCH(Z$6,'坦克涂装-作废'!$B$23:$I$23,0),FALSE)</f>
        <v>2076</v>
      </c>
      <c r="AA166" s="158"/>
      <c r="AB166" s="158"/>
      <c r="AC166" s="158"/>
      <c r="AD166" s="158"/>
      <c r="AE166" s="158"/>
      <c r="AF166" s="158"/>
      <c r="AG166" s="158"/>
      <c r="AH166" s="158"/>
      <c r="AI166" s="158"/>
    </row>
    <row r="167" spans="20:35" x14ac:dyDescent="0.35">
      <c r="T167" s="256" t="str">
        <f>W167&amp;V167&amp;LEFT(道具价值!R1148)&amp;LEFT(X167,1)&amp;LEFT(Y167,1)</f>
        <v>T5低中图半</v>
      </c>
      <c r="U167" s="256">
        <f>IF(V166="重",U166+1,U166)</f>
        <v>54</v>
      </c>
      <c r="V167" s="256" t="str">
        <f>V164</f>
        <v>中</v>
      </c>
      <c r="W167" s="256" t="str">
        <f>VLOOKUP($U167,'坦克涂装-作废'!$B$23:$I$99,MATCH(W$6,'坦克涂装-作废'!$B$23:$I$23,0),FALSE)</f>
        <v>T5低</v>
      </c>
      <c r="X167" s="256" t="str">
        <f>VLOOKUP($U167,'坦克涂装-作废'!$B$23:$I$99,MATCH(X$6,'坦克涂装-作废'!$B$23:$I$23,0),FALSE)</f>
        <v>图案</v>
      </c>
      <c r="Y167" s="256" t="str">
        <f>VLOOKUP($U167,'坦克涂装-作废'!$B$23:$I$99,MATCH(Y$6,'坦克涂装-作废'!$B$23:$I$23,0),FALSE)</f>
        <v>半月</v>
      </c>
      <c r="Z167" s="159">
        <f>VLOOKUP($U167,'坦克涂装-作废'!$B$23:$I$99,MATCH(Z$6,'坦克涂装-作废'!$B$23:$I$23,0),FALSE)</f>
        <v>2076</v>
      </c>
      <c r="AA167" s="158"/>
      <c r="AB167" s="158"/>
      <c r="AC167" s="158"/>
      <c r="AD167" s="158"/>
      <c r="AE167" s="158"/>
      <c r="AF167" s="158"/>
      <c r="AG167" s="158"/>
      <c r="AH167" s="158"/>
      <c r="AI167" s="158"/>
    </row>
    <row r="168" spans="20:35" x14ac:dyDescent="0.35">
      <c r="T168" s="256" t="str">
        <f>W168&amp;V168&amp;LEFT(道具价值!R1149)&amp;LEFT(X168,1)&amp;LEFT(Y168,1)</f>
        <v>T5低重图半</v>
      </c>
      <c r="U168" s="256">
        <f>IF(V167="重",U167+1,U167)</f>
        <v>54</v>
      </c>
      <c r="V168" s="256" t="str">
        <f>V165</f>
        <v>重</v>
      </c>
      <c r="W168" s="256" t="str">
        <f>VLOOKUP($U168,'坦克涂装-作废'!$B$23:$I$99,MATCH(W$6,'坦克涂装-作废'!$B$23:$I$23,0),FALSE)</f>
        <v>T5低</v>
      </c>
      <c r="X168" s="256" t="str">
        <f>VLOOKUP($U168,'坦克涂装-作废'!$B$23:$I$99,MATCH(X$6,'坦克涂装-作废'!$B$23:$I$23,0),FALSE)</f>
        <v>图案</v>
      </c>
      <c r="Y168" s="256" t="str">
        <f>VLOOKUP($U168,'坦克涂装-作废'!$B$23:$I$99,MATCH(Y$6,'坦克涂装-作废'!$B$23:$I$23,0),FALSE)</f>
        <v>半月</v>
      </c>
      <c r="Z168" s="159">
        <f>VLOOKUP($U168,'坦克涂装-作废'!$B$23:$I$99,MATCH(Z$6,'坦克涂装-作废'!$B$23:$I$23,0),FALSE)</f>
        <v>2076</v>
      </c>
      <c r="AA168" s="158"/>
      <c r="AB168" s="158"/>
      <c r="AC168" s="158"/>
      <c r="AD168" s="158"/>
      <c r="AE168" s="158"/>
      <c r="AF168" s="158"/>
      <c r="AG168" s="158"/>
      <c r="AH168" s="158"/>
      <c r="AI168" s="158"/>
    </row>
    <row r="169" spans="20:35" x14ac:dyDescent="0.35">
      <c r="T169" s="256" t="str">
        <f>W169&amp;V169&amp;LEFT(道具价值!R1150)&amp;LEFT(X169,1)&amp;LEFT(Y169,1)</f>
        <v>T5低轻图永</v>
      </c>
      <c r="U169" s="256">
        <f>IF(V168="重",U168+1,U168)</f>
        <v>55</v>
      </c>
      <c r="V169" s="256" t="str">
        <f>V166</f>
        <v>轻</v>
      </c>
      <c r="W169" s="256" t="str">
        <f>VLOOKUP($U169,'坦克涂装-作废'!$B$23:$I$99,MATCH(W$6,'坦克涂装-作废'!$B$23:$I$23,0),FALSE)</f>
        <v>T5低</v>
      </c>
      <c r="X169" s="256" t="str">
        <f>VLOOKUP($U169,'坦克涂装-作废'!$B$23:$I$99,MATCH(X$6,'坦克涂装-作废'!$B$23:$I$23,0),FALSE)</f>
        <v>图案</v>
      </c>
      <c r="Y169" s="256" t="str">
        <f>VLOOKUP($U169,'坦克涂装-作废'!$B$23:$I$99,MATCH(Y$6,'坦克涂装-作废'!$B$23:$I$23,0),FALSE)</f>
        <v>永久</v>
      </c>
      <c r="Z169" s="159">
        <f>VLOOKUP($U169,'坦克涂装-作废'!$B$23:$I$99,MATCH(Z$6,'坦克涂装-作废'!$B$23:$I$23,0),FALSE)</f>
        <v>7473.5999999999995</v>
      </c>
      <c r="AA169" s="158"/>
      <c r="AB169" s="158"/>
      <c r="AC169" s="158"/>
      <c r="AD169" s="158"/>
      <c r="AE169" s="158"/>
      <c r="AF169" s="158"/>
      <c r="AG169" s="158"/>
      <c r="AH169" s="158"/>
      <c r="AI169" s="158"/>
    </row>
    <row r="170" spans="20:35" x14ac:dyDescent="0.35">
      <c r="T170" s="256" t="str">
        <f>W170&amp;V170&amp;LEFT(道具价值!R1151)&amp;LEFT(X170,1)&amp;LEFT(Y170,1)</f>
        <v>T5低中图永</v>
      </c>
      <c r="U170" s="256">
        <f>IF(V169="重",U169+1,U169)</f>
        <v>55</v>
      </c>
      <c r="V170" s="256" t="str">
        <f>V167</f>
        <v>中</v>
      </c>
      <c r="W170" s="256" t="str">
        <f>VLOOKUP($U170,'坦克涂装-作废'!$B$23:$I$99,MATCH(W$6,'坦克涂装-作废'!$B$23:$I$23,0),FALSE)</f>
        <v>T5低</v>
      </c>
      <c r="X170" s="256" t="str">
        <f>VLOOKUP($U170,'坦克涂装-作废'!$B$23:$I$99,MATCH(X$6,'坦克涂装-作废'!$B$23:$I$23,0),FALSE)</f>
        <v>图案</v>
      </c>
      <c r="Y170" s="256" t="str">
        <f>VLOOKUP($U170,'坦克涂装-作废'!$B$23:$I$99,MATCH(Y$6,'坦克涂装-作废'!$B$23:$I$23,0),FALSE)</f>
        <v>永久</v>
      </c>
      <c r="Z170" s="159">
        <f>VLOOKUP($U170,'坦克涂装-作废'!$B$23:$I$99,MATCH(Z$6,'坦克涂装-作废'!$B$23:$I$23,0),FALSE)</f>
        <v>7473.5999999999995</v>
      </c>
      <c r="AA170" s="158"/>
      <c r="AB170" s="158"/>
      <c r="AC170" s="158"/>
      <c r="AD170" s="158"/>
      <c r="AE170" s="158"/>
      <c r="AF170" s="158"/>
      <c r="AG170" s="158"/>
      <c r="AH170" s="158"/>
      <c r="AI170" s="158"/>
    </row>
    <row r="171" spans="20:35" x14ac:dyDescent="0.35">
      <c r="T171" s="256" t="str">
        <f>W171&amp;V171&amp;LEFT(道具价值!R1152)&amp;LEFT(X171,1)&amp;LEFT(Y171,1)</f>
        <v>T5低重图永</v>
      </c>
      <c r="U171" s="256">
        <f>IF(V170="重",U170+1,U170)</f>
        <v>55</v>
      </c>
      <c r="V171" s="256" t="str">
        <f>V168</f>
        <v>重</v>
      </c>
      <c r="W171" s="256" t="str">
        <f>VLOOKUP($U171,'坦克涂装-作废'!$B$23:$I$99,MATCH(W$6,'坦克涂装-作废'!$B$23:$I$23,0),FALSE)</f>
        <v>T5低</v>
      </c>
      <c r="X171" s="256" t="str">
        <f>VLOOKUP($U171,'坦克涂装-作废'!$B$23:$I$99,MATCH(X$6,'坦克涂装-作废'!$B$23:$I$23,0),FALSE)</f>
        <v>图案</v>
      </c>
      <c r="Y171" s="256" t="str">
        <f>VLOOKUP($U171,'坦克涂装-作废'!$B$23:$I$99,MATCH(Y$6,'坦克涂装-作废'!$B$23:$I$23,0),FALSE)</f>
        <v>永久</v>
      </c>
      <c r="Z171" s="159">
        <f>VLOOKUP($U171,'坦克涂装-作废'!$B$23:$I$99,MATCH(Z$6,'坦克涂装-作废'!$B$23:$I$23,0),FALSE)</f>
        <v>7473.5999999999995</v>
      </c>
      <c r="AA171" s="158"/>
      <c r="AB171" s="158"/>
      <c r="AC171" s="158"/>
      <c r="AD171" s="158"/>
      <c r="AE171" s="158"/>
      <c r="AF171" s="158"/>
      <c r="AG171" s="158"/>
      <c r="AH171" s="158"/>
      <c r="AI171" s="158"/>
    </row>
    <row r="172" spans="20:35" x14ac:dyDescent="0.35">
      <c r="T172" s="256" t="str">
        <f>W172&amp;V172&amp;LEFT(道具价值!R1153)&amp;LEFT(X172,1)&amp;LEFT(Y172,1)</f>
        <v>T5低轻模三</v>
      </c>
      <c r="U172" s="256">
        <f>IF(V171="重",U171+1,U171)</f>
        <v>56</v>
      </c>
      <c r="V172" s="256" t="str">
        <f>V169</f>
        <v>轻</v>
      </c>
      <c r="W172" s="256" t="str">
        <f>VLOOKUP($U172,'坦克涂装-作废'!$B$23:$I$99,MATCH(W$6,'坦克涂装-作废'!$B$23:$I$23,0),FALSE)</f>
        <v>T5低</v>
      </c>
      <c r="X172" s="256" t="str">
        <f>VLOOKUP($U172,'坦克涂装-作废'!$B$23:$I$99,MATCH(X$6,'坦克涂装-作废'!$B$23:$I$23,0),FALSE)</f>
        <v>模型</v>
      </c>
      <c r="Y172" s="256" t="str">
        <f>VLOOKUP($U172,'坦克涂装-作废'!$B$23:$I$99,MATCH(Y$6,'坦克涂装-作废'!$B$23:$I$23,0),FALSE)</f>
        <v>三天</v>
      </c>
      <c r="Z172" s="159">
        <f>VLOOKUP($U172,'坦克涂装-作废'!$B$23:$I$99,MATCH(Z$6,'坦克涂装-作废'!$B$23:$I$23,0),FALSE)</f>
        <v>1660.7999999999997</v>
      </c>
      <c r="AA172" s="158"/>
      <c r="AB172" s="158"/>
      <c r="AC172" s="158"/>
      <c r="AD172" s="158"/>
      <c r="AE172" s="158"/>
      <c r="AF172" s="158"/>
      <c r="AG172" s="158"/>
      <c r="AH172" s="158"/>
      <c r="AI172" s="158"/>
    </row>
    <row r="173" spans="20:35" x14ac:dyDescent="0.35">
      <c r="T173" s="256" t="str">
        <f>W173&amp;V173&amp;LEFT(道具价值!R1154)&amp;LEFT(X173,1)&amp;LEFT(Y173,1)</f>
        <v>T5低中模三</v>
      </c>
      <c r="U173" s="256">
        <f>IF(V172="重",U172+1,U172)</f>
        <v>56</v>
      </c>
      <c r="V173" s="256" t="str">
        <f>V170</f>
        <v>中</v>
      </c>
      <c r="W173" s="256" t="str">
        <f>VLOOKUP($U173,'坦克涂装-作废'!$B$23:$I$99,MATCH(W$6,'坦克涂装-作废'!$B$23:$I$23,0),FALSE)</f>
        <v>T5低</v>
      </c>
      <c r="X173" s="256" t="str">
        <f>VLOOKUP($U173,'坦克涂装-作废'!$B$23:$I$99,MATCH(X$6,'坦克涂装-作废'!$B$23:$I$23,0),FALSE)</f>
        <v>模型</v>
      </c>
      <c r="Y173" s="256" t="str">
        <f>VLOOKUP($U173,'坦克涂装-作废'!$B$23:$I$99,MATCH(Y$6,'坦克涂装-作废'!$B$23:$I$23,0),FALSE)</f>
        <v>三天</v>
      </c>
      <c r="Z173" s="159">
        <f>VLOOKUP($U173,'坦克涂装-作废'!$B$23:$I$99,MATCH(Z$6,'坦克涂装-作废'!$B$23:$I$23,0),FALSE)</f>
        <v>1660.7999999999997</v>
      </c>
      <c r="AA173" s="158"/>
      <c r="AB173" s="158"/>
      <c r="AC173" s="158"/>
      <c r="AD173" s="158"/>
      <c r="AE173" s="158"/>
      <c r="AF173" s="158"/>
      <c r="AG173" s="158"/>
      <c r="AH173" s="158"/>
      <c r="AI173" s="158"/>
    </row>
    <row r="174" spans="20:35" x14ac:dyDescent="0.35">
      <c r="T174" s="256" t="str">
        <f>W174&amp;V174&amp;LEFT(道具价值!R1155)&amp;LEFT(X174,1)&amp;LEFT(Y174,1)</f>
        <v>T5低重模三</v>
      </c>
      <c r="U174" s="256">
        <f>IF(V173="重",U173+1,U173)</f>
        <v>56</v>
      </c>
      <c r="V174" s="256" t="str">
        <f>V171</f>
        <v>重</v>
      </c>
      <c r="W174" s="256" t="str">
        <f>VLOOKUP($U174,'坦克涂装-作废'!$B$23:$I$99,MATCH(W$6,'坦克涂装-作废'!$B$23:$I$23,0),FALSE)</f>
        <v>T5低</v>
      </c>
      <c r="X174" s="256" t="str">
        <f>VLOOKUP($U174,'坦克涂装-作废'!$B$23:$I$99,MATCH(X$6,'坦克涂装-作废'!$B$23:$I$23,0),FALSE)</f>
        <v>模型</v>
      </c>
      <c r="Y174" s="256" t="str">
        <f>VLOOKUP($U174,'坦克涂装-作废'!$B$23:$I$99,MATCH(Y$6,'坦克涂装-作废'!$B$23:$I$23,0),FALSE)</f>
        <v>三天</v>
      </c>
      <c r="Z174" s="159">
        <f>VLOOKUP($U174,'坦克涂装-作废'!$B$23:$I$99,MATCH(Z$6,'坦克涂装-作废'!$B$23:$I$23,0),FALSE)</f>
        <v>1660.7999999999997</v>
      </c>
      <c r="AA174" s="158"/>
      <c r="AB174" s="158"/>
      <c r="AC174" s="158"/>
      <c r="AD174" s="158"/>
      <c r="AE174" s="158"/>
      <c r="AF174" s="158"/>
      <c r="AG174" s="158"/>
      <c r="AH174" s="158"/>
      <c r="AI174" s="158"/>
    </row>
    <row r="175" spans="20:35" x14ac:dyDescent="0.35">
      <c r="T175" s="256" t="str">
        <f>W175&amp;V175&amp;LEFT(道具价值!R1156)&amp;LEFT(X175,1)&amp;LEFT(Y175,1)</f>
        <v>T5低轻模半</v>
      </c>
      <c r="U175" s="256">
        <f>IF(V174="重",U174+1,U174)</f>
        <v>57</v>
      </c>
      <c r="V175" s="256" t="str">
        <f>V172</f>
        <v>轻</v>
      </c>
      <c r="W175" s="256" t="str">
        <f>VLOOKUP($U175,'坦克涂装-作废'!$B$23:$I$99,MATCH(W$6,'坦克涂装-作废'!$B$23:$I$23,0),FALSE)</f>
        <v>T5低</v>
      </c>
      <c r="X175" s="256" t="str">
        <f>VLOOKUP($U175,'坦克涂装-作废'!$B$23:$I$99,MATCH(X$6,'坦克涂装-作废'!$B$23:$I$23,0),FALSE)</f>
        <v>模型</v>
      </c>
      <c r="Y175" s="256" t="str">
        <f>VLOOKUP($U175,'坦克涂装-作废'!$B$23:$I$99,MATCH(Y$6,'坦克涂装-作废'!$B$23:$I$23,0),FALSE)</f>
        <v>半月</v>
      </c>
      <c r="Z175" s="159">
        <f>VLOOKUP($U175,'坦克涂装-作废'!$B$23:$I$99,MATCH(Z$6,'坦克涂装-作废'!$B$23:$I$23,0),FALSE)</f>
        <v>3321.5999999999995</v>
      </c>
      <c r="AA175" s="158"/>
      <c r="AB175" s="158"/>
      <c r="AC175" s="158"/>
      <c r="AD175" s="158"/>
      <c r="AE175" s="158"/>
      <c r="AF175" s="158"/>
      <c r="AG175" s="158"/>
      <c r="AH175" s="158"/>
      <c r="AI175" s="158"/>
    </row>
    <row r="176" spans="20:35" x14ac:dyDescent="0.35">
      <c r="T176" s="256" t="str">
        <f>W176&amp;V176&amp;LEFT(道具价值!R1157)&amp;LEFT(X176,1)&amp;LEFT(Y176,1)</f>
        <v>T5低中模半</v>
      </c>
      <c r="U176" s="256">
        <f>IF(V175="重",U175+1,U175)</f>
        <v>57</v>
      </c>
      <c r="V176" s="256" t="str">
        <f>V173</f>
        <v>中</v>
      </c>
      <c r="W176" s="256" t="str">
        <f>VLOOKUP($U176,'坦克涂装-作废'!$B$23:$I$99,MATCH(W$6,'坦克涂装-作废'!$B$23:$I$23,0),FALSE)</f>
        <v>T5低</v>
      </c>
      <c r="X176" s="256" t="str">
        <f>VLOOKUP($U176,'坦克涂装-作废'!$B$23:$I$99,MATCH(X$6,'坦克涂装-作废'!$B$23:$I$23,0),FALSE)</f>
        <v>模型</v>
      </c>
      <c r="Y176" s="256" t="str">
        <f>VLOOKUP($U176,'坦克涂装-作废'!$B$23:$I$99,MATCH(Y$6,'坦克涂装-作废'!$B$23:$I$23,0),FALSE)</f>
        <v>半月</v>
      </c>
      <c r="Z176" s="159">
        <f>VLOOKUP($U176,'坦克涂装-作废'!$B$23:$I$99,MATCH(Z$6,'坦克涂装-作废'!$B$23:$I$23,0),FALSE)</f>
        <v>3321.5999999999995</v>
      </c>
      <c r="AA176" s="158"/>
      <c r="AB176" s="158"/>
      <c r="AC176" s="158"/>
      <c r="AD176" s="158"/>
      <c r="AE176" s="158"/>
      <c r="AF176" s="158"/>
      <c r="AG176" s="158"/>
      <c r="AH176" s="158"/>
      <c r="AI176" s="158"/>
    </row>
    <row r="177" spans="20:35" x14ac:dyDescent="0.35">
      <c r="T177" s="256" t="str">
        <f>W177&amp;V177&amp;LEFT(道具价值!R1158)&amp;LEFT(X177,1)&amp;LEFT(Y177,1)</f>
        <v>T5低重模半</v>
      </c>
      <c r="U177" s="256">
        <f>IF(V176="重",U176+1,U176)</f>
        <v>57</v>
      </c>
      <c r="V177" s="256" t="str">
        <f>V174</f>
        <v>重</v>
      </c>
      <c r="W177" s="256" t="str">
        <f>VLOOKUP($U177,'坦克涂装-作废'!$B$23:$I$99,MATCH(W$6,'坦克涂装-作废'!$B$23:$I$23,0),FALSE)</f>
        <v>T5低</v>
      </c>
      <c r="X177" s="256" t="str">
        <f>VLOOKUP($U177,'坦克涂装-作废'!$B$23:$I$99,MATCH(X$6,'坦克涂装-作废'!$B$23:$I$23,0),FALSE)</f>
        <v>模型</v>
      </c>
      <c r="Y177" s="256" t="str">
        <f>VLOOKUP($U177,'坦克涂装-作废'!$B$23:$I$99,MATCH(Y$6,'坦克涂装-作废'!$B$23:$I$23,0),FALSE)</f>
        <v>半月</v>
      </c>
      <c r="Z177" s="159">
        <f>VLOOKUP($U177,'坦克涂装-作废'!$B$23:$I$99,MATCH(Z$6,'坦克涂装-作废'!$B$23:$I$23,0),FALSE)</f>
        <v>3321.5999999999995</v>
      </c>
      <c r="AA177" s="158"/>
      <c r="AB177" s="158"/>
      <c r="AC177" s="158"/>
      <c r="AD177" s="158"/>
      <c r="AE177" s="158"/>
      <c r="AF177" s="158"/>
      <c r="AG177" s="158"/>
      <c r="AH177" s="158"/>
      <c r="AI177" s="158"/>
    </row>
    <row r="178" spans="20:35" x14ac:dyDescent="0.35">
      <c r="T178" s="256" t="str">
        <f>W178&amp;V178&amp;LEFT(道具价值!R1159)&amp;LEFT(X178,1)&amp;LEFT(Y178,1)</f>
        <v>T5低轻模永</v>
      </c>
      <c r="U178" s="256">
        <f>IF(V177="重",U177+1,U177)</f>
        <v>58</v>
      </c>
      <c r="V178" s="256" t="str">
        <f>V175</f>
        <v>轻</v>
      </c>
      <c r="W178" s="256" t="str">
        <f>VLOOKUP($U178,'坦克涂装-作废'!$B$23:$I$99,MATCH(W$6,'坦克涂装-作废'!$B$23:$I$23,0),FALSE)</f>
        <v>T5低</v>
      </c>
      <c r="X178" s="256" t="str">
        <f>VLOOKUP($U178,'坦克涂装-作废'!$B$23:$I$99,MATCH(X$6,'坦克涂装-作废'!$B$23:$I$23,0),FALSE)</f>
        <v>模型</v>
      </c>
      <c r="Y178" s="256" t="str">
        <f>VLOOKUP($U178,'坦克涂装-作废'!$B$23:$I$99,MATCH(Y$6,'坦克涂装-作废'!$B$23:$I$23,0),FALSE)</f>
        <v>永久</v>
      </c>
      <c r="Z178" s="159">
        <f>VLOOKUP($U178,'坦克涂装-作废'!$B$23:$I$99,MATCH(Z$6,'坦克涂装-作废'!$B$23:$I$23,0),FALSE)</f>
        <v>11210.400000000001</v>
      </c>
      <c r="AA178" s="158"/>
      <c r="AB178" s="158"/>
      <c r="AC178" s="158"/>
      <c r="AD178" s="158"/>
      <c r="AE178" s="158"/>
      <c r="AF178" s="158"/>
      <c r="AG178" s="158"/>
      <c r="AH178" s="158"/>
      <c r="AI178" s="158"/>
    </row>
    <row r="179" spans="20:35" x14ac:dyDescent="0.35">
      <c r="T179" s="256" t="str">
        <f>W179&amp;V179&amp;LEFT(道具价值!R1160)&amp;LEFT(X179,1)&amp;LEFT(Y179,1)</f>
        <v>T5低中模永</v>
      </c>
      <c r="U179" s="256">
        <f>IF(V178="重",U178+1,U178)</f>
        <v>58</v>
      </c>
      <c r="V179" s="256" t="str">
        <f>V176</f>
        <v>中</v>
      </c>
      <c r="W179" s="256" t="str">
        <f>VLOOKUP($U179,'坦克涂装-作废'!$B$23:$I$99,MATCH(W$6,'坦克涂装-作废'!$B$23:$I$23,0),FALSE)</f>
        <v>T5低</v>
      </c>
      <c r="X179" s="256" t="str">
        <f>VLOOKUP($U179,'坦克涂装-作废'!$B$23:$I$99,MATCH(X$6,'坦克涂装-作废'!$B$23:$I$23,0),FALSE)</f>
        <v>模型</v>
      </c>
      <c r="Y179" s="256" t="str">
        <f>VLOOKUP($U179,'坦克涂装-作废'!$B$23:$I$99,MATCH(Y$6,'坦克涂装-作废'!$B$23:$I$23,0),FALSE)</f>
        <v>永久</v>
      </c>
      <c r="Z179" s="159">
        <f>VLOOKUP($U179,'坦克涂装-作废'!$B$23:$I$99,MATCH(Z$6,'坦克涂装-作废'!$B$23:$I$23,0),FALSE)</f>
        <v>11210.400000000001</v>
      </c>
      <c r="AA179" s="158"/>
      <c r="AB179" s="158"/>
      <c r="AC179" s="158"/>
      <c r="AD179" s="158"/>
      <c r="AE179" s="158"/>
      <c r="AF179" s="158"/>
      <c r="AG179" s="158"/>
      <c r="AH179" s="158"/>
      <c r="AI179" s="158"/>
    </row>
    <row r="180" spans="20:35" x14ac:dyDescent="0.35">
      <c r="T180" s="256" t="str">
        <f>W180&amp;V180&amp;LEFT(道具价值!R1161)&amp;LEFT(X180,1)&amp;LEFT(Y180,1)</f>
        <v>T5低重模永</v>
      </c>
      <c r="U180" s="256">
        <f>IF(V179="重",U179+1,U179)</f>
        <v>58</v>
      </c>
      <c r="V180" s="256" t="str">
        <f>V177</f>
        <v>重</v>
      </c>
      <c r="W180" s="256" t="str">
        <f>VLOOKUP($U180,'坦克涂装-作废'!$B$23:$I$99,MATCH(W$6,'坦克涂装-作废'!$B$23:$I$23,0),FALSE)</f>
        <v>T5低</v>
      </c>
      <c r="X180" s="256" t="str">
        <f>VLOOKUP($U180,'坦克涂装-作废'!$B$23:$I$99,MATCH(X$6,'坦克涂装-作废'!$B$23:$I$23,0),FALSE)</f>
        <v>模型</v>
      </c>
      <c r="Y180" s="256" t="str">
        <f>VLOOKUP($U180,'坦克涂装-作废'!$B$23:$I$99,MATCH(Y$6,'坦克涂装-作废'!$B$23:$I$23,0),FALSE)</f>
        <v>永久</v>
      </c>
      <c r="Z180" s="159">
        <f>VLOOKUP($U180,'坦克涂装-作废'!$B$23:$I$99,MATCH(Z$6,'坦克涂装-作废'!$B$23:$I$23,0),FALSE)</f>
        <v>11210.400000000001</v>
      </c>
      <c r="AA180" s="158"/>
      <c r="AB180" s="158"/>
      <c r="AC180" s="158"/>
      <c r="AD180" s="158"/>
      <c r="AE180" s="158"/>
      <c r="AF180" s="158"/>
      <c r="AG180" s="158"/>
      <c r="AH180" s="158"/>
      <c r="AI180" s="158"/>
    </row>
    <row r="181" spans="20:35" x14ac:dyDescent="0.35">
      <c r="T181" s="256" t="str">
        <f>W181&amp;V181&amp;LEFT(道具价值!R1162)&amp;LEFT(X181,1)&amp;LEFT(Y181,1)</f>
        <v>T5中轻贴三</v>
      </c>
      <c r="U181" s="256">
        <f>IF(V180="重",U180+1,U180)</f>
        <v>59</v>
      </c>
      <c r="V181" s="256" t="str">
        <f>V178</f>
        <v>轻</v>
      </c>
      <c r="W181" s="256" t="str">
        <f>VLOOKUP($U181,'坦克涂装-作废'!$B$23:$I$99,MATCH(W$6,'坦克涂装-作废'!$B$23:$I$23,0),FALSE)</f>
        <v>T5中</v>
      </c>
      <c r="X181" s="256" t="str">
        <f>VLOOKUP($U181,'坦克涂装-作废'!$B$23:$I$99,MATCH(X$6,'坦克涂装-作废'!$B$23:$I$23,0),FALSE)</f>
        <v>贴花</v>
      </c>
      <c r="Y181" s="256" t="str">
        <f>VLOOKUP($U181,'坦克涂装-作废'!$B$23:$I$99,MATCH(Y$6,'坦克涂装-作废'!$B$23:$I$23,0),FALSE)</f>
        <v>三天</v>
      </c>
      <c r="Z181" s="159">
        <f>VLOOKUP($U181,'坦克涂装-作废'!$B$23:$I$99,MATCH(Z$6,'坦克涂装-作废'!$B$23:$I$23,0),FALSE)</f>
        <v>973.89473684210543</v>
      </c>
      <c r="AA181" s="158"/>
      <c r="AB181" s="158"/>
      <c r="AC181" s="158"/>
      <c r="AD181" s="158"/>
      <c r="AE181" s="158"/>
      <c r="AF181" s="158"/>
      <c r="AG181" s="158"/>
      <c r="AH181" s="158"/>
      <c r="AI181" s="158"/>
    </row>
    <row r="182" spans="20:35" x14ac:dyDescent="0.35">
      <c r="T182" s="256" t="str">
        <f>W182&amp;V182&amp;LEFT(道具价值!R1163)&amp;LEFT(X182,1)&amp;LEFT(Y182,1)</f>
        <v>T5中中贴三</v>
      </c>
      <c r="U182" s="256">
        <f>IF(V181="重",U181+1,U181)</f>
        <v>59</v>
      </c>
      <c r="V182" s="256" t="str">
        <f>V179</f>
        <v>中</v>
      </c>
      <c r="W182" s="256" t="str">
        <f>VLOOKUP($U182,'坦克涂装-作废'!$B$23:$I$99,MATCH(W$6,'坦克涂装-作废'!$B$23:$I$23,0),FALSE)</f>
        <v>T5中</v>
      </c>
      <c r="X182" s="256" t="str">
        <f>VLOOKUP($U182,'坦克涂装-作废'!$B$23:$I$99,MATCH(X$6,'坦克涂装-作废'!$B$23:$I$23,0),FALSE)</f>
        <v>贴花</v>
      </c>
      <c r="Y182" s="256" t="str">
        <f>VLOOKUP($U182,'坦克涂装-作废'!$B$23:$I$99,MATCH(Y$6,'坦克涂装-作废'!$B$23:$I$23,0),FALSE)</f>
        <v>三天</v>
      </c>
      <c r="Z182" s="159">
        <f>VLOOKUP($U182,'坦克涂装-作废'!$B$23:$I$99,MATCH(Z$6,'坦克涂装-作废'!$B$23:$I$23,0),FALSE)</f>
        <v>973.89473684210543</v>
      </c>
      <c r="AA182" s="158"/>
      <c r="AB182" s="158"/>
      <c r="AC182" s="158"/>
      <c r="AD182" s="158"/>
      <c r="AE182" s="158"/>
      <c r="AF182" s="158"/>
      <c r="AG182" s="158"/>
      <c r="AH182" s="158"/>
      <c r="AI182" s="158"/>
    </row>
    <row r="183" spans="20:35" x14ac:dyDescent="0.35">
      <c r="T183" s="256" t="str">
        <f>W183&amp;V183&amp;LEFT(道具价值!R1164)&amp;LEFT(X183,1)&amp;LEFT(Y183,1)</f>
        <v>T5中重贴三</v>
      </c>
      <c r="U183" s="256">
        <f>IF(V182="重",U182+1,U182)</f>
        <v>59</v>
      </c>
      <c r="V183" s="256" t="str">
        <f>V180</f>
        <v>重</v>
      </c>
      <c r="W183" s="256" t="str">
        <f>VLOOKUP($U183,'坦克涂装-作废'!$B$23:$I$99,MATCH(W$6,'坦克涂装-作废'!$B$23:$I$23,0),FALSE)</f>
        <v>T5中</v>
      </c>
      <c r="X183" s="256" t="str">
        <f>VLOOKUP($U183,'坦克涂装-作废'!$B$23:$I$99,MATCH(X$6,'坦克涂装-作废'!$B$23:$I$23,0),FALSE)</f>
        <v>贴花</v>
      </c>
      <c r="Y183" s="256" t="str">
        <f>VLOOKUP($U183,'坦克涂装-作废'!$B$23:$I$99,MATCH(Y$6,'坦克涂装-作废'!$B$23:$I$23,0),FALSE)</f>
        <v>三天</v>
      </c>
      <c r="Z183" s="159">
        <f>VLOOKUP($U183,'坦克涂装-作废'!$B$23:$I$99,MATCH(Z$6,'坦克涂装-作废'!$B$23:$I$23,0),FALSE)</f>
        <v>973.89473684210543</v>
      </c>
      <c r="AA183" s="158"/>
      <c r="AB183" s="158"/>
      <c r="AC183" s="158"/>
      <c r="AD183" s="158"/>
      <c r="AE183" s="158"/>
      <c r="AF183" s="158"/>
      <c r="AG183" s="158"/>
      <c r="AH183" s="158"/>
      <c r="AI183" s="158"/>
    </row>
    <row r="184" spans="20:35" x14ac:dyDescent="0.35">
      <c r="T184" s="256" t="str">
        <f>W184&amp;V184&amp;LEFT(道具价值!R1165)&amp;LEFT(X184,1)&amp;LEFT(Y184,1)</f>
        <v>T5中轻贴半</v>
      </c>
      <c r="U184" s="256">
        <f>IF(V183="重",U183+1,U183)</f>
        <v>60</v>
      </c>
      <c r="V184" s="256" t="str">
        <f>V181</f>
        <v>轻</v>
      </c>
      <c r="W184" s="256" t="str">
        <f>VLOOKUP($U184,'坦克涂装-作废'!$B$23:$I$99,MATCH(W$6,'坦克涂装-作废'!$B$23:$I$23,0),FALSE)</f>
        <v>T5中</v>
      </c>
      <c r="X184" s="256" t="str">
        <f>VLOOKUP($U184,'坦克涂装-作废'!$B$23:$I$99,MATCH(X$6,'坦克涂装-作废'!$B$23:$I$23,0),FALSE)</f>
        <v>贴花</v>
      </c>
      <c r="Y184" s="256" t="str">
        <f>VLOOKUP($U184,'坦克涂装-作废'!$B$23:$I$99,MATCH(Y$6,'坦克涂装-作废'!$B$23:$I$23,0),FALSE)</f>
        <v>半月</v>
      </c>
      <c r="Z184" s="159">
        <f>VLOOKUP($U184,'坦克涂装-作废'!$B$23:$I$99,MATCH(Z$6,'坦克涂装-作废'!$B$23:$I$23,0),FALSE)</f>
        <v>2191.2631578947371</v>
      </c>
      <c r="AA184" s="158"/>
      <c r="AB184" s="158"/>
      <c r="AC184" s="158"/>
      <c r="AD184" s="158"/>
      <c r="AE184" s="158"/>
      <c r="AF184" s="158"/>
      <c r="AG184" s="158"/>
      <c r="AH184" s="158"/>
      <c r="AI184" s="158"/>
    </row>
    <row r="185" spans="20:35" x14ac:dyDescent="0.35">
      <c r="T185" s="256" t="str">
        <f>W185&amp;V185&amp;LEFT(道具价值!R1166)&amp;LEFT(X185,1)&amp;LEFT(Y185,1)</f>
        <v>T5中中贴半</v>
      </c>
      <c r="U185" s="256">
        <f>IF(V184="重",U184+1,U184)</f>
        <v>60</v>
      </c>
      <c r="V185" s="256" t="str">
        <f>V182</f>
        <v>中</v>
      </c>
      <c r="W185" s="256" t="str">
        <f>VLOOKUP($U185,'坦克涂装-作废'!$B$23:$I$99,MATCH(W$6,'坦克涂装-作废'!$B$23:$I$23,0),FALSE)</f>
        <v>T5中</v>
      </c>
      <c r="X185" s="256" t="str">
        <f>VLOOKUP($U185,'坦克涂装-作废'!$B$23:$I$99,MATCH(X$6,'坦克涂装-作废'!$B$23:$I$23,0),FALSE)</f>
        <v>贴花</v>
      </c>
      <c r="Y185" s="256" t="str">
        <f>VLOOKUP($U185,'坦克涂装-作废'!$B$23:$I$99,MATCH(Y$6,'坦克涂装-作废'!$B$23:$I$23,0),FALSE)</f>
        <v>半月</v>
      </c>
      <c r="Z185" s="159">
        <f>VLOOKUP($U185,'坦克涂装-作废'!$B$23:$I$99,MATCH(Z$6,'坦克涂装-作废'!$B$23:$I$23,0),FALSE)</f>
        <v>2191.2631578947371</v>
      </c>
      <c r="AA185" s="158"/>
      <c r="AB185" s="158"/>
      <c r="AC185" s="158"/>
      <c r="AD185" s="158"/>
      <c r="AE185" s="158"/>
      <c r="AF185" s="158"/>
      <c r="AG185" s="158"/>
      <c r="AH185" s="158"/>
      <c r="AI185" s="158"/>
    </row>
    <row r="186" spans="20:35" x14ac:dyDescent="0.35">
      <c r="T186" s="256" t="str">
        <f>W186&amp;V186&amp;LEFT(道具价值!R1167)&amp;LEFT(X186,1)&amp;LEFT(Y186,1)</f>
        <v>T5中重贴半</v>
      </c>
      <c r="U186" s="256">
        <f>IF(V185="重",U185+1,U185)</f>
        <v>60</v>
      </c>
      <c r="V186" s="256" t="str">
        <f>V183</f>
        <v>重</v>
      </c>
      <c r="W186" s="256" t="str">
        <f>VLOOKUP($U186,'坦克涂装-作废'!$B$23:$I$99,MATCH(W$6,'坦克涂装-作废'!$B$23:$I$23,0),FALSE)</f>
        <v>T5中</v>
      </c>
      <c r="X186" s="256" t="str">
        <f>VLOOKUP($U186,'坦克涂装-作废'!$B$23:$I$99,MATCH(X$6,'坦克涂装-作废'!$B$23:$I$23,0),FALSE)</f>
        <v>贴花</v>
      </c>
      <c r="Y186" s="256" t="str">
        <f>VLOOKUP($U186,'坦克涂装-作废'!$B$23:$I$99,MATCH(Y$6,'坦克涂装-作废'!$B$23:$I$23,0),FALSE)</f>
        <v>半月</v>
      </c>
      <c r="Z186" s="159">
        <f>VLOOKUP($U186,'坦克涂装-作废'!$B$23:$I$99,MATCH(Z$6,'坦克涂装-作废'!$B$23:$I$23,0),FALSE)</f>
        <v>2191.2631578947371</v>
      </c>
      <c r="AA186" s="158"/>
      <c r="AB186" s="158"/>
      <c r="AC186" s="158"/>
      <c r="AD186" s="158"/>
      <c r="AE186" s="158"/>
      <c r="AF186" s="158"/>
      <c r="AG186" s="158"/>
      <c r="AH186" s="158"/>
      <c r="AI186" s="158"/>
    </row>
    <row r="187" spans="20:35" x14ac:dyDescent="0.35">
      <c r="T187" s="256" t="str">
        <f>W187&amp;V187&amp;LEFT(道具价值!R1168)&amp;LEFT(X187,1)&amp;LEFT(Y187,1)</f>
        <v>T5中轻贴永</v>
      </c>
      <c r="U187" s="256">
        <f>IF(V186="重",U186+1,U186)</f>
        <v>61</v>
      </c>
      <c r="V187" s="256" t="str">
        <f>V184</f>
        <v>轻</v>
      </c>
      <c r="W187" s="256" t="str">
        <f>VLOOKUP($U187,'坦克涂装-作废'!$B$23:$I$99,MATCH(W$6,'坦克涂装-作废'!$B$23:$I$23,0),FALSE)</f>
        <v>T5中</v>
      </c>
      <c r="X187" s="256" t="str">
        <f>VLOOKUP($U187,'坦克涂装-作废'!$B$23:$I$99,MATCH(X$6,'坦克涂装-作废'!$B$23:$I$23,0),FALSE)</f>
        <v>贴花</v>
      </c>
      <c r="Y187" s="256" t="str">
        <f>VLOOKUP($U187,'坦克涂装-作废'!$B$23:$I$99,MATCH(Y$6,'坦克涂装-作废'!$B$23:$I$23,0),FALSE)</f>
        <v>永久</v>
      </c>
      <c r="Z187" s="159">
        <f>VLOOKUP($U187,'坦克涂装-作废'!$B$23:$I$99,MATCH(Z$6,'坦克涂装-作废'!$B$23:$I$23,0),FALSE)</f>
        <v>6817.2631578947376</v>
      </c>
      <c r="AA187" s="158"/>
      <c r="AB187" s="158"/>
      <c r="AC187" s="158"/>
      <c r="AD187" s="158"/>
      <c r="AE187" s="158"/>
      <c r="AF187" s="158"/>
      <c r="AG187" s="158"/>
      <c r="AH187" s="158"/>
      <c r="AI187" s="158"/>
    </row>
    <row r="188" spans="20:35" x14ac:dyDescent="0.35">
      <c r="T188" s="256" t="str">
        <f>W188&amp;V188&amp;LEFT(道具价值!R1169)&amp;LEFT(X188,1)&amp;LEFT(Y188,1)</f>
        <v>T5中中贴永</v>
      </c>
      <c r="U188" s="256">
        <f>IF(V187="重",U187+1,U187)</f>
        <v>61</v>
      </c>
      <c r="V188" s="256" t="str">
        <f>V185</f>
        <v>中</v>
      </c>
      <c r="W188" s="256" t="str">
        <f>VLOOKUP($U188,'坦克涂装-作废'!$B$23:$I$99,MATCH(W$6,'坦克涂装-作废'!$B$23:$I$23,0),FALSE)</f>
        <v>T5中</v>
      </c>
      <c r="X188" s="256" t="str">
        <f>VLOOKUP($U188,'坦克涂装-作废'!$B$23:$I$99,MATCH(X$6,'坦克涂装-作废'!$B$23:$I$23,0),FALSE)</f>
        <v>贴花</v>
      </c>
      <c r="Y188" s="256" t="str">
        <f>VLOOKUP($U188,'坦克涂装-作废'!$B$23:$I$99,MATCH(Y$6,'坦克涂装-作废'!$B$23:$I$23,0),FALSE)</f>
        <v>永久</v>
      </c>
      <c r="Z188" s="159">
        <f>VLOOKUP($U188,'坦克涂装-作废'!$B$23:$I$99,MATCH(Z$6,'坦克涂装-作废'!$B$23:$I$23,0),FALSE)</f>
        <v>6817.2631578947376</v>
      </c>
      <c r="AA188" s="158"/>
      <c r="AB188" s="158"/>
      <c r="AC188" s="158"/>
      <c r="AD188" s="158"/>
      <c r="AE188" s="158"/>
      <c r="AF188" s="158"/>
      <c r="AG188" s="158"/>
      <c r="AH188" s="158"/>
      <c r="AI188" s="158"/>
    </row>
    <row r="189" spans="20:35" x14ac:dyDescent="0.35">
      <c r="T189" s="256" t="str">
        <f>W189&amp;V189&amp;LEFT(道具价值!R1170)&amp;LEFT(X189,1)&amp;LEFT(Y189,1)</f>
        <v>T5中重贴永</v>
      </c>
      <c r="U189" s="256">
        <f>IF(V188="重",U188+1,U188)</f>
        <v>61</v>
      </c>
      <c r="V189" s="256" t="str">
        <f>V186</f>
        <v>重</v>
      </c>
      <c r="W189" s="256" t="str">
        <f>VLOOKUP($U189,'坦克涂装-作废'!$B$23:$I$99,MATCH(W$6,'坦克涂装-作废'!$B$23:$I$23,0),FALSE)</f>
        <v>T5中</v>
      </c>
      <c r="X189" s="256" t="str">
        <f>VLOOKUP($U189,'坦克涂装-作废'!$B$23:$I$99,MATCH(X$6,'坦克涂装-作废'!$B$23:$I$23,0),FALSE)</f>
        <v>贴花</v>
      </c>
      <c r="Y189" s="256" t="str">
        <f>VLOOKUP($U189,'坦克涂装-作废'!$B$23:$I$99,MATCH(Y$6,'坦克涂装-作废'!$B$23:$I$23,0),FALSE)</f>
        <v>永久</v>
      </c>
      <c r="Z189" s="159">
        <f>VLOOKUP($U189,'坦克涂装-作废'!$B$23:$I$99,MATCH(Z$6,'坦克涂装-作废'!$B$23:$I$23,0),FALSE)</f>
        <v>6817.2631578947376</v>
      </c>
      <c r="AA189" s="158"/>
      <c r="AB189" s="158"/>
      <c r="AC189" s="158"/>
      <c r="AD189" s="158"/>
      <c r="AE189" s="158"/>
      <c r="AF189" s="158"/>
      <c r="AG189" s="158"/>
      <c r="AH189" s="158"/>
      <c r="AI189" s="158"/>
    </row>
    <row r="190" spans="20:35" x14ac:dyDescent="0.35">
      <c r="T190" s="256" t="str">
        <f>W190&amp;V190&amp;LEFT(道具价值!R1171)&amp;LEFT(X190,1)&amp;LEFT(Y190,1)</f>
        <v>T5中轻图三</v>
      </c>
      <c r="U190" s="256">
        <f>IF(V189="重",U189+1,U189)</f>
        <v>62</v>
      </c>
      <c r="V190" s="256" t="str">
        <f>V187</f>
        <v>轻</v>
      </c>
      <c r="W190" s="256" t="str">
        <f>VLOOKUP($U190,'坦克涂装-作废'!$B$23:$I$99,MATCH(W$6,'坦克涂装-作废'!$B$23:$I$23,0),FALSE)</f>
        <v>T5中</v>
      </c>
      <c r="X190" s="256" t="str">
        <f>VLOOKUP($U190,'坦克涂装-作废'!$B$23:$I$99,MATCH(X$6,'坦克涂装-作废'!$B$23:$I$23,0),FALSE)</f>
        <v>图案</v>
      </c>
      <c r="Y190" s="256" t="str">
        <f>VLOOKUP($U190,'坦克涂装-作废'!$B$23:$I$99,MATCH(Y$6,'坦克涂装-作废'!$B$23:$I$23,0),FALSE)</f>
        <v>三天</v>
      </c>
      <c r="Z190" s="159">
        <f>VLOOKUP($U190,'坦克涂装-作废'!$B$23:$I$99,MATCH(Z$6,'坦克涂装-作废'!$B$23:$I$23,0),FALSE)</f>
        <v>2191.2631578947371</v>
      </c>
      <c r="AA190" s="158"/>
      <c r="AB190" s="158"/>
      <c r="AC190" s="158"/>
      <c r="AD190" s="158"/>
      <c r="AE190" s="158"/>
      <c r="AF190" s="158"/>
      <c r="AG190" s="158"/>
      <c r="AH190" s="158"/>
      <c r="AI190" s="158"/>
    </row>
    <row r="191" spans="20:35" x14ac:dyDescent="0.35">
      <c r="T191" s="256" t="str">
        <f>W191&amp;V191&amp;LEFT(道具价值!R1172)&amp;LEFT(X191,1)&amp;LEFT(Y191,1)</f>
        <v>T5中中图三</v>
      </c>
      <c r="U191" s="256">
        <f>IF(V190="重",U190+1,U190)</f>
        <v>62</v>
      </c>
      <c r="V191" s="256" t="str">
        <f>V188</f>
        <v>中</v>
      </c>
      <c r="W191" s="256" t="str">
        <f>VLOOKUP($U191,'坦克涂装-作废'!$B$23:$I$99,MATCH(W$6,'坦克涂装-作废'!$B$23:$I$23,0),FALSE)</f>
        <v>T5中</v>
      </c>
      <c r="X191" s="256" t="str">
        <f>VLOOKUP($U191,'坦克涂装-作废'!$B$23:$I$99,MATCH(X$6,'坦克涂装-作废'!$B$23:$I$23,0),FALSE)</f>
        <v>图案</v>
      </c>
      <c r="Y191" s="256" t="str">
        <f>VLOOKUP($U191,'坦克涂装-作废'!$B$23:$I$99,MATCH(Y$6,'坦克涂装-作废'!$B$23:$I$23,0),FALSE)</f>
        <v>三天</v>
      </c>
      <c r="Z191" s="159">
        <f>VLOOKUP($U191,'坦克涂装-作废'!$B$23:$I$99,MATCH(Z$6,'坦克涂装-作废'!$B$23:$I$23,0),FALSE)</f>
        <v>2191.2631578947371</v>
      </c>
      <c r="AA191" s="158"/>
      <c r="AB191" s="158"/>
      <c r="AC191" s="158"/>
      <c r="AD191" s="158"/>
      <c r="AE191" s="158"/>
      <c r="AF191" s="158"/>
      <c r="AG191" s="158"/>
      <c r="AH191" s="158"/>
      <c r="AI191" s="158"/>
    </row>
    <row r="192" spans="20:35" x14ac:dyDescent="0.35">
      <c r="T192" s="256" t="str">
        <f>W192&amp;V192&amp;LEFT(道具价值!R1173)&amp;LEFT(X192,1)&amp;LEFT(Y192,1)</f>
        <v>T5中重图三</v>
      </c>
      <c r="U192" s="256">
        <f>IF(V191="重",U191+1,U191)</f>
        <v>62</v>
      </c>
      <c r="V192" s="256" t="str">
        <f>V189</f>
        <v>重</v>
      </c>
      <c r="W192" s="256" t="str">
        <f>VLOOKUP($U192,'坦克涂装-作废'!$B$23:$I$99,MATCH(W$6,'坦克涂装-作废'!$B$23:$I$23,0),FALSE)</f>
        <v>T5中</v>
      </c>
      <c r="X192" s="256" t="str">
        <f>VLOOKUP($U192,'坦克涂装-作废'!$B$23:$I$99,MATCH(X$6,'坦克涂装-作废'!$B$23:$I$23,0),FALSE)</f>
        <v>图案</v>
      </c>
      <c r="Y192" s="256" t="str">
        <f>VLOOKUP($U192,'坦克涂装-作废'!$B$23:$I$99,MATCH(Y$6,'坦克涂装-作废'!$B$23:$I$23,0),FALSE)</f>
        <v>三天</v>
      </c>
      <c r="Z192" s="159">
        <f>VLOOKUP($U192,'坦克涂装-作废'!$B$23:$I$99,MATCH(Z$6,'坦克涂装-作废'!$B$23:$I$23,0),FALSE)</f>
        <v>2191.2631578947371</v>
      </c>
      <c r="AA192" s="158"/>
      <c r="AB192" s="158"/>
      <c r="AC192" s="158"/>
      <c r="AD192" s="158"/>
      <c r="AE192" s="158"/>
      <c r="AF192" s="158"/>
      <c r="AG192" s="158"/>
      <c r="AH192" s="158"/>
      <c r="AI192" s="158"/>
    </row>
    <row r="193" spans="20:35" x14ac:dyDescent="0.35">
      <c r="T193" s="256" t="str">
        <f>W193&amp;V193&amp;LEFT(道具价值!R1174)&amp;LEFT(X193,1)&amp;LEFT(Y193,1)</f>
        <v>T5中轻图半</v>
      </c>
      <c r="U193" s="256">
        <f>IF(V192="重",U192+1,U192)</f>
        <v>63</v>
      </c>
      <c r="V193" s="256" t="str">
        <f>V190</f>
        <v>轻</v>
      </c>
      <c r="W193" s="256" t="str">
        <f>VLOOKUP($U193,'坦克涂装-作废'!$B$23:$I$99,MATCH(W$6,'坦克涂装-作废'!$B$23:$I$23,0),FALSE)</f>
        <v>T5中</v>
      </c>
      <c r="X193" s="256" t="str">
        <f>VLOOKUP($U193,'坦克涂装-作废'!$B$23:$I$99,MATCH(X$6,'坦克涂装-作废'!$B$23:$I$23,0),FALSE)</f>
        <v>图案</v>
      </c>
      <c r="Y193" s="256" t="str">
        <f>VLOOKUP($U193,'坦克涂装-作废'!$B$23:$I$99,MATCH(Y$6,'坦克涂装-作废'!$B$23:$I$23,0),FALSE)</f>
        <v>半月</v>
      </c>
      <c r="Z193" s="159">
        <f>VLOOKUP($U193,'坦克涂装-作废'!$B$23:$I$99,MATCH(Z$6,'坦克涂装-作废'!$B$23:$I$23,0),FALSE)</f>
        <v>3895.5789473684217</v>
      </c>
      <c r="AA193" s="158"/>
      <c r="AB193" s="158"/>
      <c r="AC193" s="158"/>
      <c r="AD193" s="158"/>
      <c r="AE193" s="158"/>
      <c r="AF193" s="158"/>
      <c r="AG193" s="158"/>
      <c r="AH193" s="158"/>
      <c r="AI193" s="158"/>
    </row>
    <row r="194" spans="20:35" x14ac:dyDescent="0.35">
      <c r="T194" s="256" t="str">
        <f>W194&amp;V194&amp;LEFT(道具价值!R1175)&amp;LEFT(X194,1)&amp;LEFT(Y194,1)</f>
        <v>T5中中图半</v>
      </c>
      <c r="U194" s="256">
        <f>IF(V193="重",U193+1,U193)</f>
        <v>63</v>
      </c>
      <c r="V194" s="256" t="str">
        <f>V191</f>
        <v>中</v>
      </c>
      <c r="W194" s="256" t="str">
        <f>VLOOKUP($U194,'坦克涂装-作废'!$B$23:$I$99,MATCH(W$6,'坦克涂装-作废'!$B$23:$I$23,0),FALSE)</f>
        <v>T5中</v>
      </c>
      <c r="X194" s="256" t="str">
        <f>VLOOKUP($U194,'坦克涂装-作废'!$B$23:$I$99,MATCH(X$6,'坦克涂装-作废'!$B$23:$I$23,0),FALSE)</f>
        <v>图案</v>
      </c>
      <c r="Y194" s="256" t="str">
        <f>VLOOKUP($U194,'坦克涂装-作废'!$B$23:$I$99,MATCH(Y$6,'坦克涂装-作废'!$B$23:$I$23,0),FALSE)</f>
        <v>半月</v>
      </c>
      <c r="Z194" s="159">
        <f>VLOOKUP($U194,'坦克涂装-作废'!$B$23:$I$99,MATCH(Z$6,'坦克涂装-作废'!$B$23:$I$23,0),FALSE)</f>
        <v>3895.5789473684217</v>
      </c>
      <c r="AA194" s="158"/>
      <c r="AB194" s="158"/>
      <c r="AC194" s="158"/>
      <c r="AD194" s="158"/>
      <c r="AE194" s="158"/>
      <c r="AF194" s="158"/>
      <c r="AG194" s="158"/>
      <c r="AH194" s="158"/>
      <c r="AI194" s="158"/>
    </row>
    <row r="195" spans="20:35" x14ac:dyDescent="0.35">
      <c r="T195" s="256" t="str">
        <f>W195&amp;V195&amp;LEFT(道具价值!R1176)&amp;LEFT(X195,1)&amp;LEFT(Y195,1)</f>
        <v>T5中重图半</v>
      </c>
      <c r="U195" s="256">
        <f>IF(V194="重",U194+1,U194)</f>
        <v>63</v>
      </c>
      <c r="V195" s="256" t="str">
        <f>V192</f>
        <v>重</v>
      </c>
      <c r="W195" s="256" t="str">
        <f>VLOOKUP($U195,'坦克涂装-作废'!$B$23:$I$99,MATCH(W$6,'坦克涂装-作废'!$B$23:$I$23,0),FALSE)</f>
        <v>T5中</v>
      </c>
      <c r="X195" s="256" t="str">
        <f>VLOOKUP($U195,'坦克涂装-作废'!$B$23:$I$99,MATCH(X$6,'坦克涂装-作废'!$B$23:$I$23,0),FALSE)</f>
        <v>图案</v>
      </c>
      <c r="Y195" s="256" t="str">
        <f>VLOOKUP($U195,'坦克涂装-作废'!$B$23:$I$99,MATCH(Y$6,'坦克涂装-作废'!$B$23:$I$23,0),FALSE)</f>
        <v>半月</v>
      </c>
      <c r="Z195" s="159">
        <f>VLOOKUP($U195,'坦克涂装-作废'!$B$23:$I$99,MATCH(Z$6,'坦克涂装-作废'!$B$23:$I$23,0),FALSE)</f>
        <v>3895.5789473684217</v>
      </c>
      <c r="AA195" s="158"/>
      <c r="AB195" s="158"/>
      <c r="AC195" s="158"/>
      <c r="AD195" s="158"/>
      <c r="AE195" s="158"/>
      <c r="AF195" s="158"/>
      <c r="AG195" s="158"/>
      <c r="AH195" s="158"/>
      <c r="AI195" s="158"/>
    </row>
    <row r="196" spans="20:35" x14ac:dyDescent="0.35">
      <c r="T196" s="256" t="str">
        <f>W196&amp;V196&amp;LEFT(道具价值!R1177)&amp;LEFT(X196,1)&amp;LEFT(Y196,1)</f>
        <v>T5中轻图永</v>
      </c>
      <c r="U196" s="256">
        <f>IF(V195="重",U195+1,U195)</f>
        <v>64</v>
      </c>
      <c r="V196" s="256" t="str">
        <f>V193</f>
        <v>轻</v>
      </c>
      <c r="W196" s="256" t="str">
        <f>VLOOKUP($U196,'坦克涂装-作废'!$B$23:$I$99,MATCH(W$6,'坦克涂装-作废'!$B$23:$I$23,0),FALSE)</f>
        <v>T5中</v>
      </c>
      <c r="X196" s="256" t="str">
        <f>VLOOKUP($U196,'坦克涂装-作废'!$B$23:$I$99,MATCH(X$6,'坦克涂装-作废'!$B$23:$I$23,0),FALSE)</f>
        <v>图案</v>
      </c>
      <c r="Y196" s="256" t="str">
        <f>VLOOKUP($U196,'坦克涂装-作废'!$B$23:$I$99,MATCH(Y$6,'坦克涂装-作废'!$B$23:$I$23,0),FALSE)</f>
        <v>永久</v>
      </c>
      <c r="Z196" s="159">
        <f>VLOOKUP($U196,'坦克涂装-作废'!$B$23:$I$99,MATCH(Z$6,'坦克涂装-作废'!$B$23:$I$23,0),FALSE)</f>
        <v>11686.736842105267</v>
      </c>
      <c r="AA196" s="158"/>
      <c r="AB196" s="158"/>
      <c r="AC196" s="158"/>
      <c r="AD196" s="158"/>
      <c r="AE196" s="158"/>
      <c r="AF196" s="158"/>
      <c r="AG196" s="158"/>
      <c r="AH196" s="158"/>
      <c r="AI196" s="158"/>
    </row>
    <row r="197" spans="20:35" x14ac:dyDescent="0.35">
      <c r="T197" s="256" t="str">
        <f>W197&amp;V197&amp;LEFT(道具价值!R1178)&amp;LEFT(X197,1)&amp;LEFT(Y197,1)</f>
        <v>T5中中图永</v>
      </c>
      <c r="U197" s="256">
        <f>IF(V196="重",U196+1,U196)</f>
        <v>64</v>
      </c>
      <c r="V197" s="256" t="str">
        <f>V194</f>
        <v>中</v>
      </c>
      <c r="W197" s="256" t="str">
        <f>VLOOKUP($U197,'坦克涂装-作废'!$B$23:$I$99,MATCH(W$6,'坦克涂装-作废'!$B$23:$I$23,0),FALSE)</f>
        <v>T5中</v>
      </c>
      <c r="X197" s="256" t="str">
        <f>VLOOKUP($U197,'坦克涂装-作废'!$B$23:$I$99,MATCH(X$6,'坦克涂装-作废'!$B$23:$I$23,0),FALSE)</f>
        <v>图案</v>
      </c>
      <c r="Y197" s="256" t="str">
        <f>VLOOKUP($U197,'坦克涂装-作废'!$B$23:$I$99,MATCH(Y$6,'坦克涂装-作废'!$B$23:$I$23,0),FALSE)</f>
        <v>永久</v>
      </c>
      <c r="Z197" s="159">
        <f>VLOOKUP($U197,'坦克涂装-作废'!$B$23:$I$99,MATCH(Z$6,'坦克涂装-作废'!$B$23:$I$23,0),FALSE)</f>
        <v>11686.736842105267</v>
      </c>
      <c r="AA197" s="158"/>
      <c r="AB197" s="158"/>
      <c r="AC197" s="158"/>
      <c r="AD197" s="158"/>
      <c r="AE197" s="158"/>
      <c r="AF197" s="158"/>
      <c r="AG197" s="158"/>
      <c r="AH197" s="158"/>
      <c r="AI197" s="158"/>
    </row>
    <row r="198" spans="20:35" x14ac:dyDescent="0.35">
      <c r="T198" s="256" t="str">
        <f>W198&amp;V198&amp;LEFT(道具价值!R1179)&amp;LEFT(X198,1)&amp;LEFT(Y198,1)</f>
        <v>T5中重图永</v>
      </c>
      <c r="U198" s="256">
        <f>IF(V197="重",U197+1,U197)</f>
        <v>64</v>
      </c>
      <c r="V198" s="256" t="str">
        <f>V195</f>
        <v>重</v>
      </c>
      <c r="W198" s="256" t="str">
        <f>VLOOKUP($U198,'坦克涂装-作废'!$B$23:$I$99,MATCH(W$6,'坦克涂装-作废'!$B$23:$I$23,0),FALSE)</f>
        <v>T5中</v>
      </c>
      <c r="X198" s="256" t="str">
        <f>VLOOKUP($U198,'坦克涂装-作废'!$B$23:$I$99,MATCH(X$6,'坦克涂装-作废'!$B$23:$I$23,0),FALSE)</f>
        <v>图案</v>
      </c>
      <c r="Y198" s="256" t="str">
        <f>VLOOKUP($U198,'坦克涂装-作废'!$B$23:$I$99,MATCH(Y$6,'坦克涂装-作废'!$B$23:$I$23,0),FALSE)</f>
        <v>永久</v>
      </c>
      <c r="Z198" s="159">
        <f>VLOOKUP($U198,'坦克涂装-作废'!$B$23:$I$99,MATCH(Z$6,'坦克涂装-作废'!$B$23:$I$23,0),FALSE)</f>
        <v>11686.736842105267</v>
      </c>
      <c r="AA198" s="158"/>
      <c r="AB198" s="158"/>
      <c r="AC198" s="158"/>
      <c r="AD198" s="158"/>
      <c r="AE198" s="158"/>
      <c r="AF198" s="158"/>
      <c r="AG198" s="158"/>
      <c r="AH198" s="158"/>
      <c r="AI198" s="158"/>
    </row>
    <row r="199" spans="20:35" x14ac:dyDescent="0.35">
      <c r="T199" s="256" t="str">
        <f>W199&amp;V199&amp;LEFT(道具价值!R1180)&amp;LEFT(X199,1)&amp;LEFT(Y199,1)</f>
        <v>T5中轻模三</v>
      </c>
      <c r="U199" s="256">
        <f>IF(V198="重",U198+1,U198)</f>
        <v>65</v>
      </c>
      <c r="V199" s="256" t="str">
        <f>V196</f>
        <v>轻</v>
      </c>
      <c r="W199" s="256" t="str">
        <f>VLOOKUP($U199,'坦克涂装-作废'!$B$23:$I$99,MATCH(W$6,'坦克涂装-作废'!$B$23:$I$23,0),FALSE)</f>
        <v>T5中</v>
      </c>
      <c r="X199" s="256" t="str">
        <f>VLOOKUP($U199,'坦克涂装-作废'!$B$23:$I$99,MATCH(X$6,'坦克涂装-作废'!$B$23:$I$23,0),FALSE)</f>
        <v>模型</v>
      </c>
      <c r="Y199" s="256" t="str">
        <f>VLOOKUP($U199,'坦克涂装-作废'!$B$23:$I$99,MATCH(Y$6,'坦克涂装-作废'!$B$23:$I$23,0),FALSE)</f>
        <v>三天</v>
      </c>
      <c r="Z199" s="159">
        <f>VLOOKUP($U199,'坦克涂装-作废'!$B$23:$I$99,MATCH(Z$6,'坦克涂装-作废'!$B$23:$I$23,0),FALSE)</f>
        <v>2921.6842105263163</v>
      </c>
      <c r="AA199" s="158"/>
      <c r="AB199" s="158"/>
      <c r="AC199" s="158"/>
      <c r="AD199" s="158"/>
      <c r="AE199" s="158"/>
      <c r="AF199" s="158"/>
      <c r="AG199" s="158"/>
      <c r="AH199" s="158"/>
      <c r="AI199" s="158"/>
    </row>
    <row r="200" spans="20:35" x14ac:dyDescent="0.35">
      <c r="T200" s="256" t="str">
        <f>W200&amp;V200&amp;LEFT(道具价值!R1181)&amp;LEFT(X200,1)&amp;LEFT(Y200,1)</f>
        <v>T5中中模三</v>
      </c>
      <c r="U200" s="256">
        <f>IF(V199="重",U199+1,U199)</f>
        <v>65</v>
      </c>
      <c r="V200" s="256" t="str">
        <f>V197</f>
        <v>中</v>
      </c>
      <c r="W200" s="256" t="str">
        <f>VLOOKUP($U200,'坦克涂装-作废'!$B$23:$I$99,MATCH(W$6,'坦克涂装-作废'!$B$23:$I$23,0),FALSE)</f>
        <v>T5中</v>
      </c>
      <c r="X200" s="256" t="str">
        <f>VLOOKUP($U200,'坦克涂装-作废'!$B$23:$I$99,MATCH(X$6,'坦克涂装-作废'!$B$23:$I$23,0),FALSE)</f>
        <v>模型</v>
      </c>
      <c r="Y200" s="256" t="str">
        <f>VLOOKUP($U200,'坦克涂装-作废'!$B$23:$I$99,MATCH(Y$6,'坦克涂装-作废'!$B$23:$I$23,0),FALSE)</f>
        <v>三天</v>
      </c>
      <c r="Z200" s="159">
        <f>VLOOKUP($U200,'坦克涂装-作废'!$B$23:$I$99,MATCH(Z$6,'坦克涂装-作废'!$B$23:$I$23,0),FALSE)</f>
        <v>2921.6842105263163</v>
      </c>
      <c r="AA200" s="158"/>
      <c r="AB200" s="158"/>
      <c r="AC200" s="158"/>
      <c r="AD200" s="158"/>
      <c r="AE200" s="158"/>
      <c r="AF200" s="158"/>
      <c r="AG200" s="158"/>
      <c r="AH200" s="158"/>
      <c r="AI200" s="158"/>
    </row>
    <row r="201" spans="20:35" x14ac:dyDescent="0.35">
      <c r="T201" s="256" t="str">
        <f>W201&amp;V201&amp;LEFT(道具价值!R1182)&amp;LEFT(X201,1)&amp;LEFT(Y201,1)</f>
        <v>T5中重模三</v>
      </c>
      <c r="U201" s="256">
        <f>IF(V200="重",U200+1,U200)</f>
        <v>65</v>
      </c>
      <c r="V201" s="256" t="str">
        <f>V198</f>
        <v>重</v>
      </c>
      <c r="W201" s="256" t="str">
        <f>VLOOKUP($U201,'坦克涂装-作废'!$B$23:$I$99,MATCH(W$6,'坦克涂装-作废'!$B$23:$I$23,0),FALSE)</f>
        <v>T5中</v>
      </c>
      <c r="X201" s="256" t="str">
        <f>VLOOKUP($U201,'坦克涂装-作废'!$B$23:$I$99,MATCH(X$6,'坦克涂装-作废'!$B$23:$I$23,0),FALSE)</f>
        <v>模型</v>
      </c>
      <c r="Y201" s="256" t="str">
        <f>VLOOKUP($U201,'坦克涂装-作废'!$B$23:$I$99,MATCH(Y$6,'坦克涂装-作废'!$B$23:$I$23,0),FALSE)</f>
        <v>三天</v>
      </c>
      <c r="Z201" s="159">
        <f>VLOOKUP($U201,'坦克涂装-作废'!$B$23:$I$99,MATCH(Z$6,'坦克涂装-作废'!$B$23:$I$23,0),FALSE)</f>
        <v>2921.6842105263163</v>
      </c>
      <c r="AA201" s="158"/>
      <c r="AB201" s="158"/>
      <c r="AC201" s="158"/>
      <c r="AD201" s="158"/>
      <c r="AE201" s="158"/>
      <c r="AF201" s="158"/>
      <c r="AG201" s="158"/>
      <c r="AH201" s="158"/>
      <c r="AI201" s="158"/>
    </row>
    <row r="202" spans="20:35" x14ac:dyDescent="0.35">
      <c r="T202" s="256" t="str">
        <f>W202&amp;V202&amp;LEFT(道具价值!R1183)&amp;LEFT(X202,1)&amp;LEFT(Y202,1)</f>
        <v>T5中轻模半</v>
      </c>
      <c r="U202" s="256">
        <f>IF(V201="重",U201+1,U201)</f>
        <v>66</v>
      </c>
      <c r="V202" s="256" t="str">
        <f>V199</f>
        <v>轻</v>
      </c>
      <c r="W202" s="256" t="str">
        <f>VLOOKUP($U202,'坦克涂装-作废'!$B$23:$I$99,MATCH(W$6,'坦克涂装-作废'!$B$23:$I$23,0),FALSE)</f>
        <v>T5中</v>
      </c>
      <c r="X202" s="256" t="str">
        <f>VLOOKUP($U202,'坦克涂装-作废'!$B$23:$I$99,MATCH(X$6,'坦克涂装-作废'!$B$23:$I$23,0),FALSE)</f>
        <v>模型</v>
      </c>
      <c r="Y202" s="256" t="str">
        <f>VLOOKUP($U202,'坦克涂装-作废'!$B$23:$I$99,MATCH(Y$6,'坦克涂装-作废'!$B$23:$I$23,0),FALSE)</f>
        <v>半月</v>
      </c>
      <c r="Z202" s="159">
        <f>VLOOKUP($U202,'坦克涂装-作废'!$B$23:$I$99,MATCH(Z$6,'坦克涂装-作废'!$B$23:$I$23,0),FALSE)</f>
        <v>5843.3684210526326</v>
      </c>
      <c r="AA202" s="158"/>
      <c r="AB202" s="158"/>
      <c r="AC202" s="158"/>
      <c r="AD202" s="158"/>
      <c r="AE202" s="158"/>
      <c r="AF202" s="158"/>
      <c r="AG202" s="158"/>
      <c r="AH202" s="158"/>
      <c r="AI202" s="158"/>
    </row>
    <row r="203" spans="20:35" x14ac:dyDescent="0.35">
      <c r="T203" s="256" t="str">
        <f>W203&amp;V203&amp;LEFT(道具价值!R1184)&amp;LEFT(X203,1)&amp;LEFT(Y203,1)</f>
        <v>T5中中模半</v>
      </c>
      <c r="U203" s="256">
        <f>IF(V202="重",U202+1,U202)</f>
        <v>66</v>
      </c>
      <c r="V203" s="256" t="str">
        <f>V200</f>
        <v>中</v>
      </c>
      <c r="W203" s="256" t="str">
        <f>VLOOKUP($U203,'坦克涂装-作废'!$B$23:$I$99,MATCH(W$6,'坦克涂装-作废'!$B$23:$I$23,0),FALSE)</f>
        <v>T5中</v>
      </c>
      <c r="X203" s="256" t="str">
        <f>VLOOKUP($U203,'坦克涂装-作废'!$B$23:$I$99,MATCH(X$6,'坦克涂装-作废'!$B$23:$I$23,0),FALSE)</f>
        <v>模型</v>
      </c>
      <c r="Y203" s="256" t="str">
        <f>VLOOKUP($U203,'坦克涂装-作废'!$B$23:$I$99,MATCH(Y$6,'坦克涂装-作废'!$B$23:$I$23,0),FALSE)</f>
        <v>半月</v>
      </c>
      <c r="Z203" s="159">
        <f>VLOOKUP($U203,'坦克涂装-作废'!$B$23:$I$99,MATCH(Z$6,'坦克涂装-作废'!$B$23:$I$23,0),FALSE)</f>
        <v>5843.3684210526326</v>
      </c>
      <c r="AA203" s="158"/>
      <c r="AB203" s="158"/>
      <c r="AC203" s="158"/>
      <c r="AD203" s="158"/>
      <c r="AE203" s="158"/>
      <c r="AF203" s="158"/>
      <c r="AG203" s="158"/>
      <c r="AH203" s="158"/>
      <c r="AI203" s="158"/>
    </row>
    <row r="204" spans="20:35" x14ac:dyDescent="0.35">
      <c r="T204" s="256" t="str">
        <f>W204&amp;V204&amp;LEFT(道具价值!R1185)&amp;LEFT(X204,1)&amp;LEFT(Y204,1)</f>
        <v>T5中重模半</v>
      </c>
      <c r="U204" s="256">
        <f>IF(V203="重",U203+1,U203)</f>
        <v>66</v>
      </c>
      <c r="V204" s="256" t="str">
        <f>V201</f>
        <v>重</v>
      </c>
      <c r="W204" s="256" t="str">
        <f>VLOOKUP($U204,'坦克涂装-作废'!$B$23:$I$99,MATCH(W$6,'坦克涂装-作废'!$B$23:$I$23,0),FALSE)</f>
        <v>T5中</v>
      </c>
      <c r="X204" s="256" t="str">
        <f>VLOOKUP($U204,'坦克涂装-作废'!$B$23:$I$99,MATCH(X$6,'坦克涂装-作废'!$B$23:$I$23,0),FALSE)</f>
        <v>模型</v>
      </c>
      <c r="Y204" s="256" t="str">
        <f>VLOOKUP($U204,'坦克涂装-作废'!$B$23:$I$99,MATCH(Y$6,'坦克涂装-作废'!$B$23:$I$23,0),FALSE)</f>
        <v>半月</v>
      </c>
      <c r="Z204" s="159">
        <f>VLOOKUP($U204,'坦克涂装-作废'!$B$23:$I$99,MATCH(Z$6,'坦克涂装-作废'!$B$23:$I$23,0),FALSE)</f>
        <v>5843.3684210526326</v>
      </c>
      <c r="AA204" s="158"/>
      <c r="AB204" s="158"/>
      <c r="AC204" s="158"/>
      <c r="AD204" s="158"/>
      <c r="AE204" s="158"/>
      <c r="AF204" s="158"/>
      <c r="AG204" s="158"/>
      <c r="AH204" s="158"/>
      <c r="AI204" s="158"/>
    </row>
    <row r="205" spans="20:35" x14ac:dyDescent="0.35">
      <c r="T205" s="256" t="str">
        <f>W205&amp;V205&amp;LEFT(道具价值!R1186)&amp;LEFT(X205,1)&amp;LEFT(Y205,1)</f>
        <v>T5中轻模永</v>
      </c>
      <c r="U205" s="256">
        <f>IF(V204="重",U204+1,U204)</f>
        <v>67</v>
      </c>
      <c r="V205" s="256" t="str">
        <f>V202</f>
        <v>轻</v>
      </c>
      <c r="W205" s="256" t="str">
        <f>VLOOKUP($U205,'坦克涂装-作废'!$B$23:$I$99,MATCH(W$6,'坦克涂装-作废'!$B$23:$I$23,0),FALSE)</f>
        <v>T5中</v>
      </c>
      <c r="X205" s="256" t="str">
        <f>VLOOKUP($U205,'坦克涂装-作废'!$B$23:$I$99,MATCH(X$6,'坦克涂装-作废'!$B$23:$I$23,0),FALSE)</f>
        <v>模型</v>
      </c>
      <c r="Y205" s="256" t="str">
        <f>VLOOKUP($U205,'坦克涂装-作废'!$B$23:$I$99,MATCH(Y$6,'坦克涂装-作废'!$B$23:$I$23,0),FALSE)</f>
        <v>永久</v>
      </c>
      <c r="Z205" s="159">
        <f>VLOOKUP($U205,'坦克涂装-作废'!$B$23:$I$99,MATCH(Z$6,'坦克涂装-作废'!$B$23:$I$23,0),FALSE)</f>
        <v>19477.894736842107</v>
      </c>
      <c r="AA205" s="158"/>
      <c r="AB205" s="158"/>
      <c r="AC205" s="158"/>
      <c r="AD205" s="158"/>
      <c r="AE205" s="158"/>
      <c r="AF205" s="158"/>
      <c r="AG205" s="158"/>
      <c r="AH205" s="158"/>
      <c r="AI205" s="158"/>
    </row>
    <row r="206" spans="20:35" x14ac:dyDescent="0.35">
      <c r="T206" s="256" t="str">
        <f>W206&amp;V206&amp;LEFT(道具价值!R1187)&amp;LEFT(X206,1)&amp;LEFT(Y206,1)</f>
        <v>T5中中模永</v>
      </c>
      <c r="U206" s="256">
        <f>IF(V205="重",U205+1,U205)</f>
        <v>67</v>
      </c>
      <c r="V206" s="256" t="str">
        <f>V203</f>
        <v>中</v>
      </c>
      <c r="W206" s="256" t="str">
        <f>VLOOKUP($U206,'坦克涂装-作废'!$B$23:$I$99,MATCH(W$6,'坦克涂装-作废'!$B$23:$I$23,0),FALSE)</f>
        <v>T5中</v>
      </c>
      <c r="X206" s="256" t="str">
        <f>VLOOKUP($U206,'坦克涂装-作废'!$B$23:$I$99,MATCH(X$6,'坦克涂装-作废'!$B$23:$I$23,0),FALSE)</f>
        <v>模型</v>
      </c>
      <c r="Y206" s="256" t="str">
        <f>VLOOKUP($U206,'坦克涂装-作废'!$B$23:$I$99,MATCH(Y$6,'坦克涂装-作废'!$B$23:$I$23,0),FALSE)</f>
        <v>永久</v>
      </c>
      <c r="Z206" s="159">
        <f>VLOOKUP($U206,'坦克涂装-作废'!$B$23:$I$99,MATCH(Z$6,'坦克涂装-作废'!$B$23:$I$23,0),FALSE)</f>
        <v>19477.894736842107</v>
      </c>
      <c r="AA206" s="158"/>
      <c r="AB206" s="158"/>
      <c r="AC206" s="158"/>
      <c r="AD206" s="158"/>
      <c r="AE206" s="158"/>
      <c r="AF206" s="158"/>
      <c r="AG206" s="158"/>
      <c r="AH206" s="158"/>
      <c r="AI206" s="158"/>
    </row>
    <row r="207" spans="20:35" x14ac:dyDescent="0.35">
      <c r="T207" s="256" t="str">
        <f>W207&amp;V207&amp;LEFT(道具价值!R1188)&amp;LEFT(X207,1)&amp;LEFT(Y207,1)</f>
        <v>T5中重模永</v>
      </c>
      <c r="U207" s="256">
        <f>IF(V206="重",U206+1,U206)</f>
        <v>67</v>
      </c>
      <c r="V207" s="256" t="str">
        <f>V204</f>
        <v>重</v>
      </c>
      <c r="W207" s="256" t="str">
        <f>VLOOKUP($U207,'坦克涂装-作废'!$B$23:$I$99,MATCH(W$6,'坦克涂装-作废'!$B$23:$I$23,0),FALSE)</f>
        <v>T5中</v>
      </c>
      <c r="X207" s="256" t="str">
        <f>VLOOKUP($U207,'坦克涂装-作废'!$B$23:$I$99,MATCH(X$6,'坦克涂装-作废'!$B$23:$I$23,0),FALSE)</f>
        <v>模型</v>
      </c>
      <c r="Y207" s="256" t="str">
        <f>VLOOKUP($U207,'坦克涂装-作废'!$B$23:$I$99,MATCH(Y$6,'坦克涂装-作废'!$B$23:$I$23,0),FALSE)</f>
        <v>永久</v>
      </c>
      <c r="Z207" s="159">
        <f>VLOOKUP($U207,'坦克涂装-作废'!$B$23:$I$99,MATCH(Z$6,'坦克涂装-作废'!$B$23:$I$23,0),FALSE)</f>
        <v>19477.894736842107</v>
      </c>
      <c r="AA207" s="158"/>
      <c r="AB207" s="158"/>
      <c r="AC207" s="158"/>
      <c r="AD207" s="158"/>
      <c r="AE207" s="158"/>
      <c r="AF207" s="158"/>
      <c r="AG207" s="158"/>
      <c r="AH207" s="158"/>
      <c r="AI207" s="158"/>
    </row>
    <row r="208" spans="20:35" x14ac:dyDescent="0.35">
      <c r="T208" s="256" t="str">
        <f>W208&amp;V208&amp;LEFT(道具价值!R1189)&amp;LEFT(X208,1)&amp;LEFT(Y208,1)</f>
        <v>T5高轻贴三</v>
      </c>
      <c r="U208" s="256">
        <f>IF(V207="重",U207+1,U207)</f>
        <v>68</v>
      </c>
      <c r="V208" s="256" t="str">
        <f>V205</f>
        <v>轻</v>
      </c>
      <c r="W208" s="256" t="str">
        <f>VLOOKUP($U208,'坦克涂装-作废'!$B$23:$I$99,MATCH(W$6,'坦克涂装-作废'!$B$23:$I$23,0),FALSE)</f>
        <v>T5高</v>
      </c>
      <c r="X208" s="256" t="str">
        <f>VLOOKUP($U208,'坦克涂装-作废'!$B$23:$I$99,MATCH(X$6,'坦克涂装-作废'!$B$23:$I$23,0),FALSE)</f>
        <v>贴花</v>
      </c>
      <c r="Y208" s="256" t="str">
        <f>VLOOKUP($U208,'坦克涂装-作废'!$B$23:$I$99,MATCH(Y$6,'坦克涂装-作废'!$B$23:$I$23,0),FALSE)</f>
        <v>三天</v>
      </c>
      <c r="Z208" s="159">
        <f>VLOOKUP($U208,'坦克涂装-作废'!$B$23:$I$99,MATCH(Z$6,'坦克涂装-作废'!$B$23:$I$23,0),FALSE)</f>
        <v>1091.4035087719299</v>
      </c>
      <c r="AA208" s="158"/>
      <c r="AB208" s="158"/>
      <c r="AC208" s="158"/>
      <c r="AD208" s="158"/>
      <c r="AE208" s="158"/>
      <c r="AF208" s="158"/>
      <c r="AG208" s="158"/>
      <c r="AH208" s="158"/>
      <c r="AI208" s="158"/>
    </row>
    <row r="209" spans="20:35" x14ac:dyDescent="0.35">
      <c r="T209" s="256" t="str">
        <f>W209&amp;V209&amp;LEFT(道具价值!R1190)&amp;LEFT(X209,1)&amp;LEFT(Y209,1)</f>
        <v>T5高中贴三</v>
      </c>
      <c r="U209" s="256">
        <f>IF(V208="重",U208+1,U208)</f>
        <v>68</v>
      </c>
      <c r="V209" s="256" t="str">
        <f>V206</f>
        <v>中</v>
      </c>
      <c r="W209" s="256" t="str">
        <f>VLOOKUP($U209,'坦克涂装-作废'!$B$23:$I$99,MATCH(W$6,'坦克涂装-作废'!$B$23:$I$23,0),FALSE)</f>
        <v>T5高</v>
      </c>
      <c r="X209" s="256" t="str">
        <f>VLOOKUP($U209,'坦克涂装-作废'!$B$23:$I$99,MATCH(X$6,'坦克涂装-作废'!$B$23:$I$23,0),FALSE)</f>
        <v>贴花</v>
      </c>
      <c r="Y209" s="256" t="str">
        <f>VLOOKUP($U209,'坦克涂装-作废'!$B$23:$I$99,MATCH(Y$6,'坦克涂装-作废'!$B$23:$I$23,0),FALSE)</f>
        <v>三天</v>
      </c>
      <c r="Z209" s="159">
        <f>VLOOKUP($U209,'坦克涂装-作废'!$B$23:$I$99,MATCH(Z$6,'坦克涂装-作废'!$B$23:$I$23,0),FALSE)</f>
        <v>1091.4035087719299</v>
      </c>
      <c r="AA209" s="158"/>
      <c r="AB209" s="158"/>
      <c r="AC209" s="158"/>
      <c r="AD209" s="158"/>
      <c r="AE209" s="158"/>
      <c r="AF209" s="158"/>
      <c r="AG209" s="158"/>
      <c r="AH209" s="158"/>
      <c r="AI209" s="158"/>
    </row>
    <row r="210" spans="20:35" x14ac:dyDescent="0.35">
      <c r="T210" s="256" t="str">
        <f>W210&amp;V210&amp;LEFT(道具价值!R1191)&amp;LEFT(X210,1)&amp;LEFT(Y210,1)</f>
        <v>T5高重贴三</v>
      </c>
      <c r="U210" s="256">
        <f>IF(V209="重",U209+1,U209)</f>
        <v>68</v>
      </c>
      <c r="V210" s="256" t="str">
        <f>V207</f>
        <v>重</v>
      </c>
      <c r="W210" s="256" t="str">
        <f>VLOOKUP($U210,'坦克涂装-作废'!$B$23:$I$99,MATCH(W$6,'坦克涂装-作废'!$B$23:$I$23,0),FALSE)</f>
        <v>T5高</v>
      </c>
      <c r="X210" s="256" t="str">
        <f>VLOOKUP($U210,'坦克涂装-作废'!$B$23:$I$99,MATCH(X$6,'坦克涂装-作废'!$B$23:$I$23,0),FALSE)</f>
        <v>贴花</v>
      </c>
      <c r="Y210" s="256" t="str">
        <f>VLOOKUP($U210,'坦克涂装-作废'!$B$23:$I$99,MATCH(Y$6,'坦克涂装-作废'!$B$23:$I$23,0),FALSE)</f>
        <v>三天</v>
      </c>
      <c r="Z210" s="159">
        <f>VLOOKUP($U210,'坦克涂装-作废'!$B$23:$I$99,MATCH(Z$6,'坦克涂装-作废'!$B$23:$I$23,0),FALSE)</f>
        <v>1091.4035087719299</v>
      </c>
      <c r="AA210" s="158"/>
      <c r="AB210" s="158"/>
      <c r="AC210" s="158"/>
      <c r="AD210" s="158"/>
      <c r="AE210" s="158"/>
      <c r="AF210" s="158"/>
      <c r="AG210" s="158"/>
      <c r="AH210" s="158"/>
      <c r="AI210" s="158"/>
    </row>
    <row r="211" spans="20:35" x14ac:dyDescent="0.35">
      <c r="T211" s="256" t="str">
        <f>W211&amp;V211&amp;LEFT(道具价值!R1192)&amp;LEFT(X211,1)&amp;LEFT(Y211,1)</f>
        <v>T5高轻贴半</v>
      </c>
      <c r="U211" s="256">
        <f>IF(V210="重",U210+1,U210)</f>
        <v>69</v>
      </c>
      <c r="V211" s="256" t="str">
        <f>V208</f>
        <v>轻</v>
      </c>
      <c r="W211" s="256" t="str">
        <f>VLOOKUP($U211,'坦克涂装-作废'!$B$23:$I$99,MATCH(W$6,'坦克涂装-作废'!$B$23:$I$23,0),FALSE)</f>
        <v>T5高</v>
      </c>
      <c r="X211" s="256" t="str">
        <f>VLOOKUP($U211,'坦克涂装-作废'!$B$23:$I$99,MATCH(X$6,'坦克涂装-作废'!$B$23:$I$23,0),FALSE)</f>
        <v>贴花</v>
      </c>
      <c r="Y211" s="256" t="str">
        <f>VLOOKUP($U211,'坦克涂装-作废'!$B$23:$I$99,MATCH(Y$6,'坦克涂装-作废'!$B$23:$I$23,0),FALSE)</f>
        <v>半月</v>
      </c>
      <c r="Z211" s="159">
        <f>VLOOKUP($U211,'坦克涂装-作废'!$B$23:$I$99,MATCH(Z$6,'坦克涂装-作废'!$B$23:$I$23,0),FALSE)</f>
        <v>2182.8070175438597</v>
      </c>
      <c r="AA211" s="158"/>
      <c r="AB211" s="158"/>
      <c r="AC211" s="158"/>
      <c r="AD211" s="158"/>
      <c r="AE211" s="158"/>
      <c r="AF211" s="158"/>
      <c r="AG211" s="158"/>
      <c r="AH211" s="158"/>
      <c r="AI211" s="158"/>
    </row>
    <row r="212" spans="20:35" x14ac:dyDescent="0.35">
      <c r="T212" s="256" t="str">
        <f>W212&amp;V212&amp;LEFT(道具价值!R1193)&amp;LEFT(X212,1)&amp;LEFT(Y212,1)</f>
        <v>T5高中贴半</v>
      </c>
      <c r="U212" s="256">
        <f>IF(V211="重",U211+1,U211)</f>
        <v>69</v>
      </c>
      <c r="V212" s="256" t="str">
        <f>V209</f>
        <v>中</v>
      </c>
      <c r="W212" s="256" t="str">
        <f>VLOOKUP($U212,'坦克涂装-作废'!$B$23:$I$99,MATCH(W$6,'坦克涂装-作废'!$B$23:$I$23,0),FALSE)</f>
        <v>T5高</v>
      </c>
      <c r="X212" s="256" t="str">
        <f>VLOOKUP($U212,'坦克涂装-作废'!$B$23:$I$99,MATCH(X$6,'坦克涂装-作废'!$B$23:$I$23,0),FALSE)</f>
        <v>贴花</v>
      </c>
      <c r="Y212" s="256" t="str">
        <f>VLOOKUP($U212,'坦克涂装-作废'!$B$23:$I$99,MATCH(Y$6,'坦克涂装-作废'!$B$23:$I$23,0),FALSE)</f>
        <v>半月</v>
      </c>
      <c r="Z212" s="159">
        <f>VLOOKUP($U212,'坦克涂装-作废'!$B$23:$I$99,MATCH(Z$6,'坦克涂装-作废'!$B$23:$I$23,0),FALSE)</f>
        <v>2182.8070175438597</v>
      </c>
      <c r="AA212" s="158"/>
      <c r="AB212" s="158"/>
      <c r="AC212" s="158"/>
      <c r="AD212" s="158"/>
      <c r="AE212" s="158"/>
      <c r="AF212" s="158"/>
      <c r="AG212" s="158"/>
      <c r="AH212" s="158"/>
      <c r="AI212" s="158"/>
    </row>
    <row r="213" spans="20:35" x14ac:dyDescent="0.35">
      <c r="T213" s="256" t="str">
        <f>W213&amp;V213&amp;LEFT(道具价值!R1194)&amp;LEFT(X213,1)&amp;LEFT(Y213,1)</f>
        <v>T5高重贴半</v>
      </c>
      <c r="U213" s="256">
        <f>IF(V212="重",U212+1,U212)</f>
        <v>69</v>
      </c>
      <c r="V213" s="256" t="str">
        <f>V210</f>
        <v>重</v>
      </c>
      <c r="W213" s="256" t="str">
        <f>VLOOKUP($U213,'坦克涂装-作废'!$B$23:$I$99,MATCH(W$6,'坦克涂装-作废'!$B$23:$I$23,0),FALSE)</f>
        <v>T5高</v>
      </c>
      <c r="X213" s="256" t="str">
        <f>VLOOKUP($U213,'坦克涂装-作废'!$B$23:$I$99,MATCH(X$6,'坦克涂装-作废'!$B$23:$I$23,0),FALSE)</f>
        <v>贴花</v>
      </c>
      <c r="Y213" s="256" t="str">
        <f>VLOOKUP($U213,'坦克涂装-作废'!$B$23:$I$99,MATCH(Y$6,'坦克涂装-作废'!$B$23:$I$23,0),FALSE)</f>
        <v>半月</v>
      </c>
      <c r="Z213" s="159">
        <f>VLOOKUP($U213,'坦克涂装-作废'!$B$23:$I$99,MATCH(Z$6,'坦克涂装-作废'!$B$23:$I$23,0),FALSE)</f>
        <v>2182.8070175438597</v>
      </c>
      <c r="AA213" s="158"/>
      <c r="AB213" s="158"/>
      <c r="AC213" s="158"/>
      <c r="AD213" s="158"/>
      <c r="AE213" s="158"/>
      <c r="AF213" s="158"/>
      <c r="AG213" s="158"/>
      <c r="AH213" s="158"/>
      <c r="AI213" s="158"/>
    </row>
    <row r="214" spans="20:35" x14ac:dyDescent="0.35">
      <c r="T214" s="256" t="str">
        <f>W214&amp;V214&amp;LEFT(道具价值!R1195)&amp;LEFT(X214,1)&amp;LEFT(Y214,1)</f>
        <v>T5高轻贴永</v>
      </c>
      <c r="U214" s="256">
        <f>IF(V213="重",U213+1,U213)</f>
        <v>70</v>
      </c>
      <c r="V214" s="256" t="str">
        <f>V211</f>
        <v>轻</v>
      </c>
      <c r="W214" s="256" t="str">
        <f>VLOOKUP($U214,'坦克涂装-作废'!$B$23:$I$99,MATCH(W$6,'坦克涂装-作废'!$B$23:$I$23,0),FALSE)</f>
        <v>T5高</v>
      </c>
      <c r="X214" s="256" t="str">
        <f>VLOOKUP($U214,'坦克涂装-作废'!$B$23:$I$99,MATCH(X$6,'坦克涂装-作废'!$B$23:$I$23,0),FALSE)</f>
        <v>贴花</v>
      </c>
      <c r="Y214" s="256" t="str">
        <f>VLOOKUP($U214,'坦克涂装-作废'!$B$23:$I$99,MATCH(Y$6,'坦克涂装-作废'!$B$23:$I$23,0),FALSE)</f>
        <v>永久</v>
      </c>
      <c r="Z214" s="159">
        <f>VLOOKUP($U214,'坦克涂装-作废'!$B$23:$I$99,MATCH(Z$6,'坦克涂装-作废'!$B$23:$I$23,0),FALSE)</f>
        <v>6111.8596491228072</v>
      </c>
      <c r="AA214" s="158"/>
      <c r="AB214" s="158"/>
      <c r="AC214" s="158"/>
      <c r="AD214" s="158"/>
      <c r="AE214" s="158"/>
      <c r="AF214" s="158"/>
      <c r="AG214" s="158"/>
      <c r="AH214" s="158"/>
      <c r="AI214" s="158"/>
    </row>
    <row r="215" spans="20:35" x14ac:dyDescent="0.35">
      <c r="T215" s="256" t="str">
        <f>W215&amp;V215&amp;LEFT(道具价值!R1196)&amp;LEFT(X215,1)&amp;LEFT(Y215,1)</f>
        <v>T5高中贴永</v>
      </c>
      <c r="U215" s="256">
        <f>IF(V214="重",U214+1,U214)</f>
        <v>70</v>
      </c>
      <c r="V215" s="256" t="str">
        <f>V212</f>
        <v>中</v>
      </c>
      <c r="W215" s="256" t="str">
        <f>VLOOKUP($U215,'坦克涂装-作废'!$B$23:$I$99,MATCH(W$6,'坦克涂装-作废'!$B$23:$I$23,0),FALSE)</f>
        <v>T5高</v>
      </c>
      <c r="X215" s="256" t="str">
        <f>VLOOKUP($U215,'坦克涂装-作废'!$B$23:$I$99,MATCH(X$6,'坦克涂装-作废'!$B$23:$I$23,0),FALSE)</f>
        <v>贴花</v>
      </c>
      <c r="Y215" s="256" t="str">
        <f>VLOOKUP($U215,'坦克涂装-作废'!$B$23:$I$99,MATCH(Y$6,'坦克涂装-作废'!$B$23:$I$23,0),FALSE)</f>
        <v>永久</v>
      </c>
      <c r="Z215" s="159">
        <f>VLOOKUP($U215,'坦克涂装-作废'!$B$23:$I$99,MATCH(Z$6,'坦克涂装-作废'!$B$23:$I$23,0),FALSE)</f>
        <v>6111.8596491228072</v>
      </c>
      <c r="AA215" s="158"/>
      <c r="AB215" s="158"/>
      <c r="AC215" s="158"/>
      <c r="AD215" s="158"/>
      <c r="AE215" s="158"/>
      <c r="AF215" s="158"/>
      <c r="AG215" s="158"/>
      <c r="AH215" s="158"/>
      <c r="AI215" s="158"/>
    </row>
    <row r="216" spans="20:35" x14ac:dyDescent="0.35">
      <c r="T216" s="256" t="str">
        <f>W216&amp;V216&amp;LEFT(道具价值!R1197)&amp;LEFT(X216,1)&amp;LEFT(Y216,1)</f>
        <v>T5高重贴永</v>
      </c>
      <c r="U216" s="256">
        <f>IF(V215="重",U215+1,U215)</f>
        <v>70</v>
      </c>
      <c r="V216" s="256" t="str">
        <f>V213</f>
        <v>重</v>
      </c>
      <c r="W216" s="256" t="str">
        <f>VLOOKUP($U216,'坦克涂装-作废'!$B$23:$I$99,MATCH(W$6,'坦克涂装-作废'!$B$23:$I$23,0),FALSE)</f>
        <v>T5高</v>
      </c>
      <c r="X216" s="256" t="str">
        <f>VLOOKUP($U216,'坦克涂装-作废'!$B$23:$I$99,MATCH(X$6,'坦克涂装-作废'!$B$23:$I$23,0),FALSE)</f>
        <v>贴花</v>
      </c>
      <c r="Y216" s="256" t="str">
        <f>VLOOKUP($U216,'坦克涂装-作废'!$B$23:$I$99,MATCH(Y$6,'坦克涂装-作废'!$B$23:$I$23,0),FALSE)</f>
        <v>永久</v>
      </c>
      <c r="Z216" s="159">
        <f>VLOOKUP($U216,'坦克涂装-作废'!$B$23:$I$99,MATCH(Z$6,'坦克涂装-作废'!$B$23:$I$23,0),FALSE)</f>
        <v>6111.8596491228072</v>
      </c>
      <c r="AA216" s="158"/>
      <c r="AB216" s="158"/>
      <c r="AC216" s="158"/>
      <c r="AD216" s="158"/>
      <c r="AE216" s="158"/>
      <c r="AF216" s="158"/>
      <c r="AG216" s="158"/>
      <c r="AH216" s="158"/>
      <c r="AI216" s="158"/>
    </row>
    <row r="217" spans="20:35" x14ac:dyDescent="0.35">
      <c r="T217" s="256" t="str">
        <f>W217&amp;V217&amp;LEFT(道具价值!R1198)&amp;LEFT(X217,1)&amp;LEFT(Y217,1)</f>
        <v>T5高轻图三</v>
      </c>
      <c r="U217" s="256">
        <f>IF(V216="重",U216+1,U216)</f>
        <v>71</v>
      </c>
      <c r="V217" s="256" t="str">
        <f>V214</f>
        <v>轻</v>
      </c>
      <c r="W217" s="256" t="str">
        <f>VLOOKUP($U217,'坦克涂装-作废'!$B$23:$I$99,MATCH(W$6,'坦克涂装-作废'!$B$23:$I$23,0),FALSE)</f>
        <v>T5高</v>
      </c>
      <c r="X217" s="256" t="str">
        <f>VLOOKUP($U217,'坦克涂装-作废'!$B$23:$I$99,MATCH(X$6,'坦克涂装-作废'!$B$23:$I$23,0),FALSE)</f>
        <v>图案</v>
      </c>
      <c r="Y217" s="256" t="str">
        <f>VLOOKUP($U217,'坦克涂装-作废'!$B$23:$I$99,MATCH(Y$6,'坦克涂装-作废'!$B$23:$I$23,0),FALSE)</f>
        <v>三天</v>
      </c>
      <c r="Z217" s="159">
        <f>VLOOKUP($U217,'坦克涂装-作废'!$B$23:$I$99,MATCH(Z$6,'坦克涂装-作废'!$B$23:$I$23,0),FALSE)</f>
        <v>2182.8070175438597</v>
      </c>
      <c r="AA217" s="158"/>
      <c r="AB217" s="158"/>
      <c r="AC217" s="158"/>
      <c r="AD217" s="158"/>
      <c r="AE217" s="158"/>
      <c r="AF217" s="158"/>
      <c r="AG217" s="158"/>
      <c r="AH217" s="158"/>
      <c r="AI217" s="158"/>
    </row>
    <row r="218" spans="20:35" x14ac:dyDescent="0.35">
      <c r="T218" s="256" t="str">
        <f>W218&amp;V218&amp;LEFT(道具价值!R1199)&amp;LEFT(X218,1)&amp;LEFT(Y218,1)</f>
        <v>T5高中图三</v>
      </c>
      <c r="U218" s="256">
        <f>IF(V217="重",U217+1,U217)</f>
        <v>71</v>
      </c>
      <c r="V218" s="256" t="str">
        <f>V215</f>
        <v>中</v>
      </c>
      <c r="W218" s="256" t="str">
        <f>VLOOKUP($U218,'坦克涂装-作废'!$B$23:$I$99,MATCH(W$6,'坦克涂装-作废'!$B$23:$I$23,0),FALSE)</f>
        <v>T5高</v>
      </c>
      <c r="X218" s="256" t="str">
        <f>VLOOKUP($U218,'坦克涂装-作废'!$B$23:$I$99,MATCH(X$6,'坦克涂装-作废'!$B$23:$I$23,0),FALSE)</f>
        <v>图案</v>
      </c>
      <c r="Y218" s="256" t="str">
        <f>VLOOKUP($U218,'坦克涂装-作废'!$B$23:$I$99,MATCH(Y$6,'坦克涂装-作废'!$B$23:$I$23,0),FALSE)</f>
        <v>三天</v>
      </c>
      <c r="Z218" s="159">
        <f>VLOOKUP($U218,'坦克涂装-作废'!$B$23:$I$99,MATCH(Z$6,'坦克涂装-作废'!$B$23:$I$23,0),FALSE)</f>
        <v>2182.8070175438597</v>
      </c>
      <c r="AA218" s="158"/>
      <c r="AB218" s="158"/>
      <c r="AC218" s="158"/>
      <c r="AD218" s="158"/>
      <c r="AE218" s="158"/>
      <c r="AF218" s="158"/>
      <c r="AG218" s="158"/>
      <c r="AH218" s="158"/>
      <c r="AI218" s="158"/>
    </row>
    <row r="219" spans="20:35" x14ac:dyDescent="0.35">
      <c r="T219" s="256" t="str">
        <f>W219&amp;V219&amp;LEFT(道具价值!R1200)&amp;LEFT(X219,1)&amp;LEFT(Y219,1)</f>
        <v>T5高重图三</v>
      </c>
      <c r="U219" s="256">
        <f>IF(V218="重",U218+1,U218)</f>
        <v>71</v>
      </c>
      <c r="V219" s="256" t="str">
        <f>V216</f>
        <v>重</v>
      </c>
      <c r="W219" s="256" t="str">
        <f>VLOOKUP($U219,'坦克涂装-作废'!$B$23:$I$99,MATCH(W$6,'坦克涂装-作废'!$B$23:$I$23,0),FALSE)</f>
        <v>T5高</v>
      </c>
      <c r="X219" s="256" t="str">
        <f>VLOOKUP($U219,'坦克涂装-作废'!$B$23:$I$99,MATCH(X$6,'坦克涂装-作废'!$B$23:$I$23,0),FALSE)</f>
        <v>图案</v>
      </c>
      <c r="Y219" s="256" t="str">
        <f>VLOOKUP($U219,'坦克涂装-作废'!$B$23:$I$99,MATCH(Y$6,'坦克涂装-作废'!$B$23:$I$23,0),FALSE)</f>
        <v>三天</v>
      </c>
      <c r="Z219" s="159">
        <f>VLOOKUP($U219,'坦克涂装-作废'!$B$23:$I$99,MATCH(Z$6,'坦克涂装-作废'!$B$23:$I$23,0),FALSE)</f>
        <v>2182.8070175438597</v>
      </c>
      <c r="AA219" s="158"/>
      <c r="AB219" s="158"/>
      <c r="AC219" s="158"/>
      <c r="AD219" s="158"/>
      <c r="AE219" s="158"/>
      <c r="AF219" s="158"/>
      <c r="AG219" s="158"/>
      <c r="AH219" s="158"/>
      <c r="AI219" s="158"/>
    </row>
    <row r="220" spans="20:35" x14ac:dyDescent="0.35">
      <c r="T220" s="256" t="str">
        <f>W220&amp;V220&amp;LEFT(道具价值!R1201)&amp;LEFT(X220,1)&amp;LEFT(Y220,1)</f>
        <v>T5高轻图半</v>
      </c>
      <c r="U220" s="256">
        <f>IF(V219="重",U219+1,U219)</f>
        <v>72</v>
      </c>
      <c r="V220" s="256" t="str">
        <f>V217</f>
        <v>轻</v>
      </c>
      <c r="W220" s="256" t="str">
        <f>VLOOKUP($U220,'坦克涂装-作废'!$B$23:$I$99,MATCH(W$6,'坦克涂装-作废'!$B$23:$I$23,0),FALSE)</f>
        <v>T5高</v>
      </c>
      <c r="X220" s="256" t="str">
        <f>VLOOKUP($U220,'坦克涂装-作废'!$B$23:$I$99,MATCH(X$6,'坦克涂装-作废'!$B$23:$I$23,0),FALSE)</f>
        <v>图案</v>
      </c>
      <c r="Y220" s="256" t="str">
        <f>VLOOKUP($U220,'坦克涂装-作废'!$B$23:$I$99,MATCH(Y$6,'坦克涂装-作废'!$B$23:$I$23,0),FALSE)</f>
        <v>半月</v>
      </c>
      <c r="Z220" s="159">
        <f>VLOOKUP($U220,'坦克涂装-作废'!$B$23:$I$99,MATCH(Z$6,'坦克涂装-作废'!$B$23:$I$23,0),FALSE)</f>
        <v>4365.6140350877195</v>
      </c>
      <c r="AA220" s="158"/>
      <c r="AB220" s="158"/>
      <c r="AC220" s="158"/>
      <c r="AD220" s="158"/>
      <c r="AE220" s="158"/>
      <c r="AF220" s="158"/>
      <c r="AG220" s="158"/>
      <c r="AH220" s="158"/>
      <c r="AI220" s="158"/>
    </row>
    <row r="221" spans="20:35" x14ac:dyDescent="0.35">
      <c r="T221" s="256" t="str">
        <f>W221&amp;V221&amp;LEFT(道具价值!R1202)&amp;LEFT(X221,1)&amp;LEFT(Y221,1)</f>
        <v>T5高中图半</v>
      </c>
      <c r="U221" s="256">
        <f>IF(V220="重",U220+1,U220)</f>
        <v>72</v>
      </c>
      <c r="V221" s="256" t="str">
        <f>V218</f>
        <v>中</v>
      </c>
      <c r="W221" s="256" t="str">
        <f>VLOOKUP($U221,'坦克涂装-作废'!$B$23:$I$99,MATCH(W$6,'坦克涂装-作废'!$B$23:$I$23,0),FALSE)</f>
        <v>T5高</v>
      </c>
      <c r="X221" s="256" t="str">
        <f>VLOOKUP($U221,'坦克涂装-作废'!$B$23:$I$99,MATCH(X$6,'坦克涂装-作废'!$B$23:$I$23,0),FALSE)</f>
        <v>图案</v>
      </c>
      <c r="Y221" s="256" t="str">
        <f>VLOOKUP($U221,'坦克涂装-作废'!$B$23:$I$99,MATCH(Y$6,'坦克涂装-作废'!$B$23:$I$23,0),FALSE)</f>
        <v>半月</v>
      </c>
      <c r="Z221" s="159">
        <f>VLOOKUP($U221,'坦克涂装-作废'!$B$23:$I$99,MATCH(Z$6,'坦克涂装-作废'!$B$23:$I$23,0),FALSE)</f>
        <v>4365.6140350877195</v>
      </c>
      <c r="AA221" s="158"/>
      <c r="AB221" s="158"/>
      <c r="AC221" s="158"/>
      <c r="AD221" s="158"/>
      <c r="AE221" s="158"/>
      <c r="AF221" s="158"/>
      <c r="AG221" s="158"/>
      <c r="AH221" s="158"/>
      <c r="AI221" s="158"/>
    </row>
    <row r="222" spans="20:35" x14ac:dyDescent="0.35">
      <c r="T222" s="256" t="str">
        <f>W222&amp;V222&amp;LEFT(道具价值!R1203)&amp;LEFT(X222,1)&amp;LEFT(Y222,1)</f>
        <v>T5高重图半</v>
      </c>
      <c r="U222" s="256">
        <f>IF(V221="重",U221+1,U221)</f>
        <v>72</v>
      </c>
      <c r="V222" s="256" t="str">
        <f>V219</f>
        <v>重</v>
      </c>
      <c r="W222" s="256" t="str">
        <f>VLOOKUP($U222,'坦克涂装-作废'!$B$23:$I$99,MATCH(W$6,'坦克涂装-作废'!$B$23:$I$23,0),FALSE)</f>
        <v>T5高</v>
      </c>
      <c r="X222" s="256" t="str">
        <f>VLOOKUP($U222,'坦克涂装-作废'!$B$23:$I$99,MATCH(X$6,'坦克涂装-作废'!$B$23:$I$23,0),FALSE)</f>
        <v>图案</v>
      </c>
      <c r="Y222" s="256" t="str">
        <f>VLOOKUP($U222,'坦克涂装-作废'!$B$23:$I$99,MATCH(Y$6,'坦克涂装-作废'!$B$23:$I$23,0),FALSE)</f>
        <v>半月</v>
      </c>
      <c r="Z222" s="159">
        <f>VLOOKUP($U222,'坦克涂装-作废'!$B$23:$I$99,MATCH(Z$6,'坦克涂装-作废'!$B$23:$I$23,0),FALSE)</f>
        <v>4365.6140350877195</v>
      </c>
      <c r="AA222" s="158"/>
      <c r="AB222" s="158"/>
      <c r="AC222" s="158"/>
      <c r="AD222" s="158"/>
      <c r="AE222" s="158"/>
      <c r="AF222" s="158"/>
      <c r="AG222" s="158"/>
      <c r="AH222" s="158"/>
      <c r="AI222" s="158"/>
    </row>
    <row r="223" spans="20:35" x14ac:dyDescent="0.35">
      <c r="T223" s="256" t="str">
        <f>W223&amp;V223&amp;LEFT(道具价值!R1204)&amp;LEFT(X223,1)&amp;LEFT(Y223,1)</f>
        <v>T5高轻图永</v>
      </c>
      <c r="U223" s="256">
        <f>IF(V222="重",U222+1,U222)</f>
        <v>73</v>
      </c>
      <c r="V223" s="256" t="str">
        <f>V220</f>
        <v>轻</v>
      </c>
      <c r="W223" s="256" t="str">
        <f>VLOOKUP($U223,'坦克涂装-作废'!$B$23:$I$99,MATCH(W$6,'坦克涂装-作废'!$B$23:$I$23,0),FALSE)</f>
        <v>T5高</v>
      </c>
      <c r="X223" s="256" t="str">
        <f>VLOOKUP($U223,'坦克涂装-作废'!$B$23:$I$99,MATCH(X$6,'坦克涂装-作废'!$B$23:$I$23,0),FALSE)</f>
        <v>图案</v>
      </c>
      <c r="Y223" s="256" t="str">
        <f>VLOOKUP($U223,'坦克涂装-作废'!$B$23:$I$99,MATCH(Y$6,'坦克涂装-作废'!$B$23:$I$23,0),FALSE)</f>
        <v>永久</v>
      </c>
      <c r="Z223" s="159">
        <f>VLOOKUP($U223,'坦克涂装-作废'!$B$23:$I$99,MATCH(Z$6,'坦克涂装-作废'!$B$23:$I$23,0),FALSE)</f>
        <v>15716.210526315792</v>
      </c>
      <c r="AA223" s="158"/>
      <c r="AB223" s="158"/>
      <c r="AC223" s="158"/>
      <c r="AD223" s="158"/>
      <c r="AE223" s="158"/>
      <c r="AF223" s="158"/>
      <c r="AG223" s="158"/>
      <c r="AH223" s="158"/>
      <c r="AI223" s="158"/>
    </row>
    <row r="224" spans="20:35" x14ac:dyDescent="0.35">
      <c r="T224" s="256" t="str">
        <f>W224&amp;V224&amp;LEFT(道具价值!R1205)&amp;LEFT(X224,1)&amp;LEFT(Y224,1)</f>
        <v>T5高中图永</v>
      </c>
      <c r="U224" s="256">
        <f>IF(V223="重",U223+1,U223)</f>
        <v>73</v>
      </c>
      <c r="V224" s="256" t="str">
        <f>V221</f>
        <v>中</v>
      </c>
      <c r="W224" s="256" t="str">
        <f>VLOOKUP($U224,'坦克涂装-作废'!$B$23:$I$99,MATCH(W$6,'坦克涂装-作废'!$B$23:$I$23,0),FALSE)</f>
        <v>T5高</v>
      </c>
      <c r="X224" s="256" t="str">
        <f>VLOOKUP($U224,'坦克涂装-作废'!$B$23:$I$99,MATCH(X$6,'坦克涂装-作废'!$B$23:$I$23,0),FALSE)</f>
        <v>图案</v>
      </c>
      <c r="Y224" s="256" t="str">
        <f>VLOOKUP($U224,'坦克涂装-作废'!$B$23:$I$99,MATCH(Y$6,'坦克涂装-作废'!$B$23:$I$23,0),FALSE)</f>
        <v>永久</v>
      </c>
      <c r="Z224" s="159">
        <f>VLOOKUP($U224,'坦克涂装-作废'!$B$23:$I$99,MATCH(Z$6,'坦克涂装-作废'!$B$23:$I$23,0),FALSE)</f>
        <v>15716.210526315792</v>
      </c>
      <c r="AA224" s="158"/>
      <c r="AB224" s="158"/>
      <c r="AC224" s="158"/>
      <c r="AD224" s="158"/>
      <c r="AE224" s="158"/>
      <c r="AF224" s="158"/>
      <c r="AG224" s="158"/>
      <c r="AH224" s="158"/>
      <c r="AI224" s="158"/>
    </row>
    <row r="225" spans="20:35" x14ac:dyDescent="0.35">
      <c r="T225" s="256" t="str">
        <f>W225&amp;V225&amp;LEFT(道具价值!R1206)&amp;LEFT(X225,1)&amp;LEFT(Y225,1)</f>
        <v>T5高重图永</v>
      </c>
      <c r="U225" s="256">
        <f>IF(V224="重",U224+1,U224)</f>
        <v>73</v>
      </c>
      <c r="V225" s="256" t="str">
        <f>V222</f>
        <v>重</v>
      </c>
      <c r="W225" s="256" t="str">
        <f>VLOOKUP($U225,'坦克涂装-作废'!$B$23:$I$99,MATCH(W$6,'坦克涂装-作废'!$B$23:$I$23,0),FALSE)</f>
        <v>T5高</v>
      </c>
      <c r="X225" s="256" t="str">
        <f>VLOOKUP($U225,'坦克涂装-作废'!$B$23:$I$99,MATCH(X$6,'坦克涂装-作废'!$B$23:$I$23,0),FALSE)</f>
        <v>图案</v>
      </c>
      <c r="Y225" s="256" t="str">
        <f>VLOOKUP($U225,'坦克涂装-作废'!$B$23:$I$99,MATCH(Y$6,'坦克涂装-作废'!$B$23:$I$23,0),FALSE)</f>
        <v>永久</v>
      </c>
      <c r="Z225" s="159">
        <f>VLOOKUP($U225,'坦克涂装-作废'!$B$23:$I$99,MATCH(Z$6,'坦克涂装-作废'!$B$23:$I$23,0),FALSE)</f>
        <v>15716.210526315792</v>
      </c>
      <c r="AA225" s="158"/>
      <c r="AB225" s="158"/>
      <c r="AC225" s="158"/>
      <c r="AD225" s="158"/>
      <c r="AE225" s="158"/>
      <c r="AF225" s="158"/>
      <c r="AG225" s="158"/>
      <c r="AH225" s="158"/>
      <c r="AI225" s="158"/>
    </row>
    <row r="226" spans="20:35" x14ac:dyDescent="0.35">
      <c r="T226" s="256" t="str">
        <f>W226&amp;V226&amp;LEFT(道具价值!R1207)&amp;LEFT(X226,1)&amp;LEFT(Y226,1)</f>
        <v>T5高轻模三</v>
      </c>
      <c r="U226" s="256">
        <f>IF(V225="重",U225+1,U225)</f>
        <v>74</v>
      </c>
      <c r="V226" s="256" t="str">
        <f>V223</f>
        <v>轻</v>
      </c>
      <c r="W226" s="256" t="str">
        <f>VLOOKUP($U226,'坦克涂装-作废'!$B$23:$I$99,MATCH(W$6,'坦克涂装-作废'!$B$23:$I$23,0),FALSE)</f>
        <v>T5高</v>
      </c>
      <c r="X226" s="256" t="str">
        <f>VLOOKUP($U226,'坦克涂装-作废'!$B$23:$I$99,MATCH(X$6,'坦克涂装-作废'!$B$23:$I$23,0),FALSE)</f>
        <v>模型</v>
      </c>
      <c r="Y226" s="256" t="str">
        <f>VLOOKUP($U226,'坦克涂装-作废'!$B$23:$I$99,MATCH(Y$6,'坦克涂装-作废'!$B$23:$I$23,0),FALSE)</f>
        <v>三天</v>
      </c>
      <c r="Z226" s="159">
        <f>VLOOKUP($U226,'坦克涂装-作废'!$B$23:$I$99,MATCH(Z$6,'坦克涂装-作废'!$B$23:$I$23,0),FALSE)</f>
        <v>3492.4912280701756</v>
      </c>
      <c r="AA226" s="158"/>
      <c r="AB226" s="158"/>
      <c r="AC226" s="158"/>
      <c r="AD226" s="158"/>
      <c r="AE226" s="158"/>
      <c r="AF226" s="158"/>
      <c r="AG226" s="158"/>
      <c r="AH226" s="158"/>
      <c r="AI226" s="158"/>
    </row>
    <row r="227" spans="20:35" x14ac:dyDescent="0.35">
      <c r="T227" s="256" t="str">
        <f>W227&amp;V227&amp;LEFT(道具价值!R1208)&amp;LEFT(X227,1)&amp;LEFT(Y227,1)</f>
        <v>T5高中模三</v>
      </c>
      <c r="U227" s="256">
        <f>IF(V226="重",U226+1,U226)</f>
        <v>74</v>
      </c>
      <c r="V227" s="256" t="str">
        <f>V224</f>
        <v>中</v>
      </c>
      <c r="W227" s="256" t="str">
        <f>VLOOKUP($U227,'坦克涂装-作废'!$B$23:$I$99,MATCH(W$6,'坦克涂装-作废'!$B$23:$I$23,0),FALSE)</f>
        <v>T5高</v>
      </c>
      <c r="X227" s="256" t="str">
        <f>VLOOKUP($U227,'坦克涂装-作废'!$B$23:$I$99,MATCH(X$6,'坦克涂装-作废'!$B$23:$I$23,0),FALSE)</f>
        <v>模型</v>
      </c>
      <c r="Y227" s="256" t="str">
        <f>VLOOKUP($U227,'坦克涂装-作废'!$B$23:$I$99,MATCH(Y$6,'坦克涂装-作废'!$B$23:$I$23,0),FALSE)</f>
        <v>三天</v>
      </c>
      <c r="Z227" s="159">
        <f>VLOOKUP($U227,'坦克涂装-作废'!$B$23:$I$99,MATCH(Z$6,'坦克涂装-作废'!$B$23:$I$23,0),FALSE)</f>
        <v>3492.4912280701756</v>
      </c>
      <c r="AA227" s="158"/>
      <c r="AB227" s="158"/>
      <c r="AC227" s="158"/>
      <c r="AD227" s="158"/>
      <c r="AE227" s="158"/>
      <c r="AF227" s="158"/>
      <c r="AG227" s="158"/>
      <c r="AH227" s="158"/>
      <c r="AI227" s="158"/>
    </row>
    <row r="228" spans="20:35" x14ac:dyDescent="0.35">
      <c r="T228" s="256" t="str">
        <f>W228&amp;V228&amp;LEFT(道具价值!R1209)&amp;LEFT(X228,1)&amp;LEFT(Y228,1)</f>
        <v>T5高重模三</v>
      </c>
      <c r="U228" s="256">
        <f>IF(V227="重",U227+1,U227)</f>
        <v>74</v>
      </c>
      <c r="V228" s="256" t="str">
        <f>V225</f>
        <v>重</v>
      </c>
      <c r="W228" s="256" t="str">
        <f>VLOOKUP($U228,'坦克涂装-作废'!$B$23:$I$99,MATCH(W$6,'坦克涂装-作废'!$B$23:$I$23,0),FALSE)</f>
        <v>T5高</v>
      </c>
      <c r="X228" s="256" t="str">
        <f>VLOOKUP($U228,'坦克涂装-作废'!$B$23:$I$99,MATCH(X$6,'坦克涂装-作废'!$B$23:$I$23,0),FALSE)</f>
        <v>模型</v>
      </c>
      <c r="Y228" s="256" t="str">
        <f>VLOOKUP($U228,'坦克涂装-作废'!$B$23:$I$99,MATCH(Y$6,'坦克涂装-作废'!$B$23:$I$23,0),FALSE)</f>
        <v>三天</v>
      </c>
      <c r="Z228" s="159">
        <f>VLOOKUP($U228,'坦克涂装-作废'!$B$23:$I$99,MATCH(Z$6,'坦克涂装-作废'!$B$23:$I$23,0),FALSE)</f>
        <v>3492.4912280701756</v>
      </c>
      <c r="AA228" s="158"/>
      <c r="AB228" s="158"/>
      <c r="AC228" s="158"/>
      <c r="AD228" s="158"/>
      <c r="AE228" s="158"/>
      <c r="AF228" s="158"/>
      <c r="AG228" s="158"/>
      <c r="AH228" s="158"/>
      <c r="AI228" s="158"/>
    </row>
    <row r="229" spans="20:35" x14ac:dyDescent="0.35">
      <c r="T229" s="256" t="str">
        <f>W229&amp;V229&amp;LEFT(道具价值!R1210)&amp;LEFT(X229,1)&amp;LEFT(Y229,1)</f>
        <v>T5高轻模半</v>
      </c>
      <c r="U229" s="256">
        <f>IF(V228="重",U228+1,U228)</f>
        <v>75</v>
      </c>
      <c r="V229" s="256" t="str">
        <f>V226</f>
        <v>轻</v>
      </c>
      <c r="W229" s="256" t="str">
        <f>VLOOKUP($U229,'坦克涂装-作废'!$B$23:$I$99,MATCH(W$6,'坦克涂装-作废'!$B$23:$I$23,0),FALSE)</f>
        <v>T5高</v>
      </c>
      <c r="X229" s="256" t="str">
        <f>VLOOKUP($U229,'坦克涂装-作废'!$B$23:$I$99,MATCH(X$6,'坦克涂装-作废'!$B$23:$I$23,0),FALSE)</f>
        <v>模型</v>
      </c>
      <c r="Y229" s="256" t="str">
        <f>VLOOKUP($U229,'坦克涂装-作废'!$B$23:$I$99,MATCH(Y$6,'坦克涂装-作废'!$B$23:$I$23,0),FALSE)</f>
        <v>半月</v>
      </c>
      <c r="Z229" s="159">
        <f>VLOOKUP($U229,'坦克涂装-作废'!$B$23:$I$99,MATCH(Z$6,'坦克涂装-作废'!$B$23:$I$23,0),FALSE)</f>
        <v>6984.9824561403511</v>
      </c>
      <c r="AA229" s="158"/>
      <c r="AB229" s="158"/>
      <c r="AC229" s="158"/>
      <c r="AD229" s="158"/>
      <c r="AE229" s="158"/>
      <c r="AF229" s="158"/>
      <c r="AG229" s="158"/>
      <c r="AH229" s="158"/>
      <c r="AI229" s="158"/>
    </row>
    <row r="230" spans="20:35" x14ac:dyDescent="0.35">
      <c r="T230" s="256" t="str">
        <f>W230&amp;V230&amp;LEFT(道具价值!R1211)&amp;LEFT(X230,1)&amp;LEFT(Y230,1)</f>
        <v>T5高中模半</v>
      </c>
      <c r="U230" s="256">
        <f>IF(V229="重",U229+1,U229)</f>
        <v>75</v>
      </c>
      <c r="V230" s="256" t="str">
        <f>V227</f>
        <v>中</v>
      </c>
      <c r="W230" s="256" t="str">
        <f>VLOOKUP($U230,'坦克涂装-作废'!$B$23:$I$99,MATCH(W$6,'坦克涂装-作废'!$B$23:$I$23,0),FALSE)</f>
        <v>T5高</v>
      </c>
      <c r="X230" s="256" t="str">
        <f>VLOOKUP($U230,'坦克涂装-作废'!$B$23:$I$99,MATCH(X$6,'坦克涂装-作废'!$B$23:$I$23,0),FALSE)</f>
        <v>模型</v>
      </c>
      <c r="Y230" s="256" t="str">
        <f>VLOOKUP($U230,'坦克涂装-作废'!$B$23:$I$99,MATCH(Y$6,'坦克涂装-作废'!$B$23:$I$23,0),FALSE)</f>
        <v>半月</v>
      </c>
      <c r="Z230" s="159">
        <f>VLOOKUP($U230,'坦克涂装-作废'!$B$23:$I$99,MATCH(Z$6,'坦克涂装-作废'!$B$23:$I$23,0),FALSE)</f>
        <v>6984.9824561403511</v>
      </c>
      <c r="AA230" s="158"/>
      <c r="AB230" s="158"/>
      <c r="AC230" s="158"/>
      <c r="AD230" s="158"/>
      <c r="AE230" s="158"/>
      <c r="AF230" s="158"/>
      <c r="AG230" s="158"/>
      <c r="AH230" s="158"/>
      <c r="AI230" s="158"/>
    </row>
    <row r="231" spans="20:35" x14ac:dyDescent="0.35">
      <c r="T231" s="256" t="str">
        <f>W231&amp;V231&amp;LEFT(道具价值!R1212)&amp;LEFT(X231,1)&amp;LEFT(Y231,1)</f>
        <v>T5高重模半</v>
      </c>
      <c r="U231" s="256">
        <f>IF(V230="重",U230+1,U230)</f>
        <v>75</v>
      </c>
      <c r="V231" s="256" t="str">
        <f>V228</f>
        <v>重</v>
      </c>
      <c r="W231" s="256" t="str">
        <f>VLOOKUP($U231,'坦克涂装-作废'!$B$23:$I$99,MATCH(W$6,'坦克涂装-作废'!$B$23:$I$23,0),FALSE)</f>
        <v>T5高</v>
      </c>
      <c r="X231" s="256" t="str">
        <f>VLOOKUP($U231,'坦克涂装-作废'!$B$23:$I$99,MATCH(X$6,'坦克涂装-作废'!$B$23:$I$23,0),FALSE)</f>
        <v>模型</v>
      </c>
      <c r="Y231" s="256" t="str">
        <f>VLOOKUP($U231,'坦克涂装-作废'!$B$23:$I$99,MATCH(Y$6,'坦克涂装-作废'!$B$23:$I$23,0),FALSE)</f>
        <v>半月</v>
      </c>
      <c r="Z231" s="159">
        <f>VLOOKUP($U231,'坦克涂装-作废'!$B$23:$I$99,MATCH(Z$6,'坦克涂装-作废'!$B$23:$I$23,0),FALSE)</f>
        <v>6984.9824561403511</v>
      </c>
      <c r="AA231" s="158"/>
      <c r="AB231" s="158"/>
      <c r="AC231" s="158"/>
      <c r="AD231" s="158"/>
      <c r="AE231" s="158"/>
      <c r="AF231" s="158"/>
      <c r="AG231" s="158"/>
      <c r="AH231" s="158"/>
      <c r="AI231" s="158"/>
    </row>
    <row r="232" spans="20:35" x14ac:dyDescent="0.35">
      <c r="T232" s="256" t="str">
        <f>W232&amp;V232&amp;LEFT(道具价值!R1213)&amp;LEFT(X232,1)&amp;LEFT(Y232,1)</f>
        <v>T5高轻模永</v>
      </c>
      <c r="U232" s="256">
        <f>IF(V231="重",U231+1,U231)</f>
        <v>76</v>
      </c>
      <c r="V232" s="256" t="str">
        <f>V229</f>
        <v>轻</v>
      </c>
      <c r="W232" s="256" t="str">
        <f>VLOOKUP($U232,'坦克涂装-作废'!$B$23:$I$99,MATCH(W$6,'坦克涂装-作废'!$B$23:$I$23,0),FALSE)</f>
        <v>T5高</v>
      </c>
      <c r="X232" s="256" t="str">
        <f>VLOOKUP($U232,'坦克涂装-作废'!$B$23:$I$99,MATCH(X$6,'坦克涂装-作废'!$B$23:$I$23,0),FALSE)</f>
        <v>模型</v>
      </c>
      <c r="Y232" s="256" t="str">
        <f>VLOOKUP($U232,'坦克涂装-作废'!$B$23:$I$99,MATCH(Y$6,'坦克涂装-作废'!$B$23:$I$23,0),FALSE)</f>
        <v>永久</v>
      </c>
      <c r="Z232" s="159">
        <f>VLOOKUP($U232,'坦克涂装-作废'!$B$23:$I$99,MATCH(Z$6,'坦克涂装-作废'!$B$23:$I$23,0),FALSE)</f>
        <v>23574.315789473687</v>
      </c>
      <c r="AA232" s="158"/>
      <c r="AB232" s="158"/>
      <c r="AC232" s="158"/>
      <c r="AD232" s="158"/>
      <c r="AE232" s="158"/>
      <c r="AF232" s="158"/>
      <c r="AG232" s="158"/>
      <c r="AH232" s="158"/>
      <c r="AI232" s="158"/>
    </row>
    <row r="233" spans="20:35" x14ac:dyDescent="0.35">
      <c r="T233" s="256" t="str">
        <f>W233&amp;V233&amp;LEFT(道具价值!R1214)&amp;LEFT(X233,1)&amp;LEFT(Y233,1)</f>
        <v>T5高中模永</v>
      </c>
      <c r="U233" s="256">
        <f>IF(V232="重",U232+1,U232)</f>
        <v>76</v>
      </c>
      <c r="V233" s="256" t="str">
        <f>V230</f>
        <v>中</v>
      </c>
      <c r="W233" s="256" t="str">
        <f>VLOOKUP($U233,'坦克涂装-作废'!$B$23:$I$99,MATCH(W$6,'坦克涂装-作废'!$B$23:$I$23,0),FALSE)</f>
        <v>T5高</v>
      </c>
      <c r="X233" s="256" t="str">
        <f>VLOOKUP($U233,'坦克涂装-作废'!$B$23:$I$99,MATCH(X$6,'坦克涂装-作废'!$B$23:$I$23,0),FALSE)</f>
        <v>模型</v>
      </c>
      <c r="Y233" s="256" t="str">
        <f>VLOOKUP($U233,'坦克涂装-作废'!$B$23:$I$99,MATCH(Y$6,'坦克涂装-作废'!$B$23:$I$23,0),FALSE)</f>
        <v>永久</v>
      </c>
      <c r="Z233" s="159">
        <f>VLOOKUP($U233,'坦克涂装-作废'!$B$23:$I$99,MATCH(Z$6,'坦克涂装-作废'!$B$23:$I$23,0),FALSE)</f>
        <v>23574.315789473687</v>
      </c>
      <c r="AA233" s="158"/>
      <c r="AB233" s="158"/>
      <c r="AC233" s="158"/>
      <c r="AD233" s="158"/>
      <c r="AE233" s="158"/>
      <c r="AF233" s="158"/>
      <c r="AG233" s="158"/>
      <c r="AH233" s="158"/>
      <c r="AI233" s="158"/>
    </row>
    <row r="234" spans="20:35" x14ac:dyDescent="0.35">
      <c r="T234" s="256" t="str">
        <f>W234&amp;V234&amp;LEFT(道具价值!R1215)&amp;LEFT(X234,1)&amp;LEFT(Y234,1)</f>
        <v>T5高重模永</v>
      </c>
      <c r="U234" s="256">
        <f>IF(V233="重",U233+1,U233)</f>
        <v>76</v>
      </c>
      <c r="V234" s="256" t="str">
        <f>V231</f>
        <v>重</v>
      </c>
      <c r="W234" s="256" t="str">
        <f>VLOOKUP($U234,'坦克涂装-作废'!$B$23:$I$99,MATCH(W$6,'坦克涂装-作废'!$B$23:$I$23,0),FALSE)</f>
        <v>T5高</v>
      </c>
      <c r="X234" s="256" t="str">
        <f>VLOOKUP($U234,'坦克涂装-作废'!$B$23:$I$99,MATCH(X$6,'坦克涂装-作废'!$B$23:$I$23,0),FALSE)</f>
        <v>模型</v>
      </c>
      <c r="Y234" s="256" t="str">
        <f>VLOOKUP($U234,'坦克涂装-作废'!$B$23:$I$99,MATCH(Y$6,'坦克涂装-作废'!$B$23:$I$23,0),FALSE)</f>
        <v>永久</v>
      </c>
      <c r="Z234" s="159">
        <f>VLOOKUP($U234,'坦克涂装-作废'!$B$23:$I$99,MATCH(Z$6,'坦克涂装-作废'!$B$23:$I$23,0),FALSE)</f>
        <v>23574.315789473687</v>
      </c>
      <c r="AA234" s="158"/>
      <c r="AB234" s="158"/>
      <c r="AC234" s="158"/>
      <c r="AD234" s="158"/>
      <c r="AE234" s="158"/>
      <c r="AF234" s="158"/>
      <c r="AG234" s="158"/>
      <c r="AH234" s="158"/>
      <c r="AI234" s="158"/>
    </row>
  </sheetData>
  <mergeCells count="1">
    <mergeCell ref="T5:Z5"/>
  </mergeCells>
  <phoneticPr fontId="10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B2:Q57"/>
  <sheetViews>
    <sheetView workbookViewId="0">
      <selection activeCell="U65" sqref="U65"/>
    </sheetView>
  </sheetViews>
  <sheetFormatPr defaultColWidth="9" defaultRowHeight="13" x14ac:dyDescent="0.35"/>
  <cols>
    <col min="1" max="16384" width="9" style="306"/>
  </cols>
  <sheetData>
    <row r="2" spans="2:17" x14ac:dyDescent="0.35">
      <c r="B2" s="309" t="s">
        <v>1428</v>
      </c>
      <c r="E2" s="309" t="s">
        <v>1429</v>
      </c>
    </row>
    <row r="3" spans="2:17" x14ac:dyDescent="0.35">
      <c r="B3" s="306" t="s">
        <v>1366</v>
      </c>
      <c r="C3" s="306" t="s">
        <v>1367</v>
      </c>
      <c r="K3" s="309" t="s">
        <v>1430</v>
      </c>
      <c r="N3" s="309" t="s">
        <v>1431</v>
      </c>
    </row>
    <row r="4" spans="2:17" x14ac:dyDescent="0.35">
      <c r="C4" s="306" t="s">
        <v>1368</v>
      </c>
      <c r="N4" s="309" t="s">
        <v>1432</v>
      </c>
      <c r="Q4" s="309" t="s">
        <v>1433</v>
      </c>
    </row>
    <row r="6" spans="2:17" x14ac:dyDescent="0.35">
      <c r="B6" s="306" t="s">
        <v>1369</v>
      </c>
      <c r="C6" s="306" t="s">
        <v>1370</v>
      </c>
      <c r="E6" s="307" t="s">
        <v>1372</v>
      </c>
    </row>
    <row r="7" spans="2:17" x14ac:dyDescent="0.35">
      <c r="C7" s="306" t="s">
        <v>1371</v>
      </c>
      <c r="E7" s="307" t="s">
        <v>1373</v>
      </c>
    </row>
    <row r="8" spans="2:17" x14ac:dyDescent="0.35">
      <c r="E8" s="307" t="s">
        <v>1376</v>
      </c>
    </row>
    <row r="9" spans="2:17" x14ac:dyDescent="0.35">
      <c r="E9" s="307" t="s">
        <v>1377</v>
      </c>
    </row>
    <row r="11" spans="2:17" x14ac:dyDescent="0.35">
      <c r="B11" s="306" t="s">
        <v>1374</v>
      </c>
      <c r="E11" s="307" t="s">
        <v>1375</v>
      </c>
    </row>
    <row r="12" spans="2:17" x14ac:dyDescent="0.35">
      <c r="B12" s="309" t="s">
        <v>1425</v>
      </c>
      <c r="C12" s="309" t="s">
        <v>1426</v>
      </c>
      <c r="E12" s="310" t="s">
        <v>1427</v>
      </c>
    </row>
    <row r="14" spans="2:17" x14ac:dyDescent="0.35">
      <c r="B14" s="306" t="s">
        <v>1378</v>
      </c>
      <c r="E14" s="307" t="s">
        <v>1598</v>
      </c>
      <c r="J14" s="307" t="s">
        <v>1380</v>
      </c>
    </row>
    <row r="15" spans="2:17" x14ac:dyDescent="0.35">
      <c r="E15" s="307" t="s">
        <v>1599</v>
      </c>
      <c r="J15" s="307" t="s">
        <v>1379</v>
      </c>
    </row>
    <row r="16" spans="2:17" x14ac:dyDescent="0.35">
      <c r="E16" s="307" t="s">
        <v>1600</v>
      </c>
      <c r="J16" s="307" t="s">
        <v>1381</v>
      </c>
    </row>
    <row r="21" spans="2:16" x14ac:dyDescent="0.35">
      <c r="P21" s="310" t="s">
        <v>1451</v>
      </c>
    </row>
    <row r="22" spans="2:16" x14ac:dyDescent="0.35">
      <c r="B22" s="302" t="s">
        <v>597</v>
      </c>
      <c r="C22" s="311" t="s">
        <v>1434</v>
      </c>
      <c r="D22" s="311" t="s">
        <v>1435</v>
      </c>
      <c r="E22" s="311" t="s">
        <v>1436</v>
      </c>
      <c r="F22" s="311" t="s">
        <v>1440</v>
      </c>
      <c r="G22" s="311" t="s">
        <v>1441</v>
      </c>
      <c r="J22" s="309" t="s">
        <v>1442</v>
      </c>
      <c r="K22" s="310" t="s">
        <v>1443</v>
      </c>
      <c r="P22" s="310" t="s">
        <v>1454</v>
      </c>
    </row>
    <row r="23" spans="2:16" x14ac:dyDescent="0.35">
      <c r="B23" s="302">
        <v>1</v>
      </c>
      <c r="C23" s="311" t="s">
        <v>1439</v>
      </c>
      <c r="D23" s="311" t="s">
        <v>1437</v>
      </c>
      <c r="E23" s="311" t="s">
        <v>1438</v>
      </c>
      <c r="F23" s="304"/>
      <c r="G23" s="304"/>
      <c r="P23" s="310" t="s">
        <v>1455</v>
      </c>
    </row>
    <row r="24" spans="2:16" x14ac:dyDescent="0.35">
      <c r="B24" s="302">
        <v>2</v>
      </c>
      <c r="C24" s="304" t="s">
        <v>1105</v>
      </c>
      <c r="D24" s="304" t="s">
        <v>1106</v>
      </c>
      <c r="E24" s="304" t="s">
        <v>1107</v>
      </c>
      <c r="F24" s="304"/>
      <c r="G24" s="304"/>
      <c r="K24" s="310" t="s">
        <v>1444</v>
      </c>
      <c r="P24" s="310" t="s">
        <v>1461</v>
      </c>
    </row>
    <row r="25" spans="2:16" x14ac:dyDescent="0.35">
      <c r="B25" s="302">
        <v>3</v>
      </c>
      <c r="C25" s="304"/>
      <c r="D25" s="304" t="s">
        <v>1106</v>
      </c>
      <c r="E25" s="304" t="s">
        <v>1107</v>
      </c>
      <c r="F25" s="304"/>
      <c r="G25" s="304"/>
      <c r="K25" s="310" t="s">
        <v>1445</v>
      </c>
      <c r="P25" s="310" t="s">
        <v>1462</v>
      </c>
    </row>
    <row r="26" spans="2:16" x14ac:dyDescent="0.35">
      <c r="B26" s="302">
        <v>4</v>
      </c>
      <c r="C26" s="304"/>
      <c r="D26" s="304"/>
      <c r="E26" s="304" t="s">
        <v>1107</v>
      </c>
      <c r="F26" s="304"/>
      <c r="G26" s="304"/>
      <c r="K26" s="310" t="s">
        <v>1446</v>
      </c>
      <c r="P26" s="310" t="s">
        <v>1456</v>
      </c>
    </row>
    <row r="27" spans="2:16" x14ac:dyDescent="0.35">
      <c r="B27" s="302">
        <v>5</v>
      </c>
      <c r="C27" s="304" t="s">
        <v>1108</v>
      </c>
      <c r="D27" s="304" t="s">
        <v>1109</v>
      </c>
      <c r="E27" s="304" t="s">
        <v>1110</v>
      </c>
      <c r="F27" s="304"/>
      <c r="G27" s="304"/>
      <c r="K27" s="310" t="s">
        <v>1447</v>
      </c>
      <c r="P27" s="310" t="s">
        <v>1459</v>
      </c>
    </row>
    <row r="28" spans="2:16" x14ac:dyDescent="0.35">
      <c r="B28" s="302">
        <v>6</v>
      </c>
      <c r="C28" s="304"/>
      <c r="D28" s="304" t="s">
        <v>1109</v>
      </c>
      <c r="E28" s="304" t="s">
        <v>1110</v>
      </c>
      <c r="F28" s="304"/>
      <c r="G28" s="304"/>
      <c r="K28" s="310" t="s">
        <v>1448</v>
      </c>
      <c r="P28" s="310" t="s">
        <v>1460</v>
      </c>
    </row>
    <row r="29" spans="2:16" x14ac:dyDescent="0.35">
      <c r="B29" s="302">
        <v>7</v>
      </c>
      <c r="C29" s="304"/>
      <c r="D29" s="304"/>
      <c r="E29" s="304" t="s">
        <v>1110</v>
      </c>
      <c r="F29" s="304"/>
      <c r="G29" s="304"/>
      <c r="K29" s="310" t="s">
        <v>1449</v>
      </c>
    </row>
    <row r="30" spans="2:16" x14ac:dyDescent="0.35">
      <c r="B30" s="302">
        <v>8</v>
      </c>
      <c r="C30" s="304" t="s">
        <v>1111</v>
      </c>
      <c r="D30" s="304" t="s">
        <v>1112</v>
      </c>
      <c r="E30" s="304" t="s">
        <v>1113</v>
      </c>
      <c r="F30" s="304"/>
      <c r="G30" s="304"/>
      <c r="P30" s="309" t="s">
        <v>1452</v>
      </c>
    </row>
    <row r="31" spans="2:16" x14ac:dyDescent="0.35">
      <c r="B31" s="302">
        <v>9</v>
      </c>
      <c r="C31" s="304"/>
      <c r="D31" s="304" t="s">
        <v>1112</v>
      </c>
      <c r="E31" s="304" t="s">
        <v>1113</v>
      </c>
      <c r="F31" s="304"/>
      <c r="G31" s="304"/>
      <c r="P31" s="310" t="s">
        <v>1453</v>
      </c>
    </row>
    <row r="32" spans="2:16" x14ac:dyDescent="0.35">
      <c r="B32" s="302">
        <v>10</v>
      </c>
      <c r="C32" s="304"/>
      <c r="D32" s="304"/>
      <c r="E32" s="304" t="s">
        <v>1113</v>
      </c>
      <c r="F32" s="304"/>
      <c r="G32" s="304"/>
      <c r="J32" s="309" t="s">
        <v>1450</v>
      </c>
      <c r="P32" s="310" t="s">
        <v>1457</v>
      </c>
    </row>
    <row r="33" spans="2:16" x14ac:dyDescent="0.35">
      <c r="B33" s="302">
        <v>11</v>
      </c>
      <c r="C33" s="304"/>
      <c r="D33" s="304"/>
      <c r="E33" s="304"/>
      <c r="F33" s="304"/>
      <c r="G33" s="304"/>
      <c r="P33" s="310" t="s">
        <v>1458</v>
      </c>
    </row>
    <row r="34" spans="2:16" x14ac:dyDescent="0.35">
      <c r="B34" s="302">
        <v>12</v>
      </c>
      <c r="C34" s="304"/>
      <c r="D34" s="304"/>
      <c r="E34" s="304"/>
      <c r="F34" s="304"/>
      <c r="G34" s="304"/>
    </row>
    <row r="39" spans="2:16" x14ac:dyDescent="0.35">
      <c r="B39" s="316" t="s">
        <v>1583</v>
      </c>
    </row>
    <row r="40" spans="2:16" x14ac:dyDescent="0.35">
      <c r="B40" s="316" t="s">
        <v>1584</v>
      </c>
    </row>
    <row r="41" spans="2:16" x14ac:dyDescent="0.35">
      <c r="B41" s="316" t="s">
        <v>1585</v>
      </c>
    </row>
    <row r="45" spans="2:16" x14ac:dyDescent="0.35">
      <c r="B45" s="315" t="s">
        <v>1586</v>
      </c>
    </row>
    <row r="46" spans="2:16" x14ac:dyDescent="0.35">
      <c r="B46" s="315" t="s">
        <v>1587</v>
      </c>
    </row>
    <row r="47" spans="2:16" x14ac:dyDescent="0.35">
      <c r="B47" s="315" t="s">
        <v>1588</v>
      </c>
    </row>
    <row r="48" spans="2:16" x14ac:dyDescent="0.35">
      <c r="B48" s="315" t="s">
        <v>1589</v>
      </c>
    </row>
    <row r="54" spans="2:3" x14ac:dyDescent="0.35">
      <c r="B54" s="340" t="s">
        <v>1690</v>
      </c>
      <c r="C54" s="306">
        <v>2</v>
      </c>
    </row>
    <row r="55" spans="2:3" x14ac:dyDescent="0.35">
      <c r="B55" s="340" t="s">
        <v>1691</v>
      </c>
    </row>
    <row r="56" spans="2:3" x14ac:dyDescent="0.35">
      <c r="B56" s="340" t="s">
        <v>1692</v>
      </c>
      <c r="C56" s="306">
        <v>3</v>
      </c>
    </row>
    <row r="57" spans="2:3" x14ac:dyDescent="0.35">
      <c r="B57" s="340" t="s">
        <v>1693</v>
      </c>
    </row>
  </sheetData>
  <sortState xmlns:xlrd2="http://schemas.microsoft.com/office/spreadsheetml/2017/richdata2" ref="G42:H54">
    <sortCondition ref="G42:G54"/>
  </sortState>
  <phoneticPr fontId="101"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A0FFD-3B05-4571-9527-589627EDFEBB}">
  <dimension ref="B2:F26"/>
  <sheetViews>
    <sheetView workbookViewId="0">
      <selection activeCell="J24" sqref="J24"/>
    </sheetView>
  </sheetViews>
  <sheetFormatPr defaultRowHeight="14" x14ac:dyDescent="0.25"/>
  <sheetData>
    <row r="2" spans="2:6" ht="15" x14ac:dyDescent="0.35">
      <c r="B2" s="554" t="s">
        <v>597</v>
      </c>
      <c r="C2" s="558" t="s">
        <v>2564</v>
      </c>
      <c r="D2" s="558" t="s">
        <v>2566</v>
      </c>
      <c r="E2" s="558" t="s">
        <v>2565</v>
      </c>
      <c r="F2" s="558" t="s">
        <v>2567</v>
      </c>
    </row>
    <row r="3" spans="2:6" ht="15" x14ac:dyDescent="0.35">
      <c r="B3" s="554">
        <v>1</v>
      </c>
      <c r="C3" s="554">
        <v>18</v>
      </c>
      <c r="D3" s="149">
        <f>基础经济系数!G83</f>
        <v>225</v>
      </c>
      <c r="E3" s="53">
        <v>1</v>
      </c>
      <c r="F3" s="554">
        <f>C3/D3*E3</f>
        <v>0.08</v>
      </c>
    </row>
    <row r="4" spans="2:6" ht="15" x14ac:dyDescent="0.35">
      <c r="B4" s="554">
        <v>2</v>
      </c>
      <c r="C4" s="554">
        <v>21.6</v>
      </c>
      <c r="D4" s="149">
        <f>基础经济系数!G84</f>
        <v>245</v>
      </c>
      <c r="E4" s="53">
        <v>1.0532407407407407</v>
      </c>
      <c r="F4" s="554">
        <f>C4/D4*E4</f>
        <v>9.285714285714286E-2</v>
      </c>
    </row>
    <row r="5" spans="2:6" ht="15" x14ac:dyDescent="0.35">
      <c r="B5" s="554">
        <v>3</v>
      </c>
      <c r="C5" s="554">
        <v>27</v>
      </c>
      <c r="D5" s="149">
        <f>基础经济系数!G85</f>
        <v>265</v>
      </c>
      <c r="E5" s="53">
        <v>1.0370370370370372</v>
      </c>
      <c r="F5" s="554">
        <f>C5/D5*E5</f>
        <v>0.10566037735849058</v>
      </c>
    </row>
    <row r="6" spans="2:6" ht="15" x14ac:dyDescent="0.35">
      <c r="B6" s="554">
        <v>4</v>
      </c>
      <c r="C6" s="554">
        <v>32.4</v>
      </c>
      <c r="D6" s="149">
        <f>基础经济系数!G86</f>
        <v>280</v>
      </c>
      <c r="E6" s="53">
        <v>1.041666666666667</v>
      </c>
      <c r="F6" s="554">
        <f>C6/D6*E6</f>
        <v>0.12053571428571432</v>
      </c>
    </row>
    <row r="7" spans="2:6" ht="15" x14ac:dyDescent="0.35">
      <c r="B7" s="554">
        <v>5</v>
      </c>
      <c r="C7" s="554">
        <v>39.6</v>
      </c>
      <c r="D7" s="149">
        <f>基础经济系数!G87</f>
        <v>300</v>
      </c>
      <c r="E7" s="53">
        <v>1.0101010101010102</v>
      </c>
      <c r="F7" s="554">
        <f>C7/D7*E7</f>
        <v>0.13333333333333336</v>
      </c>
    </row>
    <row r="8" spans="2:6" ht="15" x14ac:dyDescent="0.35">
      <c r="B8" s="554">
        <v>6</v>
      </c>
      <c r="C8" s="554">
        <v>46.8</v>
      </c>
      <c r="D8" s="149">
        <f>基础经济系数!G88</f>
        <v>320</v>
      </c>
      <c r="E8" s="53">
        <v>1.0443376068376067</v>
      </c>
      <c r="F8" s="554">
        <f>C8/D8*E8</f>
        <v>0.15273437499999998</v>
      </c>
    </row>
    <row r="9" spans="2:6" ht="15" x14ac:dyDescent="0.35">
      <c r="B9" s="554">
        <v>7</v>
      </c>
      <c r="C9" s="554">
        <v>57.6</v>
      </c>
      <c r="D9" s="149">
        <f>基础经济系数!G89</f>
        <v>340</v>
      </c>
      <c r="E9" s="53">
        <v>1.015625</v>
      </c>
      <c r="F9" s="554">
        <f>C9/D9*E9</f>
        <v>0.17205882352941176</v>
      </c>
    </row>
    <row r="10" spans="2:6" ht="15" x14ac:dyDescent="0.35">
      <c r="B10" s="554">
        <v>8</v>
      </c>
      <c r="C10" s="554">
        <v>68.400000000000006</v>
      </c>
      <c r="D10" s="149">
        <f>基础经济系数!G90</f>
        <v>355</v>
      </c>
      <c r="E10" s="53">
        <v>1.0069444444444444</v>
      </c>
      <c r="F10" s="554">
        <f>C10/D10*E10</f>
        <v>0.19401408450704224</v>
      </c>
    </row>
    <row r="11" spans="2:6" ht="15" x14ac:dyDescent="0.35">
      <c r="B11" s="554">
        <v>9</v>
      </c>
      <c r="C11" s="554">
        <v>84.6</v>
      </c>
      <c r="D11" s="149">
        <f>基础经济系数!G91</f>
        <v>375</v>
      </c>
      <c r="E11" s="53">
        <v>1.0047281323877071</v>
      </c>
      <c r="F11" s="554">
        <f>C11/D11*E11</f>
        <v>0.22666666666666671</v>
      </c>
    </row>
    <row r="12" spans="2:6" ht="15" x14ac:dyDescent="0.35">
      <c r="B12" s="554">
        <v>10</v>
      </c>
      <c r="C12" s="554">
        <v>100.8</v>
      </c>
      <c r="D12" s="149">
        <f>基础经济系数!G92</f>
        <v>395</v>
      </c>
      <c r="E12" s="53">
        <v>1.015625</v>
      </c>
      <c r="F12" s="554">
        <f>C12/D12*E12</f>
        <v>0.25917721518987341</v>
      </c>
    </row>
    <row r="13" spans="2:6" ht="15" x14ac:dyDescent="0.35">
      <c r="B13" s="554">
        <v>11</v>
      </c>
      <c r="C13" s="554">
        <v>122.4</v>
      </c>
      <c r="D13" s="149">
        <f>基础经济系数!G93</f>
        <v>415</v>
      </c>
      <c r="E13" s="53">
        <v>1.0110294117647058</v>
      </c>
      <c r="F13" s="554">
        <f>C13/D13*E13</f>
        <v>0.29819277108433739</v>
      </c>
    </row>
    <row r="14" spans="2:6" ht="15" x14ac:dyDescent="0.35">
      <c r="B14" s="554">
        <v>12</v>
      </c>
      <c r="C14" s="554">
        <v>149.4</v>
      </c>
      <c r="D14" s="149">
        <f>基础经济系数!G94</f>
        <v>430</v>
      </c>
      <c r="E14" s="53">
        <v>1.000669344042838</v>
      </c>
      <c r="F14" s="554">
        <f>C14/D14*E14</f>
        <v>0.34767441860465115</v>
      </c>
    </row>
    <row r="15" spans="2:6" ht="15" x14ac:dyDescent="0.35">
      <c r="B15" s="554">
        <v>13</v>
      </c>
      <c r="C15" s="554">
        <v>180</v>
      </c>
      <c r="D15" s="149">
        <f>基础经济系数!G95</f>
        <v>450</v>
      </c>
      <c r="E15" s="53">
        <v>1</v>
      </c>
      <c r="F15" s="554">
        <f>C15/D15*E15</f>
        <v>0.4</v>
      </c>
    </row>
    <row r="16" spans="2:6" ht="15" x14ac:dyDescent="0.35">
      <c r="B16" s="554">
        <v>14</v>
      </c>
      <c r="C16" s="554">
        <v>180</v>
      </c>
      <c r="D16" s="149">
        <f>基础经济系数!G96</f>
        <v>470</v>
      </c>
      <c r="E16" s="53">
        <v>1.0069444444444446</v>
      </c>
      <c r="F16" s="554">
        <f>C16/D16*E16</f>
        <v>0.3856382978723405</v>
      </c>
    </row>
    <row r="17" spans="2:6" ht="15" x14ac:dyDescent="0.35">
      <c r="B17" s="554">
        <v>15</v>
      </c>
      <c r="C17" s="554">
        <v>180</v>
      </c>
      <c r="D17" s="149">
        <f>基础经济系数!G97</f>
        <v>490</v>
      </c>
      <c r="E17" s="53">
        <v>1.0111111111111111</v>
      </c>
      <c r="F17" s="554">
        <f>C17/D17*E17</f>
        <v>0.37142857142857144</v>
      </c>
    </row>
    <row r="18" spans="2:6" ht="15" x14ac:dyDescent="0.35">
      <c r="B18" s="554">
        <v>16</v>
      </c>
      <c r="C18" s="554">
        <v>180</v>
      </c>
      <c r="D18" s="149">
        <f>基础经济系数!G98</f>
        <v>505</v>
      </c>
      <c r="E18" s="53">
        <v>1.0125000000000002</v>
      </c>
      <c r="F18" s="554">
        <f>C18/D18*E18</f>
        <v>0.36089108910891093</v>
      </c>
    </row>
    <row r="19" spans="2:6" ht="15" x14ac:dyDescent="0.35">
      <c r="B19" s="554">
        <v>17</v>
      </c>
      <c r="C19" s="554">
        <v>180</v>
      </c>
      <c r="D19" s="149">
        <f>基础经济系数!G99</f>
        <v>525</v>
      </c>
      <c r="E19" s="53">
        <v>1.0111111111111113</v>
      </c>
      <c r="F19" s="554">
        <f>C19/D19*E19</f>
        <v>0.34666666666666673</v>
      </c>
    </row>
    <row r="20" spans="2:6" ht="15" x14ac:dyDescent="0.35">
      <c r="B20" s="554">
        <v>18</v>
      </c>
      <c r="C20" s="554">
        <v>180</v>
      </c>
      <c r="D20" s="149">
        <f>基础经济系数!G100</f>
        <v>545</v>
      </c>
      <c r="E20" s="53">
        <v>1.0069444444444444</v>
      </c>
      <c r="F20" s="554">
        <f>C20/D20*E20</f>
        <v>0.33256880733944955</v>
      </c>
    </row>
    <row r="21" spans="2:6" ht="15" x14ac:dyDescent="0.35">
      <c r="B21" s="554">
        <v>19</v>
      </c>
      <c r="C21" s="554">
        <v>180</v>
      </c>
      <c r="D21" s="149">
        <f>基础经济系数!G101</f>
        <v>565</v>
      </c>
      <c r="E21" s="53">
        <v>1</v>
      </c>
      <c r="F21" s="554">
        <f>C21/D21*E21</f>
        <v>0.31858407079646017</v>
      </c>
    </row>
    <row r="22" spans="2:6" ht="15" x14ac:dyDescent="0.35">
      <c r="B22" s="554">
        <v>20</v>
      </c>
      <c r="C22" s="554">
        <v>180</v>
      </c>
      <c r="D22" s="149">
        <f>基础经济系数!G102</f>
        <v>580</v>
      </c>
      <c r="E22" s="53">
        <v>1.0118055555555554</v>
      </c>
      <c r="F22" s="554">
        <f>C22/D22*E22</f>
        <v>0.31400862068965513</v>
      </c>
    </row>
    <row r="23" spans="2:6" ht="15" x14ac:dyDescent="0.35">
      <c r="B23" s="554">
        <v>21</v>
      </c>
      <c r="C23" s="554">
        <v>180</v>
      </c>
      <c r="D23" s="149">
        <f>基础经济系数!G103</f>
        <v>600</v>
      </c>
      <c r="E23" s="53">
        <v>0.99999999999999989</v>
      </c>
      <c r="F23" s="554">
        <f>C23/D23*E23</f>
        <v>0.29999999999999993</v>
      </c>
    </row>
    <row r="24" spans="2:6" ht="15" x14ac:dyDescent="0.35">
      <c r="B24" s="554">
        <v>22</v>
      </c>
      <c r="C24" s="554">
        <v>180</v>
      </c>
      <c r="D24" s="149">
        <f>基础经济系数!G104</f>
        <v>620</v>
      </c>
      <c r="E24" s="53">
        <v>1.0083333333333333</v>
      </c>
      <c r="F24" s="554">
        <f>C24/D24*E24</f>
        <v>0.29274193548387095</v>
      </c>
    </row>
    <row r="25" spans="2:6" ht="15" x14ac:dyDescent="0.35">
      <c r="B25" s="554">
        <v>23</v>
      </c>
      <c r="C25" s="554">
        <v>180</v>
      </c>
      <c r="D25" s="149">
        <f>基础经济系数!G105</f>
        <v>640</v>
      </c>
      <c r="E25" s="53">
        <v>1.0152777777777779</v>
      </c>
      <c r="F25" s="554">
        <f>C25/D25*E25</f>
        <v>0.28554687500000003</v>
      </c>
    </row>
    <row r="26" spans="2:6" ht="15" x14ac:dyDescent="0.35">
      <c r="B26" s="554">
        <v>24</v>
      </c>
      <c r="C26" s="554">
        <v>180</v>
      </c>
      <c r="D26" s="149">
        <f>基础经济系数!G106</f>
        <v>655</v>
      </c>
      <c r="E26" s="53">
        <v>1.0208333333333335</v>
      </c>
      <c r="F26" s="554">
        <f>C26/D26*E26</f>
        <v>0.28053435114503822</v>
      </c>
    </row>
  </sheetData>
  <phoneticPr fontId="101"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32</vt:i4>
      </vt:variant>
      <vt:variant>
        <vt:lpstr>命名范围</vt:lpstr>
      </vt:variant>
      <vt:variant>
        <vt:i4>41</vt:i4>
      </vt:variant>
    </vt:vector>
  </HeadingPairs>
  <TitlesOfParts>
    <vt:vector size="73" baseType="lpstr">
      <vt:lpstr>说明</vt:lpstr>
      <vt:lpstr>基础属性系数</vt:lpstr>
      <vt:lpstr>基础经济系数</vt:lpstr>
      <vt:lpstr>游戏时长规划</vt:lpstr>
      <vt:lpstr>玩家资源获取模拟</vt:lpstr>
      <vt:lpstr>匹配分段</vt:lpstr>
      <vt:lpstr>商店道具</vt:lpstr>
      <vt:lpstr>图鉴</vt:lpstr>
      <vt:lpstr>道具价值</vt:lpstr>
      <vt:lpstr>道具ID</vt:lpstr>
      <vt:lpstr>推送礼包</vt:lpstr>
      <vt:lpstr>活动奖励</vt:lpstr>
      <vt:lpstr>坦克升星消耗</vt:lpstr>
      <vt:lpstr>宝箱设定</vt:lpstr>
      <vt:lpstr>宝箱内容</vt:lpstr>
      <vt:lpstr>任务设定</vt:lpstr>
      <vt:lpstr>坦克部件养成</vt:lpstr>
      <vt:lpstr>属性说明</vt:lpstr>
      <vt:lpstr>坦克类型系数</vt:lpstr>
      <vt:lpstr>标准坦克设计</vt:lpstr>
      <vt:lpstr>坦克等级成长</vt:lpstr>
      <vt:lpstr>坦克标准养成属性</vt:lpstr>
      <vt:lpstr>坦克个性化设定</vt:lpstr>
      <vt:lpstr>坦克个性化细分</vt:lpstr>
      <vt:lpstr>坦克属性对比</vt:lpstr>
      <vt:lpstr>坦克部件</vt:lpstr>
      <vt:lpstr>坦克属性统计</vt:lpstr>
      <vt:lpstr>坦克技能</vt:lpstr>
      <vt:lpstr>战斗力计算</vt:lpstr>
      <vt:lpstr>坦克涂装-作废</vt:lpstr>
      <vt:lpstr>天梯分(无效)</vt:lpstr>
      <vt:lpstr>科技点-作废</vt:lpstr>
      <vt:lpstr>T1低星级</vt:lpstr>
      <vt:lpstr>T2低星级</vt:lpstr>
      <vt:lpstr>T2中星级</vt:lpstr>
      <vt:lpstr>T3低星级</vt:lpstr>
      <vt:lpstr>T3高星级</vt:lpstr>
      <vt:lpstr>T3中星级</vt:lpstr>
      <vt:lpstr>T4低星级</vt:lpstr>
      <vt:lpstr>T4高星级</vt:lpstr>
      <vt:lpstr>T4中星级</vt:lpstr>
      <vt:lpstr>T5低星级</vt:lpstr>
      <vt:lpstr>T5高星级</vt:lpstr>
      <vt:lpstr>T5中星级</vt:lpstr>
      <vt:lpstr>宝箱ID</vt:lpstr>
      <vt:lpstr>部件价值</vt:lpstr>
      <vt:lpstr>部件价值标头</vt:lpstr>
      <vt:lpstr>道具ID</vt:lpstr>
      <vt:lpstr>货币ID</vt:lpstr>
      <vt:lpstr>货币价值</vt:lpstr>
      <vt:lpstr>货币价值标头</vt:lpstr>
      <vt:lpstr>加速道具价值</vt:lpstr>
      <vt:lpstr>加速道具价值标头</vt:lpstr>
      <vt:lpstr>轻坦半自动_阶段属性</vt:lpstr>
      <vt:lpstr>轻坦单发_阶段属性</vt:lpstr>
      <vt:lpstr>轻坦弹夹_阶段属性</vt:lpstr>
      <vt:lpstr>属性标头_阶段属性</vt:lpstr>
      <vt:lpstr>所有坦克升星属性</vt:lpstr>
      <vt:lpstr>所有坦克升星属性标头</vt:lpstr>
      <vt:lpstr>坦克ID</vt:lpstr>
      <vt:lpstr>坦克价值</vt:lpstr>
      <vt:lpstr>坦克价值标头</vt:lpstr>
      <vt:lpstr>坦克属性分配比例</vt:lpstr>
      <vt:lpstr>坦克属性分配比例标头</vt:lpstr>
      <vt:lpstr>坦克碎片价值</vt:lpstr>
      <vt:lpstr>坦克碎片价值标头</vt:lpstr>
      <vt:lpstr>坦克涂装价值</vt:lpstr>
      <vt:lpstr>坦克涂装价值标头</vt:lpstr>
      <vt:lpstr>涂装ID</vt:lpstr>
      <vt:lpstr>中坦单发_阶段属性</vt:lpstr>
      <vt:lpstr>中坦弹夹_阶段属性</vt:lpstr>
      <vt:lpstr>重坦单发_阶段属性</vt:lpstr>
      <vt:lpstr>重坦自动_阶段属性</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75235</dc:creator>
  <cp:lastModifiedBy>吴震</cp:lastModifiedBy>
  <dcterms:created xsi:type="dcterms:W3CDTF">2006-09-16T00:00:00Z</dcterms:created>
  <dcterms:modified xsi:type="dcterms:W3CDTF">2019-05-21T01:32:07Z</dcterms:modified>
</cp:coreProperties>
</file>